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leg" vbProcedure="false">In!$E$127</definedName>
    <definedName function="false" hidden="false" name="ai_leg_lo" vbProcedure="false">In!$D$127</definedName>
    <definedName function="false" hidden="false" name="ai_rr" vbProcedure="false">In!$E$88</definedName>
    <definedName function="false" hidden="false" name="ant_sh" vbProcedure="false">In!$E$121</definedName>
    <definedName function="false" hidden="false" name="ant_sh_hi" vbProcedure="false">In!$F$121</definedName>
    <definedName function="false" hidden="false" name="ant_sh_lo" vbProcedure="false">In!$D$121</definedName>
    <definedName function="false" hidden="false" name="ant_val" vbProcedure="false">In!$E$120</definedName>
    <definedName function="false" hidden="false" name="beta" vbProcedure="false">In!$E$14</definedName>
    <definedName function="false" hidden="false" name="beta_gf" vbProcedure="false">In!$E$13</definedName>
    <definedName function="false" hidden="false" name="beta_hi" vbProcedure="false">In!$F$14</definedName>
    <definedName function="false" hidden="false" name="beta_lo" vbProcedure="false">In!$D$14</definedName>
    <definedName function="false" hidden="false" name="beta_sa" vbProcedure="false">In!$E$12</definedName>
    <definedName function="false" hidden="false" name="capex_g26" vbProcedure="false">In!$E$85</definedName>
    <definedName function="false" hidden="false" name="cash_q2" vbProcedure="false">In!$E$110</definedName>
    <definedName function="false" hidden="false" name="cf_chip" vbProcedure="false">In!$E$80</definedName>
    <definedName function="false" hidden="false" name="cf_chip_lo" vbProcedure="false">In!$D$80</definedName>
    <definedName function="false" hidden="false" name="cf_cx" vbProcedure="false">In!$E$81</definedName>
    <definedName function="false" hidden="false" name="cf_cx_lo" vbProcedure="false">In!$D$81</definedName>
    <definedName function="false" hidden="false" name="cip_lag" vbProcedure="false">In!$E$87</definedName>
    <definedName function="false" hidden="false" name="cip_lag_hi" vbProcedure="false">In!$F$87</definedName>
    <definedName function="false" hidden="false" name="cip_lag_lo" vbProcedure="false">In!$D$87</definedName>
    <definedName function="false" hidden="false" name="colo_sh" vbProcedure="false">In!$E$82</definedName>
    <definedName function="false" hidden="false" name="colo_sh_hi" vbProcedure="false">In!$F$82</definedName>
    <definedName function="false" hidden="false" name="colo_sh_lo" vbProcedure="false">In!$D$82</definedName>
    <definedName function="false" hidden="false" name="cons_tp" vbProcedure="false">In!$E$9</definedName>
    <definedName function="false" hidden="false" name="cons_tp_hi" vbProcedure="false">In!$F$9</definedName>
    <definedName function="false" hidden="false" name="cons_tp_lo" vbProcedure="false">In!$D$9</definedName>
    <definedName function="false" hidden="false" name="cust_sh" vbProcedure="false">In!$E$76</definedName>
    <definedName function="false" hidden="false" name="cust_sh_hi" vbProcedure="false">In!$F$76</definedName>
    <definedName function="false" hidden="false" name="cust_sh_lo" vbProcedure="false">In!$D$76</definedName>
    <definedName function="false" hidden="false" name="cx_awso" vbProcedure="false">In!$E$91</definedName>
    <definedName function="false" hidden="false" name="cx_awso_hi" vbProcedure="false">In!$F$91</definedName>
    <definedName function="false" hidden="false" name="cx_awso_lo" vbProcedure="false">In!$D$91</definedName>
    <definedName function="false" hidden="false" name="cx_rt" vbProcedure="false">In!$E$102</definedName>
    <definedName function="false" hidden="false" name="c_capex26" vbProcedure="false">In!$E$135</definedName>
    <definedName function="false" hidden="false" name="c_capex27" vbProcedure="false">In!$E$142</definedName>
    <definedName function="false" hidden="false" name="c_capex28" vbProcedure="false">In!$E$149</definedName>
    <definedName function="false" hidden="false" name="c_ebit26" vbProcedure="false">In!$E$132</definedName>
    <definedName function="false" hidden="false" name="c_ebit27" vbProcedure="false">In!$E$139</definedName>
    <definedName function="false" hidden="false" name="c_ebit28" vbProcedure="false">In!$E$146</definedName>
    <definedName function="false" hidden="false" name="c_ebitda26" vbProcedure="false">In!$E$131</definedName>
    <definedName function="false" hidden="false" name="c_ebitda27" vbProcedure="false">In!$E$138</definedName>
    <definedName function="false" hidden="false" name="c_ebitda28" vbProcedure="false">In!$E$145</definedName>
    <definedName function="false" hidden="false" name="c_eps26" vbProcedure="false">In!$E$134</definedName>
    <definedName function="false" hidden="false" name="c_eps27" vbProcedure="false">In!$E$141</definedName>
    <definedName function="false" hidden="false" name="c_eps28" vbProcedure="false">In!$E$148</definedName>
    <definedName function="false" hidden="false" name="c_fcf26" vbProcedure="false">In!$E$136</definedName>
    <definedName function="false" hidden="false" name="c_fcf27" vbProcedure="false">In!$E$143</definedName>
    <definedName function="false" hidden="false" name="c_fcf28" vbProcedure="false">In!$E$150</definedName>
    <definedName function="false" hidden="false" name="c_ni26" vbProcedure="false">In!$E$133</definedName>
    <definedName function="false" hidden="false" name="c_ni27" vbProcedure="false">In!$E$140</definedName>
    <definedName function="false" hidden="false" name="c_ni28" vbProcedure="false">In!$E$147</definedName>
    <definedName function="false" hidden="false" name="c_rev26" vbProcedure="false">In!$E$130</definedName>
    <definedName function="false" hidden="false" name="c_rev27" vbProcedure="false">In!$E$137</definedName>
    <definedName function="false" hidden="false" name="c_rev28" vbProcedure="false">In!$E$144</definedName>
    <definedName function="false" hidden="false" name="c_speps26" vbProcedure="false">In!$E$153</definedName>
    <definedName function="false" hidden="false" name="c_speps26_hi" vbProcedure="false">In!$F$153</definedName>
    <definedName function="false" hidden="false" name="c_speps26_lo" vbProcedure="false">In!$D$153</definedName>
    <definedName function="false" hidden="false" name="c_speps27" vbProcedure="false">In!$E$154</definedName>
    <definedName function="false" hidden="false" name="c_sprev26" vbProcedure="false">In!$E$151</definedName>
    <definedName function="false" hidden="false" name="c_sprev26_hi" vbProcedure="false">In!$F$151</definedName>
    <definedName function="false" hidden="false" name="c_sprev26_lo" vbProcedure="false">In!$D$151</definedName>
    <definedName function="false" hidden="false" name="c_sprev27" vbProcedure="false">In!$E$152</definedName>
    <definedName function="false" hidden="false" name="debt_q2" vbProcedure="false">In!$E$20</definedName>
    <definedName function="false" hidden="false" name="dps" vbProcedure="false">In!$E$118</definedName>
    <definedName function="false" hidden="false" name="erp" vbProcedure="false">In!$E$15</definedName>
    <definedName function="false" hidden="false" name="erp_hi" vbProcedure="false">In!$F$15</definedName>
    <definedName function="false" hidden="false" name="erp_lo" vbProcedure="false">In!$D$15</definedName>
    <definedName function="false" hidden="false" name="ext_sh" vbProcedure="false">In!$E$41</definedName>
    <definedName function="false" hidden="false" name="ext_sh_hi" vbProcedure="false">In!$F$41</definedName>
    <definedName function="false" hidden="false" name="ext_sh_lo" vbProcedure="false">In!$D$41</definedName>
    <definedName function="false" hidden="false" name="fac_life" vbProcedure="false">In!$E$62</definedName>
    <definedName function="false" hidden="false" name="fac_life_hi" vbProcedure="false">In!$F$62</definedName>
    <definedName function="false" hidden="false" name="fac_life_lo" vbProcedure="false">In!$D$62</definedName>
    <definedName function="false" hidden="false" name="fin_debt" vbProcedure="false">In!$E$23</definedName>
    <definedName function="false" hidden="false" name="fin_obl" vbProcedure="false">In!$E$22</definedName>
    <definedName function="false" hidden="false" name="fl_pv" vbProcedure="false">In!$E$21</definedName>
    <definedName function="false" hidden="false" name="fx_gbp" vbProcedure="false">In!$E$114</definedName>
    <definedName function="false" hidden="false" name="g26q3_hi" vbProcedure="false">In!$E$156</definedName>
    <definedName function="false" hidden="false" name="g26q3_lo" vbProcedure="false">In!$E$155</definedName>
    <definedName function="false" hidden="false" name="g26q3_mid" vbProcedure="false">In!$E$159</definedName>
    <definedName function="false" hidden="false" name="g26q3_oihi" vbProcedure="false">In!$E$158</definedName>
    <definedName function="false" hidden="false" name="g26q3_oilo" vbProcedure="false">In!$E$157</definedName>
    <definedName function="false" hidden="false" name="g_ad" vbProcedure="false">In!$E$96</definedName>
    <definedName function="false" hidden="false" name="g_ad_hi" vbProcedure="false">In!$F$96</definedName>
    <definedName function="false" hidden="false" name="g_ad_lo" vbProcedure="false">In!$D$96</definedName>
    <definedName function="false" hidden="false" name="g_awso_lt" vbProcedure="false">In!$E$90</definedName>
    <definedName function="false" hidden="false" name="g_awso_lt_hi" vbProcedure="false">In!$F$90</definedName>
    <definedName function="false" hidden="false" name="g_awso_lt_lo" vbProcedure="false">In!$D$90</definedName>
    <definedName function="false" hidden="false" name="g_os" vbProcedure="false">In!$E$93</definedName>
    <definedName function="false" hidden="false" name="g_os_hi" vbProcedure="false">In!$F$93</definedName>
    <definedName function="false" hidden="false" name="g_os_lo" vbProcedure="false">In!$D$93</definedName>
    <definedName function="false" hidden="false" name="g_ot" vbProcedure="false">In!$E$98</definedName>
    <definedName function="false" hidden="false" name="g_ot_hi" vbProcedure="false">In!$F$98</definedName>
    <definedName function="false" hidden="false" name="g_ot_lo" vbProcedure="false">In!$D$98</definedName>
    <definedName function="false" hidden="false" name="g_ps" vbProcedure="false">In!$E$94</definedName>
    <definedName function="false" hidden="false" name="g_ps_hi" vbProcedure="false">In!$F$94</definedName>
    <definedName function="false" hidden="false" name="g_ps_lo" vbProcedure="false">In!$D$94</definedName>
    <definedName function="false" hidden="false" name="g_sp" vbProcedure="false">In!$E$95</definedName>
    <definedName function="false" hidden="false" name="g_sp_hi" vbProcedure="false">In!$F$95</definedName>
    <definedName function="false" hidden="false" name="g_sp_lo" vbProcedure="false">In!$D$95</definedName>
    <definedName function="false" hidden="false" name="g_sub" vbProcedure="false">In!$E$97</definedName>
    <definedName function="false" hidden="false" name="g_sub_hi" vbProcedure="false">In!$F$97</definedName>
    <definedName function="false" hidden="false" name="g_sub_lo" vbProcedure="false">In!$D$97</definedName>
    <definedName function="false" hidden="false" name="he_open" vbProcedure="false">In!$E$73</definedName>
    <definedName function="false" hidden="false" name="internal_ai_reading" vbProcedure="false">In!$E$86</definedName>
    <definedName function="false" hidden="false" name="internal_ai_reading_lo" vbProcedure="false">In!$D$86</definedName>
    <definedName function="false" hidden="false" name="inv_2h26" vbProcedure="false">In!$E$117</definedName>
    <definedName function="false" hidden="false" name="iss_2h26" vbProcedure="false">In!$E$115</definedName>
    <definedName function="false" hidden="false" name="iss_gbp" vbProcedure="false">In!$E$113</definedName>
    <definedName function="false" hidden="false" name="iss_t" vbProcedure="false">In!$E$116</definedName>
    <definedName function="false" hidden="false" name="iss_usd" vbProcedure="false">In!$E$112</definedName>
    <definedName function="false" hidden="false" name="kd" vbProcedure="false">In!$E$18</definedName>
    <definedName function="false" hidden="false" name="kd_book" vbProcedure="false">In!$E$108</definedName>
    <definedName function="false" hidden="false" name="kd_new" vbProcedure="false">In!$E$16</definedName>
    <definedName function="false" hidden="false" name="kd_spr" vbProcedure="false">In!$E$17</definedName>
    <definedName function="false" hidden="false" name="kd_spr_hi" vbProcedure="false">In!$F$17</definedName>
    <definedName function="false" hidden="false" name="kd_spr_lo" vbProcedure="false">In!$D$17</definedName>
    <definedName function="false" hidden="false" name="ke" vbProcedure="false">In!$E$24</definedName>
    <definedName function="false" hidden="false" name="k_A" vbProcedure="false">In!$E$66</definedName>
    <definedName function="false" hidden="false" name="k_B" vbProcedure="false">In!$E$67</definedName>
    <definedName function="false" hidden="false" name="k_C" vbProcedure="false">In!$E$68</definedName>
    <definedName function="false" hidden="false" name="k_long" vbProcedure="false">In!$E$64</definedName>
    <definedName function="false" hidden="false" name="k_long_lo" vbProcedure="false">In!$D$64</definedName>
    <definedName function="false" hidden="false" name="k_spot" vbProcedure="false">In!$E$65</definedName>
    <definedName function="false" hidden="false" name="k_spot_hi" vbProcedure="false">In!$F$65</definedName>
    <definedName function="false" hidden="false" name="lease_pr" vbProcedure="false">In!$E$106</definedName>
    <definedName function="false" hidden="false" name="lease_pr_hi" vbProcedure="false">In!$F$106</definedName>
    <definedName function="false" hidden="false" name="lease_pr_lo" vbProcedure="false">In!$D$106</definedName>
    <definedName function="false" hidden="false" name="liq_disc" vbProcedure="false">In!$E$124</definedName>
    <definedName function="false" hidden="false" name="liq_disc_hi" vbProcedure="false">In!$F$124</definedName>
    <definedName function="false" hidden="false" name="liq_disc_lo" vbProcedure="false">In!$D$124</definedName>
    <definedName function="false" hidden="false" name="long_sh" vbProcedure="false">In!$E$42</definedName>
    <definedName function="false" hidden="false" name="long_sh_hi" vbProcedure="false">In!$F$42</definedName>
    <definedName function="false" hidden="false" name="long_sh_lo" vbProcedure="false">In!$D$42</definedName>
    <definedName function="false" hidden="false" name="min_cash" vbProcedure="false">In!$E$111</definedName>
    <definedName function="false" hidden="false" name="min_cash_hi" vbProcedure="false">In!$F$111</definedName>
    <definedName function="false" hidden="false" name="min_cash_lo" vbProcedure="false">In!$D$111</definedName>
    <definedName function="false" hidden="false" name="mo_gb200" vbProcedure="false">In!$E$71</definedName>
    <definedName function="false" hidden="false" name="mo_gb300" vbProcedure="false">In!$E$72</definedName>
    <definedName function="false" hidden="false" name="mo_h100" vbProcedure="false">In!$E$70</definedName>
    <definedName function="false" hidden="false" name="mo_trn2" vbProcedure="false">In!$E$69</definedName>
    <definedName function="false" hidden="false" name="mw_open" vbProcedure="false">In!$E$37</definedName>
    <definedName function="false" hidden="false" name="mw_open_hi" vbProcedure="false">In!$F$37</definedName>
    <definedName function="false" hidden="false" name="mw_open_lo" vbProcedure="false">In!$D$37</definedName>
    <definedName function="false" hidden="false" name="mw_ye23" vbProcedure="false">In!$E$34</definedName>
    <definedName function="false" hidden="false" name="mw_ye24" vbProcedure="false">In!$E$35</definedName>
    <definedName function="false" hidden="false" name="mw_ye25" vbProcedure="false">In!$E$36</definedName>
    <definedName function="false" hidden="false" name="mw_ye25_hi" vbProcedure="false">In!$F$36</definedName>
    <definedName function="false" hidden="false" name="mw_ye25_lo" vbProcedure="false">In!$D$36</definedName>
    <definedName function="false" hidden="false" name="m_ad" vbProcedure="false">In!$E$99</definedName>
    <definedName function="false" hidden="false" name="m_ads" vbProcedure="false">Val!$C$60</definedName>
    <definedName function="false" hidden="false" name="m_ad_hi" vbProcedure="false">In!$F$99</definedName>
    <definedName function="false" hidden="false" name="m_ad_lo" vbProcedure="false">In!$D$99</definedName>
    <definedName function="false" hidden="false" name="m_ai" vbProcedure="false">In!$E$125</definedName>
    <definedName function="false" hidden="false" name="m_ai_hi" vbProcedure="false">In!$F$125</definedName>
    <definedName function="false" hidden="false" name="m_ai_lo" vbProcedure="false">In!$D$125</definedName>
    <definedName function="false" hidden="false" name="m_cloud" vbProcedure="false">Val!$C$61</definedName>
    <definedName function="false" hidden="false" name="m_retail" vbProcedure="false">Val!$C$59</definedName>
    <definedName function="false" hidden="false" name="m_x" vbProcedure="false">In!$E$128</definedName>
    <definedName function="false" hidden="false" name="m_x_hi" vbProcedure="false">In!$F$128</definedName>
    <definedName function="false" hidden="false" name="m_x_lo" vbProcedure="false">In!$D$128</definedName>
    <definedName function="false" hidden="false" name="na_vr26" vbProcedure="false">In!$E$77</definedName>
    <definedName function="false" hidden="false" name="na_vr27" vbProcedure="false">In!$E$78</definedName>
    <definedName function="false" hidden="false" name="na_vr28" vbProcedure="false">In!$E$79</definedName>
    <definedName function="false" hidden="false" name="oai_sh" vbProcedure="false">In!$E$123</definedName>
    <definedName function="false" hidden="false" name="oai_val" vbProcedure="false">In!$E$122</definedName>
    <definedName function="false" hidden="false" name="oth_r" vbProcedure="false">In!$E$105</definedName>
    <definedName function="false" hidden="false" name="oth_r_hi" vbProcedure="false">In!$F$105</definedName>
    <definedName function="false" hidden="false" name="oth_r_lo" vbProcedure="false">In!$D$105</definedName>
    <definedName function="false" hidden="false" name="ox_open" vbProcedure="false">In!$E$74</definedName>
    <definedName function="false" hidden="false" name="pace_A" vbProcedure="false">In!$E$38</definedName>
    <definedName function="false" hidden="false" name="pace_B" vbProcedure="false">In!$E$39</definedName>
    <definedName function="false" hidden="false" name="pace_C" vbProcedure="false">In!$E$40</definedName>
    <definedName function="false" hidden="false" name="px" vbProcedure="false">In!$E$5</definedName>
    <definedName function="false" hidden="false" name="p_list" vbProcedure="false">In!$E$44</definedName>
    <definedName function="false" hidden="false" name="p_long" vbProcedure="false">In!$E$45</definedName>
    <definedName function="false" hidden="false" name="p_long_lo" vbProcedure="false">In!$E$46</definedName>
    <definedName function="false" hidden="false" name="p_spot" vbProcedure="false">In!$E$43</definedName>
    <definedName function="false" hidden="false" name="rent_mw" vbProcedure="false">In!$E$84</definedName>
    <definedName function="false" hidden="false" name="rent_rec" vbProcedure="false">In!$E$83</definedName>
    <definedName function="false" hidden="false" name="rf" vbProcedure="false">In!$E$11</definedName>
    <definedName function="false" hidden="false" name="ronic" vbProcedure="false">In!$E$27</definedName>
    <definedName function="false" hidden="false" name="ronic_hi" vbProcedure="false">In!$F$27</definedName>
    <definedName function="false" hidden="false" name="rpm_open" vbProcedure="false">In!$E$75</definedName>
    <definedName function="false" hidden="false" name="sbc_ab" vbProcedure="false">In!$E$126</definedName>
    <definedName function="false" hidden="false" name="sbc_ab_lo" vbProcedure="false">In!$D$126</definedName>
    <definedName function="false" hidden="false" name="sbc_r" vbProcedure="false">In!$E$104</definedName>
    <definedName function="false" hidden="false" name="sh_awd" vbProcedure="false">In!$E$7</definedName>
    <definedName function="false" hidden="false" name="sh_g" vbProcedure="false">In!$E$107</definedName>
    <definedName function="false" hidden="false" name="sh_g_hi" vbProcedure="false">In!$F$107</definedName>
    <definedName function="false" hidden="false" name="sh_g_lo" vbProcedure="false">In!$D$107</definedName>
    <definedName function="false" hidden="false" name="sh_out" vbProcedure="false">In!$E$6</definedName>
    <definedName function="false" hidden="false" name="sh_val" vbProcedure="false">In!$E$8</definedName>
    <definedName function="false" hidden="false" name="step_in" vbProcedure="false">In!$E$101</definedName>
    <definedName function="false" hidden="false" name="step_in_hi" vbProcedure="false">In!$F$101</definedName>
    <definedName function="false" hidden="false" name="step_in_lo" vbProcedure="false">In!$D$101</definedName>
    <definedName function="false" hidden="false" name="step_na" vbProcedure="false">In!$E$100</definedName>
    <definedName function="false" hidden="false" name="step_na_hi" vbProcedure="false">In!$F$100</definedName>
    <definedName function="false" hidden="false" name="step_na_lo" vbProcedure="false">In!$D$100</definedName>
    <definedName function="false" hidden="false" name="tax" vbProcedure="false">In!$E$19</definedName>
    <definedName function="false" hidden="false" name="tax_hi" vbProcedure="false">In!$F$19</definedName>
    <definedName function="false" hidden="false" name="tax_lo" vbProcedure="false">In!$D$19</definedName>
    <definedName function="false" hidden="false" name="tg" vbProcedure="false">In!$E$26</definedName>
    <definedName function="false" hidden="false" name="tg_hi" vbProcedure="false">In!$F$26</definedName>
    <definedName function="false" hidden="false" name="tg_lo" vbProcedure="false">In!$D$26</definedName>
    <definedName function="false" hidden="false" name="tk_cx_gb200" vbProcedure="false">In!$E$52</definedName>
    <definedName function="false" hidden="false" name="tk_cx_gb300" vbProcedure="false">In!$E$53</definedName>
    <definedName function="false" hidden="false" name="tk_cx_h100" vbProcedure="false">In!$E$51</definedName>
    <definedName function="false" hidden="false" name="tk_cx_vr200" vbProcedure="false">In!$E$54</definedName>
    <definedName function="false" hidden="false" name="tk_fac" vbProcedure="false">In!$E$60</definedName>
    <definedName function="false" hidden="false" name="tk_gpuhr" vbProcedure="false">In!$E$59</definedName>
    <definedName function="false" hidden="false" name="tk_he_gb200" vbProcedure="false">In!$E$48</definedName>
    <definedName function="false" hidden="false" name="tk_he_gb300" vbProcedure="false">In!$E$49</definedName>
    <definedName function="false" hidden="false" name="tk_he_h100" vbProcedure="false">In!$E$47</definedName>
    <definedName function="false" hidden="false" name="tk_he_vr200" vbProcedure="false">In!$E$50</definedName>
    <definedName function="false" hidden="false" name="tk_life" vbProcedure="false">In!$E$61</definedName>
    <definedName function="false" hidden="false" name="tk_life_hi" vbProcedure="false">In!$F$61</definedName>
    <definedName function="false" hidden="false" name="tk_life_lo" vbProcedure="false">In!$D$61</definedName>
    <definedName function="false" hidden="false" name="tk_ox_gb200" vbProcedure="false">In!$E$56</definedName>
    <definedName function="false" hidden="false" name="tk_ox_gb300" vbProcedure="false">In!$E$57</definedName>
    <definedName function="false" hidden="false" name="tk_ox_h100" vbProcedure="false">In!$E$55</definedName>
    <definedName function="false" hidden="false" name="tk_ox_vr200" vbProcedure="false">In!$E$58</definedName>
    <definedName function="false" hidden="false" name="tk_pq" vbProcedure="false">In!$E$63</definedName>
    <definedName function="false" hidden="false" name="tk_pq_hi" vbProcedure="false">In!$F$63</definedName>
    <definedName function="false" hidden="false" name="tk_pq_lo" vbProcedure="false">In!$D$63</definedName>
    <definedName function="false" hidden="false" name="tp_yf" vbProcedure="false">In!$E$32</definedName>
    <definedName function="false" hidden="false" name="v022_px" vbProcedure="false">In!$E$163</definedName>
    <definedName function="false" hidden="false" name="v022_tp" vbProcedure="false">In!$E$161</definedName>
    <definedName function="false" hidden="false" name="v022_tp2" vbProcedure="false">In!$E$162</definedName>
    <definedName function="false" hidden="false" name="v022_wdcf" vbProcedure="false">In!$E$164</definedName>
    <definedName function="false" hidden="false" name="wacc" vbProcedure="false">In!$E$25</definedName>
    <definedName function="false" hidden="false" name="w_A" vbProcedure="false">In!$E$29</definedName>
    <definedName function="false" hidden="false" name="w_B" vbProcedure="false">In!$E$30</definedName>
    <definedName function="false" hidden="false" name="w_C" vbProcedure="false">In!$E$31</definedName>
    <definedName function="false" hidden="false" name="w_dcf" vbProcedure="false">In!$E$28</definedName>
    <definedName function="false" hidden="false" name="y_cash" vbProcedure="false">In!$E$109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<sst xmlns="http://schemas.openxmlformats.org/spreadsheetml/2006/main" count="30203" uniqueCount="1485">
  <si>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（命題模組＋官方營收分部 → 損益表）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</si>
  <si>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（架構重建；取代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CoreWeave </t>
    </r>
    <r>
      <rPr>
        <sz val="11"/>
        <rFont val="Noto Sans CJK SC"/>
        <family val="2"/>
      </rPr>
      <t xml:space="preserve">式收支引擎，舊引擎移至 </t>
    </r>
    <r>
      <rPr>
        <sz val="11"/>
        <rFont val="Cambria"/>
        <family val="0"/>
        <charset val="1"/>
      </rPr>
      <t xml:space="preserve">legacy_v0.2/</t>
    </r>
    <r>
      <rPr>
        <sz val="11"/>
        <rFont val="Noto Sans CJK SC"/>
        <family val="2"/>
      </rPr>
      <t xml:space="preserve">）。資料截至 </t>
    </r>
    <r>
      <rPr>
        <sz val="11"/>
        <rFont val="Cambria"/>
        <family val="0"/>
        <charset val="1"/>
      </rPr>
      <t xml:space="preserve">2026Q2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10-Q 2026-07-31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＝上半年實績＋下半年模型；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公布後以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滾入。</t>
    </r>
  </si>
  <si>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）能否以高於資金成本的報酬變現，零售與廣告的現金流能否支應資本支出。</t>
    </r>
  </si>
  <si>
    <r>
      <rPr>
        <b val="true"/>
        <sz val="11"/>
        <rFont val="Noto Sans CJK SC"/>
        <family val="2"/>
      </rPr>
      <t xml:space="preserve">核心問題：</t>
    </r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營業利益率與自由現金流（扣股利後）是否轉正並維持。</t>
    </r>
  </si>
  <si>
    <t xml:space="preserve">驅動 → 推導對照表（每頁輸入、推導量、因果方向）</t>
  </si>
  <si>
    <r>
      <rPr>
        <sz val="11"/>
        <rFont val="Cambria"/>
        <family val="0"/>
        <charset val="1"/>
      </rPr>
      <t xml:space="preserve">In → Thesis</t>
    </r>
    <r>
      <rPr>
        <sz val="11"/>
        <rFont val="Noto Sans CJK SC"/>
        <family val="2"/>
      </rPr>
      <t xml:space="preserve">：對外 </t>
    </r>
    <r>
      <rPr>
        <sz val="11"/>
        <rFont val="Cambria"/>
        <family val="0"/>
        <charset val="1"/>
      </rPr>
      <t xml:space="preserve">AI MW</t>
    </r>
    <r>
      <rPr>
        <sz val="11"/>
        <rFont val="Noto Sans CJK SC"/>
        <family val="2"/>
      </rPr>
      <t xml:space="preserve">（期初 </t>
    </r>
    <r>
      <rPr>
        <sz val="11"/>
        <rFont val="Cambria"/>
        <family val="0"/>
        <charset val="1"/>
      </rPr>
      <t xml:space="preserve">2,080 MW</t>
    </r>
    <r>
      <rPr>
        <sz val="11"/>
        <rFont val="Noto Sans CJK SC"/>
        <family val="2"/>
      </rPr>
      <t xml:space="preserve">、每年新增 </t>
    </r>
    <r>
      <rPr>
        <sz val="11"/>
        <rFont val="Cambria"/>
        <family val="0"/>
        <charset val="1"/>
      </rPr>
      <t xml:space="preserve">pace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Tokenomics IF_HoldEcon × k → AWS AI </t>
    </r>
    <r>
      <rPr>
        <sz val="11"/>
        <rFont val="Noto Sans CJK SC"/>
        <family val="2"/>
      </rPr>
      <t xml:space="preserve">營收；新增 </t>
    </r>
    <r>
      <rPr>
        <sz val="11"/>
        <rFont val="Cambria"/>
        <family val="0"/>
        <charset val="1"/>
      </rPr>
      <t xml:space="preserve">MW ÷ </t>
    </r>
    <r>
      <rPr>
        <sz val="11"/>
        <rFont val="Noto Sans CJK SC"/>
        <family val="2"/>
      </rPr>
      <t xml:space="preserve">對外比例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＋自建機房成本）→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 → </t>
    </r>
    <r>
      <rPr>
        <sz val="11"/>
        <rFont val="Cambria"/>
        <family val="0"/>
        <charset val="1"/>
      </rPr>
      <t xml:space="preserve">IT 6 </t>
    </r>
    <r>
      <rPr>
        <sz val="11"/>
        <rFont val="Noto Sans CJK SC"/>
        <family val="2"/>
      </rPr>
      <t xml:space="preserve">年／機房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年折舊 → </t>
    </r>
    <r>
      <rPr>
        <sz val="11"/>
        <rFont val="Cambria"/>
        <family val="0"/>
        <charset val="1"/>
      </rPr>
      <t xml:space="preserve">AWS AI </t>
    </r>
    <r>
      <rPr>
        <sz val="11"/>
        <rFont val="Noto Sans CJK SC"/>
        <family val="2"/>
      </rPr>
      <t xml:space="preserve">營業利益（對外）與自用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成本（零售）。</t>
    </r>
  </si>
  <si>
    <r>
      <rPr>
        <sz val="11"/>
        <rFont val="Cambria"/>
        <family val="0"/>
        <charset val="1"/>
      </rPr>
      <t xml:space="preserve">In → Seg</t>
    </r>
    <r>
      <rPr>
        <sz val="11"/>
        <rFont val="Noto Sans CJK SC"/>
        <family val="2"/>
      </rPr>
      <t xml:space="preserve">：零售六條營收線（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2H25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2H25 </t>
    </r>
    <r>
      <rPr>
        <sz val="11"/>
        <rFont val="Noto Sans CJK SC"/>
        <family val="2"/>
      </rPr>
      <t xml:space="preserve">年增）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校準係數〔隱含 </t>
    </r>
    <r>
      <rPr>
        <sz val="11"/>
        <rFont val="Cambria"/>
        <family val="0"/>
        <charset val="1"/>
      </rPr>
      <t xml:space="preserve">2026Q3</t>
    </r>
    <r>
      <rPr>
        <sz val="11"/>
        <rFont val="Noto Sans CJK SC"/>
        <family val="2"/>
      </rPr>
      <t xml:space="preserve">＝指引中點〕，之後收斂到長期年增）→ 零售合計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北美比例 → </t>
    </r>
    <r>
      <rPr>
        <sz val="11"/>
        <rFont val="Cambria"/>
        <family val="0"/>
        <charset val="1"/>
      </rPr>
      <t xml:space="preserve">North America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International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其他（殘差起算、收斂到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</si>
  <si>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Thesis → PL</t>
    </r>
    <r>
      <rPr>
        <sz val="11"/>
        <rFont val="Noto Sans CJK SC"/>
        <family val="2"/>
      </rPr>
      <t xml:space="preserve">：北美／國際營業利益＝廣告營收 </t>
    </r>
    <r>
      <rPr>
        <sz val="11"/>
        <rFont val="Cambria"/>
        <family val="0"/>
        <charset val="1"/>
      </rPr>
      <t xml:space="preserve">× 50%</t>
    </r>
    <r>
      <rPr>
        <sz val="11"/>
        <rFont val="Noto Sans CJK SC"/>
        <family val="2"/>
      </rPr>
      <t xml:space="preserve">＋零售本業營收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本業利益率（實績殘差＋每年改善）− 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成本；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營業利益＝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近四季利益率 → 合併營業利益 → 利息（</t>
    </r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）、稅 </t>
    </r>
    <r>
      <rPr>
        <sz val="11"/>
        <rFont val="Cambria"/>
        <family val="0"/>
        <charset val="1"/>
      </rPr>
      <t xml:space="preserve">17.4% → </t>
    </r>
    <r>
      <rPr>
        <sz val="11"/>
        <rFont val="Noto Sans CJK SC"/>
        <family val="2"/>
      </rPr>
      <t xml:space="preserve">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</si>
  <si>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 → CF</t>
    </r>
    <r>
      <rPr>
        <sz val="11"/>
        <rFont val="Noto Sans CJK SC"/>
        <family val="2"/>
      </rPr>
      <t xml:space="preserve">：淨利＋分部折舊＋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＋其他 − 資本支出（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＋零售 </t>
    </r>
    <r>
      <rPr>
        <sz val="11"/>
        <rFont val="Cambria"/>
        <family val="0"/>
        <charset val="1"/>
      </rPr>
      <t xml:space="preserve">5.9%</t>
    </r>
    <r>
      <rPr>
        <sz val="11"/>
        <rFont val="Noto Sans CJK SC"/>
        <family val="2"/>
      </rPr>
      <t xml:space="preserve">）− 融資租賃本金 → 自由現金流；股利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、回購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；現金低於 </t>
    </r>
    <r>
      <rPr>
        <sz val="11"/>
        <rFont val="Cambria"/>
        <family val="0"/>
        <charset val="1"/>
      </rPr>
      <t xml:space="preserve">50 </t>
    </r>
    <r>
      <rPr>
        <sz val="11"/>
        <rFont val="Noto Sans CJK SC"/>
        <family val="2"/>
      </rPr>
      <t xml:space="preserve">即舉債 → 利息費用回到 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</si>
  <si>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CF →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FCFF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RONIC </t>
    </r>
    <r>
      <rPr>
        <sz val="11"/>
        <rFont val="Noto Sans CJK SC"/>
        <family val="2"/>
      </rPr>
      <t xml:space="preserve">永續）＋分部加總（廣告、零售本業、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其他、</t>
    </r>
    <r>
      <rPr>
        <sz val="11"/>
        <rFont val="Cambria"/>
        <family val="0"/>
        <charset val="1"/>
      </rPr>
      <t xml:space="preserve">AWS AI × </t>
    </r>
    <r>
      <rPr>
        <sz val="11"/>
        <rFont val="Noto Sans CJK SC"/>
        <family val="2"/>
      </rPr>
      <t xml:space="preserve">同業倍數）＋持股（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）→ 情境目標價 → 情境加權 → 上檔空間 → 投資建議。</t>
    </r>
  </si>
  <si>
    <r>
      <rPr>
        <sz val="11"/>
        <rFont val="Noto Sans CJK SC"/>
        <family val="2"/>
      </rPr>
      <t xml:space="preserve">工作表：</t>
    </r>
    <r>
      <rPr>
        <sz val="11"/>
        <rFont val="Cambria"/>
        <family val="0"/>
        <charset val="1"/>
      </rPr>
      <t xml:space="preserve">README → In</t>
    </r>
    <r>
      <rPr>
        <sz val="11"/>
        <rFont val="Noto Sans CJK SC"/>
        <family val="2"/>
      </rPr>
      <t xml:space="preserve">（輸入）→ </t>
    </r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（實績與核對）→ </t>
    </r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（命題模組）→ </t>
    </r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（營收分部）→ </t>
    </r>
    <r>
      <rPr>
        <sz val="11"/>
        <rFont val="Cambria"/>
        <family val="0"/>
        <charset val="1"/>
      </rPr>
      <t xml:space="preserve">PL → CF → Val → Recon</t>
    </r>
    <r>
      <rPr>
        <sz val="11"/>
        <rFont val="Noto Sans CJK SC"/>
        <family val="2"/>
      </rPr>
      <t xml:space="preserve">（共識、指引、</t>
    </r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（敏感度）→ </t>
    </r>
    <r>
      <rPr>
        <sz val="11"/>
        <rFont val="Cambria"/>
        <family val="0"/>
        <charset val="1"/>
      </rPr>
      <t xml:space="preserve">Sources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</si>
  <si>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。沿用 </t>
    </r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規格（</t>
    </r>
    <r>
      <rPr>
        <sz val="11"/>
        <rFont val="Cambria"/>
        <family val="0"/>
        <charset val="1"/>
      </rPr>
      <t xml:space="preserve">kspec.py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C10 </t>
    </r>
    <r>
      <rPr>
        <sz val="11"/>
        <rFont val="Noto Sans CJK SC"/>
        <family val="2"/>
      </rPr>
      <t xml:space="preserve">基準速度、對外比例、</t>
    </r>
    <r>
      <rPr>
        <sz val="11"/>
        <rFont val="Cambria"/>
        <family val="0"/>
        <charset val="1"/>
      </rPr>
      <t xml:space="preserve">Tokenomics v21.4 </t>
    </r>
    <r>
      <rPr>
        <sz val="11"/>
        <rFont val="Noto Sans CJK SC"/>
        <family val="2"/>
      </rPr>
      <t xml:space="preserve">快照、</t>
    </r>
    <r>
      <rPr>
        <sz val="11"/>
        <rFont val="Cambria"/>
        <family val="0"/>
        <charset val="1"/>
      </rPr>
      <t xml:space="preserve">WACC </t>
    </r>
    <r>
      <rPr>
        <sz val="11"/>
        <rFont val="Noto Sans CJK SC"/>
        <family val="2"/>
      </rPr>
      <t xml:space="preserve">輸入、持股與同業倍數。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</si>
  <si>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、對外比例與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營收，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其他的歷史分拆為估計；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分部共識未找到；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同業倍數與 </t>
    </r>
    <r>
      <rPr>
        <sz val="11"/>
        <rFont val="Cambria"/>
        <family val="0"/>
        <charset val="1"/>
      </rPr>
      <t xml:space="preserve">WACC </t>
    </r>
    <r>
      <rPr>
        <sz val="11"/>
        <rFont val="Noto Sans CJK SC"/>
        <family val="2"/>
      </rPr>
      <t xml:space="preserve">輸入沿用 </t>
    </r>
    <r>
      <rPr>
        <sz val="11"/>
        <rFont val="Cambria"/>
        <family val="0"/>
        <charset val="1"/>
      </rPr>
      <t xml:space="preserve">2026-10-07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到期債務假設全數再融資；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讀法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為主值（</t>
    </r>
    <r>
      <rPr>
        <sz val="11"/>
        <rFont val="Cambria"/>
        <family val="0"/>
        <charset val="1"/>
      </rPr>
      <t xml:space="preserve">C16 </t>
    </r>
    <r>
      <rPr>
        <sz val="11"/>
        <rFont val="Noto Sans CJK SC"/>
        <family val="2"/>
      </rPr>
      <t xml:space="preserve">待決）。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</si>
  <si>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 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、每股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。每列一個鍵（定義名稱＝鍵）；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</si>
  <si>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已核准的參數與證據（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 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基準速度、對外比例、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快照），出處見 </t>
    </r>
    <r>
      <rPr>
        <sz val="11"/>
        <color theme="1"/>
        <rFont val="Calibri"/>
        <family val="2"/>
        <charset val="1"/>
      </rPr>
      <t xml:space="preserve">legacy_v0.2/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docs/handoff</t>
    </r>
    <r>
      <rPr>
        <sz val="11"/>
        <color theme="1"/>
        <rFont val="Noto Sans CJK SC"/>
        <family val="2"/>
      </rPr>
      <t xml:space="preserve">。不以公司雲端營收、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run-rate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節）；公司說法只作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</si>
  <si>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</si>
  <si>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</si>
  <si>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</si>
  <si>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</si>
  <si>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</si>
  <si>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</si>
  <si>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</si>
  <si>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</si>
  <si>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</si>
  <si>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價格、股數與共識目標價</t>
    </r>
  </si>
  <si>
    <t xml:space="preserve">px</t>
  </si>
  <si>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</si>
  <si>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</si>
  <si>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</si>
  <si>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S14</t>
    </r>
  </si>
  <si>
    <r>
      <rPr>
        <sz val="11"/>
        <color theme="1"/>
        <rFont val="Noto Sans CJK SC"/>
        <family val="2"/>
      </rPr>
      <t xml:space="preserve">前收 </t>
    </r>
    <r>
      <rPr>
        <sz val="11"/>
        <color theme="1"/>
        <rFont val="Calibri"/>
        <family val="2"/>
        <charset val="1"/>
      </rPr>
      <t xml:space="preserve">248.00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）；市值約 </t>
    </r>
    <r>
      <rPr>
        <sz val="11"/>
        <color theme="1"/>
        <rFont val="Calibri"/>
        <family val="2"/>
        <charset val="1"/>
      </rPr>
      <t xml:space="preserve">2.69T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盤中）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</si>
  <si>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</si>
  <si>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封面）</t>
    </r>
  </si>
  <si>
    <t xml:space="preserve">十億股</t>
  </si>
  <si>
    <t xml:space="preserve">S02</t>
  </si>
  <si>
    <r>
      <rPr>
        <sz val="11"/>
        <color theme="1"/>
        <rFont val="Calibri"/>
        <family val="2"/>
        <charset val="1"/>
      </rPr>
      <t xml:space="preserve">10,786,313,572 </t>
    </r>
    <r>
      <rPr>
        <sz val="11"/>
        <color theme="1"/>
        <rFont val="Noto Sans CJK SC"/>
        <family val="2"/>
      </rPr>
      <t xml:space="preserve">股</t>
    </r>
  </si>
  <si>
    <t xml:space="preserve">sh_awd</t>
  </si>
  <si>
    <r>
      <rPr>
        <sz val="11"/>
        <color theme="1"/>
        <rFont val="Noto Sans CJK SC"/>
        <family val="2"/>
      </rPr>
      <t xml:space="preserve">未歸屬股份獎勵（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</si>
  <si>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244 </t>
    </r>
    <r>
      <rPr>
        <sz val="11"/>
        <color theme="1"/>
        <rFont val="Noto Sans CJK SC"/>
        <family val="2"/>
      </rPr>
      <t xml:space="preserve">百萬股</t>
    </r>
  </si>
  <si>
    <t xml:space="preserve">sh_val</t>
  </si>
  <si>
    <r>
      <rPr>
        <sz val="11"/>
        <color theme="1"/>
        <rFont val="Noto Sans CJK SC"/>
        <family val="2"/>
      </rPr>
      <t xml:space="preserve">分部加總用稀釋股數＝流通股數＋未歸屬獎勵（倍數為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加回口徑，故計入稀釋）</t>
    </r>
  </si>
  <si>
    <t xml:space="preserve">Derived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</si>
  <si>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</si>
  <si>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為現金成本，改用流通股數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，不另計稀釋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</si>
  <si>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</si>
  <si>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位平均）</t>
    </r>
  </si>
  <si>
    <t xml:space="preserve">Interested-party</t>
  </si>
  <si>
    <t xml:space="preserve">S15</t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</si>
  <si>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Buy 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Hold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MarketBeat 2026-10-07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322.86</t>
    </r>
    <r>
      <rPr>
        <sz val="11"/>
        <color theme="1"/>
        <rFont val="Noto Sans CJK SC"/>
        <family val="2"/>
      </rPr>
      <t xml:space="preserve">（獨立彙整）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</si>
  <si>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輸入，現價更新）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</si>
  <si>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</si>
  <si>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</si>
  <si>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</si>
  <si>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S28</t>
  </si>
  <si>
    <r>
      <rPr>
        <sz val="11"/>
        <color theme="1"/>
        <rFont val="Noto Sans CJK SC"/>
        <family val="2"/>
      </rPr>
      <t xml:space="preserve">美國財政部每日殖利率曲線：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10-23 5.00%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4.96%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10-07 5.28%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</si>
  <si>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</si>
  <si>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同值，推測同源）</t>
    </r>
  </si>
  <si>
    <t xml:space="preserve">x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</si>
  <si>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</si>
  <si>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</si>
  <si>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</si>
  <si>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</si>
  <si>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 </t>
    </r>
    <r>
      <rPr>
        <sz val="11"/>
        <color theme="1"/>
        <rFont val="Noto Sans CJK SC"/>
        <family val="2"/>
      </rPr>
      <t xml:space="preserve">獨立來源）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</si>
  <si>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</si>
  <si>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，兩個獨立來源的中位數）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</si>
  <si>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</si>
  <si>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為原始平均 </t>
    </r>
    <r>
      <rPr>
        <sz val="11"/>
        <color theme="1"/>
        <rFont val="Calibri"/>
        <family val="2"/>
        <charset val="1"/>
      </rPr>
      <t xml:space="preserve">1.5135</t>
    </r>
  </si>
  <si>
    <t xml:space="preserve">erp</t>
  </si>
  <si>
    <t xml:space="preserve">股權風險溢酬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</si>
  <si>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</si>
  <si>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（對照表預設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</si>
  <si>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t xml:space="preserve">kd_new</t>
  </si>
  <si>
    <r>
      <rPr>
        <sz val="11"/>
        <color theme="1"/>
        <rFont val="Noto Sans CJK SC"/>
        <family val="2"/>
      </rPr>
      <t xml:space="preserve">新增借款利率（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新發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票據有效利率；只用於利息費用）</t>
    </r>
  </si>
  <si>
    <r>
      <rPr>
        <sz val="11"/>
        <color theme="1"/>
        <rFont val="Noto Sans CJK SC"/>
        <family val="2"/>
      </rPr>
      <t xml:space="preserve">期後事項：固定票面 </t>
    </r>
    <r>
      <rPr>
        <sz val="11"/>
        <color theme="1"/>
        <rFont val="Calibri"/>
        <family val="2"/>
        <charset val="1"/>
      </rPr>
      <t xml:space="preserve">4.60%–6.25%</t>
    </r>
    <r>
      <rPr>
        <sz val="11"/>
        <color theme="1"/>
        <rFont val="Noto Sans CJK SC"/>
        <family val="2"/>
      </rPr>
      <t xml:space="preserve">、有效 </t>
    </r>
    <r>
      <rPr>
        <sz val="11"/>
        <color theme="1"/>
        <rFont val="Calibri"/>
        <family val="2"/>
        <charset val="1"/>
      </rPr>
      <t xml:space="preserve">4.67%–6.33%</t>
    </r>
  </si>
  <si>
    <t xml:space="preserve">kd_spr</t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</si>
  <si>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級公司債約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</si>
  <si>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</si>
  <si>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各期票據的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年期殖利率：未找到（本輪網路搜尋額度用盡）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</si>
  <si>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</si>
  <si>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</si>
  <si>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t xml:space="preserve">tax</t>
  </si>
  <si>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有效稅率平均）</t>
    </r>
  </si>
  <si>
    <t xml:space="preserve">S01</t>
  </si>
  <si>
    <r>
      <rPr>
        <sz val="11"/>
        <color theme="1"/>
        <rFont val="Calibri"/>
        <family val="2"/>
        <charset val="1"/>
      </rPr>
      <t xml:space="preserve">18.96%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19.61%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17.36%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上半年不含一次性項目 </t>
    </r>
    <r>
      <rPr>
        <sz val="11"/>
        <color theme="1"/>
        <rFont val="Calibri"/>
        <family val="2"/>
        <charset val="1"/>
      </rPr>
      <t xml:space="preserve">23%</t>
    </r>
  </si>
  <si>
    <t xml:space="preserve">debt_q2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</si>
  <si>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</si>
  <si>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US$bn</t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</si>
  <si>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</si>
  <si>
    <t xml:space="preserve">fl_pv</t>
  </si>
  <si>
    <r>
      <rPr>
        <sz val="11"/>
        <color theme="1"/>
        <rFont val="Noto Sans CJK SC"/>
        <family val="2"/>
      </rPr>
      <t xml:space="preserve">融資租賃負債現值（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</si>
  <si>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</si>
  <si>
    <t xml:space="preserve">fin_obl</t>
  </si>
  <si>
    <r>
      <rPr>
        <sz val="11"/>
        <color theme="1"/>
        <rFont val="Noto Sans CJK SC"/>
        <family val="2"/>
      </rPr>
      <t xml:space="preserve">融資義務（</t>
    </r>
    <r>
      <rPr>
        <sz val="11"/>
        <color theme="1"/>
        <rFont val="Calibri"/>
        <family val="2"/>
        <charset val="1"/>
      </rPr>
      <t xml:space="preserve">financing obligations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</si>
  <si>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fin_debt</t>
  </si>
  <si>
    <r>
      <rPr>
        <sz val="11"/>
        <color theme="1"/>
        <rFont val="Noto Sans CJK SC"/>
        <family val="2"/>
      </rPr>
      <t xml:space="preserve">類債務（融資租賃＋融資義務；淨負債與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皆計入，模型期間持平）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</si>
  <si>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、核對第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點）</t>
    </r>
  </si>
  <si>
    <t xml:space="preserve">ke</t>
  </si>
  <si>
    <r>
      <rPr>
        <sz val="11"/>
        <color theme="1"/>
        <rFont val="Noto Sans CJK SC"/>
        <family val="2"/>
      </rPr>
      <t xml:space="preserve">股權成本＝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</si>
  <si>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CAPM</t>
  </si>
  <si>
    <t xml:space="preserve">wacc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</si>
  <si>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E/(D+E) × ke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D/(D+E)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＝債務面額＋類債務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</si>
  <si>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12.5%</t>
    </r>
  </si>
  <si>
    <t xml:space="preserve">tg</t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</si>
  <si>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</si>
  <si>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</si>
  <si>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</t>
  </si>
  <si>
    <r>
      <rPr>
        <sz val="11"/>
        <color theme="1"/>
        <rFont val="Noto Sans CJK SC"/>
        <family val="2"/>
      </rPr>
      <t xml:space="preserve">永續期新投資報酬率（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；預設＝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：永續成長不創造價值）</t>
    </r>
  </si>
  <si>
    <r>
      <rPr>
        <sz val="11"/>
        <color theme="1"/>
        <rFont val="Noto Sans CJK SC"/>
        <family val="2"/>
      </rPr>
      <t xml:space="preserve">判斷（報告第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</si>
  <si>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高值＝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</si>
  <si>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</si>
  <si>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</si>
  <si>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</si>
  <si>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</si>
  <si>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</si>
  <si>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</si>
  <si>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</si>
  <si>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100%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</si>
  <si>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</si>
  <si>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</si>
  <si>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</si>
  <si>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</si>
  <si>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t xml:space="preserve">tp_yf</t>
  </si>
  <si>
    <r>
      <rPr>
        <sz val="11"/>
        <color theme="1"/>
        <rFont val="Noto Sans CJK SC"/>
        <family val="2"/>
      </rPr>
      <t xml:space="preserve">目標價時點（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）距評價基準日（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）年數</t>
    </r>
  </si>
  <si>
    <t xml:space="preserve">年</t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</si>
  <si>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</si>
  <si>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推到目標價時點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</si>
  <si>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AWS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年收入；沿用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）</t>
    </r>
  </si>
  <si>
    <t xml:space="preserve">mw_ye23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</si>
  <si>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</si>
  <si>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</si>
  <si>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</si>
  <si>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；只用於歷史分拆與折舊年份</t>
    </r>
  </si>
  <si>
    <t xml:space="preserve">mw_ye24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</si>
  <si>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年底）</t>
    </r>
  </si>
  <si>
    <t xml:space="preserve">同上</t>
  </si>
  <si>
    <t xml:space="preserve">mw_ye25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</si>
  <si>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</si>
  <si>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Trainium2 1.4M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× 0.871 kW ≈ 1,220 MW-IT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chip.trn2.mwFromLanded</t>
    </r>
    <r>
      <rPr>
        <sz val="11"/>
        <color theme="1"/>
        <rFont val="Noto Sans CJK SC"/>
        <family val="2"/>
      </rPr>
      <t xml:space="preserve">）</t>
    </r>
  </si>
  <si>
    <t xml:space="preserve">mw_open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</si>
  <si>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）＝在役 </t>
    </r>
    <r>
      <rPr>
        <sz val="11"/>
        <color theme="1"/>
        <rFont val="Calibri"/>
        <family val="2"/>
        <charset val="1"/>
      </rPr>
      <t xml:space="preserve">AI 2,600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</si>
  <si>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S20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</si>
  <si>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推估；第三方估計，區間見事實總帳 </t>
    </r>
    <r>
      <rPr>
        <sz val="11"/>
        <color theme="1"/>
        <rFont val="Calibri"/>
        <family val="2"/>
        <charset val="1"/>
      </rPr>
      <t xml:space="preserve">mw.ai.ext.2026q2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</si>
  <si>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</si>
  <si>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年底容量為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年兩倍」，以 </t>
    </r>
    <r>
      <rPr>
        <sz val="11"/>
        <color theme="1"/>
        <rFont val="Calibri"/>
        <family val="2"/>
        <charset val="1"/>
      </rPr>
      <t xml:space="preserve">MS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</si>
  <si>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</si>
  <si>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scenarios.mwPath.pace.high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S30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</si>
  <si>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+7 GW × AI </t>
    </r>
    <r>
      <rPr>
        <sz val="11"/>
        <color theme="1"/>
        <rFont val="Noto Sans CJK SC"/>
        <family val="2"/>
      </rPr>
      <t xml:space="preserve">占新增 </t>
    </r>
    <r>
      <rPr>
        <sz val="11"/>
        <color theme="1"/>
        <rFont val="Calibri"/>
        <family val="2"/>
        <charset val="1"/>
      </rPr>
      <t xml:space="preserve">80% ÷ PUE 1.2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</si>
  <si>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</si>
  <si>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隱含的建置量，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</si>
  <si>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scripts/calib_pace.js </t>
    </r>
    <r>
      <rPr>
        <sz val="11"/>
        <color theme="1"/>
        <rFont val="Noto Sans CJK SC"/>
        <family val="2"/>
      </rPr>
      <t xml:space="preserve">解出，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</si>
  <si>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t xml:space="preserve">這是把支出換成實體產能（物理換算），不是以營收反推單價</t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</si>
  <si>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</si>
  <si>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相同：資本支出照指引投入，下檔在變現）</t>
    </r>
  </si>
  <si>
    <r>
      <rPr>
        <sz val="11"/>
        <color theme="1"/>
        <rFont val="Noto Sans CJK SC"/>
        <family val="2"/>
      </rPr>
      <t xml:space="preserve">判斷（報告第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</si>
  <si>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的保守情境為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站點速度 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／年；本版改為變現不如預期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</si>
  <si>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</si>
  <si>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中租給客戶的比例）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</si>
  <si>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r1 C23</t>
    </r>
    <r>
      <rPr>
        <sz val="11"/>
        <color theme="1"/>
        <rFont val="Noto Sans CJK SC"/>
        <family val="2"/>
      </rPr>
      <t xml:space="preserve">：公司未揭露、最大不確定）</t>
    </r>
  </si>
  <si>
    <r>
      <rPr>
        <sz val="11"/>
        <color theme="1"/>
        <rFont val="Calibri"/>
        <family val="2"/>
        <charset val="1"/>
      </rPr>
      <t xml:space="preserve">Anthropic Trainium2 </t>
    </r>
    <r>
      <rPr>
        <sz val="11"/>
        <color theme="1"/>
        <rFont val="Noto Sans CJK SC"/>
        <family val="2"/>
      </rPr>
      <t xml:space="preserve">三站全為對外；自用（</t>
    </r>
    <r>
      <rPr>
        <sz val="11"/>
        <color theme="1"/>
        <rFont val="Calibri"/>
        <family val="2"/>
        <charset val="1"/>
      </rPr>
      <t xml:space="preserve">Alexa+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Rufus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Nova</t>
    </r>
    <r>
      <rPr>
        <sz val="11"/>
        <color theme="1"/>
        <rFont val="Noto Sans CJK SC"/>
        <family val="2"/>
      </rPr>
      <t xml:space="preserve">、廣告）未揭露；</t>
    </r>
    <r>
      <rPr>
        <sz val="11"/>
        <color theme="1"/>
        <rFont val="Calibri"/>
        <family val="2"/>
        <charset val="1"/>
      </rPr>
      <t xml:space="preserve">Sens ±20pt</t>
    </r>
  </si>
  <si>
    <t xml:space="preserve">long_sh</t>
  </si>
  <si>
    <t xml:space="preserve">長約占對外容量比例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</si>
  <si>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</si>
  <si>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Trainium2 </t>
    </r>
    <r>
      <rPr>
        <sz val="11"/>
        <color theme="1"/>
        <rFont val="Noto Sans CJK SC"/>
        <family val="2"/>
      </rPr>
      <t xml:space="preserve">三站＋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兩筆占多數</t>
    </r>
  </si>
  <si>
    <t xml:space="preserve">p_spot</t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</si>
  <si>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現貨價（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</si>
  <si>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</si>
  <si>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t xml:space="preserve">S18</t>
  </si>
  <si>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三家共用（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</si>
  <si>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t xml:space="preserve">p_list</t>
  </si>
  <si>
    <r>
      <rPr>
        <sz val="11"/>
        <color theme="1"/>
        <rFont val="Calibri"/>
        <family val="2"/>
        <charset val="1"/>
      </rPr>
      <t xml:space="preserve">AWS p5.48xlarge </t>
    </r>
    <r>
      <rPr>
        <sz val="11"/>
        <color theme="1"/>
        <rFont val="Noto Sans CJK SC"/>
        <family val="2"/>
      </rPr>
      <t xml:space="preserve">隨需（每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</si>
  <si>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Noto Sans CJK SC"/>
        <family val="2"/>
      </rPr>
      <t xml:space="preserve">公開牌價（賣價，非成交價）；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高軸</t>
    </r>
  </si>
  <si>
    <t xml:space="preserve">p_long</t>
  </si>
  <si>
    <r>
      <rPr>
        <sz val="11"/>
        <color theme="1"/>
        <rFont val="Noto Sans CJK SC"/>
        <family val="2"/>
      </rPr>
      <t xml:space="preserve">長約等值價格（判斷倍數 </t>
    </r>
    <r>
      <rPr>
        <sz val="11"/>
        <color theme="1"/>
        <rFont val="Calibri"/>
        <family val="2"/>
        <charset val="1"/>
      </rPr>
      <t xml:space="preserve">0.75 × v5.27 VR200 </t>
    </r>
    <r>
      <rPr>
        <sz val="11"/>
        <color theme="1"/>
        <rFont val="Noto Sans CJK SC"/>
        <family val="2"/>
      </rPr>
      <t xml:space="preserve">成本 </t>
    </r>
    <r>
      <rPr>
        <sz val="11"/>
        <color theme="1"/>
        <rFont val="Calibri"/>
        <family val="2"/>
        <charset val="1"/>
      </rPr>
      <t xml:space="preserve">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</si>
  <si>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</si>
  <si>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long.base</t>
    </r>
    <r>
      <rPr>
        <sz val="11"/>
        <color theme="1"/>
        <rFont val="Noto Sans CJK SC"/>
        <family val="2"/>
      </rPr>
      <t xml:space="preserve">）</t>
    </r>
  </si>
  <si>
    <t xml:space="preserve">判斷值，不是觀察到的市場價格</t>
  </si>
  <si>
    <t xml:space="preserve">p_long_lo</t>
  </si>
  <si>
    <r>
      <rPr>
        <sz val="11"/>
        <color theme="1"/>
        <rFont val="Noto Sans CJK SC"/>
        <family val="2"/>
      </rPr>
      <t xml:space="preserve">長約等值價格下緣（判斷倍數 </t>
    </r>
    <r>
      <rPr>
        <sz val="11"/>
        <color theme="1"/>
        <rFont val="Calibri"/>
        <family val="2"/>
        <charset val="1"/>
      </rPr>
      <t xml:space="preserve">0.55 ×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</si>
  <si>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long.low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</si>
  <si>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下限 </t>
    </r>
    <r>
      <rPr>
        <sz val="11"/>
        <color theme="1"/>
        <rFont val="Calibri"/>
        <family val="2"/>
        <charset val="1"/>
      </rPr>
      <t xml:space="preserve">0.22–0.45 </t>
    </r>
    <r>
      <rPr>
        <sz val="11"/>
        <color theme="1"/>
        <rFont val="Noto Sans CJK SC"/>
        <family val="2"/>
      </rPr>
      <t xml:space="preserve">只作對照</t>
    </r>
  </si>
  <si>
    <t xml:space="preserve">tk_he_h100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</si>
  <si>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</si>
  <si>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S17</t>
  </si>
  <si>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下的打平持有成本（資本回收年金＋營運費用）</t>
    </r>
  </si>
  <si>
    <t xml:space="preserve">tk_he_gb200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</si>
  <si>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</si>
  <si>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tk_he_gb300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</si>
  <si>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</si>
  <si>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tk_he_vr200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</si>
  <si>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年持有成本，經濟口徑、基準）</t>
    </r>
  </si>
  <si>
    <t xml:space="preserve">tk_cx_h100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</si>
  <si>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</si>
  <si>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</si>
  <si>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tk_cx_gb200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</si>
  <si>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</si>
  <si>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tk_cx_gb300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</si>
  <si>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</si>
  <si>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tk_cx_vr200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</si>
  <si>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</si>
  <si>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tk_ox_h100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</si>
  <si>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</si>
  <si>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</si>
  <si>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</si>
  <si>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tk_ox_gb300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</si>
  <si>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</si>
  <si>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tk_ox_vr200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</si>
  <si>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</si>
  <si>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tk_gpuhr</t>
  </si>
  <si>
    <r>
      <rPr>
        <sz val="11"/>
        <color theme="1"/>
        <rFont val="Calibri"/>
        <family val="2"/>
        <charset val="1"/>
      </rPr>
      <t xml:space="preserve">Tokenomics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</si>
  <si>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</si>
  <si>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tk_fac</t>
  </si>
  <si>
    <r>
      <rPr>
        <sz val="11"/>
        <color theme="1"/>
        <rFont val="Calibri"/>
        <family val="2"/>
        <charset val="1"/>
      </rPr>
      <t xml:space="preserve">Tokenomics L1_FacCapexMW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</si>
  <si>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tk_life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</si>
  <si>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設備折舊年限（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</si>
  <si>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管理層口述伺服器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guide.server.life</t>
    </r>
    <r>
      <rPr>
        <sz val="11"/>
        <color theme="1"/>
        <rFont val="Noto Sans CJK SC"/>
        <family val="2"/>
      </rPr>
      <t xml:space="preserve">）</t>
    </r>
  </si>
  <si>
    <t xml:space="preserve">fac_life</t>
  </si>
  <si>
    <t xml:space="preserve">機房折舊年限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</si>
  <si>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</si>
  <si>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管理層：資料中心建築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年以上</t>
    </r>
  </si>
  <si>
    <t xml:space="preserve">tk_pq</t>
  </si>
  <si>
    <r>
      <rPr>
        <sz val="11"/>
        <color theme="1"/>
        <rFont val="Calibri"/>
        <family val="2"/>
        <charset val="1"/>
      </rPr>
      <t xml:space="preserve">Tokenomics L1_RevGW_PQ_VR200</t>
    </r>
    <r>
      <rPr>
        <sz val="11"/>
        <color theme="1"/>
        <rFont val="Noto Sans CJK SC"/>
        <family val="2"/>
      </rPr>
      <t xml:space="preserve">（模型商每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年實收 </t>
    </r>
    <r>
      <rPr>
        <sz val="11"/>
        <color theme="1"/>
        <rFont val="Calibri"/>
        <family val="2"/>
        <charset val="1"/>
      </rPr>
      <t xml:space="preserve">P×Q</t>
    </r>
    <r>
      <rPr>
        <sz val="11"/>
        <color theme="1"/>
        <rFont val="Noto Sans CJK SC"/>
        <family val="2"/>
      </rPr>
      <t xml:space="preserve">；只作上限檢查）</t>
    </r>
  </si>
  <si>
    <t xml:space="preserve">上限，不得作預測</t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</si>
  <si>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</si>
  <si>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長約＝長約等值價格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VR200 IF_HoldEcon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</si>
  <si>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起隨目前快照重算）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</si>
  <si>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0.783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0.574</t>
    </r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</si>
  <si>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</si>
  <si>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現貨＝現貨價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</si>
  <si>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（三家一致，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</si>
  <si>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價格軸高）</t>
    </r>
  </si>
  <si>
    <t xml:space="preserve">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</si>
  <si>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（價格軸高：現貨改用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</si>
  <si>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pricing.kSpot.high</t>
    </r>
    <r>
      <rPr>
        <sz val="11"/>
        <color theme="1"/>
        <rFont val="Noto Sans CJK SC"/>
        <family val="2"/>
      </rPr>
      <t xml:space="preserve">）</t>
    </r>
  </si>
  <si>
    <t xml:space="preserve">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</si>
  <si>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（價格軸基準：長約 </t>
    </r>
    <r>
      <rPr>
        <sz val="11"/>
        <color theme="1"/>
        <rFont val="Calibri"/>
        <family val="2"/>
        <charset val="1"/>
      </rPr>
      <t xml:space="preserve">80% × k_</t>
    </r>
    <r>
      <rPr>
        <sz val="11"/>
        <color theme="1"/>
        <rFont val="Noto Sans CJK SC"/>
        <family val="2"/>
      </rPr>
      <t xml:space="preserve">長約＋現貨 </t>
    </r>
    <r>
      <rPr>
        <sz val="11"/>
        <color theme="1"/>
        <rFont val="Calibri"/>
        <family val="2"/>
        <charset val="1"/>
      </rPr>
      <t xml:space="preserve">20% 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</si>
  <si>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</si>
  <si>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t xml:space="preserve">期初機隊三情境皆用本列</t>
  </si>
  <si>
    <t xml:space="preserve">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</si>
  <si>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（價格軸低：長約下緣）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</si>
  <si>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pricing.kLong.low</t>
    </r>
    <r>
      <rPr>
        <sz val="11"/>
        <color theme="1"/>
        <rFont val="Noto Sans CJK SC"/>
        <family val="2"/>
      </rPr>
      <t xml:space="preserve">）</t>
    </r>
  </si>
  <si>
    <t xml:space="preserve">mo_trn2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</si>
  <si>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計價，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</si>
  <si>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</si>
  <si>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÷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2,600</t>
    </r>
  </si>
  <si>
    <t xml:space="preserve">mo_h100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</si>
  <si>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Hopper</t>
    </r>
  </si>
  <si>
    <t xml:space="preserve">mo_gb200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</si>
  <si>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</si>
  <si>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mo_gb300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</si>
  <si>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</si>
  <si>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he_open</t>
  </si>
  <si>
    <r>
      <rPr>
        <sz val="11"/>
        <color theme="1"/>
        <rFont val="Noto Sans CJK SC"/>
        <family val="2"/>
      </rPr>
      <t xml:space="preserve">期初機隊加權 </t>
    </r>
    <r>
      <rPr>
        <sz val="11"/>
        <color theme="1"/>
        <rFont val="Calibri"/>
        <family val="2"/>
        <charset val="1"/>
      </rPr>
      <t xml:space="preserve">IF_HoldEcon</t>
    </r>
  </si>
  <si>
    <t xml:space="preserve">上列加權</t>
  </si>
  <si>
    <t xml:space="preserve">ox_open</t>
  </si>
  <si>
    <t xml:space="preserve">期初機隊加權營運費用</t>
  </si>
  <si>
    <t xml:space="preserve">rpm_open</t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</si>
  <si>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年收入＝加權 </t>
    </r>
    <r>
      <rPr>
        <sz val="11"/>
        <color theme="1"/>
        <rFont val="Calibri"/>
        <family val="2"/>
        <charset val="1"/>
      </rPr>
      <t xml:space="preserve">IF_HoldEcon × k_B</t>
    </r>
    <r>
      <rPr>
        <sz val="11"/>
        <color theme="1"/>
        <rFont val="Noto Sans CJK SC"/>
        <family val="2"/>
      </rPr>
      <t xml:space="preserve">（收入端不乘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</si>
  <si>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</t>
    </r>
  </si>
  <si>
    <t xml:space="preserve">cust_sh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</si>
  <si>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中自研晶片（</t>
    </r>
    <r>
      <rPr>
        <sz val="11"/>
        <color theme="1"/>
        <rFont val="Calibri"/>
        <family val="2"/>
        <charset val="1"/>
      </rPr>
      <t xml:space="preserve">Trainium3 → GB300 </t>
    </r>
    <r>
      <rPr>
        <sz val="11"/>
        <color theme="1"/>
        <rFont val="Noto Sans CJK SC"/>
        <family val="2"/>
      </rPr>
      <t xml:space="preserve">計價）比例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</si>
  <si>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pricing.chips mixAdds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</si>
  <si>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Trainium3 2026 </t>
    </r>
    <r>
      <rPr>
        <sz val="11"/>
        <color theme="1"/>
        <rFont val="Noto Sans CJK SC"/>
        <family val="2"/>
      </rPr>
      <t xml:space="preserve">年初出貨且「接近全數認購」</t>
    </r>
  </si>
  <si>
    <t xml:space="preserve">na_vr26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</si>
  <si>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</si>
  <si>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</si>
  <si>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na_vr27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</si>
  <si>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</si>
  <si>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na_vr28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</si>
  <si>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</si>
  <si>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cf_chip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</si>
  <si>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收入係數（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</si>
  <si>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C2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</si>
  <si>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IF_NonNV_Hold_Trn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）</t>
    </r>
  </si>
  <si>
    <t xml:space="preserve">cf_cx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</si>
  <si>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</si>
  <si>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customCapexFactor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</si>
  <si>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雙邊敏感度時與收入係數同乘 </t>
    </r>
    <r>
      <rPr>
        <sz val="11"/>
        <color theme="1"/>
        <rFont val="Calibri"/>
        <family val="2"/>
        <charset val="1"/>
      </rPr>
      <t xml:space="preserve">0.7</t>
    </r>
  </si>
  <si>
    <t xml:space="preserve">colo_sh</t>
  </si>
  <si>
    <t xml:space="preserve">機房租用比例（第三方託管）</t>
  </si>
  <si>
    <t xml:space="preserve">S29</t>
  </si>
  <si>
    <r>
      <rPr>
        <sz val="11"/>
        <color theme="1"/>
        <rFont val="Noto Sans CJK SC"/>
        <family val="2"/>
      </rPr>
      <t xml:space="preserve">自建比例＝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本列；租用部分不計機房資本支出</t>
    </r>
  </si>
  <si>
    <t xml:space="preserve">rent_rec</t>
  </si>
  <si>
    <r>
      <rPr>
        <sz val="11"/>
        <color theme="1"/>
        <rFont val="Noto Sans CJK SC"/>
        <family val="2"/>
      </rPr>
      <t xml:space="preserve">租用機房年租金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機房資本支出（資本回收係數，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</si>
  <si>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C22</t>
    </r>
  </si>
  <si>
    <t xml:space="preserve">rent_mw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</si>
  <si>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年機房租金（攤到全部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）＝租用比例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回收係數</t>
    </r>
  </si>
  <si>
    <t xml:space="preserve">上列</t>
  </si>
  <si>
    <t xml:space="preserve">capex_g26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</si>
  <si>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現金資本支出指引（下限）</t>
    </r>
  </si>
  <si>
    <t xml:space="preserve">S11</t>
  </si>
  <si>
    <r>
      <rPr>
        <sz val="11"/>
        <color theme="1"/>
        <rFont val="Noto Sans CJK SC"/>
        <family val="2"/>
      </rPr>
      <t xml:space="preserve">上調自約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；首期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MAX(MW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 − 上半年實際 − 非 </t>
    </r>
    <r>
      <rPr>
        <sz val="11"/>
        <color theme="1"/>
        <rFont val="Calibri"/>
        <family val="2"/>
        <charset val="1"/>
      </rPr>
      <t xml:space="preserve">AI)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</si>
  <si>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</si>
  <si>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主值：自用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計影子效益、價值中性；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：只計成本）</t>
    </r>
  </si>
  <si>
    <t xml:space="preserve">1/2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</si>
  <si>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</si>
  <si>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</si>
  <si>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cip_lag</t>
  </si>
  <si>
    <r>
      <rPr>
        <sz val="11"/>
        <color theme="1"/>
        <rFont val="Noto Sans CJK SC"/>
        <family val="2"/>
      </rPr>
      <t xml:space="preserve">實績期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在建（</t>
    </r>
    <r>
      <rPr>
        <sz val="11"/>
        <color theme="1"/>
        <rFont val="Calibri"/>
        <family val="2"/>
        <charset val="1"/>
      </rPr>
      <t xml:space="preserve">CIP</t>
    </r>
    <r>
      <rPr>
        <sz val="11"/>
        <color theme="1"/>
        <rFont val="Noto Sans CJK SC"/>
        <family val="2"/>
      </rPr>
      <t xml:space="preserve">）轉入在役的延後年數</t>
    </r>
  </si>
  <si>
    <r>
      <rPr>
        <sz val="11"/>
        <color theme="1"/>
        <rFont val="Noto Sans CJK SC"/>
        <family val="2"/>
      </rPr>
      <t xml:space="preserve">修正三（獨立核對：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2024→2025→1H26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13.3→21.5→30.7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</si>
  <si>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</si>
  <si>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ai_rr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</si>
  <si>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營收年化（</t>
    </r>
    <r>
      <rPr>
        <sz val="11"/>
        <color theme="1"/>
        <rFont val="Calibri"/>
        <family val="2"/>
        <charset val="1"/>
      </rPr>
      <t xml:space="preserve">AWS AI run-rate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）</t>
    </r>
  </si>
  <si>
    <t xml:space="preserve">S04</t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</si>
  <si>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驗證列（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）；不用於校準</t>
    </r>
  </si>
  <si>
    <r>
      <rPr>
        <b val="true"/>
        <sz val="11"/>
        <rFont val="Cambria"/>
        <family val="0"/>
        <charset val="1"/>
      </rPr>
      <t xml:space="preserve">D. AWS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</si>
  <si>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t xml:space="preserve">g_awso_lt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</si>
  <si>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</si>
  <si>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</si>
  <si>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由近期年增（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）線性收斂</t>
    </r>
  </si>
  <si>
    <t xml:space="preserve">cx_awso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</si>
  <si>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其他資本支出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</si>
  <si>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</si>
  <si>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上緣＝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27.4%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</si>
  <si>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營收類別；北美＋國際）</t>
    </r>
  </si>
  <si>
    <t xml:space="preserve">g_os</t>
  </si>
  <si>
    <r>
      <rPr>
        <sz val="11"/>
        <color theme="1"/>
        <rFont val="Calibri"/>
        <family val="2"/>
        <charset val="1"/>
      </rPr>
      <t xml:space="preserve">Online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</si>
  <si>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年增）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校準係數（隱含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＝指引中點）；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年增線性收斂到本列</t>
    </r>
  </si>
  <si>
    <t xml:space="preserve">g_ps</t>
  </si>
  <si>
    <r>
      <rPr>
        <sz val="11"/>
        <color theme="1"/>
        <rFont val="Calibri"/>
        <family val="2"/>
        <charset val="1"/>
      </rPr>
      <t xml:space="preserve">Physical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</si>
  <si>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g_sp</t>
  </si>
  <si>
    <r>
      <rPr>
        <sz val="11"/>
        <color theme="1"/>
        <rFont val="Calibri"/>
        <family val="2"/>
        <charset val="1"/>
      </rPr>
      <t xml:space="preserve">Third-party seller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</si>
  <si>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g_ad</t>
  </si>
  <si>
    <r>
      <rPr>
        <sz val="11"/>
        <color theme="1"/>
        <rFont val="Calibri"/>
        <family val="2"/>
        <charset val="1"/>
      </rPr>
      <t xml:space="preserve">Advertising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</si>
  <si>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g_sub</t>
  </si>
  <si>
    <r>
      <rPr>
        <sz val="11"/>
        <color theme="1"/>
        <rFont val="Calibri"/>
        <family val="2"/>
        <charset val="1"/>
      </rPr>
      <t xml:space="preserve">Subscription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</si>
  <si>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g_ot</t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</si>
  <si>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</si>
  <si>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m_ad</t>
  </si>
  <si>
    <r>
      <rPr>
        <sz val="11"/>
        <color theme="1"/>
        <rFont val="Noto Sans CJK SC"/>
        <family val="2"/>
      </rPr>
      <t xml:space="preserve">廣告營業利益率（分攤到北美／國際的方法：見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</si>
  <si>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（廣告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，分部未揭露）</t>
    </r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</si>
  <si>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 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50%–60%</t>
    </r>
    <r>
      <rPr>
        <sz val="11"/>
        <color theme="1"/>
        <rFont val="Noto Sans CJK SC"/>
        <family val="2"/>
      </rPr>
      <t xml:space="preserve">；零售本業利益率＝分部利益扣廣告利潤後的殘差</t>
    </r>
  </si>
  <si>
    <t xml:space="preserve">step_na</t>
  </si>
  <si>
    <r>
      <rPr>
        <sz val="11"/>
        <color theme="1"/>
        <rFont val="Noto Sans CJK SC"/>
        <family val="2"/>
      </rPr>
      <t xml:space="preserve">北美零售本業利益率每年改善（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</si>
  <si>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</si>
  <si>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改善約 </t>
    </r>
    <r>
      <rPr>
        <sz val="11"/>
        <color theme="1"/>
        <rFont val="Calibri"/>
        <family val="2"/>
        <charset val="1"/>
      </rPr>
      <t xml:space="preserve">0.5pt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</si>
  <si>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step_in</t>
  </si>
  <si>
    <r>
      <rPr>
        <sz val="11"/>
        <color theme="1"/>
        <rFont val="Noto Sans CJK SC"/>
        <family val="2"/>
      </rPr>
      <t xml:space="preserve">國際零售本業利益率每年改善（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</si>
  <si>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0.3pt</t>
    </r>
  </si>
  <si>
    <t xml:space="preserve">cx_rt</t>
  </si>
  <si>
    <r>
      <rPr>
        <sz val="11"/>
        <color theme="1"/>
        <rFont val="Noto Sans CJK SC"/>
        <family val="2"/>
      </rPr>
      <t xml:space="preserve">零售資本支出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零售營收（北美＋國際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淨增加，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</si>
  <si>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4.48%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5.84%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7.40%</t>
    </r>
    <r>
      <rPr>
        <sz val="11"/>
        <color theme="1"/>
        <rFont val="Noto Sans CJK SC"/>
        <family val="2"/>
      </rPr>
      <t xml:space="preserve">；含分攤的技術基礎設施，可能偏高（沿用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</si>
  <si>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公司層與現金</t>
    </r>
  </si>
  <si>
    <t xml:space="preserve">sbc_r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</si>
  <si>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營收（近四季）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</si>
  <si>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計入費用；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不加回（視同現金成本）</t>
    </r>
  </si>
  <si>
    <t xml:space="preserve">oth_r</t>
  </si>
  <si>
    <r>
      <rPr>
        <sz val="11"/>
        <color theme="1"/>
        <rFont val="Noto Sans CJK SC"/>
        <family val="2"/>
      </rPr>
      <t xml:space="preserve">營運現金其他項目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營收（營運現金流 −（淨利 − 業外淨額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稅率））− 分部 </t>
    </r>
    <r>
      <rPr>
        <sz val="11"/>
        <color theme="1"/>
        <rFont val="Calibri"/>
        <family val="2"/>
        <charset val="1"/>
      </rPr>
      <t xml:space="preserve">D&amp;A − 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</si>
  <si>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2.3%</t>
    </r>
    <r>
      <rPr>
        <sz val="11"/>
        <color theme="1"/>
        <rFont val="Noto Sans CJK SC"/>
        <family val="2"/>
      </rPr>
      <t xml:space="preserve">；扣除業外（持股評價利益為非現金）；影音內容與營業租賃資產攤銷與其現金支出相抵，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只加回分部 </t>
    </r>
    <r>
      <rPr>
        <sz val="11"/>
        <color theme="1"/>
        <rFont val="Calibri"/>
        <family val="2"/>
        <charset val="1"/>
      </rPr>
      <t xml:space="preserve">D&amp;A</t>
    </r>
  </si>
  <si>
    <t xml:space="preserve">lease_pr</t>
  </si>
  <si>
    <t xml:space="preserve">融資租賃本金償還（每年）</t>
  </si>
  <si>
    <r>
      <rPr>
        <sz val="11"/>
        <color theme="1"/>
        <rFont val="Calibri"/>
        <family val="2"/>
        <charset val="1"/>
      </rPr>
      <t xml:space="preserve">2023 4.384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2024 2.043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2025 1.557</t>
    </r>
  </si>
  <si>
    <t xml:space="preserve">sh_g</t>
  </si>
  <si>
    <r>
      <rPr>
        <sz val="11"/>
        <color theme="1"/>
        <rFont val="Noto Sans CJK SC"/>
        <family val="2"/>
      </rPr>
      <t xml:space="preserve">稀釋股數年增（無回購，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稀釋）</t>
    </r>
  </si>
  <si>
    <t xml:space="preserve">S10</t>
  </si>
  <si>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2024→2025 +1.0%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2025→1H26 +0.6%</t>
    </r>
    <r>
      <rPr>
        <sz val="11"/>
        <color theme="1"/>
        <rFont val="Noto Sans CJK SC"/>
        <family val="2"/>
      </rPr>
      <t xml:space="preserve">（半年）</t>
    </r>
  </si>
  <si>
    <t xml:space="preserve">kd_book</t>
  </si>
  <si>
    <r>
      <rPr>
        <sz val="11"/>
        <color theme="1"/>
        <rFont val="Noto Sans CJK SC"/>
        <family val="2"/>
      </rPr>
      <t xml:space="preserve">既有債務平均利率（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× 2 ÷ </t>
    </r>
    <r>
      <rPr>
        <sz val="11"/>
        <color theme="1"/>
        <rFont val="Noto Sans CJK SC"/>
        <family val="2"/>
      </rPr>
      <t xml:space="preserve">平均債務面額）</t>
    </r>
  </si>
  <si>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133.0 </t>
    </r>
    <r>
      <rPr>
        <sz val="11"/>
        <color theme="1"/>
        <rFont val="Noto Sans CJK SC"/>
        <family val="2"/>
      </rPr>
      <t xml:space="preserve">以本列計息；新增借款以 </t>
    </r>
    <r>
      <rPr>
        <sz val="11"/>
        <color theme="1"/>
        <rFont val="Calibri"/>
        <family val="2"/>
        <charset val="1"/>
      </rPr>
      <t xml:space="preserve">kd_new</t>
    </r>
  </si>
  <si>
    <t xml:space="preserve">y_cash</t>
  </si>
  <si>
    <r>
      <rPr>
        <sz val="11"/>
        <color theme="1"/>
        <rFont val="Noto Sans CJK SC"/>
        <family val="2"/>
      </rPr>
      <t xml:space="preserve">現金與有價證券收益率（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期末現金）</t>
    </r>
  </si>
  <si>
    <t xml:space="preserve">cash_q2</t>
  </si>
  <si>
    <r>
      <rPr>
        <sz val="11"/>
        <color theme="1"/>
        <rFont val="Noto Sans CJK SC"/>
        <family val="2"/>
      </rPr>
      <t xml:space="preserve">現金、約當現金與有價證券（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</si>
  <si>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</si>
  <si>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最低現金（低於即舉債）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</si>
  <si>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minCash 50</t>
    </r>
    <r>
      <rPr>
        <sz val="11"/>
        <color theme="1"/>
        <rFont val="Noto Sans CJK SC"/>
        <family val="2"/>
      </rPr>
      <t xml:space="preserve">）</t>
    </r>
  </si>
  <si>
    <t xml:space="preserve">iss_usd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</si>
  <si>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美元票據</t>
    </r>
  </si>
  <si>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（期後事項）</t>
    </r>
  </si>
  <si>
    <t xml:space="preserve">iss_gbp</t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</si>
  <si>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英鎊票據（</t>
    </r>
    <r>
      <rPr>
        <sz val="11"/>
        <color theme="1"/>
        <rFont val="Calibri"/>
        <family val="2"/>
        <charset val="1"/>
      </rPr>
      <t xml:space="preserve">£bn</t>
    </r>
    <r>
      <rPr>
        <sz val="11"/>
        <color theme="1"/>
        <rFont val="Noto Sans CJK SC"/>
        <family val="2"/>
      </rPr>
      <t xml:space="preserve">）</t>
    </r>
  </si>
  <si>
    <t xml:space="preserve">£bn</t>
  </si>
  <si>
    <t xml:space="preserve">S12</t>
  </si>
  <si>
    <r>
      <rPr>
        <sz val="11"/>
        <color theme="1"/>
        <rFont val="Calibri"/>
        <family val="2"/>
        <charset val="1"/>
      </rPr>
      <t xml:space="preserve">5.200% 2029 £1.25B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5.550% 2032 £1.0B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6.250% 2038 £1.0B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6.650% 2045 £1.0B</t>
    </r>
  </si>
  <si>
    <t xml:space="preserve">fx_gbp</t>
  </si>
  <si>
    <r>
      <rPr>
        <sz val="11"/>
        <color theme="1"/>
        <rFont val="Noto Sans CJK SC"/>
        <family val="2"/>
      </rPr>
      <t xml:space="preserve">英鎊匯率（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£</t>
    </r>
    <r>
      <rPr>
        <sz val="11"/>
        <color theme="1"/>
        <rFont val="Noto Sans CJK SC"/>
        <family val="2"/>
      </rPr>
      <t xml:space="preserve">；事實總帳換算值 </t>
    </r>
    <r>
      <rPr>
        <sz val="11"/>
        <color theme="1"/>
        <rFont val="Calibri"/>
        <family val="2"/>
        <charset val="1"/>
      </rPr>
      <t xml:space="preserve">4.25 ÷ 3.25</t>
    </r>
    <r>
      <rPr>
        <sz val="11"/>
        <color theme="1"/>
        <rFont val="Noto Sans CJK SC"/>
        <family val="2"/>
      </rPr>
      <t xml:space="preserve">）</t>
    </r>
  </si>
  <si>
    <t xml:space="preserve">US$/£</t>
  </si>
  <si>
    <t xml:space="preserve">iss_2h26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</si>
  <si>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下半年已發行債券＝美元＋英鎊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</si>
  <si>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iss_t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</si>
  <si>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新發債券的平均流通期間（年；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月與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月發行）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</si>
  <si>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：公式內寫死改為鍵）</t>
    </r>
  </si>
  <si>
    <t xml:space="preserve">inv_2h26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</si>
  <si>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下半年策略投資（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35.0 </t>
    </r>
    <r>
      <rPr>
        <sz val="11"/>
        <color theme="1"/>
        <rFont val="Noto Sans CJK SC"/>
        <family val="2"/>
      </rPr>
      <t xml:space="preserve">的期後補足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</si>
  <si>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尚可動用的 </t>
    </r>
    <r>
      <rPr>
        <sz val="11"/>
        <color theme="1"/>
        <rFont val="Calibri"/>
        <family val="2"/>
        <charset val="1"/>
      </rPr>
      <t xml:space="preserve">15.0 </t>
    </r>
    <r>
      <rPr>
        <sz val="11"/>
        <color theme="1"/>
        <rFont val="Noto Sans CJK SC"/>
        <family val="2"/>
      </rPr>
      <t xml:space="preserve">融資額度依里程碑，不列</t>
    </r>
  </si>
  <si>
    <t xml:space="preserve">dps</t>
  </si>
  <si>
    <t xml:space="preserve">每股股利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</si>
  <si>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未發放現金股利；</t>
    </r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無回購（授權剩 </t>
    </r>
    <r>
      <rPr>
        <sz val="11"/>
        <color theme="1"/>
        <rFont val="Calibri"/>
        <family val="2"/>
        <charset val="1"/>
      </rPr>
      <t xml:space="preserve">6.1B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</si>
  <si>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都加；預測期業外評價損益設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</si>
  <si>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</si>
  <si>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</si>
  <si>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t xml:space="preserve">S25</t>
  </si>
  <si>
    <t xml:space="preserve">新創自報估值</t>
  </si>
  <si>
    <t xml:space="preserve">ant_sh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</si>
  <si>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</si>
  <si>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S26</t>
    </r>
  </si>
  <si>
    <r>
      <rPr>
        <sz val="11"/>
        <color theme="1"/>
        <rFont val="Calibri"/>
        <family val="2"/>
        <charset val="1"/>
      </rPr>
      <t xml:space="preserve">Fortune 15%–19%</t>
    </r>
    <r>
      <rPr>
        <sz val="11"/>
        <color theme="1"/>
        <rFont val="Noto Sans CJK SC"/>
        <family val="2"/>
      </rPr>
      <t xml:space="preserve">、帳列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Crypto Briefing 21%</t>
    </r>
    <r>
      <rPr>
        <sz val="11"/>
        <color theme="1"/>
        <rFont val="Noto Sans CJK SC"/>
        <family val="2"/>
      </rPr>
      <t xml:space="preserve">（無法查證）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</si>
  <si>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</si>
  <si>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投後估值（投前 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＋該輪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</si>
  <si>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S27</t>
  </si>
  <si>
    <t xml:space="preserve">oai_sh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</si>
  <si>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比例（投入 </t>
    </r>
    <r>
      <rPr>
        <sz val="11"/>
        <color theme="1"/>
        <rFont val="Calibri"/>
        <family val="2"/>
        <charset val="1"/>
      </rPr>
      <t xml:space="preserve">50 ÷ 840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</si>
  <si>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資本結構（</t>
    </r>
    <r>
      <rPr>
        <sz val="11"/>
        <color theme="1"/>
        <rFont val="Calibri"/>
        <family val="2"/>
        <charset val="1"/>
      </rPr>
      <t xml:space="preserve">PBC</t>
    </r>
    <r>
      <rPr>
        <sz val="11"/>
        <color theme="1"/>
        <rFont val="Noto Sans CJK SC"/>
        <family val="2"/>
      </rPr>
      <t xml:space="preserve">＋基金會）可能使比例不同</t>
    </r>
  </si>
  <si>
    <t xml:space="preserve">liq_disc</t>
  </si>
  <si>
    <t xml:space="preserve">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</si>
  <si>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</si>
  <si>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</si>
  <si>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</si>
  <si>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：跨 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可比）</t>
    </r>
  </si>
  <si>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16.5×</t>
    </r>
    <r>
      <rPr>
        <sz val="11"/>
        <color theme="1"/>
        <rFont val="Noto Sans CJK SC"/>
        <family val="2"/>
      </rPr>
      <t xml:space="preserve">（只作對照）；已知可能偏低，</t>
    </r>
    <r>
      <rPr>
        <sz val="11"/>
        <color theme="1"/>
        <rFont val="Calibri"/>
        <family val="2"/>
        <charset val="1"/>
      </rPr>
      <t xml:space="preserve">Sens 10×</t>
    </r>
  </si>
  <si>
    <t xml:space="preserve">sbc_ab</t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</si>
  <si>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是否加回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＝加回，與同業倍數同口徑；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＝視同成本，等同計入未來授予的稀釋）</t>
    </r>
  </si>
  <si>
    <t xml:space="preserve">0/1</t>
  </si>
  <si>
    <r>
      <rPr>
        <sz val="11"/>
        <color theme="1"/>
        <rFont val="Noto Sans CJK SC"/>
        <family val="2"/>
      </rPr>
      <t xml:space="preserve">修正二（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敏感度）</t>
    </r>
  </si>
  <si>
    <t xml:space="preserve">ai_leg</t>
  </si>
  <si>
    <r>
      <rPr>
        <sz val="11"/>
        <color theme="1"/>
        <rFont val="Noto Sans CJK SC"/>
        <family val="2"/>
      </rPr>
      <t xml:space="preserve">分部加總中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的評價法（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倍數，對照）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</si>
  <si>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</si>
  <si>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是資本密集業務，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倍數忽略汰換與成長資本支出</t>
    </r>
  </si>
  <si>
    <t xml:space="preserve">m_x</t>
  </si>
  <si>
    <r>
      <rPr>
        <sz val="11"/>
        <color theme="1"/>
        <rFont val="Noto Sans CJK SC"/>
        <family val="2"/>
      </rPr>
      <t xml:space="preserve">分部倍數乘數（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</si>
  <si>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Sens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</si>
  <si>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對照，不校準）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</si>
  <si>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</si>
  <si>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</si>
  <si>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S16</t>
  </si>
  <si>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口徑由供應商定義</t>
    </r>
  </si>
  <si>
    <t xml:space="preserve">c_ebitda26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</si>
  <si>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</si>
  <si>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</si>
  <si>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</si>
  <si>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</si>
  <si>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</si>
  <si>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</si>
  <si>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</si>
  <si>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</si>
  <si>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</si>
  <si>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</si>
  <si>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</si>
  <si>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</si>
  <si>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</si>
  <si>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c_ebitda27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</si>
  <si>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</si>
  <si>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</si>
  <si>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</si>
  <si>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</si>
  <si>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</si>
  <si>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</si>
  <si>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</si>
  <si>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</si>
  <si>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</si>
  <si>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</si>
  <si>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</si>
  <si>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</si>
  <si>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</si>
  <si>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c_ebitda28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</si>
  <si>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</si>
  <si>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c_ebit28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</si>
  <si>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</si>
  <si>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</si>
  <si>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</si>
  <si>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</si>
  <si>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</si>
  <si>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c_capex28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</si>
  <si>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</si>
  <si>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c_fcf28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</si>
  <si>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</si>
  <si>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c_sprev26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</si>
  <si>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</si>
  <si>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位</t>
    </r>
  </si>
  <si>
    <t xml:space="preserve">c_sprev27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</si>
  <si>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</si>
  <si>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c_speps26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</si>
  <si>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</si>
  <si>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評價利益）</t>
    </r>
  </si>
  <si>
    <t xml:space="preserve">c_speps27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</si>
  <si>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</si>
  <si>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g26q3_lo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</si>
  <si>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營收下緣</t>
    </r>
  </si>
  <si>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9%–12%</t>
    </r>
  </si>
  <si>
    <t xml:space="preserve">g26q3_hi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</si>
  <si>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營收上緣</t>
    </r>
  </si>
  <si>
    <t xml:space="preserve">g26q3_oilo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</si>
  <si>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營業利益下緣</t>
    </r>
  </si>
  <si>
    <t xml:space="preserve">g26q3_oihi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</si>
  <si>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營業利益上緣</t>
    </r>
  </si>
  <si>
    <t xml:space="preserve">g26q3_mid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</si>
  <si>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營收中點（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零售營收校準目標）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</si>
  <si>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的時點影響約 −</t>
    </r>
    <r>
      <rPr>
        <sz val="11"/>
        <color theme="1"/>
        <rFont val="Calibri"/>
        <family val="2"/>
        <charset val="1"/>
      </rPr>
      <t xml:space="preserve">400bp</t>
    </r>
    <r>
      <rPr>
        <sz val="11"/>
        <color theme="1"/>
        <rFont val="Noto Sans CJK SC"/>
        <family val="2"/>
      </rPr>
      <t xml:space="preserve">、匯率 −</t>
    </r>
    <r>
      <rPr>
        <sz val="11"/>
        <color theme="1"/>
        <rFont val="Calibri"/>
        <family val="2"/>
        <charset val="1"/>
      </rPr>
      <t xml:space="preserve">80bp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</si>
  <si>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差異拆解用）</t>
    </r>
  </si>
  <si>
    <t xml:space="preserve">v022_tp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</si>
  <si>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</si>
  <si>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docs/handoff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交接檔）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</si>
  <si>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220.09</t>
    </r>
    <r>
      <rPr>
        <sz val="11"/>
        <color theme="1"/>
        <rFont val="Noto Sans CJK SC"/>
        <family val="2"/>
      </rPr>
      <t xml:space="preserve">；三情境 </t>
    </r>
    <r>
      <rPr>
        <sz val="11"/>
        <color theme="1"/>
        <rFont val="Calibri"/>
        <family val="2"/>
        <charset val="1"/>
      </rPr>
      <t xml:space="preserve">212.33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201.71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201.14 </t>
    </r>
    <r>
      <rPr>
        <sz val="11"/>
        <color theme="1"/>
        <rFont val="Noto Sans CJK SC"/>
        <family val="2"/>
      </rPr>
      <t xml:space="preserve">皆賣出</t>
    </r>
  </si>
  <si>
    <t xml:space="preserve">v022_tp2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</si>
  <si>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</si>
  <si>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計影子收入</t>
    </r>
  </si>
  <si>
    <t xml:space="preserve">v022_px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</si>
  <si>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</si>
  <si>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legacy_v0.2</t>
  </si>
  <si>
    <t xml:space="preserve">v022_wdcf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</si>
  <si>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評價權重：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</si>
  <si>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EV/EBITDA 55%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</si>
  <si>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；股數十億股）：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、最近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季（</t>
    </r>
    <r>
      <rPr>
        <sz val="11"/>
        <color theme="1"/>
        <rFont val="Calibri"/>
        <family val="2"/>
        <charset val="1"/>
      </rPr>
      <t xml:space="preserve">2024Q3–2026Q2</t>
    </r>
    <r>
      <rPr>
        <sz val="11"/>
        <color theme="1"/>
        <rFont val="Noto Sans CJK SC"/>
        <family val="2"/>
      </rPr>
      <t xml:space="preserve">）與半年合計。資料取自 </t>
    </r>
    <r>
      <rPr>
        <sz val="11"/>
        <color theme="1"/>
        <rFont val="Calibri"/>
        <family val="2"/>
        <charset val="1"/>
      </rPr>
      <t xml:space="preserve">data/amazon_facts_20261008.json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、財報新聞稿逐季補充表），藍字＝事實值、黑字＝加總或換算。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（美國時間）公布，本版未納入</t>
    </r>
  </si>
  <si>
    <r>
      <rPr>
        <sz val="11"/>
        <color theme="1"/>
        <rFont val="Noto Sans CJK SC"/>
        <family val="2"/>
      </rPr>
      <t xml:space="preserve">核對列（綠底）：零售營收線合計＝北美＋國際、營收線合計＝合併營收、分部合計＝合併營收、分部營業利益合計＋未分攤＝合併營業利益；實績皆須為 </t>
    </r>
    <r>
      <rPr>
        <sz val="11"/>
        <color theme="1"/>
        <rFont val="Calibri"/>
        <family val="2"/>
        <charset val="1"/>
      </rPr>
      <t xml:space="preserve">0</t>
    </r>
  </si>
  <si>
    <t xml:space="preserve">FY2023A</t>
  </si>
  <si>
    <t xml:space="preserve">FY2024A</t>
  </si>
  <si>
    <t xml:space="preserve">FY2025A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</si>
  <si>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</si>
  <si>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</si>
  <si>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</si>
  <si>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</si>
  <si>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</si>
  <si>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</si>
  <si>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</si>
  <si>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</si>
  <si>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1H25</t>
  </si>
  <si>
    <t xml:space="preserve">2H25</t>
  </si>
  <si>
    <t xml:space="preserve">1H26</t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</si>
  <si>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2025Q3–2026Q2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</si>
  <si>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官方報告分部營收（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附註：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）</t>
    </r>
  </si>
  <si>
    <t xml:space="preserve">North America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</si>
  <si>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</si>
  <si>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S08</t>
    </r>
    <r>
      <rPr>
        <sz val="11"/>
        <color theme="1"/>
        <rFont val="Noto Sans CJK SC"/>
        <family val="2"/>
      </rPr>
      <t xml:space="preserve">（逐季補充表）</t>
    </r>
  </si>
  <si>
    <t xml:space="preserve">International</t>
  </si>
  <si>
    <t xml:space="preserve">AWS</t>
  </si>
  <si>
    <t xml:space="preserve">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</si>
  <si>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營收類別；零售各線＝北美＋國際，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線＝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分部）</t>
    </r>
  </si>
  <si>
    <t xml:space="preserve">Online stores</t>
  </si>
  <si>
    <t xml:space="preserve">Physical stores</t>
  </si>
  <si>
    <t xml:space="preserve">Third-party seller services</t>
  </si>
  <si>
    <t xml:space="preserve">Advertising services</t>
  </si>
  <si>
    <t xml:space="preserve">Subscription services</t>
  </si>
  <si>
    <t xml:space="preserve">Other</t>
  </si>
  <si>
    <r>
      <rPr>
        <sz val="11"/>
        <color theme="1"/>
        <rFont val="Noto Sans CJK SC"/>
        <family val="2"/>
      </rPr>
      <t xml:space="preserve">零售營收線合計（不含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</si>
  <si>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（營收線）</t>
    </r>
  </si>
  <si>
    <r>
      <rPr>
        <sz val="11"/>
        <color theme="1"/>
        <rFont val="Noto Sans CJK SC"/>
        <family val="2"/>
      </rPr>
      <t xml:space="preserve">檢查：零售營收線合計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</si>
  <si>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</si>
  <si>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</si>
  <si>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</si>
  <si>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</si>
  <si>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</si>
  <si>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</t>
    </r>
  </si>
  <si>
    <t xml:space="preserve">合併營業利益</t>
  </si>
  <si>
    <r>
      <rPr>
        <sz val="11"/>
        <color theme="1"/>
        <rFont val="Noto Sans CJK SC"/>
        <family val="2"/>
      </rPr>
      <t xml:space="preserve">未分攤（合併 − 分部合計；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分部已含全部費用）</t>
    </r>
  </si>
  <si>
    <t xml:space="preserve">檢查：分部營業利益合計＋未分攤 − 合併營業利益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</si>
  <si>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分部折舊攤銷（不含影音內容與營業租賃資產攤銷；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季度 </t>
    </r>
    <r>
      <rPr>
        <b val="true"/>
        <sz val="11"/>
        <rFont val="Cambria"/>
        <family val="0"/>
        <charset val="1"/>
      </rPr>
      <t xml:space="preserve">facts </t>
    </r>
    <r>
      <rPr>
        <b val="true"/>
        <sz val="11"/>
        <rFont val="Noto Sans CJK SC"/>
        <family val="2"/>
      </rPr>
      <t xml:space="preserve">未收；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＝全年 − 前三季）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</si>
  <si>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</si>
  <si>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S03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</si>
  <si>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</si>
  <si>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</t>
    </r>
  </si>
  <si>
    <t xml:space="preserve">分部折舊攤銷合計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</si>
  <si>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損益（業外、稅、淨利）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</si>
  <si>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</si>
  <si>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S04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</si>
  <si>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</si>
  <si>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稅前淨利</t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</si>
  <si>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</si>
  <si>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</si>
  <si>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業外淨額（稅前 − 營業利益＋利息費用；含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等持股評價利益）</t>
    </r>
  </si>
  <si>
    <t xml:space="preserve">有效稅率</t>
  </si>
  <si>
    <t xml:space="preserve">稀釋加權股數</t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</si>
  <si>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稀釋加權股數）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</si>
  <si>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現金流量、資本支出與股東回饋</t>
    </r>
  </si>
  <si>
    <t xml:space="preserve">營運現金流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</si>
  <si>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S09</t>
    </r>
  </si>
  <si>
    <r>
      <rPr>
        <sz val="11"/>
        <color theme="1"/>
        <rFont val="Noto Sans CJK SC"/>
        <family val="2"/>
      </rPr>
      <t xml:space="preserve">資本支出（購置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，總額）</t>
    </r>
  </si>
  <si>
    <t xml:space="preserve">資本支出（現金，淨額＝購置 − 出售及獎勵）</t>
  </si>
  <si>
    <t xml:space="preserve">由同季新聞稿現金流量表換算</t>
  </si>
  <si>
    <t xml:space="preserve">折舊攤銷（現金流量表；含影音內容與營業租賃資產）</t>
  </si>
  <si>
    <t xml:space="preserve">股份基礎給付</t>
  </si>
  <si>
    <t xml:space="preserve">自由現金流（公司口徑＝營運現金流 − 資本支出淨額）</t>
  </si>
  <si>
    <t xml:space="preserve">融資租賃本金償還</t>
  </si>
  <si>
    <t xml:space="preserve">買回庫藏股</t>
  </si>
  <si>
    <t xml:space="preserve">現金股利</t>
  </si>
  <si>
    <r>
      <rPr>
        <sz val="11"/>
        <color theme="1"/>
        <rFont val="Noto Sans CJK SC"/>
        <family val="2"/>
      </rPr>
      <t xml:space="preserve">策略投資（收購與投資；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上半年含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</si>
  <si>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資本支出分布（</t>
    </r>
    <r>
      <rPr>
        <b val="true"/>
        <sz val="11"/>
        <rFont val="Cambria"/>
        <family val="0"/>
        <charset val="1"/>
      </rPr>
      <t xml:space="preserve">PP&amp;E </t>
    </r>
    <r>
      <rPr>
        <b val="true"/>
        <sz val="11"/>
        <rFont val="Noto Sans CJK SC"/>
        <family val="2"/>
      </rPr>
      <t xml:space="preserve">淨增加，含融資租賃取得與已取得未付款；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分部附註）</t>
    </r>
  </si>
  <si>
    <r>
      <rPr>
        <sz val="11"/>
        <color theme="1"/>
        <rFont val="Calibri"/>
        <family val="2"/>
        <charset val="1"/>
      </rPr>
      <t xml:space="preserve">North America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</si>
  <si>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</si>
  <si>
    <r>
      <rPr>
        <sz val="11"/>
        <color theme="1"/>
        <rFont val="Calibri"/>
        <family val="2"/>
        <charset val="1"/>
      </rPr>
      <t xml:space="preserve">International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</si>
  <si>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</si>
  <si>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Noto Sans CJK SC"/>
        <family val="2"/>
      </rPr>
      <t xml:space="preserve">公司層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</si>
  <si>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淨增加合計</t>
    </r>
  </si>
  <si>
    <r>
      <rPr>
        <b val="true"/>
        <sz val="11"/>
        <rFont val="Cambria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期末餘額</t>
    </r>
  </si>
  <si>
    <t xml:space="preserve">現金、約當現金與有價證券</t>
  </si>
  <si>
    <t xml:space="preserve">債務面額</t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</si>
  <si>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Tokenomics v21.4 IF_HoldEcon × 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世代計價，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資本支出（含自用）→ 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Noto Sans CJK SC"/>
        <family val="2"/>
      </rPr>
      <t xml:space="preserve">年／機房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年折舊（次年起提列）→ 對外部分進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營業利益、自用部分進北美／國際營業利益。三情境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依序排列</t>
    </r>
  </si>
  <si>
    <r>
      <rPr>
        <sz val="11"/>
        <color theme="1"/>
        <rFont val="Noto Sans CJK SC"/>
        <family val="2"/>
      </rPr>
      <t xml:space="preserve">情境差異集中在命題驅動：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＝公司容量目標速度＋新產能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價格軸高；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＝資本支出指引隱含速度（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）＋基準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同速度（資本支出照指引）＋新產能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價格軸低。非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業務三情境相同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</si>
  <si>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</si>
  <si>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t xml:space="preserve">1H26A</t>
  </si>
  <si>
    <t xml:space="preserve">2H26E</t>
  </si>
  <si>
    <r>
      <rPr>
        <b val="true"/>
        <sz val="11"/>
        <rFont val="Cambria"/>
        <family val="0"/>
        <charset val="1"/>
      </rPr>
      <t xml:space="preserve">FY2026E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1H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 </t>
    </r>
    <r>
      <rPr>
        <b val="true"/>
        <sz val="11"/>
        <rFont val="Noto Sans CJK SC"/>
        <family val="2"/>
      </rPr>
      <t xml:space="preserve">模型）</t>
    </r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</si>
  <si>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</si>
  <si>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</si>
  <si>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</si>
  <si>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</si>
  <si>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</si>
  <si>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</si>
  <si>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1H25A</t>
  </si>
  <si>
    <t xml:space="preserve">2H25A</t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</si>
  <si>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容量（對外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MW-IT</t>
    </r>
    <r>
      <rPr>
        <b val="true"/>
        <sz val="11"/>
        <rFont val="Noto Sans CJK SC"/>
        <family val="2"/>
      </rPr>
      <t xml:space="preserve">；期末）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</si>
  <si>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MW 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</si>
  <si>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終值不落在建置高峰（共同修正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</si>
  <si>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</si>
  <si>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mw_open</t>
    </r>
    <r>
      <rPr>
        <sz val="11"/>
        <color theme="1"/>
        <rFont val="Noto Sans CJK SC"/>
        <family val="2"/>
      </rPr>
      <t xml:space="preserve">；每年新增＝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（情境）；歷史年底值只用於分拆與折舊年份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</si>
  <si>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</si>
  <si>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t xml:space="preserve">期間長度</t>
  </si>
  <si>
    <r>
      <rPr>
        <sz val="11"/>
        <color theme="1"/>
        <rFont val="Noto Sans CJK SC"/>
        <family val="2"/>
      </rPr>
      <t xml:space="preserve">新增對外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</si>
  <si>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（含自用＝對外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</si>
  <si>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R–AA </t>
    </r>
    <r>
      <rPr>
        <sz val="11"/>
        <color theme="1"/>
        <rFont val="Noto Sans CJK SC"/>
        <family val="2"/>
      </rPr>
      <t xml:space="preserve">欄：依年份（折舊與汰換用）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</si>
  <si>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新增產能的世代與單位經濟（</t>
    </r>
    <r>
      <rPr>
        <b val="true"/>
        <sz val="11"/>
        <rFont val="Cambria"/>
        <family val="0"/>
        <charset val="1"/>
      </rPr>
      <t xml:space="preserve">Tokenomics v21.4 </t>
    </r>
    <r>
      <rPr>
        <b val="true"/>
        <sz val="11"/>
        <rFont val="Noto Sans CJK SC"/>
        <family val="2"/>
      </rPr>
      <t xml:space="preserve">基準成本；自研晶片以同期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世代計價，</t>
    </r>
    <r>
      <rPr>
        <b val="true"/>
        <sz val="11"/>
        <rFont val="Cambria"/>
        <family val="0"/>
        <charset val="1"/>
      </rPr>
      <t xml:space="preserve">C2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</si>
  <si>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</si>
  <si>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（含自研晶片係數）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</si>
  <si>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加權營運費用（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</si>
  <si>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；含自研晶片資本支出係數）</t>
    </r>
  </si>
  <si>
    <r>
      <rPr>
        <sz val="11"/>
        <color theme="1"/>
        <rFont val="Noto Sans CJK SC"/>
        <family val="2"/>
      </rPr>
      <t xml:space="preserve">期初後新增對外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累計（期末）</t>
    </r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</si>
  <si>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HoldEcon</t>
    </r>
  </si>
  <si>
    <t xml:space="preserve">US$m</t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</si>
  <si>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</si>
  <si>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color theme="1"/>
        <rFont val="Noto Sans CJK SC"/>
        <family val="2"/>
      </rPr>
      <t xml:space="preserve">新增機隊加權 </t>
    </r>
    <r>
      <rPr>
        <sz val="11"/>
        <color theme="1"/>
        <rFont val="Calibri"/>
        <family val="2"/>
        <charset val="1"/>
      </rPr>
      <t xml:space="preserve">HoldEcon</t>
    </r>
  </si>
  <si>
    <t xml:space="preserve">新增機隊加權營運費用</t>
  </si>
  <si>
    <r>
      <rPr>
        <sz val="11"/>
        <color theme="1"/>
        <rFont val="Noto Sans CJK SC"/>
        <family val="2"/>
      </rPr>
      <t xml:space="preserve">新增產能每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年收入＝新增機隊 </t>
    </r>
    <r>
      <rPr>
        <sz val="11"/>
        <color theme="1"/>
        <rFont val="Calibri"/>
        <family val="2"/>
        <charset val="1"/>
      </rPr>
      <t xml:space="preserve">HoldEcon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</si>
  <si>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期初機隊 </t>
    </r>
    <r>
      <rPr>
        <sz val="11"/>
        <color theme="1"/>
        <rFont val="Calibri"/>
        <family val="2"/>
        <charset val="1"/>
      </rPr>
      <t xml:space="preserve">2,080 MW </t>
    </r>
    <r>
      <rPr>
        <sz val="11"/>
        <color theme="1"/>
        <rFont val="Noto Sans CJK SC"/>
        <family val="2"/>
      </rPr>
      <t xml:space="preserve">三情境同用 </t>
    </r>
    <r>
      <rPr>
        <sz val="11"/>
        <color theme="1"/>
        <rFont val="Calibri"/>
        <family val="2"/>
        <charset val="1"/>
      </rPr>
      <t xml:space="preserve">rpm_open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只用於新產能</t>
    </r>
  </si>
  <si>
    <r>
      <rPr>
        <sz val="11"/>
        <color theme="1"/>
        <rFont val="Noto Sans CJK SC"/>
        <family val="2"/>
      </rPr>
      <t xml:space="preserve">新增產能平均在役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</si>
  <si>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r>
      <rPr>
        <b val="true"/>
        <sz val="11"/>
        <rFont val="Cambria"/>
        <family val="0"/>
        <charset val="1"/>
      </rPr>
      <t xml:space="preserve">3. AWS AI </t>
    </r>
    <r>
      <rPr>
        <b val="true"/>
        <sz val="11"/>
        <rFont val="Noto Sans CJK SC"/>
        <family val="2"/>
      </rPr>
      <t xml:space="preserve">損益（收入端不乘 </t>
    </r>
    <r>
      <rPr>
        <b val="true"/>
        <sz val="11"/>
        <rFont val="Cambria"/>
        <family val="0"/>
        <charset val="1"/>
      </rPr>
      <t xml:space="preserve">IF_Util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MW-year </t>
    </r>
    <r>
      <rPr>
        <b val="true"/>
        <sz val="11"/>
        <rFont val="Noto Sans CJK SC"/>
        <family val="2"/>
      </rPr>
      <t xml:space="preserve">計價）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</si>
  <si>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營收（命題子列）</t>
    </r>
  </si>
  <si>
    <r>
      <rPr>
        <sz val="11"/>
        <color theme="1"/>
        <rFont val="Noto Sans CJK SC"/>
        <family val="2"/>
      </rPr>
      <t xml:space="preserve">實績欄為分拆估計（期初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），不是公司揭露值</t>
    </r>
  </si>
  <si>
    <r>
      <rPr>
        <sz val="11"/>
        <color theme="1"/>
        <rFont val="Noto Sans CJK SC"/>
        <family val="2"/>
      </rPr>
      <t xml:space="preserve">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</si>
  <si>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營運成本（含自用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、租用機房租金 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</si>
  <si>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</si>
  <si>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其他營收（非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</si>
  <si>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分拆估計（殘差，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</si>
  <si>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</si>
  <si>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分拆低估影響偏高，只列不用；收斂到 </t>
    </r>
    <r>
      <rPr>
        <sz val="11"/>
        <color theme="1"/>
        <rFont val="Calibri"/>
        <family val="2"/>
        <charset val="1"/>
      </rPr>
      <t xml:space="preserve">g_awso_lt</t>
    </r>
  </si>
  <si>
    <r>
      <rPr>
        <b val="true"/>
        <sz val="11"/>
        <rFont val="Cambria"/>
        <family val="0"/>
        <charset val="1"/>
      </rPr>
      <t xml:space="preserve">4. AI </t>
    </r>
    <r>
      <rPr>
        <b val="true"/>
        <sz val="11"/>
        <rFont val="Noto Sans CJK SC"/>
        <family val="2"/>
      </rPr>
      <t xml:space="preserve">資本支出（現金）→ 折舊（</t>
    </r>
    <r>
      <rPr>
        <b val="true"/>
        <sz val="11"/>
        <rFont val="Cambria"/>
        <family val="0"/>
        <charset val="1"/>
      </rPr>
      <t xml:space="preserve">IT 6 </t>
    </r>
    <r>
      <rPr>
        <b val="true"/>
        <sz val="11"/>
        <rFont val="Noto Sans CJK SC"/>
        <family val="2"/>
      </rPr>
      <t xml:space="preserve">年、機房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年；次年起提列）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</si>
  <si>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資本支出（零售＋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</si>
  <si>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比例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</si>
  <si>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資本支出（現金，含自用）</t>
    </r>
  </si>
  <si>
    <r>
      <rPr>
        <sz val="11"/>
        <color theme="1"/>
        <rFont val="Noto Sans CJK SC"/>
        <family val="2"/>
      </rPr>
      <t xml:space="preserve">實績＝公司資本支出淨額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（零售 </t>
    </r>
    <r>
      <rPr>
        <sz val="11"/>
        <color theme="1"/>
        <rFont val="Calibri"/>
        <family val="2"/>
        <charset val="1"/>
      </rPr>
      <t xml:space="preserve">cx_rt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cx_awso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220 − </t>
    </r>
    <r>
      <rPr>
        <sz val="11"/>
        <color theme="1"/>
        <rFont val="Noto Sans CJK SC"/>
        <family val="2"/>
      </rPr>
      <t xml:space="preserve">上半年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（修正三：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現金資本支出錨定指引；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部分由上半年在建資本支出支應）；之後＝新增 </t>
    </r>
    <r>
      <rPr>
        <sz val="11"/>
        <color theme="1"/>
        <rFont val="Calibri"/>
        <family val="2"/>
        <charset val="1"/>
      </rPr>
      <t xml:space="preserve">MW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＋自建機房）＋汰換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</si>
  <si>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汰換（折舊年限前新增的總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</si>
  <si>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資本支出：折舊基礎（實績期以新增在役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成本為上限）</t>
    </r>
  </si>
  <si>
    <r>
      <rPr>
        <sz val="11"/>
        <color theme="1"/>
        <rFont val="Noto Sans CJK SC"/>
        <family val="2"/>
      </rPr>
      <t xml:space="preserve">實績期以新增在役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成本為上限；超出部分見下列在建（修正三：延後轉入在役後提列折舊）</t>
    </r>
  </si>
  <si>
    <r>
      <rPr>
        <sz val="11"/>
        <color theme="1"/>
        <rFont val="Noto Sans CJK SC"/>
        <family val="2"/>
      </rPr>
      <t xml:space="preserve">  在建（</t>
    </r>
    <r>
      <rPr>
        <sz val="11"/>
        <color theme="1"/>
        <rFont val="Calibri"/>
        <family val="2"/>
        <charset val="1"/>
      </rPr>
      <t xml:space="preserve">CIP</t>
    </r>
    <r>
      <rPr>
        <sz val="11"/>
        <color theme="1"/>
        <rFont val="Noto Sans CJK SC"/>
        <family val="2"/>
      </rPr>
      <t xml:space="preserve">）：實績期超出新增在役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</si>
  <si>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修正三：視為在建，延後 </t>
    </r>
    <r>
      <rPr>
        <sz val="11"/>
        <color theme="1"/>
        <rFont val="Calibri"/>
        <family val="2"/>
        <charset val="1"/>
      </rPr>
      <t xml:space="preserve">cip_lag </t>
    </r>
    <r>
      <rPr>
        <sz val="11"/>
        <color theme="1"/>
        <rFont val="Noto Sans CJK SC"/>
        <family val="2"/>
      </rPr>
      <t xml:space="preserve">年轉入在役後提列折舊（仍計入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投入資本）；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分部折舊 </t>
    </r>
    <r>
      <rPr>
        <sz val="11"/>
        <color theme="1"/>
        <rFont val="Calibri"/>
        <family val="2"/>
        <charset val="1"/>
      </rPr>
      <t xml:space="preserve">2024→2025→1H26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13.3→21.5→30.7 </t>
    </r>
    <r>
      <rPr>
        <sz val="11"/>
        <color theme="1"/>
        <rFont val="Noto Sans CJK SC"/>
        <family val="2"/>
      </rPr>
      <t xml:space="preserve">支持此處理</t>
    </r>
  </si>
  <si>
    <r>
      <rPr>
        <sz val="11"/>
        <color theme="1"/>
        <rFont val="Noto Sans CJK SC"/>
        <family val="2"/>
      </rPr>
      <t xml:space="preserve">  在建中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設備（依支出年份）</t>
    </r>
  </si>
  <si>
    <r>
      <rPr>
        <sz val="11"/>
        <color theme="1"/>
        <rFont val="Noto Sans CJK SC"/>
        <family val="2"/>
      </rPr>
      <t xml:space="preserve">  在建轉入在役：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（依轉入年份）</t>
    </r>
  </si>
  <si>
    <t xml:space="preserve">  在建轉入在役：機房（依轉入年份）</t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</si>
  <si>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</si>
  <si>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  其中機房（自建部分）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</si>
  <si>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資本支出占公司資本支出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</si>
  <si>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折舊（含在建轉入）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</si>
  <si>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機房折舊（含在建轉入）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</si>
  <si>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折舊合計（對外 → 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；自用 → 零售分部）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</si>
  <si>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（期末）</t>
    </r>
  </si>
  <si>
    <r>
      <rPr>
        <b val="true"/>
        <sz val="11"/>
        <rFont val="Cambria"/>
        <family val="0"/>
        <charset val="1"/>
      </rPr>
      <t xml:space="preserve">5. AWS AI </t>
    </r>
    <r>
      <rPr>
        <b val="true"/>
        <sz val="11"/>
        <rFont val="Noto Sans CJK SC"/>
        <family val="2"/>
      </rPr>
      <t xml:space="preserve">營業利益、自用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成本、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</si>
  <si>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AWS AI EBITDA</t>
    </r>
    <r>
      <rPr>
        <sz val="11"/>
        <color theme="1"/>
        <rFont val="Noto Sans CJK SC"/>
        <family val="2"/>
      </rPr>
      <t xml:space="preserve">＝營收 − 對外比例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</si>
  <si>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營業利益＝</t>
    </r>
    <r>
      <rPr>
        <b val="true"/>
        <sz val="11"/>
        <rFont val="Cambria"/>
        <family val="0"/>
        <charset val="1"/>
      </rPr>
      <t xml:space="preserve">EBITDA − </t>
    </r>
    <r>
      <rPr>
        <b val="true"/>
        <sz val="11"/>
        <rFont val="Noto Sans CJK SC"/>
        <family val="2"/>
      </rPr>
      <t xml:space="preserve">對外比例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</si>
  <si>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  AWS AI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</si>
  <si>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HoldEcon × 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</si>
  <si>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（主值）；只進評價口徑（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評價口徑、分部加總零售本業）；實績欄為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</si>
  <si>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成本（營運＋折舊；分攤到北美／國際，財報口徑）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</si>
  <si>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</si>
  <si>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其他營業利益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</si>
  <si>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營業利益（殘差）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</si>
  <si>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其他營業利益率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</si>
  <si>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起固定為近四季（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）殘差利益率（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</si>
  <si>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</si>
  <si>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折舊攤銷（分部）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</si>
  <si>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命題指標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</si>
  <si>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對外分攤的平均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</si>
  <si>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C11</t>
    </r>
    <r>
      <rPr>
        <sz val="11"/>
        <color theme="1"/>
        <rFont val="Noto Sans CJK SC"/>
        <family val="2"/>
      </rPr>
      <t xml:space="preserve">：分子分母同口徑（對外）</t>
    </r>
  </si>
  <si>
    <r>
      <rPr>
        <sz val="11"/>
        <color theme="1"/>
        <rFont val="Noto Sans CJK SC"/>
        <family val="2"/>
      </rPr>
      <t xml:space="preserve">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</si>
  <si>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打平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所需的機隊平均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</si>
  <si>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上限檢查：全機隊每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</si>
  <si>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上限，不得作預測；只作檢查</t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</si>
  <si>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</si>
  <si>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</si>
  <si>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營收線 </t>
    </r>
    <r>
      <rPr>
        <sz val="11"/>
        <color theme="1"/>
        <rFont val="Calibri"/>
        <family val="2"/>
        <charset val="1"/>
      </rPr>
      <t xml:space="preserve">Online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Physical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Third-party seller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Advertising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Subscription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（零售各線合計＝北美＋國際）與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（命題子列，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其他。核對列（綠底）每情境每年度皆須為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</si>
  <si>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</si>
  <si>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2H26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2H25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2H25 </t>
    </r>
    <r>
      <rPr>
        <b val="true"/>
        <sz val="11"/>
        <rFont val="Noto Sans CJK SC"/>
        <family val="2"/>
      </rPr>
      <t xml:space="preserve">年增）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校準係數；</t>
    </r>
    <r>
      <rPr>
        <b val="true"/>
        <sz val="11"/>
        <rFont val="Cambria"/>
        <family val="0"/>
        <charset val="1"/>
      </rPr>
      <t xml:space="preserve">2027–2030 </t>
    </r>
    <r>
      <rPr>
        <b val="true"/>
        <sz val="11"/>
        <rFont val="Noto Sans CJK SC"/>
        <family val="2"/>
      </rPr>
      <t xml:space="preserve">年增由 </t>
    </r>
    <r>
      <rPr>
        <b val="true"/>
        <sz val="11"/>
        <rFont val="Cambria"/>
        <family val="0"/>
        <charset val="1"/>
      </rPr>
      <t xml:space="preserve">2H25 </t>
    </r>
    <r>
      <rPr>
        <b val="true"/>
        <sz val="11"/>
        <rFont val="Noto Sans CJK SC"/>
        <family val="2"/>
      </rPr>
      <t xml:space="preserve">年增線性收斂到長期值；</t>
    </r>
    <r>
      <rPr>
        <b val="true"/>
        <sz val="11"/>
        <rFont val="Cambria"/>
        <family val="0"/>
        <charset val="1"/>
      </rPr>
      <t xml:space="preserve">2031–2032</t>
    </r>
    <r>
      <rPr>
        <b val="true"/>
        <sz val="11"/>
        <rFont val="Noto Sans CJK SC"/>
        <family val="2"/>
      </rPr>
      <t xml:space="preserve">＝長期值）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</si>
  <si>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頁實績；預測＝前期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</si>
  <si>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r>
      <rPr>
        <sz val="11"/>
        <color theme="1"/>
        <rFont val="Calibri"/>
        <family val="2"/>
        <charset val="1"/>
      </rPr>
      <t xml:space="preserve">  Online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</si>
  <si>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g_os</t>
    </r>
  </si>
  <si>
    <r>
      <rPr>
        <sz val="11"/>
        <color theme="1"/>
        <rFont val="Calibri"/>
        <family val="2"/>
        <charset val="1"/>
      </rPr>
      <t xml:space="preserve">  Physical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</si>
  <si>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g_ps</t>
    </r>
  </si>
  <si>
    <r>
      <rPr>
        <sz val="11"/>
        <color theme="1"/>
        <rFont val="Calibri"/>
        <family val="2"/>
        <charset val="1"/>
      </rPr>
      <t xml:space="preserve">  Third-party seller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</si>
  <si>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g_sp</t>
    </r>
  </si>
  <si>
    <r>
      <rPr>
        <sz val="11"/>
        <color theme="1"/>
        <rFont val="Calibri"/>
        <family val="2"/>
        <charset val="1"/>
      </rPr>
      <t xml:space="preserve">  Advertising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</si>
  <si>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g_ad</t>
    </r>
  </si>
  <si>
    <r>
      <rPr>
        <sz val="11"/>
        <color theme="1"/>
        <rFont val="Calibri"/>
        <family val="2"/>
        <charset val="1"/>
      </rPr>
      <t xml:space="preserve">  Subscription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</si>
  <si>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g_sub</t>
    </r>
  </si>
  <si>
    <r>
      <rPr>
        <sz val="11"/>
        <color theme="1"/>
        <rFont val="Calibri"/>
        <family val="2"/>
        <charset val="1"/>
      </rPr>
      <t xml:space="preserve">  Other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</si>
  <si>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2H24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成長基準，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</si>
  <si>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零售營收校準係數（使隱含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營收＝指引中點）</t>
    </r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</si>
  <si>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合併營收目標＝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比例）− 主頁情境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AWS 2H26</t>
    </r>
    <r>
      <rPr>
        <sz val="11"/>
        <color theme="1"/>
        <rFont val="Noto Sans CJK SC"/>
        <family val="2"/>
      </rPr>
      <t xml:space="preserve">；三情境與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共用同一係數（修正二），零售不隨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分拆變動（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時點已含在指引中）</t>
    </r>
  </si>
  <si>
    <r>
      <rPr>
        <b val="true"/>
        <sz val="11"/>
        <rFont val="Noto Sans CJK SC"/>
        <family val="2"/>
      </rPr>
      <t xml:space="preserve">零售營收線合計（＝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）</t>
    </r>
  </si>
  <si>
    <t xml:space="preserve">北美占零售營收比例（地區分攤）</t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</si>
  <si>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）；各營收線不分地區揭露，故以本列分攤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</si>
  <si>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</si>
  <si>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</si>
  <si>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廣告營收歸北美（＝廣告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</si>
  <si>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廣告營收依零售營收的地區比例分攤（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；公司未分地區揭露）</t>
    </r>
  </si>
  <si>
    <t xml:space="preserve">廣告營收歸國際</t>
  </si>
  <si>
    <r>
      <rPr>
        <b val="true"/>
        <sz val="11"/>
        <rFont val="Cambria"/>
        <family val="0"/>
        <charset val="1"/>
      </rPr>
      <t xml:space="preserve">2. AWS</t>
    </r>
    <r>
      <rPr>
        <b val="true"/>
        <sz val="11"/>
        <rFont val="Noto Sans CJK SC"/>
        <family val="2"/>
      </rPr>
      <t xml:space="preserve">（命題子列＋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其他）與合併營收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</si>
  <si>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</si>
  <si>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</si>
  <si>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</si>
  <si>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官方分部＝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營收線</t>
    </r>
  </si>
  <si>
    <t xml:space="preserve">合併營收（實績＝公司揭露；預測＝營收線加總）</t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</si>
  <si>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</si>
  <si>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</si>
  <si>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）：分部合計 − 合併營收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</si>
  <si>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</si>
  <si>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占合併營收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</si>
  <si>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</si>
  <si>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</si>
  <si>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</si>
  <si>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</si>
  <si>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</si>
  <si>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</si>
  <si>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</si>
  <si>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</si>
  <si>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</si>
  <si>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。廣告利潤率 </t>
    </r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驅動北美／國際利益率（廣告營收依零售地區比例分攤；零售本業利益率＝分部利益扣廣告利潤後的殘差）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</si>
  <si>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4–10 </t>
    </r>
    <r>
      <rPr>
        <sz val="11"/>
        <color theme="1"/>
        <rFont val="Noto Sans CJK SC"/>
        <family val="2"/>
      </rPr>
      <t xml:space="preserve">列：跨情境核對（三情境絕對值合計；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讀本區）；實績欄為公司揭露值的核對</t>
    </r>
  </si>
  <si>
    <r>
      <rPr>
        <b val="true"/>
        <sz val="11"/>
        <rFont val="Noto Sans CJK SC"/>
        <family val="2"/>
      </rPr>
      <t xml:space="preserve">跨情境核對（三情境絕對值合計；應全為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</si>
  <si>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</si>
  <si>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t xml:space="preserve">檢查：分部營業利益合計 − 合併營業利益</t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</si>
  <si>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</si>
  <si>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營收線與官方分部）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</si>
  <si>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（營收線＝分部）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</si>
  <si>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</si>
  <si>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分部營業利益（廣告利潤率 </t>
    </r>
    <r>
      <rPr>
        <b val="true"/>
        <sz val="11"/>
        <rFont val="Cambria"/>
        <family val="0"/>
        <charset val="1"/>
      </rPr>
      <t xml:space="preserve">m_ad </t>
    </r>
    <r>
      <rPr>
        <b val="true"/>
        <sz val="11"/>
        <rFont val="Noto Sans CJK SC"/>
        <family val="2"/>
      </rPr>
      <t xml:space="preserve">計入北美／國際；零售本業利益率＝殘差；自用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成本按北美比例分攤）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</si>
  <si>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</si>
  <si>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</si>
  <si>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</si>
  <si>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</si>
  <si>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(1H26 − 1H25)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每年＋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step</t>
    </r>
    <r>
      <rPr>
        <sz val="11"/>
        <color theme="1"/>
        <rFont val="Noto Sans CJK SC"/>
        <family val="2"/>
      </rPr>
      <t xml:space="preserve">；之後持平</t>
    </r>
  </si>
  <si>
    <r>
      <rPr>
        <b val="true"/>
        <sz val="11"/>
        <rFont val="Cambria"/>
        <family val="0"/>
        <charset val="1"/>
      </rPr>
      <t xml:space="preserve">North America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</si>
  <si>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</si>
  <si>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</si>
  <si>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</si>
  <si>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</si>
  <si>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International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</si>
  <si>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營業利益（命題子列）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</si>
  <si>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</si>
  <si>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未分攤（公司層；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</si>
  <si>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</si>
  <si>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；非財報營收；按北美比例分攤到北美／國際）</t>
    </r>
  </si>
  <si>
    <t xml:space="preserve">營收列與分部對帳不動</t>
  </si>
  <si>
    <r>
      <rPr>
        <sz val="11"/>
        <color theme="1"/>
        <rFont val="Noto Sans CJK SC"/>
        <family val="2"/>
      </rPr>
      <t xml:space="preserve">營業利益（評價口徑＝合併營業利益＋自用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</si>
  <si>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</si>
  <si>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</si>
  <si>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</si>
  <si>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營業利益率</t>
    </r>
  </si>
  <si>
    <t xml:space="preserve">合併營業利益率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</si>
  <si>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分部折舊攤銷（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（分部加總評價用）</t>
    </r>
  </si>
  <si>
    <r>
      <rPr>
        <sz val="11"/>
        <color theme="1"/>
        <rFont val="Noto Sans CJK SC"/>
        <family val="2"/>
      </rPr>
      <t xml:space="preserve">零售非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</si>
  <si>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分部折舊攤銷合計（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；不含影音內容與營業租賃資產）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</si>
  <si>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：廣告（＝廣告利潤，未分攤折舊）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</si>
  <si>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：零售本業（北美＋國際 營業利益＋折舊 − 廣告利潤；含自用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</si>
  <si>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</si>
  <si>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AI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</si>
  <si>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（營業利益＋分部折舊攤銷）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</si>
  <si>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業外、稅、淨利、</t>
    </r>
    <r>
      <rPr>
        <b val="true"/>
        <sz val="11"/>
        <rFont val="Cambria"/>
        <family val="0"/>
        <charset val="1"/>
      </rPr>
      <t xml:space="preserve">EPS</t>
    </r>
  </si>
  <si>
    <t xml:space="preserve">利息收入（預測；實績含在業外其他）</t>
  </si>
  <si>
    <r>
      <rPr>
        <sz val="11"/>
        <color theme="1"/>
        <rFont val="Noto Sans CJK SC"/>
        <family val="2"/>
      </rPr>
      <t xml:space="preserve">業外其他（含利息收入與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等持股評價損益；預測期設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</si>
  <si>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持股價值另在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頁加入（不重複計算）</t>
    </r>
  </si>
  <si>
    <r>
      <rPr>
        <sz val="11"/>
        <color theme="1"/>
        <rFont val="Noto Sans CJK SC"/>
        <family val="2"/>
      </rPr>
      <t xml:space="preserve">無回購；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稀釋每年 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</si>
  <si>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Noto Sans CJK SC"/>
        <family val="2"/>
      </rPr>
      <t xml:space="preserve">淨利（評價口徑＝淨利＋影子效益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</si>
  <si>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（評價口徑，稀釋）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</si>
  <si>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</si>
  <si>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（不含業外其他，近似：扣除業外其他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</si>
  <si>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上半年業外含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評價利益約 </t>
    </r>
    <r>
      <rPr>
        <sz val="11"/>
        <color theme="1"/>
        <rFont val="Calibri"/>
        <family val="2"/>
        <charset val="1"/>
      </rPr>
      <t xml:space="preserve">69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</si>
  <si>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</si>
  <si>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</si>
  <si>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</si>
  <si>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</si>
  <si>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</si>
  <si>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</si>
  <si>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</si>
  <si>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營運現金（淨利＋分部折舊＋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其他＋零售）− 融資租賃本金 → 自由現金流；股利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無）；現金低於最低現金即舉債</t>
    </r>
  </si>
  <si>
    <t xml:space="preserve">收支關卡（地圖讀取；列標籤固定）</t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</si>
  <si>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</si>
  <si>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</si>
  <si>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</si>
  <si>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情境加權</t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</si>
  <si>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</si>
  <si>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</t>
    </r>
    <r>
      <rPr>
        <sz val="11"/>
        <color theme="1"/>
        <rFont val="Noto Sans CJK SC"/>
        <family val="2"/>
      </rPr>
      <t xml:space="preserve">（首年起五年；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模型）自由現金流扣股利合計；負值＝入不敷出（地圖收支關卡）</t>
    </r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</si>
  <si>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新增借款合計（不含已發行債券）</t>
    </r>
  </si>
  <si>
    <t xml:space="preserve">是否需要舉債</t>
  </si>
  <si>
    <r>
      <rPr>
        <sz val="11"/>
        <color theme="1"/>
        <rFont val="Noto Sans CJK SC"/>
        <family val="2"/>
      </rPr>
      <t xml:space="preserve">已發行的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下半年債券 </t>
    </r>
    <r>
      <rPr>
        <sz val="11"/>
        <color theme="1"/>
        <rFont val="Calibri"/>
        <family val="2"/>
        <charset val="1"/>
      </rPr>
      <t xml:space="preserve">29.25 </t>
    </r>
    <r>
      <rPr>
        <sz val="11"/>
        <color theme="1"/>
        <rFont val="Noto Sans CJK SC"/>
        <family val="2"/>
      </rPr>
      <t xml:space="preserve">不計；現金低於最低現金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時舉債</t>
    </r>
  </si>
  <si>
    <t xml:space="preserve">回購是否需停止</t>
  </si>
  <si>
    <r>
      <rPr>
        <sz val="11"/>
        <color theme="1"/>
        <rFont val="Noto Sans CJK SC"/>
        <family val="2"/>
      </rPr>
      <t xml:space="preserve">無回購可減（</t>
    </r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</si>
  <si>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自由現金流（扣股利）</t>
    </r>
  </si>
  <si>
    <t xml:space="preserve">檢查：收支關卡＝首年起五年自由現金流扣股利（逐欄加總；三情境絕對值合計）</t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</si>
  <si>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</si>
  <si>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分部折舊攤銷（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</si>
  <si>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股份基礎給付（加回）</t>
  </si>
  <si>
    <t xml:space="preserve">其他營運項目（營運資金、影音內容與租賃現金支出、非現金業外）</t>
  </si>
  <si>
    <r>
      <rPr>
        <sz val="11"/>
        <color theme="1"/>
        <rFont val="Calibri"/>
        <family val="2"/>
        <charset val="1"/>
      </rPr>
      <t xml:space="preserve">oth_r </t>
    </r>
    <r>
      <rPr>
        <sz val="11"/>
        <color theme="1"/>
        <rFont val="Noto Sans CJK SC"/>
        <family val="2"/>
      </rPr>
      <t xml:space="preserve">已含營運資金（修正一：不再另加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營運資金，避免重複）；實績含持股評價利益的扣除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</si>
  <si>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</si>
  <si>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cx_awso × AWS </t>
    </r>
    <r>
      <rPr>
        <sz val="11"/>
        <color theme="1"/>
        <rFont val="Noto Sans CJK SC"/>
        <family val="2"/>
      </rPr>
      <t xml:space="preserve">其他營收）</t>
    </r>
  </si>
  <si>
    <r>
      <rPr>
        <sz val="11"/>
        <color theme="1"/>
        <rFont val="Noto Sans CJK SC"/>
        <family val="2"/>
      </rPr>
      <t xml:space="preserve">資本支出：零售（</t>
    </r>
    <r>
      <rPr>
        <sz val="11"/>
        <color theme="1"/>
        <rFont val="Calibri"/>
        <family val="2"/>
        <charset val="1"/>
      </rPr>
      <t xml:space="preserve">cx_rt × </t>
    </r>
    <r>
      <rPr>
        <sz val="11"/>
        <color theme="1"/>
        <rFont val="Noto Sans CJK SC"/>
        <family val="2"/>
      </rPr>
      <t xml:space="preserve">零售營收）</t>
    </r>
  </si>
  <si>
    <t xml:space="preserve">資本支出（現金，淨額）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</si>
  <si>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未揭露：以全年 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</si>
  <si>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自由現金流（營運現金流 − 資本支出 − 融資租賃本金）</t>
  </si>
  <si>
    <t xml:space="preserve">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</si>
  <si>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未配息</t>
    </r>
  </si>
  <si>
    <t xml:space="preserve">回購</t>
  </si>
  <si>
    <r>
      <rPr>
        <sz val="11"/>
        <color theme="1"/>
        <rFont val="Calibri"/>
        <family val="2"/>
        <charset val="1"/>
      </rPr>
      <t xml:space="preserve">2023–2026H1 </t>
    </r>
    <r>
      <rPr>
        <sz val="11"/>
        <color theme="1"/>
        <rFont val="Noto Sans CJK SC"/>
        <family val="2"/>
      </rPr>
      <t xml:space="preserve">無回購；模型不設回購（無可減的回購）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</si>
  <si>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</si>
  <si>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</si>
  <si>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已發行債券（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</si>
  <si>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起）</t>
    </r>
  </si>
  <si>
    <t xml:space="preserve">借款前現金</t>
  </si>
  <si>
    <t xml:space="preserve">新增借款（現金低於最低現金時）</t>
  </si>
  <si>
    <r>
      <rPr>
        <sz val="11"/>
        <color theme="1"/>
        <rFont val="Noto Sans CJK SC"/>
        <family val="2"/>
      </rPr>
      <t xml:space="preserve">到期債務假設全數再融資（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</si>
  <si>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期末現金與有價證券</t>
  </si>
  <si>
    <t xml:space="preserve">期末債務面額</t>
  </si>
  <si>
    <t xml:space="preserve">淨負債（債務 − 現金；負值＝淨現金）</t>
  </si>
  <si>
    <r>
      <rPr>
        <sz val="11"/>
        <color theme="1"/>
        <rFont val="Noto Sans CJK SC"/>
        <family val="2"/>
      </rPr>
      <t xml:space="preserve">利息費用（既有債務 </t>
    </r>
    <r>
      <rPr>
        <sz val="11"/>
        <color theme="1"/>
        <rFont val="Calibri"/>
        <family val="2"/>
        <charset val="1"/>
      </rPr>
      <t xml:space="preserve">× kd_book</t>
    </r>
    <r>
      <rPr>
        <sz val="11"/>
        <color theme="1"/>
        <rFont val="Noto Sans CJK SC"/>
        <family val="2"/>
      </rPr>
      <t xml:space="preserve">＋新增債務 </t>
    </r>
    <r>
      <rPr>
        <sz val="11"/>
        <color theme="1"/>
        <rFont val="Calibri"/>
        <family val="2"/>
        <charset val="1"/>
      </rPr>
      <t xml:space="preserve">× kd_new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</si>
  <si>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y_cash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</si>
  <si>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收支關卡（本情境）：自由現金流扣股利 </t>
    </r>
    <r>
      <rPr>
        <b val="true"/>
        <sz val="11"/>
        <rFont val="Cambria"/>
        <family val="0"/>
        <charset val="1"/>
      </rPr>
      <t xml:space="preserve">FY2026–FY2030 </t>
    </r>
    <r>
      <rPr>
        <b val="true"/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</si>
  <si>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</si>
  <si>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</si>
  <si>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</si>
  <si>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</si>
  <si>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</si>
  <si>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；五級投資建議</t>
    </r>
  </si>
  <si>
    <r>
      <rPr>
        <b val="true"/>
        <sz val="12"/>
        <rFont val="Cambria"/>
        <family val="0"/>
        <charset val="1"/>
      </rPr>
      <t xml:space="preserve">0. </t>
    </r>
    <r>
      <rPr>
        <b val="true"/>
        <sz val="12"/>
        <rFont val="Noto Sans CJK SC"/>
        <family val="2"/>
      </rPr>
      <t xml:space="preserve">目標價（工作單第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節；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半導體 </t>
    </r>
    <r>
      <rPr>
        <b val="true"/>
        <sz val="12"/>
        <rFont val="Cambria"/>
        <family val="0"/>
        <charset val="1"/>
      </rPr>
      <t xml:space="preserve">v2 </t>
    </r>
    <r>
      <rPr>
        <b val="true"/>
        <sz val="12"/>
        <rFont val="Noto Sans CJK SC"/>
        <family val="2"/>
      </rPr>
      <t xml:space="preserve">口徑：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各半，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在分部層做＝分部加總）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</si>
  <si>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</si>
  <si>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FCFF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折到 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，再以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2027-10-27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</si>
  <si>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（分部加總）情境價值</t>
    </r>
  </si>
  <si>
    <r>
      <rPr>
        <sz val="11"/>
        <color theme="1"/>
        <rFont val="Noto Sans CJK SC"/>
        <family val="2"/>
      </rPr>
      <t xml:space="preserve">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各乘同業倍數；＋持股 − 淨負債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</si>
  <si>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</si>
  <si>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</t>
    </r>
  </si>
  <si>
    <t xml:space="preserve">情境權重</t>
  </si>
  <si>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</t>
    </r>
  </si>
  <si>
    <t xml:space="preserve">核心問題（一）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</si>
  <si>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自由現金流扣股利</t>
    </r>
  </si>
  <si>
    <t xml:space="preserve">核心問題（二）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</si>
  <si>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</si>
  <si>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</si>
  <si>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t xml:space="preserve">FY2028 EPS</t>
  </si>
  <si>
    <r>
      <rPr>
        <sz val="11"/>
        <color theme="1"/>
        <rFont val="Noto Sans CJK SC"/>
        <family val="2"/>
      </rPr>
      <t xml:space="preserve">收支關卡（各情境）：自由現金流扣股利 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</si>
  <si>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</si>
  <si>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</si>
  <si>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</si>
  <si>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</si>
  <si>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分部加總（工作單：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</si>
  <si>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</si>
  <si>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情境目標價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</si>
  <si>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</si>
  <si>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</si>
  <si>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</si>
  <si>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</si>
  <si>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</si>
  <si>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</si>
  <si>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</si>
  <si>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</si>
  <si>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 Global 60 </t>
    </r>
    <r>
      <rPr>
        <sz val="11"/>
        <color theme="1"/>
        <rFont val="Noto Sans CJK SC"/>
        <family val="2"/>
      </rPr>
      <t xml:space="preserve">位平均（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</si>
  <si>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上檔空間：市場共識目標價</t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</si>
  <si>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</si>
  <si>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</si>
  <si>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</si>
  <si>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收支關卡（引用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頁）：自由現金流扣股利五年合計（情境加權）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</si>
  <si>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</si>
  <si>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</si>
  <si>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（評價口徑，含讀法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影子效益）＋分部折舊 − 資本支出＋其他營運項目（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不加回、股數用流通股數；融資租賃負債列淨負債；另以融資租賃本金代理非現金取得的租賃資產扣除），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β Blume </t>
    </r>
    <r>
      <rPr>
        <sz val="11"/>
        <color theme="1"/>
        <rFont val="Noto Sans CJK SC"/>
        <family val="2"/>
      </rPr>
      <t xml:space="preserve">調整、</t>
    </r>
    <r>
      <rPr>
        <sz val="11"/>
        <color theme="1"/>
        <rFont val="Calibri"/>
        <family val="2"/>
        <charset val="1"/>
      </rPr>
      <t xml:space="preserve">rf 2026-10-26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利差、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含類債務），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期中折現，永續價值＝</t>
    </r>
    <r>
      <rPr>
        <sz val="11"/>
        <color theme="1"/>
        <rFont val="Calibri"/>
        <family val="2"/>
        <charset val="1"/>
      </rPr>
      <t xml:space="preserve">FY2033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；淨負債含融資租賃與融資義務；持股加回。分部加總：廣告、零售本業、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加回口徑，與同業倍數一致）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中位數；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資本支出含汰換；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年底淨負債中）；減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年底淨負債（含類債務）、加持股，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稀釋股數。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</si>
  <si>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只計成本）情境目標價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</si>
  <si>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區塊；主值為讀法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</si>
  <si>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：加權目標價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</si>
  <si>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：上檔空間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</si>
  <si>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：投資建議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</si>
  <si>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讀法（主值）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</si>
  <si>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（價值中性）；讀法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容量越大目標價越低，讀法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下容量對目標價大致中性</t>
    </r>
  </si>
  <si>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StockAnalysis EV ÷ MarketScreener NTM EBITDA </t>
    </r>
    <r>
      <rPr>
        <b val="true"/>
        <sz val="11"/>
        <rFont val="Noto Sans CJK SC"/>
        <family val="2"/>
      </rPr>
      <t xml:space="preserve">共識，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共用同業檔，本輪未更新）</t>
    </r>
  </si>
  <si>
    <t xml:space="preserve">同業</t>
  </si>
  <si>
    <t xml:space="preserve">代號</t>
  </si>
  <si>
    <t xml:space="preserve">NTM EV/EBITDA</t>
  </si>
  <si>
    <t xml:space="preserve">組別</t>
  </si>
  <si>
    <t xml:space="preserve">Walmart</t>
  </si>
  <si>
    <t xml:space="preserve">WMT</t>
  </si>
  <si>
    <t xml:space="preserve">零售</t>
  </si>
  <si>
    <t xml:space="preserve">S24</t>
  </si>
  <si>
    <t xml:space="preserve">Costco</t>
  </si>
  <si>
    <t xml:space="preserve">COST</t>
  </si>
  <si>
    <t xml:space="preserve">Target</t>
  </si>
  <si>
    <t xml:space="preserve">TGT</t>
  </si>
  <si>
    <t xml:space="preserve">Meta</t>
  </si>
  <si>
    <t xml:space="preserve">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</si>
  <si>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C18 </t>
    </r>
    <r>
      <rPr>
        <sz val="11"/>
        <color theme="1"/>
        <rFont val="Noto Sans CJK SC"/>
        <family val="2"/>
      </rPr>
      <t xml:space="preserve">共用組）</t>
    </r>
  </si>
  <si>
    <t xml:space="preserve">S23</t>
  </si>
  <si>
    <t xml:space="preserve">Pinterest</t>
  </si>
  <si>
    <t xml:space="preserve">PINS</t>
  </si>
  <si>
    <t xml:space="preserve">The Trade Desk</t>
  </si>
  <si>
    <t xml:space="preserve">TTD</t>
  </si>
  <si>
    <t xml:space="preserve">AppLovin</t>
  </si>
  <si>
    <t xml:space="preserve">APP</t>
  </si>
  <si>
    <t xml:space="preserve">Reddit</t>
  </si>
  <si>
    <t xml:space="preserve">RDDT</t>
  </si>
  <si>
    <t xml:space="preserve">Snap</t>
  </si>
  <si>
    <t xml:space="preserve">SNAP</t>
  </si>
  <si>
    <t xml:space="preserve">Oracle</t>
  </si>
  <si>
    <t xml:space="preserve">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</si>
  <si>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雲端（</t>
    </r>
    <r>
      <rPr>
        <sz val="11"/>
        <color theme="1"/>
        <rFont val="Calibri"/>
        <family val="2"/>
        <charset val="1"/>
      </rPr>
      <t xml:space="preserve">C12 </t>
    </r>
    <r>
      <rPr>
        <sz val="11"/>
        <color theme="1"/>
        <rFont val="Noto Sans CJK SC"/>
        <family val="2"/>
      </rPr>
      <t xml:space="preserve">共用組）</t>
    </r>
  </si>
  <si>
    <t xml:space="preserve">S22</t>
  </si>
  <si>
    <t xml:space="preserve">IBM</t>
  </si>
  <si>
    <t xml:space="preserve">SAP</t>
  </si>
  <si>
    <t xml:space="preserve">Salesforce</t>
  </si>
  <si>
    <t xml:space="preserve">CRM</t>
  </si>
  <si>
    <t xml:space="preserve">ServiceNow</t>
  </si>
  <si>
    <t xml:space="preserve">NOW</t>
  </si>
  <si>
    <t xml:space="preserve">Akamai</t>
  </si>
  <si>
    <t xml:space="preserve">AKAM</t>
  </si>
  <si>
    <t xml:space="preserve">Equinix</t>
  </si>
  <si>
    <t xml:space="preserve">EQIX</t>
  </si>
  <si>
    <t xml:space="preserve">DigitalOcean</t>
  </si>
  <si>
    <t xml:space="preserve">DOCN</t>
  </si>
  <si>
    <t xml:space="preserve">零售 中位數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</si>
  <si>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</t>
    </r>
  </si>
  <si>
    <t xml:space="preserve">數位廣告 中位數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</si>
  <si>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</si>
  <si>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 中位數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</si>
  <si>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</si>
  <si>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m_ai</t>
    </r>
    <r>
      <rPr>
        <sz val="11"/>
        <color theme="1"/>
        <rFont val="Noto Sans CJK SC"/>
        <family val="2"/>
      </rPr>
      <t xml:space="preserve">，對照表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）；對照 </t>
    </r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TTM 16.5×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260×</t>
    </r>
    <r>
      <rPr>
        <sz val="11"/>
        <color theme="1"/>
        <rFont val="Noto Sans CJK SC"/>
        <family val="2"/>
      </rPr>
      <t xml:space="preserve">（只作對照）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</si>
  <si>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</si>
  <si>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（基準日 </t>
    </r>
    <r>
      <rPr>
        <b val="true"/>
        <sz val="11"/>
        <rFont val="Cambria"/>
        <family val="0"/>
        <charset val="1"/>
      </rPr>
      <t xml:space="preserve">2026-12-31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期中折現；永續價值＝</t>
    </r>
    <r>
      <rPr>
        <b val="true"/>
        <sz val="11"/>
        <rFont val="Cambria"/>
        <family val="0"/>
        <charset val="1"/>
      </rPr>
      <t xml:space="preserve">FY2033 NOPAT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g ÷ RONIC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WACC − g</t>
    </r>
    <r>
      <rPr>
        <b val="true"/>
        <sz val="1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</si>
  <si>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＝營業利益（評價口徑，含自用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</si>
  <si>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＋分部折舊攤銷</t>
  </si>
  <si>
    <t xml:space="preserve">− 資本支出</t>
  </si>
  <si>
    <t xml:space="preserve">− 新增融資租賃資產（以融資租賃本金代理；非現金取得，修正三）</t>
  </si>
  <si>
    <t xml:space="preserve">＋其他營運項目</t>
  </si>
  <si>
    <r>
      <rPr>
        <b val="true"/>
        <sz val="11"/>
        <rFont val="Cambria"/>
        <family val="0"/>
        <charset val="1"/>
      </rPr>
      <t xml:space="preserve">FCFF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不加回，視同現金成本）</t>
    </r>
  </si>
  <si>
    <t xml:space="preserve">折現因子（期中）</t>
  </si>
  <si>
    <t xml:space="preserve">現值</t>
  </si>
  <si>
    <t xml:space="preserve">明確期現值合計</t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</si>
  <si>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</si>
  <si>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</si>
  <si>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</si>
  <si>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</si>
  <si>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年底，含融資租賃與融資義務）</t>
    </r>
  </si>
  <si>
    <r>
      <rPr>
        <sz val="11"/>
        <color theme="1"/>
        <rFont val="Noto Sans CJK SC"/>
        <family val="2"/>
      </rPr>
      <t xml:space="preserve">＋持股：</t>
    </r>
    <r>
      <rPr>
        <sz val="11"/>
        <color theme="1"/>
        <rFont val="Calibri"/>
        <family val="2"/>
        <charset val="1"/>
      </rPr>
      <t xml:space="preserve">(Anthropic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</t>
    </r>
  </si>
  <si>
    <t xml:space="preserve">股權價值</t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</si>
  <si>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已視為現金成本，不另計稀釋）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</si>
  <si>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情境價值推到目標價時點（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ke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^tp_yf − </t>
    </r>
    <r>
      <rPr>
        <b val="true"/>
        <sz val="11"/>
        <rFont val="Noto Sans CJK SC"/>
        <family val="2"/>
      </rPr>
      <t xml:space="preserve">期間股利）</t>
    </r>
  </si>
  <si>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）：目標價時點的未來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1 − tp_yf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tp_yf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加回口徑（與同業倍數同口徑，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按營收比例分攤）；</t>
    </r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</si>
  <si>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廣告：未來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</si>
  <si>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t xml:space="preserve">廣告：倍數</t>
  </si>
  <si>
    <r>
      <rPr>
        <sz val="11"/>
        <color theme="1"/>
        <rFont val="Noto Sans CJK SC"/>
        <family val="2"/>
      </rPr>
      <t xml:space="preserve">廣告：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</si>
  <si>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</si>
  <si>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價值中性）：倍數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</si>
  <si>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</si>
  <si>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</si>
  <si>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雲端）：倍數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</si>
  <si>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</si>
  <si>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AI 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營業利益 − 對外比例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</si>
  <si>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Noto Sans CJK SC"/>
        <family val="2"/>
      </rPr>
      <t xml:space="preserve">  現值（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，期中）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</si>
  <si>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年底）＝</t>
    </r>
    <r>
      <rPr>
        <sz val="11"/>
        <color theme="1"/>
        <rFont val="Calibri"/>
        <family val="2"/>
        <charset val="1"/>
      </rPr>
      <t xml:space="preserve">FY2033 AI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</si>
  <si>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起的現金流推到目標價時點；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現金流已在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年底淨負債中）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</si>
  <si>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</si>
  <si>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</si>
  <si>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：採用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ai_leg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：倍數）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</si>
  <si>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</si>
  <si>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年底，含融資租賃與融資義務）</t>
    </r>
  </si>
  <si>
    <t xml:space="preserve">股權價值（＋持股）</t>
  </si>
  <si>
    <t xml:space="preserve">分部加總每股價值（目標價時點）</t>
  </si>
  <si>
    <r>
      <rPr>
        <b val="true"/>
        <sz val="11"/>
        <rFont val="Noto Sans CJK SC"/>
        <family val="2"/>
      </rPr>
      <t xml:space="preserve">情境目標價＝</t>
    </r>
    <r>
      <rPr>
        <b val="true"/>
        <sz val="11"/>
        <rFont val="Cambria"/>
        <family val="0"/>
        <charset val="1"/>
      </rPr>
      <t xml:space="preserve">w_dcf × DCF</t>
    </r>
    <r>
      <rPr>
        <b val="true"/>
        <sz val="11"/>
        <rFont val="Noto Sans CJK SC"/>
        <family val="2"/>
      </rPr>
      <t xml:space="preserve">＋（</t>
    </r>
    <r>
      <rPr>
        <b val="true"/>
        <sz val="11"/>
        <rFont val="Cambria"/>
        <family val="0"/>
        <charset val="1"/>
      </rPr>
      <t xml:space="preserve">1 − w_dcf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分部加總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</si>
  <si>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權重（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</si>
  <si>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對照：分部加總每股價值（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</si>
  <si>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</si>
  <si>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</si>
  <si>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市場共識、公司指引與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。只作事後對照，不為對上數字而調參數（共同規則第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</si>
  <si>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</si>
  <si>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</si>
  <si>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</si>
  <si>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</si>
  <si>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差距（</t>
    </r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對照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</si>
  <si>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合併共識（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S&amp;P Global 2026-10-26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</si>
  <si>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</si>
  <si>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</si>
  <si>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模型含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</si>
  <si>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</si>
  <si>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</si>
  <si>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FY2026 EBITDA</t>
  </si>
  <si>
    <r>
      <rPr>
        <sz val="11"/>
        <color theme="1"/>
        <rFont val="Noto Sans CJK SC"/>
        <family val="2"/>
      </rPr>
      <t xml:space="preserve">模型＝營業利益（財報口徑）＋分部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折舊；差距約一半是折舊口徑（不含影音內容與營業租賃資產攤銷，約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／年），約一半是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（供應商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加回，約 </t>
    </r>
    <r>
      <rPr>
        <sz val="11"/>
        <color theme="1"/>
        <rFont val="Calibri"/>
        <family val="2"/>
        <charset val="1"/>
      </rPr>
      <t xml:space="preserve">22–29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</si>
  <si>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</si>
  <si>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</si>
  <si>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財報口徑；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含上半年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</si>
  <si>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</si>
  <si>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</si>
  <si>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</si>
  <si>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模型扣除業外其他（近似）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</si>
  <si>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</si>
  <si>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</t>
    </r>
  </si>
  <si>
    <t xml:space="preserve">模型扣融資租賃本金；供應商口徑未揭露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</si>
  <si>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</si>
  <si>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</si>
  <si>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t xml:space="preserve">FY2027 EBITDA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</si>
  <si>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</si>
  <si>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</si>
  <si>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</si>
  <si>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</si>
  <si>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</si>
  <si>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</si>
  <si>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</si>
  <si>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FY2028 EBITDA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</si>
  <si>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</si>
  <si>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</si>
  <si>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</si>
  <si>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</si>
  <si>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</si>
  <si>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分部與營收線共識（逐分部）</t>
    </r>
  </si>
  <si>
    <t xml:space="preserve">FY2026 North America</t>
  </si>
  <si>
    <t xml:space="preserve">未找到</t>
  </si>
  <si>
    <t xml:space="preserve">未找到：本輪未取得公開的分部共識（免費來源只有合併數；網路搜尋額度用盡）</t>
  </si>
  <si>
    <t xml:space="preserve">FY2027 North America</t>
  </si>
  <si>
    <t xml:space="preserve">FY2026 International</t>
  </si>
  <si>
    <t xml:space="preserve">FY2027 International</t>
  </si>
  <si>
    <t xml:space="preserve">FY2026 AWS</t>
  </si>
  <si>
    <t xml:space="preserve">FY2027 AWS</t>
  </si>
  <si>
    <t xml:space="preserve">FY2026 Advertising services</t>
  </si>
  <si>
    <t xml:space="preserve">FY2027 Advertising services</t>
  </si>
  <si>
    <r>
      <rPr>
        <sz val="11"/>
        <color theme="1"/>
        <rFont val="Calibri"/>
        <family val="2"/>
        <charset val="1"/>
      </rPr>
      <t xml:space="preserve">FY2026 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</si>
  <si>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</si>
  <si>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AWS AI</t>
    </r>
    <r>
      <rPr>
        <sz val="11"/>
        <color theme="1"/>
        <rFont val="Noto Sans CJK SC"/>
        <family val="2"/>
      </rPr>
      <t xml:space="preserve">（命題子列）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</si>
  <si>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公司指引與說法（驗證列；不用於校準）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</si>
  <si>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</si>
  <si>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法說（二手逐字稿）</t>
    </r>
  </si>
  <si>
    <r>
      <rPr>
        <sz val="11"/>
        <color theme="1"/>
        <rFont val="Calibri"/>
        <family val="2"/>
        <charset val="1"/>
      </rPr>
      <t xml:space="preserve">2H26 AI </t>
    </r>
    <r>
      <rPr>
        <sz val="11"/>
        <color theme="1"/>
        <rFont val="Noto Sans CJK SC"/>
        <family val="2"/>
      </rPr>
      <t xml:space="preserve">資本支出取 </t>
    </r>
    <r>
      <rPr>
        <sz val="11"/>
        <color theme="1"/>
        <rFont val="Calibri"/>
        <family val="2"/>
        <charset val="1"/>
      </rPr>
      <t xml:space="preserve">MAX(MW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指引下限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</si>
  <si>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模型隱含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× 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</si>
  <si>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</si>
  <si>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197–202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時點約 −</t>
    </r>
    <r>
      <rPr>
        <sz val="11"/>
        <color theme="1"/>
        <rFont val="Calibri"/>
        <family val="2"/>
        <charset val="1"/>
      </rPr>
      <t xml:space="preserve">400bp</t>
    </r>
    <r>
      <rPr>
        <sz val="11"/>
        <color theme="1"/>
        <rFont val="Noto Sans CJK SC"/>
        <family val="2"/>
      </rPr>
      <t xml:space="preserve">、匯率 −</t>
    </r>
    <r>
      <rPr>
        <sz val="11"/>
        <color theme="1"/>
        <rFont val="Calibri"/>
        <family val="2"/>
        <charset val="1"/>
      </rPr>
      <t xml:space="preserve">80bp</t>
    </r>
    <r>
      <rPr>
        <sz val="11"/>
        <color theme="1"/>
        <rFont val="Noto Sans CJK SC"/>
        <family val="2"/>
      </rPr>
      <t xml:space="preserve">）；季節比例為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</si>
  <si>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模型隱含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× 2025Q3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2H25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</si>
  <si>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22.5–26.5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營業利益含 </t>
    </r>
    <r>
      <rPr>
        <sz val="11"/>
        <color theme="1"/>
        <rFont val="Calibri"/>
        <family val="2"/>
        <charset val="1"/>
      </rPr>
      <t xml:space="preserve">FTC </t>
    </r>
    <r>
      <rPr>
        <sz val="11"/>
        <color theme="1"/>
        <rFont val="Noto Sans CJK SC"/>
        <family val="2"/>
      </rPr>
      <t xml:space="preserve">和解等一次性費用，比例偏低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</si>
  <si>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年化營收（評價日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</si>
  <si>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</si>
  <si>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：不回頭改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，差距本身是發現</t>
    </r>
  </si>
  <si>
    <r>
      <rPr>
        <sz val="11"/>
        <color theme="1"/>
        <rFont val="Noto Sans CJK SC"/>
        <family val="2"/>
      </rPr>
      <t xml:space="preserve">要對上公司說法：所需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</si>
  <si>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</si>
  <si>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要對上公司說法：所需對外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</si>
  <si>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對照期初 </t>
    </r>
    <r>
      <rPr>
        <sz val="11"/>
        <color theme="1"/>
        <rFont val="Calibri"/>
        <family val="2"/>
        <charset val="1"/>
      </rPr>
      <t xml:space="preserve">2,080 MW</t>
    </r>
  </si>
  <si>
    <r>
      <rPr>
        <sz val="11"/>
        <color theme="1"/>
        <rFont val="Noto Sans CJK SC"/>
        <family val="2"/>
      </rPr>
      <t xml:space="preserve">替代：期初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時的情境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目標價變動（每股）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</si>
  <si>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頁案例</t>
    </r>
  </si>
  <si>
    <r>
      <rPr>
        <sz val="11"/>
        <color theme="1"/>
        <rFont val="Noto Sans CJK SC"/>
        <family val="2"/>
      </rPr>
      <t xml:space="preserve">不作主值（共同規則第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節：不以公司說法反推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其他的成長起點已改用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年增，不受此分拆影響</t>
    </r>
  </si>
  <si>
    <r>
      <rPr>
        <sz val="11"/>
        <color theme="1"/>
        <rFont val="Noto Sans CJK SC"/>
        <family val="2"/>
      </rPr>
      <t xml:space="preserve">上限檢查：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</si>
  <si>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Tokenomics v21.4</t>
  </si>
  <si>
    <r>
      <rPr>
        <b val="true"/>
        <sz val="11"/>
        <rFont val="Cambria"/>
        <family val="0"/>
        <charset val="1"/>
      </rPr>
      <t xml:space="preserve">D. v0.3 vs v0.2.2</t>
    </r>
    <r>
      <rPr>
        <b val="true"/>
        <sz val="11"/>
        <rFont val="Noto Sans CJK SC"/>
        <family val="2"/>
      </rPr>
      <t xml:space="preserve">：目標價差異拆解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</si>
  <si>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；現價 </t>
    </r>
    <r>
      <rPr>
        <sz val="11"/>
        <color theme="1"/>
        <rFont val="Calibri"/>
        <family val="2"/>
        <charset val="1"/>
      </rPr>
      <t xml:space="preserve">259.92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</si>
  <si>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201.71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</si>
  <si>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，主值）</t>
    </r>
  </si>
  <si>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</si>
  <si>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t xml:space="preserve">總差異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</si>
  <si>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）評價權重：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55% → </t>
    </r>
    <r>
      <rPr>
        <sz val="11"/>
        <color theme="1"/>
        <rFont val="Noto Sans CJK SC"/>
        <family val="2"/>
      </rPr>
      <t xml:space="preserve">各半（以情境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計）</t>
    </r>
  </si>
  <si>
    <t xml:space="preserve">方法變更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</si>
  <si>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）情境加權（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以基準情境為目標價）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</si>
  <si>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）其餘：營收結構改官方分部、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成本進分部營業利益、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永續法（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）、分部加總口徑、現價與日期</t>
    </r>
  </si>
  <si>
    <r>
      <rPr>
        <sz val="11"/>
        <color theme="1"/>
        <rFont val="Noto Sans CJK SC"/>
        <family val="2"/>
      </rPr>
      <t xml:space="preserve">未再細分：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引擎（</t>
    </r>
    <r>
      <rPr>
        <sz val="11"/>
        <color theme="1"/>
        <rFont val="Calibri"/>
        <family val="2"/>
        <charset val="1"/>
      </rPr>
      <t xml:space="preserve">legacy_v0.2</t>
    </r>
    <r>
      <rPr>
        <sz val="11"/>
        <color theme="1"/>
        <rFont val="Noto Sans CJK SC"/>
        <family val="2"/>
      </rPr>
      <t xml:space="preserve">）與本版結構不同，無法逐項替換重算</t>
    </r>
  </si>
  <si>
    <r>
      <rPr>
        <sz val="11"/>
        <color theme="1"/>
        <rFont val="Noto Sans CJK SC"/>
        <family val="2"/>
      </rPr>
      <t xml:space="preserve">另列：讀法差異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，加權）</t>
    </r>
  </si>
  <si>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</t>
    </r>
  </si>
  <si>
    <r>
      <rPr>
        <sz val="11"/>
        <color theme="1"/>
        <rFont val="Noto Sans CJK SC"/>
        <family val="2"/>
      </rPr>
      <t xml:space="preserve">另列：讀法差異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，基準）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</si>
  <si>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上檔空間（讀法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當時現價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</si>
  <si>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評等：賣出（舊三級口徑）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</si>
  <si>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）：對情境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目標價、</t>
    </r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營業利益率、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與收支關卡的影響。每個案例是一個完整推導區塊（本頁第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列起，與主頁同一引擎）</t>
    </r>
  </si>
  <si>
    <t xml:space="preserve">案例</t>
  </si>
  <si>
    <t xml:space="preserve">設定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</si>
  <si>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目標價</t>
    </r>
  </si>
  <si>
    <t xml:space="preserve">相對基準</t>
  </si>
  <si>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</t>
    </r>
  </si>
  <si>
    <t xml:space="preserve">收支關卡（五年）</t>
  </si>
  <si>
    <t xml:space="preserve">驅動類別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</si>
  <si>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</si>
  <si>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主頁情境 </t>
    </r>
    <r>
      <rPr>
        <sz val="11"/>
        <color theme="1"/>
        <rFont val="Calibri"/>
        <family val="2"/>
        <charset val="1"/>
      </rPr>
      <t xml:space="preserve">B</t>
    </r>
  </si>
  <si>
    <t xml:space="preserve">—</t>
  </si>
  <si>
    <r>
      <rPr>
        <sz val="11"/>
        <color theme="1"/>
        <rFont val="Noto Sans CJK SC"/>
        <family val="2"/>
      </rPr>
      <t xml:space="preserve">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低（價格軸低 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</si>
  <si>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0.574 </t>
    </r>
    <r>
      <rPr>
        <sz val="11"/>
        <color theme="1"/>
        <rFont val="Noto Sans CJK SC"/>
        <family val="2"/>
      </rPr>
      <t xml:space="preserve">混合</t>
    </r>
  </si>
  <si>
    <t xml:space="preserve">命題</t>
  </si>
  <si>
    <r>
      <rPr>
        <sz val="11"/>
        <color theme="1"/>
        <rFont val="Noto Sans CJK SC"/>
        <family val="2"/>
      </rPr>
      <t xml:space="preserve">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高（價格軸高 </t>
    </r>
    <r>
      <rPr>
        <sz val="11"/>
        <color theme="1"/>
        <rFont val="Calibri"/>
        <family val="2"/>
        <charset val="1"/>
      </rPr>
      <t xml:space="preserve">k_A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</si>
  <si>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</si>
  <si>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60%</t>
    </r>
  </si>
  <si>
    <t xml:space="preserve">C23 −20pt</t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</si>
  <si>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100%</t>
    </r>
  </si>
  <si>
    <t xml:space="preserve">C23 +20pt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</si>
  <si>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× 0.75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</si>
  <si>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 −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</si>
  <si>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× 1.25</t>
    </r>
  </si>
  <si>
    <t xml:space="preserve">+25%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</si>
  <si>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</si>
  <si>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6 </t>
    </r>
    <r>
      <rPr>
        <sz val="11"/>
        <color theme="1"/>
        <rFont val="Noto Sans CJK SC"/>
        <family val="2"/>
      </rPr>
      <t xml:space="preserve">年 →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</si>
  <si>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</si>
  <si>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6 → 7</t>
  </si>
  <si>
    <r>
      <rPr>
        <sz val="11"/>
        <color theme="1"/>
        <rFont val="Noto Sans CJK SC"/>
        <family val="2"/>
      </rPr>
      <t xml:space="preserve">自研晶片係數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（收入與資本支出）</t>
    </r>
  </si>
  <si>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敏感度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</si>
  <si>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</t>
    </r>
  </si>
  <si>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；主值為讀法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</si>
  <si>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實績期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在建延後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年轉入在役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</si>
  <si>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年（修正三）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</si>
  <si>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AI 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</si>
  <si>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ai_rr ÷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1.23</t>
    </r>
    <r>
      <rPr>
        <sz val="11"/>
        <color theme="1"/>
        <rFont val="Noto Sans CJK SC"/>
        <family val="2"/>
      </rPr>
      <t xml:space="preserve">）；只作對照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</si>
  <si>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</si>
  <si>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g_awso_lt </t>
    </r>
    <r>
      <rPr>
        <sz val="11"/>
        <color theme="1"/>
        <rFont val="Noto Sans CJK SC"/>
        <family val="2"/>
      </rPr>
      <t xml:space="preserve">低</t>
    </r>
  </si>
  <si>
    <t xml:space="preserve">業務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</si>
  <si>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</si>
  <si>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g_awso_lt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</si>
  <si>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廣告利益率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</si>
  <si>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</si>
  <si>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廣告利益率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</si>
  <si>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</si>
  <si>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廣告長期成長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</si>
  <si>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g_ad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</si>
  <si>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廣告長期成長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</si>
  <si>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g_ad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</si>
  <si>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北美零售利益率年改善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</si>
  <si>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step_na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</si>
  <si>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北美零售利益率年改善 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</si>
  <si>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step_na </t>
    </r>
    <r>
      <rPr>
        <sz val="11"/>
        <color theme="1"/>
        <rFont val="Noto Sans CJK SC"/>
        <family val="2"/>
      </rPr>
      <t xml:space="preserve">高</t>
    </r>
  </si>
  <si>
    <t xml:space="preserve">WACC −1pt</t>
  </si>
  <si>
    <t xml:space="preserve">評價</t>
  </si>
  <si>
    <t xml:space="preserve">WACC +1pt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</si>
  <si>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 2%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</si>
  <si>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 4%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</si>
  <si>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</si>
  <si>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</si>
  <si>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分部倍數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</si>
  <si>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Noto Sans CJK SC"/>
        <family val="2"/>
      </rPr>
      <t xml:space="preserve">零售、廣告、非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</t>
    </r>
  </si>
  <si>
    <r>
      <rPr>
        <sz val="11"/>
        <color theme="1"/>
        <rFont val="Noto Sans CJK SC"/>
        <family val="2"/>
      </rPr>
      <t xml:space="preserve">分部倍數 </t>
    </r>
    <r>
      <rPr>
        <sz val="11"/>
        <color theme="1"/>
        <rFont val="Calibri"/>
        <family val="2"/>
        <charset val="1"/>
      </rPr>
      <t xml:space="preserve">× 1.2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</si>
  <si>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6×</t>
    </r>
  </si>
  <si>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</si>
  <si>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10×</t>
    </r>
  </si>
  <si>
    <r>
      <rPr>
        <sz val="11"/>
        <color theme="1"/>
        <rFont val="Noto Sans CJK SC"/>
        <family val="2"/>
      </rPr>
      <t xml:space="preserve">分部加總計入未來授予的稀釋（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不加回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</si>
  <si>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敏感度；主值加回 </t>
    </r>
    <r>
      <rPr>
        <sz val="11"/>
        <color theme="1"/>
        <rFont val="Calibri"/>
        <family val="2"/>
        <charset val="1"/>
      </rPr>
      <t xml:space="preserve">SBC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</si>
  <si>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</si>
  <si>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</si>
  <si>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</si>
  <si>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</si>
  <si>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</si>
  <si>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</si>
  <si>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基準區塊目標價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</si>
  <si>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；每列只動一個輸入（自研晶片係數同時動收入與資本支出）。</t>
    </r>
  </si>
  <si>
    <r>
      <rPr>
        <b val="true"/>
        <sz val="11"/>
        <rFont val="Cambria"/>
        <family val="0"/>
        <charset val="1"/>
      </rPr>
      <t xml:space="preserve">WACC × </t>
    </r>
    <r>
      <rPr>
        <b val="true"/>
        <sz val="11"/>
        <rFont val="Noto Sans CJK SC"/>
        <family val="2"/>
      </rPr>
      <t xml:space="preserve">永續成長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網格（情境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目標價；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</si>
  <si>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</t>
    </r>
  </si>
  <si>
    <t xml:space="preserve">g 2%</t>
  </si>
  <si>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（基準）</t>
    </r>
  </si>
  <si>
    <t xml:space="preserve">g 4%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</si>
  <si>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</si>
  <si>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（只計成本）三情境（主值為讀法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</si>
  <si>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</si>
  <si>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目標價</t>
  </si>
  <si>
    <t xml:space="preserve">DCF</t>
  </si>
  <si>
    <t xml:space="preserve">分部加總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</si>
  <si>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</si>
  <si>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</si>
  <si>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</si>
  <si>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</si>
  <si>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</si>
  <si>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</si>
  <si>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</si>
  <si>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基準區塊（無覆寫）：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</si>
  <si>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</si>
  <si>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</si>
  <si>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</si>
  <si>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</si>
  <si>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低（價格軸低 </t>
    </r>
    <r>
      <rPr>
        <b val="true"/>
        <sz val="12"/>
        <rFont val="Cambria"/>
        <family val="0"/>
        <charset val="1"/>
      </rPr>
      <t xml:space="preserve">k_C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</si>
  <si>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</si>
  <si>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</si>
  <si>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</si>
  <si>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</si>
  <si>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案例：新產能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高（價格軸高 </t>
    </r>
    <r>
      <rPr>
        <b val="true"/>
        <sz val="12"/>
        <rFont val="Cambria"/>
        <family val="0"/>
        <charset val="1"/>
      </rPr>
      <t xml:space="preserve">k_A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</si>
  <si>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</si>
  <si>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</si>
  <si>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</si>
  <si>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</si>
  <si>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</si>
  <si>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</si>
  <si>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</si>
  <si>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</si>
  <si>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</si>
  <si>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案例：對外比例 </t>
    </r>
    <r>
      <rPr>
        <b val="true"/>
        <sz val="12"/>
        <rFont val="Cambria"/>
        <family val="0"/>
        <charset val="1"/>
      </rPr>
      <t xml:space="preserve">100%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</si>
  <si>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</si>
  <si>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</si>
  <si>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</si>
  <si>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</si>
  <si>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0.75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</si>
  <si>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</si>
  <si>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</si>
  <si>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</si>
  <si>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</si>
  <si>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速度 </t>
    </r>
    <r>
      <rPr>
        <b val="true"/>
        <sz val="12"/>
        <rFont val="Cambria"/>
        <family val="0"/>
        <charset val="1"/>
      </rPr>
      <t xml:space="preserve">× 1.25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</si>
  <si>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</si>
  <si>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</si>
  <si>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</si>
  <si>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</si>
  <si>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5 </t>
    </r>
    <r>
      <rPr>
        <b val="true"/>
        <sz val="12"/>
        <rFont val="Noto Sans CJK SC"/>
        <family val="2"/>
      </rPr>
      <t xml:space="preserve">年：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</si>
  <si>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</si>
  <si>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</si>
  <si>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</si>
  <si>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</si>
  <si>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AI IT </t>
    </r>
    <r>
      <rPr>
        <b val="true"/>
        <sz val="12"/>
        <rFont val="Noto Sans CJK SC"/>
        <family val="2"/>
      </rPr>
      <t xml:space="preserve">折舊 </t>
    </r>
    <r>
      <rPr>
        <b val="true"/>
        <sz val="12"/>
        <rFont val="Cambria"/>
        <family val="0"/>
        <charset val="1"/>
      </rPr>
      <t xml:space="preserve">7 </t>
    </r>
    <r>
      <rPr>
        <b val="true"/>
        <sz val="12"/>
        <rFont val="Noto Sans CJK SC"/>
        <family val="2"/>
      </rPr>
      <t xml:space="preserve">年：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</si>
  <si>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</si>
  <si>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</si>
  <si>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</si>
  <si>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</si>
  <si>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案例：自研晶片係數 </t>
    </r>
    <r>
      <rPr>
        <b val="true"/>
        <sz val="12"/>
        <rFont val="Cambria"/>
        <family val="0"/>
        <charset val="1"/>
      </rPr>
      <t xml:space="preserve">0.7</t>
    </r>
    <r>
      <rPr>
        <b val="true"/>
        <sz val="12"/>
        <rFont val="Noto Sans CJK SC"/>
        <family val="2"/>
      </rPr>
      <t xml:space="preserve">（收入與資本支出）：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</si>
  <si>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</si>
  <si>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</si>
  <si>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</si>
  <si>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</si>
  <si>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案例：自用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（只計成本）：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</si>
  <si>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案例：實績期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在建延後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年轉入在役：營收分部層（官方分部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</si>
  <si>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案例：實績期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在建延後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年轉入在役：命題模組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</si>
  <si>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案例：實績期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在建延後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年轉入在役：分部營收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</si>
  <si>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案例：實績期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在建延後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年轉入在役：營運現金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</si>
  <si>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案例：實績期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在建延後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年轉入在役：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</si>
  <si>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</si>
  <si>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</si>
  <si>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</si>
  <si>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</si>
  <si>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案例：期初 </t>
    </r>
    <r>
      <rPr>
        <b val="true"/>
        <sz val="12"/>
        <rFont val="Cambria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對上公司 </t>
    </r>
    <r>
      <rPr>
        <b val="true"/>
        <sz val="12"/>
        <rFont val="Cambria"/>
        <family val="0"/>
        <charset val="1"/>
      </rPr>
      <t xml:space="preserve">AI run-rate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&gt;25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</si>
  <si>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</si>
  <si>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</si>
  <si>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</si>
  <si>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</si>
  <si>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</si>
  <si>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</si>
  <si>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</si>
  <si>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</si>
  <si>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</si>
  <si>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</t>
    </r>
    <r>
      <rPr>
        <b val="true"/>
        <sz val="12"/>
        <rFont val="Noto Sans CJK SC"/>
        <family val="2"/>
      </rPr>
      <t xml:space="preserve">其他長期成長 </t>
    </r>
    <r>
      <rPr>
        <b val="true"/>
        <sz val="12"/>
        <rFont val="Cambria"/>
        <family val="0"/>
        <charset val="1"/>
      </rPr>
      <t xml:space="preserve">11%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</si>
  <si>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</si>
  <si>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</si>
  <si>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</si>
  <si>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</si>
  <si>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40%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</si>
  <si>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</si>
  <si>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</si>
  <si>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</si>
  <si>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</si>
  <si>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案例：廣告利益率 </t>
    </r>
    <r>
      <rPr>
        <b val="true"/>
        <sz val="12"/>
        <rFont val="Cambria"/>
        <family val="0"/>
        <charset val="1"/>
      </rPr>
      <t xml:space="preserve">60%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</si>
  <si>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</si>
  <si>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</si>
  <si>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</si>
  <si>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</si>
  <si>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7%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</si>
  <si>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</si>
  <si>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</si>
  <si>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</si>
  <si>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</si>
  <si>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案例：廣告長期成長 </t>
    </r>
    <r>
      <rPr>
        <b val="true"/>
        <sz val="12"/>
        <rFont val="Cambria"/>
        <family val="0"/>
        <charset val="1"/>
      </rPr>
      <t xml:space="preserve">13%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</si>
  <si>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</si>
  <si>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</si>
  <si>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</si>
  <si>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</si>
  <si>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</si>
  <si>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</si>
  <si>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</si>
  <si>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</si>
  <si>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</si>
  <si>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案例：北美零售利益率年改善 </t>
    </r>
    <r>
      <rPr>
        <b val="true"/>
        <sz val="12"/>
        <rFont val="Cambria"/>
        <family val="0"/>
        <charset val="1"/>
      </rPr>
      <t xml:space="preserve">0.6pt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</si>
  <si>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</si>
  <si>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</si>
  <si>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</si>
  <si>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</si>
  <si>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</si>
  <si>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</si>
  <si>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</si>
  <si>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</si>
  <si>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</si>
  <si>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</si>
  <si>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</si>
  <si>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</si>
  <si>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</si>
  <si>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</si>
  <si>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</si>
  <si>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</si>
  <si>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</si>
  <si>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</si>
  <si>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</si>
  <si>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案例：永續成長 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</si>
  <si>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</si>
  <si>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</si>
  <si>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</si>
  <si>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</si>
  <si>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RONIC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5pt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</si>
  <si>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</si>
  <si>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</si>
  <si>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</si>
  <si>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</si>
  <si>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0.8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</si>
  <si>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</si>
  <si>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</si>
  <si>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</si>
  <si>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</si>
  <si>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案例：分部倍數 </t>
    </r>
    <r>
      <rPr>
        <b val="true"/>
        <sz val="12"/>
        <rFont val="Cambria"/>
        <family val="0"/>
        <charset val="1"/>
      </rPr>
      <t xml:space="preserve">× 1.2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</si>
  <si>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</si>
  <si>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</si>
  <si>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</si>
  <si>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</si>
  <si>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6×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</si>
  <si>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</si>
  <si>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</si>
  <si>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</si>
  <si>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</si>
  <si>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AWS AI </t>
    </r>
    <r>
      <rPr>
        <b val="true"/>
        <sz val="12"/>
        <rFont val="Noto Sans CJK SC"/>
        <family val="2"/>
      </rPr>
      <t xml:space="preserve">腿改用 </t>
    </r>
    <r>
      <rPr>
        <b val="true"/>
        <sz val="12"/>
        <rFont val="Cambria"/>
        <family val="0"/>
        <charset val="1"/>
      </rPr>
      <t xml:space="preserve">EBITDA × 10×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</si>
  <si>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案例：分部加總計入未來授予的稀釋（</t>
    </r>
    <r>
      <rPr>
        <b val="true"/>
        <sz val="12"/>
        <rFont val="Cambria"/>
        <family val="0"/>
        <charset val="1"/>
      </rPr>
      <t xml:space="preserve">EBITDA </t>
    </r>
    <r>
      <rPr>
        <b val="true"/>
        <sz val="12"/>
        <rFont val="Noto Sans CJK SC"/>
        <family val="2"/>
      </rPr>
      <t xml:space="preserve">不加回 </t>
    </r>
    <r>
      <rPr>
        <b val="true"/>
        <sz val="12"/>
        <rFont val="Cambria"/>
        <family val="0"/>
        <charset val="1"/>
      </rPr>
      <t xml:space="preserve">SBC</t>
    </r>
    <r>
      <rPr>
        <b val="true"/>
        <sz val="12"/>
        <rFont val="Noto Sans CJK SC"/>
        <family val="2"/>
      </rPr>
      <t xml:space="preserve">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</si>
  <si>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案例：分部加總計入未來授予的稀釋（</t>
    </r>
    <r>
      <rPr>
        <b val="true"/>
        <sz val="12"/>
        <rFont val="Cambria"/>
        <family val="0"/>
        <charset val="1"/>
      </rPr>
      <t xml:space="preserve">EBITDA </t>
    </r>
    <r>
      <rPr>
        <b val="true"/>
        <sz val="12"/>
        <rFont val="Noto Sans CJK SC"/>
        <family val="2"/>
      </rPr>
      <t xml:space="preserve">不加回 </t>
    </r>
    <r>
      <rPr>
        <b val="true"/>
        <sz val="12"/>
        <rFont val="Cambria"/>
        <family val="0"/>
        <charset val="1"/>
      </rPr>
      <t xml:space="preserve">SBC</t>
    </r>
    <r>
      <rPr>
        <b val="true"/>
        <sz val="12"/>
        <rFont val="Noto Sans CJK SC"/>
        <family val="2"/>
      </rPr>
      <t xml:space="preserve">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</si>
  <si>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案例：分部加總計入未來授予的稀釋（</t>
    </r>
    <r>
      <rPr>
        <b val="true"/>
        <sz val="12"/>
        <rFont val="Cambria"/>
        <family val="0"/>
        <charset val="1"/>
      </rPr>
      <t xml:space="preserve">EBITDA </t>
    </r>
    <r>
      <rPr>
        <b val="true"/>
        <sz val="12"/>
        <rFont val="Noto Sans CJK SC"/>
        <family val="2"/>
      </rPr>
      <t xml:space="preserve">不加回 </t>
    </r>
    <r>
      <rPr>
        <b val="true"/>
        <sz val="12"/>
        <rFont val="Cambria"/>
        <family val="0"/>
        <charset val="1"/>
      </rPr>
      <t xml:space="preserve">SBC</t>
    </r>
    <r>
      <rPr>
        <b val="true"/>
        <sz val="12"/>
        <rFont val="Noto Sans CJK SC"/>
        <family val="2"/>
      </rPr>
      <t xml:space="preserve">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</si>
  <si>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案例：分部加總計入未來授予的稀釋（</t>
    </r>
    <r>
      <rPr>
        <b val="true"/>
        <sz val="12"/>
        <rFont val="Cambria"/>
        <family val="0"/>
        <charset val="1"/>
      </rPr>
      <t xml:space="preserve">EBITDA </t>
    </r>
    <r>
      <rPr>
        <b val="true"/>
        <sz val="12"/>
        <rFont val="Noto Sans CJK SC"/>
        <family val="2"/>
      </rPr>
      <t xml:space="preserve">不加回 </t>
    </r>
    <r>
      <rPr>
        <b val="true"/>
        <sz val="12"/>
        <rFont val="Cambria"/>
        <family val="0"/>
        <charset val="1"/>
      </rPr>
      <t xml:space="preserve">SBC</t>
    </r>
    <r>
      <rPr>
        <b val="true"/>
        <sz val="12"/>
        <rFont val="Noto Sans CJK SC"/>
        <family val="2"/>
      </rPr>
      <t xml:space="preserve">）：營運現金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</si>
  <si>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案例：分部加總計入未來授予的稀釋（</t>
    </r>
    <r>
      <rPr>
        <b val="true"/>
        <sz val="12"/>
        <rFont val="Cambria"/>
        <family val="0"/>
        <charset val="1"/>
      </rPr>
      <t xml:space="preserve">EBITDA </t>
    </r>
    <r>
      <rPr>
        <b val="true"/>
        <sz val="12"/>
        <rFont val="Noto Sans CJK SC"/>
        <family val="2"/>
      </rPr>
      <t xml:space="preserve">不加回 </t>
    </r>
    <r>
      <rPr>
        <b val="true"/>
        <sz val="12"/>
        <rFont val="Cambria"/>
        <family val="0"/>
        <charset val="1"/>
      </rPr>
      <t xml:space="preserve">SBC</t>
    </r>
    <r>
      <rPr>
        <b val="true"/>
        <sz val="12"/>
        <rFont val="Noto Sans CJK SC"/>
        <family val="2"/>
      </rPr>
      <t xml:space="preserve">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</si>
  <si>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</si>
  <si>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</si>
  <si>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</si>
  <si>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</si>
  <si>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</si>
  <si>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</si>
  <si>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</si>
  <si>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</si>
  <si>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</si>
  <si>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Anthropic </t>
    </r>
    <r>
      <rPr>
        <b val="true"/>
        <sz val="12"/>
        <rFont val="Noto Sans CJK SC"/>
        <family val="2"/>
      </rPr>
      <t xml:space="preserve">持股 </t>
    </r>
    <r>
      <rPr>
        <b val="true"/>
        <sz val="12"/>
        <rFont val="Cambria"/>
        <family val="0"/>
        <charset val="1"/>
      </rPr>
      <t xml:space="preserve">21%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</si>
  <si>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</si>
  <si>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</si>
  <si>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</si>
  <si>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</si>
  <si>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30%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</si>
  <si>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</si>
  <si>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</si>
  <si>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</si>
  <si>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</si>
  <si>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案例：</t>
    </r>
    <r>
      <rPr>
        <b val="true"/>
        <sz val="12"/>
        <rFont val="Cambria"/>
        <family val="0"/>
        <charset val="1"/>
      </rPr>
      <t xml:space="preserve">DCF </t>
    </r>
    <r>
      <rPr>
        <b val="true"/>
        <sz val="12"/>
        <rFont val="Noto Sans CJK SC"/>
        <family val="2"/>
      </rPr>
      <t xml:space="preserve">權重 </t>
    </r>
    <r>
      <rPr>
        <b val="true"/>
        <sz val="12"/>
        <rFont val="Cambria"/>
        <family val="0"/>
        <charset val="1"/>
      </rPr>
      <t xml:space="preserve">70%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</si>
  <si>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</si>
  <si>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</si>
  <si>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</si>
  <si>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</si>
  <si>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</si>
  <si>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</si>
  <si>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</si>
  <si>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</si>
  <si>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</si>
  <si>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</si>
  <si>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</si>
  <si>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</si>
  <si>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</si>
  <si>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</si>
  <si>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−1pt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</si>
  <si>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</si>
  <si>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</si>
  <si>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</si>
  <si>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</si>
  <si>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</si>
  <si>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</si>
  <si>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</si>
  <si>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</si>
  <si>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</si>
  <si>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</si>
  <si>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</si>
  <si>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</si>
  <si>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</si>
  <si>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</si>
  <si>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（基準）、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</si>
  <si>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</si>
  <si>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</si>
  <si>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</si>
  <si>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</si>
  <si>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2%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</si>
  <si>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</si>
  <si>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</si>
  <si>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</si>
  <si>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</si>
  <si>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3%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</si>
  <si>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</si>
  <si>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</si>
  <si>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</si>
  <si>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</si>
  <si>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</t>
    </r>
    <r>
      <rPr>
        <b val="true"/>
        <sz val="12"/>
        <rFont val="Cambria"/>
        <family val="0"/>
        <charset val="1"/>
      </rPr>
      <t xml:space="preserve">Sens </t>
    </r>
    <r>
      <rPr>
        <b val="true"/>
        <sz val="12"/>
        <rFont val="Noto Sans CJK SC"/>
        <family val="2"/>
      </rPr>
      <t xml:space="preserve">網格：</t>
    </r>
    <r>
      <rPr>
        <b val="true"/>
        <sz val="12"/>
        <rFont val="Cambria"/>
        <family val="0"/>
        <charset val="1"/>
      </rPr>
      <t xml:space="preserve">WACC +1pt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 4%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</si>
  <si>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</si>
  <si>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</si>
  <si>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</si>
  <si>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</si>
  <si>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</si>
  <si>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</si>
  <si>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</si>
  <si>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</si>
  <si>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</si>
  <si>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</si>
  <si>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</si>
  <si>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</si>
  <si>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</si>
  <si>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</si>
  <si>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</si>
  <si>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Sources — </t>
    </r>
    <r>
      <rPr>
        <b val="true"/>
        <sz val="11"/>
        <rFont val="Noto Sans CJK SC"/>
        <family val="2"/>
      </rPr>
      <t xml:space="preserve">每個來源一列（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頁、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頁以編號引用）。公司新聞稿與法說屬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（經查核）與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（核閱）為 </t>
    </r>
    <r>
      <rPr>
        <b val="true"/>
        <sz val="11"/>
        <rFont val="Cambria"/>
        <family val="0"/>
        <charset val="1"/>
      </rPr>
      <t xml:space="preserve">Verified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SemiAnalysis </t>
    </r>
    <r>
      <rPr>
        <b val="true"/>
        <sz val="11"/>
        <rFont val="Noto Sans CJK SC"/>
        <family val="2"/>
      </rPr>
      <t xml:space="preserve">未使用</t>
    </r>
  </si>
  <si>
    <t xml:space="preserve">編號</t>
  </si>
  <si>
    <t xml:space="preserve">文件</t>
  </si>
  <si>
    <t xml:space="preserve">日期</t>
  </si>
  <si>
    <t xml:space="preserve">網址</t>
  </si>
  <si>
    <r>
      <rPr>
        <sz val="11"/>
        <color theme="1"/>
        <rFont val="Calibri"/>
        <family val="2"/>
        <charset val="1"/>
      </rPr>
      <t xml:space="preserve">Form 10-K 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，經查核）</t>
    </r>
  </si>
  <si>
    <t xml:space="preserve">2026-02-06</t>
  </si>
  <si>
    <t xml:space="preserve">https://www.sec.gov/Archives/edgar/data/1018724/000101872426000004/amzn-20251231.htm</t>
  </si>
  <si>
    <r>
      <rPr>
        <sz val="11"/>
        <color theme="1"/>
        <rFont val="Calibri"/>
        <family val="2"/>
        <charset val="1"/>
      </rPr>
      <t xml:space="preserve">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，核閱未查核）</t>
    </r>
  </si>
  <si>
    <t xml:space="preserve">2026-07-31</t>
  </si>
  <si>
    <t xml:space="preserve">https://www.sec.gov/Archives/edgar/data/1018724/000101872426000026/amzn-20260630.htm</t>
  </si>
  <si>
    <t xml:space="preserve">S03</t>
  </si>
  <si>
    <r>
      <rPr>
        <sz val="11"/>
        <color theme="1"/>
        <rFont val="Calibri"/>
        <family val="2"/>
        <charset val="1"/>
      </rPr>
      <t xml:space="preserve">Form 10-Q 2025Q3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D&amp;A </t>
    </r>
    <r>
      <rPr>
        <sz val="11"/>
        <color theme="1"/>
        <rFont val="Noto Sans CJK SC"/>
        <family val="2"/>
      </rPr>
      <t xml:space="preserve">前九個月）</t>
    </r>
  </si>
  <si>
    <t xml:space="preserve">2025-10-31</t>
  </si>
  <si>
    <t xml:space="preserve">https://www.sec.gov/Archives/edgar/data/1018724/000101872425000123/amzn-20250930.htm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</si>
  <si>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；逐季補充表、指引）</t>
    </r>
  </si>
  <si>
    <t xml:space="preserve">2026-07-30</t>
  </si>
  <si>
    <t xml:space="preserve">https://www.sec.gov/Archives/edgar/data/1018724/000101872426000024/amzn-20260630xex991.htm</t>
  </si>
  <si>
    <t xml:space="preserve">S05</t>
  </si>
  <si>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</si>
  <si>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2026-04-29</t>
  </si>
  <si>
    <t xml:space="preserve">https://www.sec.gov/Archives/edgar/data/1018724/000101872426000012/amzn-20260331xex991.htm</t>
  </si>
  <si>
    <t xml:space="preserve">S06</t>
  </si>
  <si>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</si>
  <si>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2026-02-05</t>
  </si>
  <si>
    <t xml:space="preserve">https://www.sec.gov/Archives/edgar/data/1018724/000101872426000002/amzn-20251231xex991.htm</t>
  </si>
  <si>
    <t xml:space="preserve">S07</t>
  </si>
  <si>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</si>
  <si>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2025-10-30</t>
  </si>
  <si>
    <t xml:space="preserve">https://www.sec.gov/Archives/edgar/data/1018724/000101872425000121/amzn-20250930xex991.htm</t>
  </si>
  <si>
    <t xml:space="preserve">S08</t>
  </si>
  <si>
    <r>
      <rPr>
        <sz val="11"/>
        <color theme="1"/>
        <rFont val="Calibri"/>
        <family val="2"/>
        <charset val="1"/>
      </rPr>
      <t xml:space="preserve">2024Q4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；逐季補充表）</t>
    </r>
  </si>
  <si>
    <t xml:space="preserve">2025-02-06</t>
  </si>
  <si>
    <t xml:space="preserve">https://www.sec.gov/Archives/edgar/data/1018724/000101872425000002/amzn-20241231xex991.htm</t>
  </si>
  <si>
    <t xml:space="preserve">S09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</si>
  <si>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</si>
  <si>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2024-10-31</t>
  </si>
  <si>
    <t xml:space="preserve">https://www.sec.gov/Archives/edgar/data/1018724/000101872424000158/amzn-20240930xex991.htm</t>
  </si>
  <si>
    <r>
      <rPr>
        <sz val="11"/>
        <color theme="1"/>
        <rFont val="Calibri"/>
        <family val="2"/>
        <charset val="1"/>
      </rPr>
      <t xml:space="preserve">SEC XBRL companyfacts</t>
    </r>
    <r>
      <rPr>
        <sz val="11"/>
        <color theme="1"/>
        <rFont val="Noto Sans CJK SC"/>
        <family val="2"/>
      </rPr>
      <t xml:space="preserve">（稀釋加權股數）</t>
    </r>
  </si>
  <si>
    <t xml:space="preserve">2026-10-08</t>
  </si>
  <si>
    <t xml:space="preserve">https://data.sec.gov/api/xbrl/companyfacts/CIK0001018724.json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</si>
  <si>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法說會逐字稿（二手轉錄：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</si>
  <si>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https://www.webull.com/news/15364638750483456</t>
  </si>
  <si>
    <r>
      <rPr>
        <sz val="11"/>
        <color theme="1"/>
        <rFont val="Calibri"/>
        <family val="2"/>
        <charset val="1"/>
      </rPr>
      <t xml:space="preserve">424B5 </t>
    </r>
    <r>
      <rPr>
        <sz val="11"/>
        <color theme="1"/>
        <rFont val="Noto Sans CJK SC"/>
        <family val="2"/>
      </rPr>
      <t xml:space="preserve">英鎊票據公開說明書補充（</t>
    </r>
    <r>
      <rPr>
        <sz val="11"/>
        <color theme="1"/>
        <rFont val="Calibri"/>
        <family val="2"/>
        <charset val="1"/>
      </rPr>
      <t xml:space="preserve">£3.25B</t>
    </r>
    <r>
      <rPr>
        <sz val="11"/>
        <color theme="1"/>
        <rFont val="Noto Sans CJK SC"/>
        <family val="2"/>
      </rPr>
      <t xml:space="preserve">）</t>
    </r>
  </si>
  <si>
    <t xml:space="preserve">2026-09-11</t>
  </si>
  <si>
    <t xml:space="preserve">https://www.sec.gov/Archives/edgar/data/1018724/000110465926107122/tm2624614-3_424b5.htm</t>
  </si>
  <si>
    <t xml:space="preserve">S13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</si>
  <si>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AMZN 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同值）</t>
    </r>
  </si>
  <si>
    <t xml:space="preserve">2026-10-26</t>
  </si>
  <si>
    <t xml:space="preserve">https://stockanalysis.com/stocks/amzn/history/</t>
  </si>
  <si>
    <t xml:space="preserve">S14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</si>
  <si>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16:00 EDT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</si>
  <si>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https://finance.yahoo.com/quote/AMZN/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</si>
  <si>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332.24</t>
    </r>
    <r>
      <rPr>
        <sz val="11"/>
        <color theme="1"/>
        <rFont val="Noto Sans CJK SC"/>
        <family val="2"/>
      </rPr>
      <t xml:space="preserve">、營收與調整後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</si>
  <si>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https://stockanalysis.com/stocks/amzn/forecast/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</si>
  <si>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年度共識（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系；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、淨利、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</si>
  <si>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https://www.marketscreener.com/quote/stock/AMAZON-COM-INC-12864605/finances/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</si>
  <si>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amazon/data/tokenomics_snapshot_v21.4.json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</si>
  <si>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</si>
  <si>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t xml:space="preserve">amazon/data/tokenomics_snapshot_v21.4.json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</si>
  <si>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amazon/data/kevidence_amazon_20261008.json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AWS p5 </t>
    </r>
    <r>
      <rPr>
        <sz val="11"/>
        <color theme="1"/>
        <rFont val="Noto Sans CJK SC"/>
        <family val="2"/>
      </rPr>
      <t xml:space="preserve">牌價）</t>
    </r>
  </si>
  <si>
    <t xml:space="preserve">amazon/data/kevidence_amazon_20261008.json</t>
  </si>
  <si>
    <t xml:space="preserve">S19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</si>
  <si>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資料中心目錄（</t>
    </r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）</t>
    </r>
  </si>
  <si>
    <t xml:space="preserve">2026-10-05</t>
  </si>
  <si>
    <t xml:space="preserve">https://epoch.ai/data/ai-data-centers/directory/</t>
  </si>
  <si>
    <t xml:space="preserve">Analogy</t>
  </si>
  <si>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資料報告（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、對外比例、世代占比的推導）</t>
    </r>
  </si>
  <si>
    <r>
      <rPr>
        <sz val="11"/>
        <color theme="1"/>
        <rFont val="Calibri"/>
        <family val="2"/>
        <charset val="1"/>
      </rPr>
      <t xml:space="preserve">amazon/docs/reports/20261008_amazon_v0.1a_</t>
    </r>
    <r>
      <rPr>
        <sz val="11"/>
        <color theme="1"/>
        <rFont val="Noto Sans CJK SC"/>
        <family val="2"/>
      </rPr>
      <t xml:space="preserve">資料</t>
    </r>
    <r>
      <rPr>
        <sz val="11"/>
        <color theme="1"/>
        <rFont val="Calibri"/>
        <family val="2"/>
        <charset val="1"/>
      </rPr>
      <t xml:space="preserve">.md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</si>
  <si>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</si>
  <si>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交接檔（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、持股、同業倍數；本版沿用）</t>
    </r>
  </si>
  <si>
    <r>
      <rPr>
        <sz val="11"/>
        <color theme="1"/>
        <rFont val="Calibri"/>
        <family val="2"/>
        <charset val="1"/>
      </rPr>
      <t xml:space="preserve">amazon/docs/handoff/20261025_Amazon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；引擎 </t>
    </r>
    <r>
      <rPr>
        <sz val="11"/>
        <color theme="1"/>
        <rFont val="Calibri"/>
        <family val="2"/>
        <charset val="1"/>
      </rPr>
      <t xml:space="preserve">amazon/legacy_v0.2/</t>
    </r>
  </si>
  <si>
    <r>
      <rPr>
        <sz val="11"/>
        <color theme="1"/>
        <rFont val="Noto Sans CJK SC"/>
        <family val="2"/>
      </rPr>
      <t xml:space="preserve">共用非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雲端同業檔（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</si>
  <si>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</si>
  <si>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amazon/data/peers_cloud_20261008.json</t>
  </si>
  <si>
    <r>
      <rPr>
        <sz val="11"/>
        <color theme="1"/>
        <rFont val="Noto Sans CJK SC"/>
        <family val="2"/>
      </rPr>
      <t xml:space="preserve">共用數位廣告同業檔（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</si>
  <si>
    <t xml:space="preserve">amazon/data/peers_ads_20261009.json</t>
  </si>
  <si>
    <r>
      <rPr>
        <sz val="11"/>
        <color theme="1"/>
        <rFont val="Noto Sans CJK SC"/>
        <family val="2"/>
      </rPr>
      <t xml:space="preserve">零售同業（</t>
    </r>
    <r>
      <rPr>
        <sz val="11"/>
        <color theme="1"/>
        <rFont val="Calibri"/>
        <family val="2"/>
        <charset val="1"/>
      </rPr>
      <t xml:space="preserve">WMT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val.peer.retail.*</t>
    </r>
    <r>
      <rPr>
        <sz val="11"/>
        <color theme="1"/>
        <rFont val="Noto Sans CJK SC"/>
        <family val="2"/>
      </rPr>
      <t xml:space="preserve">）</t>
    </r>
  </si>
  <si>
    <t xml:space="preserve">amazon/data/amazon_facts_20261008.json</t>
  </si>
  <si>
    <r>
      <rPr>
        <sz val="11"/>
        <color theme="1"/>
        <rFont val="Calibri"/>
        <family val="2"/>
        <charset val="1"/>
      </rPr>
      <t xml:space="preserve">Anthropic Series H </t>
    </r>
    <r>
      <rPr>
        <sz val="11"/>
        <color theme="1"/>
        <rFont val="Noto Sans CJK SC"/>
        <family val="2"/>
      </rPr>
      <t xml:space="preserve">投後估值 </t>
    </r>
    <r>
      <rPr>
        <sz val="11"/>
        <color theme="1"/>
        <rFont val="Calibri"/>
        <family val="2"/>
        <charset val="1"/>
      </rPr>
      <t xml:space="preserve">965B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</t>
    </r>
  </si>
  <si>
    <t xml:space="preserve">2026-06-01</t>
  </si>
  <si>
    <t xml:space="preserve">https://w.media/anthropic-valuation-touches-us-965-billion-surpassing-openai/</t>
  </si>
  <si>
    <t xml:space="preserve">S26</t>
  </si>
  <si>
    <r>
      <rPr>
        <sz val="11"/>
        <color theme="1"/>
        <rFont val="Calibri"/>
        <family val="2"/>
        <charset val="1"/>
      </rPr>
      <t xml:space="preserve">Fortune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mid-to-high teens</t>
    </r>
  </si>
  <si>
    <t xml:space="preserve">2026-06-04</t>
  </si>
  <si>
    <t xml:space="preserve">https://www.fortune.com/2026/06/04/amazon-google-billions-anthropic-ipo/</t>
  </si>
  <si>
    <r>
      <rPr>
        <sz val="11"/>
        <color theme="1"/>
        <rFont val="Calibri"/>
        <family val="2"/>
        <charset val="1"/>
      </rPr>
      <t xml:space="preserve">GeekWire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 50B</t>
    </r>
    <r>
      <rPr>
        <sz val="11"/>
        <color theme="1"/>
        <rFont val="Noto Sans CJK SC"/>
        <family val="2"/>
      </rPr>
      <t xml:space="preserve">、投前 </t>
    </r>
    <r>
      <rPr>
        <sz val="11"/>
        <color theme="1"/>
        <rFont val="Calibri"/>
        <family val="2"/>
        <charset val="1"/>
      </rPr>
      <t xml:space="preserve">730B</t>
    </r>
  </si>
  <si>
    <t xml:space="preserve">2026-02-27</t>
  </si>
  <si>
    <t xml:space="preserve">https://www.geekwire.com/2026/amazon-invests-50b-in-openai-deepens-aws-partnership-with-expanded-100b-cloud-deal/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</si>
  <si>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沿用）</t>
    </r>
  </si>
  <si>
    <t xml:space="preserve">https://home.treasury.gov/resource-center/data-chart-center/interest-rates/TextView?type=daily_treasury_par_yield_curve_rates</t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</si>
  <si>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SourceMaterial</t>
    </r>
    <r>
      <rPr>
        <sz val="11"/>
        <color theme="1"/>
        <rFont val="Noto Sans CJK SC"/>
        <family val="2"/>
      </rPr>
      <t xml:space="preserve">：第三方託管約占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運算力五分之一（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</si>
  <si>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2025-11-24</t>
  </si>
  <si>
    <t xml:space="preserve">amazon/data/amazon_facts_20261008.json → mw.colo.share</t>
  </si>
  <si>
    <t xml:space="preserve">S30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</si>
  <si>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Brian Nowak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2026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</si>
  <si>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t xml:space="preserve">2026-08-18</t>
  </si>
  <si>
    <t xml:space="preserve">https://invezz.com/news/2026/08/18/could-amazon-stock-double-by-end-of-next-year-heres-what-morgan-stanley-says/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</si>
</sst>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0##"/>
    <numFmt numFmtId="166" formatCode="0.0%"/>
    <numFmt numFmtId="167" formatCode="#,##0.0000"/>
    <numFmt numFmtId="168" formatCode="#,##0.000"/>
    <numFmt numFmtId="169" formatCode="0.00%"/>
    <numFmt numFmtId="170" formatCode="0.00"/>
    <numFmt numFmtId="171" formatCode="#,##0"/>
    <numFmt numFmtId="172" formatCode="0.0"/>
    <numFmt numFmtId="173" formatCode="0%"/>
    <numFmt numFmtId="174" formatCode="0.000"/>
    <numFmt numFmtId="175" formatCode="#,##0.00"/>
    <numFmt numFmtId="176" formatCode="0.0000"/>
    <numFmt numFmtId="177" formatCode="#,##0.0"/>
    <numFmt numFmtId="178" formatCode="@"/>
    <numFmt numFmtId="179" formatCode="0"/>
    <numFmt numFmtId="180" formatCode="\+0.0%;\-0.0%;0.0%"/>
    <numFmt numFmtId="181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7.15" hidden="false" customHeight="false" outlineLevel="0" collapsed="false">
      <c r="A5" s="1" t="str">
        <f aca="false">"投資建議："&amp;Val!B24&amp;"（加權目標價 US$"&amp;TEXT(Val!B19,"0.00")&amp;"，現價 US$"&amp;TEXT(px,"0.00")&amp;"〔2026-10-26〕，上檔空間 "&amp;TEXT(Val!B21,"+0.0%;-0.0%")&amp;"；依五級固定規則）"</f>
        <v>投資建議：中立（加權目標價 US$215.58，現價 US$249.09〔2026-10-26〕，上檔空間 -13.5%；依五級固定規則）</v>
      </c>
    </row>
    <row r="6" customFormat="false" ht="17.15" hidden="false" customHeight="false" outlineLevel="0" collapsed="false">
      <c r="A6" s="2" t="str">
        <f aca="false">"命題答案（情境 B）：FY2028 對外 AI ROIC "&amp;TEXT(Thesis!$I$124,"0.0%")&amp;"，低於 WACC "&amp;TEXT(wacc,"0.0%")&amp;"；打平所需機隊平均 k "&amp;TEXT(Thesis!$I$126,"0.00")&amp;"，模型 k "&amp;TEXT(Thesis!$I$125,"0.00")&amp;"。FY2028 AWS 營業利益率 "&amp;TEXT(PL!$I$123,"0.0%")&amp;"（FY2025 "&amp;TEXT(PL!$D$123,"0.0%")&amp;"）；FY2028 自由現金流扣股利 "&amp;TEXT(CF!$I$60,"#,##0.0")&amp;"；收支關卡（FY2026–FY2030 合計，情境加權）"&amp;TEXT(CF!E6,"#,##0.0")&amp;"。"</f>
        <v>命題答案（情境 B）：FY2028 對外 AI ROIC 6.7%，低於 WACC 11.3%；打平所需機隊平均 k 1.20，模型 k 0.99。FY2028 AWS 營業利益率 34.1%（FY2025 35.4%）；FY2028 自由現金流扣股利 -15.0；收支關卡（FY2026–FY2030 合計，情境加權）50.1。</v>
      </c>
    </row>
    <row r="7" customFormat="false" ht="17.15" hidden="false" customHeight="false" outlineLevel="0" collapsed="false">
      <c r="A7" s="2" t="str">
        <f aca="false">"重點觀察 1：目標價 US$"&amp;TEXT(Val!B19,"0.00")&amp;"＝DCF "&amp;TEXT(Val!B17,"0.00")&amp;"（永續價值占 EV "&amp;TEXT(Val!C8,"0%")&amp;"）與分部加總 "&amp;TEXT(Val!B18,"0.00")&amp;" 各半；DCF 低是因為 WACC "&amp;TEXT(wacc,"0.0%")&amp;" 下，2027–2029 的 AI 資本支出（情境 B FY2027 "&amp;TEXT(CF!$H$55,"#,##0")&amp;"）讓 FCFF 為負，而 AI 增量報酬低於資金成本。"</f>
        <v>重點觀察 1：目標價 US$215.58＝DCF 149.60（永續價值占 EV 78%）與分部加總 281.56 各半；DCF 低是因為 WACC 11.3% 下，2027–2029 的 AI 資本支出（情境 B FY2027 273）讓 FCFF 為負，而 AI 增量報酬低於資金成本。</v>
      </c>
    </row>
    <row r="8" customFormat="false" ht="17.15" hidden="false" customHeight="false" outlineLevel="0" collapsed="false">
      <c r="A8" s="2" t="str">
        <f aca="false">"重點觀察 2：分部加總中 AWS 其他（非 AI 雲端）占 "&amp;TEXT(Val!$C$167/Val!$C$175,"0%")&amp;"、廣告占 "&amp;TEXT(Val!$C$161/Val!$C$175,"0%")&amp;"；零售本業未來 12 個月 EBITDA（SBC 加回）僅 "&amp;TEXT(Val!$C$162,"#,##0")&amp;"，廣告利潤（m_ad 50%）幾乎是零售分部的全部利潤；AWS AI 以自身 DCF 計只值 "&amp;TEXT(Val!$C$174,"#,##0")&amp;"。"</f>
        <v>重點觀察 2：分部加總中 AWS 其他（非 AI 雲端）占 46%、廣告占 18%；零售本業未來 12 個月 EBITDA（SBC 加回）僅 52，廣告利潤（m_ad 50%）幾乎是零售分部的全部利潤；AWS AI 以自身 DCF 計只值 143。</v>
      </c>
    </row>
    <row r="9" customFormat="false" ht="17.15" hidden="false" customHeight="false" outlineLevel="0" collapsed="false">
      <c r="A9" s="2" t="str">
        <f aca="false">"重點觀察 3：三情境目標價 A "&amp;TEXT(Val!B7,"0")&amp;"／B "&amp;TEXT(Val!C7,"0")&amp;"／C "&amp;TEXT(Val!D7,"0")&amp;"；新產能 k 是最大的命題驅動（Sens：k_C "&amp;TEXT(Sens!D5,"+0%;-0%")&amp;"、k_A "&amp;TEXT(Sens!D6,"+0%;-0%")&amp;"），對外比例 ±20pt 為 "&amp;TEXT(Sens!D7,"+0%;-0%")&amp;"／"&amp;TEXT(Sens!D8,"+0%;-0%")&amp;"；市場共識目標價 "&amp;TEXT(cons_tp,"0")&amp;"。"</f>
        <v>重點觀察 3：三情境目標價 A 270／B 204／C 184；新產能 k 是最大的命題驅動（Sens：k_C -10%、k_A +31%），對外比例 ±20pt 為 +3%／-2%；市場共識目標價 332。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</row>
    <row r="13" customFormat="false" ht="17.15" hidden="false" customHeight="false" outlineLevel="0" collapsed="false">
      <c r="A13" s="4" t="s">
        <v>6</v>
      </c>
    </row>
    <row r="14" customFormat="false" ht="17.15" hidden="false" customHeight="false" outlineLevel="0" collapsed="false">
      <c r="A14" s="4" t="s">
        <v>7</v>
      </c>
    </row>
    <row r="15" customFormat="false" ht="17.15" hidden="false" customHeight="false" outlineLevel="0" collapsed="false">
      <c r="A15" s="4" t="s">
        <v>8</v>
      </c>
    </row>
    <row r="16" customFormat="false" ht="17.15" hidden="false" customHeight="false" outlineLevel="0" collapsed="false">
      <c r="A16" s="4" t="s">
        <v>9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10</v>
      </c>
    </row>
    <row r="19" customFormat="false" ht="17.15" hidden="false" customHeight="false" outlineLevel="0" collapsed="false">
      <c r="A19" s="2" t="s">
        <v>11</v>
      </c>
    </row>
    <row r="20" customFormat="false" ht="17.15" hidden="false" customHeight="false" outlineLevel="0" collapsed="false">
      <c r="A20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249.09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5" t="s">
        <v>33</v>
      </c>
      <c r="E6" s="7" t="n">
        <v>10.786314</v>
      </c>
      <c r="G6" s="8" t="s">
        <v>28</v>
      </c>
      <c r="H6" s="8" t="s">
        <v>34</v>
      </c>
      <c r="I6" s="8" t="s">
        <v>35</v>
      </c>
    </row>
    <row r="7" customFormat="false" ht="17.15" hidden="false" customHeight="false" outlineLevel="0" collapsed="false">
      <c r="A7" s="0" t="s">
        <v>36</v>
      </c>
      <c r="B7" s="5" t="s">
        <v>37</v>
      </c>
      <c r="C7" s="5" t="s">
        <v>33</v>
      </c>
      <c r="E7" s="7" t="n">
        <v>0.244</v>
      </c>
      <c r="G7" s="8" t="s">
        <v>28</v>
      </c>
      <c r="H7" s="8" t="s">
        <v>34</v>
      </c>
      <c r="I7" s="8" t="s">
        <v>38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5" t="s">
        <v>33</v>
      </c>
      <c r="E8" s="9" t="n">
        <f aca="false">sh_out+sh_awd</f>
        <v>11.030314</v>
      </c>
      <c r="G8" s="8" t="s">
        <v>41</v>
      </c>
      <c r="H8" s="5" t="s">
        <v>42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27</v>
      </c>
      <c r="D9" s="7" t="n">
        <v>230</v>
      </c>
      <c r="E9" s="7" t="n">
        <v>332.24</v>
      </c>
      <c r="F9" s="7" t="n">
        <v>405</v>
      </c>
      <c r="G9" s="8" t="s">
        <v>46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1" t="s">
        <v>49</v>
      </c>
    </row>
    <row r="11" customFormat="false" ht="17.15" hidden="false" customHeight="false" outlineLevel="0" collapsed="false">
      <c r="A11" s="0" t="s">
        <v>50</v>
      </c>
      <c r="B11" s="5" t="s">
        <v>51</v>
      </c>
      <c r="C11" s="0" t="s">
        <v>52</v>
      </c>
      <c r="E11" s="10" t="n">
        <v>0.05</v>
      </c>
      <c r="G11" s="8" t="s">
        <v>28</v>
      </c>
      <c r="H11" s="8" t="s">
        <v>53</v>
      </c>
      <c r="I11" s="5" t="s">
        <v>54</v>
      </c>
    </row>
    <row r="12" customFormat="false" ht="17.15" hidden="false" customHeight="false" outlineLevel="0" collapsed="false">
      <c r="A12" s="0" t="s">
        <v>55</v>
      </c>
      <c r="B12" s="5" t="s">
        <v>56</v>
      </c>
      <c r="C12" s="0" t="s">
        <v>57</v>
      </c>
      <c r="E12" s="11" t="n">
        <v>1.46</v>
      </c>
      <c r="G12" s="8" t="s">
        <v>28</v>
      </c>
      <c r="H12" s="5" t="s">
        <v>58</v>
      </c>
    </row>
    <row r="13" customFormat="false" ht="17.15" hidden="false" customHeight="false" outlineLevel="0" collapsed="false">
      <c r="A13" s="0" t="s">
        <v>59</v>
      </c>
      <c r="B13" s="5" t="s">
        <v>60</v>
      </c>
      <c r="C13" s="0" t="s">
        <v>57</v>
      </c>
      <c r="E13" s="11" t="n">
        <v>1.567</v>
      </c>
      <c r="G13" s="8" t="s">
        <v>28</v>
      </c>
      <c r="H13" s="5" t="s">
        <v>61</v>
      </c>
      <c r="I13" s="5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57</v>
      </c>
      <c r="D14" s="12" t="n">
        <f aca="false">MIN(0.67*beta_sa+0.33,0.67*beta_gf+0.33)</f>
        <v>1.3082</v>
      </c>
      <c r="E14" s="12" t="n">
        <f aca="false">MEDIAN(0.67*beta_sa+0.33,0.67*beta_gf+0.33)</f>
        <v>1.344045</v>
      </c>
      <c r="F14" s="12" t="n">
        <f aca="false">MAX(0.67*beta_sa+0.33,0.67*beta_gf+0.33)</f>
        <v>1.37989</v>
      </c>
      <c r="G14" s="8" t="s">
        <v>41</v>
      </c>
      <c r="H14" s="5" t="s">
        <v>65</v>
      </c>
      <c r="I14" s="8" t="s">
        <v>66</v>
      </c>
    </row>
    <row r="15" customFormat="false" ht="17.15" hidden="false" customHeight="false" outlineLevel="0" collapsed="false">
      <c r="A15" s="0" t="s">
        <v>67</v>
      </c>
      <c r="B15" s="5" t="s">
        <v>68</v>
      </c>
      <c r="C15" s="0" t="s">
        <v>52</v>
      </c>
      <c r="D15" s="10" t="n">
        <v>0.04</v>
      </c>
      <c r="E15" s="10" t="n">
        <v>0.05</v>
      </c>
      <c r="F15" s="10" t="n">
        <v>0.06</v>
      </c>
      <c r="G15" s="8" t="s">
        <v>69</v>
      </c>
      <c r="H15" s="5" t="s">
        <v>70</v>
      </c>
    </row>
    <row r="16" customFormat="false" ht="17.15" hidden="false" customHeight="false" outlineLevel="0" collapsed="false">
      <c r="A16" s="0" t="s">
        <v>71</v>
      </c>
      <c r="B16" s="5" t="s">
        <v>72</v>
      </c>
      <c r="C16" s="0" t="s">
        <v>52</v>
      </c>
      <c r="E16" s="10" t="n">
        <v>0.0633</v>
      </c>
      <c r="G16" s="8" t="s">
        <v>46</v>
      </c>
      <c r="H16" s="8" t="s">
        <v>34</v>
      </c>
      <c r="I16" s="5" t="s">
        <v>73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0" t="s">
        <v>52</v>
      </c>
      <c r="D17" s="10" t="n">
        <v>0.005</v>
      </c>
      <c r="E17" s="10" t="n">
        <v>0.0065</v>
      </c>
      <c r="F17" s="10" t="n">
        <v>0.01</v>
      </c>
      <c r="G17" s="8" t="s">
        <v>69</v>
      </c>
      <c r="H17" s="5" t="s">
        <v>76</v>
      </c>
      <c r="I17" s="8" t="s">
        <v>77</v>
      </c>
    </row>
    <row r="18" customFormat="false" ht="17.15" hidden="false" customHeight="false" outlineLevel="0" collapsed="false">
      <c r="A18" s="0" t="s">
        <v>78</v>
      </c>
      <c r="B18" s="5" t="s">
        <v>79</v>
      </c>
      <c r="C18" s="0" t="s">
        <v>52</v>
      </c>
      <c r="E18" s="13" t="n">
        <f aca="false">rf+kd_spr</f>
        <v>0.0565</v>
      </c>
      <c r="G18" s="8" t="s">
        <v>41</v>
      </c>
      <c r="H18" s="5" t="s">
        <v>65</v>
      </c>
    </row>
    <row r="19" customFormat="false" ht="17.15" hidden="false" customHeight="false" outlineLevel="0" collapsed="false">
      <c r="A19" s="0" t="s">
        <v>80</v>
      </c>
      <c r="B19" s="5" t="s">
        <v>81</v>
      </c>
      <c r="C19" s="0" t="s">
        <v>52</v>
      </c>
      <c r="D19" s="10" t="n">
        <v>0.135</v>
      </c>
      <c r="E19" s="13" t="n">
        <f aca="false">AVERAGE(Q!$C$40,Q!$D$40,Q!$E$40)</f>
        <v>0.173584526621026</v>
      </c>
      <c r="F19" s="10" t="n">
        <v>0.23</v>
      </c>
      <c r="G19" s="8" t="s">
        <v>41</v>
      </c>
      <c r="H19" s="8" t="s">
        <v>82</v>
      </c>
      <c r="I19" s="8" t="s">
        <v>83</v>
      </c>
    </row>
    <row r="20" customFormat="false" ht="17.15" hidden="false" customHeight="false" outlineLevel="0" collapsed="false">
      <c r="A20" s="0" t="s">
        <v>84</v>
      </c>
      <c r="B20" s="5" t="s">
        <v>85</v>
      </c>
      <c r="C20" s="0" t="s">
        <v>86</v>
      </c>
      <c r="E20" s="7" t="n">
        <v>132.995</v>
      </c>
      <c r="G20" s="8" t="s">
        <v>28</v>
      </c>
      <c r="H20" s="8" t="s">
        <v>34</v>
      </c>
      <c r="I20" s="5" t="s">
        <v>87</v>
      </c>
    </row>
    <row r="21" customFormat="false" ht="17.15" hidden="false" customHeight="false" outlineLevel="0" collapsed="false">
      <c r="A21" s="0" t="s">
        <v>88</v>
      </c>
      <c r="B21" s="5" t="s">
        <v>89</v>
      </c>
      <c r="C21" s="0" t="s">
        <v>86</v>
      </c>
      <c r="E21" s="7" t="n">
        <v>13.451</v>
      </c>
      <c r="G21" s="8" t="s">
        <v>28</v>
      </c>
      <c r="H21" s="8" t="s">
        <v>34</v>
      </c>
      <c r="I21" s="5" t="s">
        <v>90</v>
      </c>
    </row>
    <row r="22" customFormat="false" ht="17.15" hidden="false" customHeight="false" outlineLevel="0" collapsed="false">
      <c r="A22" s="0" t="s">
        <v>91</v>
      </c>
      <c r="B22" s="5" t="s">
        <v>92</v>
      </c>
      <c r="C22" s="0" t="s">
        <v>86</v>
      </c>
      <c r="E22" s="7" t="n">
        <v>11.07</v>
      </c>
      <c r="G22" s="8" t="s">
        <v>28</v>
      </c>
      <c r="H22" s="8" t="s">
        <v>34</v>
      </c>
    </row>
    <row r="23" customFormat="false" ht="17.15" hidden="false" customHeight="false" outlineLevel="0" collapsed="false">
      <c r="A23" s="0" t="s">
        <v>93</v>
      </c>
      <c r="B23" s="5" t="s">
        <v>94</v>
      </c>
      <c r="C23" s="0" t="s">
        <v>86</v>
      </c>
      <c r="E23" s="9" t="n">
        <f aca="false">fl_pv+fin_obl</f>
        <v>24.521</v>
      </c>
      <c r="G23" s="8" t="s">
        <v>41</v>
      </c>
      <c r="H23" s="5" t="s">
        <v>95</v>
      </c>
    </row>
    <row r="24" customFormat="false" ht="17.15" hidden="false" customHeight="false" outlineLevel="0" collapsed="false">
      <c r="A24" s="0" t="s">
        <v>96</v>
      </c>
      <c r="B24" s="5" t="s">
        <v>97</v>
      </c>
      <c r="C24" s="0" t="s">
        <v>52</v>
      </c>
      <c r="E24" s="13" t="n">
        <f aca="false">rf+beta*erp</f>
        <v>0.11720225</v>
      </c>
      <c r="G24" s="8" t="s">
        <v>41</v>
      </c>
      <c r="H24" s="8" t="s">
        <v>98</v>
      </c>
    </row>
    <row r="25" customFormat="false" ht="17.15" hidden="false" customHeight="false" outlineLevel="0" collapsed="false">
      <c r="A25" s="0" t="s">
        <v>99</v>
      </c>
      <c r="B25" s="0" t="s">
        <v>100</v>
      </c>
      <c r="C25" s="0" t="s">
        <v>52</v>
      </c>
      <c r="E25" s="13" t="n">
        <f aca="false">px*sh_out/(px*sh_out+debt_q2+fin_debt)*ke+(debt_q2+fin_debt)/(px*sh_out+debt_q2+fin_debt)*kd*(1-tax)</f>
        <v>0.113297422795535</v>
      </c>
      <c r="G25" s="8" t="s">
        <v>41</v>
      </c>
      <c r="H25" s="5" t="s">
        <v>65</v>
      </c>
      <c r="I25" s="8" t="s">
        <v>101</v>
      </c>
    </row>
    <row r="26" customFormat="false" ht="17.15" hidden="false" customHeight="false" outlineLevel="0" collapsed="false">
      <c r="A26" s="14" t="s">
        <v>102</v>
      </c>
      <c r="B26" s="15" t="s">
        <v>103</v>
      </c>
      <c r="C26" s="14" t="s">
        <v>52</v>
      </c>
      <c r="D26" s="16" t="n">
        <v>0.02</v>
      </c>
      <c r="E26" s="16" t="n">
        <v>0.03</v>
      </c>
      <c r="F26" s="16" t="n">
        <v>0.04</v>
      </c>
      <c r="G26" s="14" t="s">
        <v>69</v>
      </c>
      <c r="H26" s="15" t="s">
        <v>104</v>
      </c>
      <c r="I26" s="14"/>
    </row>
    <row r="27" customFormat="false" ht="17.15" hidden="false" customHeight="false" outlineLevel="0" collapsed="false">
      <c r="A27" s="14" t="s">
        <v>105</v>
      </c>
      <c r="B27" s="15" t="s">
        <v>106</v>
      </c>
      <c r="C27" s="14" t="s">
        <v>52</v>
      </c>
      <c r="D27" s="14"/>
      <c r="E27" s="17" t="n">
        <f aca="false">wacc</f>
        <v>0.113297422795535</v>
      </c>
      <c r="F27" s="17" t="n">
        <f aca="false">wacc+0.05</f>
        <v>0.163297422795535</v>
      </c>
      <c r="G27" s="14" t="s">
        <v>69</v>
      </c>
      <c r="H27" s="15" t="s">
        <v>107</v>
      </c>
      <c r="I27" s="15" t="s">
        <v>108</v>
      </c>
    </row>
    <row r="28" customFormat="false" ht="17.15" hidden="false" customHeight="false" outlineLevel="0" collapsed="false">
      <c r="A28" s="14" t="s">
        <v>109</v>
      </c>
      <c r="B28" s="15" t="s">
        <v>110</v>
      </c>
      <c r="C28" s="14" t="s">
        <v>52</v>
      </c>
      <c r="D28" s="14"/>
      <c r="E28" s="16" t="n">
        <v>0.5</v>
      </c>
      <c r="F28" s="14"/>
      <c r="G28" s="14" t="s">
        <v>69</v>
      </c>
      <c r="H28" s="15" t="s">
        <v>111</v>
      </c>
      <c r="I28" s="14" t="s">
        <v>112</v>
      </c>
    </row>
    <row r="29" customFormat="false" ht="17.15" hidden="false" customHeight="false" outlineLevel="0" collapsed="false">
      <c r="A29" s="14" t="s">
        <v>113</v>
      </c>
      <c r="B29" s="15" t="s">
        <v>114</v>
      </c>
      <c r="C29" s="14" t="s">
        <v>52</v>
      </c>
      <c r="D29" s="14"/>
      <c r="E29" s="16" t="n">
        <v>0.25</v>
      </c>
      <c r="F29" s="14"/>
      <c r="G29" s="14" t="s">
        <v>69</v>
      </c>
      <c r="H29" s="15" t="s">
        <v>115</v>
      </c>
      <c r="I29" s="15" t="s">
        <v>116</v>
      </c>
    </row>
    <row r="30" customFormat="false" ht="17.15" hidden="false" customHeight="false" outlineLevel="0" collapsed="false">
      <c r="A30" s="14" t="s">
        <v>117</v>
      </c>
      <c r="B30" s="15" t="s">
        <v>118</v>
      </c>
      <c r="C30" s="14" t="s">
        <v>52</v>
      </c>
      <c r="D30" s="14"/>
      <c r="E30" s="16" t="n">
        <v>0.5</v>
      </c>
      <c r="F30" s="14"/>
      <c r="G30" s="14" t="s">
        <v>69</v>
      </c>
      <c r="H30" s="15" t="s">
        <v>115</v>
      </c>
      <c r="I30" s="15" t="s">
        <v>116</v>
      </c>
    </row>
    <row r="31" customFormat="false" ht="17.15" hidden="false" customHeight="false" outlineLevel="0" collapsed="false">
      <c r="A31" s="14" t="s">
        <v>119</v>
      </c>
      <c r="B31" s="15" t="s">
        <v>120</v>
      </c>
      <c r="C31" s="14" t="s">
        <v>52</v>
      </c>
      <c r="D31" s="14"/>
      <c r="E31" s="16" t="n">
        <v>0.25</v>
      </c>
      <c r="F31" s="14"/>
      <c r="G31" s="14" t="s">
        <v>69</v>
      </c>
      <c r="H31" s="15" t="s">
        <v>115</v>
      </c>
      <c r="I31" s="15" t="s">
        <v>116</v>
      </c>
    </row>
    <row r="32" customFormat="false" ht="17.15" hidden="false" customHeight="false" outlineLevel="0" collapsed="false">
      <c r="A32" s="0" t="s">
        <v>121</v>
      </c>
      <c r="B32" s="5" t="s">
        <v>122</v>
      </c>
      <c r="C32" s="5" t="s">
        <v>123</v>
      </c>
      <c r="E32" s="9" t="n">
        <f aca="false">(DATE(2027,10,27)-DATE(2026,12,31))/365</f>
        <v>0.821917808219178</v>
      </c>
      <c r="G32" s="8" t="s">
        <v>41</v>
      </c>
      <c r="H32" s="5" t="s">
        <v>124</v>
      </c>
      <c r="I32" s="8" t="s">
        <v>125</v>
      </c>
    </row>
    <row r="33" customFormat="false" ht="17.15" hidden="false" customHeight="false" outlineLevel="0" collapsed="false">
      <c r="A33" s="1" t="s">
        <v>126</v>
      </c>
    </row>
    <row r="34" customFormat="false" ht="17.15" hidden="false" customHeight="false" outlineLevel="0" collapsed="false">
      <c r="A34" s="0" t="s">
        <v>127</v>
      </c>
      <c r="B34" s="5" t="s">
        <v>128</v>
      </c>
      <c r="C34" s="0" t="s">
        <v>129</v>
      </c>
      <c r="E34" s="7" t="n">
        <v>120</v>
      </c>
      <c r="G34" s="8" t="s">
        <v>69</v>
      </c>
      <c r="H34" s="5" t="s">
        <v>130</v>
      </c>
      <c r="I34" s="5" t="s">
        <v>131</v>
      </c>
    </row>
    <row r="35" customFormat="false" ht="17.15" hidden="false" customHeight="false" outlineLevel="0" collapsed="false">
      <c r="A35" s="0" t="s">
        <v>132</v>
      </c>
      <c r="B35" s="5" t="s">
        <v>133</v>
      </c>
      <c r="C35" s="0" t="s">
        <v>129</v>
      </c>
      <c r="E35" s="7" t="n">
        <v>360</v>
      </c>
      <c r="G35" s="8" t="s">
        <v>69</v>
      </c>
      <c r="H35" s="5" t="s">
        <v>130</v>
      </c>
      <c r="I35" s="5" t="s">
        <v>134</v>
      </c>
    </row>
    <row r="36" customFormat="false" ht="17.15" hidden="false" customHeight="false" outlineLevel="0" collapsed="false">
      <c r="A36" s="0" t="s">
        <v>135</v>
      </c>
      <c r="B36" s="5" t="s">
        <v>136</v>
      </c>
      <c r="C36" s="0" t="s">
        <v>129</v>
      </c>
      <c r="D36" s="7" t="n">
        <v>1100</v>
      </c>
      <c r="E36" s="7" t="n">
        <v>1440</v>
      </c>
      <c r="F36" s="7" t="n">
        <v>1800</v>
      </c>
      <c r="G36" s="8" t="s">
        <v>69</v>
      </c>
      <c r="H36" s="5" t="s">
        <v>130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5" t="s">
        <v>139</v>
      </c>
      <c r="C37" s="0" t="s">
        <v>129</v>
      </c>
      <c r="D37" s="7" t="n">
        <v>1400</v>
      </c>
      <c r="E37" s="7" t="n">
        <v>2080</v>
      </c>
      <c r="F37" s="7" t="n">
        <v>2970</v>
      </c>
      <c r="G37" s="8" t="s">
        <v>41</v>
      </c>
      <c r="H37" s="8" t="s">
        <v>140</v>
      </c>
      <c r="I37" s="8" t="s">
        <v>141</v>
      </c>
    </row>
    <row r="38" customFormat="false" ht="17.15" hidden="false" customHeight="false" outlineLevel="0" collapsed="false">
      <c r="A38" s="14" t="s">
        <v>142</v>
      </c>
      <c r="B38" s="15" t="s">
        <v>143</v>
      </c>
      <c r="C38" s="14" t="s">
        <v>144</v>
      </c>
      <c r="D38" s="14"/>
      <c r="E38" s="18" t="n">
        <v>3733</v>
      </c>
      <c r="F38" s="14"/>
      <c r="G38" s="14" t="s">
        <v>41</v>
      </c>
      <c r="H38" s="15" t="s">
        <v>145</v>
      </c>
      <c r="I38" s="15" t="s">
        <v>146</v>
      </c>
    </row>
    <row r="39" customFormat="false" ht="17.15" hidden="false" customHeight="false" outlineLevel="0" collapsed="false">
      <c r="A39" s="14" t="s">
        <v>147</v>
      </c>
      <c r="B39" s="15" t="s">
        <v>148</v>
      </c>
      <c r="C39" s="14" t="s">
        <v>144</v>
      </c>
      <c r="D39" s="14"/>
      <c r="E39" s="18" t="n">
        <v>3634.3</v>
      </c>
      <c r="F39" s="14"/>
      <c r="G39" s="14" t="s">
        <v>41</v>
      </c>
      <c r="H39" s="15" t="s">
        <v>149</v>
      </c>
      <c r="I39" s="15" t="s">
        <v>150</v>
      </c>
    </row>
    <row r="40" customFormat="false" ht="17.15" hidden="false" customHeight="false" outlineLevel="0" collapsed="false">
      <c r="A40" s="14" t="s">
        <v>151</v>
      </c>
      <c r="B40" s="15" t="s">
        <v>152</v>
      </c>
      <c r="C40" s="14" t="s">
        <v>144</v>
      </c>
      <c r="D40" s="14"/>
      <c r="E40" s="19" t="n">
        <f aca="false">pace_B</f>
        <v>3634.3</v>
      </c>
      <c r="F40" s="14"/>
      <c r="G40" s="14" t="s">
        <v>69</v>
      </c>
      <c r="H40" s="15" t="s">
        <v>153</v>
      </c>
      <c r="I40" s="14" t="s">
        <v>154</v>
      </c>
    </row>
    <row r="41" customFormat="false" ht="17.15" hidden="false" customHeight="false" outlineLevel="0" collapsed="false">
      <c r="A41" s="14" t="s">
        <v>155</v>
      </c>
      <c r="B41" s="15" t="s">
        <v>156</v>
      </c>
      <c r="C41" s="14" t="s">
        <v>52</v>
      </c>
      <c r="D41" s="16" t="n">
        <v>0.6</v>
      </c>
      <c r="E41" s="16" t="n">
        <v>0.8</v>
      </c>
      <c r="F41" s="16" t="n">
        <v>1</v>
      </c>
      <c r="G41" s="14" t="s">
        <v>69</v>
      </c>
      <c r="H41" s="15" t="s">
        <v>157</v>
      </c>
      <c r="I41" s="14" t="s">
        <v>158</v>
      </c>
    </row>
    <row r="42" customFormat="false" ht="17.15" hidden="false" customHeight="false" outlineLevel="0" collapsed="false">
      <c r="A42" s="0" t="s">
        <v>159</v>
      </c>
      <c r="B42" s="5" t="s">
        <v>160</v>
      </c>
      <c r="C42" s="0" t="s">
        <v>52</v>
      </c>
      <c r="D42" s="10" t="n">
        <v>0.7</v>
      </c>
      <c r="E42" s="10" t="n">
        <v>0.8</v>
      </c>
      <c r="F42" s="10" t="n">
        <v>0.9</v>
      </c>
      <c r="G42" s="8" t="s">
        <v>69</v>
      </c>
      <c r="H42" s="5" t="s">
        <v>161</v>
      </c>
      <c r="I42" s="8" t="s">
        <v>162</v>
      </c>
    </row>
    <row r="43" customFormat="false" ht="17.15" hidden="false" customHeight="false" outlineLevel="0" collapsed="false">
      <c r="A43" s="0" t="s">
        <v>163</v>
      </c>
      <c r="B43" s="0" t="s">
        <v>164</v>
      </c>
      <c r="C43" s="0" t="s">
        <v>165</v>
      </c>
      <c r="E43" s="7" t="n">
        <v>2.82</v>
      </c>
      <c r="G43" s="8" t="s">
        <v>28</v>
      </c>
      <c r="H43" s="8" t="s">
        <v>166</v>
      </c>
      <c r="I43" s="8" t="s">
        <v>167</v>
      </c>
    </row>
    <row r="44" customFormat="false" ht="17.15" hidden="false" customHeight="false" outlineLevel="0" collapsed="false">
      <c r="A44" s="0" t="s">
        <v>168</v>
      </c>
      <c r="B44" s="0" t="s">
        <v>169</v>
      </c>
      <c r="C44" s="0" t="s">
        <v>165</v>
      </c>
      <c r="E44" s="7" t="n">
        <v>6.88</v>
      </c>
      <c r="G44" s="8" t="s">
        <v>28</v>
      </c>
      <c r="H44" s="8" t="s">
        <v>166</v>
      </c>
      <c r="I44" s="5" t="s">
        <v>170</v>
      </c>
    </row>
    <row r="45" customFormat="false" ht="17.15" hidden="false" customHeight="false" outlineLevel="0" collapsed="false">
      <c r="A45" s="0" t="s">
        <v>171</v>
      </c>
      <c r="B45" s="5" t="s">
        <v>172</v>
      </c>
      <c r="C45" s="0" t="s">
        <v>173</v>
      </c>
      <c r="E45" s="7" t="n">
        <v>9.5715</v>
      </c>
      <c r="G45" s="8" t="s">
        <v>69</v>
      </c>
      <c r="H45" s="5" t="s">
        <v>174</v>
      </c>
      <c r="I45" s="5" t="s">
        <v>175</v>
      </c>
    </row>
    <row r="46" customFormat="false" ht="17.15" hidden="false" customHeight="false" outlineLevel="0" collapsed="false">
      <c r="A46" s="0" t="s">
        <v>176</v>
      </c>
      <c r="B46" s="5" t="s">
        <v>177</v>
      </c>
      <c r="C46" s="0" t="s">
        <v>173</v>
      </c>
      <c r="E46" s="7" t="n">
        <v>7.0191</v>
      </c>
      <c r="G46" s="8" t="s">
        <v>69</v>
      </c>
      <c r="H46" s="5" t="s">
        <v>178</v>
      </c>
      <c r="I46" s="8" t="s">
        <v>179</v>
      </c>
    </row>
    <row r="47" customFormat="false" ht="17.15" hidden="false" customHeight="false" outlineLevel="0" collapsed="false">
      <c r="A47" s="0" t="s">
        <v>180</v>
      </c>
      <c r="B47" s="0" t="s">
        <v>181</v>
      </c>
      <c r="C47" s="0" t="s">
        <v>173</v>
      </c>
      <c r="E47" s="7" t="n">
        <v>9.70308728611469</v>
      </c>
      <c r="G47" s="8" t="s">
        <v>41</v>
      </c>
      <c r="H47" s="8" t="s">
        <v>182</v>
      </c>
      <c r="I47" s="8" t="s">
        <v>183</v>
      </c>
    </row>
    <row r="48" customFormat="false" ht="17.15" hidden="false" customHeight="false" outlineLevel="0" collapsed="false">
      <c r="A48" s="0" t="s">
        <v>184</v>
      </c>
      <c r="B48" s="0" t="s">
        <v>185</v>
      </c>
      <c r="C48" s="0" t="s">
        <v>173</v>
      </c>
      <c r="E48" s="7" t="n">
        <v>8.82816556596761</v>
      </c>
      <c r="G48" s="8" t="s">
        <v>41</v>
      </c>
      <c r="H48" s="8" t="s">
        <v>182</v>
      </c>
      <c r="I48" s="8" t="s">
        <v>183</v>
      </c>
    </row>
    <row r="49" customFormat="false" ht="17.15" hidden="false" customHeight="false" outlineLevel="0" collapsed="false">
      <c r="A49" s="0" t="s">
        <v>186</v>
      </c>
      <c r="B49" s="0" t="s">
        <v>187</v>
      </c>
      <c r="C49" s="0" t="s">
        <v>173</v>
      </c>
      <c r="E49" s="7" t="n">
        <v>10.8864110021101</v>
      </c>
      <c r="G49" s="8" t="s">
        <v>41</v>
      </c>
      <c r="H49" s="8" t="s">
        <v>182</v>
      </c>
      <c r="I49" s="8" t="s">
        <v>183</v>
      </c>
    </row>
    <row r="50" customFormat="false" ht="17.15" hidden="false" customHeight="false" outlineLevel="0" collapsed="false">
      <c r="A50" s="0" t="s">
        <v>188</v>
      </c>
      <c r="B50" s="0" t="s">
        <v>189</v>
      </c>
      <c r="C50" s="0" t="s">
        <v>173</v>
      </c>
      <c r="E50" s="7" t="n">
        <v>12.2254710045841</v>
      </c>
      <c r="G50" s="8" t="s">
        <v>41</v>
      </c>
      <c r="H50" s="8" t="s">
        <v>182</v>
      </c>
      <c r="I50" s="8" t="s">
        <v>183</v>
      </c>
    </row>
    <row r="51" customFormat="false" ht="17.15" hidden="false" customHeight="false" outlineLevel="0" collapsed="false">
      <c r="A51" s="0" t="s">
        <v>190</v>
      </c>
      <c r="B51" s="0" t="s">
        <v>191</v>
      </c>
      <c r="C51" s="0" t="s">
        <v>192</v>
      </c>
      <c r="E51" s="7" t="n">
        <v>27.510214</v>
      </c>
      <c r="G51" s="8" t="s">
        <v>41</v>
      </c>
      <c r="H51" s="8" t="s">
        <v>182</v>
      </c>
    </row>
    <row r="52" customFormat="false" ht="17.15" hidden="false" customHeight="false" outlineLevel="0" collapsed="false">
      <c r="A52" s="0" t="s">
        <v>193</v>
      </c>
      <c r="B52" s="0" t="s">
        <v>194</v>
      </c>
      <c r="C52" s="0" t="s">
        <v>192</v>
      </c>
      <c r="E52" s="7" t="n">
        <v>24.015174</v>
      </c>
      <c r="G52" s="8" t="s">
        <v>41</v>
      </c>
      <c r="H52" s="8" t="s">
        <v>182</v>
      </c>
    </row>
    <row r="53" customFormat="false" ht="17.15" hidden="false" customHeight="false" outlineLevel="0" collapsed="false">
      <c r="A53" s="0" t="s">
        <v>195</v>
      </c>
      <c r="B53" s="0" t="s">
        <v>196</v>
      </c>
      <c r="C53" s="0" t="s">
        <v>192</v>
      </c>
      <c r="E53" s="7" t="n">
        <v>32.237224</v>
      </c>
      <c r="G53" s="8" t="s">
        <v>41</v>
      </c>
      <c r="H53" s="8" t="s">
        <v>182</v>
      </c>
    </row>
    <row r="54" customFormat="false" ht="17.15" hidden="false" customHeight="false" outlineLevel="0" collapsed="false">
      <c r="A54" s="0" t="s">
        <v>197</v>
      </c>
      <c r="B54" s="0" t="s">
        <v>198</v>
      </c>
      <c r="C54" s="0" t="s">
        <v>192</v>
      </c>
      <c r="E54" s="7" t="n">
        <v>37.586352</v>
      </c>
      <c r="G54" s="8" t="s">
        <v>41</v>
      </c>
      <c r="H54" s="8" t="s">
        <v>182</v>
      </c>
    </row>
    <row r="55" customFormat="false" ht="17.15" hidden="false" customHeight="false" outlineLevel="0" collapsed="false">
      <c r="A55" s="0" t="s">
        <v>199</v>
      </c>
      <c r="B55" s="0" t="s">
        <v>200</v>
      </c>
      <c r="C55" s="0" t="s">
        <v>173</v>
      </c>
      <c r="E55" s="7" t="n">
        <v>1.88466748019734</v>
      </c>
      <c r="G55" s="8" t="s">
        <v>41</v>
      </c>
      <c r="H55" s="8" t="s">
        <v>182</v>
      </c>
    </row>
    <row r="56" customFormat="false" ht="17.15" hidden="false" customHeight="false" outlineLevel="0" collapsed="false">
      <c r="A56" s="0" t="s">
        <v>201</v>
      </c>
      <c r="B56" s="0" t="s">
        <v>202</v>
      </c>
      <c r="C56" s="0" t="s">
        <v>173</v>
      </c>
      <c r="E56" s="7" t="n">
        <v>1.812232738713</v>
      </c>
      <c r="G56" s="8" t="s">
        <v>41</v>
      </c>
      <c r="H56" s="8" t="s">
        <v>182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173</v>
      </c>
      <c r="E57" s="7" t="n">
        <v>1.98263481314457</v>
      </c>
      <c r="G57" s="8" t="s">
        <v>41</v>
      </c>
      <c r="H57" s="8" t="s">
        <v>182</v>
      </c>
    </row>
    <row r="58" customFormat="false" ht="17.15" hidden="false" customHeight="false" outlineLevel="0" collapsed="false">
      <c r="A58" s="0" t="s">
        <v>205</v>
      </c>
      <c r="B58" s="0" t="s">
        <v>206</v>
      </c>
      <c r="C58" s="0" t="s">
        <v>173</v>
      </c>
      <c r="E58" s="7" t="n">
        <v>2.09349554831403</v>
      </c>
      <c r="G58" s="8" t="s">
        <v>41</v>
      </c>
      <c r="H58" s="8" t="s">
        <v>182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0" t="s">
        <v>165</v>
      </c>
      <c r="E59" s="7" t="n">
        <v>1.54259654785589</v>
      </c>
      <c r="G59" s="8" t="s">
        <v>41</v>
      </c>
      <c r="H59" s="8" t="s">
        <v>182</v>
      </c>
      <c r="I59" s="8" t="s">
        <v>209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0" t="s">
        <v>192</v>
      </c>
      <c r="E60" s="7" t="n">
        <v>12.67</v>
      </c>
      <c r="G60" s="8" t="s">
        <v>41</v>
      </c>
      <c r="H60" s="8" t="s">
        <v>182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5" t="s">
        <v>123</v>
      </c>
      <c r="D61" s="7" t="n">
        <v>5</v>
      </c>
      <c r="E61" s="7" t="n">
        <v>6</v>
      </c>
      <c r="F61" s="7" t="n">
        <v>7</v>
      </c>
      <c r="G61" s="8" t="s">
        <v>41</v>
      </c>
      <c r="H61" s="8" t="s">
        <v>182</v>
      </c>
      <c r="I61" s="5" t="s">
        <v>214</v>
      </c>
    </row>
    <row r="62" customFormat="false" ht="17.15" hidden="false" customHeight="false" outlineLevel="0" collapsed="false">
      <c r="A62" s="0" t="s">
        <v>215</v>
      </c>
      <c r="B62" s="5" t="s">
        <v>216</v>
      </c>
      <c r="C62" s="5" t="s">
        <v>123</v>
      </c>
      <c r="D62" s="7" t="n">
        <v>15</v>
      </c>
      <c r="E62" s="7" t="n">
        <v>20</v>
      </c>
      <c r="F62" s="7" t="n">
        <v>30</v>
      </c>
      <c r="G62" s="8" t="s">
        <v>69</v>
      </c>
      <c r="H62" s="5" t="s">
        <v>217</v>
      </c>
      <c r="I62" s="5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173</v>
      </c>
      <c r="D63" s="7" t="n">
        <v>36.2296</v>
      </c>
      <c r="E63" s="7" t="n">
        <v>49.5137840363362</v>
      </c>
      <c r="F63" s="7" t="n">
        <v>78.4975</v>
      </c>
      <c r="G63" s="8" t="s">
        <v>41</v>
      </c>
      <c r="H63" s="8" t="s">
        <v>182</v>
      </c>
      <c r="I63" s="5" t="s">
        <v>221</v>
      </c>
    </row>
    <row r="64" customFormat="false" ht="17.15" hidden="false" customHeight="false" outlineLevel="0" collapsed="false">
      <c r="A64" s="0" t="s">
        <v>222</v>
      </c>
      <c r="B64" s="0" t="s">
        <v>223</v>
      </c>
      <c r="C64" s="0" t="s">
        <v>57</v>
      </c>
      <c r="D64" s="12" t="n">
        <f aca="false">p_long_lo/tk_he_vr200</f>
        <v>0.574137388847276</v>
      </c>
      <c r="E64" s="12" t="n">
        <f aca="false">p_long/tk_he_vr200</f>
        <v>0.782914621155376</v>
      </c>
      <c r="G64" s="8" t="s">
        <v>41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0" t="s">
        <v>57</v>
      </c>
      <c r="E65" s="12" t="n">
        <f aca="false">p_spot/tk_gpuhr</f>
        <v>1.82808654921445</v>
      </c>
      <c r="F65" s="12" t="n">
        <f aca="false">p_list/tk_gpuhr</f>
        <v>4.46001257397001</v>
      </c>
      <c r="G65" s="8" t="s">
        <v>41</v>
      </c>
      <c r="H65" s="8" t="s">
        <v>228</v>
      </c>
      <c r="I65" s="5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57</v>
      </c>
      <c r="E66" s="12" t="n">
        <f aca="false">long_sh*k_long+(1-long_sh)*k_spot_hi</f>
        <v>1.5183342117183</v>
      </c>
      <c r="G66" s="8" t="s">
        <v>41</v>
      </c>
      <c r="H66" s="5" t="s">
        <v>232</v>
      </c>
    </row>
    <row r="67" customFormat="false" ht="17.15" hidden="false" customHeight="false" outlineLevel="0" collapsed="false">
      <c r="A67" s="0" t="s">
        <v>233</v>
      </c>
      <c r="B67" s="5" t="s">
        <v>234</v>
      </c>
      <c r="C67" s="0" t="s">
        <v>57</v>
      </c>
      <c r="E67" s="12" t="n">
        <f aca="false">long_sh*k_long+(1-long_sh)*k_spot</f>
        <v>0.991949006767191</v>
      </c>
      <c r="G67" s="8" t="s">
        <v>41</v>
      </c>
      <c r="H67" s="5" t="s">
        <v>235</v>
      </c>
      <c r="I67" s="5" t="s">
        <v>236</v>
      </c>
    </row>
    <row r="68" customFormat="false" ht="17.15" hidden="false" customHeight="false" outlineLevel="0" collapsed="false">
      <c r="A68" s="0" t="s">
        <v>237</v>
      </c>
      <c r="B68" s="5" t="s">
        <v>238</v>
      </c>
      <c r="C68" s="0" t="s">
        <v>57</v>
      </c>
      <c r="E68" s="12" t="n">
        <f aca="false">long_sh*k_long_lo+(1-long_sh)*k_spot</f>
        <v>0.824927220920711</v>
      </c>
      <c r="G68" s="8" t="s">
        <v>41</v>
      </c>
      <c r="H68" s="5" t="s">
        <v>239</v>
      </c>
    </row>
    <row r="69" customFormat="false" ht="17.15" hidden="false" customHeight="false" outlineLevel="0" collapsed="false">
      <c r="A69" s="0" t="s">
        <v>240</v>
      </c>
      <c r="B69" s="5" t="s">
        <v>241</v>
      </c>
      <c r="C69" s="0" t="s">
        <v>52</v>
      </c>
      <c r="E69" s="10" t="n">
        <v>0.55</v>
      </c>
      <c r="G69" s="8" t="s">
        <v>69</v>
      </c>
      <c r="H69" s="8" t="s">
        <v>242</v>
      </c>
      <c r="I69" s="8" t="s">
        <v>243</v>
      </c>
    </row>
    <row r="70" customFormat="false" ht="17.15" hidden="false" customHeight="false" outlineLevel="0" collapsed="false">
      <c r="A70" s="0" t="s">
        <v>244</v>
      </c>
      <c r="B70" s="5" t="s">
        <v>245</v>
      </c>
      <c r="C70" s="0" t="s">
        <v>52</v>
      </c>
      <c r="E70" s="10" t="n">
        <v>0.15</v>
      </c>
      <c r="G70" s="8" t="s">
        <v>69</v>
      </c>
      <c r="H70" s="8" t="s">
        <v>242</v>
      </c>
    </row>
    <row r="71" customFormat="false" ht="17.15" hidden="false" customHeight="false" outlineLevel="0" collapsed="false">
      <c r="A71" s="0" t="s">
        <v>246</v>
      </c>
      <c r="B71" s="5" t="s">
        <v>247</v>
      </c>
      <c r="C71" s="0" t="s">
        <v>52</v>
      </c>
      <c r="E71" s="10" t="n">
        <v>0.15</v>
      </c>
      <c r="G71" s="8" t="s">
        <v>69</v>
      </c>
      <c r="H71" s="8" t="s">
        <v>242</v>
      </c>
    </row>
    <row r="72" customFormat="false" ht="17.15" hidden="false" customHeight="false" outlineLevel="0" collapsed="false">
      <c r="A72" s="0" t="s">
        <v>248</v>
      </c>
      <c r="B72" s="5" t="s">
        <v>249</v>
      </c>
      <c r="C72" s="0" t="s">
        <v>52</v>
      </c>
      <c r="E72" s="10" t="n">
        <v>0.15</v>
      </c>
      <c r="G72" s="8" t="s">
        <v>69</v>
      </c>
      <c r="H72" s="8" t="s">
        <v>242</v>
      </c>
    </row>
    <row r="73" customFormat="false" ht="17.15" hidden="false" customHeight="false" outlineLevel="0" collapsed="false">
      <c r="A73" s="0" t="s">
        <v>250</v>
      </c>
      <c r="B73" s="5" t="s">
        <v>251</v>
      </c>
      <c r="C73" s="0" t="s">
        <v>173</v>
      </c>
      <c r="E73" s="9" t="n">
        <f aca="false">(mo_trn2+mo_h100)*tk_he_h100+mo_gb200*tk_he_gb200+mo_gb300*tk_he_gb300</f>
        <v>9.74934758549194</v>
      </c>
      <c r="G73" s="8" t="s">
        <v>41</v>
      </c>
      <c r="H73" s="5" t="s">
        <v>252</v>
      </c>
    </row>
    <row r="74" customFormat="false" ht="17.15" hidden="false" customHeight="false" outlineLevel="0" collapsed="false">
      <c r="A74" s="0" t="s">
        <v>253</v>
      </c>
      <c r="B74" s="5" t="s">
        <v>254</v>
      </c>
      <c r="C74" s="0" t="s">
        <v>173</v>
      </c>
      <c r="E74" s="9" t="n">
        <f aca="false">(mo_trn2+mo_h100)*tk_ox_h100+mo_gb200*tk_ox_gb200+mo_gb300*tk_ox_gb300</f>
        <v>1.88849736891677</v>
      </c>
      <c r="G74" s="8" t="s">
        <v>41</v>
      </c>
      <c r="H74" s="5" t="s">
        <v>252</v>
      </c>
    </row>
    <row r="75" customFormat="false" ht="17.15" hidden="false" customHeight="false" outlineLevel="0" collapsed="false">
      <c r="A75" s="0" t="s">
        <v>255</v>
      </c>
      <c r="B75" s="5" t="s">
        <v>256</v>
      </c>
      <c r="C75" s="0" t="s">
        <v>173</v>
      </c>
      <c r="E75" s="9" t="n">
        <f aca="false">he_open*k_B</f>
        <v>9.67085565405685</v>
      </c>
      <c r="G75" s="8" t="s">
        <v>41</v>
      </c>
      <c r="H75" s="5" t="s">
        <v>257</v>
      </c>
    </row>
    <row r="76" customFormat="false" ht="17.15" hidden="false" customHeight="false" outlineLevel="0" collapsed="false">
      <c r="A76" s="0" t="s">
        <v>258</v>
      </c>
      <c r="B76" s="5" t="s">
        <v>259</v>
      </c>
      <c r="C76" s="0" t="s">
        <v>52</v>
      </c>
      <c r="D76" s="10" t="n">
        <v>0.4</v>
      </c>
      <c r="E76" s="10" t="n">
        <v>0.5</v>
      </c>
      <c r="F76" s="10" t="n">
        <v>0.6</v>
      </c>
      <c r="G76" s="8" t="s">
        <v>69</v>
      </c>
      <c r="H76" s="5" t="s">
        <v>260</v>
      </c>
      <c r="I76" s="8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52</v>
      </c>
      <c r="E77" s="10" t="n">
        <v>0</v>
      </c>
      <c r="G77" s="8" t="s">
        <v>69</v>
      </c>
      <c r="H77" s="5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52</v>
      </c>
      <c r="E78" s="10" t="n">
        <v>0.5</v>
      </c>
      <c r="G78" s="8" t="s">
        <v>69</v>
      </c>
      <c r="H78" s="5" t="s">
        <v>264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52</v>
      </c>
      <c r="E79" s="10" t="n">
        <v>1</v>
      </c>
      <c r="G79" s="8" t="s">
        <v>69</v>
      </c>
      <c r="H79" s="5" t="s">
        <v>264</v>
      </c>
    </row>
    <row r="80" customFormat="false" ht="17.15" hidden="false" customHeight="false" outlineLevel="0" collapsed="false">
      <c r="A80" s="0" t="s">
        <v>269</v>
      </c>
      <c r="B80" s="5" t="s">
        <v>270</v>
      </c>
      <c r="C80" s="0" t="s">
        <v>57</v>
      </c>
      <c r="D80" s="11" t="n">
        <v>0.7</v>
      </c>
      <c r="E80" s="11" t="n">
        <v>1</v>
      </c>
      <c r="G80" s="8" t="s">
        <v>69</v>
      </c>
      <c r="H80" s="5" t="s">
        <v>271</v>
      </c>
      <c r="I80" s="5" t="s">
        <v>272</v>
      </c>
    </row>
    <row r="81" customFormat="false" ht="17.15" hidden="false" customHeight="false" outlineLevel="0" collapsed="false">
      <c r="A81" s="0" t="s">
        <v>273</v>
      </c>
      <c r="B81" s="5" t="s">
        <v>274</v>
      </c>
      <c r="C81" s="0" t="s">
        <v>57</v>
      </c>
      <c r="D81" s="11" t="n">
        <v>0.7</v>
      </c>
      <c r="E81" s="11" t="n">
        <v>1</v>
      </c>
      <c r="G81" s="8" t="s">
        <v>69</v>
      </c>
      <c r="H81" s="5" t="s">
        <v>275</v>
      </c>
      <c r="I81" s="5" t="s">
        <v>276</v>
      </c>
    </row>
    <row r="82" customFormat="false" ht="17.15" hidden="false" customHeight="false" outlineLevel="0" collapsed="false">
      <c r="A82" s="0" t="s">
        <v>277</v>
      </c>
      <c r="B82" s="5" t="s">
        <v>278</v>
      </c>
      <c r="C82" s="0" t="s">
        <v>52</v>
      </c>
      <c r="D82" s="10" t="n">
        <v>0.1</v>
      </c>
      <c r="E82" s="10" t="n">
        <v>0.2</v>
      </c>
      <c r="F82" s="10" t="n">
        <v>0.3</v>
      </c>
      <c r="G82" s="8" t="s">
        <v>46</v>
      </c>
      <c r="H82" s="8" t="s">
        <v>279</v>
      </c>
      <c r="I82" s="5" t="s">
        <v>280</v>
      </c>
    </row>
    <row r="83" customFormat="false" ht="17.15" hidden="false" customHeight="false" outlineLevel="0" collapsed="false">
      <c r="A83" s="0" t="s">
        <v>281</v>
      </c>
      <c r="B83" s="5" t="s">
        <v>282</v>
      </c>
      <c r="C83" s="0" t="s">
        <v>52</v>
      </c>
      <c r="E83" s="10" t="n">
        <v>0.1</v>
      </c>
      <c r="G83" s="8" t="s">
        <v>69</v>
      </c>
      <c r="H83" s="5" t="s">
        <v>283</v>
      </c>
    </row>
    <row r="84" customFormat="false" ht="17.15" hidden="false" customHeight="false" outlineLevel="0" collapsed="false">
      <c r="A84" s="0" t="s">
        <v>284</v>
      </c>
      <c r="B84" s="5" t="s">
        <v>285</v>
      </c>
      <c r="C84" s="0" t="s">
        <v>173</v>
      </c>
      <c r="E84" s="9" t="n">
        <f aca="false">colo_sh*tk_fac*rent_rec</f>
        <v>0.2534</v>
      </c>
      <c r="G84" s="8" t="s">
        <v>41</v>
      </c>
      <c r="H84" s="5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86</v>
      </c>
      <c r="E85" s="7" t="n">
        <v>220</v>
      </c>
      <c r="G85" s="8" t="s">
        <v>46</v>
      </c>
      <c r="H85" s="8" t="s">
        <v>289</v>
      </c>
      <c r="I85" s="5" t="s">
        <v>290</v>
      </c>
    </row>
    <row r="86" customFormat="false" ht="17.15" hidden="false" customHeight="false" outlineLevel="0" collapsed="false">
      <c r="A86" s="0" t="s">
        <v>291</v>
      </c>
      <c r="B86" s="5" t="s">
        <v>292</v>
      </c>
      <c r="C86" s="0" t="s">
        <v>293</v>
      </c>
      <c r="D86" s="7" t="n">
        <v>1</v>
      </c>
      <c r="E86" s="7" t="n">
        <v>2</v>
      </c>
      <c r="G86" s="8" t="s">
        <v>69</v>
      </c>
      <c r="H86" s="5" t="s">
        <v>294</v>
      </c>
      <c r="I86" s="5" t="s">
        <v>295</v>
      </c>
    </row>
    <row r="87" customFormat="false" ht="17.15" hidden="false" customHeight="false" outlineLevel="0" collapsed="false">
      <c r="A87" s="0" t="s">
        <v>296</v>
      </c>
      <c r="B87" s="5" t="s">
        <v>297</v>
      </c>
      <c r="C87" s="5" t="s">
        <v>123</v>
      </c>
      <c r="D87" s="7" t="n">
        <v>1</v>
      </c>
      <c r="E87" s="7" t="n">
        <v>1</v>
      </c>
      <c r="F87" s="7" t="n">
        <v>2</v>
      </c>
      <c r="G87" s="8" t="s">
        <v>69</v>
      </c>
      <c r="H87" s="5" t="s">
        <v>298</v>
      </c>
      <c r="I87" s="8" t="s">
        <v>299</v>
      </c>
    </row>
    <row r="88" customFormat="false" ht="17.15" hidden="false" customHeight="false" outlineLevel="0" collapsed="false">
      <c r="A88" s="0" t="s">
        <v>300</v>
      </c>
      <c r="B88" s="5" t="s">
        <v>301</v>
      </c>
      <c r="C88" s="0" t="s">
        <v>86</v>
      </c>
      <c r="E88" s="7" t="n">
        <v>25</v>
      </c>
      <c r="G88" s="8" t="s">
        <v>46</v>
      </c>
      <c r="H88" s="8" t="s">
        <v>302</v>
      </c>
      <c r="I88" s="5" t="s">
        <v>303</v>
      </c>
    </row>
    <row r="89" customFormat="false" ht="17.15" hidden="false" customHeight="false" outlineLevel="0" collapsed="false">
      <c r="A89" s="1" t="s">
        <v>304</v>
      </c>
    </row>
    <row r="90" customFormat="false" ht="17.15" hidden="false" customHeight="false" outlineLevel="0" collapsed="false">
      <c r="A90" s="0" t="s">
        <v>305</v>
      </c>
      <c r="B90" s="0" t="s">
        <v>306</v>
      </c>
      <c r="C90" s="0" t="s">
        <v>52</v>
      </c>
      <c r="D90" s="10" t="n">
        <v>0.05</v>
      </c>
      <c r="E90" s="10" t="n">
        <v>0.08</v>
      </c>
      <c r="F90" s="10" t="n">
        <v>0.11</v>
      </c>
      <c r="G90" s="8" t="s">
        <v>69</v>
      </c>
      <c r="H90" s="5" t="s">
        <v>307</v>
      </c>
      <c r="I90" s="8" t="s">
        <v>308</v>
      </c>
    </row>
    <row r="91" customFormat="false" ht="17.15" hidden="false" customHeight="false" outlineLevel="0" collapsed="false">
      <c r="A91" s="0" t="s">
        <v>309</v>
      </c>
      <c r="B91" s="0" t="s">
        <v>310</v>
      </c>
      <c r="C91" s="0" t="s">
        <v>52</v>
      </c>
      <c r="D91" s="10" t="n">
        <v>0.15</v>
      </c>
      <c r="E91" s="10" t="n">
        <v>0.2</v>
      </c>
      <c r="F91" s="10" t="n">
        <v>0.27</v>
      </c>
      <c r="G91" s="8" t="s">
        <v>69</v>
      </c>
      <c r="H91" s="5" t="s">
        <v>311</v>
      </c>
      <c r="I91" s="5" t="s">
        <v>312</v>
      </c>
    </row>
    <row r="92" customFormat="false" ht="17.15" hidden="false" customHeight="false" outlineLevel="0" collapsed="false">
      <c r="A92" s="1" t="s">
        <v>313</v>
      </c>
    </row>
    <row r="93" customFormat="false" ht="17.15" hidden="false" customHeight="false" outlineLevel="0" collapsed="false">
      <c r="A93" s="0" t="s">
        <v>314</v>
      </c>
      <c r="B93" s="0" t="s">
        <v>315</v>
      </c>
      <c r="C93" s="0" t="s">
        <v>52</v>
      </c>
      <c r="D93" s="10" t="n">
        <v>0.03</v>
      </c>
      <c r="E93" s="10" t="n">
        <v>0.05</v>
      </c>
      <c r="F93" s="10" t="n">
        <v>0.07</v>
      </c>
      <c r="G93" s="8" t="s">
        <v>69</v>
      </c>
      <c r="H93" s="5" t="s">
        <v>153</v>
      </c>
      <c r="I93" s="8" t="s">
        <v>316</v>
      </c>
    </row>
    <row r="94" customFormat="false" ht="17.15" hidden="false" customHeight="false" outlineLevel="0" collapsed="false">
      <c r="A94" s="0" t="s">
        <v>317</v>
      </c>
      <c r="B94" s="0" t="s">
        <v>318</v>
      </c>
      <c r="C94" s="0" t="s">
        <v>52</v>
      </c>
      <c r="D94" s="10" t="n">
        <v>0.01</v>
      </c>
      <c r="E94" s="10" t="n">
        <v>0.03</v>
      </c>
      <c r="F94" s="10" t="n">
        <v>0.05</v>
      </c>
      <c r="G94" s="8" t="s">
        <v>69</v>
      </c>
      <c r="H94" s="5" t="s">
        <v>153</v>
      </c>
      <c r="I94" s="8" t="s">
        <v>316</v>
      </c>
    </row>
    <row r="95" customFormat="false" ht="17.15" hidden="false" customHeight="false" outlineLevel="0" collapsed="false">
      <c r="A95" s="0" t="s">
        <v>319</v>
      </c>
      <c r="B95" s="0" t="s">
        <v>320</v>
      </c>
      <c r="C95" s="0" t="s">
        <v>52</v>
      </c>
      <c r="D95" s="10" t="n">
        <v>0.05</v>
      </c>
      <c r="E95" s="10" t="n">
        <v>0.07</v>
      </c>
      <c r="F95" s="10" t="n">
        <v>0.09</v>
      </c>
      <c r="G95" s="8" t="s">
        <v>69</v>
      </c>
      <c r="H95" s="5" t="s">
        <v>153</v>
      </c>
      <c r="I95" s="8" t="s">
        <v>316</v>
      </c>
    </row>
    <row r="96" customFormat="false" ht="17.15" hidden="false" customHeight="false" outlineLevel="0" collapsed="false">
      <c r="A96" s="0" t="s">
        <v>321</v>
      </c>
      <c r="B96" s="0" t="s">
        <v>322</v>
      </c>
      <c r="C96" s="0" t="s">
        <v>52</v>
      </c>
      <c r="D96" s="10" t="n">
        <v>0.07</v>
      </c>
      <c r="E96" s="10" t="n">
        <v>0.1</v>
      </c>
      <c r="F96" s="10" t="n">
        <v>0.13</v>
      </c>
      <c r="G96" s="8" t="s">
        <v>69</v>
      </c>
      <c r="H96" s="5" t="s">
        <v>153</v>
      </c>
      <c r="I96" s="8" t="s">
        <v>316</v>
      </c>
    </row>
    <row r="97" customFormat="false" ht="17.15" hidden="false" customHeight="false" outlineLevel="0" collapsed="false">
      <c r="A97" s="0" t="s">
        <v>323</v>
      </c>
      <c r="B97" s="0" t="s">
        <v>324</v>
      </c>
      <c r="C97" s="0" t="s">
        <v>52</v>
      </c>
      <c r="D97" s="10" t="n">
        <v>0.05</v>
      </c>
      <c r="E97" s="10" t="n">
        <v>0.07</v>
      </c>
      <c r="F97" s="10" t="n">
        <v>0.09</v>
      </c>
      <c r="G97" s="8" t="s">
        <v>69</v>
      </c>
      <c r="H97" s="5" t="s">
        <v>153</v>
      </c>
      <c r="I97" s="8" t="s">
        <v>316</v>
      </c>
    </row>
    <row r="98" customFormat="false" ht="17.15" hidden="false" customHeight="false" outlineLevel="0" collapsed="false">
      <c r="A98" s="0" t="s">
        <v>325</v>
      </c>
      <c r="B98" s="0" t="s">
        <v>326</v>
      </c>
      <c r="C98" s="0" t="s">
        <v>52</v>
      </c>
      <c r="D98" s="10" t="n">
        <v>0.02</v>
      </c>
      <c r="E98" s="10" t="n">
        <v>0.05</v>
      </c>
      <c r="F98" s="10" t="n">
        <v>0.08</v>
      </c>
      <c r="G98" s="8" t="s">
        <v>69</v>
      </c>
      <c r="H98" s="5" t="s">
        <v>153</v>
      </c>
      <c r="I98" s="8" t="s">
        <v>316</v>
      </c>
    </row>
    <row r="99" customFormat="false" ht="17.15" hidden="false" customHeight="false" outlineLevel="0" collapsed="false">
      <c r="A99" s="0" t="s">
        <v>327</v>
      </c>
      <c r="B99" s="5" t="s">
        <v>328</v>
      </c>
      <c r="C99" s="0" t="s">
        <v>52</v>
      </c>
      <c r="D99" s="10" t="n">
        <v>0.4</v>
      </c>
      <c r="E99" s="10" t="n">
        <v>0.5</v>
      </c>
      <c r="F99" s="10" t="n">
        <v>0.6</v>
      </c>
      <c r="G99" s="8" t="s">
        <v>69</v>
      </c>
      <c r="H99" s="5" t="s">
        <v>329</v>
      </c>
      <c r="I99" s="5" t="s">
        <v>330</v>
      </c>
    </row>
    <row r="100" customFormat="false" ht="17.15" hidden="false" customHeight="false" outlineLevel="0" collapsed="false">
      <c r="A100" s="0" t="s">
        <v>331</v>
      </c>
      <c r="B100" s="5" t="s">
        <v>332</v>
      </c>
      <c r="C100" s="0" t="s">
        <v>333</v>
      </c>
      <c r="D100" s="10" t="n">
        <v>0</v>
      </c>
      <c r="E100" s="10" t="n">
        <v>0.003</v>
      </c>
      <c r="F100" s="10" t="n">
        <v>0.006</v>
      </c>
      <c r="G100" s="8" t="s">
        <v>69</v>
      </c>
      <c r="H100" s="5" t="s">
        <v>334</v>
      </c>
    </row>
    <row r="101" customFormat="false" ht="17.15" hidden="false" customHeight="false" outlineLevel="0" collapsed="false">
      <c r="A101" s="0" t="s">
        <v>335</v>
      </c>
      <c r="B101" s="5" t="s">
        <v>336</v>
      </c>
      <c r="C101" s="0" t="s">
        <v>333</v>
      </c>
      <c r="D101" s="10" t="n">
        <v>-0.003</v>
      </c>
      <c r="E101" s="10" t="n">
        <v>0</v>
      </c>
      <c r="F101" s="10" t="n">
        <v>0.003</v>
      </c>
      <c r="G101" s="8" t="s">
        <v>69</v>
      </c>
      <c r="H101" s="5" t="s">
        <v>337</v>
      </c>
    </row>
    <row r="102" customFormat="false" ht="17.15" hidden="false" customHeight="false" outlineLevel="0" collapsed="false">
      <c r="A102" s="0" t="s">
        <v>338</v>
      </c>
      <c r="B102" s="5" t="s">
        <v>339</v>
      </c>
      <c r="C102" s="0" t="s">
        <v>52</v>
      </c>
      <c r="E102" s="13" t="n">
        <f aca="false">AVERAGE((Q!$C$55+Q!$C$56)/(Q!$C$5+Q!$C$6),(Q!$D$55+Q!$D$56)/(Q!$D$5+Q!$D$6),(Q!$E$55+Q!$E$56)/(Q!$E$5+Q!$E$6))</f>
        <v>0.0590737529079913</v>
      </c>
      <c r="G102" s="8" t="s">
        <v>41</v>
      </c>
      <c r="H102" s="8" t="s">
        <v>82</v>
      </c>
      <c r="I102" s="8" t="s">
        <v>340</v>
      </c>
    </row>
    <row r="103" customFormat="false" ht="17.15" hidden="false" customHeight="false" outlineLevel="0" collapsed="false">
      <c r="A103" s="1" t="s">
        <v>341</v>
      </c>
    </row>
    <row r="104" customFormat="false" ht="17.15" hidden="false" customHeight="false" outlineLevel="0" collapsed="false">
      <c r="A104" s="0" t="s">
        <v>342</v>
      </c>
      <c r="B104" s="5" t="s">
        <v>343</v>
      </c>
      <c r="C104" s="0" t="s">
        <v>52</v>
      </c>
      <c r="E104" s="13" t="n">
        <f aca="false">Q!$Q$48/Q!$Q$8</f>
        <v>0.0248994430693069</v>
      </c>
      <c r="G104" s="8" t="s">
        <v>41</v>
      </c>
      <c r="H104" s="8" t="s">
        <v>302</v>
      </c>
      <c r="I104" s="8" t="s">
        <v>344</v>
      </c>
    </row>
    <row r="105" customFormat="false" ht="17.15" hidden="false" customHeight="false" outlineLevel="0" collapsed="false">
      <c r="A105" s="0" t="s">
        <v>345</v>
      </c>
      <c r="B105" s="5" t="s">
        <v>346</v>
      </c>
      <c r="C105" s="0" t="s">
        <v>52</v>
      </c>
      <c r="D105" s="10" t="n">
        <v>-0.005</v>
      </c>
      <c r="E105" s="13" t="n">
        <f aca="false">AVERAGE((Q!$C$44-(Q!$C$38-Q!$C$39*(1-Q!$C$40))-Q!$C$32-Q!$C$48)/Q!$C$8,(Q!$D$44-(Q!$D$38-Q!$D$39*(1-Q!$D$40))-Q!$D$32-Q!$D$48)/Q!$D$8,(Q!$E$44-(Q!$E$38-Q!$E$39*(1-Q!$E$40))-Q!$E$32-Q!$E$48)/Q!$E$8)</f>
        <v>0.0119845812666467</v>
      </c>
      <c r="F105" s="10" t="n">
        <v>0.02</v>
      </c>
      <c r="G105" s="8" t="s">
        <v>41</v>
      </c>
      <c r="H105" s="8" t="s">
        <v>82</v>
      </c>
      <c r="I105" s="8" t="s">
        <v>347</v>
      </c>
    </row>
    <row r="106" customFormat="false" ht="17.15" hidden="false" customHeight="false" outlineLevel="0" collapsed="false">
      <c r="A106" s="0" t="s">
        <v>348</v>
      </c>
      <c r="B106" s="5" t="s">
        <v>349</v>
      </c>
      <c r="C106" s="0" t="s">
        <v>86</v>
      </c>
      <c r="D106" s="7" t="n">
        <v>1.5</v>
      </c>
      <c r="E106" s="7" t="n">
        <v>1.6</v>
      </c>
      <c r="F106" s="7" t="n">
        <v>3</v>
      </c>
      <c r="G106" s="8" t="s">
        <v>69</v>
      </c>
      <c r="H106" s="8" t="s">
        <v>82</v>
      </c>
      <c r="I106" s="8" t="s">
        <v>350</v>
      </c>
    </row>
    <row r="107" customFormat="false" ht="17.15" hidden="false" customHeight="false" outlineLevel="0" collapsed="false">
      <c r="A107" s="0" t="s">
        <v>351</v>
      </c>
      <c r="B107" s="5" t="s">
        <v>352</v>
      </c>
      <c r="C107" s="0" t="s">
        <v>52</v>
      </c>
      <c r="D107" s="10" t="n">
        <v>0</v>
      </c>
      <c r="E107" s="10" t="n">
        <v>0.008</v>
      </c>
      <c r="F107" s="10" t="n">
        <v>0.015</v>
      </c>
      <c r="G107" s="8" t="s">
        <v>41</v>
      </c>
      <c r="H107" s="8" t="s">
        <v>353</v>
      </c>
      <c r="I107" s="5" t="s">
        <v>354</v>
      </c>
    </row>
    <row r="108" customFormat="false" ht="17.15" hidden="false" customHeight="false" outlineLevel="0" collapsed="false">
      <c r="A108" s="0" t="s">
        <v>355</v>
      </c>
      <c r="B108" s="5" t="s">
        <v>356</v>
      </c>
      <c r="C108" s="0" t="s">
        <v>52</v>
      </c>
      <c r="E108" s="13" t="n">
        <f aca="false">Q!$P$34*2/((Q!$E$62+Q!$M$62)/2)</f>
        <v>0.0418964381091111</v>
      </c>
      <c r="G108" s="8" t="s">
        <v>41</v>
      </c>
      <c r="H108" s="8" t="s">
        <v>34</v>
      </c>
      <c r="I108" s="5" t="s">
        <v>357</v>
      </c>
    </row>
    <row r="109" customFormat="false" ht="17.15" hidden="false" customHeight="false" outlineLevel="0" collapsed="false">
      <c r="A109" s="0" t="s">
        <v>358</v>
      </c>
      <c r="B109" s="5" t="s">
        <v>359</v>
      </c>
      <c r="C109" s="0" t="s">
        <v>52</v>
      </c>
      <c r="E109" s="13" t="n">
        <f aca="false">Q!$M$35*4/Q!$M$61</f>
        <v>0.0421179302045728</v>
      </c>
      <c r="G109" s="8" t="s">
        <v>41</v>
      </c>
      <c r="H109" s="8" t="s">
        <v>34</v>
      </c>
    </row>
    <row r="110" customFormat="false" ht="17.15" hidden="false" customHeight="false" outlineLevel="0" collapsed="false">
      <c r="A110" s="0" t="s">
        <v>360</v>
      </c>
      <c r="B110" s="5" t="s">
        <v>361</v>
      </c>
      <c r="C110" s="0" t="s">
        <v>86</v>
      </c>
      <c r="E110" s="7" t="n">
        <v>122.988</v>
      </c>
      <c r="G110" s="8" t="s">
        <v>28</v>
      </c>
      <c r="H110" s="8" t="s">
        <v>34</v>
      </c>
    </row>
    <row r="111" customFormat="false" ht="17.15" hidden="false" customHeight="false" outlineLevel="0" collapsed="false">
      <c r="A111" s="0" t="s">
        <v>362</v>
      </c>
      <c r="B111" s="5" t="s">
        <v>363</v>
      </c>
      <c r="C111" s="0" t="s">
        <v>86</v>
      </c>
      <c r="D111" s="7" t="n">
        <v>30</v>
      </c>
      <c r="E111" s="7" t="n">
        <v>50</v>
      </c>
      <c r="F111" s="7" t="n">
        <v>80</v>
      </c>
      <c r="G111" s="8" t="s">
        <v>69</v>
      </c>
      <c r="H111" s="5" t="s">
        <v>364</v>
      </c>
    </row>
    <row r="112" customFormat="false" ht="17.15" hidden="false" customHeight="false" outlineLevel="0" collapsed="false">
      <c r="A112" s="0" t="s">
        <v>365</v>
      </c>
      <c r="B112" s="0" t="s">
        <v>366</v>
      </c>
      <c r="C112" s="0" t="s">
        <v>86</v>
      </c>
      <c r="E112" s="7" t="n">
        <v>25</v>
      </c>
      <c r="G112" s="8" t="s">
        <v>46</v>
      </c>
      <c r="H112" s="8" t="s">
        <v>367</v>
      </c>
    </row>
    <row r="113" customFormat="false" ht="17.15" hidden="false" customHeight="false" outlineLevel="0" collapsed="false">
      <c r="A113" s="0" t="s">
        <v>368</v>
      </c>
      <c r="B113" s="0" t="s">
        <v>369</v>
      </c>
      <c r="C113" s="0" t="s">
        <v>370</v>
      </c>
      <c r="E113" s="7" t="n">
        <v>3.25</v>
      </c>
      <c r="G113" s="8" t="s">
        <v>46</v>
      </c>
      <c r="H113" s="8" t="s">
        <v>371</v>
      </c>
      <c r="I113" s="8" t="s">
        <v>372</v>
      </c>
    </row>
    <row r="114" customFormat="false" ht="17.15" hidden="false" customHeight="false" outlineLevel="0" collapsed="false">
      <c r="A114" s="0" t="s">
        <v>373</v>
      </c>
      <c r="B114" s="5" t="s">
        <v>374</v>
      </c>
      <c r="C114" s="0" t="s">
        <v>375</v>
      </c>
      <c r="E114" s="7" t="n">
        <v>1.307692</v>
      </c>
      <c r="G114" s="8" t="s">
        <v>41</v>
      </c>
      <c r="H114" s="8" t="s">
        <v>371</v>
      </c>
    </row>
    <row r="115" customFormat="false" ht="17.15" hidden="false" customHeight="false" outlineLevel="0" collapsed="false">
      <c r="A115" s="0" t="s">
        <v>376</v>
      </c>
      <c r="B115" s="0" t="s">
        <v>377</v>
      </c>
      <c r="C115" s="0" t="s">
        <v>86</v>
      </c>
      <c r="E115" s="9" t="n">
        <f aca="false">iss_usd+iss_gbp*fx_gbp</f>
        <v>29.249999</v>
      </c>
      <c r="G115" s="8" t="s">
        <v>41</v>
      </c>
      <c r="H115" s="5" t="s">
        <v>286</v>
      </c>
    </row>
    <row r="116" customFormat="false" ht="17.15" hidden="false" customHeight="false" outlineLevel="0" collapsed="false">
      <c r="A116" s="0" t="s">
        <v>378</v>
      </c>
      <c r="B116" s="0" t="s">
        <v>379</v>
      </c>
      <c r="C116" s="5" t="s">
        <v>123</v>
      </c>
      <c r="E116" s="7" t="n">
        <v>0.25</v>
      </c>
      <c r="G116" s="8" t="s">
        <v>69</v>
      </c>
      <c r="H116" s="5" t="s">
        <v>380</v>
      </c>
    </row>
    <row r="117" customFormat="false" ht="17.15" hidden="false" customHeight="false" outlineLevel="0" collapsed="false">
      <c r="A117" s="0" t="s">
        <v>381</v>
      </c>
      <c r="B117" s="0" t="s">
        <v>382</v>
      </c>
      <c r="C117" s="0" t="s">
        <v>86</v>
      </c>
      <c r="E117" s="7" t="n">
        <v>21.3</v>
      </c>
      <c r="G117" s="8" t="s">
        <v>46</v>
      </c>
      <c r="H117" s="8" t="s">
        <v>34</v>
      </c>
      <c r="I117" s="8" t="s">
        <v>383</v>
      </c>
    </row>
    <row r="118" customFormat="false" ht="17.15" hidden="false" customHeight="false" outlineLevel="0" collapsed="false">
      <c r="A118" s="0" t="s">
        <v>384</v>
      </c>
      <c r="B118" s="5" t="s">
        <v>385</v>
      </c>
      <c r="C118" s="0" t="s">
        <v>27</v>
      </c>
      <c r="E118" s="7" t="n">
        <v>0</v>
      </c>
      <c r="G118" s="8" t="s">
        <v>28</v>
      </c>
      <c r="H118" s="8" t="s">
        <v>34</v>
      </c>
      <c r="I118" s="8" t="s">
        <v>386</v>
      </c>
    </row>
    <row r="119" customFormat="false" ht="17.15" hidden="false" customHeight="false" outlineLevel="0" collapsed="false">
      <c r="A119" s="1" t="s">
        <v>387</v>
      </c>
    </row>
    <row r="120" customFormat="false" ht="17.15" hidden="false" customHeight="false" outlineLevel="0" collapsed="false">
      <c r="A120" s="0" t="s">
        <v>388</v>
      </c>
      <c r="B120" s="0" t="s">
        <v>389</v>
      </c>
      <c r="C120" s="0" t="s">
        <v>86</v>
      </c>
      <c r="E120" s="7" t="n">
        <v>965</v>
      </c>
      <c r="G120" s="8" t="s">
        <v>46</v>
      </c>
      <c r="H120" s="8" t="s">
        <v>390</v>
      </c>
      <c r="I120" s="5" t="s">
        <v>391</v>
      </c>
    </row>
    <row r="121" customFormat="false" ht="17.15" hidden="false" customHeight="false" outlineLevel="0" collapsed="false">
      <c r="A121" s="0" t="s">
        <v>392</v>
      </c>
      <c r="B121" s="0" t="s">
        <v>393</v>
      </c>
      <c r="C121" s="0" t="s">
        <v>52</v>
      </c>
      <c r="D121" s="10" t="n">
        <v>0.15</v>
      </c>
      <c r="E121" s="10" t="n">
        <v>0.18</v>
      </c>
      <c r="F121" s="10" t="n">
        <v>0.21</v>
      </c>
      <c r="G121" s="8" t="s">
        <v>69</v>
      </c>
      <c r="H121" s="5" t="s">
        <v>394</v>
      </c>
      <c r="I121" s="8" t="s">
        <v>395</v>
      </c>
    </row>
    <row r="122" customFormat="false" ht="17.15" hidden="false" customHeight="false" outlineLevel="0" collapsed="false">
      <c r="A122" s="0" t="s">
        <v>396</v>
      </c>
      <c r="B122" s="0" t="s">
        <v>397</v>
      </c>
      <c r="C122" s="0" t="s">
        <v>86</v>
      </c>
      <c r="E122" s="7" t="n">
        <v>840</v>
      </c>
      <c r="G122" s="8" t="s">
        <v>41</v>
      </c>
      <c r="H122" s="8" t="s">
        <v>398</v>
      </c>
    </row>
    <row r="123" customFormat="false" ht="17.15" hidden="false" customHeight="false" outlineLevel="0" collapsed="false">
      <c r="A123" s="0" t="s">
        <v>399</v>
      </c>
      <c r="B123" s="0" t="s">
        <v>400</v>
      </c>
      <c r="C123" s="0" t="s">
        <v>52</v>
      </c>
      <c r="E123" s="10" t="n">
        <v>0.0595</v>
      </c>
      <c r="G123" s="8" t="s">
        <v>41</v>
      </c>
      <c r="H123" s="5" t="s">
        <v>264</v>
      </c>
      <c r="I123" s="5" t="s">
        <v>401</v>
      </c>
    </row>
    <row r="124" customFormat="false" ht="17.15" hidden="false" customHeight="false" outlineLevel="0" collapsed="false">
      <c r="A124" s="0" t="s">
        <v>402</v>
      </c>
      <c r="B124" s="5" t="s">
        <v>403</v>
      </c>
      <c r="C124" s="0" t="s">
        <v>52</v>
      </c>
      <c r="D124" s="10" t="n">
        <v>0</v>
      </c>
      <c r="E124" s="10" t="n">
        <v>0.2</v>
      </c>
      <c r="F124" s="10" t="n">
        <v>0.4</v>
      </c>
      <c r="G124" s="8" t="s">
        <v>69</v>
      </c>
      <c r="H124" s="5" t="s">
        <v>404</v>
      </c>
    </row>
    <row r="125" customFormat="false" ht="17.15" hidden="false" customHeight="false" outlineLevel="0" collapsed="false">
      <c r="A125" s="0" t="s">
        <v>405</v>
      </c>
      <c r="B125" s="0" t="s">
        <v>406</v>
      </c>
      <c r="C125" s="0" t="s">
        <v>57</v>
      </c>
      <c r="D125" s="11" t="n">
        <v>4</v>
      </c>
      <c r="E125" s="11" t="n">
        <v>6</v>
      </c>
      <c r="F125" s="11" t="n">
        <v>10</v>
      </c>
      <c r="G125" s="8" t="s">
        <v>69</v>
      </c>
      <c r="H125" s="5" t="s">
        <v>407</v>
      </c>
      <c r="I125" s="8" t="s">
        <v>408</v>
      </c>
    </row>
    <row r="126" customFormat="false" ht="17.15" hidden="false" customHeight="false" outlineLevel="0" collapsed="false">
      <c r="A126" s="0" t="s">
        <v>409</v>
      </c>
      <c r="B126" s="5" t="s">
        <v>410</v>
      </c>
      <c r="C126" s="0" t="s">
        <v>411</v>
      </c>
      <c r="D126" s="7" t="n">
        <v>0</v>
      </c>
      <c r="E126" s="7" t="n">
        <v>1</v>
      </c>
      <c r="G126" s="8" t="s">
        <v>69</v>
      </c>
      <c r="H126" s="5" t="s">
        <v>412</v>
      </c>
    </row>
    <row r="127" customFormat="false" ht="17.15" hidden="false" customHeight="false" outlineLevel="0" collapsed="false">
      <c r="A127" s="0" t="s">
        <v>413</v>
      </c>
      <c r="B127" s="5" t="s">
        <v>414</v>
      </c>
      <c r="C127" s="0" t="s">
        <v>411</v>
      </c>
      <c r="D127" s="7" t="n">
        <v>0</v>
      </c>
      <c r="E127" s="7" t="n">
        <v>1</v>
      </c>
      <c r="G127" s="8" t="s">
        <v>69</v>
      </c>
      <c r="H127" s="5" t="s">
        <v>415</v>
      </c>
      <c r="I127" s="8" t="s">
        <v>416</v>
      </c>
    </row>
    <row r="128" customFormat="false" ht="17.15" hidden="false" customHeight="false" outlineLevel="0" collapsed="false">
      <c r="A128" s="0" t="s">
        <v>417</v>
      </c>
      <c r="B128" s="5" t="s">
        <v>418</v>
      </c>
      <c r="C128" s="0" t="s">
        <v>57</v>
      </c>
      <c r="D128" s="11" t="n">
        <v>0.8</v>
      </c>
      <c r="E128" s="11" t="n">
        <v>1</v>
      </c>
      <c r="F128" s="11" t="n">
        <v>1.2</v>
      </c>
      <c r="G128" s="8" t="s">
        <v>69</v>
      </c>
      <c r="H128" s="8" t="s">
        <v>419</v>
      </c>
    </row>
    <row r="129" customFormat="false" ht="17.15" hidden="false" customHeight="false" outlineLevel="0" collapsed="false">
      <c r="A129" s="1" t="s">
        <v>420</v>
      </c>
    </row>
    <row r="130" customFormat="false" ht="17.15" hidden="false" customHeight="false" outlineLevel="0" collapsed="false">
      <c r="A130" s="0" t="s">
        <v>421</v>
      </c>
      <c r="B130" s="5" t="s">
        <v>422</v>
      </c>
      <c r="C130" s="0" t="s">
        <v>86</v>
      </c>
      <c r="E130" s="7" t="n">
        <v>828.285</v>
      </c>
      <c r="G130" s="8" t="s">
        <v>46</v>
      </c>
      <c r="H130" s="8" t="s">
        <v>423</v>
      </c>
      <c r="I130" s="8" t="s">
        <v>424</v>
      </c>
    </row>
    <row r="131" customFormat="false" ht="17.15" hidden="false" customHeight="false" outlineLevel="0" collapsed="false">
      <c r="A131" s="0" t="s">
        <v>425</v>
      </c>
      <c r="B131" s="5" t="s">
        <v>426</v>
      </c>
      <c r="C131" s="0" t="s">
        <v>86</v>
      </c>
      <c r="E131" s="7" t="n">
        <v>216.957</v>
      </c>
      <c r="G131" s="8" t="s">
        <v>46</v>
      </c>
      <c r="H131" s="8" t="s">
        <v>423</v>
      </c>
      <c r="I131" s="8" t="s">
        <v>424</v>
      </c>
    </row>
    <row r="132" customFormat="false" ht="17.15" hidden="false" customHeight="false" outlineLevel="0" collapsed="false">
      <c r="A132" s="0" t="s">
        <v>427</v>
      </c>
      <c r="B132" s="5" t="s">
        <v>428</v>
      </c>
      <c r="C132" s="0" t="s">
        <v>86</v>
      </c>
      <c r="E132" s="7" t="n">
        <v>109.867</v>
      </c>
      <c r="G132" s="8" t="s">
        <v>46</v>
      </c>
      <c r="H132" s="8" t="s">
        <v>423</v>
      </c>
      <c r="I132" s="8" t="s">
        <v>424</v>
      </c>
    </row>
    <row r="133" customFormat="false" ht="17.15" hidden="false" customHeight="false" outlineLevel="0" collapsed="false">
      <c r="A133" s="0" t="s">
        <v>429</v>
      </c>
      <c r="B133" s="5" t="s">
        <v>430</v>
      </c>
      <c r="C133" s="0" t="s">
        <v>86</v>
      </c>
      <c r="E133" s="7" t="n">
        <v>140.133</v>
      </c>
      <c r="G133" s="8" t="s">
        <v>46</v>
      </c>
      <c r="H133" s="8" t="s">
        <v>423</v>
      </c>
      <c r="I133" s="8" t="s">
        <v>424</v>
      </c>
    </row>
    <row r="134" customFormat="false" ht="17.15" hidden="false" customHeight="false" outlineLevel="0" collapsed="false">
      <c r="A134" s="0" t="s">
        <v>431</v>
      </c>
      <c r="B134" s="5" t="s">
        <v>432</v>
      </c>
      <c r="C134" s="0" t="s">
        <v>27</v>
      </c>
      <c r="E134" s="7" t="n">
        <v>12.88</v>
      </c>
      <c r="G134" s="8" t="s">
        <v>46</v>
      </c>
      <c r="H134" s="8" t="s">
        <v>423</v>
      </c>
      <c r="I134" s="8" t="s">
        <v>424</v>
      </c>
    </row>
    <row r="135" customFormat="false" ht="17.15" hidden="false" customHeight="false" outlineLevel="0" collapsed="false">
      <c r="A135" s="0" t="s">
        <v>433</v>
      </c>
      <c r="B135" s="5" t="s">
        <v>434</v>
      </c>
      <c r="C135" s="0" t="s">
        <v>86</v>
      </c>
      <c r="E135" s="7" t="n">
        <v>220.5</v>
      </c>
      <c r="G135" s="8" t="s">
        <v>46</v>
      </c>
      <c r="H135" s="8" t="s">
        <v>423</v>
      </c>
      <c r="I135" s="8" t="s">
        <v>424</v>
      </c>
    </row>
    <row r="136" customFormat="false" ht="17.15" hidden="false" customHeight="false" outlineLevel="0" collapsed="false">
      <c r="A136" s="0" t="s">
        <v>435</v>
      </c>
      <c r="B136" s="5" t="s">
        <v>436</v>
      </c>
      <c r="C136" s="0" t="s">
        <v>86</v>
      </c>
      <c r="E136" s="7" t="n">
        <v>-34.027</v>
      </c>
      <c r="G136" s="8" t="s">
        <v>46</v>
      </c>
      <c r="H136" s="8" t="s">
        <v>423</v>
      </c>
      <c r="I136" s="8" t="s">
        <v>424</v>
      </c>
    </row>
    <row r="137" customFormat="false" ht="17.15" hidden="false" customHeight="false" outlineLevel="0" collapsed="false">
      <c r="A137" s="0" t="s">
        <v>437</v>
      </c>
      <c r="B137" s="5" t="s">
        <v>438</v>
      </c>
      <c r="C137" s="0" t="s">
        <v>86</v>
      </c>
      <c r="E137" s="7" t="n">
        <v>947.853</v>
      </c>
      <c r="G137" s="8" t="s">
        <v>46</v>
      </c>
      <c r="H137" s="8" t="s">
        <v>423</v>
      </c>
      <c r="I137" s="8" t="s">
        <v>424</v>
      </c>
    </row>
    <row r="138" customFormat="false" ht="17.15" hidden="false" customHeight="false" outlineLevel="0" collapsed="false">
      <c r="A138" s="0" t="s">
        <v>439</v>
      </c>
      <c r="B138" s="5" t="s">
        <v>440</v>
      </c>
      <c r="C138" s="0" t="s">
        <v>86</v>
      </c>
      <c r="E138" s="7" t="n">
        <v>273.452</v>
      </c>
      <c r="G138" s="8" t="s">
        <v>46</v>
      </c>
      <c r="H138" s="8" t="s">
        <v>423</v>
      </c>
      <c r="I138" s="8" t="s">
        <v>424</v>
      </c>
    </row>
    <row r="139" customFormat="false" ht="17.15" hidden="false" customHeight="false" outlineLevel="0" collapsed="false">
      <c r="A139" s="0" t="s">
        <v>441</v>
      </c>
      <c r="B139" s="5" t="s">
        <v>442</v>
      </c>
      <c r="C139" s="0" t="s">
        <v>86</v>
      </c>
      <c r="E139" s="7" t="n">
        <v>140.372</v>
      </c>
      <c r="G139" s="8" t="s">
        <v>46</v>
      </c>
      <c r="H139" s="8" t="s">
        <v>423</v>
      </c>
      <c r="I139" s="8" t="s">
        <v>424</v>
      </c>
    </row>
    <row r="140" customFormat="false" ht="17.15" hidden="false" customHeight="false" outlineLevel="0" collapsed="false">
      <c r="A140" s="0" t="s">
        <v>443</v>
      </c>
      <c r="B140" s="5" t="s">
        <v>444</v>
      </c>
      <c r="C140" s="0" t="s">
        <v>86</v>
      </c>
      <c r="E140" s="7" t="n">
        <v>115.541</v>
      </c>
      <c r="G140" s="8" t="s">
        <v>46</v>
      </c>
      <c r="H140" s="8" t="s">
        <v>423</v>
      </c>
      <c r="I140" s="8" t="s">
        <v>424</v>
      </c>
    </row>
    <row r="141" customFormat="false" ht="17.15" hidden="false" customHeight="false" outlineLevel="0" collapsed="false">
      <c r="A141" s="0" t="s">
        <v>445</v>
      </c>
      <c r="B141" s="5" t="s">
        <v>446</v>
      </c>
      <c r="C141" s="0" t="s">
        <v>27</v>
      </c>
      <c r="E141" s="7" t="n">
        <v>10.51</v>
      </c>
      <c r="G141" s="8" t="s">
        <v>46</v>
      </c>
      <c r="H141" s="8" t="s">
        <v>423</v>
      </c>
      <c r="I141" s="8" t="s">
        <v>424</v>
      </c>
    </row>
    <row r="142" customFormat="false" ht="17.15" hidden="false" customHeight="false" outlineLevel="0" collapsed="false">
      <c r="A142" s="0" t="s">
        <v>447</v>
      </c>
      <c r="B142" s="5" t="s">
        <v>448</v>
      </c>
      <c r="C142" s="0" t="s">
        <v>86</v>
      </c>
      <c r="E142" s="7" t="n">
        <v>275.063</v>
      </c>
      <c r="G142" s="8" t="s">
        <v>46</v>
      </c>
      <c r="H142" s="8" t="s">
        <v>423</v>
      </c>
      <c r="I142" s="8" t="s">
        <v>424</v>
      </c>
    </row>
    <row r="143" customFormat="false" ht="17.15" hidden="false" customHeight="false" outlineLevel="0" collapsed="false">
      <c r="A143" s="0" t="s">
        <v>449</v>
      </c>
      <c r="B143" s="5" t="s">
        <v>450</v>
      </c>
      <c r="C143" s="0" t="s">
        <v>86</v>
      </c>
      <c r="E143" s="7" t="n">
        <v>-5.631</v>
      </c>
      <c r="G143" s="8" t="s">
        <v>46</v>
      </c>
      <c r="H143" s="8" t="s">
        <v>423</v>
      </c>
      <c r="I143" s="8" t="s">
        <v>424</v>
      </c>
    </row>
    <row r="144" customFormat="false" ht="17.15" hidden="false" customHeight="false" outlineLevel="0" collapsed="false">
      <c r="A144" s="0" t="s">
        <v>451</v>
      </c>
      <c r="B144" s="5" t="s">
        <v>452</v>
      </c>
      <c r="C144" s="0" t="s">
        <v>86</v>
      </c>
      <c r="E144" s="7" t="n">
        <v>1097.389</v>
      </c>
      <c r="G144" s="8" t="s">
        <v>46</v>
      </c>
      <c r="H144" s="8" t="s">
        <v>423</v>
      </c>
      <c r="I144" s="8" t="s">
        <v>424</v>
      </c>
    </row>
    <row r="145" customFormat="false" ht="17.15" hidden="false" customHeight="false" outlineLevel="0" collapsed="false">
      <c r="A145" s="0" t="s">
        <v>453</v>
      </c>
      <c r="B145" s="5" t="s">
        <v>454</v>
      </c>
      <c r="C145" s="0" t="s">
        <v>86</v>
      </c>
      <c r="E145" s="7" t="n">
        <v>355.29</v>
      </c>
      <c r="G145" s="8" t="s">
        <v>46</v>
      </c>
      <c r="H145" s="8" t="s">
        <v>423</v>
      </c>
      <c r="I145" s="8" t="s">
        <v>424</v>
      </c>
    </row>
    <row r="146" customFormat="false" ht="17.15" hidden="false" customHeight="false" outlineLevel="0" collapsed="false">
      <c r="A146" s="0" t="s">
        <v>455</v>
      </c>
      <c r="B146" s="5" t="s">
        <v>456</v>
      </c>
      <c r="C146" s="0" t="s">
        <v>86</v>
      </c>
      <c r="E146" s="7" t="n">
        <v>182.749</v>
      </c>
      <c r="G146" s="8" t="s">
        <v>46</v>
      </c>
      <c r="H146" s="8" t="s">
        <v>423</v>
      </c>
      <c r="I146" s="8" t="s">
        <v>424</v>
      </c>
    </row>
    <row r="147" customFormat="false" ht="17.15" hidden="false" customHeight="false" outlineLevel="0" collapsed="false">
      <c r="A147" s="0" t="s">
        <v>457</v>
      </c>
      <c r="B147" s="5" t="s">
        <v>458</v>
      </c>
      <c r="C147" s="0" t="s">
        <v>86</v>
      </c>
      <c r="E147" s="7" t="n">
        <v>147.701</v>
      </c>
      <c r="G147" s="8" t="s">
        <v>46</v>
      </c>
      <c r="H147" s="8" t="s">
        <v>423</v>
      </c>
      <c r="I147" s="8" t="s">
        <v>424</v>
      </c>
    </row>
    <row r="148" customFormat="false" ht="17.15" hidden="false" customHeight="false" outlineLevel="0" collapsed="false">
      <c r="A148" s="0" t="s">
        <v>459</v>
      </c>
      <c r="B148" s="5" t="s">
        <v>460</v>
      </c>
      <c r="C148" s="0" t="s">
        <v>27</v>
      </c>
      <c r="E148" s="7" t="n">
        <v>13.81</v>
      </c>
      <c r="G148" s="8" t="s">
        <v>46</v>
      </c>
      <c r="H148" s="8" t="s">
        <v>423</v>
      </c>
      <c r="I148" s="8" t="s">
        <v>424</v>
      </c>
    </row>
    <row r="149" customFormat="false" ht="17.15" hidden="false" customHeight="false" outlineLevel="0" collapsed="false">
      <c r="A149" s="0" t="s">
        <v>461</v>
      </c>
      <c r="B149" s="5" t="s">
        <v>462</v>
      </c>
      <c r="C149" s="0" t="s">
        <v>86</v>
      </c>
      <c r="E149" s="7" t="n">
        <v>292.927</v>
      </c>
      <c r="G149" s="8" t="s">
        <v>46</v>
      </c>
      <c r="H149" s="8" t="s">
        <v>423</v>
      </c>
      <c r="I149" s="8" t="s">
        <v>424</v>
      </c>
    </row>
    <row r="150" customFormat="false" ht="17.15" hidden="false" customHeight="false" outlineLevel="0" collapsed="false">
      <c r="A150" s="0" t="s">
        <v>463</v>
      </c>
      <c r="B150" s="5" t="s">
        <v>464</v>
      </c>
      <c r="C150" s="0" t="s">
        <v>86</v>
      </c>
      <c r="E150" s="7" t="n">
        <v>41.402</v>
      </c>
      <c r="G150" s="8" t="s">
        <v>46</v>
      </c>
      <c r="H150" s="8" t="s">
        <v>423</v>
      </c>
      <c r="I150" s="8" t="s">
        <v>424</v>
      </c>
    </row>
    <row r="151" customFormat="false" ht="17.15" hidden="false" customHeight="false" outlineLevel="0" collapsed="false">
      <c r="A151" s="0" t="s">
        <v>465</v>
      </c>
      <c r="B151" s="5" t="s">
        <v>466</v>
      </c>
      <c r="C151" s="0" t="s">
        <v>86</v>
      </c>
      <c r="D151" s="7" t="n">
        <v>815.9</v>
      </c>
      <c r="E151" s="7" t="n">
        <v>828.74</v>
      </c>
      <c r="F151" s="7" t="n">
        <v>842</v>
      </c>
      <c r="G151" s="8" t="s">
        <v>46</v>
      </c>
      <c r="H151" s="8" t="s">
        <v>47</v>
      </c>
      <c r="I151" s="8" t="s">
        <v>467</v>
      </c>
    </row>
    <row r="152" customFormat="false" ht="17.15" hidden="false" customHeight="false" outlineLevel="0" collapsed="false">
      <c r="A152" s="0" t="s">
        <v>468</v>
      </c>
      <c r="B152" s="5" t="s">
        <v>469</v>
      </c>
      <c r="C152" s="0" t="s">
        <v>86</v>
      </c>
      <c r="E152" s="7" t="n">
        <v>949.92</v>
      </c>
      <c r="G152" s="8" t="s">
        <v>46</v>
      </c>
      <c r="H152" s="8" t="s">
        <v>47</v>
      </c>
    </row>
    <row r="153" customFormat="false" ht="17.15" hidden="false" customHeight="false" outlineLevel="0" collapsed="false">
      <c r="A153" s="0" t="s">
        <v>470</v>
      </c>
      <c r="B153" s="5" t="s">
        <v>471</v>
      </c>
      <c r="C153" s="0" t="s">
        <v>27</v>
      </c>
      <c r="D153" s="7" t="n">
        <v>7.65</v>
      </c>
      <c r="E153" s="7" t="n">
        <v>7.92</v>
      </c>
      <c r="F153" s="7" t="n">
        <v>8.3</v>
      </c>
      <c r="G153" s="8" t="s">
        <v>46</v>
      </c>
      <c r="H153" s="8" t="s">
        <v>47</v>
      </c>
      <c r="I153" s="8" t="s">
        <v>472</v>
      </c>
    </row>
    <row r="154" customFormat="false" ht="17.15" hidden="false" customHeight="false" outlineLevel="0" collapsed="false">
      <c r="A154" s="0" t="s">
        <v>473</v>
      </c>
      <c r="B154" s="5" t="s">
        <v>474</v>
      </c>
      <c r="C154" s="0" t="s">
        <v>27</v>
      </c>
      <c r="E154" s="7" t="n">
        <v>10.43</v>
      </c>
      <c r="G154" s="8" t="s">
        <v>46</v>
      </c>
      <c r="H154" s="8" t="s">
        <v>47</v>
      </c>
    </row>
    <row r="155" customFormat="false" ht="17.15" hidden="false" customHeight="false" outlineLevel="0" collapsed="false">
      <c r="A155" s="0" t="s">
        <v>475</v>
      </c>
      <c r="B155" s="5" t="s">
        <v>476</v>
      </c>
      <c r="C155" s="0" t="s">
        <v>86</v>
      </c>
      <c r="E155" s="7" t="n">
        <v>197</v>
      </c>
      <c r="G155" s="8" t="s">
        <v>46</v>
      </c>
      <c r="H155" s="8" t="s">
        <v>302</v>
      </c>
      <c r="I155" s="5" t="s">
        <v>477</v>
      </c>
    </row>
    <row r="156" customFormat="false" ht="17.15" hidden="false" customHeight="false" outlineLevel="0" collapsed="false">
      <c r="A156" s="0" t="s">
        <v>478</v>
      </c>
      <c r="B156" s="5" t="s">
        <v>479</v>
      </c>
      <c r="C156" s="0" t="s">
        <v>86</v>
      </c>
      <c r="E156" s="7" t="n">
        <v>202</v>
      </c>
      <c r="G156" s="8" t="s">
        <v>46</v>
      </c>
      <c r="H156" s="8" t="s">
        <v>302</v>
      </c>
    </row>
    <row r="157" customFormat="false" ht="17.15" hidden="false" customHeight="false" outlineLevel="0" collapsed="false">
      <c r="A157" s="0" t="s">
        <v>480</v>
      </c>
      <c r="B157" s="5" t="s">
        <v>481</v>
      </c>
      <c r="C157" s="0" t="s">
        <v>86</v>
      </c>
      <c r="E157" s="7" t="n">
        <v>22.5</v>
      </c>
      <c r="G157" s="8" t="s">
        <v>46</v>
      </c>
      <c r="H157" s="8" t="s">
        <v>302</v>
      </c>
    </row>
    <row r="158" customFormat="false" ht="17.15" hidden="false" customHeight="false" outlineLevel="0" collapsed="false">
      <c r="A158" s="0" t="s">
        <v>482</v>
      </c>
      <c r="B158" s="5" t="s">
        <v>483</v>
      </c>
      <c r="C158" s="0" t="s">
        <v>86</v>
      </c>
      <c r="E158" s="7" t="n">
        <v>26.5</v>
      </c>
      <c r="G158" s="8" t="s">
        <v>46</v>
      </c>
      <c r="H158" s="8" t="s">
        <v>302</v>
      </c>
    </row>
    <row r="159" customFormat="false" ht="17.15" hidden="false" customHeight="false" outlineLevel="0" collapsed="false">
      <c r="A159" s="0" t="s">
        <v>484</v>
      </c>
      <c r="B159" s="5" t="s">
        <v>485</v>
      </c>
      <c r="C159" s="0" t="s">
        <v>86</v>
      </c>
      <c r="E159" s="9" t="n">
        <f aca="false">(g26q3_lo+g26q3_hi)/2</f>
        <v>199.5</v>
      </c>
      <c r="G159" s="8" t="s">
        <v>41</v>
      </c>
      <c r="H159" s="8" t="s">
        <v>302</v>
      </c>
      <c r="I159" s="5" t="s">
        <v>486</v>
      </c>
    </row>
    <row r="160" customFormat="false" ht="17.15" hidden="false" customHeight="false" outlineLevel="0" collapsed="false">
      <c r="A160" s="1" t="s">
        <v>487</v>
      </c>
    </row>
    <row r="161" customFormat="false" ht="17.15" hidden="false" customHeight="false" outlineLevel="0" collapsed="false">
      <c r="A161" s="0" t="s">
        <v>488</v>
      </c>
      <c r="B161" s="0" t="s">
        <v>489</v>
      </c>
      <c r="C161" s="0" t="s">
        <v>27</v>
      </c>
      <c r="E161" s="7" t="n">
        <v>201.71</v>
      </c>
      <c r="G161" s="8" t="s">
        <v>41</v>
      </c>
      <c r="H161" s="8" t="s">
        <v>490</v>
      </c>
      <c r="I161" s="5" t="s">
        <v>491</v>
      </c>
    </row>
    <row r="162" customFormat="false" ht="17.15" hidden="false" customHeight="false" outlineLevel="0" collapsed="false">
      <c r="A162" s="0" t="s">
        <v>492</v>
      </c>
      <c r="B162" s="0" t="s">
        <v>493</v>
      </c>
      <c r="C162" s="0" t="s">
        <v>27</v>
      </c>
      <c r="E162" s="7" t="n">
        <v>220.09</v>
      </c>
      <c r="G162" s="8" t="s">
        <v>41</v>
      </c>
      <c r="H162" s="8" t="s">
        <v>490</v>
      </c>
      <c r="I162" s="5" t="s">
        <v>494</v>
      </c>
    </row>
    <row r="163" customFormat="false" ht="17.15" hidden="false" customHeight="false" outlineLevel="0" collapsed="false">
      <c r="A163" s="0" t="s">
        <v>495</v>
      </c>
      <c r="B163" s="0" t="s">
        <v>496</v>
      </c>
      <c r="C163" s="0" t="s">
        <v>27</v>
      </c>
      <c r="E163" s="7" t="n">
        <v>259.92</v>
      </c>
      <c r="G163" s="8" t="s">
        <v>28</v>
      </c>
      <c r="H163" s="8" t="s">
        <v>497</v>
      </c>
    </row>
    <row r="164" customFormat="false" ht="17.15" hidden="false" customHeight="false" outlineLevel="0" collapsed="false">
      <c r="A164" s="0" t="s">
        <v>498</v>
      </c>
      <c r="B164" s="0" t="s">
        <v>499</v>
      </c>
      <c r="C164" s="0" t="s">
        <v>52</v>
      </c>
      <c r="E164" s="10" t="n">
        <v>0.45</v>
      </c>
      <c r="G164" s="8" t="s">
        <v>41</v>
      </c>
      <c r="H164" s="8" t="s">
        <v>497</v>
      </c>
      <c r="I164" s="5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7" min="3" style="0" width="11"/>
    <col collapsed="false" customWidth="true" hidden="false" outlineLevel="0" max="18" min="18" style="0" width="22"/>
    <col collapsed="false" customWidth="true" hidden="false" outlineLevel="0" max="19" min="19" style="0" width="60"/>
  </cols>
  <sheetData>
    <row r="1" customFormat="false" ht="17.15" hidden="false" customHeight="false" outlineLevel="0" collapsed="false">
      <c r="A1" s="0" t="s">
        <v>501</v>
      </c>
    </row>
    <row r="2" customFormat="false" ht="17.15" hidden="false" customHeight="false" outlineLevel="0" collapsed="false">
      <c r="A2" s="5" t="s">
        <v>502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20" t="s">
        <v>503</v>
      </c>
      <c r="D3" s="20" t="s">
        <v>504</v>
      </c>
      <c r="E3" s="20" t="s">
        <v>505</v>
      </c>
      <c r="F3" s="20" t="s">
        <v>506</v>
      </c>
      <c r="G3" s="20" t="s">
        <v>507</v>
      </c>
      <c r="H3" s="20" t="s">
        <v>508</v>
      </c>
      <c r="I3" s="20" t="s">
        <v>509</v>
      </c>
      <c r="J3" s="20" t="s">
        <v>510</v>
      </c>
      <c r="K3" s="20" t="s">
        <v>511</v>
      </c>
      <c r="L3" s="20" t="s">
        <v>512</v>
      </c>
      <c r="M3" s="20" t="s">
        <v>513</v>
      </c>
      <c r="N3" s="20" t="s">
        <v>514</v>
      </c>
      <c r="O3" s="20" t="s">
        <v>515</v>
      </c>
      <c r="P3" s="20" t="s">
        <v>516</v>
      </c>
      <c r="Q3" s="6" t="s">
        <v>517</v>
      </c>
      <c r="R3" s="6" t="s">
        <v>21</v>
      </c>
      <c r="S3" s="6" t="s">
        <v>22</v>
      </c>
    </row>
    <row r="4" customFormat="false" ht="17.15" hidden="false" customHeight="false" outlineLevel="0" collapsed="false">
      <c r="A4" s="1" t="s">
        <v>518</v>
      </c>
    </row>
    <row r="5" customFormat="false" ht="17.15" hidden="false" customHeight="false" outlineLevel="0" collapsed="false">
      <c r="A5" s="0" t="s">
        <v>519</v>
      </c>
      <c r="B5" s="0" t="s">
        <v>86</v>
      </c>
      <c r="C5" s="21" t="n">
        <v>352.828</v>
      </c>
      <c r="D5" s="21" t="n">
        <v>387.497</v>
      </c>
      <c r="E5" s="21" t="n">
        <v>426.305</v>
      </c>
      <c r="F5" s="21" t="n">
        <v>95.537</v>
      </c>
      <c r="G5" s="21" t="n">
        <v>115.586</v>
      </c>
      <c r="H5" s="21" t="n">
        <v>92.887</v>
      </c>
      <c r="I5" s="21" t="n">
        <v>100.068</v>
      </c>
      <c r="J5" s="21" t="n">
        <v>106.267</v>
      </c>
      <c r="K5" s="21" t="n">
        <v>127.083</v>
      </c>
      <c r="L5" s="21" t="n">
        <v>104.143</v>
      </c>
      <c r="M5" s="21" t="n">
        <v>116.177</v>
      </c>
      <c r="N5" s="22" t="n">
        <f aca="false">H5+I5</f>
        <v>192.955</v>
      </c>
      <c r="O5" s="22" t="n">
        <f aca="false">J5+K5</f>
        <v>233.35</v>
      </c>
      <c r="P5" s="22" t="n">
        <f aca="false">L5+M5</f>
        <v>220.32</v>
      </c>
      <c r="Q5" s="22" t="n">
        <f aca="false">J5+K5+L5+M5</f>
        <v>453.67</v>
      </c>
      <c r="R5" s="8" t="s">
        <v>520</v>
      </c>
      <c r="S5" s="8" t="s">
        <v>521</v>
      </c>
    </row>
    <row r="6" customFormat="false" ht="17.15" hidden="false" customHeight="false" outlineLevel="0" collapsed="false">
      <c r="A6" s="0" t="s">
        <v>522</v>
      </c>
      <c r="B6" s="0" t="s">
        <v>86</v>
      </c>
      <c r="C6" s="21" t="n">
        <v>131.2</v>
      </c>
      <c r="D6" s="21" t="n">
        <v>142.906</v>
      </c>
      <c r="E6" s="21" t="n">
        <v>161.894</v>
      </c>
      <c r="F6" s="21" t="n">
        <v>35.888</v>
      </c>
      <c r="G6" s="21" t="n">
        <v>43.42</v>
      </c>
      <c r="H6" s="21" t="n">
        <v>33.513</v>
      </c>
      <c r="I6" s="21" t="n">
        <v>36.761</v>
      </c>
      <c r="J6" s="21" t="n">
        <v>40.896</v>
      </c>
      <c r="K6" s="21" t="n">
        <v>50.724</v>
      </c>
      <c r="L6" s="21" t="n">
        <v>39.789</v>
      </c>
      <c r="M6" s="21" t="n">
        <v>42.197</v>
      </c>
      <c r="N6" s="22" t="n">
        <f aca="false">H6+I6</f>
        <v>70.274</v>
      </c>
      <c r="O6" s="22" t="n">
        <f aca="false">J6+K6</f>
        <v>91.62</v>
      </c>
      <c r="P6" s="22" t="n">
        <f aca="false">L6+M6</f>
        <v>81.986</v>
      </c>
      <c r="Q6" s="22" t="n">
        <f aca="false">J6+K6+L6+M6</f>
        <v>173.606</v>
      </c>
      <c r="R6" s="8" t="s">
        <v>520</v>
      </c>
      <c r="S6" s="8" t="s">
        <v>521</v>
      </c>
    </row>
    <row r="7" customFormat="false" ht="17.15" hidden="false" customHeight="false" outlineLevel="0" collapsed="false">
      <c r="A7" s="0" t="s">
        <v>523</v>
      </c>
      <c r="B7" s="0" t="s">
        <v>86</v>
      </c>
      <c r="C7" s="21" t="n">
        <v>90.757</v>
      </c>
      <c r="D7" s="21" t="n">
        <v>107.556</v>
      </c>
      <c r="E7" s="21" t="n">
        <v>128.725</v>
      </c>
      <c r="F7" s="21" t="n">
        <v>27.452</v>
      </c>
      <c r="G7" s="21" t="n">
        <v>28.786</v>
      </c>
      <c r="H7" s="21" t="n">
        <v>29.267</v>
      </c>
      <c r="I7" s="21" t="n">
        <v>30.873</v>
      </c>
      <c r="J7" s="21" t="n">
        <v>33.006</v>
      </c>
      <c r="K7" s="21" t="n">
        <v>35.579</v>
      </c>
      <c r="L7" s="21" t="n">
        <v>37.587</v>
      </c>
      <c r="M7" s="21" t="n">
        <v>42.232</v>
      </c>
      <c r="N7" s="22" t="n">
        <f aca="false">H7+I7</f>
        <v>60.14</v>
      </c>
      <c r="O7" s="22" t="n">
        <f aca="false">J7+K7</f>
        <v>68.585</v>
      </c>
      <c r="P7" s="22" t="n">
        <f aca="false">L7+M7</f>
        <v>79.819</v>
      </c>
      <c r="Q7" s="22" t="n">
        <f aca="false">J7+K7+L7+M7</f>
        <v>148.404</v>
      </c>
      <c r="R7" s="8" t="s">
        <v>520</v>
      </c>
      <c r="S7" s="8" t="s">
        <v>521</v>
      </c>
    </row>
    <row r="8" customFormat="false" ht="17.15" hidden="false" customHeight="false" outlineLevel="0" collapsed="false">
      <c r="A8" s="5" t="s">
        <v>524</v>
      </c>
      <c r="B8" s="0" t="s">
        <v>86</v>
      </c>
      <c r="C8" s="21" t="n">
        <v>574.785</v>
      </c>
      <c r="D8" s="21" t="n">
        <v>637.959</v>
      </c>
      <c r="E8" s="21" t="n">
        <v>716.924</v>
      </c>
      <c r="F8" s="21" t="n">
        <v>158.877</v>
      </c>
      <c r="G8" s="21" t="n">
        <v>187.792</v>
      </c>
      <c r="H8" s="21" t="n">
        <v>155.667</v>
      </c>
      <c r="I8" s="21" t="n">
        <v>167.702</v>
      </c>
      <c r="J8" s="21" t="n">
        <v>180.169</v>
      </c>
      <c r="K8" s="21" t="n">
        <v>213.386</v>
      </c>
      <c r="L8" s="21" t="n">
        <v>181.519</v>
      </c>
      <c r="M8" s="21" t="n">
        <v>200.606</v>
      </c>
      <c r="N8" s="22" t="n">
        <f aca="false">H8+I8</f>
        <v>323.369</v>
      </c>
      <c r="O8" s="22" t="n">
        <f aca="false">J8+K8</f>
        <v>393.555</v>
      </c>
      <c r="P8" s="22" t="n">
        <f aca="false">L8+M8</f>
        <v>382.125</v>
      </c>
      <c r="Q8" s="22" t="n">
        <f aca="false">J8+K8+L8+M8</f>
        <v>775.68</v>
      </c>
      <c r="R8" s="8" t="s">
        <v>520</v>
      </c>
      <c r="S8" s="8" t="s">
        <v>521</v>
      </c>
    </row>
    <row r="9" customFormat="false" ht="17.15" hidden="false" customHeight="false" outlineLevel="0" collapsed="false">
      <c r="A9" s="1" t="s">
        <v>525</v>
      </c>
    </row>
    <row r="10" customFormat="false" ht="17.15" hidden="false" customHeight="false" outlineLevel="0" collapsed="false">
      <c r="A10" s="0" t="s">
        <v>526</v>
      </c>
      <c r="B10" s="0" t="s">
        <v>86</v>
      </c>
      <c r="C10" s="21" t="n">
        <v>231.872</v>
      </c>
      <c r="D10" s="21" t="n">
        <v>247.029</v>
      </c>
      <c r="E10" s="21" t="n">
        <v>269.287</v>
      </c>
      <c r="F10" s="21" t="n">
        <v>61.411</v>
      </c>
      <c r="G10" s="21" t="n">
        <v>75.556</v>
      </c>
      <c r="H10" s="21" t="n">
        <v>57.407</v>
      </c>
      <c r="I10" s="21" t="n">
        <v>61.485</v>
      </c>
      <c r="J10" s="21" t="n">
        <v>67.407</v>
      </c>
      <c r="K10" s="21" t="n">
        <v>82.988</v>
      </c>
      <c r="L10" s="21" t="n">
        <v>64.254</v>
      </c>
      <c r="M10" s="21" t="n">
        <v>70.432</v>
      </c>
      <c r="N10" s="22" t="n">
        <f aca="false">H10+I10</f>
        <v>118.892</v>
      </c>
      <c r="O10" s="22" t="n">
        <f aca="false">J10+K10</f>
        <v>150.395</v>
      </c>
      <c r="P10" s="22" t="n">
        <f aca="false">L10+M10</f>
        <v>134.686</v>
      </c>
      <c r="Q10" s="22" t="n">
        <f aca="false">J10+K10+L10+M10</f>
        <v>285.081</v>
      </c>
      <c r="R10" s="8" t="s">
        <v>520</v>
      </c>
      <c r="S10" s="8" t="s">
        <v>521</v>
      </c>
    </row>
    <row r="11" customFormat="false" ht="17.15" hidden="false" customHeight="false" outlineLevel="0" collapsed="false">
      <c r="A11" s="0" t="s">
        <v>527</v>
      </c>
      <c r="B11" s="0" t="s">
        <v>86</v>
      </c>
      <c r="C11" s="21" t="n">
        <v>20.03</v>
      </c>
      <c r="D11" s="21" t="n">
        <v>21.215</v>
      </c>
      <c r="E11" s="21" t="n">
        <v>22.561</v>
      </c>
      <c r="F11" s="21" t="n">
        <v>5.228</v>
      </c>
      <c r="G11" s="21" t="n">
        <v>5.579</v>
      </c>
      <c r="H11" s="21" t="n">
        <v>5.533</v>
      </c>
      <c r="I11" s="21" t="n">
        <v>5.595</v>
      </c>
      <c r="J11" s="21" t="n">
        <v>5.578</v>
      </c>
      <c r="K11" s="21" t="n">
        <v>5.855</v>
      </c>
      <c r="L11" s="21" t="n">
        <v>5.785</v>
      </c>
      <c r="M11" s="21" t="n">
        <v>5.794</v>
      </c>
      <c r="N11" s="22" t="n">
        <f aca="false">H11+I11</f>
        <v>11.128</v>
      </c>
      <c r="O11" s="22" t="n">
        <f aca="false">J11+K11</f>
        <v>11.433</v>
      </c>
      <c r="P11" s="22" t="n">
        <f aca="false">L11+M11</f>
        <v>11.579</v>
      </c>
      <c r="Q11" s="22" t="n">
        <f aca="false">J11+K11+L11+M11</f>
        <v>23.012</v>
      </c>
      <c r="R11" s="8" t="s">
        <v>520</v>
      </c>
      <c r="S11" s="8" t="s">
        <v>521</v>
      </c>
    </row>
    <row r="12" customFormat="false" ht="17.15" hidden="false" customHeight="false" outlineLevel="0" collapsed="false">
      <c r="A12" s="0" t="s">
        <v>528</v>
      </c>
      <c r="B12" s="0" t="s">
        <v>86</v>
      </c>
      <c r="C12" s="21" t="n">
        <v>140.053</v>
      </c>
      <c r="D12" s="21" t="n">
        <v>156.146</v>
      </c>
      <c r="E12" s="21" t="n">
        <v>172.162</v>
      </c>
      <c r="F12" s="21" t="n">
        <v>37.864</v>
      </c>
      <c r="G12" s="21" t="n">
        <v>47.485</v>
      </c>
      <c r="H12" s="21" t="n">
        <v>36.512</v>
      </c>
      <c r="I12" s="21" t="n">
        <v>40.348</v>
      </c>
      <c r="J12" s="21" t="n">
        <v>42.486</v>
      </c>
      <c r="K12" s="21" t="n">
        <v>52.816</v>
      </c>
      <c r="L12" s="21" t="n">
        <v>41.578</v>
      </c>
      <c r="M12" s="21" t="n">
        <v>46.78</v>
      </c>
      <c r="N12" s="22" t="n">
        <f aca="false">H12+I12</f>
        <v>76.86</v>
      </c>
      <c r="O12" s="22" t="n">
        <f aca="false">J12+K12</f>
        <v>95.302</v>
      </c>
      <c r="P12" s="22" t="n">
        <f aca="false">L12+M12</f>
        <v>88.358</v>
      </c>
      <c r="Q12" s="22" t="n">
        <f aca="false">J12+K12+L12+M12</f>
        <v>183.66</v>
      </c>
      <c r="R12" s="8" t="s">
        <v>520</v>
      </c>
      <c r="S12" s="8" t="s">
        <v>521</v>
      </c>
    </row>
    <row r="13" customFormat="false" ht="17.15" hidden="false" customHeight="false" outlineLevel="0" collapsed="false">
      <c r="A13" s="0" t="s">
        <v>529</v>
      </c>
      <c r="B13" s="0" t="s">
        <v>86</v>
      </c>
      <c r="C13" s="21" t="n">
        <v>46.906</v>
      </c>
      <c r="D13" s="21" t="n">
        <v>56.214</v>
      </c>
      <c r="E13" s="21" t="n">
        <v>68.635</v>
      </c>
      <c r="F13" s="21" t="n">
        <v>14.331</v>
      </c>
      <c r="G13" s="21" t="n">
        <v>17.288</v>
      </c>
      <c r="H13" s="21" t="n">
        <v>13.921</v>
      </c>
      <c r="I13" s="21" t="n">
        <v>15.694</v>
      </c>
      <c r="J13" s="21" t="n">
        <v>17.703</v>
      </c>
      <c r="K13" s="21" t="n">
        <v>21.317</v>
      </c>
      <c r="L13" s="21" t="n">
        <v>17.243</v>
      </c>
      <c r="M13" s="21" t="n">
        <v>19.809</v>
      </c>
      <c r="N13" s="22" t="n">
        <f aca="false">H13+I13</f>
        <v>29.615</v>
      </c>
      <c r="O13" s="22" t="n">
        <f aca="false">J13+K13</f>
        <v>39.02</v>
      </c>
      <c r="P13" s="22" t="n">
        <f aca="false">L13+M13</f>
        <v>37.052</v>
      </c>
      <c r="Q13" s="22" t="n">
        <f aca="false">J13+K13+L13+M13</f>
        <v>76.072</v>
      </c>
      <c r="R13" s="8" t="s">
        <v>520</v>
      </c>
      <c r="S13" s="8" t="s">
        <v>521</v>
      </c>
    </row>
    <row r="14" customFormat="false" ht="17.15" hidden="false" customHeight="false" outlineLevel="0" collapsed="false">
      <c r="A14" s="0" t="s">
        <v>530</v>
      </c>
      <c r="B14" s="0" t="s">
        <v>86</v>
      </c>
      <c r="C14" s="21" t="n">
        <v>40.209</v>
      </c>
      <c r="D14" s="21" t="n">
        <v>44.374</v>
      </c>
      <c r="E14" s="21" t="n">
        <v>49.619</v>
      </c>
      <c r="F14" s="21" t="n">
        <v>11.278</v>
      </c>
      <c r="G14" s="21" t="n">
        <v>11.508</v>
      </c>
      <c r="H14" s="21" t="n">
        <v>11.715</v>
      </c>
      <c r="I14" s="21" t="n">
        <v>12.208</v>
      </c>
      <c r="J14" s="21" t="n">
        <v>12.574</v>
      </c>
      <c r="K14" s="21" t="n">
        <v>13.122</v>
      </c>
      <c r="L14" s="21" t="n">
        <v>13.427</v>
      </c>
      <c r="M14" s="21" t="n">
        <v>13.73</v>
      </c>
      <c r="N14" s="22" t="n">
        <f aca="false">H14+I14</f>
        <v>23.923</v>
      </c>
      <c r="O14" s="22" t="n">
        <f aca="false">J14+K14</f>
        <v>25.696</v>
      </c>
      <c r="P14" s="22" t="n">
        <f aca="false">L14+M14</f>
        <v>27.157</v>
      </c>
      <c r="Q14" s="22" t="n">
        <f aca="false">J14+K14+L14+M14</f>
        <v>52.853</v>
      </c>
      <c r="R14" s="8" t="s">
        <v>520</v>
      </c>
      <c r="S14" s="8" t="s">
        <v>521</v>
      </c>
    </row>
    <row r="15" customFormat="false" ht="17.15" hidden="false" customHeight="false" outlineLevel="0" collapsed="false">
      <c r="A15" s="0" t="s">
        <v>531</v>
      </c>
      <c r="B15" s="0" t="s">
        <v>86</v>
      </c>
      <c r="C15" s="21" t="n">
        <v>4.958</v>
      </c>
      <c r="D15" s="21" t="n">
        <v>5.425</v>
      </c>
      <c r="E15" s="21" t="n">
        <v>5.935</v>
      </c>
      <c r="F15" s="21" t="n">
        <v>1.313</v>
      </c>
      <c r="G15" s="21" t="n">
        <v>1.59</v>
      </c>
      <c r="H15" s="21" t="n">
        <v>1.312</v>
      </c>
      <c r="I15" s="21" t="n">
        <v>1.499</v>
      </c>
      <c r="J15" s="21" t="n">
        <v>1.415</v>
      </c>
      <c r="K15" s="21" t="n">
        <v>1.709</v>
      </c>
      <c r="L15" s="21" t="n">
        <v>1.645</v>
      </c>
      <c r="M15" s="21" t="n">
        <v>1.829</v>
      </c>
      <c r="N15" s="22" t="n">
        <f aca="false">H15+I15</f>
        <v>2.811</v>
      </c>
      <c r="O15" s="22" t="n">
        <f aca="false">J15+K15</f>
        <v>3.124</v>
      </c>
      <c r="P15" s="22" t="n">
        <f aca="false">L15+M15</f>
        <v>3.474</v>
      </c>
      <c r="Q15" s="22" t="n">
        <f aca="false">J15+K15+L15+M15</f>
        <v>6.598</v>
      </c>
      <c r="R15" s="8" t="s">
        <v>520</v>
      </c>
      <c r="S15" s="8" t="s">
        <v>521</v>
      </c>
    </row>
    <row r="16" customFormat="false" ht="17.15" hidden="false" customHeight="false" outlineLevel="0" collapsed="false">
      <c r="A16" s="5" t="s">
        <v>532</v>
      </c>
      <c r="B16" s="0" t="s">
        <v>86</v>
      </c>
      <c r="C16" s="23" t="n">
        <f aca="false">C10+C11+C12+C13+C14+C15</f>
        <v>484.028</v>
      </c>
      <c r="D16" s="23" t="n">
        <f aca="false">D10+D11+D12+D13+D14+D15</f>
        <v>530.403</v>
      </c>
      <c r="E16" s="23" t="n">
        <f aca="false">E10+E11+E12+E13+E14+E15</f>
        <v>588.199</v>
      </c>
      <c r="F16" s="23" t="n">
        <f aca="false">F10+F11+F12+F13+F14+F15</f>
        <v>131.425</v>
      </c>
      <c r="G16" s="23" t="n">
        <f aca="false">G10+G11+G12+G13+G14+G15</f>
        <v>159.006</v>
      </c>
      <c r="H16" s="23" t="n">
        <f aca="false">H10+H11+H12+H13+H14+H15</f>
        <v>126.4</v>
      </c>
      <c r="I16" s="23" t="n">
        <f aca="false">I10+I11+I12+I13+I14+I15</f>
        <v>136.829</v>
      </c>
      <c r="J16" s="23" t="n">
        <f aca="false">J10+J11+J12+J13+J14+J15</f>
        <v>147.163</v>
      </c>
      <c r="K16" s="23" t="n">
        <f aca="false">K10+K11+K12+K13+K14+K15</f>
        <v>177.807</v>
      </c>
      <c r="L16" s="23" t="n">
        <f aca="false">L10+L11+L12+L13+L14+L15</f>
        <v>143.932</v>
      </c>
      <c r="M16" s="23" t="n">
        <f aca="false">M10+M11+M12+M13+M14+M15</f>
        <v>158.374</v>
      </c>
      <c r="N16" s="23" t="n">
        <f aca="false">N10+N11+N12+N13+N14+N15</f>
        <v>263.229</v>
      </c>
      <c r="O16" s="23" t="n">
        <f aca="false">O10+O11+O12+O13+O14+O15</f>
        <v>324.97</v>
      </c>
      <c r="P16" s="23" t="n">
        <f aca="false">P10+P11+P12+P13+P14+P15</f>
        <v>302.306</v>
      </c>
      <c r="Q16" s="23" t="n">
        <f aca="false">Q10+Q11+Q12+Q13+Q14+Q15</f>
        <v>627.276</v>
      </c>
      <c r="R16" s="8" t="s">
        <v>41</v>
      </c>
    </row>
    <row r="17" customFormat="false" ht="17.15" hidden="false" customHeight="false" outlineLevel="0" collapsed="false">
      <c r="A17" s="0" t="s">
        <v>533</v>
      </c>
      <c r="B17" s="0" t="s">
        <v>86</v>
      </c>
      <c r="C17" s="23" t="n">
        <f aca="false">C7</f>
        <v>90.757</v>
      </c>
      <c r="D17" s="23" t="n">
        <f aca="false">D7</f>
        <v>107.556</v>
      </c>
      <c r="E17" s="23" t="n">
        <f aca="false">E7</f>
        <v>128.725</v>
      </c>
      <c r="F17" s="23" t="n">
        <f aca="false">F7</f>
        <v>27.452</v>
      </c>
      <c r="G17" s="23" t="n">
        <f aca="false">G7</f>
        <v>28.786</v>
      </c>
      <c r="H17" s="23" t="n">
        <f aca="false">H7</f>
        <v>29.267</v>
      </c>
      <c r="I17" s="23" t="n">
        <f aca="false">I7</f>
        <v>30.873</v>
      </c>
      <c r="J17" s="23" t="n">
        <f aca="false">J7</f>
        <v>33.006</v>
      </c>
      <c r="K17" s="23" t="n">
        <f aca="false">K7</f>
        <v>35.579</v>
      </c>
      <c r="L17" s="23" t="n">
        <f aca="false">L7</f>
        <v>37.587</v>
      </c>
      <c r="M17" s="23" t="n">
        <f aca="false">M7</f>
        <v>42.232</v>
      </c>
      <c r="N17" s="23" t="n">
        <f aca="false">N7</f>
        <v>60.14</v>
      </c>
      <c r="O17" s="23" t="n">
        <f aca="false">O7</f>
        <v>68.585</v>
      </c>
      <c r="P17" s="23" t="n">
        <f aca="false">P7</f>
        <v>79.819</v>
      </c>
      <c r="Q17" s="23" t="n">
        <f aca="false">Q7</f>
        <v>148.404</v>
      </c>
      <c r="R17" s="8" t="s">
        <v>41</v>
      </c>
    </row>
    <row r="18" customFormat="false" ht="17.15" hidden="false" customHeight="false" outlineLevel="0" collapsed="false">
      <c r="A18" s="24" t="s">
        <v>534</v>
      </c>
      <c r="B18" s="25" t="s">
        <v>86</v>
      </c>
      <c r="C18" s="26" t="n">
        <f aca="false">C16-(C5+C6)</f>
        <v>0</v>
      </c>
      <c r="D18" s="26" t="n">
        <f aca="false">D16-(D5+D6)</f>
        <v>0</v>
      </c>
      <c r="E18" s="26" t="n">
        <f aca="false">E16-(E5+E6)</f>
        <v>0</v>
      </c>
      <c r="F18" s="26" t="n">
        <f aca="false">F16-(F5+F6)</f>
        <v>0</v>
      </c>
      <c r="G18" s="26" t="n">
        <f aca="false">G16-(G5+G6)</f>
        <v>0</v>
      </c>
      <c r="H18" s="26" t="n">
        <f aca="false">H16-(H5+H6)</f>
        <v>0</v>
      </c>
      <c r="I18" s="26" t="n">
        <f aca="false">I16-(I5+I6)</f>
        <v>0</v>
      </c>
      <c r="J18" s="26" t="n">
        <f aca="false">J16-(J5+J6)</f>
        <v>0</v>
      </c>
      <c r="K18" s="26" t="n">
        <f aca="false">K16-(K5+K6)</f>
        <v>0</v>
      </c>
      <c r="L18" s="26" t="n">
        <f aca="false">L16-(L5+L6)</f>
        <v>0</v>
      </c>
      <c r="M18" s="26" t="n">
        <f aca="false">M16-(M5+M6)</f>
        <v>0</v>
      </c>
      <c r="N18" s="26" t="n">
        <f aca="false">N16-(N5+N6)</f>
        <v>0</v>
      </c>
      <c r="O18" s="26" t="n">
        <f aca="false">O16-(O5+O6)</f>
        <v>0</v>
      </c>
      <c r="P18" s="26" t="n">
        <f aca="false">P16-(P5+P6)</f>
        <v>0</v>
      </c>
      <c r="Q18" s="26" t="n">
        <f aca="false">Q16-(Q5+Q6)</f>
        <v>0</v>
      </c>
      <c r="R18" s="8" t="s">
        <v>41</v>
      </c>
    </row>
    <row r="19" customFormat="false" ht="17.15" hidden="false" customHeight="false" outlineLevel="0" collapsed="false">
      <c r="A19" s="24" t="s">
        <v>535</v>
      </c>
      <c r="B19" s="25" t="s">
        <v>86</v>
      </c>
      <c r="C19" s="26" t="n">
        <f aca="false">C16+C17-C8</f>
        <v>0</v>
      </c>
      <c r="D19" s="26" t="n">
        <f aca="false">D16+D17-D8</f>
        <v>0</v>
      </c>
      <c r="E19" s="26" t="n">
        <f aca="false">E16+E17-E8</f>
        <v>0</v>
      </c>
      <c r="F19" s="26" t="n">
        <f aca="false">F16+F17-F8</f>
        <v>0</v>
      </c>
      <c r="G19" s="26" t="n">
        <f aca="false">G16+G17-G8</f>
        <v>0</v>
      </c>
      <c r="H19" s="26" t="n">
        <f aca="false">H16+H17-H8</f>
        <v>0</v>
      </c>
      <c r="I19" s="26" t="n">
        <f aca="false">I16+I17-I8</f>
        <v>0</v>
      </c>
      <c r="J19" s="26" t="n">
        <f aca="false">J16+J17-J8</f>
        <v>0</v>
      </c>
      <c r="K19" s="26" t="n">
        <f aca="false">K16+K17-K8</f>
        <v>0</v>
      </c>
      <c r="L19" s="26" t="n">
        <f aca="false">L16+L17-L8</f>
        <v>0</v>
      </c>
      <c r="M19" s="26" t="n">
        <f aca="false">M16+M17-M8</f>
        <v>0</v>
      </c>
      <c r="N19" s="26" t="n">
        <f aca="false">N16+N17-N8</f>
        <v>0</v>
      </c>
      <c r="O19" s="26" t="n">
        <f aca="false">O16+O17-O8</f>
        <v>0</v>
      </c>
      <c r="P19" s="26" t="n">
        <f aca="false">P16+P17-P8</f>
        <v>0</v>
      </c>
      <c r="Q19" s="26" t="n">
        <f aca="false">Q16+Q17-Q8</f>
        <v>0</v>
      </c>
      <c r="R19" s="8" t="s">
        <v>41</v>
      </c>
    </row>
    <row r="20" customFormat="false" ht="15" hidden="false" customHeight="false" outlineLevel="0" collapsed="false">
      <c r="A20" s="24" t="s">
        <v>536</v>
      </c>
      <c r="B20" s="25" t="s">
        <v>86</v>
      </c>
      <c r="C20" s="26" t="n">
        <f aca="false">C5+C6+C7-C8</f>
        <v>0</v>
      </c>
      <c r="D20" s="26" t="n">
        <f aca="false">D5+D6+D7-D8</f>
        <v>0</v>
      </c>
      <c r="E20" s="26" t="n">
        <f aca="false">E5+E6+E7-E8</f>
        <v>0</v>
      </c>
      <c r="F20" s="26" t="n">
        <f aca="false">F5+F6+F7-F8</f>
        <v>0</v>
      </c>
      <c r="G20" s="26" t="n">
        <f aca="false">G5+G6+G7-G8</f>
        <v>0</v>
      </c>
      <c r="H20" s="26" t="n">
        <f aca="false">H5+H6+H7-H8</f>
        <v>0</v>
      </c>
      <c r="I20" s="26" t="n">
        <f aca="false">I5+I6+I7-I8</f>
        <v>0</v>
      </c>
      <c r="J20" s="26" t="n">
        <f aca="false">J5+J6+J7-J8</f>
        <v>0</v>
      </c>
      <c r="K20" s="26" t="n">
        <f aca="false">K5+K6+K7-K8</f>
        <v>0</v>
      </c>
      <c r="L20" s="26" t="n">
        <f aca="false">L5+L6+L7-L8</f>
        <v>0</v>
      </c>
      <c r="M20" s="26" t="n">
        <f aca="false">M5+M6+M7-M8</f>
        <v>0</v>
      </c>
      <c r="N20" s="26" t="n">
        <f aca="false">N5+N6+N7-N8</f>
        <v>0</v>
      </c>
      <c r="O20" s="26" t="n">
        <f aca="false">O5+O6+O7-O8</f>
        <v>0</v>
      </c>
      <c r="P20" s="26" t="n">
        <f aca="false">P5+P6+P7-P8</f>
        <v>0</v>
      </c>
      <c r="Q20" s="26" t="n">
        <f aca="false">Q5+Q6+Q7-Q8</f>
        <v>0</v>
      </c>
      <c r="R20" s="8" t="s">
        <v>41</v>
      </c>
    </row>
    <row r="21" customFormat="false" ht="17.15" hidden="false" customHeight="false" outlineLevel="0" collapsed="false">
      <c r="A21" s="1" t="s">
        <v>537</v>
      </c>
    </row>
    <row r="22" customFormat="false" ht="17.15" hidden="false" customHeight="false" outlineLevel="0" collapsed="false">
      <c r="A22" s="0" t="s">
        <v>538</v>
      </c>
      <c r="B22" s="0" t="s">
        <v>86</v>
      </c>
      <c r="C22" s="21" t="n">
        <v>14.877</v>
      </c>
      <c r="D22" s="21" t="n">
        <v>24.967</v>
      </c>
      <c r="E22" s="21" t="n">
        <v>29.619</v>
      </c>
      <c r="F22" s="21" t="n">
        <v>5.663</v>
      </c>
      <c r="G22" s="21" t="n">
        <v>9.256</v>
      </c>
      <c r="H22" s="21" t="n">
        <v>5.841</v>
      </c>
      <c r="I22" s="21" t="n">
        <v>7.517</v>
      </c>
      <c r="J22" s="21" t="n">
        <v>4.789</v>
      </c>
      <c r="K22" s="21" t="n">
        <v>11.472</v>
      </c>
      <c r="L22" s="21" t="n">
        <v>8.267</v>
      </c>
      <c r="M22" s="21" t="n">
        <v>9.123</v>
      </c>
      <c r="N22" s="22" t="n">
        <f aca="false">H22+I22</f>
        <v>13.358</v>
      </c>
      <c r="O22" s="22" t="n">
        <f aca="false">J22+K22</f>
        <v>16.261</v>
      </c>
      <c r="P22" s="22" t="n">
        <f aca="false">L22+M22</f>
        <v>17.39</v>
      </c>
      <c r="Q22" s="22" t="n">
        <f aca="false">J22+K22+L22+M22</f>
        <v>33.651</v>
      </c>
      <c r="R22" s="8" t="s">
        <v>520</v>
      </c>
      <c r="S22" s="8" t="s">
        <v>521</v>
      </c>
    </row>
    <row r="23" customFormat="false" ht="17.15" hidden="false" customHeight="false" outlineLevel="0" collapsed="false">
      <c r="A23" s="0" t="s">
        <v>539</v>
      </c>
      <c r="B23" s="0" t="s">
        <v>86</v>
      </c>
      <c r="C23" s="21" t="n">
        <v>-2.656</v>
      </c>
      <c r="D23" s="21" t="n">
        <v>3.792</v>
      </c>
      <c r="E23" s="21" t="n">
        <v>4.75</v>
      </c>
      <c r="F23" s="21" t="n">
        <v>1.301</v>
      </c>
      <c r="G23" s="21" t="n">
        <v>1.315</v>
      </c>
      <c r="H23" s="21" t="n">
        <v>1.017</v>
      </c>
      <c r="I23" s="21" t="n">
        <v>1.494</v>
      </c>
      <c r="J23" s="21" t="n">
        <v>1.199</v>
      </c>
      <c r="K23" s="21" t="n">
        <v>1.04</v>
      </c>
      <c r="L23" s="21" t="n">
        <v>1.424</v>
      </c>
      <c r="M23" s="21" t="n">
        <v>1.717</v>
      </c>
      <c r="N23" s="22" t="n">
        <f aca="false">H23+I23</f>
        <v>2.511</v>
      </c>
      <c r="O23" s="22" t="n">
        <f aca="false">J23+K23</f>
        <v>2.239</v>
      </c>
      <c r="P23" s="22" t="n">
        <f aca="false">L23+M23</f>
        <v>3.141</v>
      </c>
      <c r="Q23" s="22" t="n">
        <f aca="false">J23+K23+L23+M23</f>
        <v>5.38</v>
      </c>
      <c r="R23" s="8" t="s">
        <v>520</v>
      </c>
      <c r="S23" s="8" t="s">
        <v>521</v>
      </c>
    </row>
    <row r="24" customFormat="false" ht="17.15" hidden="false" customHeight="false" outlineLevel="0" collapsed="false">
      <c r="A24" s="0" t="s">
        <v>540</v>
      </c>
      <c r="B24" s="0" t="s">
        <v>86</v>
      </c>
      <c r="C24" s="21" t="n">
        <v>24.631</v>
      </c>
      <c r="D24" s="21" t="n">
        <v>39.834</v>
      </c>
      <c r="E24" s="21" t="n">
        <v>45.606</v>
      </c>
      <c r="F24" s="21" t="n">
        <v>10.447</v>
      </c>
      <c r="G24" s="21" t="n">
        <v>10.632</v>
      </c>
      <c r="H24" s="21" t="n">
        <v>11.547</v>
      </c>
      <c r="I24" s="21" t="n">
        <v>10.16</v>
      </c>
      <c r="J24" s="21" t="n">
        <v>11.434</v>
      </c>
      <c r="K24" s="21" t="n">
        <v>12.465</v>
      </c>
      <c r="L24" s="21" t="n">
        <v>14.161</v>
      </c>
      <c r="M24" s="21" t="n">
        <v>16.621</v>
      </c>
      <c r="N24" s="22" t="n">
        <f aca="false">H24+I24</f>
        <v>21.707</v>
      </c>
      <c r="O24" s="22" t="n">
        <f aca="false">J24+K24</f>
        <v>23.899</v>
      </c>
      <c r="P24" s="22" t="n">
        <f aca="false">L24+M24</f>
        <v>30.782</v>
      </c>
      <c r="Q24" s="22" t="n">
        <f aca="false">J24+K24+L24+M24</f>
        <v>54.681</v>
      </c>
      <c r="R24" s="8" t="s">
        <v>520</v>
      </c>
      <c r="S24" s="8" t="s">
        <v>521</v>
      </c>
    </row>
    <row r="25" customFormat="false" ht="17.15" hidden="false" customHeight="false" outlineLevel="0" collapsed="false">
      <c r="A25" s="5" t="s">
        <v>541</v>
      </c>
      <c r="B25" s="0" t="s">
        <v>86</v>
      </c>
      <c r="C25" s="21" t="n">
        <v>36.852</v>
      </c>
      <c r="D25" s="21" t="n">
        <v>68.593</v>
      </c>
      <c r="E25" s="21" t="n">
        <v>79.975</v>
      </c>
      <c r="F25" s="21" t="n">
        <v>17.411</v>
      </c>
      <c r="G25" s="21" t="n">
        <v>21.203</v>
      </c>
      <c r="H25" s="21" t="n">
        <v>18.405</v>
      </c>
      <c r="I25" s="21" t="n">
        <v>19.171</v>
      </c>
      <c r="J25" s="21" t="n">
        <v>17.422</v>
      </c>
      <c r="K25" s="21" t="n">
        <v>24.977</v>
      </c>
      <c r="L25" s="21" t="n">
        <v>23.852</v>
      </c>
      <c r="M25" s="21" t="n">
        <v>27.461</v>
      </c>
      <c r="N25" s="22" t="n">
        <f aca="false">H25+I25</f>
        <v>37.576</v>
      </c>
      <c r="O25" s="22" t="n">
        <f aca="false">J25+K25</f>
        <v>42.399</v>
      </c>
      <c r="P25" s="22" t="n">
        <f aca="false">L25+M25</f>
        <v>51.313</v>
      </c>
      <c r="Q25" s="22" t="n">
        <f aca="false">J25+K25+L25+M25</f>
        <v>93.712</v>
      </c>
      <c r="R25" s="8" t="s">
        <v>520</v>
      </c>
      <c r="S25" s="8" t="s">
        <v>521</v>
      </c>
    </row>
    <row r="26" customFormat="false" ht="17.15" hidden="false" customHeight="false" outlineLevel="0" collapsed="false">
      <c r="A26" s="5" t="s">
        <v>542</v>
      </c>
      <c r="B26" s="0" t="s">
        <v>86</v>
      </c>
      <c r="C26" s="23" t="n">
        <f aca="false">C25-(C22+C23+C24)</f>
        <v>0</v>
      </c>
      <c r="D26" s="23" t="n">
        <f aca="false">D25-(D22+D23+D24)</f>
        <v>0</v>
      </c>
      <c r="E26" s="23" t="n">
        <f aca="false">E25-(E22+E23+E24)</f>
        <v>0</v>
      </c>
      <c r="F26" s="23" t="n">
        <f aca="false">F25-(F22+F23+F24)</f>
        <v>0</v>
      </c>
      <c r="G26" s="23" t="n">
        <f aca="false">G25-(G22+G23+G24)</f>
        <v>0</v>
      </c>
      <c r="H26" s="23" t="n">
        <f aca="false">H25-(H22+H23+H24)</f>
        <v>0</v>
      </c>
      <c r="I26" s="23" t="n">
        <f aca="false">I25-(I22+I23+I24)</f>
        <v>0</v>
      </c>
      <c r="J26" s="23" t="n">
        <f aca="false">J25-(J22+J23+J24)</f>
        <v>0</v>
      </c>
      <c r="K26" s="23" t="n">
        <f aca="false">K25-(K22+K23+K24)</f>
        <v>0</v>
      </c>
      <c r="L26" s="23" t="n">
        <f aca="false">L25-(L22+L23+L24)</f>
        <v>0</v>
      </c>
      <c r="M26" s="23" t="n">
        <f aca="false">M25-(M22+M23+M24)</f>
        <v>0</v>
      </c>
      <c r="N26" s="23" t="n">
        <f aca="false">N25-(N22+N23+N24)</f>
        <v>0</v>
      </c>
      <c r="O26" s="23" t="n">
        <f aca="false">O25-(O22+O23+O24)</f>
        <v>0</v>
      </c>
      <c r="P26" s="23" t="n">
        <f aca="false">P25-(P22+P23+P24)</f>
        <v>0</v>
      </c>
      <c r="Q26" s="23" t="n">
        <f aca="false">Q25-(Q22+Q23+Q24)</f>
        <v>0</v>
      </c>
      <c r="R26" s="8" t="s">
        <v>41</v>
      </c>
    </row>
    <row r="27" customFormat="false" ht="15" hidden="false" customHeight="false" outlineLevel="0" collapsed="false">
      <c r="A27" s="24" t="s">
        <v>543</v>
      </c>
      <c r="B27" s="25" t="s">
        <v>86</v>
      </c>
      <c r="C27" s="26" t="n">
        <f aca="false">C22+C23+C24+C26-C25</f>
        <v>0</v>
      </c>
      <c r="D27" s="26" t="n">
        <f aca="false">D22+D23+D24+D26-D25</f>
        <v>0</v>
      </c>
      <c r="E27" s="26" t="n">
        <f aca="false">E22+E23+E24+E26-E25</f>
        <v>0</v>
      </c>
      <c r="F27" s="26" t="n">
        <f aca="false">F22+F23+F24+F26-F25</f>
        <v>0</v>
      </c>
      <c r="G27" s="26" t="n">
        <f aca="false">G22+G23+G24+G26-G25</f>
        <v>0</v>
      </c>
      <c r="H27" s="26" t="n">
        <f aca="false">H22+H23+H24+H26-H25</f>
        <v>0</v>
      </c>
      <c r="I27" s="26" t="n">
        <f aca="false">I22+I23+I24+I26-I25</f>
        <v>0</v>
      </c>
      <c r="J27" s="26" t="n">
        <f aca="false">J22+J23+J24+J26-J25</f>
        <v>0</v>
      </c>
      <c r="K27" s="26" t="n">
        <f aca="false">K22+K23+K24+K26-K25</f>
        <v>0</v>
      </c>
      <c r="L27" s="26" t="n">
        <f aca="false">L22+L23+L24+L26-L25</f>
        <v>0</v>
      </c>
      <c r="M27" s="26" t="n">
        <f aca="false">M22+M23+M24+M26-M25</f>
        <v>0</v>
      </c>
      <c r="N27" s="26" t="n">
        <f aca="false">N22+N23+N24+N26-N25</f>
        <v>0</v>
      </c>
      <c r="O27" s="26" t="n">
        <f aca="false">O22+O23+O24+O26-O25</f>
        <v>0</v>
      </c>
      <c r="P27" s="26" t="n">
        <f aca="false">P22+P23+P24+P26-P25</f>
        <v>0</v>
      </c>
      <c r="Q27" s="26" t="n">
        <f aca="false">Q22+Q23+Q24+Q26-Q25</f>
        <v>0</v>
      </c>
      <c r="R27" s="8" t="s">
        <v>41</v>
      </c>
    </row>
    <row r="28" customFormat="false" ht="17.15" hidden="false" customHeight="false" outlineLevel="0" collapsed="false">
      <c r="A28" s="1" t="s">
        <v>544</v>
      </c>
    </row>
    <row r="29" customFormat="false" ht="17.15" hidden="false" customHeight="false" outlineLevel="0" collapsed="false">
      <c r="A29" s="0" t="s">
        <v>545</v>
      </c>
      <c r="B29" s="0" t="s">
        <v>86</v>
      </c>
      <c r="C29" s="21" t="n">
        <v>13.678</v>
      </c>
      <c r="D29" s="21" t="n">
        <v>14.285</v>
      </c>
      <c r="E29" s="21" t="n">
        <v>15.503</v>
      </c>
      <c r="F29" s="22"/>
      <c r="G29" s="22"/>
      <c r="H29" s="21" t="n">
        <v>3.53</v>
      </c>
      <c r="I29" s="21" t="n">
        <v>3.742</v>
      </c>
      <c r="J29" s="21" t="n">
        <v>4.001</v>
      </c>
      <c r="K29" s="23" t="n">
        <f aca="false">E29-H29-I29-J29</f>
        <v>4.23</v>
      </c>
      <c r="L29" s="21" t="n">
        <v>4.28</v>
      </c>
      <c r="M29" s="21" t="n">
        <v>4.5</v>
      </c>
      <c r="N29" s="22" t="n">
        <f aca="false">H29+I29</f>
        <v>7.272</v>
      </c>
      <c r="O29" s="22" t="n">
        <f aca="false">J29+K29</f>
        <v>8.231</v>
      </c>
      <c r="P29" s="22" t="n">
        <f aca="false">L29+M29</f>
        <v>8.78</v>
      </c>
      <c r="Q29" s="22" t="n">
        <f aca="false">J29+K29+L29+M29</f>
        <v>17.011</v>
      </c>
      <c r="R29" s="8" t="s">
        <v>28</v>
      </c>
      <c r="S29" s="8" t="s">
        <v>546</v>
      </c>
    </row>
    <row r="30" customFormat="false" ht="17.15" hidden="false" customHeight="false" outlineLevel="0" collapsed="false">
      <c r="A30" s="0" t="s">
        <v>547</v>
      </c>
      <c r="B30" s="0" t="s">
        <v>86</v>
      </c>
      <c r="C30" s="21" t="n">
        <v>4.016</v>
      </c>
      <c r="D30" s="21" t="n">
        <v>4.462</v>
      </c>
      <c r="E30" s="21" t="n">
        <v>4.907</v>
      </c>
      <c r="F30" s="22"/>
      <c r="G30" s="22"/>
      <c r="H30" s="21" t="n">
        <v>1.136</v>
      </c>
      <c r="I30" s="21" t="n">
        <v>1.18</v>
      </c>
      <c r="J30" s="21" t="n">
        <v>1.276</v>
      </c>
      <c r="K30" s="23" t="n">
        <f aca="false">E30-H30-I30-J30</f>
        <v>1.315</v>
      </c>
      <c r="L30" s="21" t="n">
        <v>1.277</v>
      </c>
      <c r="M30" s="21" t="n">
        <v>1.293</v>
      </c>
      <c r="N30" s="22" t="n">
        <f aca="false">H30+I30</f>
        <v>2.316</v>
      </c>
      <c r="O30" s="22" t="n">
        <f aca="false">J30+K30</f>
        <v>2.591</v>
      </c>
      <c r="P30" s="22" t="n">
        <f aca="false">L30+M30</f>
        <v>2.57</v>
      </c>
      <c r="Q30" s="22" t="n">
        <f aca="false">J30+K30+L30+M30</f>
        <v>5.161</v>
      </c>
      <c r="R30" s="8" t="s">
        <v>28</v>
      </c>
      <c r="S30" s="8" t="s">
        <v>546</v>
      </c>
    </row>
    <row r="31" customFormat="false" ht="17.15" hidden="false" customHeight="false" outlineLevel="0" collapsed="false">
      <c r="A31" s="0" t="s">
        <v>548</v>
      </c>
      <c r="B31" s="0" t="s">
        <v>86</v>
      </c>
      <c r="C31" s="21" t="n">
        <v>12.531</v>
      </c>
      <c r="D31" s="21" t="n">
        <v>13.32</v>
      </c>
      <c r="E31" s="21" t="n">
        <v>21.45</v>
      </c>
      <c r="F31" s="22"/>
      <c r="G31" s="22"/>
      <c r="H31" s="21" t="n">
        <v>4.39</v>
      </c>
      <c r="I31" s="21" t="n">
        <v>4.844</v>
      </c>
      <c r="J31" s="21" t="n">
        <v>5.648</v>
      </c>
      <c r="K31" s="23" t="n">
        <f aca="false">E31-H31-I31-J31</f>
        <v>6.568</v>
      </c>
      <c r="L31" s="21" t="n">
        <v>7.277</v>
      </c>
      <c r="M31" s="21" t="n">
        <v>8.076</v>
      </c>
      <c r="N31" s="22" t="n">
        <f aca="false">H31+I31</f>
        <v>9.234</v>
      </c>
      <c r="O31" s="22" t="n">
        <f aca="false">J31+K31</f>
        <v>12.216</v>
      </c>
      <c r="P31" s="22" t="n">
        <f aca="false">L31+M31</f>
        <v>15.353</v>
      </c>
      <c r="Q31" s="22" t="n">
        <f aca="false">J31+K31+L31+M31</f>
        <v>27.569</v>
      </c>
      <c r="R31" s="8" t="s">
        <v>28</v>
      </c>
      <c r="S31" s="8" t="s">
        <v>546</v>
      </c>
    </row>
    <row r="32" customFormat="false" ht="15" hidden="false" customHeight="false" outlineLevel="0" collapsed="false">
      <c r="A32" s="5" t="s">
        <v>549</v>
      </c>
      <c r="B32" s="0" t="s">
        <v>86</v>
      </c>
      <c r="C32" s="23" t="n">
        <f aca="false">IF(COUNT(C29:C31)=3,C29+C30+C31,"")</f>
        <v>30.225</v>
      </c>
      <c r="D32" s="23" t="n">
        <f aca="false">IF(COUNT(D29:D31)=3,D29+D30+D31,"")</f>
        <v>32.067</v>
      </c>
      <c r="E32" s="23" t="n">
        <f aca="false">IF(COUNT(E29:E31)=3,E29+E30+E31,"")</f>
        <v>41.86</v>
      </c>
      <c r="F32" s="23" t="str">
        <f aca="false">IF(COUNT(F29:F31)=3,F29+F30+F31,"")</f>
        <v/>
      </c>
      <c r="G32" s="23" t="str">
        <f aca="false">IF(COUNT(G29:G31)=3,G29+G30+G31,"")</f>
        <v/>
      </c>
      <c r="H32" s="23" t="n">
        <f aca="false">IF(COUNT(H29:H31)=3,H29+H30+H31,"")</f>
        <v>9.056</v>
      </c>
      <c r="I32" s="23" t="n">
        <f aca="false">IF(COUNT(I29:I31)=3,I29+I30+I31,"")</f>
        <v>9.766</v>
      </c>
      <c r="J32" s="23" t="n">
        <f aca="false">IF(COUNT(J29:J31)=3,J29+J30+J31,"")</f>
        <v>10.925</v>
      </c>
      <c r="K32" s="23" t="n">
        <f aca="false">IF(COUNT(K29:K31)=3,K29+K30+K31,"")</f>
        <v>12.113</v>
      </c>
      <c r="L32" s="23" t="n">
        <f aca="false">IF(COUNT(L29:L31)=3,L29+L30+L31,"")</f>
        <v>12.834</v>
      </c>
      <c r="M32" s="23" t="n">
        <f aca="false">IF(COUNT(M29:M31)=3,M29+M30+M31,"")</f>
        <v>13.869</v>
      </c>
      <c r="N32" s="23" t="n">
        <f aca="false">IF(COUNT(N29:N31)=3,N29+N30+N31,"")</f>
        <v>18.822</v>
      </c>
      <c r="O32" s="23" t="n">
        <f aca="false">IF(COUNT(O29:O31)=3,O29+O30+O31,"")</f>
        <v>23.038</v>
      </c>
      <c r="P32" s="23" t="n">
        <f aca="false">IF(COUNT(P29:P31)=3,P29+P30+P31,"")</f>
        <v>26.703</v>
      </c>
      <c r="Q32" s="23" t="n">
        <f aca="false">IF(COUNT(Q29:Q31)=3,Q29+Q30+Q31,"")</f>
        <v>49.741</v>
      </c>
      <c r="R32" s="8" t="s">
        <v>41</v>
      </c>
    </row>
    <row r="33" customFormat="false" ht="17.15" hidden="false" customHeight="false" outlineLevel="0" collapsed="false">
      <c r="A33" s="1" t="s">
        <v>550</v>
      </c>
    </row>
    <row r="34" customFormat="false" ht="17.15" hidden="false" customHeight="false" outlineLevel="0" collapsed="false">
      <c r="A34" s="5" t="s">
        <v>551</v>
      </c>
      <c r="B34" s="0" t="s">
        <v>86</v>
      </c>
      <c r="C34" s="21" t="n">
        <v>3.182</v>
      </c>
      <c r="D34" s="21" t="n">
        <v>2.406</v>
      </c>
      <c r="E34" s="21" t="n">
        <v>2.274</v>
      </c>
      <c r="F34" s="21" t="n">
        <v>0.603</v>
      </c>
      <c r="G34" s="21" t="n">
        <v>0.57</v>
      </c>
      <c r="H34" s="21" t="n">
        <v>0.541</v>
      </c>
      <c r="I34" s="21" t="n">
        <v>0.516</v>
      </c>
      <c r="J34" s="21" t="n">
        <v>0.538</v>
      </c>
      <c r="K34" s="21" t="n">
        <v>0.679</v>
      </c>
      <c r="L34" s="21" t="n">
        <v>0.8</v>
      </c>
      <c r="M34" s="21" t="n">
        <v>1.314</v>
      </c>
      <c r="N34" s="22" t="n">
        <f aca="false">H34+I34</f>
        <v>1.057</v>
      </c>
      <c r="O34" s="22" t="n">
        <f aca="false">J34+K34</f>
        <v>1.217</v>
      </c>
      <c r="P34" s="22" t="n">
        <f aca="false">L34+M34</f>
        <v>2.114</v>
      </c>
      <c r="Q34" s="22" t="n">
        <f aca="false">J34+K34+L34+M34</f>
        <v>3.331</v>
      </c>
      <c r="R34" s="8" t="s">
        <v>28</v>
      </c>
      <c r="S34" s="8" t="s">
        <v>552</v>
      </c>
    </row>
    <row r="35" customFormat="false" ht="17.15" hidden="false" customHeight="false" outlineLevel="0" collapsed="false">
      <c r="A35" s="5" t="s">
        <v>553</v>
      </c>
      <c r="B35" s="0" t="s">
        <v>86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1" t="n">
        <v>1.295</v>
      </c>
      <c r="N35" s="22"/>
      <c r="O35" s="22"/>
      <c r="P35" s="22"/>
      <c r="Q35" s="22"/>
      <c r="R35" s="8" t="s">
        <v>28</v>
      </c>
      <c r="S35" s="8" t="s">
        <v>34</v>
      </c>
    </row>
    <row r="36" customFormat="false" ht="17.15" hidden="false" customHeight="false" outlineLevel="0" collapsed="false">
      <c r="A36" s="5" t="s">
        <v>554</v>
      </c>
      <c r="B36" s="0" t="s">
        <v>86</v>
      </c>
      <c r="C36" s="21" t="n">
        <v>37.557</v>
      </c>
      <c r="D36" s="21" t="n">
        <v>68.614</v>
      </c>
      <c r="E36" s="21" t="n">
        <v>97.311</v>
      </c>
      <c r="F36" s="21" t="n">
        <v>18.037</v>
      </c>
      <c r="G36" s="21" t="n">
        <v>22.349</v>
      </c>
      <c r="H36" s="21" t="n">
        <v>21.679</v>
      </c>
      <c r="I36" s="21" t="n">
        <v>20.857</v>
      </c>
      <c r="J36" s="21" t="n">
        <v>28.17</v>
      </c>
      <c r="K36" s="21" t="n">
        <v>26.605</v>
      </c>
      <c r="L36" s="21" t="n">
        <v>39.834</v>
      </c>
      <c r="M36" s="21" t="n">
        <v>80.857</v>
      </c>
      <c r="N36" s="22" t="n">
        <f aca="false">H36+I36</f>
        <v>42.536</v>
      </c>
      <c r="O36" s="22" t="n">
        <f aca="false">J36+K36</f>
        <v>54.775</v>
      </c>
      <c r="P36" s="22" t="n">
        <f aca="false">L36+M36</f>
        <v>120.691</v>
      </c>
      <c r="Q36" s="22" t="n">
        <f aca="false">J36+K36+L36+M36</f>
        <v>175.466</v>
      </c>
      <c r="R36" s="8" t="s">
        <v>28</v>
      </c>
      <c r="S36" s="8" t="s">
        <v>552</v>
      </c>
    </row>
    <row r="37" customFormat="false" ht="17.15" hidden="false" customHeight="false" outlineLevel="0" collapsed="false">
      <c r="A37" s="5" t="s">
        <v>555</v>
      </c>
      <c r="B37" s="0" t="s">
        <v>86</v>
      </c>
      <c r="C37" s="21" t="n">
        <v>7.12</v>
      </c>
      <c r="D37" s="21" t="n">
        <v>9.265</v>
      </c>
      <c r="E37" s="21" t="n">
        <v>19.087</v>
      </c>
      <c r="F37" s="21" t="n">
        <v>2.706</v>
      </c>
      <c r="G37" s="21" t="n">
        <v>2.325</v>
      </c>
      <c r="H37" s="21" t="n">
        <v>4.553</v>
      </c>
      <c r="I37" s="21" t="n">
        <v>2.678</v>
      </c>
      <c r="J37" s="21" t="n">
        <v>6.91</v>
      </c>
      <c r="K37" s="21" t="n">
        <v>4.946</v>
      </c>
      <c r="L37" s="21" t="n">
        <v>9.56</v>
      </c>
      <c r="M37" s="21" t="n">
        <v>18.199</v>
      </c>
      <c r="N37" s="22" t="n">
        <f aca="false">H37+I37</f>
        <v>7.231</v>
      </c>
      <c r="O37" s="22" t="n">
        <f aca="false">J37+K37</f>
        <v>11.856</v>
      </c>
      <c r="P37" s="22" t="n">
        <f aca="false">L37+M37</f>
        <v>27.759</v>
      </c>
      <c r="Q37" s="22" t="n">
        <f aca="false">J37+K37+L37+M37</f>
        <v>39.615</v>
      </c>
      <c r="R37" s="8" t="s">
        <v>28</v>
      </c>
      <c r="S37" s="8" t="s">
        <v>552</v>
      </c>
    </row>
    <row r="38" customFormat="false" ht="17.15" hidden="false" customHeight="false" outlineLevel="0" collapsed="false">
      <c r="A38" s="5" t="s">
        <v>556</v>
      </c>
      <c r="B38" s="0" t="s">
        <v>86</v>
      </c>
      <c r="C38" s="21" t="n">
        <v>30.425</v>
      </c>
      <c r="D38" s="21" t="n">
        <v>59.248</v>
      </c>
      <c r="E38" s="21" t="n">
        <v>77.67</v>
      </c>
      <c r="F38" s="21" t="n">
        <v>15.328</v>
      </c>
      <c r="G38" s="21" t="n">
        <v>20.004</v>
      </c>
      <c r="H38" s="21" t="n">
        <v>17.127</v>
      </c>
      <c r="I38" s="21" t="n">
        <v>18.164</v>
      </c>
      <c r="J38" s="21" t="n">
        <v>21.187</v>
      </c>
      <c r="K38" s="21" t="n">
        <v>21.192</v>
      </c>
      <c r="L38" s="21" t="n">
        <v>30.255</v>
      </c>
      <c r="M38" s="21" t="n">
        <v>62.647</v>
      </c>
      <c r="N38" s="22" t="n">
        <f aca="false">H38+I38</f>
        <v>35.291</v>
      </c>
      <c r="O38" s="22" t="n">
        <f aca="false">J38+K38</f>
        <v>42.379</v>
      </c>
      <c r="P38" s="22" t="n">
        <f aca="false">L38+M38</f>
        <v>92.902</v>
      </c>
      <c r="Q38" s="22" t="n">
        <f aca="false">J38+K38+L38+M38</f>
        <v>135.281</v>
      </c>
      <c r="R38" s="8" t="s">
        <v>28</v>
      </c>
      <c r="S38" s="8" t="s">
        <v>552</v>
      </c>
    </row>
    <row r="39" customFormat="false" ht="17.15" hidden="false" customHeight="false" outlineLevel="0" collapsed="false">
      <c r="A39" s="5" t="s">
        <v>557</v>
      </c>
      <c r="B39" s="0" t="s">
        <v>86</v>
      </c>
      <c r="C39" s="23" t="n">
        <f aca="false">IF(AND(ISNUMBER(C36),ISNUMBER(C34)),C36-C25+C34,"")</f>
        <v>3.88700000000001</v>
      </c>
      <c r="D39" s="23" t="n">
        <f aca="false">IF(AND(ISNUMBER(D36),ISNUMBER(D34)),D36-D25+D34,"")</f>
        <v>2.427</v>
      </c>
      <c r="E39" s="23" t="n">
        <f aca="false">IF(AND(ISNUMBER(E36),ISNUMBER(E34)),E36-E25+E34,"")</f>
        <v>19.61</v>
      </c>
      <c r="F39" s="23" t="n">
        <f aca="false">IF(AND(ISNUMBER(F36),ISNUMBER(F34)),F36-F25+F34,"")</f>
        <v>1.229</v>
      </c>
      <c r="G39" s="23" t="n">
        <f aca="false">IF(AND(ISNUMBER(G36),ISNUMBER(G34)),G36-G25+G34,"")</f>
        <v>1.716</v>
      </c>
      <c r="H39" s="23" t="n">
        <f aca="false">IF(AND(ISNUMBER(H36),ISNUMBER(H34)),H36-H25+H34,"")</f>
        <v>3.815</v>
      </c>
      <c r="I39" s="23" t="n">
        <f aca="false">IF(AND(ISNUMBER(I36),ISNUMBER(I34)),I36-I25+I34,"")</f>
        <v>2.202</v>
      </c>
      <c r="J39" s="23" t="n">
        <f aca="false">IF(AND(ISNUMBER(J36),ISNUMBER(J34)),J36-J25+J34,"")</f>
        <v>11.286</v>
      </c>
      <c r="K39" s="23" t="n">
        <f aca="false">IF(AND(ISNUMBER(K36),ISNUMBER(K34)),K36-K25+K34,"")</f>
        <v>2.307</v>
      </c>
      <c r="L39" s="23" t="n">
        <f aca="false">IF(AND(ISNUMBER(L36),ISNUMBER(L34)),L36-L25+L34,"")</f>
        <v>16.782</v>
      </c>
      <c r="M39" s="23" t="n">
        <f aca="false">IF(AND(ISNUMBER(M36),ISNUMBER(M34)),M36-M25+M34,"")</f>
        <v>54.71</v>
      </c>
      <c r="N39" s="23" t="n">
        <f aca="false">IF(AND(ISNUMBER(N36),ISNUMBER(N34)),N36-N25+N34,"")</f>
        <v>6.017</v>
      </c>
      <c r="O39" s="23" t="n">
        <f aca="false">IF(AND(ISNUMBER(O36),ISNUMBER(O34)),O36-O25+O34,"")</f>
        <v>13.593</v>
      </c>
      <c r="P39" s="23" t="n">
        <f aca="false">IF(AND(ISNUMBER(P36),ISNUMBER(P34)),P36-P25+P34,"")</f>
        <v>71.492</v>
      </c>
      <c r="Q39" s="23" t="n">
        <f aca="false">IF(AND(ISNUMBER(Q36),ISNUMBER(Q34)),Q36-Q25+Q34,"")</f>
        <v>85.085</v>
      </c>
      <c r="R39" s="8" t="s">
        <v>41</v>
      </c>
    </row>
    <row r="40" customFormat="false" ht="15" hidden="false" customHeight="false" outlineLevel="0" collapsed="false">
      <c r="A40" s="5" t="s">
        <v>558</v>
      </c>
      <c r="B40" s="0" t="s">
        <v>86</v>
      </c>
      <c r="C40" s="27" t="n">
        <f aca="false">C37/C36</f>
        <v>0.189578507335517</v>
      </c>
      <c r="D40" s="27" t="n">
        <f aca="false">D37/D36</f>
        <v>0.135030751741627</v>
      </c>
      <c r="E40" s="27" t="n">
        <f aca="false">E37/E36</f>
        <v>0.196144320785934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8" t="s">
        <v>41</v>
      </c>
    </row>
    <row r="41" customFormat="false" ht="15" hidden="false" customHeight="false" outlineLevel="0" collapsed="false">
      <c r="A41" s="5" t="s">
        <v>559</v>
      </c>
      <c r="B41" s="5" t="s">
        <v>33</v>
      </c>
      <c r="C41" s="21" t="n">
        <v>10.492</v>
      </c>
      <c r="D41" s="21" t="n">
        <v>10.721</v>
      </c>
      <c r="E41" s="21" t="n">
        <v>10.827</v>
      </c>
      <c r="F41" s="21" t="n">
        <v>10.735</v>
      </c>
      <c r="G41" s="22"/>
      <c r="H41" s="21" t="n">
        <v>10.793</v>
      </c>
      <c r="I41" s="21" t="n">
        <v>10.806</v>
      </c>
      <c r="J41" s="21" t="n">
        <v>10.845</v>
      </c>
      <c r="K41" s="22"/>
      <c r="L41" s="21" t="n">
        <v>10.874</v>
      </c>
      <c r="M41" s="21" t="n">
        <v>10.903</v>
      </c>
      <c r="N41" s="22"/>
      <c r="O41" s="22"/>
      <c r="P41" s="22"/>
      <c r="Q41" s="22"/>
      <c r="R41" s="8" t="s">
        <v>28</v>
      </c>
      <c r="S41" s="8" t="s">
        <v>353</v>
      </c>
    </row>
    <row r="42" customFormat="false" ht="17.15" hidden="false" customHeight="false" outlineLevel="0" collapsed="false">
      <c r="A42" s="5" t="s">
        <v>560</v>
      </c>
      <c r="B42" s="0" t="s">
        <v>27</v>
      </c>
      <c r="C42" s="29" t="n">
        <f aca="false">IF(ISNUMBER(C41),C38/C41,"")</f>
        <v>2.89982844071674</v>
      </c>
      <c r="D42" s="29" t="n">
        <f aca="false">IF(ISNUMBER(D41),D38/D41,"")</f>
        <v>5.52635015390355</v>
      </c>
      <c r="E42" s="29" t="n">
        <f aca="false">IF(ISNUMBER(E41),E38/E41,"")</f>
        <v>7.1737323358271</v>
      </c>
      <c r="F42" s="29" t="n">
        <f aca="false">IF(ISNUMBER(F41),F38/F41,"")</f>
        <v>1.42785281788542</v>
      </c>
      <c r="G42" s="29" t="str">
        <f aca="false">IF(ISNUMBER(G41),G38/G41,"")</f>
        <v/>
      </c>
      <c r="H42" s="29" t="n">
        <f aca="false">IF(ISNUMBER(H41),H38/H41,"")</f>
        <v>1.58686185490596</v>
      </c>
      <c r="I42" s="29" t="n">
        <f aca="false">IF(ISNUMBER(I41),I38/I41,"")</f>
        <v>1.68091800851379</v>
      </c>
      <c r="J42" s="29" t="n">
        <f aca="false">IF(ISNUMBER(J41),J38/J41,"")</f>
        <v>1.95361917934532</v>
      </c>
      <c r="K42" s="29" t="str">
        <f aca="false">IF(ISNUMBER(K41),K38/K41,"")</f>
        <v/>
      </c>
      <c r="L42" s="29" t="n">
        <f aca="false">IF(ISNUMBER(L41),L38/L41,"")</f>
        <v>2.78232481147692</v>
      </c>
      <c r="M42" s="29" t="n">
        <f aca="false">IF(ISNUMBER(M41),M38/M41,"")</f>
        <v>5.74584976611942</v>
      </c>
      <c r="N42" s="30"/>
      <c r="O42" s="30"/>
      <c r="P42" s="30"/>
      <c r="Q42" s="30"/>
      <c r="R42" s="8" t="s">
        <v>41</v>
      </c>
    </row>
    <row r="43" customFormat="false" ht="17.15" hidden="false" customHeight="false" outlineLevel="0" collapsed="false">
      <c r="A43" s="1" t="s">
        <v>561</v>
      </c>
    </row>
    <row r="44" customFormat="false" ht="17.15" hidden="false" customHeight="false" outlineLevel="0" collapsed="false">
      <c r="A44" s="5" t="s">
        <v>562</v>
      </c>
      <c r="B44" s="0" t="s">
        <v>86</v>
      </c>
      <c r="C44" s="21" t="n">
        <v>84.946</v>
      </c>
      <c r="D44" s="21" t="n">
        <v>115.877</v>
      </c>
      <c r="E44" s="21" t="n">
        <v>139.514</v>
      </c>
      <c r="F44" s="21" t="n">
        <v>25.971</v>
      </c>
      <c r="G44" s="21" t="n">
        <v>45.636</v>
      </c>
      <c r="H44" s="21" t="n">
        <v>17.015</v>
      </c>
      <c r="I44" s="21" t="n">
        <v>32.515</v>
      </c>
      <c r="J44" s="21" t="n">
        <v>35.525</v>
      </c>
      <c r="K44" s="21" t="n">
        <v>54.459</v>
      </c>
      <c r="L44" s="21" t="n">
        <v>26.032</v>
      </c>
      <c r="M44" s="21" t="n">
        <v>45.387</v>
      </c>
      <c r="N44" s="22" t="n">
        <f aca="false">H44+I44</f>
        <v>49.53</v>
      </c>
      <c r="O44" s="22" t="n">
        <f aca="false">J44+K44</f>
        <v>89.984</v>
      </c>
      <c r="P44" s="22" t="n">
        <f aca="false">L44+M44</f>
        <v>71.419</v>
      </c>
      <c r="Q44" s="22" t="n">
        <f aca="false">J44+K44+L44+M44</f>
        <v>161.403</v>
      </c>
      <c r="R44" s="8" t="s">
        <v>28</v>
      </c>
      <c r="S44" s="8" t="s">
        <v>563</v>
      </c>
    </row>
    <row r="45" customFormat="false" ht="17.15" hidden="false" customHeight="false" outlineLevel="0" collapsed="false">
      <c r="A45" s="5" t="s">
        <v>564</v>
      </c>
      <c r="B45" s="0" t="s">
        <v>86</v>
      </c>
      <c r="C45" s="21" t="n">
        <v>52.729</v>
      </c>
      <c r="D45" s="21" t="n">
        <v>82.999</v>
      </c>
      <c r="E45" s="21" t="n">
        <v>131.819</v>
      </c>
      <c r="F45" s="21" t="n">
        <v>22.62</v>
      </c>
      <c r="G45" s="21" t="n">
        <v>27.834</v>
      </c>
      <c r="H45" s="21" t="n">
        <v>25.019</v>
      </c>
      <c r="I45" s="21" t="n">
        <v>32.183</v>
      </c>
      <c r="J45" s="21" t="n">
        <v>35.095</v>
      </c>
      <c r="K45" s="21" t="n">
        <v>39.522</v>
      </c>
      <c r="L45" s="21" t="n">
        <v>44.203</v>
      </c>
      <c r="M45" s="21" t="n">
        <v>54.208</v>
      </c>
      <c r="N45" s="22" t="n">
        <f aca="false">H45+I45</f>
        <v>57.202</v>
      </c>
      <c r="O45" s="22" t="n">
        <f aca="false">J45+K45</f>
        <v>74.617</v>
      </c>
      <c r="P45" s="22" t="n">
        <f aca="false">L45+M45</f>
        <v>98.411</v>
      </c>
      <c r="Q45" s="22" t="n">
        <f aca="false">J45+K45+L45+M45</f>
        <v>173.028</v>
      </c>
      <c r="R45" s="8" t="s">
        <v>28</v>
      </c>
      <c r="S45" s="8" t="s">
        <v>552</v>
      </c>
    </row>
    <row r="46" customFormat="false" ht="15" hidden="false" customHeight="false" outlineLevel="0" collapsed="false">
      <c r="A46" s="5" t="s">
        <v>565</v>
      </c>
      <c r="B46" s="0" t="s">
        <v>86</v>
      </c>
      <c r="C46" s="21" t="n">
        <v>48.133</v>
      </c>
      <c r="D46" s="21" t="n">
        <v>77.658</v>
      </c>
      <c r="E46" s="21" t="n">
        <v>128.32</v>
      </c>
      <c r="F46" s="21" t="n">
        <v>21.278</v>
      </c>
      <c r="G46" s="21" t="n">
        <v>26.052</v>
      </c>
      <c r="H46" s="21" t="n">
        <v>24.255</v>
      </c>
      <c r="I46" s="21" t="n">
        <v>31.368</v>
      </c>
      <c r="J46" s="21" t="n">
        <v>34.228</v>
      </c>
      <c r="K46" s="21" t="n">
        <v>38.469</v>
      </c>
      <c r="L46" s="21" t="n">
        <v>43.234</v>
      </c>
      <c r="M46" s="21" t="n">
        <v>53.076</v>
      </c>
      <c r="N46" s="22" t="n">
        <f aca="false">H46+I46</f>
        <v>55.623</v>
      </c>
      <c r="O46" s="22" t="n">
        <f aca="false">J46+K46</f>
        <v>72.697</v>
      </c>
      <c r="P46" s="22" t="n">
        <f aca="false">L46+M46</f>
        <v>96.31</v>
      </c>
      <c r="Q46" s="22" t="n">
        <f aca="false">J46+K46+L46+M46</f>
        <v>169.007</v>
      </c>
      <c r="R46" s="8" t="s">
        <v>41</v>
      </c>
      <c r="S46" s="5" t="s">
        <v>566</v>
      </c>
    </row>
    <row r="47" customFormat="false" ht="17.15" hidden="false" customHeight="false" outlineLevel="0" collapsed="false">
      <c r="A47" s="5" t="s">
        <v>567</v>
      </c>
      <c r="B47" s="0" t="s">
        <v>86</v>
      </c>
      <c r="C47" s="21" t="n">
        <v>48.663</v>
      </c>
      <c r="D47" s="21" t="n">
        <v>52.795</v>
      </c>
      <c r="E47" s="21" t="n">
        <v>65.756</v>
      </c>
      <c r="F47" s="21" t="n">
        <v>13.442</v>
      </c>
      <c r="G47" s="21" t="n">
        <v>15.631</v>
      </c>
      <c r="H47" s="21" t="n">
        <v>14.262</v>
      </c>
      <c r="I47" s="21" t="n">
        <v>15.227</v>
      </c>
      <c r="J47" s="21" t="n">
        <v>16.796</v>
      </c>
      <c r="K47" s="21" t="n">
        <v>19.471</v>
      </c>
      <c r="L47" s="21" t="n">
        <v>18.945</v>
      </c>
      <c r="M47" s="21" t="n">
        <v>19.988</v>
      </c>
      <c r="N47" s="22" t="n">
        <f aca="false">H47+I47</f>
        <v>29.489</v>
      </c>
      <c r="O47" s="22" t="n">
        <f aca="false">J47+K47</f>
        <v>36.267</v>
      </c>
      <c r="P47" s="22" t="n">
        <f aca="false">L47+M47</f>
        <v>38.933</v>
      </c>
      <c r="Q47" s="22" t="n">
        <f aca="false">J47+K47+L47+M47</f>
        <v>75.2</v>
      </c>
      <c r="R47" s="8" t="s">
        <v>28</v>
      </c>
      <c r="S47" s="8" t="s">
        <v>552</v>
      </c>
    </row>
    <row r="48" customFormat="false" ht="17.15" hidden="false" customHeight="false" outlineLevel="0" collapsed="false">
      <c r="A48" s="5" t="s">
        <v>568</v>
      </c>
      <c r="B48" s="0" t="s">
        <v>86</v>
      </c>
      <c r="C48" s="21" t="n">
        <v>24.023</v>
      </c>
      <c r="D48" s="21" t="n">
        <v>22.011</v>
      </c>
      <c r="E48" s="21" t="n">
        <v>19.467</v>
      </c>
      <c r="F48" s="21" t="n">
        <v>5.333</v>
      </c>
      <c r="G48" s="21" t="n">
        <v>4.995</v>
      </c>
      <c r="H48" s="21" t="n">
        <v>3.689</v>
      </c>
      <c r="I48" s="21" t="n">
        <v>6.534</v>
      </c>
      <c r="J48" s="21" t="n">
        <v>4.847</v>
      </c>
      <c r="K48" s="21" t="n">
        <v>4.397</v>
      </c>
      <c r="L48" s="21" t="n">
        <v>4.032</v>
      </c>
      <c r="M48" s="21" t="n">
        <v>6.038</v>
      </c>
      <c r="N48" s="22" t="n">
        <f aca="false">H48+I48</f>
        <v>10.223</v>
      </c>
      <c r="O48" s="22" t="n">
        <f aca="false">J48+K48</f>
        <v>9.244</v>
      </c>
      <c r="P48" s="22" t="n">
        <f aca="false">L48+M48</f>
        <v>10.07</v>
      </c>
      <c r="Q48" s="22" t="n">
        <f aca="false">J48+K48+L48+M48</f>
        <v>19.314</v>
      </c>
      <c r="R48" s="8" t="s">
        <v>28</v>
      </c>
      <c r="S48" s="8" t="s">
        <v>552</v>
      </c>
    </row>
    <row r="49" customFormat="false" ht="15" hidden="false" customHeight="false" outlineLevel="0" collapsed="false">
      <c r="A49" s="5" t="s">
        <v>569</v>
      </c>
      <c r="B49" s="0" t="s">
        <v>86</v>
      </c>
      <c r="C49" s="23" t="n">
        <f aca="false">C44-C46</f>
        <v>36.813</v>
      </c>
      <c r="D49" s="23" t="n">
        <f aca="false">D44-D46</f>
        <v>38.219</v>
      </c>
      <c r="E49" s="23" t="n">
        <f aca="false">E44-E46</f>
        <v>11.194</v>
      </c>
      <c r="F49" s="23" t="n">
        <f aca="false">F44-F46</f>
        <v>4.693</v>
      </c>
      <c r="G49" s="23" t="n">
        <f aca="false">G44-G46</f>
        <v>19.584</v>
      </c>
      <c r="H49" s="23" t="n">
        <f aca="false">H44-H46</f>
        <v>-7.24</v>
      </c>
      <c r="I49" s="23" t="n">
        <f aca="false">I44-I46</f>
        <v>1.147</v>
      </c>
      <c r="J49" s="23" t="n">
        <f aca="false">J44-J46</f>
        <v>1.297</v>
      </c>
      <c r="K49" s="23" t="n">
        <f aca="false">K44-K46</f>
        <v>15.99</v>
      </c>
      <c r="L49" s="23" t="n">
        <f aca="false">L44-L46</f>
        <v>-17.202</v>
      </c>
      <c r="M49" s="23" t="n">
        <f aca="false">M44-M46</f>
        <v>-7.689</v>
      </c>
      <c r="N49" s="23" t="n">
        <f aca="false">N44-N46</f>
        <v>-6.093</v>
      </c>
      <c r="O49" s="23" t="n">
        <f aca="false">O44-O46</f>
        <v>17.287</v>
      </c>
      <c r="P49" s="23" t="n">
        <f aca="false">P44-P46</f>
        <v>-24.891</v>
      </c>
      <c r="Q49" s="23" t="n">
        <f aca="false">Q44-Q46</f>
        <v>-7.60399999999999</v>
      </c>
      <c r="R49" s="8" t="s">
        <v>41</v>
      </c>
    </row>
    <row r="50" customFormat="false" ht="15" hidden="false" customHeight="false" outlineLevel="0" collapsed="false">
      <c r="A50" s="5" t="s">
        <v>570</v>
      </c>
      <c r="B50" s="0" t="s">
        <v>86</v>
      </c>
      <c r="C50" s="21" t="n">
        <v>4.384</v>
      </c>
      <c r="D50" s="21" t="n">
        <v>2.043</v>
      </c>
      <c r="E50" s="21" t="n">
        <v>1.557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8" t="s">
        <v>28</v>
      </c>
      <c r="S50" s="8" t="s">
        <v>82</v>
      </c>
    </row>
    <row r="51" customFormat="false" ht="15" hidden="false" customHeight="false" outlineLevel="0" collapsed="false">
      <c r="A51" s="5" t="s">
        <v>571</v>
      </c>
      <c r="B51" s="0" t="s">
        <v>86</v>
      </c>
      <c r="C51" s="21" t="n">
        <v>0</v>
      </c>
      <c r="D51" s="21" t="n">
        <v>0</v>
      </c>
      <c r="E51" s="21" t="n">
        <v>0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1" t="n">
        <v>0</v>
      </c>
      <c r="Q51" s="22"/>
      <c r="R51" s="8" t="s">
        <v>28</v>
      </c>
      <c r="S51" s="8" t="s">
        <v>82</v>
      </c>
    </row>
    <row r="52" customFormat="false" ht="15" hidden="false" customHeight="false" outlineLevel="0" collapsed="false">
      <c r="A52" s="5" t="s">
        <v>572</v>
      </c>
      <c r="B52" s="0" t="s">
        <v>86</v>
      </c>
      <c r="C52" s="21" t="n">
        <v>0</v>
      </c>
      <c r="D52" s="21" t="n">
        <v>0</v>
      </c>
      <c r="E52" s="21" t="n">
        <v>0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1" t="n">
        <v>0</v>
      </c>
      <c r="Q52" s="22"/>
      <c r="R52" s="8" t="s">
        <v>28</v>
      </c>
      <c r="S52" s="8" t="s">
        <v>82</v>
      </c>
    </row>
    <row r="53" customFormat="false" ht="17.15" hidden="false" customHeight="false" outlineLevel="0" collapsed="false">
      <c r="A53" s="5" t="s">
        <v>573</v>
      </c>
      <c r="B53" s="0" t="s">
        <v>86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1" t="n">
        <v>39.767</v>
      </c>
      <c r="Q53" s="22"/>
      <c r="R53" s="8" t="s">
        <v>28</v>
      </c>
      <c r="S53" s="8" t="s">
        <v>34</v>
      </c>
    </row>
    <row r="54" customFormat="false" ht="17.15" hidden="false" customHeight="false" outlineLevel="0" collapsed="false">
      <c r="A54" s="1" t="s">
        <v>574</v>
      </c>
    </row>
    <row r="55" customFormat="false" ht="17.15" hidden="false" customHeight="false" outlineLevel="0" collapsed="false">
      <c r="A55" s="0" t="s">
        <v>575</v>
      </c>
      <c r="B55" s="0" t="s">
        <v>86</v>
      </c>
      <c r="C55" s="21" t="n">
        <v>17.529</v>
      </c>
      <c r="D55" s="21" t="n">
        <v>24.348</v>
      </c>
      <c r="E55" s="21" t="n">
        <v>35.919</v>
      </c>
      <c r="F55" s="22"/>
      <c r="G55" s="22"/>
      <c r="H55" s="22"/>
      <c r="I55" s="22"/>
      <c r="J55" s="22"/>
      <c r="K55" s="22"/>
      <c r="L55" s="22"/>
      <c r="M55" s="21"/>
      <c r="N55" s="22"/>
      <c r="O55" s="22"/>
      <c r="P55" s="21" t="n">
        <v>23.265</v>
      </c>
      <c r="Q55" s="22"/>
      <c r="R55" s="8" t="s">
        <v>28</v>
      </c>
      <c r="S55" s="8" t="s">
        <v>576</v>
      </c>
    </row>
    <row r="56" customFormat="false" ht="17.15" hidden="false" customHeight="false" outlineLevel="0" collapsed="false">
      <c r="A56" s="0" t="s">
        <v>577</v>
      </c>
      <c r="B56" s="0" t="s">
        <v>86</v>
      </c>
      <c r="C56" s="21" t="n">
        <v>4.144</v>
      </c>
      <c r="D56" s="21" t="n">
        <v>6.643</v>
      </c>
      <c r="E56" s="21" t="n">
        <v>7.617</v>
      </c>
      <c r="F56" s="22"/>
      <c r="G56" s="22"/>
      <c r="H56" s="22"/>
      <c r="I56" s="22"/>
      <c r="J56" s="22"/>
      <c r="K56" s="22"/>
      <c r="L56" s="22"/>
      <c r="M56" s="21"/>
      <c r="N56" s="22"/>
      <c r="O56" s="22"/>
      <c r="P56" s="21" t="n">
        <v>4.267</v>
      </c>
      <c r="Q56" s="22"/>
      <c r="R56" s="8" t="s">
        <v>28</v>
      </c>
      <c r="S56" s="8" t="s">
        <v>576</v>
      </c>
    </row>
    <row r="57" customFormat="false" ht="17.15" hidden="false" customHeight="false" outlineLevel="0" collapsed="false">
      <c r="A57" s="0" t="s">
        <v>578</v>
      </c>
      <c r="B57" s="0" t="s">
        <v>86</v>
      </c>
      <c r="C57" s="21" t="n">
        <v>24.843</v>
      </c>
      <c r="D57" s="21" t="n">
        <v>53.267</v>
      </c>
      <c r="E57" s="21" t="n">
        <v>96.496</v>
      </c>
      <c r="F57" s="22"/>
      <c r="G57" s="22"/>
      <c r="H57" s="22"/>
      <c r="I57" s="22"/>
      <c r="J57" s="22"/>
      <c r="K57" s="22"/>
      <c r="L57" s="22"/>
      <c r="M57" s="21"/>
      <c r="N57" s="22"/>
      <c r="O57" s="22"/>
      <c r="P57" s="21" t="n">
        <v>90.12</v>
      </c>
      <c r="Q57" s="22"/>
      <c r="R57" s="8" t="s">
        <v>28</v>
      </c>
      <c r="S57" s="8" t="s">
        <v>576</v>
      </c>
    </row>
    <row r="58" customFormat="false" ht="17.15" hidden="false" customHeight="false" outlineLevel="0" collapsed="false">
      <c r="A58" s="5" t="s">
        <v>579</v>
      </c>
      <c r="B58" s="0" t="s">
        <v>86</v>
      </c>
      <c r="C58" s="21" t="n">
        <v>1.828</v>
      </c>
      <c r="D58" s="21" t="n">
        <v>1.494</v>
      </c>
      <c r="E58" s="21" t="n">
        <v>2.32</v>
      </c>
      <c r="F58" s="22"/>
      <c r="G58" s="22"/>
      <c r="H58" s="22"/>
      <c r="I58" s="22"/>
      <c r="J58" s="22"/>
      <c r="K58" s="22"/>
      <c r="L58" s="22"/>
      <c r="M58" s="21"/>
      <c r="N58" s="22"/>
      <c r="O58" s="22"/>
      <c r="P58" s="21" t="n">
        <v>0.996</v>
      </c>
      <c r="Q58" s="22"/>
      <c r="R58" s="8" t="s">
        <v>28</v>
      </c>
      <c r="S58" s="8" t="s">
        <v>576</v>
      </c>
    </row>
    <row r="59" customFormat="false" ht="17.15" hidden="false" customHeight="false" outlineLevel="0" collapsed="false">
      <c r="A59" s="0" t="s">
        <v>580</v>
      </c>
      <c r="B59" s="0" t="s">
        <v>86</v>
      </c>
      <c r="C59" s="21" t="n">
        <v>48.344</v>
      </c>
      <c r="D59" s="21" t="n">
        <v>85.752</v>
      </c>
      <c r="E59" s="21" t="n">
        <v>142.352</v>
      </c>
      <c r="F59" s="22"/>
      <c r="G59" s="22"/>
      <c r="H59" s="22"/>
      <c r="I59" s="22"/>
      <c r="J59" s="22"/>
      <c r="K59" s="22"/>
      <c r="L59" s="22"/>
      <c r="M59" s="21"/>
      <c r="N59" s="22"/>
      <c r="O59" s="22"/>
      <c r="P59" s="21" t="n">
        <v>118.648</v>
      </c>
      <c r="Q59" s="22"/>
      <c r="R59" s="8" t="s">
        <v>28</v>
      </c>
      <c r="S59" s="8" t="s">
        <v>576</v>
      </c>
    </row>
    <row r="60" customFormat="false" ht="17.15" hidden="false" customHeight="false" outlineLevel="0" collapsed="false">
      <c r="A60" s="1" t="s">
        <v>581</v>
      </c>
    </row>
    <row r="61" customFormat="false" ht="17.15" hidden="false" customHeight="false" outlineLevel="0" collapsed="false">
      <c r="A61" s="5" t="s">
        <v>582</v>
      </c>
      <c r="B61" s="0" t="s">
        <v>86</v>
      </c>
      <c r="C61" s="22"/>
      <c r="D61" s="22"/>
      <c r="E61" s="21" t="n">
        <v>123.029</v>
      </c>
      <c r="F61" s="22"/>
      <c r="G61" s="22"/>
      <c r="H61" s="22"/>
      <c r="I61" s="22"/>
      <c r="J61" s="22"/>
      <c r="K61" s="22"/>
      <c r="L61" s="22"/>
      <c r="M61" s="21" t="n">
        <v>122.988</v>
      </c>
      <c r="N61" s="22"/>
      <c r="O61" s="22"/>
      <c r="P61" s="22"/>
      <c r="Q61" s="22"/>
      <c r="R61" s="8" t="s">
        <v>28</v>
      </c>
      <c r="S61" s="8" t="s">
        <v>576</v>
      </c>
    </row>
    <row r="62" customFormat="false" ht="17.15" hidden="false" customHeight="false" outlineLevel="0" collapsed="false">
      <c r="A62" s="5" t="s">
        <v>583</v>
      </c>
      <c r="B62" s="0" t="s">
        <v>86</v>
      </c>
      <c r="C62" s="22"/>
      <c r="D62" s="22"/>
      <c r="E62" s="21" t="n">
        <v>68.836</v>
      </c>
      <c r="F62" s="22"/>
      <c r="G62" s="22"/>
      <c r="H62" s="22"/>
      <c r="I62" s="22"/>
      <c r="J62" s="22"/>
      <c r="K62" s="22"/>
      <c r="L62" s="22"/>
      <c r="M62" s="21" t="n">
        <v>132.995</v>
      </c>
      <c r="N62" s="22"/>
      <c r="O62" s="22"/>
      <c r="P62" s="22"/>
      <c r="Q62" s="22"/>
      <c r="R62" s="8" t="s">
        <v>28</v>
      </c>
      <c r="S62" s="8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584</v>
      </c>
    </row>
    <row r="2" customFormat="false" ht="17.15" hidden="false" customHeight="false" outlineLevel="0" collapsed="false">
      <c r="A2" s="5" t="s">
        <v>585</v>
      </c>
    </row>
    <row r="4" customFormat="false" ht="19.4" hidden="false" customHeight="false" outlineLevel="0" collapsed="false">
      <c r="A4" s="31" t="s">
        <v>586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504</v>
      </c>
      <c r="D5" s="20" t="s">
        <v>505</v>
      </c>
      <c r="E5" s="20" t="s">
        <v>587</v>
      </c>
      <c r="F5" s="20" t="s">
        <v>588</v>
      </c>
      <c r="G5" s="20" t="s">
        <v>589</v>
      </c>
      <c r="H5" s="20" t="s">
        <v>590</v>
      </c>
      <c r="I5" s="20" t="s">
        <v>591</v>
      </c>
      <c r="J5" s="20" t="s">
        <v>592</v>
      </c>
      <c r="K5" s="20" t="s">
        <v>593</v>
      </c>
      <c r="L5" s="20" t="s">
        <v>594</v>
      </c>
      <c r="M5" s="20" t="s">
        <v>595</v>
      </c>
      <c r="N5" s="20" t="s">
        <v>596</v>
      </c>
      <c r="O5" s="20" t="s">
        <v>597</v>
      </c>
      <c r="P5" s="6" t="s">
        <v>23</v>
      </c>
      <c r="R5" s="20" t="n">
        <v>2023</v>
      </c>
      <c r="S5" s="20" t="n">
        <v>2024</v>
      </c>
      <c r="T5" s="20" t="n">
        <v>2025</v>
      </c>
      <c r="U5" s="20" t="n">
        <v>2026</v>
      </c>
      <c r="V5" s="20" t="n">
        <v>2027</v>
      </c>
      <c r="W5" s="20" t="n">
        <v>2028</v>
      </c>
      <c r="X5" s="20" t="n">
        <v>2029</v>
      </c>
      <c r="Y5" s="20" t="n">
        <v>2030</v>
      </c>
      <c r="Z5" s="20" t="n">
        <v>2031</v>
      </c>
      <c r="AA5" s="20" t="n">
        <v>2032</v>
      </c>
    </row>
    <row r="6" customFormat="false" ht="17.15" hidden="false" customHeight="false" outlineLevel="0" collapsed="false">
      <c r="A6" s="1" t="s">
        <v>598</v>
      </c>
    </row>
    <row r="7" customFormat="false" ht="17.15" hidden="false" customHeight="false" outlineLevel="0" collapsed="false">
      <c r="A7" s="5" t="s">
        <v>599</v>
      </c>
      <c r="B7" s="0" t="s">
        <v>144</v>
      </c>
      <c r="H7" s="32" t="n">
        <f aca="false">pace_A</f>
        <v>3733</v>
      </c>
      <c r="I7" s="32" t="n">
        <f aca="false">pace_A</f>
        <v>3733</v>
      </c>
      <c r="J7" s="32" t="n">
        <f aca="false">pace_A</f>
        <v>3733</v>
      </c>
      <c r="K7" s="32" t="n">
        <f aca="false">pace_A+(Thesis!$J$8*tg-pace_A)*1/3</f>
        <v>2640.12166666667</v>
      </c>
      <c r="L7" s="32" t="n">
        <f aca="false">pace_A+(Thesis!$J$8*tg-pace_A)*2/3</f>
        <v>1547.24333333333</v>
      </c>
      <c r="M7" s="32" t="n">
        <f aca="false">pace_A+(Thesis!$J$8*tg-pace_A)*3/3</f>
        <v>454.365</v>
      </c>
      <c r="P7" s="5" t="s">
        <v>600</v>
      </c>
    </row>
    <row r="8" customFormat="false" ht="17.15" hidden="false" customHeight="false" outlineLevel="0" collapsed="false">
      <c r="A8" s="15" t="s">
        <v>601</v>
      </c>
      <c r="B8" s="14" t="s">
        <v>129</v>
      </c>
      <c r="C8" s="33" t="n">
        <f aca="false">mw_ye24</f>
        <v>360</v>
      </c>
      <c r="D8" s="33" t="n">
        <f aca="false">mw_ye25</f>
        <v>1440</v>
      </c>
      <c r="E8" s="33" t="n">
        <f aca="false">mw_open</f>
        <v>2080</v>
      </c>
      <c r="F8" s="33" t="n">
        <f aca="false">Thesis!$E$8+pace_A*0.5</f>
        <v>3946.5</v>
      </c>
      <c r="G8" s="33" t="n">
        <f aca="false">Thesis!$F$8</f>
        <v>3946.5</v>
      </c>
      <c r="H8" s="33" t="n">
        <f aca="false">Thesis!$G$8+Thesis!$H$7</f>
        <v>7679.5</v>
      </c>
      <c r="I8" s="33" t="n">
        <f aca="false">Thesis!$H$8+Thesis!$I$7</f>
        <v>11412.5</v>
      </c>
      <c r="J8" s="33" t="n">
        <f aca="false">Thesis!$I$8+Thesis!$J$7</f>
        <v>15145.5</v>
      </c>
      <c r="K8" s="33" t="n">
        <f aca="false">Thesis!$J$8+Thesis!$K$7</f>
        <v>17785.6216666667</v>
      </c>
      <c r="L8" s="33" t="n">
        <f aca="false">Thesis!$K$8+Thesis!$L$7</f>
        <v>19332.865</v>
      </c>
      <c r="M8" s="33" t="n">
        <f aca="false">Thesis!$L$8+Thesis!$M$7</f>
        <v>19787.23</v>
      </c>
      <c r="N8" s="33" t="n">
        <f aca="false">(mw_ye24+mw_ye25)/2</f>
        <v>900</v>
      </c>
      <c r="O8" s="33" t="n">
        <f aca="false">mw_ye25</f>
        <v>1440</v>
      </c>
      <c r="P8" s="5" t="s">
        <v>602</v>
      </c>
    </row>
    <row r="9" customFormat="false" ht="17.15" hidden="false" customHeight="false" outlineLevel="0" collapsed="false">
      <c r="A9" s="5" t="s">
        <v>603</v>
      </c>
      <c r="B9" s="0" t="s">
        <v>129</v>
      </c>
      <c r="C9" s="32" t="n">
        <f aca="false">(mw_ye23+mw_ye24)/2</f>
        <v>240</v>
      </c>
      <c r="D9" s="32" t="n">
        <f aca="false">(Thesis!$C$8+Thesis!$D$8)/2</f>
        <v>900</v>
      </c>
      <c r="E9" s="32" t="n">
        <f aca="false">(Thesis!$D$8+Thesis!$E$8)/2</f>
        <v>1760</v>
      </c>
      <c r="F9" s="32" t="n">
        <f aca="false">(Thesis!$E$8+Thesis!$F$8)/2</f>
        <v>3013.25</v>
      </c>
      <c r="G9" s="32" t="n">
        <f aca="false">(Thesis!$E$9+Thesis!$F$9)/2</f>
        <v>2386.625</v>
      </c>
      <c r="H9" s="32" t="n">
        <f aca="false">(Thesis!$G$8+Thesis!$H$8)/2</f>
        <v>5813</v>
      </c>
      <c r="I9" s="32" t="n">
        <f aca="false">(Thesis!$H$8+Thesis!$I$8)/2</f>
        <v>9546</v>
      </c>
      <c r="J9" s="32" t="n">
        <f aca="false">(Thesis!$I$8+Thesis!$J$8)/2</f>
        <v>13279</v>
      </c>
      <c r="K9" s="32" t="n">
        <f aca="false">(Thesis!$J$8+Thesis!$K$8)/2</f>
        <v>16465.5608333333</v>
      </c>
      <c r="L9" s="32" t="n">
        <f aca="false">(Thesis!$K$8+Thesis!$L$8)/2</f>
        <v>18559.2433333333</v>
      </c>
      <c r="M9" s="32" t="n">
        <f aca="false">(Thesis!$L$8+Thesis!$M$8)/2</f>
        <v>19560.0475</v>
      </c>
      <c r="N9" s="32" t="n">
        <f aca="false">(Thesis!$C$8+Thesis!$N$8)/2</f>
        <v>630</v>
      </c>
      <c r="O9" s="32" t="n">
        <f aca="false">(Thesis!$N$8+Thesis!$O$8)/2</f>
        <v>1170</v>
      </c>
    </row>
    <row r="10" customFormat="false" ht="15" hidden="false" customHeight="false" outlineLevel="0" collapsed="false">
      <c r="A10" s="5" t="s">
        <v>604</v>
      </c>
      <c r="B10" s="5" t="s">
        <v>123</v>
      </c>
      <c r="C10" s="34" t="n">
        <v>1</v>
      </c>
      <c r="D10" s="34" t="n">
        <v>1</v>
      </c>
      <c r="E10" s="34" t="n">
        <v>0.5</v>
      </c>
      <c r="F10" s="34" t="n">
        <v>0.5</v>
      </c>
      <c r="G10" s="34" t="n">
        <v>1</v>
      </c>
      <c r="H10" s="34" t="n">
        <v>1</v>
      </c>
      <c r="I10" s="34" t="n">
        <v>1</v>
      </c>
      <c r="J10" s="34" t="n">
        <v>1</v>
      </c>
      <c r="K10" s="34" t="n">
        <v>1</v>
      </c>
      <c r="L10" s="34" t="n">
        <v>1</v>
      </c>
      <c r="M10" s="34" t="n">
        <v>1</v>
      </c>
      <c r="N10" s="34" t="n">
        <v>0.5</v>
      </c>
      <c r="O10" s="34" t="n">
        <v>0.5</v>
      </c>
    </row>
    <row r="11" customFormat="false" ht="17.15" hidden="false" customHeight="false" outlineLevel="0" collapsed="false">
      <c r="A11" s="5" t="s">
        <v>605</v>
      </c>
      <c r="B11" s="0" t="s">
        <v>129</v>
      </c>
      <c r="C11" s="32" t="n">
        <f aca="false">Thesis!$C$8-mw_ye23</f>
        <v>240</v>
      </c>
      <c r="D11" s="32" t="n">
        <f aca="false">Thesis!$D$8-Thesis!$C$8</f>
        <v>1080</v>
      </c>
      <c r="E11" s="32" t="n">
        <f aca="false">Thesis!$E$8-Thesis!$D$8</f>
        <v>640</v>
      </c>
      <c r="F11" s="32" t="n">
        <f aca="false">Thesis!$F$8-Thesis!$E$8</f>
        <v>1866.5</v>
      </c>
      <c r="G11" s="32" t="n">
        <f aca="false">Thesis!$E$11+Thesis!$F$11</f>
        <v>2506.5</v>
      </c>
      <c r="H11" s="32" t="n">
        <f aca="false">Thesis!$H$8-Thesis!$G$8</f>
        <v>3733</v>
      </c>
      <c r="I11" s="32" t="n">
        <f aca="false">Thesis!$I$8-Thesis!$H$8</f>
        <v>3733</v>
      </c>
      <c r="J11" s="32" t="n">
        <f aca="false">Thesis!$J$8-Thesis!$I$8</f>
        <v>3733</v>
      </c>
      <c r="K11" s="32" t="n">
        <f aca="false">Thesis!$K$8-Thesis!$J$8</f>
        <v>2640.12166666667</v>
      </c>
      <c r="L11" s="32" t="n">
        <f aca="false">Thesis!$L$8-Thesis!$K$8</f>
        <v>1547.24333333333</v>
      </c>
      <c r="M11" s="32" t="n">
        <f aca="false">Thesis!$M$8-Thesis!$L$8</f>
        <v>454.364999999998</v>
      </c>
      <c r="N11" s="32" t="n">
        <f aca="false">Thesis!$N$8-Thesis!$C$8</f>
        <v>540</v>
      </c>
      <c r="O11" s="32" t="n">
        <f aca="false">Thesis!$O$8-Thesis!$N$8</f>
        <v>540</v>
      </c>
    </row>
    <row r="12" customFormat="false" ht="17.15" hidden="false" customHeight="false" outlineLevel="0" collapsed="false">
      <c r="A12" s="5" t="s">
        <v>606</v>
      </c>
      <c r="B12" s="0" t="s">
        <v>129</v>
      </c>
      <c r="C12" s="32" t="n">
        <f aca="false">Thesis!$C$11/ext_sh</f>
        <v>300</v>
      </c>
      <c r="D12" s="32" t="n">
        <f aca="false">Thesis!$D$11/ext_sh</f>
        <v>1350</v>
      </c>
      <c r="E12" s="32" t="n">
        <f aca="false">Thesis!$E$11/ext_sh</f>
        <v>800</v>
      </c>
      <c r="F12" s="32" t="n">
        <f aca="false">Thesis!$F$11/ext_sh</f>
        <v>2333.125</v>
      </c>
      <c r="G12" s="32" t="n">
        <f aca="false">Thesis!$G$11/ext_sh</f>
        <v>3133.125</v>
      </c>
      <c r="H12" s="32" t="n">
        <f aca="false">Thesis!$H$11/ext_sh</f>
        <v>4666.25</v>
      </c>
      <c r="I12" s="32" t="n">
        <f aca="false">Thesis!$I$11/ext_sh</f>
        <v>4666.25</v>
      </c>
      <c r="J12" s="32" t="n">
        <f aca="false">Thesis!$J$11/ext_sh</f>
        <v>4666.25</v>
      </c>
      <c r="K12" s="32" t="n">
        <f aca="false">Thesis!$K$11/ext_sh</f>
        <v>3300.15208333333</v>
      </c>
      <c r="L12" s="32" t="n">
        <f aca="false">Thesis!$L$11/ext_sh</f>
        <v>1934.05416666667</v>
      </c>
      <c r="M12" s="32" t="n">
        <f aca="false">Thesis!$M$11/ext_sh</f>
        <v>567.956249999998</v>
      </c>
      <c r="N12" s="32" t="n">
        <f aca="false">Thesis!$N$11/ext_sh</f>
        <v>675</v>
      </c>
      <c r="O12" s="32" t="n">
        <f aca="false">Thesis!$O$11/ext_sh</f>
        <v>675</v>
      </c>
      <c r="P12" s="8" t="s">
        <v>607</v>
      </c>
      <c r="R12" s="32" t="n">
        <f aca="false">mw_ye23/ext_sh</f>
        <v>150</v>
      </c>
      <c r="S12" s="32" t="n">
        <f aca="false">Thesis!$C$12</f>
        <v>300</v>
      </c>
      <c r="T12" s="32" t="n">
        <f aca="false">Thesis!$D$12</f>
        <v>1350</v>
      </c>
      <c r="U12" s="32" t="n">
        <f aca="false">Thesis!$G$12</f>
        <v>3133.125</v>
      </c>
      <c r="V12" s="32" t="n">
        <f aca="false">Thesis!$H$12</f>
        <v>4666.25</v>
      </c>
      <c r="W12" s="32" t="n">
        <f aca="false">Thesis!$I$12</f>
        <v>4666.25</v>
      </c>
      <c r="X12" s="32" t="n">
        <f aca="false">Thesis!$J$12</f>
        <v>4666.25</v>
      </c>
      <c r="Y12" s="32" t="n">
        <f aca="false">Thesis!$K$12</f>
        <v>3300.15208333333</v>
      </c>
      <c r="Z12" s="32" t="n">
        <f aca="false">Thesis!$L$12</f>
        <v>1934.05416666667</v>
      </c>
      <c r="AA12" s="32" t="n">
        <f aca="false">Thesis!$M$12</f>
        <v>567.956249999998</v>
      </c>
    </row>
    <row r="13" customFormat="false" ht="17.15" hidden="false" customHeight="false" outlineLevel="0" collapsed="false">
      <c r="A13" s="1" t="s">
        <v>608</v>
      </c>
    </row>
    <row r="14" customFormat="false" ht="17.15" hidden="false" customHeight="false" outlineLevel="0" collapsed="false">
      <c r="A14" s="0" t="s">
        <v>609</v>
      </c>
      <c r="B14" s="0" t="s">
        <v>52</v>
      </c>
      <c r="F14" s="35" t="n">
        <f aca="false">na_vr26</f>
        <v>0</v>
      </c>
      <c r="G14" s="35" t="n">
        <f aca="false">na_vr26</f>
        <v>0</v>
      </c>
      <c r="H14" s="35" t="n">
        <f aca="false">na_vr27</f>
        <v>0.5</v>
      </c>
      <c r="I14" s="35" t="n">
        <f aca="false">na_vr28</f>
        <v>1</v>
      </c>
      <c r="J14" s="35" t="n">
        <f aca="false">na_vr28</f>
        <v>1</v>
      </c>
      <c r="K14" s="35" t="n">
        <f aca="false">na_vr28</f>
        <v>1</v>
      </c>
      <c r="L14" s="35" t="n">
        <f aca="false">na_vr28</f>
        <v>1</v>
      </c>
      <c r="M14" s="35" t="n">
        <f aca="false">na_vr28</f>
        <v>1</v>
      </c>
    </row>
    <row r="15" customFormat="false" ht="17.15" hidden="false" customHeight="false" outlineLevel="0" collapsed="false">
      <c r="A15" s="5" t="s">
        <v>610</v>
      </c>
      <c r="B15" s="0" t="s">
        <v>173</v>
      </c>
      <c r="F15" s="36" t="n">
        <f aca="false">cust_sh*tk_he_gb300*cf_chip+(1-cust_sh)*((1-Thesis!$F$14)*tk_he_gb300+Thesis!$F$14*tk_he_vr200)</f>
        <v>10.8864110021101</v>
      </c>
      <c r="G15" s="36" t="n">
        <f aca="false">cust_sh*tk_he_gb300*cf_chip+(1-cust_sh)*((1-Thesis!$G$14)*tk_he_gb300+Thesis!$G$14*tk_he_vr200)</f>
        <v>10.8864110021101</v>
      </c>
      <c r="H15" s="36" t="n">
        <f aca="false">cust_sh*tk_he_gb300*cf_chip+(1-cust_sh)*((1-Thesis!$H$14)*tk_he_gb300+Thesis!$H$14*tk_he_vr200)</f>
        <v>11.2211760027286</v>
      </c>
      <c r="I15" s="36" t="n">
        <f aca="false">cust_sh*tk_he_gb300*cf_chip+(1-cust_sh)*((1-Thesis!$I$14)*tk_he_gb300+Thesis!$I$14*tk_he_vr200)</f>
        <v>11.5559410033471</v>
      </c>
      <c r="J15" s="36" t="n">
        <f aca="false">cust_sh*tk_he_gb300*cf_chip+(1-cust_sh)*((1-Thesis!$J$14)*tk_he_gb300+Thesis!$J$14*tk_he_vr200)</f>
        <v>11.5559410033471</v>
      </c>
      <c r="K15" s="36" t="n">
        <f aca="false">cust_sh*tk_he_gb300*cf_chip+(1-cust_sh)*((1-Thesis!$K$14)*tk_he_gb300+Thesis!$K$14*tk_he_vr200)</f>
        <v>11.5559410033471</v>
      </c>
      <c r="L15" s="36" t="n">
        <f aca="false">cust_sh*tk_he_gb300*cf_chip+(1-cust_sh)*((1-Thesis!$L$14)*tk_he_gb300+Thesis!$L$14*tk_he_vr200)</f>
        <v>11.5559410033471</v>
      </c>
      <c r="M15" s="36" t="n">
        <f aca="false">cust_sh*tk_he_gb300*cf_chip+(1-cust_sh)*((1-Thesis!$M$14)*tk_he_gb300+Thesis!$M$14*tk_he_vr200)</f>
        <v>11.5559410033471</v>
      </c>
    </row>
    <row r="16" customFormat="false" ht="17.15" hidden="false" customHeight="false" outlineLevel="0" collapsed="false">
      <c r="A16" s="5" t="s">
        <v>611</v>
      </c>
      <c r="B16" s="0" t="s">
        <v>173</v>
      </c>
      <c r="F16" s="36" t="n">
        <f aca="false">cust_sh*tk_ox_gb300+(1-cust_sh)*((1-Thesis!$F$14)*tk_ox_gb300+Thesis!$F$14*tk_ox_vr200)</f>
        <v>1.98263481314457</v>
      </c>
      <c r="G16" s="36" t="n">
        <f aca="false">cust_sh*tk_ox_gb300+(1-cust_sh)*((1-Thesis!$G$14)*tk_ox_gb300+Thesis!$G$14*tk_ox_vr200)</f>
        <v>1.98263481314457</v>
      </c>
      <c r="H16" s="36" t="n">
        <f aca="false">cust_sh*tk_ox_gb300+(1-cust_sh)*((1-Thesis!$H$14)*tk_ox_gb300+Thesis!$H$14*tk_ox_vr200)</f>
        <v>2.01034999693694</v>
      </c>
      <c r="I16" s="36" t="n">
        <f aca="false">cust_sh*tk_ox_gb300+(1-cust_sh)*((1-Thesis!$I$14)*tk_ox_gb300+Thesis!$I$14*tk_ox_vr200)</f>
        <v>2.0380651807293</v>
      </c>
      <c r="J16" s="36" t="n">
        <f aca="false">cust_sh*tk_ox_gb300+(1-cust_sh)*((1-Thesis!$J$14)*tk_ox_gb300+Thesis!$J$14*tk_ox_vr200)</f>
        <v>2.0380651807293</v>
      </c>
      <c r="K16" s="36" t="n">
        <f aca="false">cust_sh*tk_ox_gb300+(1-cust_sh)*((1-Thesis!$K$14)*tk_ox_gb300+Thesis!$K$14*tk_ox_vr200)</f>
        <v>2.0380651807293</v>
      </c>
      <c r="L16" s="36" t="n">
        <f aca="false">cust_sh*tk_ox_gb300+(1-cust_sh)*((1-Thesis!$L$14)*tk_ox_gb300+Thesis!$L$14*tk_ox_vr200)</f>
        <v>2.0380651807293</v>
      </c>
      <c r="M16" s="36" t="n">
        <f aca="false">cust_sh*tk_ox_gb300+(1-cust_sh)*((1-Thesis!$M$14)*tk_ox_gb300+Thesis!$M$14*tk_ox_vr200)</f>
        <v>2.0380651807293</v>
      </c>
    </row>
    <row r="17" customFormat="false" ht="17.15" hidden="false" customHeight="false" outlineLevel="0" collapsed="false">
      <c r="A17" s="5" t="s">
        <v>612</v>
      </c>
      <c r="B17" s="0" t="s">
        <v>192</v>
      </c>
      <c r="F17" s="36" t="n">
        <f aca="false">cust_sh*tk_cx_gb300*cf_cx+(1-cust_sh)*((1-Thesis!$F$14)*tk_cx_gb300+Thesis!$F$14*tk_cx_vr200)</f>
        <v>32.237224</v>
      </c>
      <c r="G17" s="36" t="n">
        <f aca="false">cust_sh*tk_cx_gb300*cf_cx+(1-cust_sh)*((1-Thesis!$G$14)*tk_cx_gb300+Thesis!$G$14*tk_cx_vr200)</f>
        <v>32.237224</v>
      </c>
      <c r="H17" s="36" t="n">
        <f aca="false">cust_sh*tk_cx_gb300*cf_cx+(1-cust_sh)*((1-Thesis!$H$14)*tk_cx_gb300+Thesis!$H$14*tk_cx_vr200)</f>
        <v>33.574506</v>
      </c>
      <c r="I17" s="36" t="n">
        <f aca="false">cust_sh*tk_cx_gb300*cf_cx+(1-cust_sh)*((1-Thesis!$I$14)*tk_cx_gb300+Thesis!$I$14*tk_cx_vr200)</f>
        <v>34.911788</v>
      </c>
      <c r="J17" s="36" t="n">
        <f aca="false">cust_sh*tk_cx_gb300*cf_cx+(1-cust_sh)*((1-Thesis!$J$14)*tk_cx_gb300+Thesis!$J$14*tk_cx_vr200)</f>
        <v>34.911788</v>
      </c>
      <c r="K17" s="36" t="n">
        <f aca="false">cust_sh*tk_cx_gb300*cf_cx+(1-cust_sh)*((1-Thesis!$K$14)*tk_cx_gb300+Thesis!$K$14*tk_cx_vr200)</f>
        <v>34.911788</v>
      </c>
      <c r="L17" s="36" t="n">
        <f aca="false">cust_sh*tk_cx_gb300*cf_cx+(1-cust_sh)*((1-Thesis!$L$14)*tk_cx_gb300+Thesis!$L$14*tk_cx_vr200)</f>
        <v>34.911788</v>
      </c>
      <c r="M17" s="36" t="n">
        <f aca="false">cust_sh*tk_cx_gb300*cf_cx+(1-cust_sh)*((1-Thesis!$M$14)*tk_cx_gb300+Thesis!$M$14*tk_cx_vr200)</f>
        <v>34.911788</v>
      </c>
    </row>
    <row r="18" customFormat="false" ht="17.15" hidden="false" customHeight="false" outlineLevel="0" collapsed="false">
      <c r="A18" s="5" t="s">
        <v>613</v>
      </c>
      <c r="B18" s="0" t="s">
        <v>129</v>
      </c>
      <c r="F18" s="32" t="n">
        <f aca="false">Thesis!$F$8-mw_open</f>
        <v>1866.5</v>
      </c>
      <c r="G18" s="32" t="n">
        <f aca="false">Thesis!$F$18</f>
        <v>1866.5</v>
      </c>
      <c r="H18" s="32" t="n">
        <f aca="false">Thesis!$H$8-mw_open</f>
        <v>5599.5</v>
      </c>
      <c r="I18" s="32" t="n">
        <f aca="false">Thesis!$I$8-mw_open</f>
        <v>9332.5</v>
      </c>
      <c r="J18" s="32" t="n">
        <f aca="false">Thesis!$J$8-mw_open</f>
        <v>13065.5</v>
      </c>
      <c r="K18" s="32" t="n">
        <f aca="false">Thesis!$K$8-mw_open</f>
        <v>15705.6216666667</v>
      </c>
      <c r="L18" s="32" t="n">
        <f aca="false">Thesis!$L$8-mw_open</f>
        <v>17252.865</v>
      </c>
      <c r="M18" s="32" t="n">
        <f aca="false">Thesis!$M$8-mw_open</f>
        <v>17707.23</v>
      </c>
    </row>
    <row r="19" customFormat="false" ht="17.15" hidden="false" customHeight="false" outlineLevel="0" collapsed="false">
      <c r="A19" s="0" t="s">
        <v>614</v>
      </c>
      <c r="B19" s="0" t="s">
        <v>615</v>
      </c>
      <c r="F19" s="32" t="n">
        <f aca="false">Thesis!$F$11*Thesis!$F$15</f>
        <v>20319.4861354385</v>
      </c>
      <c r="G19" s="32" t="n">
        <f aca="false">Thesis!$F$19</f>
        <v>20319.4861354385</v>
      </c>
      <c r="H19" s="32" t="n">
        <f aca="false">Thesis!$G$19+Thesis!$H$11*Thesis!$H$15</f>
        <v>62208.1361536244</v>
      </c>
      <c r="I19" s="32" t="n">
        <f aca="false">Thesis!$H$19+Thesis!$I$11*Thesis!$I$15</f>
        <v>105346.463919119</v>
      </c>
      <c r="J19" s="32" t="n">
        <f aca="false">Thesis!$I$19+Thesis!$J$11*Thesis!$J$15</f>
        <v>148484.791684614</v>
      </c>
      <c r="K19" s="32" t="n">
        <f aca="false">Thesis!$J$19+Thesis!$K$11*Thesis!$K$15</f>
        <v>178993.881906272</v>
      </c>
      <c r="L19" s="32" t="n">
        <f aca="false">Thesis!$K$19+Thesis!$L$11*Thesis!$L$15</f>
        <v>196873.734584094</v>
      </c>
      <c r="M19" s="32" t="n">
        <f aca="false">Thesis!$L$19+Thesis!$M$11*Thesis!$M$15</f>
        <v>202124.34971808</v>
      </c>
    </row>
    <row r="20" customFormat="false" ht="17.15" hidden="false" customHeight="false" outlineLevel="0" collapsed="false">
      <c r="A20" s="0" t="s">
        <v>616</v>
      </c>
      <c r="B20" s="0" t="s">
        <v>615</v>
      </c>
      <c r="F20" s="32" t="n">
        <f aca="false">Thesis!$F$11*Thesis!$F$16</f>
        <v>3700.58787873434</v>
      </c>
      <c r="G20" s="32" t="n">
        <f aca="false">Thesis!$F$20</f>
        <v>3700.58787873434</v>
      </c>
      <c r="H20" s="32" t="n">
        <f aca="false">Thesis!$G$20+Thesis!$H$11*Thesis!$H$16</f>
        <v>11205.2244172999</v>
      </c>
      <c r="I20" s="32" t="n">
        <f aca="false">Thesis!$H$20+Thesis!$I$11*Thesis!$I$16</f>
        <v>18813.3217369624</v>
      </c>
      <c r="J20" s="32" t="n">
        <f aca="false">Thesis!$I$20+Thesis!$J$11*Thesis!$J$16</f>
        <v>26421.4190566249</v>
      </c>
      <c r="K20" s="32" t="n">
        <f aca="false">Thesis!$J$20+Thesis!$K$11*Thesis!$K$16</f>
        <v>31802.1590983472</v>
      </c>
      <c r="L20" s="32" t="n">
        <f aca="false">Thesis!$K$20+Thesis!$L$11*Thesis!$L$16</f>
        <v>34955.5418621294</v>
      </c>
      <c r="M20" s="32" t="n">
        <f aca="false">Thesis!$L$20+Thesis!$M$11*Thesis!$M$16</f>
        <v>35881.5673479715</v>
      </c>
    </row>
    <row r="21" customFormat="false" ht="17.15" hidden="false" customHeight="false" outlineLevel="0" collapsed="false">
      <c r="A21" s="5" t="s">
        <v>617</v>
      </c>
      <c r="B21" s="0" t="s">
        <v>173</v>
      </c>
      <c r="F21" s="36" t="n">
        <f aca="false">IF(Thesis!$F$18&gt;0,Thesis!$F$19/Thesis!$F$18,Thesis!$F$15)</f>
        <v>10.8864110021101</v>
      </c>
      <c r="G21" s="36" t="n">
        <f aca="false">IF(Thesis!$G$18&gt;0,Thesis!$G$19/Thesis!$G$18,Thesis!$G$15)</f>
        <v>10.8864110021101</v>
      </c>
      <c r="H21" s="36" t="n">
        <f aca="false">IF(Thesis!$H$18&gt;0,Thesis!$H$19/Thesis!$H$18,Thesis!$H$15)</f>
        <v>11.1095876691891</v>
      </c>
      <c r="I21" s="36" t="n">
        <f aca="false">IF(Thesis!$I$18&gt;0,Thesis!$I$19/Thesis!$I$18,Thesis!$I$15)</f>
        <v>11.2881290028523</v>
      </c>
      <c r="J21" s="36" t="n">
        <f aca="false">IF(Thesis!$J$18&gt;0,Thesis!$J$19/Thesis!$J$18,Thesis!$J$15)</f>
        <v>11.3646467172794</v>
      </c>
      <c r="K21" s="36" t="n">
        <f aca="false">IF(Thesis!$K$18&gt;0,Thesis!$K$19/Thesis!$K$18,Thesis!$K$15)</f>
        <v>11.3968033679409</v>
      </c>
      <c r="L21" s="36" t="n">
        <f aca="false">IF(Thesis!$L$18&gt;0,Thesis!$L$19/Thesis!$L$18,Thesis!$L$15)</f>
        <v>11.4110748901179</v>
      </c>
      <c r="M21" s="36" t="n">
        <f aca="false">IF(Thesis!$M$18&gt;0,Thesis!$M$19/Thesis!$M$18,Thesis!$M$15)</f>
        <v>11.4147921339521</v>
      </c>
    </row>
    <row r="22" customFormat="false" ht="17.15" hidden="false" customHeight="false" outlineLevel="0" collapsed="false">
      <c r="A22" s="5" t="s">
        <v>618</v>
      </c>
      <c r="B22" s="0" t="s">
        <v>173</v>
      </c>
      <c r="F22" s="36" t="n">
        <f aca="false">IF(Thesis!$F$18&gt;0,Thesis!$F$20/Thesis!$F$18,Thesis!$F$16)</f>
        <v>1.98263481314457</v>
      </c>
      <c r="G22" s="36" t="n">
        <f aca="false">IF(Thesis!$G$18&gt;0,Thesis!$G$20/Thesis!$G$18,Thesis!$G$16)</f>
        <v>1.98263481314457</v>
      </c>
      <c r="H22" s="36" t="n">
        <f aca="false">IF(Thesis!$H$18&gt;0,Thesis!$H$20/Thesis!$H$18,Thesis!$H$16)</f>
        <v>2.00111160233948</v>
      </c>
      <c r="I22" s="36" t="n">
        <f aca="false">IF(Thesis!$I$18&gt;0,Thesis!$I$20/Thesis!$I$18,Thesis!$I$16)</f>
        <v>2.01589303369541</v>
      </c>
      <c r="J22" s="36" t="n">
        <f aca="false">IF(Thesis!$J$18&gt;0,Thesis!$J$20/Thesis!$J$18,Thesis!$J$16)</f>
        <v>2.02222793284795</v>
      </c>
      <c r="K22" s="36" t="n">
        <f aca="false">IF(Thesis!$K$18&gt;0,Thesis!$K$20/Thesis!$K$18,Thesis!$K$16)</f>
        <v>2.02489018093716</v>
      </c>
      <c r="L22" s="36" t="n">
        <f aca="false">IF(Thesis!$L$18&gt;0,Thesis!$L$20/Thesis!$L$18,Thesis!$L$16)</f>
        <v>2.02607171980592</v>
      </c>
      <c r="M22" s="36" t="n">
        <f aca="false">IF(Thesis!$M$18&gt;0,Thesis!$M$20/Thesis!$M$18,Thesis!$M$16)</f>
        <v>2.02637947030515</v>
      </c>
    </row>
    <row r="23" customFormat="false" ht="17.15" hidden="false" customHeight="false" outlineLevel="0" collapsed="false">
      <c r="A23" s="15" t="s">
        <v>619</v>
      </c>
      <c r="B23" s="14" t="s">
        <v>173</v>
      </c>
      <c r="C23" s="14"/>
      <c r="D23" s="14"/>
      <c r="E23" s="14"/>
      <c r="F23" s="37" t="n">
        <f aca="false">Thesis!$F$21*k_A</f>
        <v>16.5292102673303</v>
      </c>
      <c r="G23" s="37" t="n">
        <f aca="false">Thesis!$G$21*k_A</f>
        <v>16.5292102673303</v>
      </c>
      <c r="H23" s="37" t="n">
        <f aca="false">Thesis!$H$21*k_A</f>
        <v>16.8680670362136</v>
      </c>
      <c r="I23" s="37" t="n">
        <f aca="false">Thesis!$I$21*k_A</f>
        <v>17.1391524513203</v>
      </c>
      <c r="J23" s="37" t="n">
        <f aca="false">Thesis!$J$21*k_A</f>
        <v>17.2553319149374</v>
      </c>
      <c r="K23" s="37" t="n">
        <f aca="false">Thesis!$K$21*k_A</f>
        <v>17.304156457771</v>
      </c>
      <c r="L23" s="37" t="n">
        <f aca="false">Thesis!$L$21*k_A</f>
        <v>17.3258253981457</v>
      </c>
      <c r="M23" s="37" t="n">
        <f aca="false">Thesis!$M$21*k_A</f>
        <v>17.3314694166324</v>
      </c>
      <c r="N23" s="14"/>
      <c r="O23" s="14"/>
      <c r="P23" s="5" t="s">
        <v>620</v>
      </c>
    </row>
    <row r="24" customFormat="false" ht="17.15" hidden="false" customHeight="false" outlineLevel="0" collapsed="false">
      <c r="A24" s="5" t="s">
        <v>621</v>
      </c>
      <c r="B24" s="0" t="s">
        <v>129</v>
      </c>
      <c r="F24" s="32" t="n">
        <f aca="false">Thesis!$F$18/2</f>
        <v>933.25</v>
      </c>
      <c r="H24" s="32" t="n">
        <f aca="false">(Thesis!$G$18+Thesis!$H$18)/2</f>
        <v>3733</v>
      </c>
      <c r="I24" s="32" t="n">
        <f aca="false">(Thesis!$H$18+Thesis!$I$18)/2</f>
        <v>7466</v>
      </c>
      <c r="J24" s="32" t="n">
        <f aca="false">(Thesis!$I$18+Thesis!$J$18)/2</f>
        <v>11199</v>
      </c>
      <c r="K24" s="32" t="n">
        <f aca="false">(Thesis!$J$18+Thesis!$K$18)/2</f>
        <v>14385.5608333333</v>
      </c>
      <c r="L24" s="32" t="n">
        <f aca="false">(Thesis!$K$18+Thesis!$L$18)/2</f>
        <v>16479.2433333333</v>
      </c>
      <c r="M24" s="32" t="n">
        <f aca="false">(Thesis!$L$18+Thesis!$M$18)/2</f>
        <v>17480.0475</v>
      </c>
    </row>
    <row r="25" customFormat="false" ht="17.15" hidden="false" customHeight="false" outlineLevel="0" collapsed="false">
      <c r="A25" s="1" t="s">
        <v>622</v>
      </c>
    </row>
    <row r="26" customFormat="false" ht="17.15" hidden="false" customHeight="false" outlineLevel="0" collapsed="false">
      <c r="A26" s="1" t="s">
        <v>623</v>
      </c>
      <c r="B26" s="8" t="s">
        <v>86</v>
      </c>
      <c r="C26" s="38" t="n">
        <f aca="false">Thesis!$C$9*rpm_open*Thesis!$C$10/1000</f>
        <v>2.32100535697364</v>
      </c>
      <c r="D26" s="38" t="n">
        <f aca="false">Thesis!$D$9*rpm_open*Thesis!$D$10/1000</f>
        <v>8.70377008865116</v>
      </c>
      <c r="E26" s="38" t="n">
        <f aca="false">Thesis!$E$9*rpm_open*Thesis!$E$10/1000</f>
        <v>8.51035297557002</v>
      </c>
      <c r="F26" s="38" t="n">
        <f aca="false">(mw_open*rpm_open+Thesis!$F$24*Thesis!$F$23)*Thesis!$F$10/1000</f>
        <v>17.7706326212121</v>
      </c>
      <c r="G26" s="38" t="n">
        <f aca="false">Thesis!$E$26+Thesis!$F$26</f>
        <v>26.2809855967821</v>
      </c>
      <c r="H26" s="38" t="n">
        <f aca="false">(mw_open*rpm_open+Thesis!$H$24*Thesis!$H$23)/1000</f>
        <v>83.0838740066237</v>
      </c>
      <c r="I26" s="38" t="n">
        <f aca="false">(mw_open*rpm_open+Thesis!$I$24*Thesis!$I$23)/1000</f>
        <v>148.076291961995</v>
      </c>
      <c r="J26" s="38" t="n">
        <f aca="false">(mw_open*rpm_open+Thesis!$J$24*Thesis!$J$23)/1000</f>
        <v>213.357841875822</v>
      </c>
      <c r="K26" s="38" t="n">
        <f aca="false">(mw_open*rpm_open+Thesis!$K$24*Thesis!$K$23)/1000</f>
        <v>269.045375153221</v>
      </c>
      <c r="L26" s="38" t="n">
        <f aca="false">(mw_open*rpm_open+Thesis!$L$24*Thesis!$L$23)/1000</f>
        <v>305.631872447328</v>
      </c>
      <c r="M26" s="38" t="n">
        <f aca="false">(mw_open*rpm_open+Thesis!$M$24*Thesis!$M$23)/1000</f>
        <v>323.07028840797</v>
      </c>
      <c r="N26" s="38" t="n">
        <f aca="false">Thesis!$N$9*rpm_open*Thesis!$N$10/1000</f>
        <v>3.04631953102791</v>
      </c>
      <c r="O26" s="38" t="n">
        <f aca="false">Thesis!$O$9*rpm_open*Thesis!$O$10/1000</f>
        <v>5.65745055762326</v>
      </c>
      <c r="P26" s="5" t="s">
        <v>624</v>
      </c>
    </row>
    <row r="27" customFormat="false" ht="17.15" hidden="false" customHeight="false" outlineLevel="0" collapsed="false">
      <c r="A27" s="5" t="s">
        <v>625</v>
      </c>
      <c r="B27" s="0" t="s">
        <v>173</v>
      </c>
      <c r="C27" s="36" t="n">
        <f aca="false">Thesis!$C$26*1000/(Thesis!$C$9*Thesis!$C$10)</f>
        <v>9.67085565405685</v>
      </c>
      <c r="D27" s="36" t="n">
        <f aca="false">Thesis!$D$26*1000/(Thesis!$D$9*Thesis!$D$10)</f>
        <v>9.67085565405685</v>
      </c>
      <c r="E27" s="36" t="n">
        <f aca="false">Thesis!$E$26*1000/(Thesis!$E$9*Thesis!$E$10)</f>
        <v>9.67085565405685</v>
      </c>
      <c r="F27" s="36" t="n">
        <f aca="false">Thesis!$F$26*1000/(Thesis!$F$9*Thesis!$F$10)</f>
        <v>11.7949938579355</v>
      </c>
      <c r="G27" s="36" t="n">
        <f aca="false">Thesis!$G$26*1000/(Thesis!$G$9*Thesis!$G$10)</f>
        <v>11.0117783886376</v>
      </c>
      <c r="H27" s="36" t="n">
        <f aca="false">Thesis!$H$26*1000/(Thesis!$H$9*Thesis!$H$10)</f>
        <v>14.2927703434756</v>
      </c>
      <c r="I27" s="36" t="n">
        <f aca="false">Thesis!$I$26*1000/(Thesis!$I$9*Thesis!$I$10)</f>
        <v>15.5118680035612</v>
      </c>
      <c r="J27" s="36" t="n">
        <f aca="false">Thesis!$J$26*1000/(Thesis!$J$9*Thesis!$J$10)</f>
        <v>16.0673124388751</v>
      </c>
      <c r="K27" s="36" t="n">
        <f aca="false">Thesis!$K$26*1000/(Thesis!$K$9*Thesis!$K$10)</f>
        <v>16.3398852839898</v>
      </c>
      <c r="L27" s="36" t="n">
        <f aca="false">Thesis!$L$26*1000/(Thesis!$L$9*Thesis!$L$10)</f>
        <v>16.4679058816152</v>
      </c>
      <c r="M27" s="36" t="n">
        <f aca="false">Thesis!$M$26*1000/(Thesis!$M$9*Thesis!$M$10)</f>
        <v>16.5168458005007</v>
      </c>
      <c r="N27" s="36" t="n">
        <f aca="false">Thesis!$N$26*1000/(Thesis!$N$9*Thesis!$N$10)</f>
        <v>9.67085565405685</v>
      </c>
      <c r="O27" s="36" t="n">
        <f aca="false">Thesis!$O$26*1000/(Thesis!$O$9*Thesis!$O$10)</f>
        <v>9.67085565405685</v>
      </c>
    </row>
    <row r="28" customFormat="false" ht="17.15" hidden="false" customHeight="false" outlineLevel="0" collapsed="false">
      <c r="A28" s="0" t="s">
        <v>626</v>
      </c>
      <c r="B28" s="0" t="s">
        <v>86</v>
      </c>
      <c r="C28" s="38" t="n">
        <f aca="false">Thesis!$C$9/ext_sh*(ox_open+rent_mw)*Thesis!$C$10/1000</f>
        <v>0.642569210675032</v>
      </c>
      <c r="D28" s="38" t="n">
        <f aca="false">Thesis!$D$9/ext_sh*(ox_open+rent_mw)*Thesis!$D$10/1000</f>
        <v>2.40963454003137</v>
      </c>
      <c r="E28" s="38" t="n">
        <f aca="false">Thesis!$E$9/ext_sh*(ox_open+rent_mw)*Thesis!$E$10/1000</f>
        <v>2.35608710580845</v>
      </c>
      <c r="F28" s="38" t="n">
        <f aca="false">((mw_open*ox_open+Thesis!$F$24*Thesis!$F$22)/ext_sh+Thesis!$F$9/ext_sh*rent_mw)*Thesis!$F$10/1000</f>
        <v>4.08870376044629</v>
      </c>
      <c r="G28" s="38" t="n">
        <f aca="false">Thesis!$E$28+Thesis!$F$28</f>
        <v>6.44479086625474</v>
      </c>
      <c r="H28" s="38" t="n">
        <f aca="false">((mw_open*ox_open+Thesis!$H$24*Thesis!$H$22)/ext_sh+Thesis!$H$9/ext_sh*rent_mw)*Thesis!$H$10/1000</f>
        <v>16.0890479236002</v>
      </c>
      <c r="I28" s="38" t="n">
        <f aca="false">((mw_open*ox_open+Thesis!$I$24*Thesis!$I$22)/ext_sh+Thesis!$I$9/ext_sh*rent_mw)*Thesis!$I$10/1000</f>
        <v>26.747110396146</v>
      </c>
      <c r="J28" s="38" t="n">
        <f aca="false">((mw_open*ox_open+Thesis!$J$24*Thesis!$J$22)/ext_sh+Thesis!$J$9/ext_sh*rent_mw)*Thesis!$J$10/1000</f>
        <v>37.4248796841388</v>
      </c>
      <c r="K28" s="38" t="n">
        <f aca="false">((mw_open*ox_open+Thesis!$K$24*Thesis!$K$22)/ext_sh+Thesis!$K$9/ext_sh*rent_mw)*Thesis!$K$10/1000</f>
        <v>46.5370356515055</v>
      </c>
      <c r="L28" s="38" t="n">
        <f aca="false">((mw_open*ox_open+Thesis!$L$24*Thesis!$L$22)/ext_sh+Thesis!$L$9/ext_sh*rent_mw)*Thesis!$L$10/1000</f>
        <v>52.5238945868506</v>
      </c>
      <c r="M28" s="38" t="n">
        <f aca="false">((mw_open*ox_open+Thesis!$M$24*Thesis!$M$22)/ext_sh+Thesis!$M$9/ext_sh*rent_mw)*Thesis!$M$10/1000</f>
        <v>55.3822499472572</v>
      </c>
      <c r="N28" s="38" t="n">
        <f aca="false">Thesis!$N$9/ext_sh*(ox_open+rent_mw)*Thesis!$N$10/1000</f>
        <v>0.84337208901098</v>
      </c>
      <c r="O28" s="38" t="n">
        <f aca="false">Thesis!$O$9/ext_sh*(ox_open+rent_mw)*Thesis!$O$10/1000</f>
        <v>1.56626245102039</v>
      </c>
    </row>
    <row r="29" customFormat="false" ht="17.15" hidden="false" customHeight="false" outlineLevel="0" collapsed="false">
      <c r="A29" s="0" t="s">
        <v>627</v>
      </c>
      <c r="B29" s="0" t="s">
        <v>86</v>
      </c>
      <c r="C29" s="38" t="n">
        <f aca="false">Q!$D$7</f>
        <v>107.556</v>
      </c>
      <c r="D29" s="38" t="n">
        <f aca="false">Q!$E$7</f>
        <v>128.725</v>
      </c>
      <c r="E29" s="38" t="n">
        <f aca="false">Q!$P$7</f>
        <v>79.819</v>
      </c>
      <c r="N29" s="38" t="n">
        <f aca="false">Q!$N$7</f>
        <v>60.14</v>
      </c>
      <c r="O29" s="38" t="n">
        <f aca="false">Q!$O$7</f>
        <v>68.585</v>
      </c>
    </row>
    <row r="30" customFormat="false" ht="17.15" hidden="false" customHeight="false" outlineLevel="0" collapsed="false">
      <c r="A30" s="1" t="s">
        <v>628</v>
      </c>
      <c r="B30" s="8" t="s">
        <v>86</v>
      </c>
      <c r="C30" s="38" t="n">
        <f aca="false">Thesis!$C$29-Thesis!$C$26</f>
        <v>105.234994643026</v>
      </c>
      <c r="D30" s="38" t="n">
        <f aca="false">Thesis!$D$29-Thesis!$D$26</f>
        <v>120.021229911349</v>
      </c>
      <c r="E30" s="38" t="n">
        <f aca="false">Thesis!$E$29-Thesis!$E$26</f>
        <v>71.30864702443</v>
      </c>
      <c r="F30" s="38" t="n">
        <f aca="false">Thesis!$O$30*(1+Thesis!$F$31)</f>
        <v>71.7692997942464</v>
      </c>
      <c r="G30" s="38" t="n">
        <f aca="false">Thesis!$E$30+Thesis!$F$30</f>
        <v>143.077946818676</v>
      </c>
      <c r="H30" s="38" t="n">
        <f aca="false">Thesis!$G$30*(1+Thesis!$H$31)</f>
        <v>161.017077079203</v>
      </c>
      <c r="I30" s="38" t="n">
        <f aca="false">Thesis!$H$30*(1+Thesis!$I$31)</f>
        <v>178.769759521457</v>
      </c>
      <c r="J30" s="38" t="n">
        <f aca="false">Thesis!$I$30*(1+Thesis!$J$31)</f>
        <v>195.775538045907</v>
      </c>
      <c r="K30" s="38" t="n">
        <f aca="false">Thesis!$J$30*(1+Thesis!$K$31)</f>
        <v>211.43758108958</v>
      </c>
      <c r="L30" s="38" t="n">
        <f aca="false">Thesis!$K$30*(1+Thesis!$L$31)</f>
        <v>228.352587576746</v>
      </c>
      <c r="M30" s="38" t="n">
        <f aca="false">Thesis!$L$30*(1+Thesis!$M$31)</f>
        <v>246.620794582886</v>
      </c>
      <c r="N30" s="38" t="n">
        <f aca="false">Thesis!$N$29-Thesis!$N$26</f>
        <v>57.0936804689721</v>
      </c>
      <c r="O30" s="38" t="n">
        <f aca="false">Thesis!$O$29-Thesis!$O$26</f>
        <v>62.9275494423768</v>
      </c>
      <c r="P30" s="5" t="s">
        <v>629</v>
      </c>
    </row>
    <row r="31" customFormat="false" ht="17.15" hidden="false" customHeight="false" outlineLevel="0" collapsed="false">
      <c r="A31" s="0" t="s">
        <v>630</v>
      </c>
      <c r="B31" s="0" t="s">
        <v>52</v>
      </c>
      <c r="D31" s="13" t="n">
        <f aca="false">Thesis!$D$30/Thesis!$C$30-1</f>
        <v>0.140506827776062</v>
      </c>
      <c r="E31" s="13" t="n">
        <f aca="false">Thesis!$E$30/Thesis!$N$30-1</f>
        <v>0.248976181579029</v>
      </c>
      <c r="F31" s="13" t="n">
        <f aca="false">Thesis!$D$31</f>
        <v>0.140506827776062</v>
      </c>
      <c r="G31" s="13" t="n">
        <f aca="false">Thesis!$G$30/Thesis!$D$30-1</f>
        <v>0.19210532106993</v>
      </c>
      <c r="H31" s="13" t="n">
        <f aca="false">Thesis!$F$31+(g_awso_lt-Thesis!$F$31)*1/4</f>
        <v>0.125380120832046</v>
      </c>
      <c r="I31" s="13" t="n">
        <f aca="false">Thesis!$F$31+(g_awso_lt-Thesis!$F$31)*2/4</f>
        <v>0.110253413888031</v>
      </c>
      <c r="J31" s="13" t="n">
        <f aca="false">Thesis!$F$31+(g_awso_lt-Thesis!$F$31)*3/4</f>
        <v>0.0951267069440154</v>
      </c>
      <c r="K31" s="13" t="n">
        <f aca="false">Thesis!$F$31+(g_awso_lt-Thesis!$F$31)*4/4</f>
        <v>0.08</v>
      </c>
      <c r="L31" s="13" t="n">
        <f aca="false">g_awso_lt</f>
        <v>0.08</v>
      </c>
      <c r="M31" s="13" t="n">
        <f aca="false">g_awso_lt</f>
        <v>0.08</v>
      </c>
      <c r="P31" s="5" t="s">
        <v>631</v>
      </c>
    </row>
    <row r="32" customFormat="false" ht="17.15" hidden="false" customHeight="false" outlineLevel="0" collapsed="false">
      <c r="A32" s="1" t="s">
        <v>632</v>
      </c>
    </row>
    <row r="33" customFormat="false" ht="17.15" hidden="false" customHeight="false" outlineLevel="0" collapsed="false">
      <c r="A33" s="0" t="s">
        <v>633</v>
      </c>
      <c r="B33" s="0" t="s">
        <v>86</v>
      </c>
      <c r="F33" s="38" t="n">
        <f aca="false">cx_rt*Seg!$F$20+cx_awso*Thesis!$F$30</f>
        <v>34.9734495387866</v>
      </c>
    </row>
    <row r="34" customFormat="false" ht="17.15" hidden="false" customHeight="false" outlineLevel="0" collapsed="false">
      <c r="A34" s="0" t="s">
        <v>634</v>
      </c>
      <c r="B34" s="0" t="s">
        <v>52</v>
      </c>
      <c r="C34" s="13" t="n">
        <f aca="false">tk_cx_h100/(tk_cx_h100+tk_fac*(1-colo_sh))</f>
        <v>0.730756458006641</v>
      </c>
      <c r="D34" s="13" t="n">
        <f aca="false">tk_cx_h100/(tk_cx_h100+tk_fac*(1-colo_sh))</f>
        <v>0.730756458006641</v>
      </c>
      <c r="E34" s="13" t="n">
        <f aca="false">Thesis!$F$34</f>
        <v>0.760792334328868</v>
      </c>
      <c r="F34" s="13" t="n">
        <f aca="false">Thesis!$F$17/(Thesis!$F$17+tk_fac*(1-colo_sh))</f>
        <v>0.760792334328868</v>
      </c>
      <c r="G34" s="13" t="n">
        <f aca="false">Thesis!$G$17/(Thesis!$G$17+tk_fac*(1-colo_sh))</f>
        <v>0.760792334328868</v>
      </c>
      <c r="H34" s="13" t="n">
        <f aca="false">Thesis!$H$17/(Thesis!$H$17+tk_fac*(1-colo_sh))</f>
        <v>0.768110668862996</v>
      </c>
      <c r="I34" s="13" t="n">
        <f aca="false">Thesis!$I$17/(Thesis!$I$17+tk_fac*(1-colo_sh))</f>
        <v>0.77499450139483</v>
      </c>
      <c r="J34" s="13" t="n">
        <f aca="false">Thesis!$J$17/(Thesis!$J$17+tk_fac*(1-colo_sh))</f>
        <v>0.77499450139483</v>
      </c>
      <c r="K34" s="13" t="n">
        <f aca="false">Thesis!$K$17/(Thesis!$K$17+tk_fac*(1-colo_sh))</f>
        <v>0.77499450139483</v>
      </c>
      <c r="L34" s="13" t="n">
        <f aca="false">Thesis!$L$17/(Thesis!$L$17+tk_fac*(1-colo_sh))</f>
        <v>0.77499450139483</v>
      </c>
      <c r="M34" s="13" t="n">
        <f aca="false">Thesis!$M$17/(Thesis!$M$17+tk_fac*(1-colo_sh))</f>
        <v>0.77499450139483</v>
      </c>
    </row>
    <row r="35" customFormat="false" ht="17.15" hidden="false" customHeight="false" outlineLevel="0" collapsed="false">
      <c r="A35" s="1" t="s">
        <v>635</v>
      </c>
      <c r="B35" s="8" t="s">
        <v>86</v>
      </c>
      <c r="C35" s="38" t="n">
        <f aca="false">Q!$D$46-cx_rt*Q!$D$16-cx_awso*Thesis!$C$30</f>
        <v>25.2781053077374</v>
      </c>
      <c r="D35" s="38" t="n">
        <f aca="false">Q!$E$46-cx_rt*Q!$E$16-cx_awso*Thesis!$D$30</f>
        <v>69.5686316310026</v>
      </c>
      <c r="E35" s="38" t="n">
        <f aca="false">Q!$P$46-cx_rt*Q!$P$16-cx_awso*Thesis!$E$30</f>
        <v>64.1899206485108</v>
      </c>
      <c r="F35" s="38" t="n">
        <f aca="false">capex_g26-Q!$P$46-Thesis!$F$33</f>
        <v>88.7165504612134</v>
      </c>
      <c r="G35" s="38" t="n">
        <f aca="false">Thesis!$E$35+Thesis!$F$35</f>
        <v>152.906471109724</v>
      </c>
      <c r="H35" s="38" t="n">
        <f aca="false">Thesis!$H$12*(Thesis!$H$17+tk_fac*(1-colo_sh))/1000+Thesis!$H$36</f>
        <v>203.9641486225</v>
      </c>
      <c r="I35" s="38" t="n">
        <f aca="false">Thesis!$I$12*(Thesis!$I$17+tk_fac*(1-colo_sh))/1000+Thesis!$I$36</f>
        <v>210.204240755</v>
      </c>
      <c r="J35" s="38" t="n">
        <f aca="false">Thesis!$J$12*(Thesis!$J$17+tk_fac*(1-colo_sh))/1000+Thesis!$J$36</f>
        <v>215.441008955</v>
      </c>
      <c r="K35" s="38" t="n">
        <f aca="false">Thesis!$K$12*(Thesis!$K$17+tk_fac*(1-colo_sh))/1000+Thesis!$K$36</f>
        <v>159.138087817758</v>
      </c>
      <c r="L35" s="38" t="n">
        <f aca="false">Thesis!$L$12*(Thesis!$L$17+tk_fac*(1-colo_sh))/1000+Thesis!$L$36</f>
        <v>134.255775880517</v>
      </c>
      <c r="M35" s="38" t="n">
        <f aca="false">Thesis!$M$12*(Thesis!$M$17+tk_fac*(1-colo_sh))/1000+Thesis!$M$36</f>
        <v>134.968168520775</v>
      </c>
      <c r="P35" s="5" t="s">
        <v>636</v>
      </c>
      <c r="R35" s="38" t="n">
        <f aca="false">Q!$C$46-cx_rt*Q!$C$16-cx_awso*(Q!$C$7-mw_ye23/2*rpm_open/1000)</f>
        <v>1.50429979529945</v>
      </c>
      <c r="S35" s="38" t="n">
        <f aca="false">Thesis!$C$35</f>
        <v>25.2781053077374</v>
      </c>
      <c r="T35" s="38" t="n">
        <f aca="false">Thesis!$D$35</f>
        <v>69.5686316310026</v>
      </c>
      <c r="U35" s="38" t="n">
        <f aca="false">Thesis!$G$35</f>
        <v>152.906471109724</v>
      </c>
      <c r="V35" s="38" t="n">
        <f aca="false">Thesis!$H$35</f>
        <v>203.9641486225</v>
      </c>
      <c r="W35" s="38" t="n">
        <f aca="false">Thesis!$I$35</f>
        <v>210.204240755</v>
      </c>
      <c r="X35" s="38" t="n">
        <f aca="false">Thesis!$J$35</f>
        <v>215.441008955</v>
      </c>
      <c r="Y35" s="38" t="n">
        <f aca="false">Thesis!$K$35</f>
        <v>159.138087817758</v>
      </c>
      <c r="Z35" s="38" t="n">
        <f aca="false">Thesis!$L$35</f>
        <v>134.255775880517</v>
      </c>
      <c r="AA35" s="38" t="n">
        <f aca="false">Thesis!$M$35</f>
        <v>134.968168520775</v>
      </c>
    </row>
    <row r="36" customFormat="false" ht="17.15" hidden="false" customHeight="false" outlineLevel="0" collapsed="false">
      <c r="A36" s="0" t="s">
        <v>637</v>
      </c>
      <c r="B36" s="0" t="s">
        <v>86</v>
      </c>
      <c r="H36" s="38" t="n">
        <f aca="false">SUMPRODUCT(--(Thesis!$R$5:$AA$5=2027-tk_life),Thesis!$R$12:$AA$12)*Thesis!$H$17/1000</f>
        <v>0</v>
      </c>
      <c r="I36" s="38" t="n">
        <f aca="false">SUMPRODUCT(--(Thesis!$R$5:$AA$5=2028-tk_life),Thesis!$R$12:$AA$12)*Thesis!$I$17/1000</f>
        <v>0</v>
      </c>
      <c r="J36" s="38" t="n">
        <f aca="false">SUMPRODUCT(--(Thesis!$R$5:$AA$5=2029-tk_life),Thesis!$R$12:$AA$12)*Thesis!$J$17/1000</f>
        <v>5.2367682</v>
      </c>
      <c r="K36" s="38" t="n">
        <f aca="false">SUMPRODUCT(--(Thesis!$R$5:$AA$5=2030-tk_life),Thesis!$R$12:$AA$12)*Thesis!$K$17/1000</f>
        <v>10.4735364</v>
      </c>
      <c r="L36" s="38" t="n">
        <f aca="false">SUMPRODUCT(--(Thesis!$R$5:$AA$5=2031-tk_life),Thesis!$R$12:$AA$12)*Thesis!$L$17/1000</f>
        <v>47.1309138</v>
      </c>
      <c r="M36" s="38" t="n">
        <f aca="false">SUMPRODUCT(--(Thesis!$R$5:$AA$5=2032-tk_life),Thesis!$R$12:$AA$12)*Thesis!$M$17/1000</f>
        <v>109.3829957775</v>
      </c>
    </row>
    <row r="37" customFormat="false" ht="17.15" hidden="false" customHeight="false" outlineLevel="0" collapsed="false">
      <c r="A37" s="0" t="s">
        <v>638</v>
      </c>
      <c r="B37" s="0" t="s">
        <v>86</v>
      </c>
      <c r="C37" s="38" t="n">
        <f aca="false">MIN(Thesis!$C$35,Thesis!$C$12*(tk_cx_h100+tk_fac*(1-colo_sh))/1000)</f>
        <v>11.2938642</v>
      </c>
      <c r="D37" s="38" t="n">
        <f aca="false">MIN(Thesis!$D$35,Thesis!$D$12*(tk_cx_h100+tk_fac*(1-colo_sh))/1000)</f>
        <v>50.8223889</v>
      </c>
      <c r="E37" s="38" t="n">
        <f aca="false">MIN(Thesis!$E$35,Thesis!$E$12*(Thesis!$F$17+tk_fac*(1-colo_sh))/1000)</f>
        <v>33.8985792</v>
      </c>
      <c r="F37" s="38" t="n">
        <f aca="false">Thesis!$F$35</f>
        <v>88.7165504612134</v>
      </c>
      <c r="G37" s="38" t="n">
        <f aca="false">Thesis!$E$37+Thesis!$F$37</f>
        <v>122.615129661213</v>
      </c>
      <c r="H37" s="38" t="n">
        <f aca="false">Thesis!$H$35</f>
        <v>203.9641486225</v>
      </c>
      <c r="I37" s="38" t="n">
        <f aca="false">Thesis!$I$35</f>
        <v>210.204240755</v>
      </c>
      <c r="J37" s="38" t="n">
        <f aca="false">Thesis!$J$35</f>
        <v>215.441008955</v>
      </c>
      <c r="K37" s="38" t="n">
        <f aca="false">Thesis!$K$35</f>
        <v>159.138087817758</v>
      </c>
      <c r="L37" s="38" t="n">
        <f aca="false">Thesis!$L$35</f>
        <v>134.255775880517</v>
      </c>
      <c r="M37" s="38" t="n">
        <f aca="false">Thesis!$M$35</f>
        <v>134.968168520775</v>
      </c>
      <c r="P37" s="5" t="s">
        <v>639</v>
      </c>
      <c r="R37" s="38" t="n">
        <f aca="false">MIN(Thesis!$R$35,Thesis!$R$12*(tk_cx_h100+tk_fac*(1-colo_sh))/1000)</f>
        <v>1.50429979529945</v>
      </c>
      <c r="S37" s="38" t="n">
        <f aca="false">Thesis!$C$37</f>
        <v>11.2938642</v>
      </c>
      <c r="T37" s="38" t="n">
        <f aca="false">Thesis!$D$37</f>
        <v>50.8223889</v>
      </c>
      <c r="U37" s="38" t="n">
        <f aca="false">Thesis!$G$37</f>
        <v>122.615129661213</v>
      </c>
      <c r="V37" s="38" t="n">
        <f aca="false">Thesis!$H$37</f>
        <v>203.9641486225</v>
      </c>
      <c r="W37" s="38" t="n">
        <f aca="false">Thesis!$I$37</f>
        <v>210.204240755</v>
      </c>
      <c r="X37" s="38" t="n">
        <f aca="false">Thesis!$J$37</f>
        <v>215.441008955</v>
      </c>
      <c r="Y37" s="38" t="n">
        <f aca="false">Thesis!$K$37</f>
        <v>159.138087817758</v>
      </c>
      <c r="Z37" s="38" t="n">
        <f aca="false">Thesis!$L$37</f>
        <v>134.255775880517</v>
      </c>
      <c r="AA37" s="38" t="n">
        <f aca="false">Thesis!$M$37</f>
        <v>134.968168520775</v>
      </c>
    </row>
    <row r="38" customFormat="false" ht="17.15" hidden="false" customHeight="false" outlineLevel="0" collapsed="false">
      <c r="A38" s="5" t="s">
        <v>640</v>
      </c>
      <c r="B38" s="0" t="s">
        <v>86</v>
      </c>
      <c r="C38" s="38" t="n">
        <f aca="false">Thesis!$C$35-Thesis!$C$37</f>
        <v>13.9842411077374</v>
      </c>
      <c r="D38" s="38" t="n">
        <f aca="false">Thesis!$D$35-Thesis!$D$37</f>
        <v>18.7462427310026</v>
      </c>
      <c r="E38" s="38" t="n">
        <f aca="false">Thesis!$E$35-Thesis!$E$37</f>
        <v>30.2913414485108</v>
      </c>
      <c r="F38" s="38" t="n">
        <f aca="false">Thesis!$F$35-Thesis!$F$37</f>
        <v>0</v>
      </c>
      <c r="G38" s="38" t="n">
        <f aca="false">Thesis!$G$35-Thesis!$G$37</f>
        <v>30.2913414485108</v>
      </c>
      <c r="H38" s="38" t="n">
        <f aca="false">Thesis!$H$35-Thesis!$H$37</f>
        <v>0</v>
      </c>
      <c r="I38" s="38" t="n">
        <f aca="false">Thesis!$I$35-Thesis!$I$37</f>
        <v>0</v>
      </c>
      <c r="J38" s="38" t="n">
        <f aca="false">Thesis!$J$35-Thesis!$J$37</f>
        <v>0</v>
      </c>
      <c r="K38" s="38" t="n">
        <f aca="false">Thesis!$K$35-Thesis!$K$37</f>
        <v>0</v>
      </c>
      <c r="L38" s="38" t="n">
        <f aca="false">Thesis!$L$35-Thesis!$L$37</f>
        <v>0</v>
      </c>
      <c r="M38" s="38" t="n">
        <f aca="false">Thesis!$M$35-Thesis!$M$37</f>
        <v>0</v>
      </c>
      <c r="P38" s="5" t="s">
        <v>641</v>
      </c>
      <c r="R38" s="38" t="n">
        <f aca="false">Thesis!$R$35-Thesis!$R$37</f>
        <v>0</v>
      </c>
      <c r="S38" s="38" t="n">
        <f aca="false">Thesis!$S$35-Thesis!$S$37</f>
        <v>13.9842411077374</v>
      </c>
      <c r="T38" s="38" t="n">
        <f aca="false">Thesis!$T$35-Thesis!$T$37</f>
        <v>18.7462427310026</v>
      </c>
      <c r="U38" s="38" t="n">
        <f aca="false">Thesis!$U$35-Thesis!$U$37</f>
        <v>30.2913414485108</v>
      </c>
      <c r="V38" s="38" t="n">
        <f aca="false">Thesis!$V$35-Thesis!$V$37</f>
        <v>0</v>
      </c>
      <c r="W38" s="38" t="n">
        <f aca="false">Thesis!$W$35-Thesis!$W$37</f>
        <v>0</v>
      </c>
      <c r="X38" s="38" t="n">
        <f aca="false">Thesis!$X$35-Thesis!$X$37</f>
        <v>0</v>
      </c>
      <c r="Y38" s="38" t="n">
        <f aca="false">Thesis!$Y$35-Thesis!$Y$37</f>
        <v>0</v>
      </c>
      <c r="Z38" s="38" t="n">
        <f aca="false">Thesis!$Z$35-Thesis!$Z$37</f>
        <v>0</v>
      </c>
      <c r="AA38" s="38" t="n">
        <f aca="false">Thesis!$AA$35-Thesis!$AA$37</f>
        <v>0</v>
      </c>
    </row>
    <row r="39" customFormat="false" ht="17.15" hidden="false" customHeight="false" outlineLevel="0" collapsed="false">
      <c r="A39" s="5" t="s">
        <v>642</v>
      </c>
      <c r="B39" s="0" t="s">
        <v>86</v>
      </c>
      <c r="R39" s="38" t="n">
        <f aca="false">Thesis!$R$38*Thesis!$C$34</f>
        <v>0</v>
      </c>
      <c r="S39" s="38" t="n">
        <f aca="false">Thesis!$S$38*Thesis!$C$34</f>
        <v>10.219074499801</v>
      </c>
      <c r="T39" s="38" t="n">
        <f aca="false">Thesis!$T$38*Thesis!$C$34</f>
        <v>13.6989379390402</v>
      </c>
      <c r="U39" s="38" t="n">
        <f aca="false">Thesis!$U$38*Thesis!$E$34</f>
        <v>23.0454203705653</v>
      </c>
      <c r="V39" s="38" t="n">
        <f aca="false">Thesis!$V$38*Thesis!$E$34</f>
        <v>0</v>
      </c>
      <c r="W39" s="38" t="n">
        <f aca="false">Thesis!$W$38*Thesis!$E$34</f>
        <v>0</v>
      </c>
      <c r="X39" s="38" t="n">
        <f aca="false">Thesis!$X$38*Thesis!$E$34</f>
        <v>0</v>
      </c>
      <c r="Y39" s="38" t="n">
        <f aca="false">Thesis!$Y$38*Thesis!$E$34</f>
        <v>0</v>
      </c>
      <c r="Z39" s="38" t="n">
        <f aca="false">Thesis!$Z$38*Thesis!$E$34</f>
        <v>0</v>
      </c>
      <c r="AA39" s="38" t="n">
        <f aca="false">Thesis!$AA$38*Thesis!$E$34</f>
        <v>0</v>
      </c>
    </row>
    <row r="40" customFormat="false" ht="17.15" hidden="false" customHeight="false" outlineLevel="0" collapsed="false">
      <c r="A40" s="5" t="s">
        <v>643</v>
      </c>
      <c r="B40" s="0" t="s">
        <v>86</v>
      </c>
      <c r="R40" s="38" t="n">
        <f aca="false">SUMPRODUCT(--(Thesis!$R$5:$AA$5=2023-cip_lag),Thesis!$R$39:$AA$39)</f>
        <v>0</v>
      </c>
      <c r="S40" s="38" t="n">
        <f aca="false">SUMPRODUCT(--(Thesis!$R$5:$AA$5=2024-cip_lag),Thesis!$R$39:$AA$39)</f>
        <v>0</v>
      </c>
      <c r="T40" s="38" t="n">
        <f aca="false">SUMPRODUCT(--(Thesis!$R$5:$AA$5=2025-cip_lag),Thesis!$R$39:$AA$39)</f>
        <v>10.219074499801</v>
      </c>
      <c r="U40" s="38" t="n">
        <f aca="false">SUMPRODUCT(--(Thesis!$R$5:$AA$5=2026-cip_lag),Thesis!$R$39:$AA$39)</f>
        <v>13.6989379390402</v>
      </c>
      <c r="V40" s="38" t="n">
        <f aca="false">SUMPRODUCT(--(Thesis!$R$5:$AA$5=2027-cip_lag),Thesis!$R$39:$AA$39)</f>
        <v>23.0454203705653</v>
      </c>
      <c r="W40" s="38" t="n">
        <f aca="false">SUMPRODUCT(--(Thesis!$R$5:$AA$5=2028-cip_lag),Thesis!$R$39:$AA$39)</f>
        <v>0</v>
      </c>
      <c r="X40" s="38" t="n">
        <f aca="false">SUMPRODUCT(--(Thesis!$R$5:$AA$5=2029-cip_lag),Thesis!$R$39:$AA$39)</f>
        <v>0</v>
      </c>
      <c r="Y40" s="38" t="n">
        <f aca="false">SUMPRODUCT(--(Thesis!$R$5:$AA$5=2030-cip_lag),Thesis!$R$39:$AA$39)</f>
        <v>0</v>
      </c>
      <c r="Z40" s="38" t="n">
        <f aca="false">SUMPRODUCT(--(Thesis!$R$5:$AA$5=2031-cip_lag),Thesis!$R$39:$AA$39)</f>
        <v>0</v>
      </c>
      <c r="AA40" s="38" t="n">
        <f aca="false">SUMPRODUCT(--(Thesis!$R$5:$AA$5=2032-cip_lag),Thesis!$R$39:$AA$39)</f>
        <v>0</v>
      </c>
    </row>
    <row r="41" customFormat="false" ht="15" hidden="false" customHeight="false" outlineLevel="0" collapsed="false">
      <c r="A41" s="5" t="s">
        <v>644</v>
      </c>
      <c r="B41" s="0" t="s">
        <v>86</v>
      </c>
      <c r="R41" s="38" t="n">
        <f aca="false">SUMPRODUCT(--(Thesis!$R$5:$AA$5=2023-cip_lag),Thesis!$R$38:$AA$38)-Thesis!$R$40</f>
        <v>0</v>
      </c>
      <c r="S41" s="38" t="n">
        <f aca="false">SUMPRODUCT(--(Thesis!$R$5:$AA$5=2024-cip_lag),Thesis!$R$38:$AA$38)-Thesis!$S$40</f>
        <v>0</v>
      </c>
      <c r="T41" s="38" t="n">
        <f aca="false">SUMPRODUCT(--(Thesis!$R$5:$AA$5=2025-cip_lag),Thesis!$R$38:$AA$38)-Thesis!$T$40</f>
        <v>3.76516660793636</v>
      </c>
      <c r="U41" s="38" t="n">
        <f aca="false">SUMPRODUCT(--(Thesis!$R$5:$AA$5=2026-cip_lag),Thesis!$R$38:$AA$38)-Thesis!$U$40</f>
        <v>5.04730479196242</v>
      </c>
      <c r="V41" s="38" t="n">
        <f aca="false">SUMPRODUCT(--(Thesis!$R$5:$AA$5=2027-cip_lag),Thesis!$R$38:$AA$38)-Thesis!$V$40</f>
        <v>7.24592107794548</v>
      </c>
      <c r="W41" s="38" t="n">
        <f aca="false">SUMPRODUCT(--(Thesis!$R$5:$AA$5=2028-cip_lag),Thesis!$R$38:$AA$38)-Thesis!$W$40</f>
        <v>0</v>
      </c>
      <c r="X41" s="38" t="n">
        <f aca="false">SUMPRODUCT(--(Thesis!$R$5:$AA$5=2029-cip_lag),Thesis!$R$38:$AA$38)-Thesis!$X$40</f>
        <v>0</v>
      </c>
      <c r="Y41" s="38" t="n">
        <f aca="false">SUMPRODUCT(--(Thesis!$R$5:$AA$5=2030-cip_lag),Thesis!$R$38:$AA$38)-Thesis!$Y$40</f>
        <v>0</v>
      </c>
      <c r="Z41" s="38" t="n">
        <f aca="false">SUMPRODUCT(--(Thesis!$R$5:$AA$5=2031-cip_lag),Thesis!$R$38:$AA$38)-Thesis!$Z$40</f>
        <v>0</v>
      </c>
      <c r="AA41" s="38" t="n">
        <f aca="false">SUMPRODUCT(--(Thesis!$R$5:$AA$5=2032-cip_lag),Thesis!$R$38:$AA$38)-Thesis!$AA$40</f>
        <v>0</v>
      </c>
    </row>
    <row r="42" customFormat="false" ht="17.15" hidden="false" customHeight="false" outlineLevel="0" collapsed="false">
      <c r="A42" s="5" t="s">
        <v>645</v>
      </c>
      <c r="B42" s="0" t="s">
        <v>86</v>
      </c>
      <c r="C42" s="38" t="n">
        <f aca="false">Thesis!$C$37*Thesis!$C$34</f>
        <v>8.2530642</v>
      </c>
      <c r="D42" s="38" t="n">
        <f aca="false">Thesis!$D$37*Thesis!$D$34</f>
        <v>37.1387889</v>
      </c>
      <c r="E42" s="38" t="n">
        <f aca="false">Thesis!$E$37*Thesis!$E$34</f>
        <v>25.7897792</v>
      </c>
      <c r="F42" s="38" t="n">
        <f aca="false">Thesis!$F$37*Thesis!$F$34</f>
        <v>67.4948715189913</v>
      </c>
      <c r="G42" s="38" t="n">
        <f aca="false">Thesis!$E$42+Thesis!$F$42</f>
        <v>93.2846507189913</v>
      </c>
      <c r="H42" s="38" t="n">
        <f aca="false">(Thesis!$H$37-Thesis!$H$36)*Thesis!$H$34+Thesis!$H$36</f>
        <v>156.6670386225</v>
      </c>
      <c r="I42" s="38" t="n">
        <f aca="false">(Thesis!$I$37-Thesis!$I$36)*Thesis!$I$34+Thesis!$I$36</f>
        <v>162.907130755</v>
      </c>
      <c r="J42" s="38" t="n">
        <f aca="false">(Thesis!$J$37-Thesis!$J$36)*Thesis!$J$34+Thesis!$J$36</f>
        <v>168.143898955</v>
      </c>
      <c r="K42" s="38" t="n">
        <f aca="false">(Thesis!$K$37-Thesis!$K$36)*Thesis!$K$34+Thesis!$K$36</f>
        <v>125.687746301092</v>
      </c>
      <c r="L42" s="38" t="n">
        <f aca="false">(Thesis!$L$37-Thesis!$L$36)*Thesis!$L$34+Thesis!$L$36</f>
        <v>114.652202847183</v>
      </c>
      <c r="M42" s="38" t="n">
        <f aca="false">(Thesis!$M$37-Thesis!$M$36)*Thesis!$M$34+Thesis!$M$36</f>
        <v>129.211363970775</v>
      </c>
      <c r="R42" s="38" t="n">
        <f aca="false">Thesis!$R$37*Thesis!$C$34</f>
        <v>1.09927679019314</v>
      </c>
      <c r="S42" s="38" t="n">
        <f aca="false">Thesis!$C$42</f>
        <v>8.2530642</v>
      </c>
      <c r="T42" s="38" t="n">
        <f aca="false">Thesis!$D$42</f>
        <v>37.1387889</v>
      </c>
      <c r="U42" s="38" t="n">
        <f aca="false">Thesis!$G$42</f>
        <v>93.2846507189913</v>
      </c>
      <c r="V42" s="38" t="n">
        <f aca="false">Thesis!$H$42</f>
        <v>156.6670386225</v>
      </c>
      <c r="W42" s="38" t="n">
        <f aca="false">Thesis!$I$42</f>
        <v>162.907130755</v>
      </c>
      <c r="X42" s="38" t="n">
        <f aca="false">Thesis!$J$42</f>
        <v>168.143898955</v>
      </c>
      <c r="Y42" s="38" t="n">
        <f aca="false">Thesis!$K$42</f>
        <v>125.687746301092</v>
      </c>
      <c r="Z42" s="38" t="n">
        <f aca="false">Thesis!$L$42</f>
        <v>114.652202847183</v>
      </c>
      <c r="AA42" s="38" t="n">
        <f aca="false">Thesis!$M$42</f>
        <v>129.211363970775</v>
      </c>
    </row>
    <row r="43" customFormat="false" ht="15" hidden="false" customHeight="false" outlineLevel="0" collapsed="false">
      <c r="A43" s="5" t="s">
        <v>646</v>
      </c>
      <c r="B43" s="0" t="s">
        <v>86</v>
      </c>
      <c r="C43" s="38" t="n">
        <f aca="false">Thesis!$C$37-Thesis!$C$42</f>
        <v>3.0408</v>
      </c>
      <c r="D43" s="38" t="n">
        <f aca="false">Thesis!$D$37-Thesis!$D$42</f>
        <v>13.6836</v>
      </c>
      <c r="E43" s="38" t="n">
        <f aca="false">Thesis!$E$37-Thesis!$E$42</f>
        <v>8.1088</v>
      </c>
      <c r="F43" s="38" t="n">
        <f aca="false">Thesis!$F$37-Thesis!$F$42</f>
        <v>21.2216789422221</v>
      </c>
      <c r="G43" s="38" t="n">
        <f aca="false">Thesis!$G$37-Thesis!$G$42</f>
        <v>29.3304789422221</v>
      </c>
      <c r="H43" s="38" t="n">
        <f aca="false">Thesis!$H$37-Thesis!$H$42</f>
        <v>47.29711</v>
      </c>
      <c r="I43" s="38" t="n">
        <f aca="false">Thesis!$I$37-Thesis!$I$42</f>
        <v>47.29711</v>
      </c>
      <c r="J43" s="38" t="n">
        <f aca="false">Thesis!$J$37-Thesis!$J$42</f>
        <v>47.29711</v>
      </c>
      <c r="K43" s="38" t="n">
        <f aca="false">Thesis!$K$37-Thesis!$K$42</f>
        <v>33.4503415166667</v>
      </c>
      <c r="L43" s="38" t="n">
        <f aca="false">Thesis!$L$37-Thesis!$L$42</f>
        <v>19.6035730333333</v>
      </c>
      <c r="M43" s="38" t="n">
        <f aca="false">Thesis!$M$37-Thesis!$M$42</f>
        <v>5.75680454999997</v>
      </c>
      <c r="R43" s="38" t="n">
        <f aca="false">Thesis!$R$37-Thesis!$R$42</f>
        <v>0.405023005106309</v>
      </c>
      <c r="S43" s="38" t="n">
        <f aca="false">Thesis!$S$37-Thesis!$S$42</f>
        <v>3.0408</v>
      </c>
      <c r="T43" s="38" t="n">
        <f aca="false">Thesis!$T$37-Thesis!$T$42</f>
        <v>13.6836</v>
      </c>
      <c r="U43" s="38" t="n">
        <f aca="false">Thesis!$U$37-Thesis!$U$42</f>
        <v>29.3304789422221</v>
      </c>
      <c r="V43" s="38" t="n">
        <f aca="false">Thesis!$V$37-Thesis!$V$42</f>
        <v>47.29711</v>
      </c>
      <c r="W43" s="38" t="n">
        <f aca="false">Thesis!$W$37-Thesis!$W$42</f>
        <v>47.29711</v>
      </c>
      <c r="X43" s="38" t="n">
        <f aca="false">Thesis!$X$37-Thesis!$X$42</f>
        <v>47.29711</v>
      </c>
      <c r="Y43" s="38" t="n">
        <f aca="false">Thesis!$Y$37-Thesis!$Y$42</f>
        <v>33.4503415166667</v>
      </c>
      <c r="Z43" s="38" t="n">
        <f aca="false">Thesis!$Z$37-Thesis!$Z$42</f>
        <v>19.6035730333333</v>
      </c>
      <c r="AA43" s="38" t="n">
        <f aca="false">Thesis!$AA$37-Thesis!$AA$42</f>
        <v>5.75680454999997</v>
      </c>
    </row>
    <row r="44" customFormat="false" ht="17.15" hidden="false" customHeight="false" outlineLevel="0" collapsed="false">
      <c r="A44" s="0" t="s">
        <v>647</v>
      </c>
      <c r="B44" s="0" t="s">
        <v>52</v>
      </c>
      <c r="C44" s="13" t="n">
        <f aca="false">Thesis!$C$35/CF!$C$24</f>
        <v>0.325505489553393</v>
      </c>
      <c r="D44" s="13" t="n">
        <f aca="false">Thesis!$D$35/CF!$D$24</f>
        <v>0.54214956071542</v>
      </c>
      <c r="E44" s="13" t="n">
        <f aca="false">Thesis!$E$35/CF!$E$24</f>
        <v>0.666492790452817</v>
      </c>
      <c r="F44" s="13" t="n">
        <f aca="false">Thesis!$F$35/CF!$F$24</f>
        <v>0.71724917504417</v>
      </c>
      <c r="G44" s="13" t="n">
        <f aca="false">Thesis!$G$35/CF!$G$24</f>
        <v>0.69502941413511</v>
      </c>
      <c r="H44" s="13" t="n">
        <f aca="false">Thesis!$H$35/CF!$H$24</f>
        <v>0.731669361234362</v>
      </c>
      <c r="I44" s="13" t="n">
        <f aca="false">Thesis!$I$35/CF!$I$24</f>
        <v>0.718549737942984</v>
      </c>
      <c r="J44" s="13" t="n">
        <f aca="false">Thesis!$J$35/CF!$J$24</f>
        <v>0.706655234973871</v>
      </c>
      <c r="K44" s="13" t="n">
        <f aca="false">Thesis!$K$35/CF!$K$24</f>
        <v>0.624176557844496</v>
      </c>
      <c r="L44" s="13" t="n">
        <f aca="false">Thesis!$L$35/CF!$L$24</f>
        <v>0.566628382341687</v>
      </c>
      <c r="M44" s="13" t="n">
        <f aca="false">Thesis!$M$35/CF!$M$24</f>
        <v>0.550825547262128</v>
      </c>
    </row>
    <row r="45" customFormat="false" ht="17.15" hidden="false" customHeight="false" outlineLevel="0" collapsed="false">
      <c r="A45" s="0" t="s">
        <v>648</v>
      </c>
      <c r="B45" s="0" t="s">
        <v>86</v>
      </c>
      <c r="C45" s="38" t="n">
        <f aca="false">Thesis!$S$45</f>
        <v>0.183212798365523</v>
      </c>
      <c r="D45" s="38" t="n">
        <f aca="false">Thesis!$T$45</f>
        <v>1.55872349836552</v>
      </c>
      <c r="E45" s="38" t="n">
        <f aca="false">Thesis!$G$45/2</f>
        <v>4.72585036583285</v>
      </c>
      <c r="F45" s="38" t="n">
        <f aca="false">Thesis!$G$45/2</f>
        <v>4.72585036583285</v>
      </c>
      <c r="G45" s="38" t="n">
        <f aca="false">Thesis!$U$45</f>
        <v>9.4517007316657</v>
      </c>
      <c r="H45" s="38" t="n">
        <f aca="false">Thesis!$V$45</f>
        <v>27.2822988413376</v>
      </c>
      <c r="I45" s="38" t="n">
        <f aca="false">Thesis!$W$45</f>
        <v>57.2343753401818</v>
      </c>
      <c r="J45" s="38" t="n">
        <f aca="false">Thesis!$X$45</f>
        <v>84.3855637993485</v>
      </c>
      <c r="K45" s="38" t="n">
        <f aca="false">Thesis!$Y$45</f>
        <v>112.22633416015</v>
      </c>
      <c r="L45" s="38" t="n">
        <f aca="false">Thesis!$Z$45</f>
        <v>131.798781176998</v>
      </c>
      <c r="M45" s="38" t="n">
        <f aca="false">Thesis!$AA$45</f>
        <v>143.014504418229</v>
      </c>
      <c r="N45" s="38" t="n">
        <f aca="false">Thesis!$D$45/2</f>
        <v>0.779361749182762</v>
      </c>
      <c r="O45" s="38" t="n">
        <f aca="false">Thesis!$D$45/2</f>
        <v>0.779361749182762</v>
      </c>
      <c r="R45" s="38" t="n">
        <f aca="false">(SUMPRODUCT(--(Thesis!$R$5:$AA$5&lt;Thesis!R$5),--(Thesis!$R$5:$AA$5&gt;=Thesis!R$5-tk_life),Thesis!$R$42:$AA$42)+SUMPRODUCT(--(Thesis!$R$5:$AA$5&lt;Thesis!R$5),--(Thesis!$R$5:$AA$5&gt;=Thesis!R$5-tk_life),Thesis!$R$40:$AA$40))/tk_life</f>
        <v>0</v>
      </c>
      <c r="S45" s="38" t="n">
        <f aca="false">(SUMPRODUCT(--(Thesis!$R$5:$AA$5&lt;Thesis!S$5),--(Thesis!$R$5:$AA$5&gt;=Thesis!S$5-tk_life),Thesis!$R$42:$AA$42)+SUMPRODUCT(--(Thesis!$R$5:$AA$5&lt;Thesis!S$5),--(Thesis!$R$5:$AA$5&gt;=Thesis!S$5-tk_life),Thesis!$R$40:$AA$40))/tk_life</f>
        <v>0.183212798365523</v>
      </c>
      <c r="T45" s="38" t="n">
        <f aca="false">(SUMPRODUCT(--(Thesis!$R$5:$AA$5&lt;Thesis!T$5),--(Thesis!$R$5:$AA$5&gt;=Thesis!T$5-tk_life),Thesis!$R$42:$AA$42)+SUMPRODUCT(--(Thesis!$R$5:$AA$5&lt;Thesis!T$5),--(Thesis!$R$5:$AA$5&gt;=Thesis!T$5-tk_life),Thesis!$R$40:$AA$40))/tk_life</f>
        <v>1.55872349836552</v>
      </c>
      <c r="U45" s="38" t="n">
        <f aca="false">(SUMPRODUCT(--(Thesis!$R$5:$AA$5&lt;Thesis!U$5),--(Thesis!$R$5:$AA$5&gt;=Thesis!U$5-tk_life),Thesis!$R$42:$AA$42)+SUMPRODUCT(--(Thesis!$R$5:$AA$5&lt;Thesis!U$5),--(Thesis!$R$5:$AA$5&gt;=Thesis!U$5-tk_life),Thesis!$R$40:$AA$40))/tk_life</f>
        <v>9.4517007316657</v>
      </c>
      <c r="V45" s="38" t="n">
        <f aca="false">(SUMPRODUCT(--(Thesis!$R$5:$AA$5&lt;Thesis!V$5),--(Thesis!$R$5:$AA$5&gt;=Thesis!V$5-tk_life),Thesis!$R$42:$AA$42)+SUMPRODUCT(--(Thesis!$R$5:$AA$5&lt;Thesis!V$5),--(Thesis!$R$5:$AA$5&gt;=Thesis!V$5-tk_life),Thesis!$R$40:$AA$40))/tk_life</f>
        <v>27.2822988413376</v>
      </c>
      <c r="W45" s="38" t="n">
        <f aca="false">(SUMPRODUCT(--(Thesis!$R$5:$AA$5&lt;Thesis!W$5),--(Thesis!$R$5:$AA$5&gt;=Thesis!W$5-tk_life),Thesis!$R$42:$AA$42)+SUMPRODUCT(--(Thesis!$R$5:$AA$5&lt;Thesis!W$5),--(Thesis!$R$5:$AA$5&gt;=Thesis!W$5-tk_life),Thesis!$R$40:$AA$40))/tk_life</f>
        <v>57.2343753401818</v>
      </c>
      <c r="X45" s="38" t="n">
        <f aca="false">(SUMPRODUCT(--(Thesis!$R$5:$AA$5&lt;Thesis!X$5),--(Thesis!$R$5:$AA$5&gt;=Thesis!X$5-tk_life),Thesis!$R$42:$AA$42)+SUMPRODUCT(--(Thesis!$R$5:$AA$5&lt;Thesis!X$5),--(Thesis!$R$5:$AA$5&gt;=Thesis!X$5-tk_life),Thesis!$R$40:$AA$40))/tk_life</f>
        <v>84.3855637993485</v>
      </c>
      <c r="Y45" s="38" t="n">
        <f aca="false">(SUMPRODUCT(--(Thesis!$R$5:$AA$5&lt;Thesis!Y$5),--(Thesis!$R$5:$AA$5&gt;=Thesis!Y$5-tk_life),Thesis!$R$42:$AA$42)+SUMPRODUCT(--(Thesis!$R$5:$AA$5&lt;Thesis!Y$5),--(Thesis!$R$5:$AA$5&gt;=Thesis!Y$5-tk_life),Thesis!$R$40:$AA$40))/tk_life</f>
        <v>112.22633416015</v>
      </c>
      <c r="Z45" s="38" t="n">
        <f aca="false">(SUMPRODUCT(--(Thesis!$R$5:$AA$5&lt;Thesis!Z$5),--(Thesis!$R$5:$AA$5&gt;=Thesis!Z$5-tk_life),Thesis!$R$42:$AA$42)+SUMPRODUCT(--(Thesis!$R$5:$AA$5&lt;Thesis!Z$5),--(Thesis!$R$5:$AA$5&gt;=Thesis!Z$5-tk_life),Thesis!$R$40:$AA$40))/tk_life</f>
        <v>131.798781176998</v>
      </c>
      <c r="AA45" s="38" t="n">
        <f aca="false">(SUMPRODUCT(--(Thesis!$R$5:$AA$5&lt;Thesis!AA$5),--(Thesis!$R$5:$AA$5&gt;=Thesis!AA$5-tk_life),Thesis!$R$42:$AA$42)+SUMPRODUCT(--(Thesis!$R$5:$AA$5&lt;Thesis!AA$5),--(Thesis!$R$5:$AA$5&gt;=Thesis!AA$5-tk_life),Thesis!$R$40:$AA$40))/tk_life</f>
        <v>143.014504418229</v>
      </c>
    </row>
    <row r="46" customFormat="false" ht="17.15" hidden="false" customHeight="false" outlineLevel="0" collapsed="false">
      <c r="A46" s="0" t="s">
        <v>649</v>
      </c>
      <c r="B46" s="0" t="s">
        <v>86</v>
      </c>
      <c r="C46" s="38" t="n">
        <f aca="false">Thesis!$S$46</f>
        <v>0.0202511502553155</v>
      </c>
      <c r="D46" s="38" t="n">
        <f aca="false">Thesis!$T$46</f>
        <v>0.172291150255315</v>
      </c>
      <c r="E46" s="38" t="n">
        <f aca="false">Thesis!$G$46/2</f>
        <v>0.522364740326067</v>
      </c>
      <c r="F46" s="38" t="n">
        <f aca="false">Thesis!$G$46/2</f>
        <v>0.522364740326067</v>
      </c>
      <c r="G46" s="38" t="n">
        <f aca="false">Thesis!$U$46</f>
        <v>1.04472948065213</v>
      </c>
      <c r="H46" s="38" t="n">
        <f aca="false">Thesis!$V$46</f>
        <v>2.76361866736136</v>
      </c>
      <c r="I46" s="38" t="n">
        <f aca="false">Thesis!$W$46</f>
        <v>5.49077022125863</v>
      </c>
      <c r="J46" s="38" t="n">
        <f aca="false">Thesis!$X$46</f>
        <v>7.85562572125863</v>
      </c>
      <c r="K46" s="38" t="n">
        <f aca="false">Thesis!$Y$46</f>
        <v>10.2204812212586</v>
      </c>
      <c r="L46" s="38" t="n">
        <f aca="false">Thesis!$Z$46</f>
        <v>11.892998297092</v>
      </c>
      <c r="M46" s="38" t="n">
        <f aca="false">Thesis!$AA$46</f>
        <v>12.8731769487586</v>
      </c>
      <c r="N46" s="38" t="n">
        <f aca="false">Thesis!$D$46/2</f>
        <v>0.0861455751276577</v>
      </c>
      <c r="O46" s="38" t="n">
        <f aca="false">Thesis!$D$46/2</f>
        <v>0.0861455751276577</v>
      </c>
      <c r="R46" s="38" t="n">
        <f aca="false">(SUMPRODUCT(--(Thesis!$R$5:$AA$5&lt;Thesis!R$5),Thesis!$R$43:$AA$43)+SUMPRODUCT(--(Thesis!$R$5:$AA$5&lt;Thesis!R$5),Thesis!$R$41:$AA$41))/fac_life</f>
        <v>0</v>
      </c>
      <c r="S46" s="38" t="n">
        <f aca="false">(SUMPRODUCT(--(Thesis!$R$5:$AA$5&lt;Thesis!S$5),Thesis!$R$43:$AA$43)+SUMPRODUCT(--(Thesis!$R$5:$AA$5&lt;Thesis!S$5),Thesis!$R$41:$AA$41))/fac_life</f>
        <v>0.0202511502553155</v>
      </c>
      <c r="T46" s="38" t="n">
        <f aca="false">(SUMPRODUCT(--(Thesis!$R$5:$AA$5&lt;Thesis!T$5),Thesis!$R$43:$AA$43)+SUMPRODUCT(--(Thesis!$R$5:$AA$5&lt;Thesis!T$5),Thesis!$R$41:$AA$41))/fac_life</f>
        <v>0.172291150255315</v>
      </c>
      <c r="U46" s="38" t="n">
        <f aca="false">(SUMPRODUCT(--(Thesis!$R$5:$AA$5&lt;Thesis!U$5),Thesis!$R$43:$AA$43)+SUMPRODUCT(--(Thesis!$R$5:$AA$5&lt;Thesis!U$5),Thesis!$R$41:$AA$41))/fac_life</f>
        <v>1.04472948065213</v>
      </c>
      <c r="V46" s="38" t="n">
        <f aca="false">(SUMPRODUCT(--(Thesis!$R$5:$AA$5&lt;Thesis!V$5),Thesis!$R$43:$AA$43)+SUMPRODUCT(--(Thesis!$R$5:$AA$5&lt;Thesis!V$5),Thesis!$R$41:$AA$41))/fac_life</f>
        <v>2.76361866736136</v>
      </c>
      <c r="W46" s="38" t="n">
        <f aca="false">(SUMPRODUCT(--(Thesis!$R$5:$AA$5&lt;Thesis!W$5),Thesis!$R$43:$AA$43)+SUMPRODUCT(--(Thesis!$R$5:$AA$5&lt;Thesis!W$5),Thesis!$R$41:$AA$41))/fac_life</f>
        <v>5.49077022125863</v>
      </c>
      <c r="X46" s="38" t="n">
        <f aca="false">(SUMPRODUCT(--(Thesis!$R$5:$AA$5&lt;Thesis!X$5),Thesis!$R$43:$AA$43)+SUMPRODUCT(--(Thesis!$R$5:$AA$5&lt;Thesis!X$5),Thesis!$R$41:$AA$41))/fac_life</f>
        <v>7.85562572125863</v>
      </c>
      <c r="Y46" s="38" t="n">
        <f aca="false">(SUMPRODUCT(--(Thesis!$R$5:$AA$5&lt;Thesis!Y$5),Thesis!$R$43:$AA$43)+SUMPRODUCT(--(Thesis!$R$5:$AA$5&lt;Thesis!Y$5),Thesis!$R$41:$AA$41))/fac_life</f>
        <v>10.2204812212586</v>
      </c>
      <c r="Z46" s="38" t="n">
        <f aca="false">(SUMPRODUCT(--(Thesis!$R$5:$AA$5&lt;Thesis!Z$5),Thesis!$R$43:$AA$43)+SUMPRODUCT(--(Thesis!$R$5:$AA$5&lt;Thesis!Z$5),Thesis!$R$41:$AA$41))/fac_life</f>
        <v>11.892998297092</v>
      </c>
      <c r="AA46" s="38" t="n">
        <f aca="false">(SUMPRODUCT(--(Thesis!$R$5:$AA$5&lt;Thesis!AA$5),Thesis!$R$43:$AA$43)+SUMPRODUCT(--(Thesis!$R$5:$AA$5&lt;Thesis!AA$5),Thesis!$R$41:$AA$41))/fac_life</f>
        <v>12.8731769487586</v>
      </c>
    </row>
    <row r="47" customFormat="false" ht="17.15" hidden="false" customHeight="false" outlineLevel="0" collapsed="false">
      <c r="A47" s="1" t="s">
        <v>650</v>
      </c>
      <c r="B47" s="8" t="s">
        <v>86</v>
      </c>
      <c r="C47" s="38" t="n">
        <f aca="false">Thesis!$C$45+Thesis!$C$46</f>
        <v>0.203463948620839</v>
      </c>
      <c r="D47" s="38" t="n">
        <f aca="false">Thesis!$D$45+Thesis!$D$46</f>
        <v>1.73101464862084</v>
      </c>
      <c r="E47" s="38" t="n">
        <f aca="false">Thesis!$E$45+Thesis!$E$46</f>
        <v>5.24821510615892</v>
      </c>
      <c r="F47" s="38" t="n">
        <f aca="false">Thesis!$F$45+Thesis!$F$46</f>
        <v>5.24821510615892</v>
      </c>
      <c r="G47" s="38" t="n">
        <f aca="false">Thesis!$G$45+Thesis!$G$46</f>
        <v>10.4964302123178</v>
      </c>
      <c r="H47" s="38" t="n">
        <f aca="false">Thesis!$H$45+Thesis!$H$46</f>
        <v>30.045917508699</v>
      </c>
      <c r="I47" s="38" t="n">
        <f aca="false">Thesis!$I$45+Thesis!$I$46</f>
        <v>62.7251455614405</v>
      </c>
      <c r="J47" s="38" t="n">
        <f aca="false">Thesis!$J$45+Thesis!$J$46</f>
        <v>92.2411895206071</v>
      </c>
      <c r="K47" s="38" t="n">
        <f aca="false">Thesis!$K$45+Thesis!$K$46</f>
        <v>122.446815381408</v>
      </c>
      <c r="L47" s="38" t="n">
        <f aca="false">Thesis!$L$45+Thesis!$L$46</f>
        <v>143.69177947409</v>
      </c>
      <c r="M47" s="38" t="n">
        <f aca="false">Thesis!$M$45+Thesis!$M$46</f>
        <v>155.887681366987</v>
      </c>
      <c r="N47" s="38" t="n">
        <f aca="false">Thesis!$N$45+Thesis!$N$46</f>
        <v>0.865507324310419</v>
      </c>
      <c r="O47" s="38" t="n">
        <f aca="false">Thesis!$O$45+Thesis!$O$46</f>
        <v>0.865507324310419</v>
      </c>
      <c r="R47" s="38" t="n">
        <f aca="false">Thesis!$R$45+Thesis!$R$46</f>
        <v>0</v>
      </c>
      <c r="S47" s="38" t="n">
        <f aca="false">Thesis!$S$45+Thesis!$S$46</f>
        <v>0.203463948620839</v>
      </c>
      <c r="T47" s="38" t="n">
        <f aca="false">Thesis!$T$45+Thesis!$T$46</f>
        <v>1.73101464862084</v>
      </c>
      <c r="U47" s="38" t="n">
        <f aca="false">Thesis!$U$45+Thesis!$U$46</f>
        <v>10.4964302123178</v>
      </c>
      <c r="V47" s="38" t="n">
        <f aca="false">Thesis!$V$45+Thesis!$V$46</f>
        <v>30.045917508699</v>
      </c>
      <c r="W47" s="38" t="n">
        <f aca="false">Thesis!$W$45+Thesis!$W$46</f>
        <v>62.7251455614405</v>
      </c>
      <c r="X47" s="38" t="n">
        <f aca="false">Thesis!$X$45+Thesis!$X$46</f>
        <v>92.2411895206071</v>
      </c>
      <c r="Y47" s="38" t="n">
        <f aca="false">Thesis!$Y$45+Thesis!$Y$46</f>
        <v>122.446815381408</v>
      </c>
      <c r="Z47" s="38" t="n">
        <f aca="false">Thesis!$Z$45+Thesis!$Z$46</f>
        <v>143.69177947409</v>
      </c>
      <c r="AA47" s="38" t="n">
        <f aca="false">Thesis!$AA$45+Thesis!$AA$46</f>
        <v>155.887681366987</v>
      </c>
    </row>
    <row r="48" customFormat="false" ht="17.15" hidden="false" customHeight="false" outlineLevel="0" collapsed="false">
      <c r="A48" s="0" t="s">
        <v>651</v>
      </c>
      <c r="B48" s="0" t="s">
        <v>86</v>
      </c>
      <c r="C48" s="38" t="n">
        <f aca="false">Thesis!$S$48</f>
        <v>26.578941154416</v>
      </c>
      <c r="D48" s="38" t="n">
        <f aca="false">Thesis!$T$48</f>
        <v>94.4165581367978</v>
      </c>
      <c r="G48" s="38" t="n">
        <f aca="false">Thesis!$U$48</f>
        <v>236.826599034204</v>
      </c>
      <c r="H48" s="38" t="n">
        <f aca="false">Thesis!$V$48</f>
        <v>410.744830148005</v>
      </c>
      <c r="I48" s="38" t="n">
        <f aca="false">Thesis!$W$48</f>
        <v>558.223925341565</v>
      </c>
      <c r="J48" s="38" t="n">
        <f aca="false">Thesis!$X$48</f>
        <v>681.423744775958</v>
      </c>
      <c r="K48" s="38" t="n">
        <f aca="false">Thesis!$Y$48</f>
        <v>718.115017212308</v>
      </c>
      <c r="L48" s="38" t="n">
        <f aca="false">Thesis!$Z$48</f>
        <v>708.679013618734</v>
      </c>
      <c r="M48" s="38" t="n">
        <f aca="false">Thesis!$AA$48</f>
        <v>687.759500772522</v>
      </c>
      <c r="R48" s="38" t="n">
        <f aca="false">SUM(Thesis!$R$35:$R$35)-SUM(Thesis!$R$47:$R$47)</f>
        <v>1.50429979529945</v>
      </c>
      <c r="S48" s="38" t="n">
        <f aca="false">SUM(Thesis!$R$35:$S$35)-SUM(Thesis!$R$47:$S$47)</f>
        <v>26.578941154416</v>
      </c>
      <c r="T48" s="38" t="n">
        <f aca="false">SUM(Thesis!$R$35:$T$35)-SUM(Thesis!$R$47:$T$47)</f>
        <v>94.4165581367978</v>
      </c>
      <c r="U48" s="38" t="n">
        <f aca="false">SUM(Thesis!$R$35:$U$35)-SUM(Thesis!$R$47:$U$47)</f>
        <v>236.826599034204</v>
      </c>
      <c r="V48" s="38" t="n">
        <f aca="false">SUM(Thesis!$R$35:$V$35)-SUM(Thesis!$R$47:$V$47)</f>
        <v>410.744830148005</v>
      </c>
      <c r="W48" s="38" t="n">
        <f aca="false">SUM(Thesis!$R$35:$W$35)-SUM(Thesis!$R$47:$W$47)</f>
        <v>558.223925341565</v>
      </c>
      <c r="X48" s="38" t="n">
        <f aca="false">SUM(Thesis!$R$35:$X$35)-SUM(Thesis!$R$47:$X$47)</f>
        <v>681.423744775958</v>
      </c>
      <c r="Y48" s="38" t="n">
        <f aca="false">SUM(Thesis!$R$35:$Y$35)-SUM(Thesis!$R$47:$Y$47)</f>
        <v>718.115017212308</v>
      </c>
      <c r="Z48" s="38" t="n">
        <f aca="false">SUM(Thesis!$R$35:$Z$35)-SUM(Thesis!$R$47:$Z$47)</f>
        <v>708.679013618734</v>
      </c>
      <c r="AA48" s="38" t="n">
        <f aca="false">SUM(Thesis!$R$35:$AA$35)-SUM(Thesis!$R$47:$AA$47)</f>
        <v>687.759500772522</v>
      </c>
    </row>
    <row r="49" customFormat="false" ht="17.15" hidden="false" customHeight="false" outlineLevel="0" collapsed="false">
      <c r="A49" s="1" t="s">
        <v>652</v>
      </c>
    </row>
    <row r="50" customFormat="false" ht="17.15" hidden="false" customHeight="false" outlineLevel="0" collapsed="false">
      <c r="A50" s="0" t="s">
        <v>653</v>
      </c>
      <c r="B50" s="0" t="s">
        <v>86</v>
      </c>
      <c r="C50" s="38" t="n">
        <f aca="false">Thesis!$C$26-ext_sh*Thesis!$C$28</f>
        <v>1.80694998843362</v>
      </c>
      <c r="D50" s="38" t="n">
        <f aca="false">Thesis!$D$26-ext_sh*Thesis!$D$28</f>
        <v>6.77606245662607</v>
      </c>
      <c r="E50" s="38" t="n">
        <f aca="false">Thesis!$E$26-ext_sh*Thesis!$E$28</f>
        <v>6.62548329092326</v>
      </c>
      <c r="F50" s="38" t="n">
        <f aca="false">Thesis!$F$26-ext_sh*Thesis!$F$28</f>
        <v>14.4996696128551</v>
      </c>
      <c r="G50" s="38" t="n">
        <f aca="false">Thesis!$G$26-ext_sh*Thesis!$G$28</f>
        <v>21.1251529037784</v>
      </c>
      <c r="H50" s="38" t="n">
        <f aca="false">Thesis!$H$26-ext_sh*Thesis!$H$28</f>
        <v>70.2126356677435</v>
      </c>
      <c r="I50" s="38" t="n">
        <f aca="false">Thesis!$I$26-ext_sh*Thesis!$I$28</f>
        <v>126.678603645079</v>
      </c>
      <c r="J50" s="38" t="n">
        <f aca="false">Thesis!$J$26-ext_sh*Thesis!$J$28</f>
        <v>183.417938128511</v>
      </c>
      <c r="K50" s="38" t="n">
        <f aca="false">Thesis!$K$26-ext_sh*Thesis!$K$28</f>
        <v>231.815746632017</v>
      </c>
      <c r="L50" s="38" t="n">
        <f aca="false">Thesis!$L$26-ext_sh*Thesis!$L$28</f>
        <v>263.612756777848</v>
      </c>
      <c r="M50" s="38" t="n">
        <f aca="false">Thesis!$M$26-ext_sh*Thesis!$M$28</f>
        <v>278.764488450164</v>
      </c>
      <c r="N50" s="38" t="n">
        <f aca="false">Thesis!$N$26-ext_sh*Thesis!$N$28</f>
        <v>2.37162185981912</v>
      </c>
      <c r="O50" s="38" t="n">
        <f aca="false">Thesis!$O$26-ext_sh*Thesis!$O$28</f>
        <v>4.40444059680694</v>
      </c>
    </row>
    <row r="51" customFormat="false" ht="17.15" hidden="false" customHeight="false" outlineLevel="0" collapsed="false">
      <c r="A51" s="1" t="s">
        <v>654</v>
      </c>
      <c r="B51" s="8" t="s">
        <v>86</v>
      </c>
      <c r="C51" s="38" t="n">
        <f aca="false">Thesis!$C$50-ext_sh*Thesis!$C$47</f>
        <v>1.64417882953695</v>
      </c>
      <c r="D51" s="38" t="n">
        <f aca="false">Thesis!$D$50-ext_sh*Thesis!$D$47</f>
        <v>5.39125073772939</v>
      </c>
      <c r="E51" s="38" t="n">
        <f aca="false">Thesis!$E$50-ext_sh*Thesis!$E$47</f>
        <v>2.42691120599613</v>
      </c>
      <c r="F51" s="38" t="n">
        <f aca="false">Thesis!$F$50-ext_sh*Thesis!$F$47</f>
        <v>10.301097527928</v>
      </c>
      <c r="G51" s="38" t="n">
        <f aca="false">Thesis!$G$50-ext_sh*Thesis!$G$47</f>
        <v>12.7280087339241</v>
      </c>
      <c r="H51" s="38" t="n">
        <f aca="false">Thesis!$H$50-ext_sh*Thesis!$H$47</f>
        <v>46.1759016607843</v>
      </c>
      <c r="I51" s="38" t="n">
        <f aca="false">Thesis!$I$50-ext_sh*Thesis!$I$47</f>
        <v>76.4984871959261</v>
      </c>
      <c r="J51" s="38" t="n">
        <f aca="false">Thesis!$J$50-ext_sh*Thesis!$J$47</f>
        <v>109.624986512025</v>
      </c>
      <c r="K51" s="38" t="n">
        <f aca="false">Thesis!$K$50-ext_sh*Thesis!$K$47</f>
        <v>133.85829432689</v>
      </c>
      <c r="L51" s="38" t="n">
        <f aca="false">Thesis!$L$50-ext_sh*Thesis!$L$47</f>
        <v>148.659333198576</v>
      </c>
      <c r="M51" s="38" t="n">
        <f aca="false">Thesis!$M$50-ext_sh*Thesis!$M$47</f>
        <v>154.054343356574</v>
      </c>
      <c r="N51" s="38" t="n">
        <f aca="false">Thesis!$N$50-ext_sh*Thesis!$N$47</f>
        <v>1.67921600037079</v>
      </c>
      <c r="O51" s="38" t="n">
        <f aca="false">Thesis!$O$50-ext_sh*Thesis!$O$47</f>
        <v>3.71203473735861</v>
      </c>
    </row>
    <row r="52" customFormat="false" ht="17.15" hidden="false" customHeight="false" outlineLevel="0" collapsed="false">
      <c r="A52" s="0" t="s">
        <v>655</v>
      </c>
      <c r="B52" s="0" t="s">
        <v>52</v>
      </c>
      <c r="C52" s="13" t="n">
        <f aca="false">Thesis!$C$51/Thesis!$C$26</f>
        <v>0.708390794789371</v>
      </c>
      <c r="D52" s="13" t="n">
        <f aca="false">Thesis!$D$51/Thesis!$D$26</f>
        <v>0.619415573115729</v>
      </c>
      <c r="E52" s="13" t="n">
        <f aca="false">Thesis!$E$51/Thesis!$E$26</f>
        <v>0.285171627189009</v>
      </c>
      <c r="F52" s="13" t="n">
        <f aca="false">Thesis!$F$51/Thesis!$F$26</f>
        <v>0.579669713931958</v>
      </c>
      <c r="G52" s="13" t="n">
        <f aca="false">Thesis!$G$51/Thesis!$G$26</f>
        <v>0.484304847968963</v>
      </c>
      <c r="H52" s="13" t="n">
        <f aca="false">Thesis!$H$51/Thesis!$H$26</f>
        <v>0.555774537632935</v>
      </c>
      <c r="I52" s="13" t="n">
        <f aca="false">Thesis!$I$51/Thesis!$I$26</f>
        <v>0.516615362137512</v>
      </c>
      <c r="J52" s="13" t="n">
        <f aca="false">Thesis!$J$51/Thesis!$J$26</f>
        <v>0.513808096052213</v>
      </c>
      <c r="K52" s="13" t="n">
        <f aca="false">Thesis!$K$51/Thesis!$K$26</f>
        <v>0.497530553166573</v>
      </c>
      <c r="L52" s="13" t="n">
        <f aca="false">Thesis!$L$51/Thesis!$L$26</f>
        <v>0.486399968721178</v>
      </c>
      <c r="M52" s="13" t="n">
        <f aca="false">Thesis!$M$51/Thesis!$M$26</f>
        <v>0.476844664719016</v>
      </c>
      <c r="N52" s="13" t="n">
        <f aca="false">Thesis!$N$51/Thesis!$N$26</f>
        <v>0.551227795793364</v>
      </c>
      <c r="O52" s="13" t="n">
        <f aca="false">Thesis!$O$51/Thesis!$O$26</f>
        <v>0.656132068597002</v>
      </c>
    </row>
    <row r="53" customFormat="false" ht="17.15" hidden="false" customHeight="false" outlineLevel="0" collapsed="false">
      <c r="A53" s="5" t="s">
        <v>656</v>
      </c>
      <c r="B53" s="0" t="s">
        <v>86</v>
      </c>
      <c r="C53" s="39" t="n">
        <v>0</v>
      </c>
      <c r="D53" s="39" t="n">
        <v>0</v>
      </c>
      <c r="E53" s="39" t="n">
        <v>0</v>
      </c>
      <c r="F53" s="38" t="n">
        <f aca="false">IF(internal_ai_reading=2,1,0)*(1-ext_sh)/ext_sh*(mw_open*he_open+Thesis!$F$24*Thesis!$F$21)*Thesis!$F$10/1000</f>
        <v>3.80479825569281</v>
      </c>
      <c r="G53" s="38" t="n">
        <f aca="false">Thesis!$E$53+Thesis!$F$53</f>
        <v>3.80479825569281</v>
      </c>
      <c r="H53" s="38" t="n">
        <f aca="false">IF(internal_ai_reading=2,1,0)*(1-ext_sh)/ext_sh*(mw_open*he_open+Thesis!$H$24*Thesis!$H$21)*Thesis!$H$10/1000</f>
        <v>15.4376834367265</v>
      </c>
      <c r="I53" s="38" t="n">
        <f aca="false">IF(internal_ai_reading=2,1,0)*(1-ext_sh)/ext_sh*(mw_open*he_open+Thesis!$I$24*Thesis!$I$21)*Thesis!$I$10/1000</f>
        <v>26.1389535282796</v>
      </c>
      <c r="J53" s="38" t="n">
        <f aca="false">IF(internal_ai_reading=2,1,0)*(1-ext_sh)/ext_sh*(mw_open*he_open+Thesis!$J$24*Thesis!$J$21)*Thesis!$J$10/1000</f>
        <v>36.8878303911588</v>
      </c>
      <c r="K53" s="38" t="n">
        <f aca="false">IF(internal_ai_reading=2,1,0)*(1-ext_sh)/ext_sh*(mw_open*he_open+Thesis!$K$24*Thesis!$K$21)*Thesis!$K$10/1000</f>
        <v>46.0570127832188</v>
      </c>
      <c r="L53" s="38" t="n">
        <f aca="false">IF(internal_ai_reading=2,1,0)*(1-ext_sh)/ext_sh*(mw_open*he_open+Thesis!$L$24*Thesis!$L$21)*Thesis!$L$10/1000</f>
        <v>52.0811306967416</v>
      </c>
      <c r="M53" s="38" t="n">
        <f aca="false">IF(internal_ai_reading=2,1,0)*(1-ext_sh)/ext_sh*(mw_open*he_open+Thesis!$M$24*Thesis!$M$21)*Thesis!$M$10/1000</f>
        <v>54.9524379204829</v>
      </c>
      <c r="N53" s="39" t="n">
        <v>0</v>
      </c>
      <c r="O53" s="39" t="n">
        <v>0</v>
      </c>
      <c r="P53" s="8" t="s">
        <v>657</v>
      </c>
    </row>
    <row r="54" customFormat="false" ht="17.15" hidden="false" customHeight="false" outlineLevel="0" collapsed="false">
      <c r="A54" s="5" t="s">
        <v>658</v>
      </c>
      <c r="B54" s="0" t="s">
        <v>86</v>
      </c>
      <c r="C54" s="38" t="n">
        <f aca="false">(1-ext_sh)*(Thesis!$C$28+Thesis!$C$47)</f>
        <v>0.169206631859174</v>
      </c>
      <c r="D54" s="38" t="n">
        <f aca="false">(1-ext_sh)*(Thesis!$D$28+Thesis!$D$47)</f>
        <v>0.828129837730442</v>
      </c>
      <c r="E54" s="38" t="n">
        <f aca="false">(1-ext_sh)*(Thesis!$E$28+Thesis!$E$47)</f>
        <v>1.52086044239347</v>
      </c>
      <c r="F54" s="38" t="n">
        <f aca="false">(1-ext_sh)*(Thesis!$F$28+Thesis!$F$47)</f>
        <v>1.86738377332104</v>
      </c>
      <c r="G54" s="38" t="n">
        <f aca="false">(1-ext_sh)*(Thesis!$G$28+Thesis!$G$47)</f>
        <v>3.38824421571451</v>
      </c>
      <c r="H54" s="38" t="n">
        <f aca="false">(1-ext_sh)*(Thesis!$H$28+Thesis!$H$47)</f>
        <v>9.22699308645984</v>
      </c>
      <c r="I54" s="38" t="n">
        <f aca="false">(1-ext_sh)*(Thesis!$I$28+Thesis!$I$47)</f>
        <v>17.8944511915173</v>
      </c>
      <c r="J54" s="38" t="n">
        <f aca="false">(1-ext_sh)*(Thesis!$J$28+Thesis!$J$47)</f>
        <v>25.9332138409492</v>
      </c>
      <c r="K54" s="38" t="n">
        <f aca="false">(1-ext_sh)*(Thesis!$K$28+Thesis!$K$47)</f>
        <v>33.7967702065827</v>
      </c>
      <c r="L54" s="38" t="n">
        <f aca="false">(1-ext_sh)*(Thesis!$L$28+Thesis!$L$47)</f>
        <v>39.2431348121882</v>
      </c>
      <c r="M54" s="38" t="n">
        <f aca="false">(1-ext_sh)*(Thesis!$M$28+Thesis!$M$47)</f>
        <v>42.2539862628489</v>
      </c>
      <c r="N54" s="38" t="n">
        <f aca="false">(1-ext_sh)*(Thesis!$N$28+Thesis!$N$47)</f>
        <v>0.34177588266428</v>
      </c>
      <c r="O54" s="38" t="n">
        <f aca="false">(1-ext_sh)*(Thesis!$O$28+Thesis!$O$47)</f>
        <v>0.486353955066162</v>
      </c>
    </row>
    <row r="55" customFormat="false" ht="17.15" hidden="false" customHeight="false" outlineLevel="0" collapsed="false">
      <c r="A55" s="0" t="s">
        <v>659</v>
      </c>
      <c r="B55" s="0" t="s">
        <v>86</v>
      </c>
      <c r="C55" s="38" t="n">
        <f aca="false">Q!$D$24</f>
        <v>39.834</v>
      </c>
      <c r="D55" s="38" t="n">
        <f aca="false">Q!$E$24</f>
        <v>45.606</v>
      </c>
      <c r="E55" s="38" t="n">
        <f aca="false">Q!$P$24</f>
        <v>30.782</v>
      </c>
      <c r="N55" s="38" t="n">
        <f aca="false">Q!$N$24</f>
        <v>21.707</v>
      </c>
      <c r="O55" s="38" t="n">
        <f aca="false">Q!$O$24</f>
        <v>23.899</v>
      </c>
    </row>
    <row r="56" customFormat="false" ht="17.15" hidden="false" customHeight="false" outlineLevel="0" collapsed="false">
      <c r="A56" s="0" t="s">
        <v>660</v>
      </c>
      <c r="B56" s="0" t="s">
        <v>86</v>
      </c>
      <c r="C56" s="38" t="n">
        <f aca="false">Thesis!$C$55-Thesis!$C$51</f>
        <v>38.1898211704631</v>
      </c>
      <c r="D56" s="38" t="n">
        <f aca="false">Thesis!$D$55-Thesis!$D$51</f>
        <v>40.2147492622706</v>
      </c>
      <c r="E56" s="38" t="n">
        <f aca="false">Thesis!$E$55-Thesis!$E$51</f>
        <v>28.3550887940039</v>
      </c>
      <c r="F56" s="38" t="n">
        <f aca="false">Thesis!$F$30*Thesis!$F$57</f>
        <v>25.9529793149447</v>
      </c>
      <c r="G56" s="38" t="n">
        <f aca="false">Thesis!$E$56+Thesis!$F$56</f>
        <v>54.3080681089486</v>
      </c>
      <c r="H56" s="38" t="n">
        <f aca="false">Thesis!$H$30*Thesis!$H$57</f>
        <v>58.2264684589333</v>
      </c>
      <c r="I56" s="38" t="n">
        <f aca="false">Thesis!$I$30*Thesis!$I$57</f>
        <v>64.6461353851744</v>
      </c>
      <c r="J56" s="38" t="n">
        <f aca="false">Thesis!$J$30*Thesis!$J$57</f>
        <v>70.7957093610231</v>
      </c>
      <c r="K56" s="38" t="n">
        <f aca="false">Thesis!$K$30*Thesis!$K$57</f>
        <v>76.4593661099049</v>
      </c>
      <c r="L56" s="38" t="n">
        <f aca="false">Thesis!$L$30*Thesis!$L$57</f>
        <v>82.5761153986973</v>
      </c>
      <c r="M56" s="38" t="n">
        <f aca="false">Thesis!$M$30*Thesis!$M$57</f>
        <v>89.1822046305931</v>
      </c>
      <c r="N56" s="38" t="n">
        <f aca="false">Thesis!$N$55-Thesis!$N$51</f>
        <v>20.0277839996292</v>
      </c>
      <c r="O56" s="38" t="n">
        <f aca="false">Thesis!$O$55-Thesis!$O$51</f>
        <v>20.1869652626414</v>
      </c>
      <c r="P56" s="5" t="s">
        <v>661</v>
      </c>
    </row>
    <row r="57" customFormat="false" ht="17.15" hidden="false" customHeight="false" outlineLevel="0" collapsed="false">
      <c r="A57" s="0" t="s">
        <v>662</v>
      </c>
      <c r="B57" s="0" t="s">
        <v>52</v>
      </c>
      <c r="C57" s="13" t="n">
        <f aca="false">Thesis!$C$56/Thesis!$C$30</f>
        <v>0.362900395443635</v>
      </c>
      <c r="D57" s="13" t="n">
        <f aca="false">Thesis!$D$56/Thesis!$D$30</f>
        <v>0.335063632425483</v>
      </c>
      <c r="E57" s="13" t="n">
        <f aca="false">Thesis!$E$56/Thesis!$E$30</f>
        <v>0.397638855555478</v>
      </c>
      <c r="F57" s="13" t="n">
        <f aca="false">(Thesis!$O$56+Thesis!$E$56)/(Thesis!$O$30+Thesis!$E$30)</f>
        <v>0.361616727338133</v>
      </c>
      <c r="G57" s="13" t="n">
        <f aca="false">Thesis!$G$56/Thesis!$G$30</f>
        <v>0.379569803149143</v>
      </c>
      <c r="H57" s="13" t="n">
        <f aca="false">Thesis!$F$57</f>
        <v>0.361616727338133</v>
      </c>
      <c r="I57" s="13" t="n">
        <f aca="false">Thesis!$F$57</f>
        <v>0.361616727338133</v>
      </c>
      <c r="J57" s="13" t="n">
        <f aca="false">Thesis!$F$57</f>
        <v>0.361616727338133</v>
      </c>
      <c r="K57" s="13" t="n">
        <f aca="false">Thesis!$F$57</f>
        <v>0.361616727338133</v>
      </c>
      <c r="L57" s="13" t="n">
        <f aca="false">Thesis!$F$57</f>
        <v>0.361616727338133</v>
      </c>
      <c r="M57" s="13" t="n">
        <f aca="false">Thesis!$F$57</f>
        <v>0.361616727338133</v>
      </c>
      <c r="N57" s="13" t="n">
        <f aca="false">Thesis!$N$56/Thesis!$N$30</f>
        <v>0.35078810535806</v>
      </c>
      <c r="O57" s="13" t="n">
        <f aca="false">Thesis!$O$56/Thesis!$O$30</f>
        <v>0.320796939361619</v>
      </c>
      <c r="P57" s="8" t="s">
        <v>663</v>
      </c>
    </row>
    <row r="58" customFormat="false" ht="17.15" hidden="false" customHeight="false" outlineLevel="0" collapsed="false">
      <c r="A58" s="0" t="s">
        <v>664</v>
      </c>
      <c r="B58" s="0" t="s">
        <v>52</v>
      </c>
      <c r="D58" s="13" t="n">
        <f aca="false">(Q!$E$31-ext_sh*Thesis!$D$47)/Thesis!$D$30</f>
        <v>0.167180325480118</v>
      </c>
    </row>
    <row r="59" customFormat="false" ht="17.15" hidden="false" customHeight="false" outlineLevel="0" collapsed="false">
      <c r="A59" s="0" t="s">
        <v>665</v>
      </c>
      <c r="B59" s="0" t="s">
        <v>86</v>
      </c>
      <c r="C59" s="38" t="n">
        <f aca="false">Q!$D$31</f>
        <v>13.32</v>
      </c>
      <c r="D59" s="38" t="n">
        <f aca="false">Q!$E$31</f>
        <v>21.45</v>
      </c>
      <c r="E59" s="38" t="n">
        <f aca="false">Q!$P$31</f>
        <v>15.353</v>
      </c>
      <c r="F59" s="38" t="n">
        <f aca="false">ext_sh*Thesis!$F$47+Thesis!$D$58*Thesis!$F$30</f>
        <v>16.1969869840094</v>
      </c>
      <c r="G59" s="38" t="n">
        <f aca="false">Thesis!$E$59+Thesis!$F$59</f>
        <v>31.5499869840094</v>
      </c>
      <c r="H59" s="38" t="n">
        <f aca="false">ext_sh*Thesis!$H$47+Thesis!$D$58*Thesis!$H$30</f>
        <v>50.9556213609176</v>
      </c>
      <c r="I59" s="38" t="n">
        <f aca="false">ext_sh*Thesis!$I$47+Thesis!$D$58*Thesis!$I$30</f>
        <v>80.066903031952</v>
      </c>
      <c r="J59" s="38" t="n">
        <f aca="false">ext_sh*Thesis!$J$47+Thesis!$D$58*Thesis!$J$30</f>
        <v>106.522769788046</v>
      </c>
      <c r="K59" s="38" t="n">
        <f aca="false">ext_sh*Thesis!$K$47+Thesis!$D$58*Thesis!$K$30</f>
        <v>133.305655930411</v>
      </c>
      <c r="L59" s="38" t="n">
        <f aca="false">ext_sh*Thesis!$L$47+Thesis!$D$58*Thesis!$L$30</f>
        <v>153.12948349458</v>
      </c>
      <c r="M59" s="38" t="n">
        <f aca="false">ext_sh*Thesis!$M$47+Thesis!$D$58*Thesis!$M$30</f>
        <v>165.940289802122</v>
      </c>
      <c r="N59" s="38" t="n">
        <f aca="false">Q!$N$31</f>
        <v>9.234</v>
      </c>
      <c r="O59" s="38" t="n">
        <f aca="false">Q!$O$31</f>
        <v>12.216</v>
      </c>
    </row>
    <row r="60" customFormat="false" ht="17.15" hidden="false" customHeight="false" outlineLevel="0" collapsed="false">
      <c r="A60" s="1" t="s">
        <v>666</v>
      </c>
    </row>
    <row r="61" customFormat="false" ht="17.15" hidden="false" customHeight="false" outlineLevel="0" collapsed="false">
      <c r="A61" s="15" t="s">
        <v>667</v>
      </c>
      <c r="B61" s="14" t="s">
        <v>52</v>
      </c>
      <c r="C61" s="14"/>
      <c r="D61" s="14"/>
      <c r="E61" s="14"/>
      <c r="F61" s="14"/>
      <c r="G61" s="17" t="n">
        <f aca="false">Thesis!$G$51*(1-tax)/(ext_sh*(Thesis!$D$48+Thesis!$G$48)/2)</f>
        <v>0.0793874766565172</v>
      </c>
      <c r="H61" s="17" t="n">
        <f aca="false">Thesis!$H$51*(1-tax)/(ext_sh*(Thesis!$G$48+Thesis!$H$48)/2)</f>
        <v>0.147321507365949</v>
      </c>
      <c r="I61" s="17" t="n">
        <f aca="false">Thesis!$I$51*(1-tax)/(ext_sh*(Thesis!$H$48+Thesis!$I$48)/2)</f>
        <v>0.163110350954647</v>
      </c>
      <c r="J61" s="17" t="n">
        <f aca="false">Thesis!$J$51*(1-tax)/(ext_sh*(Thesis!$I$48+Thesis!$J$48)/2)</f>
        <v>0.182704705753027</v>
      </c>
      <c r="K61" s="17" t="n">
        <f aca="false">Thesis!$K$51*(1-tax)/(ext_sh*(Thesis!$J$48+Thesis!$K$48)/2)</f>
        <v>0.197605398071831</v>
      </c>
      <c r="L61" s="17" t="n">
        <f aca="false">Thesis!$L$51*(1-tax)/(ext_sh*(Thesis!$K$48+Thesis!$L$48)/2)</f>
        <v>0.215262978682961</v>
      </c>
      <c r="M61" s="17" t="n">
        <f aca="false">Thesis!$M$51*(1-tax)/(ext_sh*(Thesis!$L$48+Thesis!$M$48)/2)</f>
        <v>0.227924272674851</v>
      </c>
      <c r="N61" s="14"/>
      <c r="O61" s="14"/>
      <c r="P61" s="8" t="s">
        <v>668</v>
      </c>
    </row>
    <row r="62" customFormat="false" ht="17.15" hidden="false" customHeight="false" outlineLevel="0" collapsed="false">
      <c r="A62" s="5" t="s">
        <v>669</v>
      </c>
      <c r="B62" s="0" t="s">
        <v>57</v>
      </c>
      <c r="H62" s="36" t="n">
        <f aca="false">Thesis!$H$26*1000/(mw_open*he_open+Thesis!$H$24*Thesis!$H$21)</f>
        <v>1.34547185053953</v>
      </c>
      <c r="I62" s="36" t="n">
        <f aca="false">Thesis!$I$26*1000/(mw_open*he_open+Thesis!$I$24*Thesis!$I$21)</f>
        <v>1.41624158558789</v>
      </c>
      <c r="J62" s="36" t="n">
        <f aca="false">Thesis!$J$26*1000/(mw_open*he_open+Thesis!$J$24*Thesis!$J$21)</f>
        <v>1.44599072114959</v>
      </c>
      <c r="K62" s="36" t="n">
        <f aca="false">Thesis!$K$26*1000/(mw_open*he_open+Thesis!$K$24*Thesis!$K$21)</f>
        <v>1.46039310245524</v>
      </c>
      <c r="L62" s="36" t="n">
        <f aca="false">Thesis!$L$26*1000/(mw_open*he_open+Thesis!$L$24*Thesis!$L$21)</f>
        <v>1.46709503210944</v>
      </c>
      <c r="M62" s="36" t="n">
        <f aca="false">Thesis!$M$26*1000/(mw_open*he_open+Thesis!$M$24*Thesis!$M$21)</f>
        <v>1.46977231872523</v>
      </c>
    </row>
    <row r="63" customFormat="false" ht="17.15" hidden="false" customHeight="false" outlineLevel="0" collapsed="false">
      <c r="A63" s="5" t="s">
        <v>670</v>
      </c>
      <c r="B63" s="0" t="s">
        <v>57</v>
      </c>
      <c r="H63" s="36" t="n">
        <f aca="false">Thesis!$H$62*(Thesis!$H$26+wacc*ext_sh*(Thesis!$G$48+Thesis!$H$48)/2/(1-tax)-Thesis!$H$51)/Thesis!$H$26</f>
        <v>1.17277136544231</v>
      </c>
      <c r="I63" s="36" t="n">
        <f aca="false">Thesis!$I$62*(Thesis!$I$26+wacc*ext_sh*(Thesis!$H$48+Thesis!$I$48)/2/(1-tax)-Thesis!$I$51)/Thesis!$I$26</f>
        <v>1.19279938065768</v>
      </c>
      <c r="J63" s="36" t="n">
        <f aca="false">Thesis!$J$62*(Thesis!$J$26+wacc*ext_sh*(Thesis!$I$48+Thesis!$J$48)/2/(1-tax)-Thesis!$J$51)/Thesis!$J$26</f>
        <v>1.16374864393195</v>
      </c>
      <c r="K63" s="36" t="n">
        <f aca="false">Thesis!$K$62*(Thesis!$K$26+wacc*ext_sh*(Thesis!$J$48+Thesis!$K$48)/2/(1-tax)-Thesis!$K$51)/Thesis!$K$26</f>
        <v>1.15039475113234</v>
      </c>
      <c r="L63" s="36" t="n">
        <f aca="false">Thesis!$L$62*(Thesis!$L$26+wacc*ext_sh*(Thesis!$K$48+Thesis!$L$48)/2/(1-tax)-Thesis!$L$51)/Thesis!$L$26</f>
        <v>1.12908006535671</v>
      </c>
      <c r="M63" s="36" t="n">
        <f aca="false">Thesis!$M$62*(Thesis!$M$26+wacc*ext_sh*(Thesis!$L$48+Thesis!$M$48)/2/(1-tax)-Thesis!$M$51)/Thesis!$M$26</f>
        <v>1.11730182129095</v>
      </c>
    </row>
    <row r="64" customFormat="false" ht="17.15" hidden="false" customHeight="false" outlineLevel="0" collapsed="false">
      <c r="A64" s="5" t="s">
        <v>671</v>
      </c>
      <c r="B64" s="0" t="s">
        <v>52</v>
      </c>
      <c r="C64" s="13" t="n">
        <f aca="false">Thesis!$C$27/tk_pq</f>
        <v>0.195316432429398</v>
      </c>
      <c r="D64" s="13" t="n">
        <f aca="false">Thesis!$D$27/tk_pq</f>
        <v>0.195316432429398</v>
      </c>
      <c r="E64" s="13" t="n">
        <f aca="false">Thesis!$E$27/tk_pq</f>
        <v>0.195316432429398</v>
      </c>
      <c r="F64" s="13" t="n">
        <f aca="false">Thesis!$F$27/tk_pq</f>
        <v>0.238216369188823</v>
      </c>
      <c r="G64" s="13" t="n">
        <f aca="false">Thesis!$G$27/tk_pq</f>
        <v>0.222398239257102</v>
      </c>
      <c r="H64" s="13" t="n">
        <f aca="false">Thesis!$H$27/tk_pq</f>
        <v>0.288662452721988</v>
      </c>
      <c r="I64" s="13" t="n">
        <f aca="false">Thesis!$I$27/tk_pq</f>
        <v>0.313283832077501</v>
      </c>
      <c r="J64" s="13" t="n">
        <f aca="false">Thesis!$J$27/tk_pq</f>
        <v>0.324501807962888</v>
      </c>
      <c r="K64" s="13" t="n">
        <f aca="false">Thesis!$K$27/tk_pq</f>
        <v>0.330006797137512</v>
      </c>
      <c r="L64" s="13" t="n">
        <f aca="false">Thesis!$L$27/tk_pq</f>
        <v>0.332592351849539</v>
      </c>
      <c r="M64" s="13" t="n">
        <f aca="false">Thesis!$M$27/tk_pq</f>
        <v>0.333580761841585</v>
      </c>
      <c r="N64" s="13" t="n">
        <f aca="false">Thesis!$N$27/tk_pq</f>
        <v>0.195316432429398</v>
      </c>
      <c r="O64" s="13" t="n">
        <f aca="false">Thesis!$O$27/tk_pq</f>
        <v>0.195316432429398</v>
      </c>
      <c r="P64" s="5" t="s">
        <v>672</v>
      </c>
    </row>
    <row r="67" customFormat="false" ht="19.4" hidden="false" customHeight="false" outlineLevel="0" collapsed="false">
      <c r="A67" s="31" t="s">
        <v>673</v>
      </c>
    </row>
    <row r="68" customFormat="false" ht="17.15" hidden="false" customHeight="false" outlineLevel="0" collapsed="false">
      <c r="A68" s="6" t="s">
        <v>16</v>
      </c>
      <c r="B68" s="6" t="s">
        <v>17</v>
      </c>
      <c r="C68" s="20" t="s">
        <v>504</v>
      </c>
      <c r="D68" s="20" t="s">
        <v>505</v>
      </c>
      <c r="E68" s="20" t="s">
        <v>587</v>
      </c>
      <c r="F68" s="20" t="s">
        <v>588</v>
      </c>
      <c r="G68" s="20" t="s">
        <v>589</v>
      </c>
      <c r="H68" s="20" t="s">
        <v>590</v>
      </c>
      <c r="I68" s="20" t="s">
        <v>591</v>
      </c>
      <c r="J68" s="20" t="s">
        <v>592</v>
      </c>
      <c r="K68" s="20" t="s">
        <v>593</v>
      </c>
      <c r="L68" s="20" t="s">
        <v>594</v>
      </c>
      <c r="M68" s="20" t="s">
        <v>595</v>
      </c>
      <c r="N68" s="20" t="s">
        <v>596</v>
      </c>
      <c r="O68" s="20" t="s">
        <v>597</v>
      </c>
      <c r="P68" s="6" t="s">
        <v>23</v>
      </c>
      <c r="R68" s="20" t="n">
        <v>2023</v>
      </c>
      <c r="S68" s="20" t="n">
        <v>2024</v>
      </c>
      <c r="T68" s="20" t="n">
        <v>2025</v>
      </c>
      <c r="U68" s="20" t="n">
        <v>2026</v>
      </c>
      <c r="V68" s="20" t="n">
        <v>2027</v>
      </c>
      <c r="W68" s="20" t="n">
        <v>2028</v>
      </c>
      <c r="X68" s="20" t="n">
        <v>2029</v>
      </c>
      <c r="Y68" s="20" t="n">
        <v>2030</v>
      </c>
      <c r="Z68" s="20" t="n">
        <v>2031</v>
      </c>
      <c r="AA68" s="20" t="n">
        <v>2032</v>
      </c>
    </row>
    <row r="69" customFormat="false" ht="17.15" hidden="false" customHeight="false" outlineLevel="0" collapsed="false">
      <c r="A69" s="1" t="s">
        <v>598</v>
      </c>
    </row>
    <row r="70" customFormat="false" ht="17.15" hidden="false" customHeight="false" outlineLevel="0" collapsed="false">
      <c r="A70" s="5" t="s">
        <v>599</v>
      </c>
      <c r="B70" s="0" t="s">
        <v>144</v>
      </c>
      <c r="H70" s="32" t="n">
        <f aca="false">pace_B</f>
        <v>3634.3</v>
      </c>
      <c r="I70" s="32" t="n">
        <f aca="false">pace_B</f>
        <v>3634.3</v>
      </c>
      <c r="J70" s="32" t="n">
        <f aca="false">pace_B</f>
        <v>3634.3</v>
      </c>
      <c r="K70" s="32" t="n">
        <f aca="false">pace_B+(Thesis!$J$71*tg-pace_B)*1/3</f>
        <v>2570.86716666667</v>
      </c>
      <c r="L70" s="32" t="n">
        <f aca="false">pace_B+(Thesis!$J$71*tg-pace_B)*2/3</f>
        <v>1507.43433333333</v>
      </c>
      <c r="M70" s="32" t="n">
        <f aca="false">pace_B+(Thesis!$J$71*tg-pace_B)*3/3</f>
        <v>444.0015</v>
      </c>
      <c r="P70" s="5" t="s">
        <v>600</v>
      </c>
    </row>
    <row r="71" customFormat="false" ht="17.15" hidden="false" customHeight="false" outlineLevel="0" collapsed="false">
      <c r="A71" s="15" t="s">
        <v>601</v>
      </c>
      <c r="B71" s="14" t="s">
        <v>129</v>
      </c>
      <c r="C71" s="33" t="n">
        <f aca="false">mw_ye24</f>
        <v>360</v>
      </c>
      <c r="D71" s="33" t="n">
        <f aca="false">mw_ye25</f>
        <v>1440</v>
      </c>
      <c r="E71" s="33" t="n">
        <f aca="false">mw_open</f>
        <v>2080</v>
      </c>
      <c r="F71" s="33" t="n">
        <f aca="false">Thesis!$E$71+pace_B*0.5</f>
        <v>3897.15</v>
      </c>
      <c r="G71" s="33" t="n">
        <f aca="false">Thesis!$F$71</f>
        <v>3897.15</v>
      </c>
      <c r="H71" s="33" t="n">
        <f aca="false">Thesis!$G$71+Thesis!$H$70</f>
        <v>7531.45</v>
      </c>
      <c r="I71" s="33" t="n">
        <f aca="false">Thesis!$H$71+Thesis!$I$70</f>
        <v>11165.75</v>
      </c>
      <c r="J71" s="33" t="n">
        <f aca="false">Thesis!$I$71+Thesis!$J$70</f>
        <v>14800.05</v>
      </c>
      <c r="K71" s="33" t="n">
        <f aca="false">Thesis!$J$71+Thesis!$K$70</f>
        <v>17370.9171666667</v>
      </c>
      <c r="L71" s="33" t="n">
        <f aca="false">Thesis!$K$71+Thesis!$L$70</f>
        <v>18878.3515</v>
      </c>
      <c r="M71" s="33" t="n">
        <f aca="false">Thesis!$L$71+Thesis!$M$70</f>
        <v>19322.353</v>
      </c>
      <c r="N71" s="33" t="n">
        <f aca="false">(mw_ye24+mw_ye25)/2</f>
        <v>900</v>
      </c>
      <c r="O71" s="33" t="n">
        <f aca="false">mw_ye25</f>
        <v>1440</v>
      </c>
      <c r="P71" s="5" t="s">
        <v>602</v>
      </c>
    </row>
    <row r="72" customFormat="false" ht="17.15" hidden="false" customHeight="false" outlineLevel="0" collapsed="false">
      <c r="A72" s="5" t="s">
        <v>603</v>
      </c>
      <c r="B72" s="0" t="s">
        <v>129</v>
      </c>
      <c r="C72" s="32" t="n">
        <f aca="false">(mw_ye23+mw_ye24)/2</f>
        <v>240</v>
      </c>
      <c r="D72" s="32" t="n">
        <f aca="false">(Thesis!$C$71+Thesis!$D$71)/2</f>
        <v>900</v>
      </c>
      <c r="E72" s="32" t="n">
        <f aca="false">(Thesis!$D$71+Thesis!$E$71)/2</f>
        <v>1760</v>
      </c>
      <c r="F72" s="32" t="n">
        <f aca="false">(Thesis!$E$71+Thesis!$F$71)/2</f>
        <v>2988.575</v>
      </c>
      <c r="G72" s="32" t="n">
        <f aca="false">(Thesis!$E$72+Thesis!$F$72)/2</f>
        <v>2374.2875</v>
      </c>
      <c r="H72" s="32" t="n">
        <f aca="false">(Thesis!$G$71+Thesis!$H$71)/2</f>
        <v>5714.3</v>
      </c>
      <c r="I72" s="32" t="n">
        <f aca="false">(Thesis!$H$71+Thesis!$I$71)/2</f>
        <v>9348.6</v>
      </c>
      <c r="J72" s="32" t="n">
        <f aca="false">(Thesis!$I$71+Thesis!$J$71)/2</f>
        <v>12982.9</v>
      </c>
      <c r="K72" s="32" t="n">
        <f aca="false">(Thesis!$J$71+Thesis!$K$71)/2</f>
        <v>16085.4835833333</v>
      </c>
      <c r="L72" s="32" t="n">
        <f aca="false">(Thesis!$K$71+Thesis!$L$71)/2</f>
        <v>18124.6343333333</v>
      </c>
      <c r="M72" s="32" t="n">
        <f aca="false">(Thesis!$L$71+Thesis!$M$71)/2</f>
        <v>19100.35225</v>
      </c>
      <c r="N72" s="32" t="n">
        <f aca="false">(Thesis!$C$71+Thesis!$N$71)/2</f>
        <v>630</v>
      </c>
      <c r="O72" s="32" t="n">
        <f aca="false">(Thesis!$N$71+Thesis!$O$71)/2</f>
        <v>1170</v>
      </c>
    </row>
    <row r="73" customFormat="false" ht="15" hidden="false" customHeight="false" outlineLevel="0" collapsed="false">
      <c r="A73" s="5" t="s">
        <v>604</v>
      </c>
      <c r="B73" s="5" t="s">
        <v>123</v>
      </c>
      <c r="C73" s="34" t="n">
        <v>1</v>
      </c>
      <c r="D73" s="34" t="n">
        <v>1</v>
      </c>
      <c r="E73" s="34" t="n">
        <v>0.5</v>
      </c>
      <c r="F73" s="34" t="n">
        <v>0.5</v>
      </c>
      <c r="G73" s="34" t="n">
        <v>1</v>
      </c>
      <c r="H73" s="34" t="n">
        <v>1</v>
      </c>
      <c r="I73" s="34" t="n">
        <v>1</v>
      </c>
      <c r="J73" s="34" t="n">
        <v>1</v>
      </c>
      <c r="K73" s="34" t="n">
        <v>1</v>
      </c>
      <c r="L73" s="34" t="n">
        <v>1</v>
      </c>
      <c r="M73" s="34" t="n">
        <v>1</v>
      </c>
      <c r="N73" s="34" t="n">
        <v>0.5</v>
      </c>
      <c r="O73" s="34" t="n">
        <v>0.5</v>
      </c>
    </row>
    <row r="74" customFormat="false" ht="17.15" hidden="false" customHeight="false" outlineLevel="0" collapsed="false">
      <c r="A74" s="5" t="s">
        <v>605</v>
      </c>
      <c r="B74" s="0" t="s">
        <v>129</v>
      </c>
      <c r="C74" s="32" t="n">
        <f aca="false">Thesis!$C$71-mw_ye23</f>
        <v>240</v>
      </c>
      <c r="D74" s="32" t="n">
        <f aca="false">Thesis!$D$71-Thesis!$C$71</f>
        <v>1080</v>
      </c>
      <c r="E74" s="32" t="n">
        <f aca="false">Thesis!$E$71-Thesis!$D$71</f>
        <v>640</v>
      </c>
      <c r="F74" s="32" t="n">
        <f aca="false">Thesis!$F$71-Thesis!$E$71</f>
        <v>1817.15</v>
      </c>
      <c r="G74" s="32" t="n">
        <f aca="false">Thesis!$E$74+Thesis!$F$74</f>
        <v>2457.15</v>
      </c>
      <c r="H74" s="32" t="n">
        <f aca="false">Thesis!$H$71-Thesis!$G$71</f>
        <v>3634.3</v>
      </c>
      <c r="I74" s="32" t="n">
        <f aca="false">Thesis!$I$71-Thesis!$H$71</f>
        <v>3634.3</v>
      </c>
      <c r="J74" s="32" t="n">
        <f aca="false">Thesis!$J$71-Thesis!$I$71</f>
        <v>3634.3</v>
      </c>
      <c r="K74" s="32" t="n">
        <f aca="false">Thesis!$K$71-Thesis!$J$71</f>
        <v>2570.86716666667</v>
      </c>
      <c r="L74" s="32" t="n">
        <f aca="false">Thesis!$L$71-Thesis!$K$71</f>
        <v>1507.43433333333</v>
      </c>
      <c r="M74" s="32" t="n">
        <f aca="false">Thesis!$M$71-Thesis!$L$71</f>
        <v>444.001499999999</v>
      </c>
      <c r="N74" s="32" t="n">
        <f aca="false">Thesis!$N$71-Thesis!$C$71</f>
        <v>540</v>
      </c>
      <c r="O74" s="32" t="n">
        <f aca="false">Thesis!$O$71-Thesis!$N$71</f>
        <v>540</v>
      </c>
    </row>
    <row r="75" customFormat="false" ht="17.15" hidden="false" customHeight="false" outlineLevel="0" collapsed="false">
      <c r="A75" s="5" t="s">
        <v>606</v>
      </c>
      <c r="B75" s="0" t="s">
        <v>129</v>
      </c>
      <c r="C75" s="32" t="n">
        <f aca="false">Thesis!$C$74/ext_sh</f>
        <v>300</v>
      </c>
      <c r="D75" s="32" t="n">
        <f aca="false">Thesis!$D$74/ext_sh</f>
        <v>1350</v>
      </c>
      <c r="E75" s="32" t="n">
        <f aca="false">Thesis!$E$74/ext_sh</f>
        <v>800</v>
      </c>
      <c r="F75" s="32" t="n">
        <f aca="false">Thesis!$F$74/ext_sh</f>
        <v>2271.4375</v>
      </c>
      <c r="G75" s="32" t="n">
        <f aca="false">Thesis!$G$74/ext_sh</f>
        <v>3071.4375</v>
      </c>
      <c r="H75" s="32" t="n">
        <f aca="false">Thesis!$H$74/ext_sh</f>
        <v>4542.875</v>
      </c>
      <c r="I75" s="32" t="n">
        <f aca="false">Thesis!$I$74/ext_sh</f>
        <v>4542.875</v>
      </c>
      <c r="J75" s="32" t="n">
        <f aca="false">Thesis!$J$74/ext_sh</f>
        <v>4542.875</v>
      </c>
      <c r="K75" s="32" t="n">
        <f aca="false">Thesis!$K$74/ext_sh</f>
        <v>3213.58395833333</v>
      </c>
      <c r="L75" s="32" t="n">
        <f aca="false">Thesis!$L$74/ext_sh</f>
        <v>1884.29291666667</v>
      </c>
      <c r="M75" s="32" t="n">
        <f aca="false">Thesis!$M$74/ext_sh</f>
        <v>555.001874999998</v>
      </c>
      <c r="N75" s="32" t="n">
        <f aca="false">Thesis!$N$74/ext_sh</f>
        <v>675</v>
      </c>
      <c r="O75" s="32" t="n">
        <f aca="false">Thesis!$O$74/ext_sh</f>
        <v>675</v>
      </c>
      <c r="P75" s="8" t="s">
        <v>607</v>
      </c>
      <c r="R75" s="32" t="n">
        <f aca="false">mw_ye23/ext_sh</f>
        <v>150</v>
      </c>
      <c r="S75" s="32" t="n">
        <f aca="false">Thesis!$C$75</f>
        <v>300</v>
      </c>
      <c r="T75" s="32" t="n">
        <f aca="false">Thesis!$D$75</f>
        <v>1350</v>
      </c>
      <c r="U75" s="32" t="n">
        <f aca="false">Thesis!$G$75</f>
        <v>3071.4375</v>
      </c>
      <c r="V75" s="32" t="n">
        <f aca="false">Thesis!$H$75</f>
        <v>4542.875</v>
      </c>
      <c r="W75" s="32" t="n">
        <f aca="false">Thesis!$I$75</f>
        <v>4542.875</v>
      </c>
      <c r="X75" s="32" t="n">
        <f aca="false">Thesis!$J$75</f>
        <v>4542.875</v>
      </c>
      <c r="Y75" s="32" t="n">
        <f aca="false">Thesis!$K$75</f>
        <v>3213.58395833333</v>
      </c>
      <c r="Z75" s="32" t="n">
        <f aca="false">Thesis!$L$75</f>
        <v>1884.29291666667</v>
      </c>
      <c r="AA75" s="32" t="n">
        <f aca="false">Thesis!$M$75</f>
        <v>555.001874999998</v>
      </c>
    </row>
    <row r="76" customFormat="false" ht="17.15" hidden="false" customHeight="false" outlineLevel="0" collapsed="false">
      <c r="A76" s="1" t="s">
        <v>608</v>
      </c>
    </row>
    <row r="77" customFormat="false" ht="17.15" hidden="false" customHeight="false" outlineLevel="0" collapsed="false">
      <c r="A77" s="0" t="s">
        <v>609</v>
      </c>
      <c r="B77" s="0" t="s">
        <v>52</v>
      </c>
      <c r="F77" s="35" t="n">
        <f aca="false">na_vr26</f>
        <v>0</v>
      </c>
      <c r="G77" s="35" t="n">
        <f aca="false">na_vr26</f>
        <v>0</v>
      </c>
      <c r="H77" s="35" t="n">
        <f aca="false">na_vr27</f>
        <v>0.5</v>
      </c>
      <c r="I77" s="35" t="n">
        <f aca="false">na_vr28</f>
        <v>1</v>
      </c>
      <c r="J77" s="35" t="n">
        <f aca="false">na_vr28</f>
        <v>1</v>
      </c>
      <c r="K77" s="35" t="n">
        <f aca="false">na_vr28</f>
        <v>1</v>
      </c>
      <c r="L77" s="35" t="n">
        <f aca="false">na_vr28</f>
        <v>1</v>
      </c>
      <c r="M77" s="35" t="n">
        <f aca="false">na_vr28</f>
        <v>1</v>
      </c>
    </row>
    <row r="78" customFormat="false" ht="17.15" hidden="false" customHeight="false" outlineLevel="0" collapsed="false">
      <c r="A78" s="5" t="s">
        <v>610</v>
      </c>
      <c r="B78" s="0" t="s">
        <v>173</v>
      </c>
      <c r="F78" s="36" t="n">
        <f aca="false">cust_sh*tk_he_gb300*cf_chip+(1-cust_sh)*((1-Thesis!$F$77)*tk_he_gb300+Thesis!$F$77*tk_he_vr200)</f>
        <v>10.8864110021101</v>
      </c>
      <c r="G78" s="36" t="n">
        <f aca="false">cust_sh*tk_he_gb300*cf_chip+(1-cust_sh)*((1-Thesis!$G$77)*tk_he_gb300+Thesis!$G$77*tk_he_vr200)</f>
        <v>10.8864110021101</v>
      </c>
      <c r="H78" s="36" t="n">
        <f aca="false">cust_sh*tk_he_gb300*cf_chip+(1-cust_sh)*((1-Thesis!$H$77)*tk_he_gb300+Thesis!$H$77*tk_he_vr200)</f>
        <v>11.2211760027286</v>
      </c>
      <c r="I78" s="36" t="n">
        <f aca="false">cust_sh*tk_he_gb300*cf_chip+(1-cust_sh)*((1-Thesis!$I$77)*tk_he_gb300+Thesis!$I$77*tk_he_vr200)</f>
        <v>11.5559410033471</v>
      </c>
      <c r="J78" s="36" t="n">
        <f aca="false">cust_sh*tk_he_gb300*cf_chip+(1-cust_sh)*((1-Thesis!$J$77)*tk_he_gb300+Thesis!$J$77*tk_he_vr200)</f>
        <v>11.5559410033471</v>
      </c>
      <c r="K78" s="36" t="n">
        <f aca="false">cust_sh*tk_he_gb300*cf_chip+(1-cust_sh)*((1-Thesis!$K$77)*tk_he_gb300+Thesis!$K$77*tk_he_vr200)</f>
        <v>11.5559410033471</v>
      </c>
      <c r="L78" s="36" t="n">
        <f aca="false">cust_sh*tk_he_gb300*cf_chip+(1-cust_sh)*((1-Thesis!$L$77)*tk_he_gb300+Thesis!$L$77*tk_he_vr200)</f>
        <v>11.5559410033471</v>
      </c>
      <c r="M78" s="36" t="n">
        <f aca="false">cust_sh*tk_he_gb300*cf_chip+(1-cust_sh)*((1-Thesis!$M$77)*tk_he_gb300+Thesis!$M$77*tk_he_vr200)</f>
        <v>11.5559410033471</v>
      </c>
    </row>
    <row r="79" customFormat="false" ht="17.15" hidden="false" customHeight="false" outlineLevel="0" collapsed="false">
      <c r="A79" s="5" t="s">
        <v>611</v>
      </c>
      <c r="B79" s="0" t="s">
        <v>173</v>
      </c>
      <c r="F79" s="36" t="n">
        <f aca="false">cust_sh*tk_ox_gb300+(1-cust_sh)*((1-Thesis!$F$77)*tk_ox_gb300+Thesis!$F$77*tk_ox_vr200)</f>
        <v>1.98263481314457</v>
      </c>
      <c r="G79" s="36" t="n">
        <f aca="false">cust_sh*tk_ox_gb300+(1-cust_sh)*((1-Thesis!$G$77)*tk_ox_gb300+Thesis!$G$77*tk_ox_vr200)</f>
        <v>1.98263481314457</v>
      </c>
      <c r="H79" s="36" t="n">
        <f aca="false">cust_sh*tk_ox_gb300+(1-cust_sh)*((1-Thesis!$H$77)*tk_ox_gb300+Thesis!$H$77*tk_ox_vr200)</f>
        <v>2.01034999693694</v>
      </c>
      <c r="I79" s="36" t="n">
        <f aca="false">cust_sh*tk_ox_gb300+(1-cust_sh)*((1-Thesis!$I$77)*tk_ox_gb300+Thesis!$I$77*tk_ox_vr200)</f>
        <v>2.0380651807293</v>
      </c>
      <c r="J79" s="36" t="n">
        <f aca="false">cust_sh*tk_ox_gb300+(1-cust_sh)*((1-Thesis!$J$77)*tk_ox_gb300+Thesis!$J$77*tk_ox_vr200)</f>
        <v>2.0380651807293</v>
      </c>
      <c r="K79" s="36" t="n">
        <f aca="false">cust_sh*tk_ox_gb300+(1-cust_sh)*((1-Thesis!$K$77)*tk_ox_gb300+Thesis!$K$77*tk_ox_vr200)</f>
        <v>2.0380651807293</v>
      </c>
      <c r="L79" s="36" t="n">
        <f aca="false">cust_sh*tk_ox_gb300+(1-cust_sh)*((1-Thesis!$L$77)*tk_ox_gb300+Thesis!$L$77*tk_ox_vr200)</f>
        <v>2.0380651807293</v>
      </c>
      <c r="M79" s="36" t="n">
        <f aca="false">cust_sh*tk_ox_gb300+(1-cust_sh)*((1-Thesis!$M$77)*tk_ox_gb300+Thesis!$M$77*tk_ox_vr200)</f>
        <v>2.0380651807293</v>
      </c>
    </row>
    <row r="80" customFormat="false" ht="17.15" hidden="false" customHeight="false" outlineLevel="0" collapsed="false">
      <c r="A80" s="5" t="s">
        <v>612</v>
      </c>
      <c r="B80" s="0" t="s">
        <v>192</v>
      </c>
      <c r="F80" s="36" t="n">
        <f aca="false">cust_sh*tk_cx_gb300*cf_cx+(1-cust_sh)*((1-Thesis!$F$77)*tk_cx_gb300+Thesis!$F$77*tk_cx_vr200)</f>
        <v>32.237224</v>
      </c>
      <c r="G80" s="36" t="n">
        <f aca="false">cust_sh*tk_cx_gb300*cf_cx+(1-cust_sh)*((1-Thesis!$G$77)*tk_cx_gb300+Thesis!$G$77*tk_cx_vr200)</f>
        <v>32.237224</v>
      </c>
      <c r="H80" s="36" t="n">
        <f aca="false">cust_sh*tk_cx_gb300*cf_cx+(1-cust_sh)*((1-Thesis!$H$77)*tk_cx_gb300+Thesis!$H$77*tk_cx_vr200)</f>
        <v>33.574506</v>
      </c>
      <c r="I80" s="36" t="n">
        <f aca="false">cust_sh*tk_cx_gb300*cf_cx+(1-cust_sh)*((1-Thesis!$I$77)*tk_cx_gb300+Thesis!$I$77*tk_cx_vr200)</f>
        <v>34.911788</v>
      </c>
      <c r="J80" s="36" t="n">
        <f aca="false">cust_sh*tk_cx_gb300*cf_cx+(1-cust_sh)*((1-Thesis!$J$77)*tk_cx_gb300+Thesis!$J$77*tk_cx_vr200)</f>
        <v>34.911788</v>
      </c>
      <c r="K80" s="36" t="n">
        <f aca="false">cust_sh*tk_cx_gb300*cf_cx+(1-cust_sh)*((1-Thesis!$K$77)*tk_cx_gb300+Thesis!$K$77*tk_cx_vr200)</f>
        <v>34.911788</v>
      </c>
      <c r="L80" s="36" t="n">
        <f aca="false">cust_sh*tk_cx_gb300*cf_cx+(1-cust_sh)*((1-Thesis!$L$77)*tk_cx_gb300+Thesis!$L$77*tk_cx_vr200)</f>
        <v>34.911788</v>
      </c>
      <c r="M80" s="36" t="n">
        <f aca="false">cust_sh*tk_cx_gb300*cf_cx+(1-cust_sh)*((1-Thesis!$M$77)*tk_cx_gb300+Thesis!$M$77*tk_cx_vr200)</f>
        <v>34.911788</v>
      </c>
    </row>
    <row r="81" customFormat="false" ht="17.15" hidden="false" customHeight="false" outlineLevel="0" collapsed="false">
      <c r="A81" s="5" t="s">
        <v>613</v>
      </c>
      <c r="B81" s="0" t="s">
        <v>129</v>
      </c>
      <c r="F81" s="32" t="n">
        <f aca="false">Thesis!$F$71-mw_open</f>
        <v>1817.15</v>
      </c>
      <c r="G81" s="32" t="n">
        <f aca="false">Thesis!$F$81</f>
        <v>1817.15</v>
      </c>
      <c r="H81" s="32" t="n">
        <f aca="false">Thesis!$H$71-mw_open</f>
        <v>5451.45</v>
      </c>
      <c r="I81" s="32" t="n">
        <f aca="false">Thesis!$I$71-mw_open</f>
        <v>9085.75</v>
      </c>
      <c r="J81" s="32" t="n">
        <f aca="false">Thesis!$J$71-mw_open</f>
        <v>12720.05</v>
      </c>
      <c r="K81" s="32" t="n">
        <f aca="false">Thesis!$K$71-mw_open</f>
        <v>15290.9171666667</v>
      </c>
      <c r="L81" s="32" t="n">
        <f aca="false">Thesis!$L$71-mw_open</f>
        <v>16798.3515</v>
      </c>
      <c r="M81" s="32" t="n">
        <f aca="false">Thesis!$M$71-mw_open</f>
        <v>17242.353</v>
      </c>
    </row>
    <row r="82" customFormat="false" ht="17.15" hidden="false" customHeight="false" outlineLevel="0" collapsed="false">
      <c r="A82" s="0" t="s">
        <v>614</v>
      </c>
      <c r="B82" s="0" t="s">
        <v>615</v>
      </c>
      <c r="F82" s="32" t="n">
        <f aca="false">Thesis!$F$74*Thesis!$F$78</f>
        <v>19782.2417524844</v>
      </c>
      <c r="G82" s="32" t="n">
        <f aca="false">Thesis!$F$82</f>
        <v>19782.2417524844</v>
      </c>
      <c r="H82" s="32" t="n">
        <f aca="false">Thesis!$G$82+Thesis!$H$74*Thesis!$H$78</f>
        <v>60563.3616992009</v>
      </c>
      <c r="I82" s="32" t="n">
        <f aca="false">Thesis!$H$82+Thesis!$I$74*Thesis!$I$78</f>
        <v>102561.118087665</v>
      </c>
      <c r="J82" s="32" t="n">
        <f aca="false">Thesis!$I$82+Thesis!$J$74*Thesis!$J$78</f>
        <v>144558.87447613</v>
      </c>
      <c r="K82" s="32" t="n">
        <f aca="false">Thesis!$J$82+Thesis!$K$74*Thesis!$K$78</f>
        <v>174267.663781572</v>
      </c>
      <c r="L82" s="32" t="n">
        <f aca="false">Thesis!$K$82+Thesis!$L$74*Thesis!$L$78</f>
        <v>191687.486003992</v>
      </c>
      <c r="M82" s="32" t="n">
        <f aca="false">Thesis!$L$82+Thesis!$M$74*Thesis!$M$78</f>
        <v>196818.341143389</v>
      </c>
    </row>
    <row r="83" customFormat="false" ht="17.15" hidden="false" customHeight="false" outlineLevel="0" collapsed="false">
      <c r="A83" s="0" t="s">
        <v>616</v>
      </c>
      <c r="B83" s="0" t="s">
        <v>615</v>
      </c>
      <c r="F83" s="32" t="n">
        <f aca="false">Thesis!$F$74*Thesis!$F$79</f>
        <v>3602.74485070566</v>
      </c>
      <c r="G83" s="32" t="n">
        <f aca="false">Thesis!$F$83</f>
        <v>3602.74485070566</v>
      </c>
      <c r="H83" s="32" t="n">
        <f aca="false">Thesis!$G$83+Thesis!$H$74*Thesis!$H$79</f>
        <v>10908.9598445736</v>
      </c>
      <c r="I83" s="32" t="n">
        <f aca="false">Thesis!$H$83+Thesis!$I$74*Thesis!$I$79</f>
        <v>18315.9001308981</v>
      </c>
      <c r="J83" s="32" t="n">
        <f aca="false">Thesis!$I$83+Thesis!$J$74*Thesis!$J$79</f>
        <v>25722.8404172225</v>
      </c>
      <c r="K83" s="32" t="n">
        <f aca="false">Thesis!$J$83+Thesis!$K$74*Thesis!$K$79</f>
        <v>30962.4352738861</v>
      </c>
      <c r="L83" s="32" t="n">
        <f aca="false">Thesis!$K$83+Thesis!$L$74*Thesis!$L$79</f>
        <v>34034.6847008886</v>
      </c>
      <c r="M83" s="32" t="n">
        <f aca="false">Thesis!$L$83+Thesis!$M$74*Thesis!$M$79</f>
        <v>34939.5886982302</v>
      </c>
    </row>
    <row r="84" customFormat="false" ht="17.15" hidden="false" customHeight="false" outlineLevel="0" collapsed="false">
      <c r="A84" s="5" t="s">
        <v>617</v>
      </c>
      <c r="B84" s="0" t="s">
        <v>173</v>
      </c>
      <c r="F84" s="36" t="n">
        <f aca="false">IF(Thesis!$F$81&gt;0,Thesis!$F$82/Thesis!$F$81,Thesis!$F$78)</f>
        <v>10.8864110021101</v>
      </c>
      <c r="G84" s="36" t="n">
        <f aca="false">IF(Thesis!$G$81&gt;0,Thesis!$G$82/Thesis!$G$81,Thesis!$G$78)</f>
        <v>10.8864110021101</v>
      </c>
      <c r="H84" s="36" t="n">
        <f aca="false">IF(Thesis!$H$81&gt;0,Thesis!$H$82/Thesis!$H$81,Thesis!$H$78)</f>
        <v>11.1095876691891</v>
      </c>
      <c r="I84" s="36" t="n">
        <f aca="false">IF(Thesis!$I$81&gt;0,Thesis!$I$82/Thesis!$I$81,Thesis!$I$78)</f>
        <v>11.2881290028523</v>
      </c>
      <c r="J84" s="36" t="n">
        <f aca="false">IF(Thesis!$J$81&gt;0,Thesis!$J$82/Thesis!$J$81,Thesis!$J$78)</f>
        <v>11.3646467172794</v>
      </c>
      <c r="K84" s="36" t="n">
        <f aca="false">IF(Thesis!$K$81&gt;0,Thesis!$K$82/Thesis!$K$81,Thesis!$K$78)</f>
        <v>11.3968090914432</v>
      </c>
      <c r="L84" s="36" t="n">
        <f aca="false">IF(Thesis!$L$81&gt;0,Thesis!$L$82/Thesis!$L$81,Thesis!$L$78)</f>
        <v>11.4110891181192</v>
      </c>
      <c r="M84" s="36" t="n">
        <f aca="false">IF(Thesis!$M$81&gt;0,Thesis!$M$82/Thesis!$M$81,Thesis!$M$78)</f>
        <v>11.4148191458201</v>
      </c>
    </row>
    <row r="85" customFormat="false" ht="17.15" hidden="false" customHeight="false" outlineLevel="0" collapsed="false">
      <c r="A85" s="5" t="s">
        <v>618</v>
      </c>
      <c r="B85" s="0" t="s">
        <v>173</v>
      </c>
      <c r="F85" s="36" t="n">
        <f aca="false">IF(Thesis!$F$81&gt;0,Thesis!$F$83/Thesis!$F$81,Thesis!$F$79)</f>
        <v>1.98263481314457</v>
      </c>
      <c r="G85" s="36" t="n">
        <f aca="false">IF(Thesis!$G$81&gt;0,Thesis!$G$83/Thesis!$G$81,Thesis!$G$79)</f>
        <v>1.98263481314457</v>
      </c>
      <c r="H85" s="36" t="n">
        <f aca="false">IF(Thesis!$H$81&gt;0,Thesis!$H$83/Thesis!$H$81,Thesis!$H$79)</f>
        <v>2.00111160233948</v>
      </c>
      <c r="I85" s="36" t="n">
        <f aca="false">IF(Thesis!$I$81&gt;0,Thesis!$I$83/Thesis!$I$81,Thesis!$I$79)</f>
        <v>2.01589303369541</v>
      </c>
      <c r="J85" s="36" t="n">
        <f aca="false">IF(Thesis!$J$81&gt;0,Thesis!$J$83/Thesis!$J$81,Thesis!$J$79)</f>
        <v>2.02222793284795</v>
      </c>
      <c r="K85" s="36" t="n">
        <f aca="false">IF(Thesis!$K$81&gt;0,Thesis!$K$83/Thesis!$K$81,Thesis!$K$79)</f>
        <v>2.02489065478573</v>
      </c>
      <c r="L85" s="36" t="n">
        <f aca="false">IF(Thesis!$L$81&gt;0,Thesis!$L$83/Thesis!$L$81,Thesis!$L$79)</f>
        <v>2.0260728977417</v>
      </c>
      <c r="M85" s="36" t="n">
        <f aca="false">IF(Thesis!$M$81&gt;0,Thesis!$M$83/Thesis!$M$81,Thesis!$M$79)</f>
        <v>2.02638170661685</v>
      </c>
    </row>
    <row r="86" customFormat="false" ht="17.15" hidden="false" customHeight="false" outlineLevel="0" collapsed="false">
      <c r="A86" s="15" t="s">
        <v>619</v>
      </c>
      <c r="B86" s="14" t="s">
        <v>173</v>
      </c>
      <c r="C86" s="14"/>
      <c r="D86" s="14"/>
      <c r="E86" s="14"/>
      <c r="F86" s="37" t="n">
        <f aca="false">Thesis!$F$84*k_B</f>
        <v>10.7987645808025</v>
      </c>
      <c r="G86" s="37" t="n">
        <f aca="false">Thesis!$G$84*k_B</f>
        <v>10.7987645808025</v>
      </c>
      <c r="H86" s="37" t="n">
        <f aca="false">Thesis!$H$84*k_B</f>
        <v>11.0201444540452</v>
      </c>
      <c r="I86" s="37" t="n">
        <f aca="false">Thesis!$I$84*k_B</f>
        <v>11.1972483526393</v>
      </c>
      <c r="J86" s="37" t="n">
        <f aca="false">Thesis!$J$84*k_B</f>
        <v>11.2731500234653</v>
      </c>
      <c r="K86" s="37" t="n">
        <f aca="false">Thesis!$K$84*k_B</f>
        <v>11.3050534585724</v>
      </c>
      <c r="L86" s="37" t="n">
        <f aca="false">Thesis!$L$84*k_B</f>
        <v>11.3192185168503</v>
      </c>
      <c r="M86" s="37" t="n">
        <f aca="false">Thesis!$M$84*k_B</f>
        <v>11.3229185141234</v>
      </c>
      <c r="N86" s="14"/>
      <c r="O86" s="14"/>
      <c r="P86" s="5" t="s">
        <v>620</v>
      </c>
    </row>
    <row r="87" customFormat="false" ht="17.15" hidden="false" customHeight="false" outlineLevel="0" collapsed="false">
      <c r="A87" s="5" t="s">
        <v>621</v>
      </c>
      <c r="B87" s="0" t="s">
        <v>129</v>
      </c>
      <c r="F87" s="32" t="n">
        <f aca="false">Thesis!$F$81/2</f>
        <v>908.575</v>
      </c>
      <c r="H87" s="32" t="n">
        <f aca="false">(Thesis!$G$81+Thesis!$H$81)/2</f>
        <v>3634.3</v>
      </c>
      <c r="I87" s="32" t="n">
        <f aca="false">(Thesis!$H$81+Thesis!$I$81)/2</f>
        <v>7268.6</v>
      </c>
      <c r="J87" s="32" t="n">
        <f aca="false">(Thesis!$I$81+Thesis!$J$81)/2</f>
        <v>10902.9</v>
      </c>
      <c r="K87" s="32" t="n">
        <f aca="false">(Thesis!$J$81+Thesis!$K$81)/2</f>
        <v>14005.4835833333</v>
      </c>
      <c r="L87" s="32" t="n">
        <f aca="false">(Thesis!$K$81+Thesis!$L$81)/2</f>
        <v>16044.6343333333</v>
      </c>
      <c r="M87" s="32" t="n">
        <f aca="false">(Thesis!$L$81+Thesis!$M$81)/2</f>
        <v>17020.35225</v>
      </c>
    </row>
    <row r="88" customFormat="false" ht="17.15" hidden="false" customHeight="false" outlineLevel="0" collapsed="false">
      <c r="A88" s="1" t="s">
        <v>622</v>
      </c>
    </row>
    <row r="89" customFormat="false" ht="17.15" hidden="false" customHeight="false" outlineLevel="0" collapsed="false">
      <c r="A89" s="1" t="s">
        <v>623</v>
      </c>
      <c r="B89" s="8" t="s">
        <v>86</v>
      </c>
      <c r="C89" s="38" t="n">
        <f aca="false">Thesis!$C$72*rpm_open*Thesis!$C$73/1000</f>
        <v>2.32100535697364</v>
      </c>
      <c r="D89" s="38" t="n">
        <f aca="false">Thesis!$D$72*rpm_open*Thesis!$D$73/1000</f>
        <v>8.70377008865116</v>
      </c>
      <c r="E89" s="38" t="n">
        <f aca="false">Thesis!$E$72*rpm_open*Thesis!$E$73/1000</f>
        <v>8.51035297557002</v>
      </c>
      <c r="F89" s="38" t="n">
        <f aca="false">(mw_open*rpm_open+Thesis!$F$87*Thesis!$F$86)*Thesis!$F$73/1000</f>
        <v>14.9634336447205</v>
      </c>
      <c r="G89" s="38" t="n">
        <f aca="false">Thesis!$E$89+Thesis!$F$89</f>
        <v>23.4737866202905</v>
      </c>
      <c r="H89" s="38" t="n">
        <f aca="false">(mw_open*rpm_open+Thesis!$H$87*Thesis!$H$86)/1000</f>
        <v>60.1658907497746</v>
      </c>
      <c r="I89" s="38" t="n">
        <f aca="false">(mw_open*rpm_open+Thesis!$I$87*Thesis!$I$86)/1000</f>
        <v>101.503699136432</v>
      </c>
      <c r="J89" s="38" t="n">
        <f aca="false">(mw_open*rpm_open+Thesis!$J$87*Thesis!$J$86)/1000</f>
        <v>143.025407151278</v>
      </c>
      <c r="K89" s="38" t="n">
        <f aca="false">(mw_open*rpm_open+Thesis!$K$87*Thesis!$K$86)/1000</f>
        <v>178.44812038318</v>
      </c>
      <c r="L89" s="38" t="n">
        <f aca="false">(mw_open*rpm_open+Thesis!$L$87*Thesis!$L$86)/1000</f>
        <v>201.728101802396</v>
      </c>
      <c r="M89" s="38" t="n">
        <f aca="false">(mw_open*rpm_open+Thesis!$M$87*Thesis!$M$86)/1000</f>
        <v>212.835441368865</v>
      </c>
      <c r="N89" s="38" t="n">
        <f aca="false">Thesis!$N$72*rpm_open*Thesis!$N$73/1000</f>
        <v>3.04631953102791</v>
      </c>
      <c r="O89" s="38" t="n">
        <f aca="false">Thesis!$O$72*rpm_open*Thesis!$O$73/1000</f>
        <v>5.65745055762326</v>
      </c>
      <c r="P89" s="5" t="s">
        <v>624</v>
      </c>
    </row>
    <row r="90" customFormat="false" ht="17.15" hidden="false" customHeight="false" outlineLevel="0" collapsed="false">
      <c r="A90" s="5" t="s">
        <v>625</v>
      </c>
      <c r="B90" s="0" t="s">
        <v>173</v>
      </c>
      <c r="C90" s="36" t="n">
        <f aca="false">Thesis!$C$89*1000/(Thesis!$C$72*Thesis!$C$73)</f>
        <v>9.67085565405685</v>
      </c>
      <c r="D90" s="36" t="n">
        <f aca="false">Thesis!$D$89*1000/(Thesis!$D$72*Thesis!$D$73)</f>
        <v>9.67085565405685</v>
      </c>
      <c r="E90" s="36" t="n">
        <f aca="false">Thesis!$E$89*1000/(Thesis!$E$72*Thesis!$E$73)</f>
        <v>9.67085565405685</v>
      </c>
      <c r="F90" s="36" t="n">
        <f aca="false">Thesis!$F$89*1000/(Thesis!$F$72*Thesis!$F$73)</f>
        <v>10.0137581588017</v>
      </c>
      <c r="G90" s="36" t="n">
        <f aca="false">Thesis!$G$89*1000/(Thesis!$G$72*Thesis!$G$73)</f>
        <v>9.88666562928478</v>
      </c>
      <c r="H90" s="36" t="n">
        <f aca="false">Thesis!$H$89*1000/(Thesis!$H$72*Thesis!$H$73)</f>
        <v>10.5290045586992</v>
      </c>
      <c r="I90" s="36" t="n">
        <f aca="false">Thesis!$I$89*1000/(Thesis!$I$72*Thesis!$I$73)</f>
        <v>10.8576363451674</v>
      </c>
      <c r="J90" s="36" t="n">
        <f aca="false">Thesis!$J$89*1000/(Thesis!$J$72*Thesis!$J$73)</f>
        <v>11.0164452588619</v>
      </c>
      <c r="K90" s="36" t="n">
        <f aca="false">Thesis!$K$89*1000/(Thesis!$K$72*Thesis!$K$73)</f>
        <v>11.0937367508227</v>
      </c>
      <c r="L90" s="36" t="n">
        <f aca="false">Thesis!$L$89*1000/(Thesis!$L$72*Thesis!$L$73)</f>
        <v>11.1300508519168</v>
      </c>
      <c r="M90" s="36" t="n">
        <f aca="false">Thesis!$M$89*1000/(Thesis!$M$72*Thesis!$M$73)</f>
        <v>11.1430113216297</v>
      </c>
      <c r="N90" s="36" t="n">
        <f aca="false">Thesis!$N$89*1000/(Thesis!$N$72*Thesis!$N$73)</f>
        <v>9.67085565405685</v>
      </c>
      <c r="O90" s="36" t="n">
        <f aca="false">Thesis!$O$89*1000/(Thesis!$O$72*Thesis!$O$73)</f>
        <v>9.67085565405685</v>
      </c>
    </row>
    <row r="91" customFormat="false" ht="17.15" hidden="false" customHeight="false" outlineLevel="0" collapsed="false">
      <c r="A91" s="0" t="s">
        <v>626</v>
      </c>
      <c r="B91" s="0" t="s">
        <v>86</v>
      </c>
      <c r="C91" s="38" t="n">
        <f aca="false">Thesis!$C$72/ext_sh*(ox_open+rent_mw)*Thesis!$C$73/1000</f>
        <v>0.642569210675032</v>
      </c>
      <c r="D91" s="38" t="n">
        <f aca="false">Thesis!$D$72/ext_sh*(ox_open+rent_mw)*Thesis!$D$73/1000</f>
        <v>2.40963454003137</v>
      </c>
      <c r="E91" s="38" t="n">
        <f aca="false">Thesis!$E$72/ext_sh*(ox_open+rent_mw)*Thesis!$E$73/1000</f>
        <v>2.35608710580845</v>
      </c>
      <c r="F91" s="38" t="n">
        <f aca="false">((mw_open*ox_open+Thesis!$F$87*Thesis!$F$85)/ext_sh+Thesis!$F$72/ext_sh*rent_mw)*Thesis!$F$73/1000</f>
        <v>4.05421991106232</v>
      </c>
      <c r="G91" s="38" t="n">
        <f aca="false">Thesis!$E$91+Thesis!$F$91</f>
        <v>6.41030701687077</v>
      </c>
      <c r="H91" s="38" t="n">
        <f aca="false">((mw_open*ox_open+Thesis!$H$87*Thesis!$H$85)/ext_sh+Thesis!$H$72/ext_sh*rent_mw)*Thesis!$H$73/1000</f>
        <v>15.8108975546616</v>
      </c>
      <c r="I91" s="38" t="n">
        <f aca="false">((mw_open*ox_open+Thesis!$I$87*Thesis!$I$85)/ext_sh+Thesis!$I$72/ext_sh*rent_mw)*Thesis!$I$73/1000</f>
        <v>26.1871623400817</v>
      </c>
      <c r="J91" s="38" t="n">
        <f aca="false">((mw_open*ox_open+Thesis!$J$87*Thesis!$J$85)/ext_sh+Thesis!$J$72/ext_sh*rent_mw)*Thesis!$J$73/1000</f>
        <v>36.5826128954935</v>
      </c>
      <c r="K91" s="38" t="n">
        <f aca="false">((mw_open*ox_open+Thesis!$K$87*Thesis!$K$85)/ext_sh+Thesis!$K$72/ext_sh*rent_mw)*Thesis!$K$73/1000</f>
        <v>45.4546361137628</v>
      </c>
      <c r="L91" s="38" t="n">
        <f aca="false">((mw_open*ox_open+Thesis!$L$87*Thesis!$L$85)/ext_sh+Thesis!$L$72/ext_sh*rent_mw)*Thesis!$L$73/1000</f>
        <v>51.2855695554452</v>
      </c>
      <c r="M91" s="38" t="n">
        <f aca="false">((mw_open*ox_open+Thesis!$M$87*Thesis!$M$85)/ext_sh+Thesis!$M$72/ext_sh*rent_mw)*Thesis!$M$73/1000</f>
        <v>54.0722927838398</v>
      </c>
      <c r="N91" s="38" t="n">
        <f aca="false">Thesis!$N$72/ext_sh*(ox_open+rent_mw)*Thesis!$N$73/1000</f>
        <v>0.84337208901098</v>
      </c>
      <c r="O91" s="38" t="n">
        <f aca="false">Thesis!$O$72/ext_sh*(ox_open+rent_mw)*Thesis!$O$73/1000</f>
        <v>1.56626245102039</v>
      </c>
    </row>
    <row r="92" customFormat="false" ht="17.15" hidden="false" customHeight="false" outlineLevel="0" collapsed="false">
      <c r="A92" s="0" t="s">
        <v>627</v>
      </c>
      <c r="B92" s="0" t="s">
        <v>86</v>
      </c>
      <c r="C92" s="38" t="n">
        <f aca="false">Q!$D$7</f>
        <v>107.556</v>
      </c>
      <c r="D92" s="38" t="n">
        <f aca="false">Q!$E$7</f>
        <v>128.725</v>
      </c>
      <c r="E92" s="38" t="n">
        <f aca="false">Q!$P$7</f>
        <v>79.819</v>
      </c>
      <c r="N92" s="38" t="n">
        <f aca="false">Q!$N$7</f>
        <v>60.14</v>
      </c>
      <c r="O92" s="38" t="n">
        <f aca="false">Q!$O$7</f>
        <v>68.585</v>
      </c>
    </row>
    <row r="93" customFormat="false" ht="17.15" hidden="false" customHeight="false" outlineLevel="0" collapsed="false">
      <c r="A93" s="1" t="s">
        <v>628</v>
      </c>
      <c r="B93" s="8" t="s">
        <v>86</v>
      </c>
      <c r="C93" s="38" t="n">
        <f aca="false">Thesis!$C$92-Thesis!$C$89</f>
        <v>105.234994643026</v>
      </c>
      <c r="D93" s="38" t="n">
        <f aca="false">Thesis!$D$92-Thesis!$D$89</f>
        <v>120.021229911349</v>
      </c>
      <c r="E93" s="38" t="n">
        <f aca="false">Thesis!$E$92-Thesis!$E$89</f>
        <v>71.30864702443</v>
      </c>
      <c r="F93" s="38" t="n">
        <f aca="false">Thesis!$O$93*(1+Thesis!$F$94)</f>
        <v>71.7692997942464</v>
      </c>
      <c r="G93" s="38" t="n">
        <f aca="false">Thesis!$E$93+Thesis!$F$93</f>
        <v>143.077946818676</v>
      </c>
      <c r="H93" s="38" t="n">
        <f aca="false">Thesis!$G$93*(1+Thesis!$H$94)</f>
        <v>161.017077079203</v>
      </c>
      <c r="I93" s="38" t="n">
        <f aca="false">Thesis!$H$93*(1+Thesis!$I$94)</f>
        <v>178.769759521457</v>
      </c>
      <c r="J93" s="38" t="n">
        <f aca="false">Thesis!$I$93*(1+Thesis!$J$94)</f>
        <v>195.775538045907</v>
      </c>
      <c r="K93" s="38" t="n">
        <f aca="false">Thesis!$J$93*(1+Thesis!$K$94)</f>
        <v>211.43758108958</v>
      </c>
      <c r="L93" s="38" t="n">
        <f aca="false">Thesis!$K$93*(1+Thesis!$L$94)</f>
        <v>228.352587576746</v>
      </c>
      <c r="M93" s="38" t="n">
        <f aca="false">Thesis!$L$93*(1+Thesis!$M$94)</f>
        <v>246.620794582886</v>
      </c>
      <c r="N93" s="38" t="n">
        <f aca="false">Thesis!$N$92-Thesis!$N$89</f>
        <v>57.0936804689721</v>
      </c>
      <c r="O93" s="38" t="n">
        <f aca="false">Thesis!$O$92-Thesis!$O$89</f>
        <v>62.9275494423768</v>
      </c>
      <c r="P93" s="5" t="s">
        <v>629</v>
      </c>
    </row>
    <row r="94" customFormat="false" ht="17.15" hidden="false" customHeight="false" outlineLevel="0" collapsed="false">
      <c r="A94" s="0" t="s">
        <v>630</v>
      </c>
      <c r="B94" s="0" t="s">
        <v>52</v>
      </c>
      <c r="D94" s="13" t="n">
        <f aca="false">Thesis!$D$93/Thesis!$C$93-1</f>
        <v>0.140506827776062</v>
      </c>
      <c r="E94" s="13" t="n">
        <f aca="false">Thesis!$E$93/Thesis!$N$93-1</f>
        <v>0.248976181579029</v>
      </c>
      <c r="F94" s="13" t="n">
        <f aca="false">Thesis!$D$94</f>
        <v>0.140506827776062</v>
      </c>
      <c r="G94" s="13" t="n">
        <f aca="false">Thesis!$G$93/Thesis!$D$93-1</f>
        <v>0.19210532106993</v>
      </c>
      <c r="H94" s="13" t="n">
        <f aca="false">Thesis!$F$94+(g_awso_lt-Thesis!$F$94)*1/4</f>
        <v>0.125380120832046</v>
      </c>
      <c r="I94" s="13" t="n">
        <f aca="false">Thesis!$F$94+(g_awso_lt-Thesis!$F$94)*2/4</f>
        <v>0.110253413888031</v>
      </c>
      <c r="J94" s="13" t="n">
        <f aca="false">Thesis!$F$94+(g_awso_lt-Thesis!$F$94)*3/4</f>
        <v>0.0951267069440154</v>
      </c>
      <c r="K94" s="13" t="n">
        <f aca="false">Thesis!$F$94+(g_awso_lt-Thesis!$F$94)*4/4</f>
        <v>0.08</v>
      </c>
      <c r="L94" s="13" t="n">
        <f aca="false">g_awso_lt</f>
        <v>0.08</v>
      </c>
      <c r="M94" s="13" t="n">
        <f aca="false">g_awso_lt</f>
        <v>0.08</v>
      </c>
      <c r="P94" s="5" t="s">
        <v>631</v>
      </c>
    </row>
    <row r="95" customFormat="false" ht="17.15" hidden="false" customHeight="false" outlineLevel="0" collapsed="false">
      <c r="A95" s="1" t="s">
        <v>632</v>
      </c>
    </row>
    <row r="96" customFormat="false" ht="17.15" hidden="false" customHeight="false" outlineLevel="0" collapsed="false">
      <c r="A96" s="0" t="s">
        <v>633</v>
      </c>
      <c r="B96" s="0" t="s">
        <v>86</v>
      </c>
      <c r="F96" s="38" t="n">
        <f aca="false">cx_rt*Seg!$F$55+cx_awso*Thesis!$F$93</f>
        <v>34.9734495387866</v>
      </c>
    </row>
    <row r="97" customFormat="false" ht="17.15" hidden="false" customHeight="false" outlineLevel="0" collapsed="false">
      <c r="A97" s="0" t="s">
        <v>634</v>
      </c>
      <c r="B97" s="0" t="s">
        <v>52</v>
      </c>
      <c r="C97" s="13" t="n">
        <f aca="false">tk_cx_h100/(tk_cx_h100+tk_fac*(1-colo_sh))</f>
        <v>0.730756458006641</v>
      </c>
      <c r="D97" s="13" t="n">
        <f aca="false">tk_cx_h100/(tk_cx_h100+tk_fac*(1-colo_sh))</f>
        <v>0.730756458006641</v>
      </c>
      <c r="E97" s="13" t="n">
        <f aca="false">Thesis!$F$97</f>
        <v>0.760792334328868</v>
      </c>
      <c r="F97" s="13" t="n">
        <f aca="false">Thesis!$F$80/(Thesis!$F$80+tk_fac*(1-colo_sh))</f>
        <v>0.760792334328868</v>
      </c>
      <c r="G97" s="13" t="n">
        <f aca="false">Thesis!$G$80/(Thesis!$G$80+tk_fac*(1-colo_sh))</f>
        <v>0.760792334328868</v>
      </c>
      <c r="H97" s="13" t="n">
        <f aca="false">Thesis!$H$80/(Thesis!$H$80+tk_fac*(1-colo_sh))</f>
        <v>0.768110668862996</v>
      </c>
      <c r="I97" s="13" t="n">
        <f aca="false">Thesis!$I$80/(Thesis!$I$80+tk_fac*(1-colo_sh))</f>
        <v>0.77499450139483</v>
      </c>
      <c r="J97" s="13" t="n">
        <f aca="false">Thesis!$J$80/(Thesis!$J$80+tk_fac*(1-colo_sh))</f>
        <v>0.77499450139483</v>
      </c>
      <c r="K97" s="13" t="n">
        <f aca="false">Thesis!$K$80/(Thesis!$K$80+tk_fac*(1-colo_sh))</f>
        <v>0.77499450139483</v>
      </c>
      <c r="L97" s="13" t="n">
        <f aca="false">Thesis!$L$80/(Thesis!$L$80+tk_fac*(1-colo_sh))</f>
        <v>0.77499450139483</v>
      </c>
      <c r="M97" s="13" t="n">
        <f aca="false">Thesis!$M$80/(Thesis!$M$80+tk_fac*(1-colo_sh))</f>
        <v>0.77499450139483</v>
      </c>
    </row>
    <row r="98" customFormat="false" ht="17.15" hidden="false" customHeight="false" outlineLevel="0" collapsed="false">
      <c r="A98" s="1" t="s">
        <v>635</v>
      </c>
      <c r="B98" s="8" t="s">
        <v>86</v>
      </c>
      <c r="C98" s="38" t="n">
        <f aca="false">Q!$D$46-cx_rt*Q!$D$16-cx_awso*Thesis!$C$93</f>
        <v>25.2781053077374</v>
      </c>
      <c r="D98" s="38" t="n">
        <f aca="false">Q!$E$46-cx_rt*Q!$E$16-cx_awso*Thesis!$D$93</f>
        <v>69.5686316310026</v>
      </c>
      <c r="E98" s="38" t="n">
        <f aca="false">Q!$P$46-cx_rt*Q!$P$16-cx_awso*Thesis!$E$93</f>
        <v>64.1899206485108</v>
      </c>
      <c r="F98" s="38" t="n">
        <f aca="false">capex_g26-Q!$P$46-Thesis!$F$96</f>
        <v>88.7165504612134</v>
      </c>
      <c r="G98" s="38" t="n">
        <f aca="false">Thesis!$E$98+Thesis!$F$98</f>
        <v>152.906471109724</v>
      </c>
      <c r="H98" s="38" t="n">
        <f aca="false">Thesis!$H$75*(Thesis!$H$80+tk_fac*(1-colo_sh))/1000+Thesis!$H$99</f>
        <v>198.57136494475</v>
      </c>
      <c r="I98" s="38" t="n">
        <f aca="false">Thesis!$I$75*(Thesis!$I$80+tk_fac*(1-colo_sh))/1000+Thesis!$I$99</f>
        <v>204.6464699105</v>
      </c>
      <c r="J98" s="38" t="n">
        <f aca="false">Thesis!$J$75*(Thesis!$J$80+tk_fac*(1-colo_sh))/1000+Thesis!$J$99</f>
        <v>209.8832381105</v>
      </c>
      <c r="K98" s="38" t="n">
        <f aca="false">Thesis!$K$75*(Thesis!$K$80+tk_fac*(1-colo_sh))/1000+Thesis!$K$99</f>
        <v>155.238385275201</v>
      </c>
      <c r="L98" s="38" t="n">
        <f aca="false">Thesis!$L$75*(Thesis!$L$80+tk_fac*(1-colo_sh))/1000+Thesis!$L$99</f>
        <v>132.014141639902</v>
      </c>
      <c r="M98" s="38" t="n">
        <f aca="false">Thesis!$M$75*(Thesis!$M$80+tk_fac*(1-colo_sh))/1000+Thesis!$M$99</f>
        <v>132.230981659852</v>
      </c>
      <c r="P98" s="5" t="s">
        <v>636</v>
      </c>
      <c r="R98" s="38" t="n">
        <f aca="false">Q!$C$46-cx_rt*Q!$C$16-cx_awso*(Q!$C$7-mw_ye23/2*rpm_open/1000)</f>
        <v>1.50429979529945</v>
      </c>
      <c r="S98" s="38" t="n">
        <f aca="false">Thesis!$C$98</f>
        <v>25.2781053077374</v>
      </c>
      <c r="T98" s="38" t="n">
        <f aca="false">Thesis!$D$98</f>
        <v>69.5686316310026</v>
      </c>
      <c r="U98" s="38" t="n">
        <f aca="false">Thesis!$G$98</f>
        <v>152.906471109724</v>
      </c>
      <c r="V98" s="38" t="n">
        <f aca="false">Thesis!$H$98</f>
        <v>198.57136494475</v>
      </c>
      <c r="W98" s="38" t="n">
        <f aca="false">Thesis!$I$98</f>
        <v>204.6464699105</v>
      </c>
      <c r="X98" s="38" t="n">
        <f aca="false">Thesis!$J$98</f>
        <v>209.8832381105</v>
      </c>
      <c r="Y98" s="38" t="n">
        <f aca="false">Thesis!$K$98</f>
        <v>155.238385275201</v>
      </c>
      <c r="Z98" s="38" t="n">
        <f aca="false">Thesis!$L$98</f>
        <v>132.014141639902</v>
      </c>
      <c r="AA98" s="38" t="n">
        <f aca="false">Thesis!$M$98</f>
        <v>132.230981659852</v>
      </c>
    </row>
    <row r="99" customFormat="false" ht="17.15" hidden="false" customHeight="false" outlineLevel="0" collapsed="false">
      <c r="A99" s="0" t="s">
        <v>637</v>
      </c>
      <c r="B99" s="0" t="s">
        <v>86</v>
      </c>
      <c r="H99" s="38" t="n">
        <f aca="false">SUMPRODUCT(--(Thesis!$R$68:$AA$68=2027-tk_life),Thesis!$R$75:$AA$75)*Thesis!$H$80/1000</f>
        <v>0</v>
      </c>
      <c r="I99" s="38" t="n">
        <f aca="false">SUMPRODUCT(--(Thesis!$R$68:$AA$68=2028-tk_life),Thesis!$R$75:$AA$75)*Thesis!$I$80/1000</f>
        <v>0</v>
      </c>
      <c r="J99" s="38" t="n">
        <f aca="false">SUMPRODUCT(--(Thesis!$R$68:$AA$68=2029-tk_life),Thesis!$R$75:$AA$75)*Thesis!$J$80/1000</f>
        <v>5.2367682</v>
      </c>
      <c r="K99" s="38" t="n">
        <f aca="false">SUMPRODUCT(--(Thesis!$R$68:$AA$68=2030-tk_life),Thesis!$R$75:$AA$75)*Thesis!$K$80/1000</f>
        <v>10.4735364</v>
      </c>
      <c r="L99" s="38" t="n">
        <f aca="false">SUMPRODUCT(--(Thesis!$R$68:$AA$68=2031-tk_life),Thesis!$R$75:$AA$75)*Thesis!$L$80/1000</f>
        <v>47.1309138</v>
      </c>
      <c r="M99" s="38" t="n">
        <f aca="false">SUMPRODUCT(--(Thesis!$R$68:$AA$68=2032-tk_life),Thesis!$R$75:$AA$75)*Thesis!$M$80/1000</f>
        <v>107.22937485525</v>
      </c>
    </row>
    <row r="100" customFormat="false" ht="17.15" hidden="false" customHeight="false" outlineLevel="0" collapsed="false">
      <c r="A100" s="0" t="s">
        <v>638</v>
      </c>
      <c r="B100" s="0" t="s">
        <v>86</v>
      </c>
      <c r="C100" s="38" t="n">
        <f aca="false">MIN(Thesis!$C$98,Thesis!$C$75*(tk_cx_h100+tk_fac*(1-colo_sh))/1000)</f>
        <v>11.2938642</v>
      </c>
      <c r="D100" s="38" t="n">
        <f aca="false">MIN(Thesis!$D$98,Thesis!$D$75*(tk_cx_h100+tk_fac*(1-colo_sh))/1000)</f>
        <v>50.8223889</v>
      </c>
      <c r="E100" s="38" t="n">
        <f aca="false">MIN(Thesis!$E$98,Thesis!$E$75*(Thesis!$F$80+tk_fac*(1-colo_sh))/1000)</f>
        <v>33.8985792</v>
      </c>
      <c r="F100" s="38" t="n">
        <f aca="false">Thesis!$F$98</f>
        <v>88.7165504612134</v>
      </c>
      <c r="G100" s="38" t="n">
        <f aca="false">Thesis!$E$100+Thesis!$F$100</f>
        <v>122.615129661213</v>
      </c>
      <c r="H100" s="38" t="n">
        <f aca="false">Thesis!$H$98</f>
        <v>198.57136494475</v>
      </c>
      <c r="I100" s="38" t="n">
        <f aca="false">Thesis!$I$98</f>
        <v>204.6464699105</v>
      </c>
      <c r="J100" s="38" t="n">
        <f aca="false">Thesis!$J$98</f>
        <v>209.8832381105</v>
      </c>
      <c r="K100" s="38" t="n">
        <f aca="false">Thesis!$K$98</f>
        <v>155.238385275201</v>
      </c>
      <c r="L100" s="38" t="n">
        <f aca="false">Thesis!$L$98</f>
        <v>132.014141639902</v>
      </c>
      <c r="M100" s="38" t="n">
        <f aca="false">Thesis!$M$98</f>
        <v>132.230981659852</v>
      </c>
      <c r="P100" s="5" t="s">
        <v>639</v>
      </c>
      <c r="R100" s="38" t="n">
        <f aca="false">MIN(Thesis!$R$98,Thesis!$R$75*(tk_cx_h100+tk_fac*(1-colo_sh))/1000)</f>
        <v>1.50429979529945</v>
      </c>
      <c r="S100" s="38" t="n">
        <f aca="false">Thesis!$C$100</f>
        <v>11.2938642</v>
      </c>
      <c r="T100" s="38" t="n">
        <f aca="false">Thesis!$D$100</f>
        <v>50.8223889</v>
      </c>
      <c r="U100" s="38" t="n">
        <f aca="false">Thesis!$G$100</f>
        <v>122.615129661213</v>
      </c>
      <c r="V100" s="38" t="n">
        <f aca="false">Thesis!$H$100</f>
        <v>198.57136494475</v>
      </c>
      <c r="W100" s="38" t="n">
        <f aca="false">Thesis!$I$100</f>
        <v>204.6464699105</v>
      </c>
      <c r="X100" s="38" t="n">
        <f aca="false">Thesis!$J$100</f>
        <v>209.8832381105</v>
      </c>
      <c r="Y100" s="38" t="n">
        <f aca="false">Thesis!$K$100</f>
        <v>155.238385275201</v>
      </c>
      <c r="Z100" s="38" t="n">
        <f aca="false">Thesis!$L$100</f>
        <v>132.014141639902</v>
      </c>
      <c r="AA100" s="38" t="n">
        <f aca="false">Thesis!$M$100</f>
        <v>132.230981659852</v>
      </c>
    </row>
    <row r="101" customFormat="false" ht="17.15" hidden="false" customHeight="false" outlineLevel="0" collapsed="false">
      <c r="A101" s="5" t="s">
        <v>640</v>
      </c>
      <c r="B101" s="0" t="s">
        <v>86</v>
      </c>
      <c r="C101" s="38" t="n">
        <f aca="false">Thesis!$C$98-Thesis!$C$100</f>
        <v>13.9842411077374</v>
      </c>
      <c r="D101" s="38" t="n">
        <f aca="false">Thesis!$D$98-Thesis!$D$100</f>
        <v>18.7462427310026</v>
      </c>
      <c r="E101" s="38" t="n">
        <f aca="false">Thesis!$E$98-Thesis!$E$100</f>
        <v>30.2913414485108</v>
      </c>
      <c r="F101" s="38" t="n">
        <f aca="false">Thesis!$F$98-Thesis!$F$100</f>
        <v>0</v>
      </c>
      <c r="G101" s="38" t="n">
        <f aca="false">Thesis!$G$98-Thesis!$G$100</f>
        <v>30.2913414485108</v>
      </c>
      <c r="H101" s="38" t="n">
        <f aca="false">Thesis!$H$98-Thesis!$H$100</f>
        <v>0</v>
      </c>
      <c r="I101" s="38" t="n">
        <f aca="false">Thesis!$I$98-Thesis!$I$100</f>
        <v>0</v>
      </c>
      <c r="J101" s="38" t="n">
        <f aca="false">Thesis!$J$98-Thesis!$J$100</f>
        <v>0</v>
      </c>
      <c r="K101" s="38" t="n">
        <f aca="false">Thesis!$K$98-Thesis!$K$100</f>
        <v>0</v>
      </c>
      <c r="L101" s="38" t="n">
        <f aca="false">Thesis!$L$98-Thesis!$L$100</f>
        <v>0</v>
      </c>
      <c r="M101" s="38" t="n">
        <f aca="false">Thesis!$M$98-Thesis!$M$100</f>
        <v>0</v>
      </c>
      <c r="P101" s="5" t="s">
        <v>641</v>
      </c>
      <c r="R101" s="38" t="n">
        <f aca="false">Thesis!$R$98-Thesis!$R$100</f>
        <v>0</v>
      </c>
      <c r="S101" s="38" t="n">
        <f aca="false">Thesis!$S$98-Thesis!$S$100</f>
        <v>13.9842411077374</v>
      </c>
      <c r="T101" s="38" t="n">
        <f aca="false">Thesis!$T$98-Thesis!$T$100</f>
        <v>18.7462427310026</v>
      </c>
      <c r="U101" s="38" t="n">
        <f aca="false">Thesis!$U$98-Thesis!$U$100</f>
        <v>30.2913414485108</v>
      </c>
      <c r="V101" s="38" t="n">
        <f aca="false">Thesis!$V$98-Thesis!$V$100</f>
        <v>0</v>
      </c>
      <c r="W101" s="38" t="n">
        <f aca="false">Thesis!$W$98-Thesis!$W$100</f>
        <v>0</v>
      </c>
      <c r="X101" s="38" t="n">
        <f aca="false">Thesis!$X$98-Thesis!$X$100</f>
        <v>0</v>
      </c>
      <c r="Y101" s="38" t="n">
        <f aca="false">Thesis!$Y$98-Thesis!$Y$100</f>
        <v>0</v>
      </c>
      <c r="Z101" s="38" t="n">
        <f aca="false">Thesis!$Z$98-Thesis!$Z$100</f>
        <v>0</v>
      </c>
      <c r="AA101" s="38" t="n">
        <f aca="false">Thesis!$AA$98-Thesis!$AA$100</f>
        <v>0</v>
      </c>
    </row>
    <row r="102" customFormat="false" ht="17.15" hidden="false" customHeight="false" outlineLevel="0" collapsed="false">
      <c r="A102" s="5" t="s">
        <v>642</v>
      </c>
      <c r="B102" s="0" t="s">
        <v>86</v>
      </c>
      <c r="R102" s="38" t="n">
        <f aca="false">Thesis!$R$101*Thesis!$C$97</f>
        <v>0</v>
      </c>
      <c r="S102" s="38" t="n">
        <f aca="false">Thesis!$S$101*Thesis!$C$97</f>
        <v>10.219074499801</v>
      </c>
      <c r="T102" s="38" t="n">
        <f aca="false">Thesis!$T$101*Thesis!$C$97</f>
        <v>13.6989379390402</v>
      </c>
      <c r="U102" s="38" t="n">
        <f aca="false">Thesis!$U$101*Thesis!$E$97</f>
        <v>23.0454203705653</v>
      </c>
      <c r="V102" s="38" t="n">
        <f aca="false">Thesis!$V$101*Thesis!$E$97</f>
        <v>0</v>
      </c>
      <c r="W102" s="38" t="n">
        <f aca="false">Thesis!$W$101*Thesis!$E$97</f>
        <v>0</v>
      </c>
      <c r="X102" s="38" t="n">
        <f aca="false">Thesis!$X$101*Thesis!$E$97</f>
        <v>0</v>
      </c>
      <c r="Y102" s="38" t="n">
        <f aca="false">Thesis!$Y$101*Thesis!$E$97</f>
        <v>0</v>
      </c>
      <c r="Z102" s="38" t="n">
        <f aca="false">Thesis!$Z$101*Thesis!$E$97</f>
        <v>0</v>
      </c>
      <c r="AA102" s="38" t="n">
        <f aca="false">Thesis!$AA$101*Thesis!$E$97</f>
        <v>0</v>
      </c>
    </row>
    <row r="103" customFormat="false" ht="17.15" hidden="false" customHeight="false" outlineLevel="0" collapsed="false">
      <c r="A103" s="5" t="s">
        <v>643</v>
      </c>
      <c r="B103" s="0" t="s">
        <v>86</v>
      </c>
      <c r="R103" s="38" t="n">
        <f aca="false">SUMPRODUCT(--(Thesis!$R$68:$AA$68=2023-cip_lag),Thesis!$R$102:$AA$102)</f>
        <v>0</v>
      </c>
      <c r="S103" s="38" t="n">
        <f aca="false">SUMPRODUCT(--(Thesis!$R$68:$AA$68=2024-cip_lag),Thesis!$R$102:$AA$102)</f>
        <v>0</v>
      </c>
      <c r="T103" s="38" t="n">
        <f aca="false">SUMPRODUCT(--(Thesis!$R$68:$AA$68=2025-cip_lag),Thesis!$R$102:$AA$102)</f>
        <v>10.219074499801</v>
      </c>
      <c r="U103" s="38" t="n">
        <f aca="false">SUMPRODUCT(--(Thesis!$R$68:$AA$68=2026-cip_lag),Thesis!$R$102:$AA$102)</f>
        <v>13.6989379390402</v>
      </c>
      <c r="V103" s="38" t="n">
        <f aca="false">SUMPRODUCT(--(Thesis!$R$68:$AA$68=2027-cip_lag),Thesis!$R$102:$AA$102)</f>
        <v>23.0454203705653</v>
      </c>
      <c r="W103" s="38" t="n">
        <f aca="false">SUMPRODUCT(--(Thesis!$R$68:$AA$68=2028-cip_lag),Thesis!$R$102:$AA$102)</f>
        <v>0</v>
      </c>
      <c r="X103" s="38" t="n">
        <f aca="false">SUMPRODUCT(--(Thesis!$R$68:$AA$68=2029-cip_lag),Thesis!$R$102:$AA$102)</f>
        <v>0</v>
      </c>
      <c r="Y103" s="38" t="n">
        <f aca="false">SUMPRODUCT(--(Thesis!$R$68:$AA$68=2030-cip_lag),Thesis!$R$102:$AA$102)</f>
        <v>0</v>
      </c>
      <c r="Z103" s="38" t="n">
        <f aca="false">SUMPRODUCT(--(Thesis!$R$68:$AA$68=2031-cip_lag),Thesis!$R$102:$AA$102)</f>
        <v>0</v>
      </c>
      <c r="AA103" s="38" t="n">
        <f aca="false">SUMPRODUCT(--(Thesis!$R$68:$AA$68=2032-cip_lag),Thesis!$R$102:$AA$102)</f>
        <v>0</v>
      </c>
    </row>
    <row r="104" customFormat="false" ht="15" hidden="false" customHeight="false" outlineLevel="0" collapsed="false">
      <c r="A104" s="5" t="s">
        <v>644</v>
      </c>
      <c r="B104" s="0" t="s">
        <v>86</v>
      </c>
      <c r="R104" s="38" t="n">
        <f aca="false">SUMPRODUCT(--(Thesis!$R$68:$AA$68=2023-cip_lag),Thesis!$R$101:$AA$101)-Thesis!$R$103</f>
        <v>0</v>
      </c>
      <c r="S104" s="38" t="n">
        <f aca="false">SUMPRODUCT(--(Thesis!$R$68:$AA$68=2024-cip_lag),Thesis!$R$101:$AA$101)-Thesis!$S$103</f>
        <v>0</v>
      </c>
      <c r="T104" s="38" t="n">
        <f aca="false">SUMPRODUCT(--(Thesis!$R$68:$AA$68=2025-cip_lag),Thesis!$R$101:$AA$101)-Thesis!$T$103</f>
        <v>3.76516660793636</v>
      </c>
      <c r="U104" s="38" t="n">
        <f aca="false">SUMPRODUCT(--(Thesis!$R$68:$AA$68=2026-cip_lag),Thesis!$R$101:$AA$101)-Thesis!$U$103</f>
        <v>5.04730479196242</v>
      </c>
      <c r="V104" s="38" t="n">
        <f aca="false">SUMPRODUCT(--(Thesis!$R$68:$AA$68=2027-cip_lag),Thesis!$R$101:$AA$101)-Thesis!$V$103</f>
        <v>7.24592107794548</v>
      </c>
      <c r="W104" s="38" t="n">
        <f aca="false">SUMPRODUCT(--(Thesis!$R$68:$AA$68=2028-cip_lag),Thesis!$R$101:$AA$101)-Thesis!$W$103</f>
        <v>0</v>
      </c>
      <c r="X104" s="38" t="n">
        <f aca="false">SUMPRODUCT(--(Thesis!$R$68:$AA$68=2029-cip_lag),Thesis!$R$101:$AA$101)-Thesis!$X$103</f>
        <v>0</v>
      </c>
      <c r="Y104" s="38" t="n">
        <f aca="false">SUMPRODUCT(--(Thesis!$R$68:$AA$68=2030-cip_lag),Thesis!$R$101:$AA$101)-Thesis!$Y$103</f>
        <v>0</v>
      </c>
      <c r="Z104" s="38" t="n">
        <f aca="false">SUMPRODUCT(--(Thesis!$R$68:$AA$68=2031-cip_lag),Thesis!$R$101:$AA$101)-Thesis!$Z$103</f>
        <v>0</v>
      </c>
      <c r="AA104" s="38" t="n">
        <f aca="false">SUMPRODUCT(--(Thesis!$R$68:$AA$68=2032-cip_lag),Thesis!$R$101:$AA$101)-Thesis!$AA$103</f>
        <v>0</v>
      </c>
    </row>
    <row r="105" customFormat="false" ht="17.15" hidden="false" customHeight="false" outlineLevel="0" collapsed="false">
      <c r="A105" s="5" t="s">
        <v>645</v>
      </c>
      <c r="B105" s="0" t="s">
        <v>86</v>
      </c>
      <c r="C105" s="38" t="n">
        <f aca="false">Thesis!$C$100*Thesis!$C$97</f>
        <v>8.2530642</v>
      </c>
      <c r="D105" s="38" t="n">
        <f aca="false">Thesis!$D$100*Thesis!$D$97</f>
        <v>37.1387889</v>
      </c>
      <c r="E105" s="38" t="n">
        <f aca="false">Thesis!$E$100*Thesis!$E$97</f>
        <v>25.7897792</v>
      </c>
      <c r="F105" s="38" t="n">
        <f aca="false">Thesis!$F$100*Thesis!$F$97</f>
        <v>67.4948715189913</v>
      </c>
      <c r="G105" s="38" t="n">
        <f aca="false">Thesis!$E$105+Thesis!$F$105</f>
        <v>93.2846507189913</v>
      </c>
      <c r="H105" s="38" t="n">
        <f aca="false">(Thesis!$H$100-Thesis!$H$99)*Thesis!$H$97+Thesis!$H$99</f>
        <v>152.52478394475</v>
      </c>
      <c r="I105" s="38" t="n">
        <f aca="false">(Thesis!$I$100-Thesis!$I$99)*Thesis!$I$97+Thesis!$I$99</f>
        <v>158.5998889105</v>
      </c>
      <c r="J105" s="38" t="n">
        <f aca="false">(Thesis!$J$100-Thesis!$J$99)*Thesis!$J$97+Thesis!$J$99</f>
        <v>163.8366571105</v>
      </c>
      <c r="K105" s="38" t="n">
        <f aca="false">(Thesis!$K$100-Thesis!$K$99)*Thesis!$K$97+Thesis!$K$99</f>
        <v>122.665498273534</v>
      </c>
      <c r="L105" s="38" t="n">
        <f aca="false">(Thesis!$L$100-Thesis!$L$99)*Thesis!$L$97+Thesis!$L$99</f>
        <v>112.914948636568</v>
      </c>
      <c r="M105" s="38" t="n">
        <f aca="false">(Thesis!$M$100-Thesis!$M$99)*Thesis!$M$97+Thesis!$M$99</f>
        <v>126.605482654852</v>
      </c>
      <c r="R105" s="38" t="n">
        <f aca="false">Thesis!$R$100*Thesis!$C$97</f>
        <v>1.09927679019314</v>
      </c>
      <c r="S105" s="38" t="n">
        <f aca="false">Thesis!$C$105</f>
        <v>8.2530642</v>
      </c>
      <c r="T105" s="38" t="n">
        <f aca="false">Thesis!$D$105</f>
        <v>37.1387889</v>
      </c>
      <c r="U105" s="38" t="n">
        <f aca="false">Thesis!$G$105</f>
        <v>93.2846507189913</v>
      </c>
      <c r="V105" s="38" t="n">
        <f aca="false">Thesis!$H$105</f>
        <v>152.52478394475</v>
      </c>
      <c r="W105" s="38" t="n">
        <f aca="false">Thesis!$I$105</f>
        <v>158.5998889105</v>
      </c>
      <c r="X105" s="38" t="n">
        <f aca="false">Thesis!$J$105</f>
        <v>163.8366571105</v>
      </c>
      <c r="Y105" s="38" t="n">
        <f aca="false">Thesis!$K$105</f>
        <v>122.665498273534</v>
      </c>
      <c r="Z105" s="38" t="n">
        <f aca="false">Thesis!$L$105</f>
        <v>112.914948636568</v>
      </c>
      <c r="AA105" s="38" t="n">
        <f aca="false">Thesis!$M$105</f>
        <v>126.605482654852</v>
      </c>
    </row>
    <row r="106" customFormat="false" ht="15" hidden="false" customHeight="false" outlineLevel="0" collapsed="false">
      <c r="A106" s="5" t="s">
        <v>646</v>
      </c>
      <c r="B106" s="0" t="s">
        <v>86</v>
      </c>
      <c r="C106" s="38" t="n">
        <f aca="false">Thesis!$C$100-Thesis!$C$105</f>
        <v>3.0408</v>
      </c>
      <c r="D106" s="38" t="n">
        <f aca="false">Thesis!$D$100-Thesis!$D$105</f>
        <v>13.6836</v>
      </c>
      <c r="E106" s="38" t="n">
        <f aca="false">Thesis!$E$100-Thesis!$E$105</f>
        <v>8.1088</v>
      </c>
      <c r="F106" s="38" t="n">
        <f aca="false">Thesis!$F$100-Thesis!$F$105</f>
        <v>21.2216789422221</v>
      </c>
      <c r="G106" s="38" t="n">
        <f aca="false">Thesis!$G$100-Thesis!$G$105</f>
        <v>29.3304789422221</v>
      </c>
      <c r="H106" s="38" t="n">
        <f aca="false">Thesis!$H$100-Thesis!$H$105</f>
        <v>46.046581</v>
      </c>
      <c r="I106" s="38" t="n">
        <f aca="false">Thesis!$I$100-Thesis!$I$105</f>
        <v>46.046581</v>
      </c>
      <c r="J106" s="38" t="n">
        <f aca="false">Thesis!$J$100-Thesis!$J$105</f>
        <v>46.046581</v>
      </c>
      <c r="K106" s="38" t="n">
        <f aca="false">Thesis!$K$100-Thesis!$K$105</f>
        <v>32.5728870016667</v>
      </c>
      <c r="L106" s="38" t="n">
        <f aca="false">Thesis!$L$100-Thesis!$L$105</f>
        <v>19.0991930033334</v>
      </c>
      <c r="M106" s="38" t="n">
        <f aca="false">Thesis!$M$100-Thesis!$M$105</f>
        <v>5.62549900499998</v>
      </c>
      <c r="R106" s="38" t="n">
        <f aca="false">Thesis!$R$100-Thesis!$R$105</f>
        <v>0.405023005106309</v>
      </c>
      <c r="S106" s="38" t="n">
        <f aca="false">Thesis!$S$100-Thesis!$S$105</f>
        <v>3.0408</v>
      </c>
      <c r="T106" s="38" t="n">
        <f aca="false">Thesis!$T$100-Thesis!$T$105</f>
        <v>13.6836</v>
      </c>
      <c r="U106" s="38" t="n">
        <f aca="false">Thesis!$U$100-Thesis!$U$105</f>
        <v>29.3304789422221</v>
      </c>
      <c r="V106" s="38" t="n">
        <f aca="false">Thesis!$V$100-Thesis!$V$105</f>
        <v>46.046581</v>
      </c>
      <c r="W106" s="38" t="n">
        <f aca="false">Thesis!$W$100-Thesis!$W$105</f>
        <v>46.046581</v>
      </c>
      <c r="X106" s="38" t="n">
        <f aca="false">Thesis!$X$100-Thesis!$X$105</f>
        <v>46.046581</v>
      </c>
      <c r="Y106" s="38" t="n">
        <f aca="false">Thesis!$Y$100-Thesis!$Y$105</f>
        <v>32.5728870016667</v>
      </c>
      <c r="Z106" s="38" t="n">
        <f aca="false">Thesis!$Z$100-Thesis!$Z$105</f>
        <v>19.0991930033334</v>
      </c>
      <c r="AA106" s="38" t="n">
        <f aca="false">Thesis!$AA$100-Thesis!$AA$105</f>
        <v>5.62549900499998</v>
      </c>
    </row>
    <row r="107" customFormat="false" ht="17.15" hidden="false" customHeight="false" outlineLevel="0" collapsed="false">
      <c r="A107" s="0" t="s">
        <v>647</v>
      </c>
      <c r="B107" s="0" t="s">
        <v>52</v>
      </c>
      <c r="C107" s="13" t="n">
        <f aca="false">Thesis!$C$98/CF!$C$55</f>
        <v>0.325505489553393</v>
      </c>
      <c r="D107" s="13" t="n">
        <f aca="false">Thesis!$D$98/CF!$D$55</f>
        <v>0.54214956071542</v>
      </c>
      <c r="E107" s="13" t="n">
        <f aca="false">Thesis!$E$98/CF!$E$55</f>
        <v>0.666492790452817</v>
      </c>
      <c r="F107" s="13" t="n">
        <f aca="false">Thesis!$F$98/CF!$F$55</f>
        <v>0.71724917504417</v>
      </c>
      <c r="G107" s="13" t="n">
        <f aca="false">Thesis!$G$98/CF!$G$55</f>
        <v>0.69502941413511</v>
      </c>
      <c r="H107" s="13" t="n">
        <f aca="false">Thesis!$H$98/CF!$H$55</f>
        <v>0.726376041178204</v>
      </c>
      <c r="I107" s="13" t="n">
        <f aca="false">Thesis!$I$98/CF!$I$55</f>
        <v>0.713099092661699</v>
      </c>
      <c r="J107" s="13" t="n">
        <f aca="false">Thesis!$J$98/CF!$J$55</f>
        <v>0.701208348786245</v>
      </c>
      <c r="K107" s="13" t="n">
        <f aca="false">Thesis!$K$98/CF!$K$55</f>
        <v>0.618338844562383</v>
      </c>
      <c r="L107" s="13" t="n">
        <f aca="false">Thesis!$L$98/CF!$L$55</f>
        <v>0.562489158462506</v>
      </c>
      <c r="M107" s="13" t="n">
        <f aca="false">Thesis!$M$98/CF!$M$55</f>
        <v>0.545751190895923</v>
      </c>
    </row>
    <row r="108" customFormat="false" ht="17.15" hidden="false" customHeight="false" outlineLevel="0" collapsed="false">
      <c r="A108" s="0" t="s">
        <v>648</v>
      </c>
      <c r="B108" s="0" t="s">
        <v>86</v>
      </c>
      <c r="C108" s="38" t="n">
        <f aca="false">Thesis!$S$108</f>
        <v>0.183212798365523</v>
      </c>
      <c r="D108" s="38" t="n">
        <f aca="false">Thesis!$T$108</f>
        <v>1.55872349836552</v>
      </c>
      <c r="E108" s="38" t="n">
        <f aca="false">Thesis!$G$108/2</f>
        <v>4.72585036583285</v>
      </c>
      <c r="F108" s="38" t="n">
        <f aca="false">Thesis!$G$108/2</f>
        <v>4.72585036583285</v>
      </c>
      <c r="G108" s="38" t="n">
        <f aca="false">Thesis!$U$108</f>
        <v>9.4517007316657</v>
      </c>
      <c r="H108" s="38" t="n">
        <f aca="false">Thesis!$V$108</f>
        <v>27.2822988413376</v>
      </c>
      <c r="I108" s="38" t="n">
        <f aca="false">Thesis!$W$108</f>
        <v>56.5439995605568</v>
      </c>
      <c r="J108" s="38" t="n">
        <f aca="false">Thesis!$X$108</f>
        <v>82.9773143789735</v>
      </c>
      <c r="K108" s="38" t="n">
        <f aca="false">Thesis!$Y$108</f>
        <v>110.100211099025</v>
      </c>
      <c r="L108" s="38" t="n">
        <f aca="false">Thesis!$Z$108</f>
        <v>129.16895011128</v>
      </c>
      <c r="M108" s="38" t="n">
        <f aca="false">Thesis!$AA$108</f>
        <v>140.095130984075</v>
      </c>
      <c r="N108" s="38" t="n">
        <f aca="false">Thesis!$D$108/2</f>
        <v>0.779361749182762</v>
      </c>
      <c r="O108" s="38" t="n">
        <f aca="false">Thesis!$D$108/2</f>
        <v>0.779361749182762</v>
      </c>
      <c r="R108" s="38" t="n">
        <f aca="false">(SUMPRODUCT(--(Thesis!$R$68:$AA$68&lt;Thesis!R$68),--(Thesis!$R$68:$AA$68&gt;=Thesis!R$68-tk_life),Thesis!$R$105:$AA$105)+SUMPRODUCT(--(Thesis!$R$68:$AA$68&lt;Thesis!R$68),--(Thesis!$R$68:$AA$68&gt;=Thesis!R$68-tk_life),Thesis!$R$103:$AA$103))/tk_life</f>
        <v>0</v>
      </c>
      <c r="S108" s="38" t="n">
        <f aca="false">(SUMPRODUCT(--(Thesis!$R$68:$AA$68&lt;Thesis!S$68),--(Thesis!$R$68:$AA$68&gt;=Thesis!S$68-tk_life),Thesis!$R$105:$AA$105)+SUMPRODUCT(--(Thesis!$R$68:$AA$68&lt;Thesis!S$68),--(Thesis!$R$68:$AA$68&gt;=Thesis!S$68-tk_life),Thesis!$R$103:$AA$103))/tk_life</f>
        <v>0.183212798365523</v>
      </c>
      <c r="T108" s="38" t="n">
        <f aca="false">(SUMPRODUCT(--(Thesis!$R$68:$AA$68&lt;Thesis!T$68),--(Thesis!$R$68:$AA$68&gt;=Thesis!T$68-tk_life),Thesis!$R$105:$AA$105)+SUMPRODUCT(--(Thesis!$R$68:$AA$68&lt;Thesis!T$68),--(Thesis!$R$68:$AA$68&gt;=Thesis!T$68-tk_life),Thesis!$R$103:$AA$103))/tk_life</f>
        <v>1.55872349836552</v>
      </c>
      <c r="U108" s="38" t="n">
        <f aca="false">(SUMPRODUCT(--(Thesis!$R$68:$AA$68&lt;Thesis!U$68),--(Thesis!$R$68:$AA$68&gt;=Thesis!U$68-tk_life),Thesis!$R$105:$AA$105)+SUMPRODUCT(--(Thesis!$R$68:$AA$68&lt;Thesis!U$68),--(Thesis!$R$68:$AA$68&gt;=Thesis!U$68-tk_life),Thesis!$R$103:$AA$103))/tk_life</f>
        <v>9.4517007316657</v>
      </c>
      <c r="V108" s="38" t="n">
        <f aca="false">(SUMPRODUCT(--(Thesis!$R$68:$AA$68&lt;Thesis!V$68),--(Thesis!$R$68:$AA$68&gt;=Thesis!V$68-tk_life),Thesis!$R$105:$AA$105)+SUMPRODUCT(--(Thesis!$R$68:$AA$68&lt;Thesis!V$68),--(Thesis!$R$68:$AA$68&gt;=Thesis!V$68-tk_life),Thesis!$R$103:$AA$103))/tk_life</f>
        <v>27.2822988413376</v>
      </c>
      <c r="W108" s="38" t="n">
        <f aca="false">(SUMPRODUCT(--(Thesis!$R$68:$AA$68&lt;Thesis!W$68),--(Thesis!$R$68:$AA$68&gt;=Thesis!W$68-tk_life),Thesis!$R$105:$AA$105)+SUMPRODUCT(--(Thesis!$R$68:$AA$68&lt;Thesis!W$68),--(Thesis!$R$68:$AA$68&gt;=Thesis!W$68-tk_life),Thesis!$R$103:$AA$103))/tk_life</f>
        <v>56.5439995605568</v>
      </c>
      <c r="X108" s="38" t="n">
        <f aca="false">(SUMPRODUCT(--(Thesis!$R$68:$AA$68&lt;Thesis!X$68),--(Thesis!$R$68:$AA$68&gt;=Thesis!X$68-tk_life),Thesis!$R$105:$AA$105)+SUMPRODUCT(--(Thesis!$R$68:$AA$68&lt;Thesis!X$68),--(Thesis!$R$68:$AA$68&gt;=Thesis!X$68-tk_life),Thesis!$R$103:$AA$103))/tk_life</f>
        <v>82.9773143789735</v>
      </c>
      <c r="Y108" s="38" t="n">
        <f aca="false">(SUMPRODUCT(--(Thesis!$R$68:$AA$68&lt;Thesis!Y$68),--(Thesis!$R$68:$AA$68&gt;=Thesis!Y$68-tk_life),Thesis!$R$105:$AA$105)+SUMPRODUCT(--(Thesis!$R$68:$AA$68&lt;Thesis!Y$68),--(Thesis!$R$68:$AA$68&gt;=Thesis!Y$68-tk_life),Thesis!$R$103:$AA$103))/tk_life</f>
        <v>110.100211099025</v>
      </c>
      <c r="Z108" s="38" t="n">
        <f aca="false">(SUMPRODUCT(--(Thesis!$R$68:$AA$68&lt;Thesis!Z$68),--(Thesis!$R$68:$AA$68&gt;=Thesis!Z$68-tk_life),Thesis!$R$105:$AA$105)+SUMPRODUCT(--(Thesis!$R$68:$AA$68&lt;Thesis!Z$68),--(Thesis!$R$68:$AA$68&gt;=Thesis!Z$68-tk_life),Thesis!$R$103:$AA$103))/tk_life</f>
        <v>129.16895011128</v>
      </c>
      <c r="AA108" s="38" t="n">
        <f aca="false">(SUMPRODUCT(--(Thesis!$R$68:$AA$68&lt;Thesis!AA$68),--(Thesis!$R$68:$AA$68&gt;=Thesis!AA$68-tk_life),Thesis!$R$105:$AA$105)+SUMPRODUCT(--(Thesis!$R$68:$AA$68&lt;Thesis!AA$68),--(Thesis!$R$68:$AA$68&gt;=Thesis!AA$68-tk_life),Thesis!$R$103:$AA$103))/tk_life</f>
        <v>140.095130984075</v>
      </c>
    </row>
    <row r="109" customFormat="false" ht="17.15" hidden="false" customHeight="false" outlineLevel="0" collapsed="false">
      <c r="A109" s="0" t="s">
        <v>649</v>
      </c>
      <c r="B109" s="0" t="s">
        <v>86</v>
      </c>
      <c r="C109" s="38" t="n">
        <f aca="false">Thesis!$S$109</f>
        <v>0.0202511502553155</v>
      </c>
      <c r="D109" s="38" t="n">
        <f aca="false">Thesis!$T$109</f>
        <v>0.172291150255315</v>
      </c>
      <c r="E109" s="38" t="n">
        <f aca="false">Thesis!$G$109/2</f>
        <v>0.522364740326067</v>
      </c>
      <c r="F109" s="38" t="n">
        <f aca="false">Thesis!$G$109/2</f>
        <v>0.522364740326067</v>
      </c>
      <c r="G109" s="38" t="n">
        <f aca="false">Thesis!$U$109</f>
        <v>1.04472948065213</v>
      </c>
      <c r="H109" s="38" t="n">
        <f aca="false">Thesis!$V$109</f>
        <v>2.76361866736136</v>
      </c>
      <c r="I109" s="38" t="n">
        <f aca="false">Thesis!$W$109</f>
        <v>5.42824377125863</v>
      </c>
      <c r="J109" s="38" t="n">
        <f aca="false">Thesis!$X$109</f>
        <v>7.73057282125864</v>
      </c>
      <c r="K109" s="38" t="n">
        <f aca="false">Thesis!$Y$109</f>
        <v>10.0329018712586</v>
      </c>
      <c r="L109" s="38" t="n">
        <f aca="false">Thesis!$Z$109</f>
        <v>11.661546221342</v>
      </c>
      <c r="M109" s="38" t="n">
        <f aca="false">Thesis!$AA$109</f>
        <v>12.6165058715086</v>
      </c>
      <c r="N109" s="38" t="n">
        <f aca="false">Thesis!$D$109/2</f>
        <v>0.0861455751276577</v>
      </c>
      <c r="O109" s="38" t="n">
        <f aca="false">Thesis!$D$109/2</f>
        <v>0.0861455751276577</v>
      </c>
      <c r="R109" s="38" t="n">
        <f aca="false">(SUMPRODUCT(--(Thesis!$R$68:$AA$68&lt;Thesis!R$68),Thesis!$R$106:$AA$106)+SUMPRODUCT(--(Thesis!$R$68:$AA$68&lt;Thesis!R$68),Thesis!$R$104:$AA$104))/fac_life</f>
        <v>0</v>
      </c>
      <c r="S109" s="38" t="n">
        <f aca="false">(SUMPRODUCT(--(Thesis!$R$68:$AA$68&lt;Thesis!S$68),Thesis!$R$106:$AA$106)+SUMPRODUCT(--(Thesis!$R$68:$AA$68&lt;Thesis!S$68),Thesis!$R$104:$AA$104))/fac_life</f>
        <v>0.0202511502553155</v>
      </c>
      <c r="T109" s="38" t="n">
        <f aca="false">(SUMPRODUCT(--(Thesis!$R$68:$AA$68&lt;Thesis!T$68),Thesis!$R$106:$AA$106)+SUMPRODUCT(--(Thesis!$R$68:$AA$68&lt;Thesis!T$68),Thesis!$R$104:$AA$104))/fac_life</f>
        <v>0.172291150255315</v>
      </c>
      <c r="U109" s="38" t="n">
        <f aca="false">(SUMPRODUCT(--(Thesis!$R$68:$AA$68&lt;Thesis!U$68),Thesis!$R$106:$AA$106)+SUMPRODUCT(--(Thesis!$R$68:$AA$68&lt;Thesis!U$68),Thesis!$R$104:$AA$104))/fac_life</f>
        <v>1.04472948065213</v>
      </c>
      <c r="V109" s="38" t="n">
        <f aca="false">(SUMPRODUCT(--(Thesis!$R$68:$AA$68&lt;Thesis!V$68),Thesis!$R$106:$AA$106)+SUMPRODUCT(--(Thesis!$R$68:$AA$68&lt;Thesis!V$68),Thesis!$R$104:$AA$104))/fac_life</f>
        <v>2.76361866736136</v>
      </c>
      <c r="W109" s="38" t="n">
        <f aca="false">(SUMPRODUCT(--(Thesis!$R$68:$AA$68&lt;Thesis!W$68),Thesis!$R$106:$AA$106)+SUMPRODUCT(--(Thesis!$R$68:$AA$68&lt;Thesis!W$68),Thesis!$R$104:$AA$104))/fac_life</f>
        <v>5.42824377125863</v>
      </c>
      <c r="X109" s="38" t="n">
        <f aca="false">(SUMPRODUCT(--(Thesis!$R$68:$AA$68&lt;Thesis!X$68),Thesis!$R$106:$AA$106)+SUMPRODUCT(--(Thesis!$R$68:$AA$68&lt;Thesis!X$68),Thesis!$R$104:$AA$104))/fac_life</f>
        <v>7.73057282125864</v>
      </c>
      <c r="Y109" s="38" t="n">
        <f aca="false">(SUMPRODUCT(--(Thesis!$R$68:$AA$68&lt;Thesis!Y$68),Thesis!$R$106:$AA$106)+SUMPRODUCT(--(Thesis!$R$68:$AA$68&lt;Thesis!Y$68),Thesis!$R$104:$AA$104))/fac_life</f>
        <v>10.0329018712586</v>
      </c>
      <c r="Z109" s="38" t="n">
        <f aca="false">(SUMPRODUCT(--(Thesis!$R$68:$AA$68&lt;Thesis!Z$68),Thesis!$R$106:$AA$106)+SUMPRODUCT(--(Thesis!$R$68:$AA$68&lt;Thesis!Z$68),Thesis!$R$104:$AA$104))/fac_life</f>
        <v>11.661546221342</v>
      </c>
      <c r="AA109" s="38" t="n">
        <f aca="false">(SUMPRODUCT(--(Thesis!$R$68:$AA$68&lt;Thesis!AA$68),Thesis!$R$106:$AA$106)+SUMPRODUCT(--(Thesis!$R$68:$AA$68&lt;Thesis!AA$68),Thesis!$R$104:$AA$104))/fac_life</f>
        <v>12.6165058715086</v>
      </c>
    </row>
    <row r="110" customFormat="false" ht="17.15" hidden="false" customHeight="false" outlineLevel="0" collapsed="false">
      <c r="A110" s="1" t="s">
        <v>650</v>
      </c>
      <c r="B110" s="8" t="s">
        <v>86</v>
      </c>
      <c r="C110" s="38" t="n">
        <f aca="false">Thesis!$C$108+Thesis!$C$109</f>
        <v>0.203463948620839</v>
      </c>
      <c r="D110" s="38" t="n">
        <f aca="false">Thesis!$D$108+Thesis!$D$109</f>
        <v>1.73101464862084</v>
      </c>
      <c r="E110" s="38" t="n">
        <f aca="false">Thesis!$E$108+Thesis!$E$109</f>
        <v>5.24821510615892</v>
      </c>
      <c r="F110" s="38" t="n">
        <f aca="false">Thesis!$F$108+Thesis!$F$109</f>
        <v>5.24821510615892</v>
      </c>
      <c r="G110" s="38" t="n">
        <f aca="false">Thesis!$G$108+Thesis!$G$109</f>
        <v>10.4964302123178</v>
      </c>
      <c r="H110" s="38" t="n">
        <f aca="false">Thesis!$H$108+Thesis!$H$109</f>
        <v>30.045917508699</v>
      </c>
      <c r="I110" s="38" t="n">
        <f aca="false">Thesis!$I$108+Thesis!$I$109</f>
        <v>61.9722433318155</v>
      </c>
      <c r="J110" s="38" t="n">
        <f aca="false">Thesis!$J$108+Thesis!$J$109</f>
        <v>90.7078872002321</v>
      </c>
      <c r="K110" s="38" t="n">
        <f aca="false">Thesis!$K$108+Thesis!$K$109</f>
        <v>120.133112970283</v>
      </c>
      <c r="L110" s="38" t="n">
        <f aca="false">Thesis!$L$108+Thesis!$L$109</f>
        <v>140.830496332622</v>
      </c>
      <c r="M110" s="38" t="n">
        <f aca="false">Thesis!$M$108+Thesis!$M$109</f>
        <v>152.711636855584</v>
      </c>
      <c r="N110" s="38" t="n">
        <f aca="false">Thesis!$N$108+Thesis!$N$109</f>
        <v>0.865507324310419</v>
      </c>
      <c r="O110" s="38" t="n">
        <f aca="false">Thesis!$O$108+Thesis!$O$109</f>
        <v>0.865507324310419</v>
      </c>
      <c r="R110" s="38" t="n">
        <f aca="false">Thesis!$R$108+Thesis!$R$109</f>
        <v>0</v>
      </c>
      <c r="S110" s="38" t="n">
        <f aca="false">Thesis!$S$108+Thesis!$S$109</f>
        <v>0.203463948620839</v>
      </c>
      <c r="T110" s="38" t="n">
        <f aca="false">Thesis!$T$108+Thesis!$T$109</f>
        <v>1.73101464862084</v>
      </c>
      <c r="U110" s="38" t="n">
        <f aca="false">Thesis!$U$108+Thesis!$U$109</f>
        <v>10.4964302123178</v>
      </c>
      <c r="V110" s="38" t="n">
        <f aca="false">Thesis!$V$108+Thesis!$V$109</f>
        <v>30.045917508699</v>
      </c>
      <c r="W110" s="38" t="n">
        <f aca="false">Thesis!$W$108+Thesis!$W$109</f>
        <v>61.9722433318155</v>
      </c>
      <c r="X110" s="38" t="n">
        <f aca="false">Thesis!$X$108+Thesis!$X$109</f>
        <v>90.7078872002321</v>
      </c>
      <c r="Y110" s="38" t="n">
        <f aca="false">Thesis!$Y$108+Thesis!$Y$109</f>
        <v>120.133112970283</v>
      </c>
      <c r="Z110" s="38" t="n">
        <f aca="false">Thesis!$Z$108+Thesis!$Z$109</f>
        <v>140.830496332622</v>
      </c>
      <c r="AA110" s="38" t="n">
        <f aca="false">Thesis!$AA$108+Thesis!$AA$109</f>
        <v>152.711636855584</v>
      </c>
    </row>
    <row r="111" customFormat="false" ht="17.15" hidden="false" customHeight="false" outlineLevel="0" collapsed="false">
      <c r="A111" s="0" t="s">
        <v>651</v>
      </c>
      <c r="B111" s="0" t="s">
        <v>86</v>
      </c>
      <c r="C111" s="38" t="n">
        <f aca="false">Thesis!$S$111</f>
        <v>26.578941154416</v>
      </c>
      <c r="D111" s="38" t="n">
        <f aca="false">Thesis!$T$111</f>
        <v>94.4165581367978</v>
      </c>
      <c r="G111" s="38" t="n">
        <f aca="false">Thesis!$U$111</f>
        <v>236.826599034204</v>
      </c>
      <c r="H111" s="38" t="n">
        <f aca="false">Thesis!$V$111</f>
        <v>405.352046470255</v>
      </c>
      <c r="I111" s="38" t="n">
        <f aca="false">Thesis!$W$111</f>
        <v>548.02627304894</v>
      </c>
      <c r="J111" s="38" t="n">
        <f aca="false">Thesis!$X$111</f>
        <v>667.201623959208</v>
      </c>
      <c r="K111" s="38" t="n">
        <f aca="false">Thesis!$Y$111</f>
        <v>702.306896264125</v>
      </c>
      <c r="L111" s="38" t="n">
        <f aca="false">Thesis!$Z$111</f>
        <v>693.490541571405</v>
      </c>
      <c r="M111" s="38" t="n">
        <f aca="false">Thesis!$AA$111</f>
        <v>673.009886375674</v>
      </c>
      <c r="R111" s="38" t="n">
        <f aca="false">SUM(Thesis!$R$98:$R$98)-SUM(Thesis!$R$110:$R$110)</f>
        <v>1.50429979529945</v>
      </c>
      <c r="S111" s="38" t="n">
        <f aca="false">SUM(Thesis!$R$98:$S$98)-SUM(Thesis!$R$110:$S$110)</f>
        <v>26.578941154416</v>
      </c>
      <c r="T111" s="38" t="n">
        <f aca="false">SUM(Thesis!$R$98:$T$98)-SUM(Thesis!$R$110:$T$110)</f>
        <v>94.4165581367978</v>
      </c>
      <c r="U111" s="38" t="n">
        <f aca="false">SUM(Thesis!$R$98:$U$98)-SUM(Thesis!$R$110:$U$110)</f>
        <v>236.826599034204</v>
      </c>
      <c r="V111" s="38" t="n">
        <f aca="false">SUM(Thesis!$R$98:$V$98)-SUM(Thesis!$R$110:$V$110)</f>
        <v>405.352046470255</v>
      </c>
      <c r="W111" s="38" t="n">
        <f aca="false">SUM(Thesis!$R$98:$W$98)-SUM(Thesis!$R$110:$W$110)</f>
        <v>548.02627304894</v>
      </c>
      <c r="X111" s="38" t="n">
        <f aca="false">SUM(Thesis!$R$98:$X$98)-SUM(Thesis!$R$110:$X$110)</f>
        <v>667.201623959208</v>
      </c>
      <c r="Y111" s="38" t="n">
        <f aca="false">SUM(Thesis!$R$98:$Y$98)-SUM(Thesis!$R$110:$Y$110)</f>
        <v>702.306896264125</v>
      </c>
      <c r="Z111" s="38" t="n">
        <f aca="false">SUM(Thesis!$R$98:$Z$98)-SUM(Thesis!$R$110:$Z$110)</f>
        <v>693.490541571405</v>
      </c>
      <c r="AA111" s="38" t="n">
        <f aca="false">SUM(Thesis!$R$98:$AA$98)-SUM(Thesis!$R$110:$AA$110)</f>
        <v>673.009886375674</v>
      </c>
    </row>
    <row r="112" customFormat="false" ht="17.15" hidden="false" customHeight="false" outlineLevel="0" collapsed="false">
      <c r="A112" s="1" t="s">
        <v>652</v>
      </c>
    </row>
    <row r="113" customFormat="false" ht="17.15" hidden="false" customHeight="false" outlineLevel="0" collapsed="false">
      <c r="A113" s="0" t="s">
        <v>653</v>
      </c>
      <c r="B113" s="0" t="s">
        <v>86</v>
      </c>
      <c r="C113" s="38" t="n">
        <f aca="false">Thesis!$C$89-ext_sh*Thesis!$C$91</f>
        <v>1.80694998843362</v>
      </c>
      <c r="D113" s="38" t="n">
        <f aca="false">Thesis!$D$89-ext_sh*Thesis!$D$91</f>
        <v>6.77606245662607</v>
      </c>
      <c r="E113" s="38" t="n">
        <f aca="false">Thesis!$E$89-ext_sh*Thesis!$E$91</f>
        <v>6.62548329092326</v>
      </c>
      <c r="F113" s="38" t="n">
        <f aca="false">Thesis!$F$89-ext_sh*Thesis!$F$91</f>
        <v>11.7200577158706</v>
      </c>
      <c r="G113" s="38" t="n">
        <f aca="false">Thesis!$G$89-ext_sh*Thesis!$G$91</f>
        <v>18.3455410067939</v>
      </c>
      <c r="H113" s="38" t="n">
        <f aca="false">Thesis!$H$89-ext_sh*Thesis!$H$91</f>
        <v>47.5171727060453</v>
      </c>
      <c r="I113" s="38" t="n">
        <f aca="false">Thesis!$I$89-ext_sh*Thesis!$I$91</f>
        <v>80.5539692643667</v>
      </c>
      <c r="J113" s="38" t="n">
        <f aca="false">Thesis!$J$89-ext_sh*Thesis!$J$91</f>
        <v>113.759316834883</v>
      </c>
      <c r="K113" s="38" t="n">
        <f aca="false">Thesis!$K$89-ext_sh*Thesis!$K$91</f>
        <v>142.084411492169</v>
      </c>
      <c r="L113" s="38" t="n">
        <f aca="false">Thesis!$L$89-ext_sh*Thesis!$L$91</f>
        <v>160.69964615804</v>
      </c>
      <c r="M113" s="38" t="n">
        <f aca="false">Thesis!$M$89-ext_sh*Thesis!$M$91</f>
        <v>169.577607141793</v>
      </c>
      <c r="N113" s="38" t="n">
        <f aca="false">Thesis!$N$89-ext_sh*Thesis!$N$91</f>
        <v>2.37162185981912</v>
      </c>
      <c r="O113" s="38" t="n">
        <f aca="false">Thesis!$O$89-ext_sh*Thesis!$O$91</f>
        <v>4.40444059680694</v>
      </c>
    </row>
    <row r="114" customFormat="false" ht="17.15" hidden="false" customHeight="false" outlineLevel="0" collapsed="false">
      <c r="A114" s="1" t="s">
        <v>654</v>
      </c>
      <c r="B114" s="8" t="s">
        <v>86</v>
      </c>
      <c r="C114" s="38" t="n">
        <f aca="false">Thesis!$C$113-ext_sh*Thesis!$C$110</f>
        <v>1.64417882953695</v>
      </c>
      <c r="D114" s="38" t="n">
        <f aca="false">Thesis!$D$113-ext_sh*Thesis!$D$110</f>
        <v>5.39125073772939</v>
      </c>
      <c r="E114" s="38" t="n">
        <f aca="false">Thesis!$E$113-ext_sh*Thesis!$E$110</f>
        <v>2.42691120599613</v>
      </c>
      <c r="F114" s="38" t="n">
        <f aca="false">Thesis!$F$113-ext_sh*Thesis!$F$110</f>
        <v>7.52148563094346</v>
      </c>
      <c r="G114" s="38" t="n">
        <f aca="false">Thesis!$G$113-ext_sh*Thesis!$G$110</f>
        <v>9.94839683693959</v>
      </c>
      <c r="H114" s="38" t="n">
        <f aca="false">Thesis!$H$113-ext_sh*Thesis!$H$110</f>
        <v>23.4804386990861</v>
      </c>
      <c r="I114" s="38" t="n">
        <f aca="false">Thesis!$I$113-ext_sh*Thesis!$I$110</f>
        <v>30.9761745989143</v>
      </c>
      <c r="J114" s="38" t="n">
        <f aca="false">Thesis!$J$113-ext_sh*Thesis!$J$110</f>
        <v>41.1930070746977</v>
      </c>
      <c r="K114" s="38" t="n">
        <f aca="false">Thesis!$K$113-ext_sh*Thesis!$K$110</f>
        <v>45.9779211159428</v>
      </c>
      <c r="L114" s="38" t="n">
        <f aca="false">Thesis!$L$113-ext_sh*Thesis!$L$110</f>
        <v>48.0352490919424</v>
      </c>
      <c r="M114" s="38" t="n">
        <f aca="false">Thesis!$M$113-ext_sh*Thesis!$M$110</f>
        <v>47.4082976573265</v>
      </c>
      <c r="N114" s="38" t="n">
        <f aca="false">Thesis!$N$113-ext_sh*Thesis!$N$110</f>
        <v>1.67921600037079</v>
      </c>
      <c r="O114" s="38" t="n">
        <f aca="false">Thesis!$O$113-ext_sh*Thesis!$O$110</f>
        <v>3.71203473735861</v>
      </c>
    </row>
    <row r="115" customFormat="false" ht="17.15" hidden="false" customHeight="false" outlineLevel="0" collapsed="false">
      <c r="A115" s="0" t="s">
        <v>655</v>
      </c>
      <c r="B115" s="0" t="s">
        <v>52</v>
      </c>
      <c r="C115" s="13" t="n">
        <f aca="false">Thesis!$C$114/Thesis!$C$89</f>
        <v>0.708390794789371</v>
      </c>
      <c r="D115" s="13" t="n">
        <f aca="false">Thesis!$D$114/Thesis!$D$89</f>
        <v>0.619415573115729</v>
      </c>
      <c r="E115" s="13" t="n">
        <f aca="false">Thesis!$E$114/Thesis!$E$89</f>
        <v>0.285171627189009</v>
      </c>
      <c r="F115" s="13" t="n">
        <f aca="false">Thesis!$F$114/Thesis!$F$89</f>
        <v>0.502657732812366</v>
      </c>
      <c r="G115" s="13" t="n">
        <f aca="false">Thesis!$G$114/Thesis!$G$89</f>
        <v>0.423808778611812</v>
      </c>
      <c r="H115" s="13" t="n">
        <f aca="false">Thesis!$H$114/Thesis!$H$89</f>
        <v>0.390261631739809</v>
      </c>
      <c r="I115" s="13" t="n">
        <f aca="false">Thesis!$I$114/Thesis!$I$89</f>
        <v>0.305172864264572</v>
      </c>
      <c r="J115" s="13" t="n">
        <f aca="false">Thesis!$J$114/Thesis!$J$89</f>
        <v>0.288011814789856</v>
      </c>
      <c r="K115" s="13" t="n">
        <f aca="false">Thesis!$K$114/Thesis!$K$89</f>
        <v>0.25765427518774</v>
      </c>
      <c r="L115" s="13" t="n">
        <f aca="false">Thesis!$L$114/Thesis!$L$89</f>
        <v>0.238118778012374</v>
      </c>
      <c r="M115" s="13" t="n">
        <f aca="false">Thesis!$M$114/Thesis!$M$89</f>
        <v>0.222746255757109</v>
      </c>
      <c r="N115" s="13" t="n">
        <f aca="false">Thesis!$N$114/Thesis!$N$89</f>
        <v>0.551227795793364</v>
      </c>
      <c r="O115" s="13" t="n">
        <f aca="false">Thesis!$O$114/Thesis!$O$89</f>
        <v>0.656132068597002</v>
      </c>
    </row>
    <row r="116" customFormat="false" ht="17.15" hidden="false" customHeight="false" outlineLevel="0" collapsed="false">
      <c r="A116" s="5" t="s">
        <v>656</v>
      </c>
      <c r="B116" s="0" t="s">
        <v>86</v>
      </c>
      <c r="C116" s="39" t="n">
        <v>0</v>
      </c>
      <c r="D116" s="39" t="n">
        <v>0</v>
      </c>
      <c r="E116" s="39" t="n">
        <v>0</v>
      </c>
      <c r="F116" s="38" t="n">
        <f aca="false">IF(internal_ai_reading=2,1,0)*(1-ext_sh)/ext_sh*(mw_open*he_open+Thesis!$F$87*Thesis!$F$84)*Thesis!$F$73/1000</f>
        <v>3.77122048175818</v>
      </c>
      <c r="G116" s="38" t="n">
        <f aca="false">Thesis!$E$116+Thesis!$F$116</f>
        <v>3.77122048175818</v>
      </c>
      <c r="H116" s="38" t="n">
        <f aca="false">IF(internal_ai_reading=2,1,0)*(1-ext_sh)/ext_sh*(mw_open*he_open+Thesis!$H$87*Thesis!$H$84)*Thesis!$H$73/1000</f>
        <v>15.1635543609893</v>
      </c>
      <c r="I116" s="38" t="n">
        <f aca="false">IF(internal_ai_reading=2,1,0)*(1-ext_sh)/ext_sh*(mw_open*he_open+Thesis!$I$87*Thesis!$I$84)*Thesis!$I$73/1000</f>
        <v>25.5818843619889</v>
      </c>
      <c r="J116" s="38" t="n">
        <f aca="false">IF(internal_ai_reading=2,1,0)*(1-ext_sh)/ext_sh*(mw_open*he_open+Thesis!$J$87*Thesis!$J$84)*Thesis!$J$73/1000</f>
        <v>36.0465624179122</v>
      </c>
      <c r="K116" s="38" t="n">
        <f aca="false">IF(internal_ai_reading=2,1,0)*(1-ext_sh)/ext_sh*(mw_open*he_open+Thesis!$K$87*Thesis!$K$84)*Thesis!$K$73/1000</f>
        <v>44.9741164026038</v>
      </c>
      <c r="L116" s="38" t="n">
        <f aca="false">IF(internal_ai_reading=2,1,0)*(1-ext_sh)/ext_sh*(mw_open*he_open+Thesis!$L$87*Thesis!$L$84)*Thesis!$L$73/1000</f>
        <v>50.8413488057813</v>
      </c>
      <c r="M116" s="38" t="n">
        <f aca="false">IF(internal_ai_reading=2,1,0)*(1-ext_sh)/ext_sh*(mw_open*he_open+Thesis!$M$87*Thesis!$M$84)*Thesis!$M$73/1000</f>
        <v>53.6407214274315</v>
      </c>
      <c r="N116" s="39" t="n">
        <v>0</v>
      </c>
      <c r="O116" s="39" t="n">
        <v>0</v>
      </c>
      <c r="P116" s="8" t="s">
        <v>657</v>
      </c>
    </row>
    <row r="117" customFormat="false" ht="17.15" hidden="false" customHeight="false" outlineLevel="0" collapsed="false">
      <c r="A117" s="5" t="s">
        <v>658</v>
      </c>
      <c r="B117" s="0" t="s">
        <v>86</v>
      </c>
      <c r="C117" s="38" t="n">
        <f aca="false">(1-ext_sh)*(Thesis!$C$91+Thesis!$C$110)</f>
        <v>0.169206631859174</v>
      </c>
      <c r="D117" s="38" t="n">
        <f aca="false">(1-ext_sh)*(Thesis!$D$91+Thesis!$D$110)</f>
        <v>0.828129837730442</v>
      </c>
      <c r="E117" s="38" t="n">
        <f aca="false">(1-ext_sh)*(Thesis!$E$91+Thesis!$E$110)</f>
        <v>1.52086044239347</v>
      </c>
      <c r="F117" s="38" t="n">
        <f aca="false">(1-ext_sh)*(Thesis!$F$91+Thesis!$F$110)</f>
        <v>1.86048700344425</v>
      </c>
      <c r="G117" s="38" t="n">
        <f aca="false">(1-ext_sh)*(Thesis!$G$91+Thesis!$G$110)</f>
        <v>3.38134744583772</v>
      </c>
      <c r="H117" s="38" t="n">
        <f aca="false">(1-ext_sh)*(Thesis!$H$91+Thesis!$H$110)</f>
        <v>9.17136301267211</v>
      </c>
      <c r="I117" s="38" t="n">
        <f aca="false">(1-ext_sh)*(Thesis!$I$91+Thesis!$I$110)</f>
        <v>17.6318811343794</v>
      </c>
      <c r="J117" s="38" t="n">
        <f aca="false">(1-ext_sh)*(Thesis!$J$91+Thesis!$J$110)</f>
        <v>25.4581000191451</v>
      </c>
      <c r="K117" s="38" t="n">
        <f aca="false">(1-ext_sh)*(Thesis!$K$91+Thesis!$K$110)</f>
        <v>33.1175498168092</v>
      </c>
      <c r="L117" s="38" t="n">
        <f aca="false">(1-ext_sh)*(Thesis!$L$91+Thesis!$L$110)</f>
        <v>38.4232131776135</v>
      </c>
      <c r="M117" s="38" t="n">
        <f aca="false">(1-ext_sh)*(Thesis!$M$91+Thesis!$M$110)</f>
        <v>41.3567859278847</v>
      </c>
      <c r="N117" s="38" t="n">
        <f aca="false">(1-ext_sh)*(Thesis!$N$91+Thesis!$N$110)</f>
        <v>0.34177588266428</v>
      </c>
      <c r="O117" s="38" t="n">
        <f aca="false">(1-ext_sh)*(Thesis!$O$91+Thesis!$O$110)</f>
        <v>0.486353955066162</v>
      </c>
    </row>
    <row r="118" customFormat="false" ht="17.15" hidden="false" customHeight="false" outlineLevel="0" collapsed="false">
      <c r="A118" s="0" t="s">
        <v>659</v>
      </c>
      <c r="B118" s="0" t="s">
        <v>86</v>
      </c>
      <c r="C118" s="38" t="n">
        <f aca="false">Q!$D$24</f>
        <v>39.834</v>
      </c>
      <c r="D118" s="38" t="n">
        <f aca="false">Q!$E$24</f>
        <v>45.606</v>
      </c>
      <c r="E118" s="38" t="n">
        <f aca="false">Q!$P$24</f>
        <v>30.782</v>
      </c>
      <c r="N118" s="38" t="n">
        <f aca="false">Q!$N$24</f>
        <v>21.707</v>
      </c>
      <c r="O118" s="38" t="n">
        <f aca="false">Q!$O$24</f>
        <v>23.899</v>
      </c>
    </row>
    <row r="119" customFormat="false" ht="17.15" hidden="false" customHeight="false" outlineLevel="0" collapsed="false">
      <c r="A119" s="0" t="s">
        <v>660</v>
      </c>
      <c r="B119" s="0" t="s">
        <v>86</v>
      </c>
      <c r="C119" s="38" t="n">
        <f aca="false">Thesis!$C$118-Thesis!$C$114</f>
        <v>38.1898211704631</v>
      </c>
      <c r="D119" s="38" t="n">
        <f aca="false">Thesis!$D$118-Thesis!$D$114</f>
        <v>40.2147492622706</v>
      </c>
      <c r="E119" s="38" t="n">
        <f aca="false">Thesis!$E$118-Thesis!$E$114</f>
        <v>28.3550887940039</v>
      </c>
      <c r="F119" s="38" t="n">
        <f aca="false">Thesis!$F$93*Thesis!$F$120</f>
        <v>25.9529793149447</v>
      </c>
      <c r="G119" s="38" t="n">
        <f aca="false">Thesis!$E$119+Thesis!$F$119</f>
        <v>54.3080681089486</v>
      </c>
      <c r="H119" s="38" t="n">
        <f aca="false">Thesis!$H$93*Thesis!$H$120</f>
        <v>58.2264684589333</v>
      </c>
      <c r="I119" s="38" t="n">
        <f aca="false">Thesis!$I$93*Thesis!$I$120</f>
        <v>64.6461353851744</v>
      </c>
      <c r="J119" s="38" t="n">
        <f aca="false">Thesis!$J$93*Thesis!$J$120</f>
        <v>70.7957093610231</v>
      </c>
      <c r="K119" s="38" t="n">
        <f aca="false">Thesis!$K$93*Thesis!$K$120</f>
        <v>76.4593661099049</v>
      </c>
      <c r="L119" s="38" t="n">
        <f aca="false">Thesis!$L$93*Thesis!$L$120</f>
        <v>82.5761153986973</v>
      </c>
      <c r="M119" s="38" t="n">
        <f aca="false">Thesis!$M$93*Thesis!$M$120</f>
        <v>89.1822046305931</v>
      </c>
      <c r="N119" s="38" t="n">
        <f aca="false">Thesis!$N$118-Thesis!$N$114</f>
        <v>20.0277839996292</v>
      </c>
      <c r="O119" s="38" t="n">
        <f aca="false">Thesis!$O$118-Thesis!$O$114</f>
        <v>20.1869652626414</v>
      </c>
      <c r="P119" s="5" t="s">
        <v>661</v>
      </c>
    </row>
    <row r="120" customFormat="false" ht="17.15" hidden="false" customHeight="false" outlineLevel="0" collapsed="false">
      <c r="A120" s="0" t="s">
        <v>662</v>
      </c>
      <c r="B120" s="0" t="s">
        <v>52</v>
      </c>
      <c r="C120" s="13" t="n">
        <f aca="false">Thesis!$C$119/Thesis!$C$93</f>
        <v>0.362900395443635</v>
      </c>
      <c r="D120" s="13" t="n">
        <f aca="false">Thesis!$D$119/Thesis!$D$93</f>
        <v>0.335063632425483</v>
      </c>
      <c r="E120" s="13" t="n">
        <f aca="false">Thesis!$E$119/Thesis!$E$93</f>
        <v>0.397638855555478</v>
      </c>
      <c r="F120" s="13" t="n">
        <f aca="false">(Thesis!$O$119+Thesis!$E$119)/(Thesis!$O$93+Thesis!$E$93)</f>
        <v>0.361616727338133</v>
      </c>
      <c r="G120" s="13" t="n">
        <f aca="false">Thesis!$G$119/Thesis!$G$93</f>
        <v>0.379569803149143</v>
      </c>
      <c r="H120" s="13" t="n">
        <f aca="false">Thesis!$F$120</f>
        <v>0.361616727338133</v>
      </c>
      <c r="I120" s="13" t="n">
        <f aca="false">Thesis!$F$120</f>
        <v>0.361616727338133</v>
      </c>
      <c r="J120" s="13" t="n">
        <f aca="false">Thesis!$F$120</f>
        <v>0.361616727338133</v>
      </c>
      <c r="K120" s="13" t="n">
        <f aca="false">Thesis!$F$120</f>
        <v>0.361616727338133</v>
      </c>
      <c r="L120" s="13" t="n">
        <f aca="false">Thesis!$F$120</f>
        <v>0.361616727338133</v>
      </c>
      <c r="M120" s="13" t="n">
        <f aca="false">Thesis!$F$120</f>
        <v>0.361616727338133</v>
      </c>
      <c r="N120" s="13" t="n">
        <f aca="false">Thesis!$N$119/Thesis!$N$93</f>
        <v>0.35078810535806</v>
      </c>
      <c r="O120" s="13" t="n">
        <f aca="false">Thesis!$O$119/Thesis!$O$93</f>
        <v>0.320796939361619</v>
      </c>
      <c r="P120" s="8" t="s">
        <v>663</v>
      </c>
    </row>
    <row r="121" customFormat="false" ht="17.15" hidden="false" customHeight="false" outlineLevel="0" collapsed="false">
      <c r="A121" s="0" t="s">
        <v>664</v>
      </c>
      <c r="B121" s="0" t="s">
        <v>52</v>
      </c>
      <c r="D121" s="13" t="n">
        <f aca="false">(Q!$E$31-ext_sh*Thesis!$D$110)/Thesis!$D$93</f>
        <v>0.167180325480118</v>
      </c>
    </row>
    <row r="122" customFormat="false" ht="17.15" hidden="false" customHeight="false" outlineLevel="0" collapsed="false">
      <c r="A122" s="0" t="s">
        <v>665</v>
      </c>
      <c r="B122" s="0" t="s">
        <v>86</v>
      </c>
      <c r="C122" s="38" t="n">
        <f aca="false">Q!$D$31</f>
        <v>13.32</v>
      </c>
      <c r="D122" s="38" t="n">
        <f aca="false">Q!$E$31</f>
        <v>21.45</v>
      </c>
      <c r="E122" s="38" t="n">
        <f aca="false">Q!$P$31</f>
        <v>15.353</v>
      </c>
      <c r="F122" s="38" t="n">
        <f aca="false">ext_sh*Thesis!$F$110+Thesis!$D$121*Thesis!$F$93</f>
        <v>16.1969869840094</v>
      </c>
      <c r="G122" s="38" t="n">
        <f aca="false">Thesis!$E$122+Thesis!$F$122</f>
        <v>31.5499869840094</v>
      </c>
      <c r="H122" s="38" t="n">
        <f aca="false">ext_sh*Thesis!$H$110+Thesis!$D$121*Thesis!$H$93</f>
        <v>50.9556213609176</v>
      </c>
      <c r="I122" s="38" t="n">
        <f aca="false">ext_sh*Thesis!$I$110+Thesis!$D$121*Thesis!$I$93</f>
        <v>79.464581248252</v>
      </c>
      <c r="J122" s="38" t="n">
        <f aca="false">ext_sh*Thesis!$J$110+Thesis!$D$121*Thesis!$J$93</f>
        <v>105.296127931746</v>
      </c>
      <c r="K122" s="38" t="n">
        <f aca="false">ext_sh*Thesis!$K$110+Thesis!$D$121*Thesis!$K$93</f>
        <v>131.454694001511</v>
      </c>
      <c r="L122" s="38" t="n">
        <f aca="false">ext_sh*Thesis!$L$110+Thesis!$D$121*Thesis!$L$93</f>
        <v>150.840456981405</v>
      </c>
      <c r="M122" s="38" t="n">
        <f aca="false">ext_sh*Thesis!$M$110+Thesis!$D$121*Thesis!$M$93</f>
        <v>163.399454192999</v>
      </c>
      <c r="N122" s="38" t="n">
        <f aca="false">Q!$N$31</f>
        <v>9.234</v>
      </c>
      <c r="O122" s="38" t="n">
        <f aca="false">Q!$O$31</f>
        <v>12.216</v>
      </c>
    </row>
    <row r="123" customFormat="false" ht="17.15" hidden="false" customHeight="false" outlineLevel="0" collapsed="false">
      <c r="A123" s="1" t="s">
        <v>666</v>
      </c>
    </row>
    <row r="124" customFormat="false" ht="17.15" hidden="false" customHeight="false" outlineLevel="0" collapsed="false">
      <c r="A124" s="15" t="s">
        <v>667</v>
      </c>
      <c r="B124" s="14" t="s">
        <v>52</v>
      </c>
      <c r="C124" s="14"/>
      <c r="D124" s="14"/>
      <c r="E124" s="14"/>
      <c r="F124" s="14"/>
      <c r="G124" s="17" t="n">
        <f aca="false">Thesis!$G$114*(1-tax)/(ext_sh*(Thesis!$D$111+Thesis!$G$111)/2)</f>
        <v>0.0620504069546486</v>
      </c>
      <c r="H124" s="17" t="n">
        <f aca="false">Thesis!$H$114*(1-tax)/(ext_sh*(Thesis!$G$111+Thesis!$H$111)/2)</f>
        <v>0.0755420551527686</v>
      </c>
      <c r="I124" s="17" t="n">
        <f aca="false">Thesis!$I$114*(1-tax)/(ext_sh*(Thesis!$H$111+Thesis!$I$111)/2)</f>
        <v>0.067127575356291</v>
      </c>
      <c r="J124" s="17" t="n">
        <f aca="false">Thesis!$J$114*(1-tax)/(ext_sh*(Thesis!$I$111+Thesis!$J$111)/2)</f>
        <v>0.0700332392906535</v>
      </c>
      <c r="K124" s="17" t="n">
        <f aca="false">Thesis!$K$114*(1-tax)/(ext_sh*(Thesis!$J$111+Thesis!$K$111)/2)</f>
        <v>0.0693622290093833</v>
      </c>
      <c r="L124" s="17" t="n">
        <f aca="false">Thesis!$L$114*(1-tax)/(ext_sh*(Thesis!$K$111+Thesis!$L$111)/2)</f>
        <v>0.0711010638813626</v>
      </c>
      <c r="M124" s="17" t="n">
        <f aca="false">Thesis!$M$114*(1-tax)/(ext_sh*(Thesis!$L$111+Thesis!$M$111)/2)</f>
        <v>0.071677531066401</v>
      </c>
      <c r="N124" s="14"/>
      <c r="O124" s="14"/>
      <c r="P124" s="8" t="s">
        <v>668</v>
      </c>
    </row>
    <row r="125" customFormat="false" ht="17.15" hidden="false" customHeight="false" outlineLevel="0" collapsed="false">
      <c r="A125" s="5" t="s">
        <v>669</v>
      </c>
      <c r="B125" s="0" t="s">
        <v>57</v>
      </c>
      <c r="H125" s="36" t="n">
        <f aca="false">Thesis!$H$89*1000/(mw_open*he_open+Thesis!$H$87*Thesis!$H$84)</f>
        <v>0.991949006767191</v>
      </c>
      <c r="I125" s="36" t="n">
        <f aca="false">Thesis!$I$89*1000/(mw_open*he_open+Thesis!$I$87*Thesis!$I$84)</f>
        <v>0.991949006767191</v>
      </c>
      <c r="J125" s="36" t="n">
        <f aca="false">Thesis!$J$89*1000/(mw_open*he_open+Thesis!$J$87*Thesis!$J$84)</f>
        <v>0.991949006767191</v>
      </c>
      <c r="K125" s="36" t="n">
        <f aca="false">Thesis!$K$89*1000/(mw_open*he_open+Thesis!$K$87*Thesis!$K$84)</f>
        <v>0.991949006767191</v>
      </c>
      <c r="L125" s="36" t="n">
        <f aca="false">Thesis!$L$89*1000/(mw_open*he_open+Thesis!$L$87*Thesis!$L$84)</f>
        <v>0.991949006767191</v>
      </c>
      <c r="M125" s="36" t="n">
        <f aca="false">Thesis!$M$89*1000/(mw_open*he_open+Thesis!$M$87*Thesis!$M$84)</f>
        <v>0.991949006767191</v>
      </c>
    </row>
    <row r="126" customFormat="false" ht="17.15" hidden="false" customHeight="false" outlineLevel="0" collapsed="false">
      <c r="A126" s="5" t="s">
        <v>670</v>
      </c>
      <c r="B126" s="0" t="s">
        <v>57</v>
      </c>
      <c r="H126" s="36" t="n">
        <f aca="false">Thesis!$H$125*(Thesis!$H$89+wacc*ext_sh*(Thesis!$G$111+Thesis!$H$111)/2/(1-tax)-Thesis!$H$114)/Thesis!$H$89</f>
        <v>1.18542857552197</v>
      </c>
      <c r="I126" s="36" t="n">
        <f aca="false">Thesis!$I$125*(Thesis!$I$89+wacc*ext_sh*(Thesis!$H$111+Thesis!$I$111)/2/(1-tax)-Thesis!$I$114)/Thesis!$I$89</f>
        <v>1.20015476648903</v>
      </c>
      <c r="J126" s="36" t="n">
        <f aca="false">Thesis!$J$125*(Thesis!$J$89+wacc*ext_sh*(Thesis!$I$111+Thesis!$J$111)/2/(1-tax)-Thesis!$J$114)/Thesis!$J$89</f>
        <v>1.16844056931249</v>
      </c>
      <c r="K126" s="36" t="n">
        <f aca="false">Thesis!$K$125*(Thesis!$K$89+wacc*ext_sh*(Thesis!$J$111+Thesis!$K$111)/2/(1-tax)-Thesis!$K$114)/Thesis!$K$89</f>
        <v>1.15383758356873</v>
      </c>
      <c r="L126" s="36" t="n">
        <f aca="false">Thesis!$L$125*(Thesis!$L$89+wacc*ext_sh*(Thesis!$K$111+Thesis!$L$111)/2/(1-tax)-Thesis!$L$114)/Thesis!$L$89</f>
        <v>1.13212765595665</v>
      </c>
      <c r="M126" s="36" t="n">
        <f aca="false">Thesis!$M$125*(Thesis!$M$89+wacc*ext_sh*(Thesis!$L$111+Thesis!$M$111)/2/(1-tax)-Thesis!$M$114)/Thesis!$M$89</f>
        <v>1.12024635139935</v>
      </c>
    </row>
    <row r="127" customFormat="false" ht="17.15" hidden="false" customHeight="false" outlineLevel="0" collapsed="false">
      <c r="A127" s="5" t="s">
        <v>671</v>
      </c>
      <c r="B127" s="0" t="s">
        <v>52</v>
      </c>
      <c r="C127" s="13" t="n">
        <f aca="false">Thesis!$C$90/tk_pq</f>
        <v>0.195316432429398</v>
      </c>
      <c r="D127" s="13" t="n">
        <f aca="false">Thesis!$D$90/tk_pq</f>
        <v>0.195316432429398</v>
      </c>
      <c r="E127" s="13" t="n">
        <f aca="false">Thesis!$E$90/tk_pq</f>
        <v>0.195316432429398</v>
      </c>
      <c r="F127" s="13" t="n">
        <f aca="false">Thesis!$F$90/tk_pq</f>
        <v>0.202241827274866</v>
      </c>
      <c r="G127" s="13" t="n">
        <f aca="false">Thesis!$G$90/tk_pq</f>
        <v>0.199675016194063</v>
      </c>
      <c r="H127" s="13" t="n">
        <f aca="false">Thesis!$H$90/tk_pq</f>
        <v>0.212647947710325</v>
      </c>
      <c r="I127" s="13" t="n">
        <f aca="false">Thesis!$I$90/tk_pq</f>
        <v>0.219285125475351</v>
      </c>
      <c r="J127" s="13" t="n">
        <f aca="false">Thesis!$J$90/tk_pq</f>
        <v>0.222492493217189</v>
      </c>
      <c r="K127" s="13" t="n">
        <f aca="false">Thesis!$K$90/tk_pq</f>
        <v>0.224053502812094</v>
      </c>
      <c r="L127" s="13" t="n">
        <f aca="false">Thesis!$L$90/tk_pq</f>
        <v>0.224786916785614</v>
      </c>
      <c r="M127" s="13" t="n">
        <f aca="false">Thesis!$M$90/tk_pq</f>
        <v>0.225048671566937</v>
      </c>
      <c r="N127" s="13" t="n">
        <f aca="false">Thesis!$N$90/tk_pq</f>
        <v>0.195316432429398</v>
      </c>
      <c r="O127" s="13" t="n">
        <f aca="false">Thesis!$O$90/tk_pq</f>
        <v>0.195316432429398</v>
      </c>
      <c r="P127" s="5" t="s">
        <v>672</v>
      </c>
    </row>
    <row r="130" customFormat="false" ht="19.4" hidden="false" customHeight="false" outlineLevel="0" collapsed="false">
      <c r="A130" s="31" t="s">
        <v>674</v>
      </c>
    </row>
    <row r="131" customFormat="false" ht="17.15" hidden="false" customHeight="false" outlineLevel="0" collapsed="false">
      <c r="A131" s="6" t="s">
        <v>16</v>
      </c>
      <c r="B131" s="6" t="s">
        <v>17</v>
      </c>
      <c r="C131" s="20" t="s">
        <v>504</v>
      </c>
      <c r="D131" s="20" t="s">
        <v>505</v>
      </c>
      <c r="E131" s="20" t="s">
        <v>587</v>
      </c>
      <c r="F131" s="20" t="s">
        <v>588</v>
      </c>
      <c r="G131" s="20" t="s">
        <v>589</v>
      </c>
      <c r="H131" s="20" t="s">
        <v>590</v>
      </c>
      <c r="I131" s="20" t="s">
        <v>591</v>
      </c>
      <c r="J131" s="20" t="s">
        <v>592</v>
      </c>
      <c r="K131" s="20" t="s">
        <v>593</v>
      </c>
      <c r="L131" s="20" t="s">
        <v>594</v>
      </c>
      <c r="M131" s="20" t="s">
        <v>595</v>
      </c>
      <c r="N131" s="20" t="s">
        <v>596</v>
      </c>
      <c r="O131" s="20" t="s">
        <v>597</v>
      </c>
      <c r="P131" s="6" t="s">
        <v>23</v>
      </c>
      <c r="R131" s="20" t="n">
        <v>2023</v>
      </c>
      <c r="S131" s="20" t="n">
        <v>2024</v>
      </c>
      <c r="T131" s="20" t="n">
        <v>2025</v>
      </c>
      <c r="U131" s="20" t="n">
        <v>2026</v>
      </c>
      <c r="V131" s="20" t="n">
        <v>2027</v>
      </c>
      <c r="W131" s="20" t="n">
        <v>2028</v>
      </c>
      <c r="X131" s="20" t="n">
        <v>2029</v>
      </c>
      <c r="Y131" s="20" t="n">
        <v>2030</v>
      </c>
      <c r="Z131" s="20" t="n">
        <v>2031</v>
      </c>
      <c r="AA131" s="20" t="n">
        <v>2032</v>
      </c>
    </row>
    <row r="132" customFormat="false" ht="17.15" hidden="false" customHeight="false" outlineLevel="0" collapsed="false">
      <c r="A132" s="1" t="s">
        <v>598</v>
      </c>
    </row>
    <row r="133" customFormat="false" ht="17.15" hidden="false" customHeight="false" outlineLevel="0" collapsed="false">
      <c r="A133" s="5" t="s">
        <v>599</v>
      </c>
      <c r="B133" s="0" t="s">
        <v>144</v>
      </c>
      <c r="H133" s="32" t="n">
        <f aca="false">pace_C</f>
        <v>3634.3</v>
      </c>
      <c r="I133" s="32" t="n">
        <f aca="false">pace_C</f>
        <v>3634.3</v>
      </c>
      <c r="J133" s="32" t="n">
        <f aca="false">pace_C</f>
        <v>3634.3</v>
      </c>
      <c r="K133" s="32" t="n">
        <f aca="false">pace_C+(Thesis!$J$134*tg-pace_C)*1/3</f>
        <v>2570.86716666667</v>
      </c>
      <c r="L133" s="32" t="n">
        <f aca="false">pace_C+(Thesis!$J$134*tg-pace_C)*2/3</f>
        <v>1507.43433333333</v>
      </c>
      <c r="M133" s="32" t="n">
        <f aca="false">pace_C+(Thesis!$J$134*tg-pace_C)*3/3</f>
        <v>444.0015</v>
      </c>
      <c r="P133" s="5" t="s">
        <v>600</v>
      </c>
    </row>
    <row r="134" customFormat="false" ht="17.15" hidden="false" customHeight="false" outlineLevel="0" collapsed="false">
      <c r="A134" s="15" t="s">
        <v>601</v>
      </c>
      <c r="B134" s="14" t="s">
        <v>129</v>
      </c>
      <c r="C134" s="33" t="n">
        <f aca="false">mw_ye24</f>
        <v>360</v>
      </c>
      <c r="D134" s="33" t="n">
        <f aca="false">mw_ye25</f>
        <v>1440</v>
      </c>
      <c r="E134" s="33" t="n">
        <f aca="false">mw_open</f>
        <v>2080</v>
      </c>
      <c r="F134" s="33" t="n">
        <f aca="false">Thesis!$E$134+pace_C*0.5</f>
        <v>3897.15</v>
      </c>
      <c r="G134" s="33" t="n">
        <f aca="false">Thesis!$F$134</f>
        <v>3897.15</v>
      </c>
      <c r="H134" s="33" t="n">
        <f aca="false">Thesis!$G$134+Thesis!$H$133</f>
        <v>7531.45</v>
      </c>
      <c r="I134" s="33" t="n">
        <f aca="false">Thesis!$H$134+Thesis!$I$133</f>
        <v>11165.75</v>
      </c>
      <c r="J134" s="33" t="n">
        <f aca="false">Thesis!$I$134+Thesis!$J$133</f>
        <v>14800.05</v>
      </c>
      <c r="K134" s="33" t="n">
        <f aca="false">Thesis!$J$134+Thesis!$K$133</f>
        <v>17370.9171666667</v>
      </c>
      <c r="L134" s="33" t="n">
        <f aca="false">Thesis!$K$134+Thesis!$L$133</f>
        <v>18878.3515</v>
      </c>
      <c r="M134" s="33" t="n">
        <f aca="false">Thesis!$L$134+Thesis!$M$133</f>
        <v>19322.353</v>
      </c>
      <c r="N134" s="33" t="n">
        <f aca="false">(mw_ye24+mw_ye25)/2</f>
        <v>900</v>
      </c>
      <c r="O134" s="33" t="n">
        <f aca="false">mw_ye25</f>
        <v>1440</v>
      </c>
      <c r="P134" s="5" t="s">
        <v>602</v>
      </c>
    </row>
    <row r="135" customFormat="false" ht="17.15" hidden="false" customHeight="false" outlineLevel="0" collapsed="false">
      <c r="A135" s="5" t="s">
        <v>603</v>
      </c>
      <c r="B135" s="0" t="s">
        <v>129</v>
      </c>
      <c r="C135" s="32" t="n">
        <f aca="false">(mw_ye23+mw_ye24)/2</f>
        <v>240</v>
      </c>
      <c r="D135" s="32" t="n">
        <f aca="false">(Thesis!$C$134+Thesis!$D$134)/2</f>
        <v>900</v>
      </c>
      <c r="E135" s="32" t="n">
        <f aca="false">(Thesis!$D$134+Thesis!$E$134)/2</f>
        <v>1760</v>
      </c>
      <c r="F135" s="32" t="n">
        <f aca="false">(Thesis!$E$134+Thesis!$F$134)/2</f>
        <v>2988.575</v>
      </c>
      <c r="G135" s="32" t="n">
        <f aca="false">(Thesis!$E$135+Thesis!$F$135)/2</f>
        <v>2374.2875</v>
      </c>
      <c r="H135" s="32" t="n">
        <f aca="false">(Thesis!$G$134+Thesis!$H$134)/2</f>
        <v>5714.3</v>
      </c>
      <c r="I135" s="32" t="n">
        <f aca="false">(Thesis!$H$134+Thesis!$I$134)/2</f>
        <v>9348.6</v>
      </c>
      <c r="J135" s="32" t="n">
        <f aca="false">(Thesis!$I$134+Thesis!$J$134)/2</f>
        <v>12982.9</v>
      </c>
      <c r="K135" s="32" t="n">
        <f aca="false">(Thesis!$J$134+Thesis!$K$134)/2</f>
        <v>16085.4835833333</v>
      </c>
      <c r="L135" s="32" t="n">
        <f aca="false">(Thesis!$K$134+Thesis!$L$134)/2</f>
        <v>18124.6343333333</v>
      </c>
      <c r="M135" s="32" t="n">
        <f aca="false">(Thesis!$L$134+Thesis!$M$134)/2</f>
        <v>19100.35225</v>
      </c>
      <c r="N135" s="32" t="n">
        <f aca="false">(Thesis!$C$134+Thesis!$N$134)/2</f>
        <v>630</v>
      </c>
      <c r="O135" s="32" t="n">
        <f aca="false">(Thesis!$N$134+Thesis!$O$134)/2</f>
        <v>1170</v>
      </c>
    </row>
    <row r="136" customFormat="false" ht="15" hidden="false" customHeight="false" outlineLevel="0" collapsed="false">
      <c r="A136" s="5" t="s">
        <v>604</v>
      </c>
      <c r="B136" s="5" t="s">
        <v>123</v>
      </c>
      <c r="C136" s="34" t="n">
        <v>1</v>
      </c>
      <c r="D136" s="34" t="n">
        <v>1</v>
      </c>
      <c r="E136" s="34" t="n">
        <v>0.5</v>
      </c>
      <c r="F136" s="34" t="n">
        <v>0.5</v>
      </c>
      <c r="G136" s="34" t="n">
        <v>1</v>
      </c>
      <c r="H136" s="34" t="n">
        <v>1</v>
      </c>
      <c r="I136" s="34" t="n">
        <v>1</v>
      </c>
      <c r="J136" s="34" t="n">
        <v>1</v>
      </c>
      <c r="K136" s="34" t="n">
        <v>1</v>
      </c>
      <c r="L136" s="34" t="n">
        <v>1</v>
      </c>
      <c r="M136" s="34" t="n">
        <v>1</v>
      </c>
      <c r="N136" s="34" t="n">
        <v>0.5</v>
      </c>
      <c r="O136" s="34" t="n">
        <v>0.5</v>
      </c>
    </row>
    <row r="137" customFormat="false" ht="17.15" hidden="false" customHeight="false" outlineLevel="0" collapsed="false">
      <c r="A137" s="5" t="s">
        <v>605</v>
      </c>
      <c r="B137" s="0" t="s">
        <v>129</v>
      </c>
      <c r="C137" s="32" t="n">
        <f aca="false">Thesis!$C$134-mw_ye23</f>
        <v>240</v>
      </c>
      <c r="D137" s="32" t="n">
        <f aca="false">Thesis!$D$134-Thesis!$C$134</f>
        <v>1080</v>
      </c>
      <c r="E137" s="32" t="n">
        <f aca="false">Thesis!$E$134-Thesis!$D$134</f>
        <v>640</v>
      </c>
      <c r="F137" s="32" t="n">
        <f aca="false">Thesis!$F$134-Thesis!$E$134</f>
        <v>1817.15</v>
      </c>
      <c r="G137" s="32" t="n">
        <f aca="false">Thesis!$E$137+Thesis!$F$137</f>
        <v>2457.15</v>
      </c>
      <c r="H137" s="32" t="n">
        <f aca="false">Thesis!$H$134-Thesis!$G$134</f>
        <v>3634.3</v>
      </c>
      <c r="I137" s="32" t="n">
        <f aca="false">Thesis!$I$134-Thesis!$H$134</f>
        <v>3634.3</v>
      </c>
      <c r="J137" s="32" t="n">
        <f aca="false">Thesis!$J$134-Thesis!$I$134</f>
        <v>3634.3</v>
      </c>
      <c r="K137" s="32" t="n">
        <f aca="false">Thesis!$K$134-Thesis!$J$134</f>
        <v>2570.86716666667</v>
      </c>
      <c r="L137" s="32" t="n">
        <f aca="false">Thesis!$L$134-Thesis!$K$134</f>
        <v>1507.43433333333</v>
      </c>
      <c r="M137" s="32" t="n">
        <f aca="false">Thesis!$M$134-Thesis!$L$134</f>
        <v>444.001499999999</v>
      </c>
      <c r="N137" s="32" t="n">
        <f aca="false">Thesis!$N$134-Thesis!$C$134</f>
        <v>540</v>
      </c>
      <c r="O137" s="32" t="n">
        <f aca="false">Thesis!$O$134-Thesis!$N$134</f>
        <v>540</v>
      </c>
    </row>
    <row r="138" customFormat="false" ht="17.15" hidden="false" customHeight="false" outlineLevel="0" collapsed="false">
      <c r="A138" s="5" t="s">
        <v>606</v>
      </c>
      <c r="B138" s="0" t="s">
        <v>129</v>
      </c>
      <c r="C138" s="32" t="n">
        <f aca="false">Thesis!$C$137/ext_sh</f>
        <v>300</v>
      </c>
      <c r="D138" s="32" t="n">
        <f aca="false">Thesis!$D$137/ext_sh</f>
        <v>1350</v>
      </c>
      <c r="E138" s="32" t="n">
        <f aca="false">Thesis!$E$137/ext_sh</f>
        <v>800</v>
      </c>
      <c r="F138" s="32" t="n">
        <f aca="false">Thesis!$F$137/ext_sh</f>
        <v>2271.4375</v>
      </c>
      <c r="G138" s="32" t="n">
        <f aca="false">Thesis!$G$137/ext_sh</f>
        <v>3071.4375</v>
      </c>
      <c r="H138" s="32" t="n">
        <f aca="false">Thesis!$H$137/ext_sh</f>
        <v>4542.875</v>
      </c>
      <c r="I138" s="32" t="n">
        <f aca="false">Thesis!$I$137/ext_sh</f>
        <v>4542.875</v>
      </c>
      <c r="J138" s="32" t="n">
        <f aca="false">Thesis!$J$137/ext_sh</f>
        <v>4542.875</v>
      </c>
      <c r="K138" s="32" t="n">
        <f aca="false">Thesis!$K$137/ext_sh</f>
        <v>3213.58395833333</v>
      </c>
      <c r="L138" s="32" t="n">
        <f aca="false">Thesis!$L$137/ext_sh</f>
        <v>1884.29291666667</v>
      </c>
      <c r="M138" s="32" t="n">
        <f aca="false">Thesis!$M$137/ext_sh</f>
        <v>555.001874999998</v>
      </c>
      <c r="N138" s="32" t="n">
        <f aca="false">Thesis!$N$137/ext_sh</f>
        <v>675</v>
      </c>
      <c r="O138" s="32" t="n">
        <f aca="false">Thesis!$O$137/ext_sh</f>
        <v>675</v>
      </c>
      <c r="P138" s="8" t="s">
        <v>607</v>
      </c>
      <c r="R138" s="32" t="n">
        <f aca="false">mw_ye23/ext_sh</f>
        <v>150</v>
      </c>
      <c r="S138" s="32" t="n">
        <f aca="false">Thesis!$C$138</f>
        <v>300</v>
      </c>
      <c r="T138" s="32" t="n">
        <f aca="false">Thesis!$D$138</f>
        <v>1350</v>
      </c>
      <c r="U138" s="32" t="n">
        <f aca="false">Thesis!$G$138</f>
        <v>3071.4375</v>
      </c>
      <c r="V138" s="32" t="n">
        <f aca="false">Thesis!$H$138</f>
        <v>4542.875</v>
      </c>
      <c r="W138" s="32" t="n">
        <f aca="false">Thesis!$I$138</f>
        <v>4542.875</v>
      </c>
      <c r="X138" s="32" t="n">
        <f aca="false">Thesis!$J$138</f>
        <v>4542.875</v>
      </c>
      <c r="Y138" s="32" t="n">
        <f aca="false">Thesis!$K$138</f>
        <v>3213.58395833333</v>
      </c>
      <c r="Z138" s="32" t="n">
        <f aca="false">Thesis!$L$138</f>
        <v>1884.29291666667</v>
      </c>
      <c r="AA138" s="32" t="n">
        <f aca="false">Thesis!$M$138</f>
        <v>555.001874999998</v>
      </c>
    </row>
    <row r="139" customFormat="false" ht="17.15" hidden="false" customHeight="false" outlineLevel="0" collapsed="false">
      <c r="A139" s="1" t="s">
        <v>608</v>
      </c>
    </row>
    <row r="140" customFormat="false" ht="17.15" hidden="false" customHeight="false" outlineLevel="0" collapsed="false">
      <c r="A140" s="0" t="s">
        <v>609</v>
      </c>
      <c r="B140" s="0" t="s">
        <v>52</v>
      </c>
      <c r="F140" s="35" t="n">
        <f aca="false">na_vr26</f>
        <v>0</v>
      </c>
      <c r="G140" s="35" t="n">
        <f aca="false">na_vr26</f>
        <v>0</v>
      </c>
      <c r="H140" s="35" t="n">
        <f aca="false">na_vr27</f>
        <v>0.5</v>
      </c>
      <c r="I140" s="35" t="n">
        <f aca="false">na_vr28</f>
        <v>1</v>
      </c>
      <c r="J140" s="35" t="n">
        <f aca="false">na_vr28</f>
        <v>1</v>
      </c>
      <c r="K140" s="35" t="n">
        <f aca="false">na_vr28</f>
        <v>1</v>
      </c>
      <c r="L140" s="35" t="n">
        <f aca="false">na_vr28</f>
        <v>1</v>
      </c>
      <c r="M140" s="35" t="n">
        <f aca="false">na_vr28</f>
        <v>1</v>
      </c>
    </row>
    <row r="141" customFormat="false" ht="17.15" hidden="false" customHeight="false" outlineLevel="0" collapsed="false">
      <c r="A141" s="5" t="s">
        <v>610</v>
      </c>
      <c r="B141" s="0" t="s">
        <v>173</v>
      </c>
      <c r="F141" s="36" t="n">
        <f aca="false">cust_sh*tk_he_gb300*cf_chip+(1-cust_sh)*((1-Thesis!$F$140)*tk_he_gb300+Thesis!$F$140*tk_he_vr200)</f>
        <v>10.8864110021101</v>
      </c>
      <c r="G141" s="36" t="n">
        <f aca="false">cust_sh*tk_he_gb300*cf_chip+(1-cust_sh)*((1-Thesis!$G$140)*tk_he_gb300+Thesis!$G$140*tk_he_vr200)</f>
        <v>10.8864110021101</v>
      </c>
      <c r="H141" s="36" t="n">
        <f aca="false">cust_sh*tk_he_gb300*cf_chip+(1-cust_sh)*((1-Thesis!$H$140)*tk_he_gb300+Thesis!$H$140*tk_he_vr200)</f>
        <v>11.2211760027286</v>
      </c>
      <c r="I141" s="36" t="n">
        <f aca="false">cust_sh*tk_he_gb300*cf_chip+(1-cust_sh)*((1-Thesis!$I$140)*tk_he_gb300+Thesis!$I$140*tk_he_vr200)</f>
        <v>11.5559410033471</v>
      </c>
      <c r="J141" s="36" t="n">
        <f aca="false">cust_sh*tk_he_gb300*cf_chip+(1-cust_sh)*((1-Thesis!$J$140)*tk_he_gb300+Thesis!$J$140*tk_he_vr200)</f>
        <v>11.5559410033471</v>
      </c>
      <c r="K141" s="36" t="n">
        <f aca="false">cust_sh*tk_he_gb300*cf_chip+(1-cust_sh)*((1-Thesis!$K$140)*tk_he_gb300+Thesis!$K$140*tk_he_vr200)</f>
        <v>11.5559410033471</v>
      </c>
      <c r="L141" s="36" t="n">
        <f aca="false">cust_sh*tk_he_gb300*cf_chip+(1-cust_sh)*((1-Thesis!$L$140)*tk_he_gb300+Thesis!$L$140*tk_he_vr200)</f>
        <v>11.5559410033471</v>
      </c>
      <c r="M141" s="36" t="n">
        <f aca="false">cust_sh*tk_he_gb300*cf_chip+(1-cust_sh)*((1-Thesis!$M$140)*tk_he_gb300+Thesis!$M$140*tk_he_vr200)</f>
        <v>11.5559410033471</v>
      </c>
    </row>
    <row r="142" customFormat="false" ht="17.15" hidden="false" customHeight="false" outlineLevel="0" collapsed="false">
      <c r="A142" s="5" t="s">
        <v>611</v>
      </c>
      <c r="B142" s="0" t="s">
        <v>173</v>
      </c>
      <c r="F142" s="36" t="n">
        <f aca="false">cust_sh*tk_ox_gb300+(1-cust_sh)*((1-Thesis!$F$140)*tk_ox_gb300+Thesis!$F$140*tk_ox_vr200)</f>
        <v>1.98263481314457</v>
      </c>
      <c r="G142" s="36" t="n">
        <f aca="false">cust_sh*tk_ox_gb300+(1-cust_sh)*((1-Thesis!$G$140)*tk_ox_gb300+Thesis!$G$140*tk_ox_vr200)</f>
        <v>1.98263481314457</v>
      </c>
      <c r="H142" s="36" t="n">
        <f aca="false">cust_sh*tk_ox_gb300+(1-cust_sh)*((1-Thesis!$H$140)*tk_ox_gb300+Thesis!$H$140*tk_ox_vr200)</f>
        <v>2.01034999693694</v>
      </c>
      <c r="I142" s="36" t="n">
        <f aca="false">cust_sh*tk_ox_gb300+(1-cust_sh)*((1-Thesis!$I$140)*tk_ox_gb300+Thesis!$I$140*tk_ox_vr200)</f>
        <v>2.0380651807293</v>
      </c>
      <c r="J142" s="36" t="n">
        <f aca="false">cust_sh*tk_ox_gb300+(1-cust_sh)*((1-Thesis!$J$140)*tk_ox_gb300+Thesis!$J$140*tk_ox_vr200)</f>
        <v>2.0380651807293</v>
      </c>
      <c r="K142" s="36" t="n">
        <f aca="false">cust_sh*tk_ox_gb300+(1-cust_sh)*((1-Thesis!$K$140)*tk_ox_gb300+Thesis!$K$140*tk_ox_vr200)</f>
        <v>2.0380651807293</v>
      </c>
      <c r="L142" s="36" t="n">
        <f aca="false">cust_sh*tk_ox_gb300+(1-cust_sh)*((1-Thesis!$L$140)*tk_ox_gb300+Thesis!$L$140*tk_ox_vr200)</f>
        <v>2.0380651807293</v>
      </c>
      <c r="M142" s="36" t="n">
        <f aca="false">cust_sh*tk_ox_gb300+(1-cust_sh)*((1-Thesis!$M$140)*tk_ox_gb300+Thesis!$M$140*tk_ox_vr200)</f>
        <v>2.0380651807293</v>
      </c>
    </row>
    <row r="143" customFormat="false" ht="17.15" hidden="false" customHeight="false" outlineLevel="0" collapsed="false">
      <c r="A143" s="5" t="s">
        <v>612</v>
      </c>
      <c r="B143" s="0" t="s">
        <v>192</v>
      </c>
      <c r="F143" s="36" t="n">
        <f aca="false">cust_sh*tk_cx_gb300*cf_cx+(1-cust_sh)*((1-Thesis!$F$140)*tk_cx_gb300+Thesis!$F$140*tk_cx_vr200)</f>
        <v>32.237224</v>
      </c>
      <c r="G143" s="36" t="n">
        <f aca="false">cust_sh*tk_cx_gb300*cf_cx+(1-cust_sh)*((1-Thesis!$G$140)*tk_cx_gb300+Thesis!$G$140*tk_cx_vr200)</f>
        <v>32.237224</v>
      </c>
      <c r="H143" s="36" t="n">
        <f aca="false">cust_sh*tk_cx_gb300*cf_cx+(1-cust_sh)*((1-Thesis!$H$140)*tk_cx_gb300+Thesis!$H$140*tk_cx_vr200)</f>
        <v>33.574506</v>
      </c>
      <c r="I143" s="36" t="n">
        <f aca="false">cust_sh*tk_cx_gb300*cf_cx+(1-cust_sh)*((1-Thesis!$I$140)*tk_cx_gb300+Thesis!$I$140*tk_cx_vr200)</f>
        <v>34.911788</v>
      </c>
      <c r="J143" s="36" t="n">
        <f aca="false">cust_sh*tk_cx_gb300*cf_cx+(1-cust_sh)*((1-Thesis!$J$140)*tk_cx_gb300+Thesis!$J$140*tk_cx_vr200)</f>
        <v>34.911788</v>
      </c>
      <c r="K143" s="36" t="n">
        <f aca="false">cust_sh*tk_cx_gb300*cf_cx+(1-cust_sh)*((1-Thesis!$K$140)*tk_cx_gb300+Thesis!$K$140*tk_cx_vr200)</f>
        <v>34.911788</v>
      </c>
      <c r="L143" s="36" t="n">
        <f aca="false">cust_sh*tk_cx_gb300*cf_cx+(1-cust_sh)*((1-Thesis!$L$140)*tk_cx_gb300+Thesis!$L$140*tk_cx_vr200)</f>
        <v>34.911788</v>
      </c>
      <c r="M143" s="36" t="n">
        <f aca="false">cust_sh*tk_cx_gb300*cf_cx+(1-cust_sh)*((1-Thesis!$M$140)*tk_cx_gb300+Thesis!$M$140*tk_cx_vr200)</f>
        <v>34.911788</v>
      </c>
    </row>
    <row r="144" customFormat="false" ht="17.15" hidden="false" customHeight="false" outlineLevel="0" collapsed="false">
      <c r="A144" s="5" t="s">
        <v>613</v>
      </c>
      <c r="B144" s="0" t="s">
        <v>129</v>
      </c>
      <c r="F144" s="32" t="n">
        <f aca="false">Thesis!$F$134-mw_open</f>
        <v>1817.15</v>
      </c>
      <c r="G144" s="32" t="n">
        <f aca="false">Thesis!$F$144</f>
        <v>1817.15</v>
      </c>
      <c r="H144" s="32" t="n">
        <f aca="false">Thesis!$H$134-mw_open</f>
        <v>5451.45</v>
      </c>
      <c r="I144" s="32" t="n">
        <f aca="false">Thesis!$I$134-mw_open</f>
        <v>9085.75</v>
      </c>
      <c r="J144" s="32" t="n">
        <f aca="false">Thesis!$J$134-mw_open</f>
        <v>12720.05</v>
      </c>
      <c r="K144" s="32" t="n">
        <f aca="false">Thesis!$K$134-mw_open</f>
        <v>15290.9171666667</v>
      </c>
      <c r="L144" s="32" t="n">
        <f aca="false">Thesis!$L$134-mw_open</f>
        <v>16798.3515</v>
      </c>
      <c r="M144" s="32" t="n">
        <f aca="false">Thesis!$M$134-mw_open</f>
        <v>17242.353</v>
      </c>
    </row>
    <row r="145" customFormat="false" ht="17.15" hidden="false" customHeight="false" outlineLevel="0" collapsed="false">
      <c r="A145" s="0" t="s">
        <v>614</v>
      </c>
      <c r="B145" s="0" t="s">
        <v>615</v>
      </c>
      <c r="F145" s="32" t="n">
        <f aca="false">Thesis!$F$137*Thesis!$F$141</f>
        <v>19782.2417524844</v>
      </c>
      <c r="G145" s="32" t="n">
        <f aca="false">Thesis!$F$145</f>
        <v>19782.2417524844</v>
      </c>
      <c r="H145" s="32" t="n">
        <f aca="false">Thesis!$G$145+Thesis!$H$137*Thesis!$H$141</f>
        <v>60563.3616992009</v>
      </c>
      <c r="I145" s="32" t="n">
        <f aca="false">Thesis!$H$145+Thesis!$I$137*Thesis!$I$141</f>
        <v>102561.118087665</v>
      </c>
      <c r="J145" s="32" t="n">
        <f aca="false">Thesis!$I$145+Thesis!$J$137*Thesis!$J$141</f>
        <v>144558.87447613</v>
      </c>
      <c r="K145" s="32" t="n">
        <f aca="false">Thesis!$J$145+Thesis!$K$137*Thesis!$K$141</f>
        <v>174267.663781572</v>
      </c>
      <c r="L145" s="32" t="n">
        <f aca="false">Thesis!$K$145+Thesis!$L$137*Thesis!$L$141</f>
        <v>191687.486003992</v>
      </c>
      <c r="M145" s="32" t="n">
        <f aca="false">Thesis!$L$145+Thesis!$M$137*Thesis!$M$141</f>
        <v>196818.341143389</v>
      </c>
    </row>
    <row r="146" customFormat="false" ht="17.15" hidden="false" customHeight="false" outlineLevel="0" collapsed="false">
      <c r="A146" s="0" t="s">
        <v>616</v>
      </c>
      <c r="B146" s="0" t="s">
        <v>615</v>
      </c>
      <c r="F146" s="32" t="n">
        <f aca="false">Thesis!$F$137*Thesis!$F$142</f>
        <v>3602.74485070566</v>
      </c>
      <c r="G146" s="32" t="n">
        <f aca="false">Thesis!$F$146</f>
        <v>3602.74485070566</v>
      </c>
      <c r="H146" s="32" t="n">
        <f aca="false">Thesis!$G$146+Thesis!$H$137*Thesis!$H$142</f>
        <v>10908.9598445736</v>
      </c>
      <c r="I146" s="32" t="n">
        <f aca="false">Thesis!$H$146+Thesis!$I$137*Thesis!$I$142</f>
        <v>18315.9001308981</v>
      </c>
      <c r="J146" s="32" t="n">
        <f aca="false">Thesis!$I$146+Thesis!$J$137*Thesis!$J$142</f>
        <v>25722.8404172225</v>
      </c>
      <c r="K146" s="32" t="n">
        <f aca="false">Thesis!$J$146+Thesis!$K$137*Thesis!$K$142</f>
        <v>30962.4352738861</v>
      </c>
      <c r="L146" s="32" t="n">
        <f aca="false">Thesis!$K$146+Thesis!$L$137*Thesis!$L$142</f>
        <v>34034.6847008886</v>
      </c>
      <c r="M146" s="32" t="n">
        <f aca="false">Thesis!$L$146+Thesis!$M$137*Thesis!$M$142</f>
        <v>34939.5886982302</v>
      </c>
    </row>
    <row r="147" customFormat="false" ht="17.15" hidden="false" customHeight="false" outlineLevel="0" collapsed="false">
      <c r="A147" s="5" t="s">
        <v>617</v>
      </c>
      <c r="B147" s="0" t="s">
        <v>173</v>
      </c>
      <c r="F147" s="36" t="n">
        <f aca="false">IF(Thesis!$F$144&gt;0,Thesis!$F$145/Thesis!$F$144,Thesis!$F$141)</f>
        <v>10.8864110021101</v>
      </c>
      <c r="G147" s="36" t="n">
        <f aca="false">IF(Thesis!$G$144&gt;0,Thesis!$G$145/Thesis!$G$144,Thesis!$G$141)</f>
        <v>10.8864110021101</v>
      </c>
      <c r="H147" s="36" t="n">
        <f aca="false">IF(Thesis!$H$144&gt;0,Thesis!$H$145/Thesis!$H$144,Thesis!$H$141)</f>
        <v>11.1095876691891</v>
      </c>
      <c r="I147" s="36" t="n">
        <f aca="false">IF(Thesis!$I$144&gt;0,Thesis!$I$145/Thesis!$I$144,Thesis!$I$141)</f>
        <v>11.2881290028523</v>
      </c>
      <c r="J147" s="36" t="n">
        <f aca="false">IF(Thesis!$J$144&gt;0,Thesis!$J$145/Thesis!$J$144,Thesis!$J$141)</f>
        <v>11.3646467172794</v>
      </c>
      <c r="K147" s="36" t="n">
        <f aca="false">IF(Thesis!$K$144&gt;0,Thesis!$K$145/Thesis!$K$144,Thesis!$K$141)</f>
        <v>11.3968090914432</v>
      </c>
      <c r="L147" s="36" t="n">
        <f aca="false">IF(Thesis!$L$144&gt;0,Thesis!$L$145/Thesis!$L$144,Thesis!$L$141)</f>
        <v>11.4110891181192</v>
      </c>
      <c r="M147" s="36" t="n">
        <f aca="false">IF(Thesis!$M$144&gt;0,Thesis!$M$145/Thesis!$M$144,Thesis!$M$141)</f>
        <v>11.4148191458201</v>
      </c>
    </row>
    <row r="148" customFormat="false" ht="17.15" hidden="false" customHeight="false" outlineLevel="0" collapsed="false">
      <c r="A148" s="5" t="s">
        <v>618</v>
      </c>
      <c r="B148" s="0" t="s">
        <v>173</v>
      </c>
      <c r="F148" s="36" t="n">
        <f aca="false">IF(Thesis!$F$144&gt;0,Thesis!$F$146/Thesis!$F$144,Thesis!$F$142)</f>
        <v>1.98263481314457</v>
      </c>
      <c r="G148" s="36" t="n">
        <f aca="false">IF(Thesis!$G$144&gt;0,Thesis!$G$146/Thesis!$G$144,Thesis!$G$142)</f>
        <v>1.98263481314457</v>
      </c>
      <c r="H148" s="36" t="n">
        <f aca="false">IF(Thesis!$H$144&gt;0,Thesis!$H$146/Thesis!$H$144,Thesis!$H$142)</f>
        <v>2.00111160233948</v>
      </c>
      <c r="I148" s="36" t="n">
        <f aca="false">IF(Thesis!$I$144&gt;0,Thesis!$I$146/Thesis!$I$144,Thesis!$I$142)</f>
        <v>2.01589303369541</v>
      </c>
      <c r="J148" s="36" t="n">
        <f aca="false">IF(Thesis!$J$144&gt;0,Thesis!$J$146/Thesis!$J$144,Thesis!$J$142)</f>
        <v>2.02222793284795</v>
      </c>
      <c r="K148" s="36" t="n">
        <f aca="false">IF(Thesis!$K$144&gt;0,Thesis!$K$146/Thesis!$K$144,Thesis!$K$142)</f>
        <v>2.02489065478573</v>
      </c>
      <c r="L148" s="36" t="n">
        <f aca="false">IF(Thesis!$L$144&gt;0,Thesis!$L$146/Thesis!$L$144,Thesis!$L$142)</f>
        <v>2.0260728977417</v>
      </c>
      <c r="M148" s="36" t="n">
        <f aca="false">IF(Thesis!$M$144&gt;0,Thesis!$M$146/Thesis!$M$144,Thesis!$M$142)</f>
        <v>2.02638170661685</v>
      </c>
    </row>
    <row r="149" customFormat="false" ht="17.15" hidden="false" customHeight="false" outlineLevel="0" collapsed="false">
      <c r="A149" s="15" t="s">
        <v>619</v>
      </c>
      <c r="B149" s="14" t="s">
        <v>173</v>
      </c>
      <c r="C149" s="14"/>
      <c r="D149" s="14"/>
      <c r="E149" s="14"/>
      <c r="F149" s="37" t="n">
        <f aca="false">Thesis!$F$147*k_C</f>
        <v>8.98049677377134</v>
      </c>
      <c r="G149" s="37" t="n">
        <f aca="false">Thesis!$G$147*k_C</f>
        <v>8.98049677377134</v>
      </c>
      <c r="H149" s="37" t="n">
        <f aca="false">Thesis!$H$147*k_C</f>
        <v>9.16460128151917</v>
      </c>
      <c r="I149" s="37" t="n">
        <f aca="false">Thesis!$I$147*k_C</f>
        <v>9.31188488771743</v>
      </c>
      <c r="J149" s="37" t="n">
        <f aca="false">Thesis!$J$147*k_C</f>
        <v>9.37500643323097</v>
      </c>
      <c r="K149" s="37" t="n">
        <f aca="false">Thesis!$K$147*k_C</f>
        <v>9.40153805116815</v>
      </c>
      <c r="L149" s="37" t="n">
        <f aca="false">Thesis!$L$147*k_C</f>
        <v>9.41331803388866</v>
      </c>
      <c r="M149" s="37" t="n">
        <f aca="false">Thesis!$M$147*k_C</f>
        <v>9.41639503527393</v>
      </c>
      <c r="N149" s="14"/>
      <c r="O149" s="14"/>
      <c r="P149" s="5" t="s">
        <v>620</v>
      </c>
    </row>
    <row r="150" customFormat="false" ht="17.15" hidden="false" customHeight="false" outlineLevel="0" collapsed="false">
      <c r="A150" s="5" t="s">
        <v>621</v>
      </c>
      <c r="B150" s="0" t="s">
        <v>129</v>
      </c>
      <c r="F150" s="32" t="n">
        <f aca="false">Thesis!$F$144/2</f>
        <v>908.575</v>
      </c>
      <c r="H150" s="32" t="n">
        <f aca="false">(Thesis!$G$144+Thesis!$H$144)/2</f>
        <v>3634.3</v>
      </c>
      <c r="I150" s="32" t="n">
        <f aca="false">(Thesis!$H$144+Thesis!$I$144)/2</f>
        <v>7268.6</v>
      </c>
      <c r="J150" s="32" t="n">
        <f aca="false">(Thesis!$I$144+Thesis!$J$144)/2</f>
        <v>10902.9</v>
      </c>
      <c r="K150" s="32" t="n">
        <f aca="false">(Thesis!$J$144+Thesis!$K$144)/2</f>
        <v>14005.4835833333</v>
      </c>
      <c r="L150" s="32" t="n">
        <f aca="false">(Thesis!$K$144+Thesis!$L$144)/2</f>
        <v>16044.6343333333</v>
      </c>
      <c r="M150" s="32" t="n">
        <f aca="false">(Thesis!$L$144+Thesis!$M$144)/2</f>
        <v>17020.35225</v>
      </c>
    </row>
    <row r="151" customFormat="false" ht="17.15" hidden="false" customHeight="false" outlineLevel="0" collapsed="false">
      <c r="A151" s="1" t="s">
        <v>622</v>
      </c>
    </row>
    <row r="152" customFormat="false" ht="17.15" hidden="false" customHeight="false" outlineLevel="0" collapsed="false">
      <c r="A152" s="1" t="s">
        <v>623</v>
      </c>
      <c r="B152" s="8" t="s">
        <v>86</v>
      </c>
      <c r="C152" s="38" t="n">
        <f aca="false">Thesis!$C$135*rpm_open*Thesis!$C$136/1000</f>
        <v>2.32100535697364</v>
      </c>
      <c r="D152" s="38" t="n">
        <f aca="false">Thesis!$D$135*rpm_open*Thesis!$D$136/1000</f>
        <v>8.70377008865116</v>
      </c>
      <c r="E152" s="38" t="n">
        <f aca="false">Thesis!$E$135*rpm_open*Thesis!$E$136/1000</f>
        <v>8.51035297557002</v>
      </c>
      <c r="F152" s="38" t="n">
        <f aca="false">(mw_open*rpm_open+Thesis!$F$150*Thesis!$F$149)*Thesis!$F$136/1000</f>
        <v>14.1374173083338</v>
      </c>
      <c r="G152" s="38" t="n">
        <f aca="false">Thesis!$E$152+Thesis!$F$152</f>
        <v>22.6477702839038</v>
      </c>
      <c r="H152" s="38" t="n">
        <f aca="false">(mw_open*rpm_open+Thesis!$H$150*Thesis!$H$149)/1000</f>
        <v>53.4222901978634</v>
      </c>
      <c r="I152" s="38" t="n">
        <f aca="false">(mw_open*rpm_open+Thesis!$I$150*Thesis!$I$149)/1000</f>
        <v>87.7997462553011</v>
      </c>
      <c r="J152" s="38" t="n">
        <f aca="false">(mw_open*rpm_open+Thesis!$J$150*Thesis!$J$149)/1000</f>
        <v>122.330137401312</v>
      </c>
      <c r="K152" s="38" t="n">
        <f aca="false">(mw_open*rpm_open+Thesis!$K$150*Thesis!$K$149)/1000</f>
        <v>151.788466594157</v>
      </c>
      <c r="L152" s="38" t="n">
        <f aca="false">(mw_open*rpm_open+Thesis!$L$150*Thesis!$L$149)/1000</f>
        <v>171.148625477554</v>
      </c>
      <c r="M152" s="38" t="n">
        <f aca="false">(mw_open*rpm_open+Thesis!$M$150*Thesis!$M$149)/1000</f>
        <v>180.385740185952</v>
      </c>
      <c r="N152" s="38" t="n">
        <f aca="false">Thesis!$N$135*rpm_open*Thesis!$N$136/1000</f>
        <v>3.04631953102791</v>
      </c>
      <c r="O152" s="38" t="n">
        <f aca="false">Thesis!$O$135*rpm_open*Thesis!$O$136/1000</f>
        <v>5.65745055762326</v>
      </c>
      <c r="P152" s="5" t="s">
        <v>624</v>
      </c>
    </row>
    <row r="153" customFormat="false" ht="17.15" hidden="false" customHeight="false" outlineLevel="0" collapsed="false">
      <c r="A153" s="5" t="s">
        <v>625</v>
      </c>
      <c r="B153" s="0" t="s">
        <v>173</v>
      </c>
      <c r="C153" s="36" t="n">
        <f aca="false">Thesis!$C$152*1000/(Thesis!$C$135*Thesis!$C$136)</f>
        <v>9.67085565405685</v>
      </c>
      <c r="D153" s="36" t="n">
        <f aca="false">Thesis!$D$152*1000/(Thesis!$D$135*Thesis!$D$136)</f>
        <v>9.67085565405685</v>
      </c>
      <c r="E153" s="36" t="n">
        <f aca="false">Thesis!$E$152*1000/(Thesis!$E$135*Thesis!$E$136)</f>
        <v>9.67085565405685</v>
      </c>
      <c r="F153" s="36" t="n">
        <f aca="false">Thesis!$F$152*1000/(Thesis!$F$135*Thesis!$F$136)</f>
        <v>9.46097542028142</v>
      </c>
      <c r="G153" s="36" t="n">
        <f aca="false">Thesis!$G$152*1000/(Thesis!$G$135*Thesis!$G$136)</f>
        <v>9.53876490690525</v>
      </c>
      <c r="H153" s="36" t="n">
        <f aca="false">Thesis!$H$152*1000/(Thesis!$H$135*Thesis!$H$136)</f>
        <v>9.34887741243255</v>
      </c>
      <c r="I153" s="36" t="n">
        <f aca="false">Thesis!$I$152*1000/(Thesis!$I$135*Thesis!$I$136)</f>
        <v>9.39175344493305</v>
      </c>
      <c r="J153" s="36" t="n">
        <f aca="false">Thesis!$J$152*1000/(Thesis!$J$135*Thesis!$J$136)</f>
        <v>9.42240465545542</v>
      </c>
      <c r="K153" s="36" t="n">
        <f aca="false">Thesis!$K$152*1000/(Thesis!$K$135*Thesis!$K$136)</f>
        <v>9.43636327797009</v>
      </c>
      <c r="L153" s="36" t="n">
        <f aca="false">Thesis!$L$152*1000/(Thesis!$L$135*Thesis!$L$136)</f>
        <v>9.4428732922237</v>
      </c>
      <c r="M153" s="36" t="n">
        <f aca="false">Thesis!$M$152*1000/(Thesis!$M$135*Thesis!$M$136)</f>
        <v>9.44410541883864</v>
      </c>
      <c r="N153" s="36" t="n">
        <f aca="false">Thesis!$N$152*1000/(Thesis!$N$135*Thesis!$N$136)</f>
        <v>9.67085565405685</v>
      </c>
      <c r="O153" s="36" t="n">
        <f aca="false">Thesis!$O$152*1000/(Thesis!$O$135*Thesis!$O$136)</f>
        <v>9.67085565405685</v>
      </c>
    </row>
    <row r="154" customFormat="false" ht="17.15" hidden="false" customHeight="false" outlineLevel="0" collapsed="false">
      <c r="A154" s="0" t="s">
        <v>626</v>
      </c>
      <c r="B154" s="0" t="s">
        <v>86</v>
      </c>
      <c r="C154" s="38" t="n">
        <f aca="false">Thesis!$C$135/ext_sh*(ox_open+rent_mw)*Thesis!$C$136/1000</f>
        <v>0.642569210675032</v>
      </c>
      <c r="D154" s="38" t="n">
        <f aca="false">Thesis!$D$135/ext_sh*(ox_open+rent_mw)*Thesis!$D$136/1000</f>
        <v>2.40963454003137</v>
      </c>
      <c r="E154" s="38" t="n">
        <f aca="false">Thesis!$E$135/ext_sh*(ox_open+rent_mw)*Thesis!$E$136/1000</f>
        <v>2.35608710580845</v>
      </c>
      <c r="F154" s="38" t="n">
        <f aca="false">((mw_open*ox_open+Thesis!$F$150*Thesis!$F$148)/ext_sh+Thesis!$F$135/ext_sh*rent_mw)*Thesis!$F$136/1000</f>
        <v>4.05421991106232</v>
      </c>
      <c r="G154" s="38" t="n">
        <f aca="false">Thesis!$E$154+Thesis!$F$154</f>
        <v>6.41030701687077</v>
      </c>
      <c r="H154" s="38" t="n">
        <f aca="false">((mw_open*ox_open+Thesis!$H$150*Thesis!$H$148)/ext_sh+Thesis!$H$135/ext_sh*rent_mw)*Thesis!$H$136/1000</f>
        <v>15.8108975546616</v>
      </c>
      <c r="I154" s="38" t="n">
        <f aca="false">((mw_open*ox_open+Thesis!$I$150*Thesis!$I$148)/ext_sh+Thesis!$I$135/ext_sh*rent_mw)*Thesis!$I$136/1000</f>
        <v>26.1871623400817</v>
      </c>
      <c r="J154" s="38" t="n">
        <f aca="false">((mw_open*ox_open+Thesis!$J$150*Thesis!$J$148)/ext_sh+Thesis!$J$135/ext_sh*rent_mw)*Thesis!$J$136/1000</f>
        <v>36.5826128954935</v>
      </c>
      <c r="K154" s="38" t="n">
        <f aca="false">((mw_open*ox_open+Thesis!$K$150*Thesis!$K$148)/ext_sh+Thesis!$K$135/ext_sh*rent_mw)*Thesis!$K$136/1000</f>
        <v>45.4546361137628</v>
      </c>
      <c r="L154" s="38" t="n">
        <f aca="false">((mw_open*ox_open+Thesis!$L$150*Thesis!$L$148)/ext_sh+Thesis!$L$135/ext_sh*rent_mw)*Thesis!$L$136/1000</f>
        <v>51.2855695554452</v>
      </c>
      <c r="M154" s="38" t="n">
        <f aca="false">((mw_open*ox_open+Thesis!$M$150*Thesis!$M$148)/ext_sh+Thesis!$M$135/ext_sh*rent_mw)*Thesis!$M$136/1000</f>
        <v>54.0722927838398</v>
      </c>
      <c r="N154" s="38" t="n">
        <f aca="false">Thesis!$N$135/ext_sh*(ox_open+rent_mw)*Thesis!$N$136/1000</f>
        <v>0.84337208901098</v>
      </c>
      <c r="O154" s="38" t="n">
        <f aca="false">Thesis!$O$135/ext_sh*(ox_open+rent_mw)*Thesis!$O$136/1000</f>
        <v>1.56626245102039</v>
      </c>
    </row>
    <row r="155" customFormat="false" ht="17.15" hidden="false" customHeight="false" outlineLevel="0" collapsed="false">
      <c r="A155" s="0" t="s">
        <v>627</v>
      </c>
      <c r="B155" s="0" t="s">
        <v>86</v>
      </c>
      <c r="C155" s="38" t="n">
        <f aca="false">Q!$D$7</f>
        <v>107.556</v>
      </c>
      <c r="D155" s="38" t="n">
        <f aca="false">Q!$E$7</f>
        <v>128.725</v>
      </c>
      <c r="E155" s="38" t="n">
        <f aca="false">Q!$P$7</f>
        <v>79.819</v>
      </c>
      <c r="N155" s="38" t="n">
        <f aca="false">Q!$N$7</f>
        <v>60.14</v>
      </c>
      <c r="O155" s="38" t="n">
        <f aca="false">Q!$O$7</f>
        <v>68.585</v>
      </c>
    </row>
    <row r="156" customFormat="false" ht="17.15" hidden="false" customHeight="false" outlineLevel="0" collapsed="false">
      <c r="A156" s="1" t="s">
        <v>628</v>
      </c>
      <c r="B156" s="8" t="s">
        <v>86</v>
      </c>
      <c r="C156" s="38" t="n">
        <f aca="false">Thesis!$C$155-Thesis!$C$152</f>
        <v>105.234994643026</v>
      </c>
      <c r="D156" s="38" t="n">
        <f aca="false">Thesis!$D$155-Thesis!$D$152</f>
        <v>120.021229911349</v>
      </c>
      <c r="E156" s="38" t="n">
        <f aca="false">Thesis!$E$155-Thesis!$E$152</f>
        <v>71.30864702443</v>
      </c>
      <c r="F156" s="38" t="n">
        <f aca="false">Thesis!$O$156*(1+Thesis!$F$157)</f>
        <v>71.7692997942464</v>
      </c>
      <c r="G156" s="38" t="n">
        <f aca="false">Thesis!$E$156+Thesis!$F$156</f>
        <v>143.077946818676</v>
      </c>
      <c r="H156" s="38" t="n">
        <f aca="false">Thesis!$G$156*(1+Thesis!$H$157)</f>
        <v>161.017077079203</v>
      </c>
      <c r="I156" s="38" t="n">
        <f aca="false">Thesis!$H$156*(1+Thesis!$I$157)</f>
        <v>178.769759521457</v>
      </c>
      <c r="J156" s="38" t="n">
        <f aca="false">Thesis!$I$156*(1+Thesis!$J$157)</f>
        <v>195.775538045907</v>
      </c>
      <c r="K156" s="38" t="n">
        <f aca="false">Thesis!$J$156*(1+Thesis!$K$157)</f>
        <v>211.43758108958</v>
      </c>
      <c r="L156" s="38" t="n">
        <f aca="false">Thesis!$K$156*(1+Thesis!$L$157)</f>
        <v>228.352587576746</v>
      </c>
      <c r="M156" s="38" t="n">
        <f aca="false">Thesis!$L$156*(1+Thesis!$M$157)</f>
        <v>246.620794582886</v>
      </c>
      <c r="N156" s="38" t="n">
        <f aca="false">Thesis!$N$155-Thesis!$N$152</f>
        <v>57.0936804689721</v>
      </c>
      <c r="O156" s="38" t="n">
        <f aca="false">Thesis!$O$155-Thesis!$O$152</f>
        <v>62.9275494423768</v>
      </c>
      <c r="P156" s="5" t="s">
        <v>629</v>
      </c>
    </row>
    <row r="157" customFormat="false" ht="17.15" hidden="false" customHeight="false" outlineLevel="0" collapsed="false">
      <c r="A157" s="0" t="s">
        <v>630</v>
      </c>
      <c r="B157" s="0" t="s">
        <v>52</v>
      </c>
      <c r="D157" s="13" t="n">
        <f aca="false">Thesis!$D$156/Thesis!$C$156-1</f>
        <v>0.140506827776062</v>
      </c>
      <c r="E157" s="13" t="n">
        <f aca="false">Thesis!$E$156/Thesis!$N$156-1</f>
        <v>0.248976181579029</v>
      </c>
      <c r="F157" s="13" t="n">
        <f aca="false">Thesis!$D$157</f>
        <v>0.140506827776062</v>
      </c>
      <c r="G157" s="13" t="n">
        <f aca="false">Thesis!$G$156/Thesis!$D$156-1</f>
        <v>0.19210532106993</v>
      </c>
      <c r="H157" s="13" t="n">
        <f aca="false">Thesis!$F$157+(g_awso_lt-Thesis!$F$157)*1/4</f>
        <v>0.125380120832046</v>
      </c>
      <c r="I157" s="13" t="n">
        <f aca="false">Thesis!$F$157+(g_awso_lt-Thesis!$F$157)*2/4</f>
        <v>0.110253413888031</v>
      </c>
      <c r="J157" s="13" t="n">
        <f aca="false">Thesis!$F$157+(g_awso_lt-Thesis!$F$157)*3/4</f>
        <v>0.0951267069440154</v>
      </c>
      <c r="K157" s="13" t="n">
        <f aca="false">Thesis!$F$157+(g_awso_lt-Thesis!$F$157)*4/4</f>
        <v>0.08</v>
      </c>
      <c r="L157" s="13" t="n">
        <f aca="false">g_awso_lt</f>
        <v>0.08</v>
      </c>
      <c r="M157" s="13" t="n">
        <f aca="false">g_awso_lt</f>
        <v>0.08</v>
      </c>
      <c r="P157" s="5" t="s">
        <v>631</v>
      </c>
    </row>
    <row r="158" customFormat="false" ht="17.15" hidden="false" customHeight="false" outlineLevel="0" collapsed="false">
      <c r="A158" s="1" t="s">
        <v>632</v>
      </c>
    </row>
    <row r="159" customFormat="false" ht="17.15" hidden="false" customHeight="false" outlineLevel="0" collapsed="false">
      <c r="A159" s="0" t="s">
        <v>633</v>
      </c>
      <c r="B159" s="0" t="s">
        <v>86</v>
      </c>
      <c r="F159" s="38" t="n">
        <f aca="false">cx_rt*Seg!$F$90+cx_awso*Thesis!$F$156</f>
        <v>34.9734495387866</v>
      </c>
    </row>
    <row r="160" customFormat="false" ht="17.15" hidden="false" customHeight="false" outlineLevel="0" collapsed="false">
      <c r="A160" s="0" t="s">
        <v>634</v>
      </c>
      <c r="B160" s="0" t="s">
        <v>52</v>
      </c>
      <c r="C160" s="13" t="n">
        <f aca="false">tk_cx_h100/(tk_cx_h100+tk_fac*(1-colo_sh))</f>
        <v>0.730756458006641</v>
      </c>
      <c r="D160" s="13" t="n">
        <f aca="false">tk_cx_h100/(tk_cx_h100+tk_fac*(1-colo_sh))</f>
        <v>0.730756458006641</v>
      </c>
      <c r="E160" s="13" t="n">
        <f aca="false">Thesis!$F$160</f>
        <v>0.760792334328868</v>
      </c>
      <c r="F160" s="13" t="n">
        <f aca="false">Thesis!$F$143/(Thesis!$F$143+tk_fac*(1-colo_sh))</f>
        <v>0.760792334328868</v>
      </c>
      <c r="G160" s="13" t="n">
        <f aca="false">Thesis!$G$143/(Thesis!$G$143+tk_fac*(1-colo_sh))</f>
        <v>0.760792334328868</v>
      </c>
      <c r="H160" s="13" t="n">
        <f aca="false">Thesis!$H$143/(Thesis!$H$143+tk_fac*(1-colo_sh))</f>
        <v>0.768110668862996</v>
      </c>
      <c r="I160" s="13" t="n">
        <f aca="false">Thesis!$I$143/(Thesis!$I$143+tk_fac*(1-colo_sh))</f>
        <v>0.77499450139483</v>
      </c>
      <c r="J160" s="13" t="n">
        <f aca="false">Thesis!$J$143/(Thesis!$J$143+tk_fac*(1-colo_sh))</f>
        <v>0.77499450139483</v>
      </c>
      <c r="K160" s="13" t="n">
        <f aca="false">Thesis!$K$143/(Thesis!$K$143+tk_fac*(1-colo_sh))</f>
        <v>0.77499450139483</v>
      </c>
      <c r="L160" s="13" t="n">
        <f aca="false">Thesis!$L$143/(Thesis!$L$143+tk_fac*(1-colo_sh))</f>
        <v>0.77499450139483</v>
      </c>
      <c r="M160" s="13" t="n">
        <f aca="false">Thesis!$M$143/(Thesis!$M$143+tk_fac*(1-colo_sh))</f>
        <v>0.77499450139483</v>
      </c>
    </row>
    <row r="161" customFormat="false" ht="17.15" hidden="false" customHeight="false" outlineLevel="0" collapsed="false">
      <c r="A161" s="1" t="s">
        <v>635</v>
      </c>
      <c r="B161" s="8" t="s">
        <v>86</v>
      </c>
      <c r="C161" s="38" t="n">
        <f aca="false">Q!$D$46-cx_rt*Q!$D$16-cx_awso*Thesis!$C$156</f>
        <v>25.2781053077374</v>
      </c>
      <c r="D161" s="38" t="n">
        <f aca="false">Q!$E$46-cx_rt*Q!$E$16-cx_awso*Thesis!$D$156</f>
        <v>69.5686316310026</v>
      </c>
      <c r="E161" s="38" t="n">
        <f aca="false">Q!$P$46-cx_rt*Q!$P$16-cx_awso*Thesis!$E$156</f>
        <v>64.1899206485108</v>
      </c>
      <c r="F161" s="38" t="n">
        <f aca="false">capex_g26-Q!$P$46-Thesis!$F$159</f>
        <v>88.7165504612134</v>
      </c>
      <c r="G161" s="38" t="n">
        <f aca="false">Thesis!$E$161+Thesis!$F$161</f>
        <v>152.906471109724</v>
      </c>
      <c r="H161" s="38" t="n">
        <f aca="false">Thesis!$H$138*(Thesis!$H$143+tk_fac*(1-colo_sh))/1000+Thesis!$H$162</f>
        <v>198.57136494475</v>
      </c>
      <c r="I161" s="38" t="n">
        <f aca="false">Thesis!$I$138*(Thesis!$I$143+tk_fac*(1-colo_sh))/1000+Thesis!$I$162</f>
        <v>204.6464699105</v>
      </c>
      <c r="J161" s="38" t="n">
        <f aca="false">Thesis!$J$138*(Thesis!$J$143+tk_fac*(1-colo_sh))/1000+Thesis!$J$162</f>
        <v>209.8832381105</v>
      </c>
      <c r="K161" s="38" t="n">
        <f aca="false">Thesis!$K$138*(Thesis!$K$143+tk_fac*(1-colo_sh))/1000+Thesis!$K$162</f>
        <v>155.238385275201</v>
      </c>
      <c r="L161" s="38" t="n">
        <f aca="false">Thesis!$L$138*(Thesis!$L$143+tk_fac*(1-colo_sh))/1000+Thesis!$L$162</f>
        <v>132.014141639902</v>
      </c>
      <c r="M161" s="38" t="n">
        <f aca="false">Thesis!$M$138*(Thesis!$M$143+tk_fac*(1-colo_sh))/1000+Thesis!$M$162</f>
        <v>132.230981659852</v>
      </c>
      <c r="P161" s="5" t="s">
        <v>636</v>
      </c>
      <c r="R161" s="38" t="n">
        <f aca="false">Q!$C$46-cx_rt*Q!$C$16-cx_awso*(Q!$C$7-mw_ye23/2*rpm_open/1000)</f>
        <v>1.50429979529945</v>
      </c>
      <c r="S161" s="38" t="n">
        <f aca="false">Thesis!$C$161</f>
        <v>25.2781053077374</v>
      </c>
      <c r="T161" s="38" t="n">
        <f aca="false">Thesis!$D$161</f>
        <v>69.5686316310026</v>
      </c>
      <c r="U161" s="38" t="n">
        <f aca="false">Thesis!$G$161</f>
        <v>152.906471109724</v>
      </c>
      <c r="V161" s="38" t="n">
        <f aca="false">Thesis!$H$161</f>
        <v>198.57136494475</v>
      </c>
      <c r="W161" s="38" t="n">
        <f aca="false">Thesis!$I$161</f>
        <v>204.6464699105</v>
      </c>
      <c r="X161" s="38" t="n">
        <f aca="false">Thesis!$J$161</f>
        <v>209.8832381105</v>
      </c>
      <c r="Y161" s="38" t="n">
        <f aca="false">Thesis!$K$161</f>
        <v>155.238385275201</v>
      </c>
      <c r="Z161" s="38" t="n">
        <f aca="false">Thesis!$L$161</f>
        <v>132.014141639902</v>
      </c>
      <c r="AA161" s="38" t="n">
        <f aca="false">Thesis!$M$161</f>
        <v>132.230981659852</v>
      </c>
    </row>
    <row r="162" customFormat="false" ht="17.15" hidden="false" customHeight="false" outlineLevel="0" collapsed="false">
      <c r="A162" s="0" t="s">
        <v>637</v>
      </c>
      <c r="B162" s="0" t="s">
        <v>86</v>
      </c>
      <c r="H162" s="38" t="n">
        <f aca="false">SUMPRODUCT(--(Thesis!$R$131:$AA$131=2027-tk_life),Thesis!$R$138:$AA$138)*Thesis!$H$143/1000</f>
        <v>0</v>
      </c>
      <c r="I162" s="38" t="n">
        <f aca="false">SUMPRODUCT(--(Thesis!$R$131:$AA$131=2028-tk_life),Thesis!$R$138:$AA$138)*Thesis!$I$143/1000</f>
        <v>0</v>
      </c>
      <c r="J162" s="38" t="n">
        <f aca="false">SUMPRODUCT(--(Thesis!$R$131:$AA$131=2029-tk_life),Thesis!$R$138:$AA$138)*Thesis!$J$143/1000</f>
        <v>5.2367682</v>
      </c>
      <c r="K162" s="38" t="n">
        <f aca="false">SUMPRODUCT(--(Thesis!$R$131:$AA$131=2030-tk_life),Thesis!$R$138:$AA$138)*Thesis!$K$143/1000</f>
        <v>10.4735364</v>
      </c>
      <c r="L162" s="38" t="n">
        <f aca="false">SUMPRODUCT(--(Thesis!$R$131:$AA$131=2031-tk_life),Thesis!$R$138:$AA$138)*Thesis!$L$143/1000</f>
        <v>47.1309138</v>
      </c>
      <c r="M162" s="38" t="n">
        <f aca="false">SUMPRODUCT(--(Thesis!$R$131:$AA$131=2032-tk_life),Thesis!$R$138:$AA$138)*Thesis!$M$143/1000</f>
        <v>107.22937485525</v>
      </c>
    </row>
    <row r="163" customFormat="false" ht="17.15" hidden="false" customHeight="false" outlineLevel="0" collapsed="false">
      <c r="A163" s="0" t="s">
        <v>638</v>
      </c>
      <c r="B163" s="0" t="s">
        <v>86</v>
      </c>
      <c r="C163" s="38" t="n">
        <f aca="false">MIN(Thesis!$C$161,Thesis!$C$138*(tk_cx_h100+tk_fac*(1-colo_sh))/1000)</f>
        <v>11.2938642</v>
      </c>
      <c r="D163" s="38" t="n">
        <f aca="false">MIN(Thesis!$D$161,Thesis!$D$138*(tk_cx_h100+tk_fac*(1-colo_sh))/1000)</f>
        <v>50.8223889</v>
      </c>
      <c r="E163" s="38" t="n">
        <f aca="false">MIN(Thesis!$E$161,Thesis!$E$138*(Thesis!$F$143+tk_fac*(1-colo_sh))/1000)</f>
        <v>33.8985792</v>
      </c>
      <c r="F163" s="38" t="n">
        <f aca="false">Thesis!$F$161</f>
        <v>88.7165504612134</v>
      </c>
      <c r="G163" s="38" t="n">
        <f aca="false">Thesis!$E$163+Thesis!$F$163</f>
        <v>122.615129661213</v>
      </c>
      <c r="H163" s="38" t="n">
        <f aca="false">Thesis!$H$161</f>
        <v>198.57136494475</v>
      </c>
      <c r="I163" s="38" t="n">
        <f aca="false">Thesis!$I$161</f>
        <v>204.6464699105</v>
      </c>
      <c r="J163" s="38" t="n">
        <f aca="false">Thesis!$J$161</f>
        <v>209.8832381105</v>
      </c>
      <c r="K163" s="38" t="n">
        <f aca="false">Thesis!$K$161</f>
        <v>155.238385275201</v>
      </c>
      <c r="L163" s="38" t="n">
        <f aca="false">Thesis!$L$161</f>
        <v>132.014141639902</v>
      </c>
      <c r="M163" s="38" t="n">
        <f aca="false">Thesis!$M$161</f>
        <v>132.230981659852</v>
      </c>
      <c r="P163" s="5" t="s">
        <v>639</v>
      </c>
      <c r="R163" s="38" t="n">
        <f aca="false">MIN(Thesis!$R$161,Thesis!$R$138*(tk_cx_h100+tk_fac*(1-colo_sh))/1000)</f>
        <v>1.50429979529945</v>
      </c>
      <c r="S163" s="38" t="n">
        <f aca="false">Thesis!$C$163</f>
        <v>11.2938642</v>
      </c>
      <c r="T163" s="38" t="n">
        <f aca="false">Thesis!$D$163</f>
        <v>50.8223889</v>
      </c>
      <c r="U163" s="38" t="n">
        <f aca="false">Thesis!$G$163</f>
        <v>122.615129661213</v>
      </c>
      <c r="V163" s="38" t="n">
        <f aca="false">Thesis!$H$163</f>
        <v>198.57136494475</v>
      </c>
      <c r="W163" s="38" t="n">
        <f aca="false">Thesis!$I$163</f>
        <v>204.6464699105</v>
      </c>
      <c r="X163" s="38" t="n">
        <f aca="false">Thesis!$J$163</f>
        <v>209.8832381105</v>
      </c>
      <c r="Y163" s="38" t="n">
        <f aca="false">Thesis!$K$163</f>
        <v>155.238385275201</v>
      </c>
      <c r="Z163" s="38" t="n">
        <f aca="false">Thesis!$L$163</f>
        <v>132.014141639902</v>
      </c>
      <c r="AA163" s="38" t="n">
        <f aca="false">Thesis!$M$163</f>
        <v>132.230981659852</v>
      </c>
    </row>
    <row r="164" customFormat="false" ht="17.15" hidden="false" customHeight="false" outlineLevel="0" collapsed="false">
      <c r="A164" s="5" t="s">
        <v>640</v>
      </c>
      <c r="B164" s="0" t="s">
        <v>86</v>
      </c>
      <c r="C164" s="38" t="n">
        <f aca="false">Thesis!$C$161-Thesis!$C$163</f>
        <v>13.9842411077374</v>
      </c>
      <c r="D164" s="38" t="n">
        <f aca="false">Thesis!$D$161-Thesis!$D$163</f>
        <v>18.7462427310026</v>
      </c>
      <c r="E164" s="38" t="n">
        <f aca="false">Thesis!$E$161-Thesis!$E$163</f>
        <v>30.2913414485108</v>
      </c>
      <c r="F164" s="38" t="n">
        <f aca="false">Thesis!$F$161-Thesis!$F$163</f>
        <v>0</v>
      </c>
      <c r="G164" s="38" t="n">
        <f aca="false">Thesis!$G$161-Thesis!$G$163</f>
        <v>30.2913414485108</v>
      </c>
      <c r="H164" s="38" t="n">
        <f aca="false">Thesis!$H$161-Thesis!$H$163</f>
        <v>0</v>
      </c>
      <c r="I164" s="38" t="n">
        <f aca="false">Thesis!$I$161-Thesis!$I$163</f>
        <v>0</v>
      </c>
      <c r="J164" s="38" t="n">
        <f aca="false">Thesis!$J$161-Thesis!$J$163</f>
        <v>0</v>
      </c>
      <c r="K164" s="38" t="n">
        <f aca="false">Thesis!$K$161-Thesis!$K$163</f>
        <v>0</v>
      </c>
      <c r="L164" s="38" t="n">
        <f aca="false">Thesis!$L$161-Thesis!$L$163</f>
        <v>0</v>
      </c>
      <c r="M164" s="38" t="n">
        <f aca="false">Thesis!$M$161-Thesis!$M$163</f>
        <v>0</v>
      </c>
      <c r="P164" s="5" t="s">
        <v>641</v>
      </c>
      <c r="R164" s="38" t="n">
        <f aca="false">Thesis!$R$161-Thesis!$R$163</f>
        <v>0</v>
      </c>
      <c r="S164" s="38" t="n">
        <f aca="false">Thesis!$S$161-Thesis!$S$163</f>
        <v>13.9842411077374</v>
      </c>
      <c r="T164" s="38" t="n">
        <f aca="false">Thesis!$T$161-Thesis!$T$163</f>
        <v>18.7462427310026</v>
      </c>
      <c r="U164" s="38" t="n">
        <f aca="false">Thesis!$U$161-Thesis!$U$163</f>
        <v>30.2913414485108</v>
      </c>
      <c r="V164" s="38" t="n">
        <f aca="false">Thesis!$V$161-Thesis!$V$163</f>
        <v>0</v>
      </c>
      <c r="W164" s="38" t="n">
        <f aca="false">Thesis!$W$161-Thesis!$W$163</f>
        <v>0</v>
      </c>
      <c r="X164" s="38" t="n">
        <f aca="false">Thesis!$X$161-Thesis!$X$163</f>
        <v>0</v>
      </c>
      <c r="Y164" s="38" t="n">
        <f aca="false">Thesis!$Y$161-Thesis!$Y$163</f>
        <v>0</v>
      </c>
      <c r="Z164" s="38" t="n">
        <f aca="false">Thesis!$Z$161-Thesis!$Z$163</f>
        <v>0</v>
      </c>
      <c r="AA164" s="38" t="n">
        <f aca="false">Thesis!$AA$161-Thesis!$AA$163</f>
        <v>0</v>
      </c>
    </row>
    <row r="165" customFormat="false" ht="17.15" hidden="false" customHeight="false" outlineLevel="0" collapsed="false">
      <c r="A165" s="5" t="s">
        <v>642</v>
      </c>
      <c r="B165" s="0" t="s">
        <v>86</v>
      </c>
      <c r="R165" s="38" t="n">
        <f aca="false">Thesis!$R$164*Thesis!$C$160</f>
        <v>0</v>
      </c>
      <c r="S165" s="38" t="n">
        <f aca="false">Thesis!$S$164*Thesis!$C$160</f>
        <v>10.219074499801</v>
      </c>
      <c r="T165" s="38" t="n">
        <f aca="false">Thesis!$T$164*Thesis!$C$160</f>
        <v>13.6989379390402</v>
      </c>
      <c r="U165" s="38" t="n">
        <f aca="false">Thesis!$U$164*Thesis!$E$160</f>
        <v>23.0454203705653</v>
      </c>
      <c r="V165" s="38" t="n">
        <f aca="false">Thesis!$V$164*Thesis!$E$160</f>
        <v>0</v>
      </c>
      <c r="W165" s="38" t="n">
        <f aca="false">Thesis!$W$164*Thesis!$E$160</f>
        <v>0</v>
      </c>
      <c r="X165" s="38" t="n">
        <f aca="false">Thesis!$X$164*Thesis!$E$160</f>
        <v>0</v>
      </c>
      <c r="Y165" s="38" t="n">
        <f aca="false">Thesis!$Y$164*Thesis!$E$160</f>
        <v>0</v>
      </c>
      <c r="Z165" s="38" t="n">
        <f aca="false">Thesis!$Z$164*Thesis!$E$160</f>
        <v>0</v>
      </c>
      <c r="AA165" s="38" t="n">
        <f aca="false">Thesis!$AA$164*Thesis!$E$160</f>
        <v>0</v>
      </c>
    </row>
    <row r="166" customFormat="false" ht="17.15" hidden="false" customHeight="false" outlineLevel="0" collapsed="false">
      <c r="A166" s="5" t="s">
        <v>643</v>
      </c>
      <c r="B166" s="0" t="s">
        <v>86</v>
      </c>
      <c r="R166" s="38" t="n">
        <f aca="false">SUMPRODUCT(--(Thesis!$R$131:$AA$131=2023-cip_lag),Thesis!$R$165:$AA$165)</f>
        <v>0</v>
      </c>
      <c r="S166" s="38" t="n">
        <f aca="false">SUMPRODUCT(--(Thesis!$R$131:$AA$131=2024-cip_lag),Thesis!$R$165:$AA$165)</f>
        <v>0</v>
      </c>
      <c r="T166" s="38" t="n">
        <f aca="false">SUMPRODUCT(--(Thesis!$R$131:$AA$131=2025-cip_lag),Thesis!$R$165:$AA$165)</f>
        <v>10.219074499801</v>
      </c>
      <c r="U166" s="38" t="n">
        <f aca="false">SUMPRODUCT(--(Thesis!$R$131:$AA$131=2026-cip_lag),Thesis!$R$165:$AA$165)</f>
        <v>13.6989379390402</v>
      </c>
      <c r="V166" s="38" t="n">
        <f aca="false">SUMPRODUCT(--(Thesis!$R$131:$AA$131=2027-cip_lag),Thesis!$R$165:$AA$165)</f>
        <v>23.0454203705653</v>
      </c>
      <c r="W166" s="38" t="n">
        <f aca="false">SUMPRODUCT(--(Thesis!$R$131:$AA$131=2028-cip_lag),Thesis!$R$165:$AA$165)</f>
        <v>0</v>
      </c>
      <c r="X166" s="38" t="n">
        <f aca="false">SUMPRODUCT(--(Thesis!$R$131:$AA$131=2029-cip_lag),Thesis!$R$165:$AA$165)</f>
        <v>0</v>
      </c>
      <c r="Y166" s="38" t="n">
        <f aca="false">SUMPRODUCT(--(Thesis!$R$131:$AA$131=2030-cip_lag),Thesis!$R$165:$AA$165)</f>
        <v>0</v>
      </c>
      <c r="Z166" s="38" t="n">
        <f aca="false">SUMPRODUCT(--(Thesis!$R$131:$AA$131=2031-cip_lag),Thesis!$R$165:$AA$165)</f>
        <v>0</v>
      </c>
      <c r="AA166" s="38" t="n">
        <f aca="false">SUMPRODUCT(--(Thesis!$R$131:$AA$131=2032-cip_lag),Thesis!$R$165:$AA$165)</f>
        <v>0</v>
      </c>
    </row>
    <row r="167" customFormat="false" ht="15" hidden="false" customHeight="false" outlineLevel="0" collapsed="false">
      <c r="A167" s="5" t="s">
        <v>644</v>
      </c>
      <c r="B167" s="0" t="s">
        <v>86</v>
      </c>
      <c r="R167" s="38" t="n">
        <f aca="false">SUMPRODUCT(--(Thesis!$R$131:$AA$131=2023-cip_lag),Thesis!$R$164:$AA$164)-Thesis!$R$166</f>
        <v>0</v>
      </c>
      <c r="S167" s="38" t="n">
        <f aca="false">SUMPRODUCT(--(Thesis!$R$131:$AA$131=2024-cip_lag),Thesis!$R$164:$AA$164)-Thesis!$S$166</f>
        <v>0</v>
      </c>
      <c r="T167" s="38" t="n">
        <f aca="false">SUMPRODUCT(--(Thesis!$R$131:$AA$131=2025-cip_lag),Thesis!$R$164:$AA$164)-Thesis!$T$166</f>
        <v>3.76516660793636</v>
      </c>
      <c r="U167" s="38" t="n">
        <f aca="false">SUMPRODUCT(--(Thesis!$R$131:$AA$131=2026-cip_lag),Thesis!$R$164:$AA$164)-Thesis!$U$166</f>
        <v>5.04730479196242</v>
      </c>
      <c r="V167" s="38" t="n">
        <f aca="false">SUMPRODUCT(--(Thesis!$R$131:$AA$131=2027-cip_lag),Thesis!$R$164:$AA$164)-Thesis!$V$166</f>
        <v>7.24592107794548</v>
      </c>
      <c r="W167" s="38" t="n">
        <f aca="false">SUMPRODUCT(--(Thesis!$R$131:$AA$131=2028-cip_lag),Thesis!$R$164:$AA$164)-Thesis!$W$166</f>
        <v>0</v>
      </c>
      <c r="X167" s="38" t="n">
        <f aca="false">SUMPRODUCT(--(Thesis!$R$131:$AA$131=2029-cip_lag),Thesis!$R$164:$AA$164)-Thesis!$X$166</f>
        <v>0</v>
      </c>
      <c r="Y167" s="38" t="n">
        <f aca="false">SUMPRODUCT(--(Thesis!$R$131:$AA$131=2030-cip_lag),Thesis!$R$164:$AA$164)-Thesis!$Y$166</f>
        <v>0</v>
      </c>
      <c r="Z167" s="38" t="n">
        <f aca="false">SUMPRODUCT(--(Thesis!$R$131:$AA$131=2031-cip_lag),Thesis!$R$164:$AA$164)-Thesis!$Z$166</f>
        <v>0</v>
      </c>
      <c r="AA167" s="38" t="n">
        <f aca="false">SUMPRODUCT(--(Thesis!$R$131:$AA$131=2032-cip_lag),Thesis!$R$164:$AA$164)-Thesis!$AA$166</f>
        <v>0</v>
      </c>
    </row>
    <row r="168" customFormat="false" ht="17.15" hidden="false" customHeight="false" outlineLevel="0" collapsed="false">
      <c r="A168" s="5" t="s">
        <v>645</v>
      </c>
      <c r="B168" s="0" t="s">
        <v>86</v>
      </c>
      <c r="C168" s="38" t="n">
        <f aca="false">Thesis!$C$163*Thesis!$C$160</f>
        <v>8.2530642</v>
      </c>
      <c r="D168" s="38" t="n">
        <f aca="false">Thesis!$D$163*Thesis!$D$160</f>
        <v>37.1387889</v>
      </c>
      <c r="E168" s="38" t="n">
        <f aca="false">Thesis!$E$163*Thesis!$E$160</f>
        <v>25.7897792</v>
      </c>
      <c r="F168" s="38" t="n">
        <f aca="false">Thesis!$F$163*Thesis!$F$160</f>
        <v>67.4948715189913</v>
      </c>
      <c r="G168" s="38" t="n">
        <f aca="false">Thesis!$E$168+Thesis!$F$168</f>
        <v>93.2846507189913</v>
      </c>
      <c r="H168" s="38" t="n">
        <f aca="false">(Thesis!$H$163-Thesis!$H$162)*Thesis!$H$160+Thesis!$H$162</f>
        <v>152.52478394475</v>
      </c>
      <c r="I168" s="38" t="n">
        <f aca="false">(Thesis!$I$163-Thesis!$I$162)*Thesis!$I$160+Thesis!$I$162</f>
        <v>158.5998889105</v>
      </c>
      <c r="J168" s="38" t="n">
        <f aca="false">(Thesis!$J$163-Thesis!$J$162)*Thesis!$J$160+Thesis!$J$162</f>
        <v>163.8366571105</v>
      </c>
      <c r="K168" s="38" t="n">
        <f aca="false">(Thesis!$K$163-Thesis!$K$162)*Thesis!$K$160+Thesis!$K$162</f>
        <v>122.665498273534</v>
      </c>
      <c r="L168" s="38" t="n">
        <f aca="false">(Thesis!$L$163-Thesis!$L$162)*Thesis!$L$160+Thesis!$L$162</f>
        <v>112.914948636568</v>
      </c>
      <c r="M168" s="38" t="n">
        <f aca="false">(Thesis!$M$163-Thesis!$M$162)*Thesis!$M$160+Thesis!$M$162</f>
        <v>126.605482654852</v>
      </c>
      <c r="R168" s="38" t="n">
        <f aca="false">Thesis!$R$163*Thesis!$C$160</f>
        <v>1.09927679019314</v>
      </c>
      <c r="S168" s="38" t="n">
        <f aca="false">Thesis!$C$168</f>
        <v>8.2530642</v>
      </c>
      <c r="T168" s="38" t="n">
        <f aca="false">Thesis!$D$168</f>
        <v>37.1387889</v>
      </c>
      <c r="U168" s="38" t="n">
        <f aca="false">Thesis!$G$168</f>
        <v>93.2846507189913</v>
      </c>
      <c r="V168" s="38" t="n">
        <f aca="false">Thesis!$H$168</f>
        <v>152.52478394475</v>
      </c>
      <c r="W168" s="38" t="n">
        <f aca="false">Thesis!$I$168</f>
        <v>158.5998889105</v>
      </c>
      <c r="X168" s="38" t="n">
        <f aca="false">Thesis!$J$168</f>
        <v>163.8366571105</v>
      </c>
      <c r="Y168" s="38" t="n">
        <f aca="false">Thesis!$K$168</f>
        <v>122.665498273534</v>
      </c>
      <c r="Z168" s="38" t="n">
        <f aca="false">Thesis!$L$168</f>
        <v>112.914948636568</v>
      </c>
      <c r="AA168" s="38" t="n">
        <f aca="false">Thesis!$M$168</f>
        <v>126.605482654852</v>
      </c>
    </row>
    <row r="169" customFormat="false" ht="15" hidden="false" customHeight="false" outlineLevel="0" collapsed="false">
      <c r="A169" s="5" t="s">
        <v>646</v>
      </c>
      <c r="B169" s="0" t="s">
        <v>86</v>
      </c>
      <c r="C169" s="38" t="n">
        <f aca="false">Thesis!$C$163-Thesis!$C$168</f>
        <v>3.0408</v>
      </c>
      <c r="D169" s="38" t="n">
        <f aca="false">Thesis!$D$163-Thesis!$D$168</f>
        <v>13.6836</v>
      </c>
      <c r="E169" s="38" t="n">
        <f aca="false">Thesis!$E$163-Thesis!$E$168</f>
        <v>8.1088</v>
      </c>
      <c r="F169" s="38" t="n">
        <f aca="false">Thesis!$F$163-Thesis!$F$168</f>
        <v>21.2216789422221</v>
      </c>
      <c r="G169" s="38" t="n">
        <f aca="false">Thesis!$G$163-Thesis!$G$168</f>
        <v>29.3304789422221</v>
      </c>
      <c r="H169" s="38" t="n">
        <f aca="false">Thesis!$H$163-Thesis!$H$168</f>
        <v>46.046581</v>
      </c>
      <c r="I169" s="38" t="n">
        <f aca="false">Thesis!$I$163-Thesis!$I$168</f>
        <v>46.046581</v>
      </c>
      <c r="J169" s="38" t="n">
        <f aca="false">Thesis!$J$163-Thesis!$J$168</f>
        <v>46.046581</v>
      </c>
      <c r="K169" s="38" t="n">
        <f aca="false">Thesis!$K$163-Thesis!$K$168</f>
        <v>32.5728870016667</v>
      </c>
      <c r="L169" s="38" t="n">
        <f aca="false">Thesis!$L$163-Thesis!$L$168</f>
        <v>19.0991930033334</v>
      </c>
      <c r="M169" s="38" t="n">
        <f aca="false">Thesis!$M$163-Thesis!$M$168</f>
        <v>5.62549900499998</v>
      </c>
      <c r="R169" s="38" t="n">
        <f aca="false">Thesis!$R$163-Thesis!$R$168</f>
        <v>0.405023005106309</v>
      </c>
      <c r="S169" s="38" t="n">
        <f aca="false">Thesis!$S$163-Thesis!$S$168</f>
        <v>3.0408</v>
      </c>
      <c r="T169" s="38" t="n">
        <f aca="false">Thesis!$T$163-Thesis!$T$168</f>
        <v>13.6836</v>
      </c>
      <c r="U169" s="38" t="n">
        <f aca="false">Thesis!$U$163-Thesis!$U$168</f>
        <v>29.3304789422221</v>
      </c>
      <c r="V169" s="38" t="n">
        <f aca="false">Thesis!$V$163-Thesis!$V$168</f>
        <v>46.046581</v>
      </c>
      <c r="W169" s="38" t="n">
        <f aca="false">Thesis!$W$163-Thesis!$W$168</f>
        <v>46.046581</v>
      </c>
      <c r="X169" s="38" t="n">
        <f aca="false">Thesis!$X$163-Thesis!$X$168</f>
        <v>46.046581</v>
      </c>
      <c r="Y169" s="38" t="n">
        <f aca="false">Thesis!$Y$163-Thesis!$Y$168</f>
        <v>32.5728870016667</v>
      </c>
      <c r="Z169" s="38" t="n">
        <f aca="false">Thesis!$Z$163-Thesis!$Z$168</f>
        <v>19.0991930033334</v>
      </c>
      <c r="AA169" s="38" t="n">
        <f aca="false">Thesis!$AA$163-Thesis!$AA$168</f>
        <v>5.62549900499998</v>
      </c>
    </row>
    <row r="170" customFormat="false" ht="17.15" hidden="false" customHeight="false" outlineLevel="0" collapsed="false">
      <c r="A170" s="0" t="s">
        <v>647</v>
      </c>
      <c r="B170" s="0" t="s">
        <v>52</v>
      </c>
      <c r="C170" s="13" t="n">
        <f aca="false">Thesis!$C$161/CF!$C$86</f>
        <v>0.325505489553393</v>
      </c>
      <c r="D170" s="13" t="n">
        <f aca="false">Thesis!$D$161/CF!$D$86</f>
        <v>0.54214956071542</v>
      </c>
      <c r="E170" s="13" t="n">
        <f aca="false">Thesis!$E$161/CF!$E$86</f>
        <v>0.666492790452817</v>
      </c>
      <c r="F170" s="13" t="n">
        <f aca="false">Thesis!$F$161/CF!$F$86</f>
        <v>0.71724917504417</v>
      </c>
      <c r="G170" s="13" t="n">
        <f aca="false">Thesis!$G$161/CF!$G$86</f>
        <v>0.69502941413511</v>
      </c>
      <c r="H170" s="13" t="n">
        <f aca="false">Thesis!$H$161/CF!$H$86</f>
        <v>0.726376041178204</v>
      </c>
      <c r="I170" s="13" t="n">
        <f aca="false">Thesis!$I$161/CF!$I$86</f>
        <v>0.713099092661699</v>
      </c>
      <c r="J170" s="13" t="n">
        <f aca="false">Thesis!$J$161/CF!$J$86</f>
        <v>0.701208348786245</v>
      </c>
      <c r="K170" s="13" t="n">
        <f aca="false">Thesis!$K$161/CF!$K$86</f>
        <v>0.618338844562383</v>
      </c>
      <c r="L170" s="13" t="n">
        <f aca="false">Thesis!$L$161/CF!$L$86</f>
        <v>0.562489158462506</v>
      </c>
      <c r="M170" s="13" t="n">
        <f aca="false">Thesis!$M$161/CF!$M$86</f>
        <v>0.545751190895923</v>
      </c>
    </row>
    <row r="171" customFormat="false" ht="17.15" hidden="false" customHeight="false" outlineLevel="0" collapsed="false">
      <c r="A171" s="0" t="s">
        <v>648</v>
      </c>
      <c r="B171" s="0" t="s">
        <v>86</v>
      </c>
      <c r="C171" s="38" t="n">
        <f aca="false">Thesis!$S$171</f>
        <v>0.183212798365523</v>
      </c>
      <c r="D171" s="38" t="n">
        <f aca="false">Thesis!$T$171</f>
        <v>1.55872349836552</v>
      </c>
      <c r="E171" s="38" t="n">
        <f aca="false">Thesis!$G$171/2</f>
        <v>4.72585036583285</v>
      </c>
      <c r="F171" s="38" t="n">
        <f aca="false">Thesis!$G$171/2</f>
        <v>4.72585036583285</v>
      </c>
      <c r="G171" s="38" t="n">
        <f aca="false">Thesis!$U$171</f>
        <v>9.4517007316657</v>
      </c>
      <c r="H171" s="38" t="n">
        <f aca="false">Thesis!$V$171</f>
        <v>27.2822988413376</v>
      </c>
      <c r="I171" s="38" t="n">
        <f aca="false">Thesis!$W$171</f>
        <v>56.5439995605568</v>
      </c>
      <c r="J171" s="38" t="n">
        <f aca="false">Thesis!$X$171</f>
        <v>82.9773143789735</v>
      </c>
      <c r="K171" s="38" t="n">
        <f aca="false">Thesis!$Y$171</f>
        <v>110.100211099025</v>
      </c>
      <c r="L171" s="38" t="n">
        <f aca="false">Thesis!$Z$171</f>
        <v>129.16895011128</v>
      </c>
      <c r="M171" s="38" t="n">
        <f aca="false">Thesis!$AA$171</f>
        <v>140.095130984075</v>
      </c>
      <c r="N171" s="38" t="n">
        <f aca="false">Thesis!$D$171/2</f>
        <v>0.779361749182762</v>
      </c>
      <c r="O171" s="38" t="n">
        <f aca="false">Thesis!$D$171/2</f>
        <v>0.779361749182762</v>
      </c>
      <c r="R171" s="38" t="n">
        <f aca="false">(SUMPRODUCT(--(Thesis!$R$131:$AA$131&lt;Thesis!R$131),--(Thesis!$R$131:$AA$131&gt;=Thesis!R$131-tk_life),Thesis!$R$168:$AA$168)+SUMPRODUCT(--(Thesis!$R$131:$AA$131&lt;Thesis!R$131),--(Thesis!$R$131:$AA$131&gt;=Thesis!R$131-tk_life),Thesis!$R$166:$AA$166))/tk_life</f>
        <v>0</v>
      </c>
      <c r="S171" s="38" t="n">
        <f aca="false">(SUMPRODUCT(--(Thesis!$R$131:$AA$131&lt;Thesis!S$131),--(Thesis!$R$131:$AA$131&gt;=Thesis!S$131-tk_life),Thesis!$R$168:$AA$168)+SUMPRODUCT(--(Thesis!$R$131:$AA$131&lt;Thesis!S$131),--(Thesis!$R$131:$AA$131&gt;=Thesis!S$131-tk_life),Thesis!$R$166:$AA$166))/tk_life</f>
        <v>0.183212798365523</v>
      </c>
      <c r="T171" s="38" t="n">
        <f aca="false">(SUMPRODUCT(--(Thesis!$R$131:$AA$131&lt;Thesis!T$131),--(Thesis!$R$131:$AA$131&gt;=Thesis!T$131-tk_life),Thesis!$R$168:$AA$168)+SUMPRODUCT(--(Thesis!$R$131:$AA$131&lt;Thesis!T$131),--(Thesis!$R$131:$AA$131&gt;=Thesis!T$131-tk_life),Thesis!$R$166:$AA$166))/tk_life</f>
        <v>1.55872349836552</v>
      </c>
      <c r="U171" s="38" t="n">
        <f aca="false">(SUMPRODUCT(--(Thesis!$R$131:$AA$131&lt;Thesis!U$131),--(Thesis!$R$131:$AA$131&gt;=Thesis!U$131-tk_life),Thesis!$R$168:$AA$168)+SUMPRODUCT(--(Thesis!$R$131:$AA$131&lt;Thesis!U$131),--(Thesis!$R$131:$AA$131&gt;=Thesis!U$131-tk_life),Thesis!$R$166:$AA$166))/tk_life</f>
        <v>9.4517007316657</v>
      </c>
      <c r="V171" s="38" t="n">
        <f aca="false">(SUMPRODUCT(--(Thesis!$R$131:$AA$131&lt;Thesis!V$131),--(Thesis!$R$131:$AA$131&gt;=Thesis!V$131-tk_life),Thesis!$R$168:$AA$168)+SUMPRODUCT(--(Thesis!$R$131:$AA$131&lt;Thesis!V$131),--(Thesis!$R$131:$AA$131&gt;=Thesis!V$131-tk_life),Thesis!$R$166:$AA$166))/tk_life</f>
        <v>27.2822988413376</v>
      </c>
      <c r="W171" s="38" t="n">
        <f aca="false">(SUMPRODUCT(--(Thesis!$R$131:$AA$131&lt;Thesis!W$131),--(Thesis!$R$131:$AA$131&gt;=Thesis!W$131-tk_life),Thesis!$R$168:$AA$168)+SUMPRODUCT(--(Thesis!$R$131:$AA$131&lt;Thesis!W$131),--(Thesis!$R$131:$AA$131&gt;=Thesis!W$131-tk_life),Thesis!$R$166:$AA$166))/tk_life</f>
        <v>56.5439995605568</v>
      </c>
      <c r="X171" s="38" t="n">
        <f aca="false">(SUMPRODUCT(--(Thesis!$R$131:$AA$131&lt;Thesis!X$131),--(Thesis!$R$131:$AA$131&gt;=Thesis!X$131-tk_life),Thesis!$R$168:$AA$168)+SUMPRODUCT(--(Thesis!$R$131:$AA$131&lt;Thesis!X$131),--(Thesis!$R$131:$AA$131&gt;=Thesis!X$131-tk_life),Thesis!$R$166:$AA$166))/tk_life</f>
        <v>82.9773143789735</v>
      </c>
      <c r="Y171" s="38" t="n">
        <f aca="false">(SUMPRODUCT(--(Thesis!$R$131:$AA$131&lt;Thesis!Y$131),--(Thesis!$R$131:$AA$131&gt;=Thesis!Y$131-tk_life),Thesis!$R$168:$AA$168)+SUMPRODUCT(--(Thesis!$R$131:$AA$131&lt;Thesis!Y$131),--(Thesis!$R$131:$AA$131&gt;=Thesis!Y$131-tk_life),Thesis!$R$166:$AA$166))/tk_life</f>
        <v>110.100211099025</v>
      </c>
      <c r="Z171" s="38" t="n">
        <f aca="false">(SUMPRODUCT(--(Thesis!$R$131:$AA$131&lt;Thesis!Z$131),--(Thesis!$R$131:$AA$131&gt;=Thesis!Z$131-tk_life),Thesis!$R$168:$AA$168)+SUMPRODUCT(--(Thesis!$R$131:$AA$131&lt;Thesis!Z$131),--(Thesis!$R$131:$AA$131&gt;=Thesis!Z$131-tk_life),Thesis!$R$166:$AA$166))/tk_life</f>
        <v>129.16895011128</v>
      </c>
      <c r="AA171" s="38" t="n">
        <f aca="false">(SUMPRODUCT(--(Thesis!$R$131:$AA$131&lt;Thesis!AA$131),--(Thesis!$R$131:$AA$131&gt;=Thesis!AA$131-tk_life),Thesis!$R$168:$AA$168)+SUMPRODUCT(--(Thesis!$R$131:$AA$131&lt;Thesis!AA$131),--(Thesis!$R$131:$AA$131&gt;=Thesis!AA$131-tk_life),Thesis!$R$166:$AA$166))/tk_life</f>
        <v>140.095130984075</v>
      </c>
    </row>
    <row r="172" customFormat="false" ht="17.15" hidden="false" customHeight="false" outlineLevel="0" collapsed="false">
      <c r="A172" s="0" t="s">
        <v>649</v>
      </c>
      <c r="B172" s="0" t="s">
        <v>86</v>
      </c>
      <c r="C172" s="38" t="n">
        <f aca="false">Thesis!$S$172</f>
        <v>0.0202511502553155</v>
      </c>
      <c r="D172" s="38" t="n">
        <f aca="false">Thesis!$T$172</f>
        <v>0.172291150255315</v>
      </c>
      <c r="E172" s="38" t="n">
        <f aca="false">Thesis!$G$172/2</f>
        <v>0.522364740326067</v>
      </c>
      <c r="F172" s="38" t="n">
        <f aca="false">Thesis!$G$172/2</f>
        <v>0.522364740326067</v>
      </c>
      <c r="G172" s="38" t="n">
        <f aca="false">Thesis!$U$172</f>
        <v>1.04472948065213</v>
      </c>
      <c r="H172" s="38" t="n">
        <f aca="false">Thesis!$V$172</f>
        <v>2.76361866736136</v>
      </c>
      <c r="I172" s="38" t="n">
        <f aca="false">Thesis!$W$172</f>
        <v>5.42824377125863</v>
      </c>
      <c r="J172" s="38" t="n">
        <f aca="false">Thesis!$X$172</f>
        <v>7.73057282125864</v>
      </c>
      <c r="K172" s="38" t="n">
        <f aca="false">Thesis!$Y$172</f>
        <v>10.0329018712586</v>
      </c>
      <c r="L172" s="38" t="n">
        <f aca="false">Thesis!$Z$172</f>
        <v>11.661546221342</v>
      </c>
      <c r="M172" s="38" t="n">
        <f aca="false">Thesis!$AA$172</f>
        <v>12.6165058715086</v>
      </c>
      <c r="N172" s="38" t="n">
        <f aca="false">Thesis!$D$172/2</f>
        <v>0.0861455751276577</v>
      </c>
      <c r="O172" s="38" t="n">
        <f aca="false">Thesis!$D$172/2</f>
        <v>0.0861455751276577</v>
      </c>
      <c r="R172" s="38" t="n">
        <f aca="false">(SUMPRODUCT(--(Thesis!$R$131:$AA$131&lt;Thesis!R$131),Thesis!$R$169:$AA$169)+SUMPRODUCT(--(Thesis!$R$131:$AA$131&lt;Thesis!R$131),Thesis!$R$167:$AA$167))/fac_life</f>
        <v>0</v>
      </c>
      <c r="S172" s="38" t="n">
        <f aca="false">(SUMPRODUCT(--(Thesis!$R$131:$AA$131&lt;Thesis!S$131),Thesis!$R$169:$AA$169)+SUMPRODUCT(--(Thesis!$R$131:$AA$131&lt;Thesis!S$131),Thesis!$R$167:$AA$167))/fac_life</f>
        <v>0.0202511502553155</v>
      </c>
      <c r="T172" s="38" t="n">
        <f aca="false">(SUMPRODUCT(--(Thesis!$R$131:$AA$131&lt;Thesis!T$131),Thesis!$R$169:$AA$169)+SUMPRODUCT(--(Thesis!$R$131:$AA$131&lt;Thesis!T$131),Thesis!$R$167:$AA$167))/fac_life</f>
        <v>0.172291150255315</v>
      </c>
      <c r="U172" s="38" t="n">
        <f aca="false">(SUMPRODUCT(--(Thesis!$R$131:$AA$131&lt;Thesis!U$131),Thesis!$R$169:$AA$169)+SUMPRODUCT(--(Thesis!$R$131:$AA$131&lt;Thesis!U$131),Thesis!$R$167:$AA$167))/fac_life</f>
        <v>1.04472948065213</v>
      </c>
      <c r="V172" s="38" t="n">
        <f aca="false">(SUMPRODUCT(--(Thesis!$R$131:$AA$131&lt;Thesis!V$131),Thesis!$R$169:$AA$169)+SUMPRODUCT(--(Thesis!$R$131:$AA$131&lt;Thesis!V$131),Thesis!$R$167:$AA$167))/fac_life</f>
        <v>2.76361866736136</v>
      </c>
      <c r="W172" s="38" t="n">
        <f aca="false">(SUMPRODUCT(--(Thesis!$R$131:$AA$131&lt;Thesis!W$131),Thesis!$R$169:$AA$169)+SUMPRODUCT(--(Thesis!$R$131:$AA$131&lt;Thesis!W$131),Thesis!$R$167:$AA$167))/fac_life</f>
        <v>5.42824377125863</v>
      </c>
      <c r="X172" s="38" t="n">
        <f aca="false">(SUMPRODUCT(--(Thesis!$R$131:$AA$131&lt;Thesis!X$131),Thesis!$R$169:$AA$169)+SUMPRODUCT(--(Thesis!$R$131:$AA$131&lt;Thesis!X$131),Thesis!$R$167:$AA$167))/fac_life</f>
        <v>7.73057282125864</v>
      </c>
      <c r="Y172" s="38" t="n">
        <f aca="false">(SUMPRODUCT(--(Thesis!$R$131:$AA$131&lt;Thesis!Y$131),Thesis!$R$169:$AA$169)+SUMPRODUCT(--(Thesis!$R$131:$AA$131&lt;Thesis!Y$131),Thesis!$R$167:$AA$167))/fac_life</f>
        <v>10.0329018712586</v>
      </c>
      <c r="Z172" s="38" t="n">
        <f aca="false">(SUMPRODUCT(--(Thesis!$R$131:$AA$131&lt;Thesis!Z$131),Thesis!$R$169:$AA$169)+SUMPRODUCT(--(Thesis!$R$131:$AA$131&lt;Thesis!Z$131),Thesis!$R$167:$AA$167))/fac_life</f>
        <v>11.661546221342</v>
      </c>
      <c r="AA172" s="38" t="n">
        <f aca="false">(SUMPRODUCT(--(Thesis!$R$131:$AA$131&lt;Thesis!AA$131),Thesis!$R$169:$AA$169)+SUMPRODUCT(--(Thesis!$R$131:$AA$131&lt;Thesis!AA$131),Thesis!$R$167:$AA$167))/fac_life</f>
        <v>12.6165058715086</v>
      </c>
    </row>
    <row r="173" customFormat="false" ht="17.15" hidden="false" customHeight="false" outlineLevel="0" collapsed="false">
      <c r="A173" s="1" t="s">
        <v>650</v>
      </c>
      <c r="B173" s="8" t="s">
        <v>86</v>
      </c>
      <c r="C173" s="38" t="n">
        <f aca="false">Thesis!$C$171+Thesis!$C$172</f>
        <v>0.203463948620839</v>
      </c>
      <c r="D173" s="38" t="n">
        <f aca="false">Thesis!$D$171+Thesis!$D$172</f>
        <v>1.73101464862084</v>
      </c>
      <c r="E173" s="38" t="n">
        <f aca="false">Thesis!$E$171+Thesis!$E$172</f>
        <v>5.24821510615892</v>
      </c>
      <c r="F173" s="38" t="n">
        <f aca="false">Thesis!$F$171+Thesis!$F$172</f>
        <v>5.24821510615892</v>
      </c>
      <c r="G173" s="38" t="n">
        <f aca="false">Thesis!$G$171+Thesis!$G$172</f>
        <v>10.4964302123178</v>
      </c>
      <c r="H173" s="38" t="n">
        <f aca="false">Thesis!$H$171+Thesis!$H$172</f>
        <v>30.045917508699</v>
      </c>
      <c r="I173" s="38" t="n">
        <f aca="false">Thesis!$I$171+Thesis!$I$172</f>
        <v>61.9722433318155</v>
      </c>
      <c r="J173" s="38" t="n">
        <f aca="false">Thesis!$J$171+Thesis!$J$172</f>
        <v>90.7078872002321</v>
      </c>
      <c r="K173" s="38" t="n">
        <f aca="false">Thesis!$K$171+Thesis!$K$172</f>
        <v>120.133112970283</v>
      </c>
      <c r="L173" s="38" t="n">
        <f aca="false">Thesis!$L$171+Thesis!$L$172</f>
        <v>140.830496332622</v>
      </c>
      <c r="M173" s="38" t="n">
        <f aca="false">Thesis!$M$171+Thesis!$M$172</f>
        <v>152.711636855584</v>
      </c>
      <c r="N173" s="38" t="n">
        <f aca="false">Thesis!$N$171+Thesis!$N$172</f>
        <v>0.865507324310419</v>
      </c>
      <c r="O173" s="38" t="n">
        <f aca="false">Thesis!$O$171+Thesis!$O$172</f>
        <v>0.865507324310419</v>
      </c>
      <c r="R173" s="38" t="n">
        <f aca="false">Thesis!$R$171+Thesis!$R$172</f>
        <v>0</v>
      </c>
      <c r="S173" s="38" t="n">
        <f aca="false">Thesis!$S$171+Thesis!$S$172</f>
        <v>0.203463948620839</v>
      </c>
      <c r="T173" s="38" t="n">
        <f aca="false">Thesis!$T$171+Thesis!$T$172</f>
        <v>1.73101464862084</v>
      </c>
      <c r="U173" s="38" t="n">
        <f aca="false">Thesis!$U$171+Thesis!$U$172</f>
        <v>10.4964302123178</v>
      </c>
      <c r="V173" s="38" t="n">
        <f aca="false">Thesis!$V$171+Thesis!$V$172</f>
        <v>30.045917508699</v>
      </c>
      <c r="W173" s="38" t="n">
        <f aca="false">Thesis!$W$171+Thesis!$W$172</f>
        <v>61.9722433318155</v>
      </c>
      <c r="X173" s="38" t="n">
        <f aca="false">Thesis!$X$171+Thesis!$X$172</f>
        <v>90.7078872002321</v>
      </c>
      <c r="Y173" s="38" t="n">
        <f aca="false">Thesis!$Y$171+Thesis!$Y$172</f>
        <v>120.133112970283</v>
      </c>
      <c r="Z173" s="38" t="n">
        <f aca="false">Thesis!$Z$171+Thesis!$Z$172</f>
        <v>140.830496332622</v>
      </c>
      <c r="AA173" s="38" t="n">
        <f aca="false">Thesis!$AA$171+Thesis!$AA$172</f>
        <v>152.711636855584</v>
      </c>
    </row>
    <row r="174" customFormat="false" ht="17.15" hidden="false" customHeight="false" outlineLevel="0" collapsed="false">
      <c r="A174" s="0" t="s">
        <v>651</v>
      </c>
      <c r="B174" s="0" t="s">
        <v>86</v>
      </c>
      <c r="C174" s="38" t="n">
        <f aca="false">Thesis!$S$174</f>
        <v>26.578941154416</v>
      </c>
      <c r="D174" s="38" t="n">
        <f aca="false">Thesis!$T$174</f>
        <v>94.4165581367978</v>
      </c>
      <c r="G174" s="38" t="n">
        <f aca="false">Thesis!$U$174</f>
        <v>236.826599034204</v>
      </c>
      <c r="H174" s="38" t="n">
        <f aca="false">Thesis!$V$174</f>
        <v>405.352046470255</v>
      </c>
      <c r="I174" s="38" t="n">
        <f aca="false">Thesis!$W$174</f>
        <v>548.02627304894</v>
      </c>
      <c r="J174" s="38" t="n">
        <f aca="false">Thesis!$X$174</f>
        <v>667.201623959208</v>
      </c>
      <c r="K174" s="38" t="n">
        <f aca="false">Thesis!$Y$174</f>
        <v>702.306896264125</v>
      </c>
      <c r="L174" s="38" t="n">
        <f aca="false">Thesis!$Z$174</f>
        <v>693.490541571405</v>
      </c>
      <c r="M174" s="38" t="n">
        <f aca="false">Thesis!$AA$174</f>
        <v>673.009886375674</v>
      </c>
      <c r="R174" s="38" t="n">
        <f aca="false">SUM(Thesis!$R$161:$R$161)-SUM(Thesis!$R$173:$R$173)</f>
        <v>1.50429979529945</v>
      </c>
      <c r="S174" s="38" t="n">
        <f aca="false">SUM(Thesis!$R$161:$S$161)-SUM(Thesis!$R$173:$S$173)</f>
        <v>26.578941154416</v>
      </c>
      <c r="T174" s="38" t="n">
        <f aca="false">SUM(Thesis!$R$161:$T$161)-SUM(Thesis!$R$173:$T$173)</f>
        <v>94.4165581367978</v>
      </c>
      <c r="U174" s="38" t="n">
        <f aca="false">SUM(Thesis!$R$161:$U$161)-SUM(Thesis!$R$173:$U$173)</f>
        <v>236.826599034204</v>
      </c>
      <c r="V174" s="38" t="n">
        <f aca="false">SUM(Thesis!$R$161:$V$161)-SUM(Thesis!$R$173:$V$173)</f>
        <v>405.352046470255</v>
      </c>
      <c r="W174" s="38" t="n">
        <f aca="false">SUM(Thesis!$R$161:$W$161)-SUM(Thesis!$R$173:$W$173)</f>
        <v>548.02627304894</v>
      </c>
      <c r="X174" s="38" t="n">
        <f aca="false">SUM(Thesis!$R$161:$X$161)-SUM(Thesis!$R$173:$X$173)</f>
        <v>667.201623959208</v>
      </c>
      <c r="Y174" s="38" t="n">
        <f aca="false">SUM(Thesis!$R$161:$Y$161)-SUM(Thesis!$R$173:$Y$173)</f>
        <v>702.306896264125</v>
      </c>
      <c r="Z174" s="38" t="n">
        <f aca="false">SUM(Thesis!$R$161:$Z$161)-SUM(Thesis!$R$173:$Z$173)</f>
        <v>693.490541571405</v>
      </c>
      <c r="AA174" s="38" t="n">
        <f aca="false">SUM(Thesis!$R$161:$AA$161)-SUM(Thesis!$R$173:$AA$173)</f>
        <v>673.009886375674</v>
      </c>
    </row>
    <row r="175" customFormat="false" ht="17.15" hidden="false" customHeight="false" outlineLevel="0" collapsed="false">
      <c r="A175" s="1" t="s">
        <v>652</v>
      </c>
    </row>
    <row r="176" customFormat="false" ht="17.15" hidden="false" customHeight="false" outlineLevel="0" collapsed="false">
      <c r="A176" s="0" t="s">
        <v>653</v>
      </c>
      <c r="B176" s="0" t="s">
        <v>86</v>
      </c>
      <c r="C176" s="38" t="n">
        <f aca="false">Thesis!$C$152-ext_sh*Thesis!$C$154</f>
        <v>1.80694998843362</v>
      </c>
      <c r="D176" s="38" t="n">
        <f aca="false">Thesis!$D$152-ext_sh*Thesis!$D$154</f>
        <v>6.77606245662607</v>
      </c>
      <c r="E176" s="38" t="n">
        <f aca="false">Thesis!$E$152-ext_sh*Thesis!$E$154</f>
        <v>6.62548329092326</v>
      </c>
      <c r="F176" s="38" t="n">
        <f aca="false">Thesis!$F$152-ext_sh*Thesis!$F$154</f>
        <v>10.8940413794839</v>
      </c>
      <c r="G176" s="38" t="n">
        <f aca="false">Thesis!$G$152-ext_sh*Thesis!$G$154</f>
        <v>17.5195246704072</v>
      </c>
      <c r="H176" s="38" t="n">
        <f aca="false">Thesis!$H$152-ext_sh*Thesis!$H$154</f>
        <v>40.7735721541341</v>
      </c>
      <c r="I176" s="38" t="n">
        <f aca="false">Thesis!$I$152-ext_sh*Thesis!$I$154</f>
        <v>66.8500163832358</v>
      </c>
      <c r="J176" s="38" t="n">
        <f aca="false">Thesis!$J$152-ext_sh*Thesis!$J$154</f>
        <v>93.0640470849174</v>
      </c>
      <c r="K176" s="38" t="n">
        <f aca="false">Thesis!$K$152-ext_sh*Thesis!$K$154</f>
        <v>115.424757703147</v>
      </c>
      <c r="L176" s="38" t="n">
        <f aca="false">Thesis!$L$152-ext_sh*Thesis!$L$154</f>
        <v>130.120169833198</v>
      </c>
      <c r="M176" s="38" t="n">
        <f aca="false">Thesis!$M$152-ext_sh*Thesis!$M$154</f>
        <v>137.12790595888</v>
      </c>
      <c r="N176" s="38" t="n">
        <f aca="false">Thesis!$N$152-ext_sh*Thesis!$N$154</f>
        <v>2.37162185981912</v>
      </c>
      <c r="O176" s="38" t="n">
        <f aca="false">Thesis!$O$152-ext_sh*Thesis!$O$154</f>
        <v>4.40444059680694</v>
      </c>
    </row>
    <row r="177" customFormat="false" ht="17.15" hidden="false" customHeight="false" outlineLevel="0" collapsed="false">
      <c r="A177" s="1" t="s">
        <v>654</v>
      </c>
      <c r="B177" s="8" t="s">
        <v>86</v>
      </c>
      <c r="C177" s="38" t="n">
        <f aca="false">Thesis!$C$176-ext_sh*Thesis!$C$173</f>
        <v>1.64417882953695</v>
      </c>
      <c r="D177" s="38" t="n">
        <f aca="false">Thesis!$D$176-ext_sh*Thesis!$D$173</f>
        <v>5.39125073772939</v>
      </c>
      <c r="E177" s="38" t="n">
        <f aca="false">Thesis!$E$176-ext_sh*Thesis!$E$173</f>
        <v>2.42691120599613</v>
      </c>
      <c r="F177" s="38" t="n">
        <f aca="false">Thesis!$F$176-ext_sh*Thesis!$F$173</f>
        <v>6.69546929455678</v>
      </c>
      <c r="G177" s="38" t="n">
        <f aca="false">Thesis!$G$176-ext_sh*Thesis!$G$173</f>
        <v>9.1223805005529</v>
      </c>
      <c r="H177" s="38" t="n">
        <f aca="false">Thesis!$H$176-ext_sh*Thesis!$H$173</f>
        <v>16.7368381471749</v>
      </c>
      <c r="I177" s="38" t="n">
        <f aca="false">Thesis!$I$176-ext_sh*Thesis!$I$173</f>
        <v>17.2722217177834</v>
      </c>
      <c r="J177" s="38" t="n">
        <f aca="false">Thesis!$J$176-ext_sh*Thesis!$J$173</f>
        <v>20.4977373247316</v>
      </c>
      <c r="K177" s="38" t="n">
        <f aca="false">Thesis!$K$176-ext_sh*Thesis!$K$173</f>
        <v>19.3182673269205</v>
      </c>
      <c r="L177" s="38" t="n">
        <f aca="false">Thesis!$L$176-ext_sh*Thesis!$L$173</f>
        <v>17.4557727670999</v>
      </c>
      <c r="M177" s="38" t="n">
        <f aca="false">Thesis!$M$176-ext_sh*Thesis!$M$173</f>
        <v>14.958596474413</v>
      </c>
      <c r="N177" s="38" t="n">
        <f aca="false">Thesis!$N$176-ext_sh*Thesis!$N$173</f>
        <v>1.67921600037079</v>
      </c>
      <c r="O177" s="38" t="n">
        <f aca="false">Thesis!$O$176-ext_sh*Thesis!$O$173</f>
        <v>3.71203473735861</v>
      </c>
    </row>
    <row r="178" customFormat="false" ht="17.15" hidden="false" customHeight="false" outlineLevel="0" collapsed="false">
      <c r="A178" s="0" t="s">
        <v>655</v>
      </c>
      <c r="B178" s="0" t="s">
        <v>52</v>
      </c>
      <c r="C178" s="13" t="n">
        <f aca="false">Thesis!$C$177/Thesis!$C$152</f>
        <v>0.708390794789371</v>
      </c>
      <c r="D178" s="13" t="n">
        <f aca="false">Thesis!$D$177/Thesis!$D$152</f>
        <v>0.619415573115729</v>
      </c>
      <c r="E178" s="13" t="n">
        <f aca="false">Thesis!$E$177/Thesis!$E$152</f>
        <v>0.285171627189009</v>
      </c>
      <c r="F178" s="13" t="n">
        <f aca="false">Thesis!$F$177/Thesis!$F$152</f>
        <v>0.47359918353757</v>
      </c>
      <c r="G178" s="13" t="n">
        <f aca="false">Thesis!$G$177/Thesis!$G$152</f>
        <v>0.402793757893083</v>
      </c>
      <c r="H178" s="13" t="n">
        <f aca="false">Thesis!$H$177/Thesis!$H$152</f>
        <v>0.31329316068603</v>
      </c>
      <c r="I178" s="13" t="n">
        <f aca="false">Thesis!$I$177/Thesis!$I$152</f>
        <v>0.196722911562407</v>
      </c>
      <c r="J178" s="13" t="n">
        <f aca="false">Thesis!$J$177/Thesis!$J$152</f>
        <v>0.167560813387199</v>
      </c>
      <c r="K178" s="13" t="n">
        <f aca="false">Thesis!$K$177/Thesis!$K$152</f>
        <v>0.12727098283806</v>
      </c>
      <c r="L178" s="13" t="n">
        <f aca="false">Thesis!$L$177/Thesis!$L$152</f>
        <v>0.101991895747882</v>
      </c>
      <c r="M178" s="13" t="n">
        <f aca="false">Thesis!$M$177/Thesis!$M$152</f>
        <v>0.0829256040915033</v>
      </c>
      <c r="N178" s="13" t="n">
        <f aca="false">Thesis!$N$177/Thesis!$N$152</f>
        <v>0.551227795793364</v>
      </c>
      <c r="O178" s="13" t="n">
        <f aca="false">Thesis!$O$177/Thesis!$O$152</f>
        <v>0.656132068597002</v>
      </c>
    </row>
    <row r="179" customFormat="false" ht="17.15" hidden="false" customHeight="false" outlineLevel="0" collapsed="false">
      <c r="A179" s="5" t="s">
        <v>656</v>
      </c>
      <c r="B179" s="0" t="s">
        <v>86</v>
      </c>
      <c r="C179" s="39" t="n">
        <v>0</v>
      </c>
      <c r="D179" s="39" t="n">
        <v>0</v>
      </c>
      <c r="E179" s="39" t="n">
        <v>0</v>
      </c>
      <c r="F179" s="38" t="n">
        <f aca="false">IF(internal_ai_reading=2,1,0)*(1-ext_sh)/ext_sh*(mw_open*he_open+Thesis!$F$150*Thesis!$F$147)*Thesis!$F$136/1000</f>
        <v>3.77122048175818</v>
      </c>
      <c r="G179" s="38" t="n">
        <f aca="false">Thesis!$E$179+Thesis!$F$179</f>
        <v>3.77122048175818</v>
      </c>
      <c r="H179" s="38" t="n">
        <f aca="false">IF(internal_ai_reading=2,1,0)*(1-ext_sh)/ext_sh*(mw_open*he_open+Thesis!$H$150*Thesis!$H$147)*Thesis!$H$136/1000</f>
        <v>15.1635543609893</v>
      </c>
      <c r="I179" s="38" t="n">
        <f aca="false">IF(internal_ai_reading=2,1,0)*(1-ext_sh)/ext_sh*(mw_open*he_open+Thesis!$I$150*Thesis!$I$147)*Thesis!$I$136/1000</f>
        <v>25.5818843619889</v>
      </c>
      <c r="J179" s="38" t="n">
        <f aca="false">IF(internal_ai_reading=2,1,0)*(1-ext_sh)/ext_sh*(mw_open*he_open+Thesis!$J$150*Thesis!$J$147)*Thesis!$J$136/1000</f>
        <v>36.0465624179122</v>
      </c>
      <c r="K179" s="38" t="n">
        <f aca="false">IF(internal_ai_reading=2,1,0)*(1-ext_sh)/ext_sh*(mw_open*he_open+Thesis!$K$150*Thesis!$K$147)*Thesis!$K$136/1000</f>
        <v>44.9741164026038</v>
      </c>
      <c r="L179" s="38" t="n">
        <f aca="false">IF(internal_ai_reading=2,1,0)*(1-ext_sh)/ext_sh*(mw_open*he_open+Thesis!$L$150*Thesis!$L$147)*Thesis!$L$136/1000</f>
        <v>50.8413488057813</v>
      </c>
      <c r="M179" s="38" t="n">
        <f aca="false">IF(internal_ai_reading=2,1,0)*(1-ext_sh)/ext_sh*(mw_open*he_open+Thesis!$M$150*Thesis!$M$147)*Thesis!$M$136/1000</f>
        <v>53.6407214274315</v>
      </c>
      <c r="N179" s="39" t="n">
        <v>0</v>
      </c>
      <c r="O179" s="39" t="n">
        <v>0</v>
      </c>
      <c r="P179" s="8" t="s">
        <v>657</v>
      </c>
    </row>
    <row r="180" customFormat="false" ht="17.15" hidden="false" customHeight="false" outlineLevel="0" collapsed="false">
      <c r="A180" s="5" t="s">
        <v>658</v>
      </c>
      <c r="B180" s="0" t="s">
        <v>86</v>
      </c>
      <c r="C180" s="38" t="n">
        <f aca="false">(1-ext_sh)*(Thesis!$C$154+Thesis!$C$173)</f>
        <v>0.169206631859174</v>
      </c>
      <c r="D180" s="38" t="n">
        <f aca="false">(1-ext_sh)*(Thesis!$D$154+Thesis!$D$173)</f>
        <v>0.828129837730442</v>
      </c>
      <c r="E180" s="38" t="n">
        <f aca="false">(1-ext_sh)*(Thesis!$E$154+Thesis!$E$173)</f>
        <v>1.52086044239347</v>
      </c>
      <c r="F180" s="38" t="n">
        <f aca="false">(1-ext_sh)*(Thesis!$F$154+Thesis!$F$173)</f>
        <v>1.86048700344425</v>
      </c>
      <c r="G180" s="38" t="n">
        <f aca="false">(1-ext_sh)*(Thesis!$G$154+Thesis!$G$173)</f>
        <v>3.38134744583772</v>
      </c>
      <c r="H180" s="38" t="n">
        <f aca="false">(1-ext_sh)*(Thesis!$H$154+Thesis!$H$173)</f>
        <v>9.17136301267211</v>
      </c>
      <c r="I180" s="38" t="n">
        <f aca="false">(1-ext_sh)*(Thesis!$I$154+Thesis!$I$173)</f>
        <v>17.6318811343794</v>
      </c>
      <c r="J180" s="38" t="n">
        <f aca="false">(1-ext_sh)*(Thesis!$J$154+Thesis!$J$173)</f>
        <v>25.4581000191451</v>
      </c>
      <c r="K180" s="38" t="n">
        <f aca="false">(1-ext_sh)*(Thesis!$K$154+Thesis!$K$173)</f>
        <v>33.1175498168092</v>
      </c>
      <c r="L180" s="38" t="n">
        <f aca="false">(1-ext_sh)*(Thesis!$L$154+Thesis!$L$173)</f>
        <v>38.4232131776135</v>
      </c>
      <c r="M180" s="38" t="n">
        <f aca="false">(1-ext_sh)*(Thesis!$M$154+Thesis!$M$173)</f>
        <v>41.3567859278847</v>
      </c>
      <c r="N180" s="38" t="n">
        <f aca="false">(1-ext_sh)*(Thesis!$N$154+Thesis!$N$173)</f>
        <v>0.34177588266428</v>
      </c>
      <c r="O180" s="38" t="n">
        <f aca="false">(1-ext_sh)*(Thesis!$O$154+Thesis!$O$173)</f>
        <v>0.486353955066162</v>
      </c>
    </row>
    <row r="181" customFormat="false" ht="17.15" hidden="false" customHeight="false" outlineLevel="0" collapsed="false">
      <c r="A181" s="0" t="s">
        <v>659</v>
      </c>
      <c r="B181" s="0" t="s">
        <v>86</v>
      </c>
      <c r="C181" s="38" t="n">
        <f aca="false">Q!$D$24</f>
        <v>39.834</v>
      </c>
      <c r="D181" s="38" t="n">
        <f aca="false">Q!$E$24</f>
        <v>45.606</v>
      </c>
      <c r="E181" s="38" t="n">
        <f aca="false">Q!$P$24</f>
        <v>30.782</v>
      </c>
      <c r="N181" s="38" t="n">
        <f aca="false">Q!$N$24</f>
        <v>21.707</v>
      </c>
      <c r="O181" s="38" t="n">
        <f aca="false">Q!$O$24</f>
        <v>23.899</v>
      </c>
    </row>
    <row r="182" customFormat="false" ht="17.15" hidden="false" customHeight="false" outlineLevel="0" collapsed="false">
      <c r="A182" s="0" t="s">
        <v>660</v>
      </c>
      <c r="B182" s="0" t="s">
        <v>86</v>
      </c>
      <c r="C182" s="38" t="n">
        <f aca="false">Thesis!$C$181-Thesis!$C$177</f>
        <v>38.1898211704631</v>
      </c>
      <c r="D182" s="38" t="n">
        <f aca="false">Thesis!$D$181-Thesis!$D$177</f>
        <v>40.2147492622706</v>
      </c>
      <c r="E182" s="38" t="n">
        <f aca="false">Thesis!$E$181-Thesis!$E$177</f>
        <v>28.3550887940039</v>
      </c>
      <c r="F182" s="38" t="n">
        <f aca="false">Thesis!$F$156*Thesis!$F$183</f>
        <v>25.9529793149447</v>
      </c>
      <c r="G182" s="38" t="n">
        <f aca="false">Thesis!$E$182+Thesis!$F$182</f>
        <v>54.3080681089486</v>
      </c>
      <c r="H182" s="38" t="n">
        <f aca="false">Thesis!$H$156*Thesis!$H$183</f>
        <v>58.2264684589333</v>
      </c>
      <c r="I182" s="38" t="n">
        <f aca="false">Thesis!$I$156*Thesis!$I$183</f>
        <v>64.6461353851744</v>
      </c>
      <c r="J182" s="38" t="n">
        <f aca="false">Thesis!$J$156*Thesis!$J$183</f>
        <v>70.7957093610231</v>
      </c>
      <c r="K182" s="38" t="n">
        <f aca="false">Thesis!$K$156*Thesis!$K$183</f>
        <v>76.4593661099049</v>
      </c>
      <c r="L182" s="38" t="n">
        <f aca="false">Thesis!$L$156*Thesis!$L$183</f>
        <v>82.5761153986973</v>
      </c>
      <c r="M182" s="38" t="n">
        <f aca="false">Thesis!$M$156*Thesis!$M$183</f>
        <v>89.1822046305931</v>
      </c>
      <c r="N182" s="38" t="n">
        <f aca="false">Thesis!$N$181-Thesis!$N$177</f>
        <v>20.0277839996292</v>
      </c>
      <c r="O182" s="38" t="n">
        <f aca="false">Thesis!$O$181-Thesis!$O$177</f>
        <v>20.1869652626414</v>
      </c>
      <c r="P182" s="5" t="s">
        <v>661</v>
      </c>
    </row>
    <row r="183" customFormat="false" ht="17.15" hidden="false" customHeight="false" outlineLevel="0" collapsed="false">
      <c r="A183" s="0" t="s">
        <v>662</v>
      </c>
      <c r="B183" s="0" t="s">
        <v>52</v>
      </c>
      <c r="C183" s="13" t="n">
        <f aca="false">Thesis!$C$182/Thesis!$C$156</f>
        <v>0.362900395443635</v>
      </c>
      <c r="D183" s="13" t="n">
        <f aca="false">Thesis!$D$182/Thesis!$D$156</f>
        <v>0.335063632425483</v>
      </c>
      <c r="E183" s="13" t="n">
        <f aca="false">Thesis!$E$182/Thesis!$E$156</f>
        <v>0.397638855555478</v>
      </c>
      <c r="F183" s="13" t="n">
        <f aca="false">(Thesis!$O$182+Thesis!$E$182)/(Thesis!$O$156+Thesis!$E$156)</f>
        <v>0.361616727338133</v>
      </c>
      <c r="G183" s="13" t="n">
        <f aca="false">Thesis!$G$182/Thesis!$G$156</f>
        <v>0.379569803149143</v>
      </c>
      <c r="H183" s="13" t="n">
        <f aca="false">Thesis!$F$183</f>
        <v>0.361616727338133</v>
      </c>
      <c r="I183" s="13" t="n">
        <f aca="false">Thesis!$F$183</f>
        <v>0.361616727338133</v>
      </c>
      <c r="J183" s="13" t="n">
        <f aca="false">Thesis!$F$183</f>
        <v>0.361616727338133</v>
      </c>
      <c r="K183" s="13" t="n">
        <f aca="false">Thesis!$F$183</f>
        <v>0.361616727338133</v>
      </c>
      <c r="L183" s="13" t="n">
        <f aca="false">Thesis!$F$183</f>
        <v>0.361616727338133</v>
      </c>
      <c r="M183" s="13" t="n">
        <f aca="false">Thesis!$F$183</f>
        <v>0.361616727338133</v>
      </c>
      <c r="N183" s="13" t="n">
        <f aca="false">Thesis!$N$182/Thesis!$N$156</f>
        <v>0.35078810535806</v>
      </c>
      <c r="O183" s="13" t="n">
        <f aca="false">Thesis!$O$182/Thesis!$O$156</f>
        <v>0.320796939361619</v>
      </c>
      <c r="P183" s="8" t="s">
        <v>663</v>
      </c>
    </row>
    <row r="184" customFormat="false" ht="17.15" hidden="false" customHeight="false" outlineLevel="0" collapsed="false">
      <c r="A184" s="0" t="s">
        <v>664</v>
      </c>
      <c r="B184" s="0" t="s">
        <v>52</v>
      </c>
      <c r="D184" s="13" t="n">
        <f aca="false">(Q!$E$31-ext_sh*Thesis!$D$173)/Thesis!$D$156</f>
        <v>0.167180325480118</v>
      </c>
    </row>
    <row r="185" customFormat="false" ht="17.15" hidden="false" customHeight="false" outlineLevel="0" collapsed="false">
      <c r="A185" s="0" t="s">
        <v>665</v>
      </c>
      <c r="B185" s="0" t="s">
        <v>86</v>
      </c>
      <c r="C185" s="38" t="n">
        <f aca="false">Q!$D$31</f>
        <v>13.32</v>
      </c>
      <c r="D185" s="38" t="n">
        <f aca="false">Q!$E$31</f>
        <v>21.45</v>
      </c>
      <c r="E185" s="38" t="n">
        <f aca="false">Q!$P$31</f>
        <v>15.353</v>
      </c>
      <c r="F185" s="38" t="n">
        <f aca="false">ext_sh*Thesis!$F$173+Thesis!$D$184*Thesis!$F$156</f>
        <v>16.1969869840094</v>
      </c>
      <c r="G185" s="38" t="n">
        <f aca="false">Thesis!$E$185+Thesis!$F$185</f>
        <v>31.5499869840094</v>
      </c>
      <c r="H185" s="38" t="n">
        <f aca="false">ext_sh*Thesis!$H$173+Thesis!$D$184*Thesis!$H$156</f>
        <v>50.9556213609176</v>
      </c>
      <c r="I185" s="38" t="n">
        <f aca="false">ext_sh*Thesis!$I$173+Thesis!$D$184*Thesis!$I$156</f>
        <v>79.464581248252</v>
      </c>
      <c r="J185" s="38" t="n">
        <f aca="false">ext_sh*Thesis!$J$173+Thesis!$D$184*Thesis!$J$156</f>
        <v>105.296127931746</v>
      </c>
      <c r="K185" s="38" t="n">
        <f aca="false">ext_sh*Thesis!$K$173+Thesis!$D$184*Thesis!$K$156</f>
        <v>131.454694001511</v>
      </c>
      <c r="L185" s="38" t="n">
        <f aca="false">ext_sh*Thesis!$L$173+Thesis!$D$184*Thesis!$L$156</f>
        <v>150.840456981405</v>
      </c>
      <c r="M185" s="38" t="n">
        <f aca="false">ext_sh*Thesis!$M$173+Thesis!$D$184*Thesis!$M$156</f>
        <v>163.399454192999</v>
      </c>
      <c r="N185" s="38" t="n">
        <f aca="false">Q!$N$31</f>
        <v>9.234</v>
      </c>
      <c r="O185" s="38" t="n">
        <f aca="false">Q!$O$31</f>
        <v>12.216</v>
      </c>
    </row>
    <row r="186" customFormat="false" ht="17.15" hidden="false" customHeight="false" outlineLevel="0" collapsed="false">
      <c r="A186" s="1" t="s">
        <v>666</v>
      </c>
    </row>
    <row r="187" customFormat="false" ht="17.15" hidden="false" customHeight="false" outlineLevel="0" collapsed="false">
      <c r="A187" s="15" t="s">
        <v>667</v>
      </c>
      <c r="B187" s="14" t="s">
        <v>52</v>
      </c>
      <c r="C187" s="14"/>
      <c r="D187" s="14"/>
      <c r="E187" s="14"/>
      <c r="F187" s="14"/>
      <c r="G187" s="17" t="n">
        <f aca="false">Thesis!$G$177*(1-tax)/(ext_sh*(Thesis!$D$174+Thesis!$G$174)/2)</f>
        <v>0.0568983557584531</v>
      </c>
      <c r="H187" s="17" t="n">
        <f aca="false">Thesis!$H$177*(1-tax)/(ext_sh*(Thesis!$G$174+Thesis!$H$174)/2)</f>
        <v>0.0538463172089735</v>
      </c>
      <c r="I187" s="17" t="n">
        <f aca="false">Thesis!$I$177*(1-tax)/(ext_sh*(Thesis!$H$174+Thesis!$I$174)/2)</f>
        <v>0.037430133964047</v>
      </c>
      <c r="J187" s="17" t="n">
        <f aca="false">Thesis!$J$177*(1-tax)/(ext_sh*(Thesis!$I$174+Thesis!$J$174)/2)</f>
        <v>0.0348487047905188</v>
      </c>
      <c r="K187" s="17" t="n">
        <f aca="false">Thesis!$K$177*(1-tax)/(ext_sh*(Thesis!$J$174+Thesis!$K$174)/2)</f>
        <v>0.0291435117089215</v>
      </c>
      <c r="L187" s="17" t="n">
        <f aca="false">Thesis!$L$177*(1-tax)/(ext_sh*(Thesis!$K$174+Thesis!$L$174)/2)</f>
        <v>0.0258377761763353</v>
      </c>
      <c r="M187" s="17" t="n">
        <f aca="false">Thesis!$M$177*(1-tax)/(ext_sh*(Thesis!$L$174+Thesis!$M$174)/2)</f>
        <v>0.0226161941366143</v>
      </c>
      <c r="N187" s="14"/>
      <c r="O187" s="14"/>
      <c r="P187" s="8" t="s">
        <v>668</v>
      </c>
    </row>
    <row r="188" customFormat="false" ht="17.15" hidden="false" customHeight="false" outlineLevel="0" collapsed="false">
      <c r="A188" s="5" t="s">
        <v>669</v>
      </c>
      <c r="B188" s="0" t="s">
        <v>57</v>
      </c>
      <c r="H188" s="36" t="n">
        <f aca="false">Thesis!$H$152*1000/(mw_open*he_open+Thesis!$H$150*Thesis!$H$147)</f>
        <v>0.880767940782091</v>
      </c>
      <c r="I188" s="36" t="n">
        <f aca="false">Thesis!$I$152*1000/(mw_open*he_open+Thesis!$I$150*Thesis!$I$147)</f>
        <v>0.858026572758645</v>
      </c>
      <c r="J188" s="36" t="n">
        <f aca="false">Thesis!$J$152*1000/(mw_open*he_open+Thesis!$J$150*Thesis!$J$147)</f>
        <v>0.848417499448742</v>
      </c>
      <c r="K188" s="36" t="n">
        <f aca="false">Thesis!$K$152*1000/(mw_open*he_open+Thesis!$K$150*Thesis!$K$147)</f>
        <v>0.843754578941374</v>
      </c>
      <c r="L188" s="36" t="n">
        <f aca="false">Thesis!$L$152*1000/(mw_open*he_open+Thesis!$L$150*Thesis!$L$147)</f>
        <v>0.841581849703465</v>
      </c>
      <c r="M188" s="36" t="n">
        <f aca="false">Thesis!$M$152*1000/(mw_open*he_open+Thesis!$M$150*Thesis!$M$147)</f>
        <v>0.840712687048722</v>
      </c>
    </row>
    <row r="189" customFormat="false" ht="17.15" hidden="false" customHeight="false" outlineLevel="0" collapsed="false">
      <c r="A189" s="5" t="s">
        <v>670</v>
      </c>
      <c r="B189" s="0" t="s">
        <v>57</v>
      </c>
      <c r="H189" s="36" t="n">
        <f aca="false">Thesis!$H$188*(Thesis!$H$152+wacc*ext_sh*(Thesis!$G$174+Thesis!$H$174)/2/(1-tax)-Thesis!$H$177)/Thesis!$H$152</f>
        <v>1.18542857552197</v>
      </c>
      <c r="I189" s="36" t="n">
        <f aca="false">Thesis!$I$188*(Thesis!$I$152+wacc*ext_sh*(Thesis!$H$174+Thesis!$I$174)/2/(1-tax)-Thesis!$I$177)/Thesis!$I$152</f>
        <v>1.20015476648903</v>
      </c>
      <c r="J189" s="36" t="n">
        <f aca="false">Thesis!$J$188*(Thesis!$J$152+wacc*ext_sh*(Thesis!$I$174+Thesis!$J$174)/2/(1-tax)-Thesis!$J$177)/Thesis!$J$152</f>
        <v>1.16844056931249</v>
      </c>
      <c r="K189" s="36" t="n">
        <f aca="false">Thesis!$K$188*(Thesis!$K$152+wacc*ext_sh*(Thesis!$J$174+Thesis!$K$174)/2/(1-tax)-Thesis!$K$177)/Thesis!$K$152</f>
        <v>1.15383758356873</v>
      </c>
      <c r="L189" s="36" t="n">
        <f aca="false">Thesis!$L$188*(Thesis!$L$152+wacc*ext_sh*(Thesis!$K$174+Thesis!$L$174)/2/(1-tax)-Thesis!$L$177)/Thesis!$L$152</f>
        <v>1.13212765595665</v>
      </c>
      <c r="M189" s="36" t="n">
        <f aca="false">Thesis!$M$188*(Thesis!$M$152+wacc*ext_sh*(Thesis!$L$174+Thesis!$M$174)/2/(1-tax)-Thesis!$M$177)/Thesis!$M$152</f>
        <v>1.12024635139935</v>
      </c>
    </row>
    <row r="190" customFormat="false" ht="17.15" hidden="false" customHeight="false" outlineLevel="0" collapsed="false">
      <c r="A190" s="5" t="s">
        <v>671</v>
      </c>
      <c r="B190" s="0" t="s">
        <v>52</v>
      </c>
      <c r="C190" s="13" t="n">
        <f aca="false">Thesis!$C$153/tk_pq</f>
        <v>0.195316432429398</v>
      </c>
      <c r="D190" s="13" t="n">
        <f aca="false">Thesis!$D$153/tk_pq</f>
        <v>0.195316432429398</v>
      </c>
      <c r="E190" s="13" t="n">
        <f aca="false">Thesis!$E$153/tk_pq</f>
        <v>0.195316432429398</v>
      </c>
      <c r="F190" s="13" t="n">
        <f aca="false">Thesis!$F$153/tk_pq</f>
        <v>0.191077608072499</v>
      </c>
      <c r="G190" s="13" t="n">
        <f aca="false">Thesis!$G$153/tk_pq</f>
        <v>0.192648675364927</v>
      </c>
      <c r="H190" s="13" t="n">
        <f aca="false">Thesis!$H$153/tk_pq</f>
        <v>0.188813632292207</v>
      </c>
      <c r="I190" s="13" t="n">
        <f aca="false">Thesis!$I$153/tk_pq</f>
        <v>0.18967957363228</v>
      </c>
      <c r="J190" s="13" t="n">
        <f aca="false">Thesis!$J$153/tk_pq</f>
        <v>0.190298617624149</v>
      </c>
      <c r="K190" s="13" t="n">
        <f aca="false">Thesis!$K$153/tk_pq</f>
        <v>0.190580531494929</v>
      </c>
      <c r="L190" s="13" t="n">
        <f aca="false">Thesis!$L$153/tk_pq</f>
        <v>0.190712010322094</v>
      </c>
      <c r="M190" s="13" t="n">
        <f aca="false">Thesis!$M$153/tk_pq</f>
        <v>0.190736894839384</v>
      </c>
      <c r="N190" s="13" t="n">
        <f aca="false">Thesis!$N$153/tk_pq</f>
        <v>0.195316432429398</v>
      </c>
      <c r="O190" s="13" t="n">
        <f aca="false">Thesis!$O$153/tk_pq</f>
        <v>0.195316432429398</v>
      </c>
      <c r="P190" s="5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675</v>
      </c>
    </row>
    <row r="4" customFormat="false" ht="19.4" hidden="false" customHeight="false" outlineLevel="0" collapsed="false">
      <c r="A4" s="31" t="s">
        <v>676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504</v>
      </c>
      <c r="D5" s="20" t="s">
        <v>505</v>
      </c>
      <c r="E5" s="20" t="s">
        <v>587</v>
      </c>
      <c r="F5" s="20" t="s">
        <v>588</v>
      </c>
      <c r="G5" s="20" t="s">
        <v>589</v>
      </c>
      <c r="H5" s="20" t="s">
        <v>590</v>
      </c>
      <c r="I5" s="20" t="s">
        <v>591</v>
      </c>
      <c r="J5" s="20" t="s">
        <v>592</v>
      </c>
      <c r="K5" s="20" t="s">
        <v>593</v>
      </c>
      <c r="L5" s="20" t="s">
        <v>594</v>
      </c>
      <c r="M5" s="20" t="s">
        <v>595</v>
      </c>
      <c r="N5" s="20" t="s">
        <v>596</v>
      </c>
      <c r="O5" s="20" t="s">
        <v>597</v>
      </c>
      <c r="P5" s="6" t="s">
        <v>23</v>
      </c>
      <c r="R5" s="20" t="n">
        <v>2023</v>
      </c>
      <c r="S5" s="20" t="n">
        <v>2024</v>
      </c>
      <c r="T5" s="20" t="n">
        <v>2025</v>
      </c>
      <c r="U5" s="20" t="n">
        <v>2026</v>
      </c>
      <c r="V5" s="20" t="n">
        <v>2027</v>
      </c>
      <c r="W5" s="20" t="n">
        <v>2028</v>
      </c>
      <c r="X5" s="20" t="n">
        <v>2029</v>
      </c>
      <c r="Y5" s="20" t="n">
        <v>2030</v>
      </c>
      <c r="Z5" s="20" t="n">
        <v>2031</v>
      </c>
      <c r="AA5" s="20" t="n">
        <v>2032</v>
      </c>
    </row>
    <row r="6" customFormat="false" ht="17.15" hidden="false" customHeight="false" outlineLevel="0" collapsed="false">
      <c r="A6" s="1" t="s">
        <v>677</v>
      </c>
    </row>
    <row r="7" customFormat="false" ht="17.15" hidden="false" customHeight="false" outlineLevel="0" collapsed="false">
      <c r="A7" s="0" t="s">
        <v>526</v>
      </c>
      <c r="B7" s="0" t="s">
        <v>86</v>
      </c>
      <c r="C7" s="38" t="n">
        <f aca="false">Q!$D$10</f>
        <v>247.029</v>
      </c>
      <c r="D7" s="38" t="n">
        <f aca="false">Q!$E$10</f>
        <v>269.287</v>
      </c>
      <c r="E7" s="38" t="n">
        <f aca="false">Q!$P$10</f>
        <v>134.686</v>
      </c>
      <c r="F7" s="38" t="n">
        <f aca="false">Seg!$O$7*(1+Seg!$F$8)*Seg!$F$19</f>
        <v>158.293876822267</v>
      </c>
      <c r="G7" s="38" t="n">
        <f aca="false">Seg!$E$7+Seg!$F$7</f>
        <v>292.979876822267</v>
      </c>
      <c r="H7" s="38" t="n">
        <f aca="false">Seg!$G$7*(1+Seg!$H$8)</f>
        <v>318.184543087396</v>
      </c>
      <c r="I7" s="38" t="n">
        <f aca="false">Seg!$H$7*(1+Seg!$I$8)</f>
        <v>341.736278761793</v>
      </c>
      <c r="J7" s="38" t="n">
        <f aca="false">Seg!$I$7*(1+Seg!$J$8)</f>
        <v>362.927192787048</v>
      </c>
      <c r="K7" s="38" t="n">
        <f aca="false">Seg!$J$7*(1+Seg!$K$8)</f>
        <v>381.0735524264</v>
      </c>
      <c r="L7" s="38" t="n">
        <f aca="false">Seg!$K$7*(1+Seg!$L$8)</f>
        <v>400.12723004772</v>
      </c>
      <c r="M7" s="38" t="n">
        <f aca="false">Seg!$L$7*(1+Seg!$M$8)</f>
        <v>420.133591550106</v>
      </c>
      <c r="N7" s="38" t="n">
        <f aca="false">Q!$N$10</f>
        <v>118.892</v>
      </c>
      <c r="O7" s="38" t="n">
        <f aca="false">Q!$O$10</f>
        <v>150.395</v>
      </c>
      <c r="P7" s="8" t="s">
        <v>678</v>
      </c>
    </row>
    <row r="8" customFormat="false" ht="17.15" hidden="false" customHeight="false" outlineLevel="0" collapsed="false">
      <c r="A8" s="0" t="s">
        <v>679</v>
      </c>
      <c r="B8" s="0" t="s">
        <v>52</v>
      </c>
      <c r="E8" s="13" t="n">
        <f aca="false">Seg!$E$7/Seg!$N$7-1</f>
        <v>0.132843252699929</v>
      </c>
      <c r="F8" s="13" t="n">
        <f aca="false">Seg!$O$7/(Q!$F$10+Q!$G$10)-1</f>
        <v>0.0980382135842941</v>
      </c>
      <c r="G8" s="13" t="n">
        <f aca="false">Seg!$G$7/Seg!$D$7-1</f>
        <v>0.0879837378791657</v>
      </c>
      <c r="H8" s="13" t="n">
        <f aca="false">Seg!$F$8+(g_os-Seg!$F$8)*1/4</f>
        <v>0.0860286601882206</v>
      </c>
      <c r="I8" s="13" t="n">
        <f aca="false">Seg!$F$8+(g_os-Seg!$F$8)*2/4</f>
        <v>0.074019106792147</v>
      </c>
      <c r="J8" s="13" t="n">
        <f aca="false">Seg!$F$8+(g_os-Seg!$F$8)*3/4</f>
        <v>0.0620095533960735</v>
      </c>
      <c r="K8" s="13" t="n">
        <f aca="false">Seg!$F$8+(g_os-Seg!$F$8)*4/4</f>
        <v>0.05</v>
      </c>
      <c r="L8" s="13" t="n">
        <f aca="false">g_os</f>
        <v>0.05</v>
      </c>
      <c r="M8" s="13" t="n">
        <f aca="false">g_os</f>
        <v>0.05</v>
      </c>
      <c r="P8" s="8" t="s">
        <v>680</v>
      </c>
    </row>
    <row r="9" customFormat="false" ht="17.15" hidden="false" customHeight="false" outlineLevel="0" collapsed="false">
      <c r="A9" s="0" t="s">
        <v>527</v>
      </c>
      <c r="B9" s="0" t="s">
        <v>86</v>
      </c>
      <c r="C9" s="38" t="n">
        <f aca="false">Q!$D$11</f>
        <v>21.215</v>
      </c>
      <c r="D9" s="38" t="n">
        <f aca="false">Q!$E$11</f>
        <v>22.561</v>
      </c>
      <c r="E9" s="38" t="n">
        <f aca="false">Q!$P$11</f>
        <v>11.579</v>
      </c>
      <c r="F9" s="38" t="n">
        <f aca="false">Seg!$O$9*(1+Seg!$F$10)*Seg!$F$19</f>
        <v>11.5938724610325</v>
      </c>
      <c r="G9" s="38" t="n">
        <f aca="false">Seg!$E$9+Seg!$F$9</f>
        <v>23.1728724610325</v>
      </c>
      <c r="H9" s="38" t="n">
        <f aca="false">Seg!$G$9*(1+Seg!$H$10)</f>
        <v>24.353392759506</v>
      </c>
      <c r="I9" s="38" t="n">
        <f aca="false">Seg!$H$9*(1+Seg!$I$10)</f>
        <v>25.4240338872015</v>
      </c>
      <c r="J9" s="38" t="n">
        <f aca="false">Seg!$I$9*(1+Seg!$J$10)</f>
        <v>26.3642491017174</v>
      </c>
      <c r="K9" s="38" t="n">
        <f aca="false">Seg!$J$9*(1+Seg!$K$10)</f>
        <v>27.155176574769</v>
      </c>
      <c r="L9" s="38" t="n">
        <f aca="false">Seg!$K$9*(1+Seg!$L$10)</f>
        <v>27.969831872012</v>
      </c>
      <c r="M9" s="38" t="n">
        <f aca="false">Seg!$L$9*(1+Seg!$M$10)</f>
        <v>28.8089268281724</v>
      </c>
      <c r="N9" s="38" t="n">
        <f aca="false">Q!$N$11</f>
        <v>11.128</v>
      </c>
      <c r="O9" s="38" t="n">
        <f aca="false">Q!$O$11</f>
        <v>11.433</v>
      </c>
      <c r="P9" s="8" t="s">
        <v>678</v>
      </c>
    </row>
    <row r="10" customFormat="false" ht="17.15" hidden="false" customHeight="false" outlineLevel="0" collapsed="false">
      <c r="A10" s="0" t="s">
        <v>681</v>
      </c>
      <c r="B10" s="0" t="s">
        <v>52</v>
      </c>
      <c r="E10" s="13" t="n">
        <f aca="false">Seg!$E$9/Seg!$N$9-1</f>
        <v>0.0405283968368082</v>
      </c>
      <c r="F10" s="13" t="n">
        <f aca="false">Seg!$O$9/(Q!$F$11+Q!$G$11)-1</f>
        <v>0.0579254187100955</v>
      </c>
      <c r="G10" s="13" t="n">
        <f aca="false">Seg!$G$9/Seg!$D$9-1</f>
        <v>0.0271208040881397</v>
      </c>
      <c r="H10" s="13" t="n">
        <f aca="false">Seg!$F$10+(g_ps-Seg!$F$10)*1/4</f>
        <v>0.0509440640325716</v>
      </c>
      <c r="I10" s="13" t="n">
        <f aca="false">Seg!$F$10+(g_ps-Seg!$F$10)*2/4</f>
        <v>0.0439627093550477</v>
      </c>
      <c r="J10" s="13" t="n">
        <f aca="false">Seg!$F$10+(g_ps-Seg!$F$10)*3/4</f>
        <v>0.0369813546775239</v>
      </c>
      <c r="K10" s="13" t="n">
        <f aca="false">Seg!$F$10+(g_ps-Seg!$F$10)*4/4</f>
        <v>0.03</v>
      </c>
      <c r="L10" s="13" t="n">
        <f aca="false">g_ps</f>
        <v>0.03</v>
      </c>
      <c r="M10" s="13" t="n">
        <f aca="false">g_ps</f>
        <v>0.03</v>
      </c>
      <c r="P10" s="8" t="s">
        <v>682</v>
      </c>
    </row>
    <row r="11" customFormat="false" ht="17.15" hidden="false" customHeight="false" outlineLevel="0" collapsed="false">
      <c r="A11" s="0" t="s">
        <v>528</v>
      </c>
      <c r="B11" s="0" t="s">
        <v>86</v>
      </c>
      <c r="C11" s="38" t="n">
        <f aca="false">Q!$D$12</f>
        <v>156.146</v>
      </c>
      <c r="D11" s="38" t="n">
        <f aca="false">Q!$E$12</f>
        <v>172.162</v>
      </c>
      <c r="E11" s="38" t="n">
        <f aca="false">Q!$P$12</f>
        <v>88.358</v>
      </c>
      <c r="F11" s="38" t="n">
        <f aca="false">Seg!$O$11*(1+Seg!$F$12)*Seg!$F$19</f>
        <v>102.004388260171</v>
      </c>
      <c r="G11" s="38" t="n">
        <f aca="false">Seg!$E$11+Seg!$F$11</f>
        <v>190.362388260171</v>
      </c>
      <c r="H11" s="38" t="n">
        <f aca="false">Seg!$G$11*(1+Seg!$H$12)</f>
        <v>210.343106588311</v>
      </c>
      <c r="I11" s="38" t="n">
        <f aca="false">Seg!$H$11*(1+Seg!$I$12)</f>
        <v>229.969728494648</v>
      </c>
      <c r="J11" s="38" t="n">
        <f aca="false">Seg!$I$11*(1+Seg!$J$12)</f>
        <v>248.747636972598</v>
      </c>
      <c r="K11" s="38" t="n">
        <f aca="false">Seg!$J$11*(1+Seg!$K$12)</f>
        <v>266.15997156068</v>
      </c>
      <c r="L11" s="38" t="n">
        <f aca="false">Seg!$K$11*(1+Seg!$L$12)</f>
        <v>284.791169569927</v>
      </c>
      <c r="M11" s="38" t="n">
        <f aca="false">Seg!$L$11*(1+Seg!$M$12)</f>
        <v>304.726551439822</v>
      </c>
      <c r="N11" s="38" t="n">
        <f aca="false">Q!$N$12</f>
        <v>76.86</v>
      </c>
      <c r="O11" s="38" t="n">
        <f aca="false">Q!$O$12</f>
        <v>95.302</v>
      </c>
      <c r="P11" s="8" t="s">
        <v>678</v>
      </c>
    </row>
    <row r="12" customFormat="false" ht="17.15" hidden="false" customHeight="false" outlineLevel="0" collapsed="false">
      <c r="A12" s="0" t="s">
        <v>683</v>
      </c>
      <c r="B12" s="0" t="s">
        <v>52</v>
      </c>
      <c r="E12" s="13" t="n">
        <f aca="false">Seg!$E$11/Seg!$N$11-1</f>
        <v>0.1495966692688</v>
      </c>
      <c r="F12" s="13" t="n">
        <f aca="false">Seg!$O$11/(Q!$F$12+Q!$G$12)-1</f>
        <v>0.11661530890813</v>
      </c>
      <c r="G12" s="13" t="n">
        <f aca="false">Seg!$G$11/Seg!$D$11-1</f>
        <v>0.105716640490767</v>
      </c>
      <c r="H12" s="13" t="n">
        <f aca="false">Seg!$F$12+(g_sp-Seg!$F$12)*1/4</f>
        <v>0.104961481681098</v>
      </c>
      <c r="I12" s="13" t="n">
        <f aca="false">Seg!$F$12+(g_sp-Seg!$F$12)*2/4</f>
        <v>0.0933076544540651</v>
      </c>
      <c r="J12" s="13" t="n">
        <f aca="false">Seg!$F$12+(g_sp-Seg!$F$12)*3/4</f>
        <v>0.0816538272270325</v>
      </c>
      <c r="K12" s="13" t="n">
        <f aca="false">Seg!$F$12+(g_sp-Seg!$F$12)*4/4</f>
        <v>0.07</v>
      </c>
      <c r="L12" s="13" t="n">
        <f aca="false">g_sp</f>
        <v>0.07</v>
      </c>
      <c r="M12" s="13" t="n">
        <f aca="false">g_sp</f>
        <v>0.07</v>
      </c>
      <c r="P12" s="8" t="s">
        <v>684</v>
      </c>
    </row>
    <row r="13" customFormat="false" ht="17.15" hidden="false" customHeight="false" outlineLevel="0" collapsed="false">
      <c r="A13" s="0" t="s">
        <v>529</v>
      </c>
      <c r="B13" s="0" t="s">
        <v>86</v>
      </c>
      <c r="C13" s="38" t="n">
        <f aca="false">Q!$D$13</f>
        <v>56.214</v>
      </c>
      <c r="D13" s="38" t="n">
        <f aca="false">Q!$E$13</f>
        <v>68.635</v>
      </c>
      <c r="E13" s="38" t="n">
        <f aca="false">Q!$P$13</f>
        <v>37.052</v>
      </c>
      <c r="F13" s="38" t="n">
        <f aca="false">Seg!$O$13*(1+Seg!$F$14)*Seg!$F$19</f>
        <v>46.1572219944148</v>
      </c>
      <c r="G13" s="38" t="n">
        <f aca="false">Seg!$E$13+Seg!$F$13</f>
        <v>83.2092219944148</v>
      </c>
      <c r="H13" s="38" t="n">
        <f aca="false">Seg!$G$13*(1+Seg!$H$14)</f>
        <v>99.8969223878976</v>
      </c>
      <c r="I13" s="38" t="n">
        <f aca="false">Seg!$H$13*(1+Seg!$I$14)</f>
        <v>116.583111095496</v>
      </c>
      <c r="J13" s="38" t="n">
        <f aca="false">Seg!$I$13*(1+Seg!$J$14)</f>
        <v>132.148941941952</v>
      </c>
      <c r="K13" s="38" t="n">
        <f aca="false">Seg!$J$13*(1+Seg!$K$14)</f>
        <v>145.363836136147</v>
      </c>
      <c r="L13" s="38" t="n">
        <f aca="false">Seg!$K$13*(1+Seg!$L$14)</f>
        <v>159.900219749762</v>
      </c>
      <c r="M13" s="38" t="n">
        <f aca="false">Seg!$L$13*(1+Seg!$M$14)</f>
        <v>175.890241724738</v>
      </c>
      <c r="N13" s="38" t="n">
        <f aca="false">Q!$N$13</f>
        <v>29.615</v>
      </c>
      <c r="O13" s="38" t="n">
        <f aca="false">Q!$O$13</f>
        <v>39.02</v>
      </c>
      <c r="P13" s="8" t="s">
        <v>678</v>
      </c>
    </row>
    <row r="14" customFormat="false" ht="17.15" hidden="false" customHeight="false" outlineLevel="0" collapsed="false">
      <c r="A14" s="0" t="s">
        <v>685</v>
      </c>
      <c r="B14" s="0" t="s">
        <v>52</v>
      </c>
      <c r="E14" s="13" t="n">
        <f aca="false">Seg!$E$13/Seg!$N$13-1</f>
        <v>0.25112274185379</v>
      </c>
      <c r="F14" s="13" t="n">
        <f aca="false">Seg!$O$13/(Q!$F$13+Q!$G$13)-1</f>
        <v>0.234068123596572</v>
      </c>
      <c r="G14" s="13" t="n">
        <f aca="false">Seg!$G$13/Seg!$D$13-1</f>
        <v>0.212343876949294</v>
      </c>
      <c r="H14" s="13" t="n">
        <f aca="false">Seg!$F$14+(g_ad-Seg!$F$14)*1/4</f>
        <v>0.200551092697429</v>
      </c>
      <c r="I14" s="13" t="n">
        <f aca="false">Seg!$F$14+(g_ad-Seg!$F$14)*2/4</f>
        <v>0.167034061798286</v>
      </c>
      <c r="J14" s="13" t="n">
        <f aca="false">Seg!$F$14+(g_ad-Seg!$F$14)*3/4</f>
        <v>0.133517030899143</v>
      </c>
      <c r="K14" s="13" t="n">
        <f aca="false">Seg!$F$14+(g_ad-Seg!$F$14)*4/4</f>
        <v>0.1</v>
      </c>
      <c r="L14" s="13" t="n">
        <f aca="false">g_ad</f>
        <v>0.1</v>
      </c>
      <c r="M14" s="13" t="n">
        <f aca="false">g_ad</f>
        <v>0.1</v>
      </c>
      <c r="P14" s="8" t="s">
        <v>686</v>
      </c>
    </row>
    <row r="15" customFormat="false" ht="17.15" hidden="false" customHeight="false" outlineLevel="0" collapsed="false">
      <c r="A15" s="0" t="s">
        <v>530</v>
      </c>
      <c r="B15" s="0" t="s">
        <v>86</v>
      </c>
      <c r="C15" s="38" t="n">
        <f aca="false">Q!$D$14</f>
        <v>44.374</v>
      </c>
      <c r="D15" s="38" t="n">
        <f aca="false">Q!$E$14</f>
        <v>49.619</v>
      </c>
      <c r="E15" s="38" t="n">
        <f aca="false">Q!$P$14</f>
        <v>27.157</v>
      </c>
      <c r="F15" s="38" t="n">
        <f aca="false">Seg!$O$15*(1+Seg!$F$16)*Seg!$F$19</f>
        <v>27.7764165988154</v>
      </c>
      <c r="G15" s="38" t="n">
        <f aca="false">Seg!$E$15+Seg!$F$15</f>
        <v>54.9334165988154</v>
      </c>
      <c r="H15" s="38" t="n">
        <f aca="false">Seg!$G$15*(1+Seg!$H$16)</f>
        <v>61.1564112561829</v>
      </c>
      <c r="I15" s="38" t="n">
        <f aca="false">Seg!$H$15*(1+Seg!$I$16)</f>
        <v>67.2020282103945</v>
      </c>
      <c r="J15" s="38" t="n">
        <f aca="false">Seg!$I$15*(1+Seg!$J$16)</f>
        <v>72.8757274028885</v>
      </c>
      <c r="K15" s="38" t="n">
        <f aca="false">Seg!$J$15*(1+Seg!$K$16)</f>
        <v>77.9770283210907</v>
      </c>
      <c r="L15" s="38" t="n">
        <f aca="false">Seg!$K$15*(1+Seg!$L$16)</f>
        <v>83.4354203035671</v>
      </c>
      <c r="M15" s="38" t="n">
        <f aca="false">Seg!$L$15*(1+Seg!$M$16)</f>
        <v>89.2758997248168</v>
      </c>
      <c r="N15" s="38" t="n">
        <f aca="false">Q!$N$14</f>
        <v>23.923</v>
      </c>
      <c r="O15" s="38" t="n">
        <f aca="false">Q!$O$14</f>
        <v>25.696</v>
      </c>
      <c r="P15" s="8" t="s">
        <v>678</v>
      </c>
    </row>
    <row r="16" customFormat="false" ht="17.15" hidden="false" customHeight="false" outlineLevel="0" collapsed="false">
      <c r="A16" s="0" t="s">
        <v>687</v>
      </c>
      <c r="B16" s="0" t="s">
        <v>52</v>
      </c>
      <c r="E16" s="13" t="n">
        <f aca="false">Seg!$E$15/Seg!$N$15-1</f>
        <v>0.135183714417088</v>
      </c>
      <c r="F16" s="13" t="n">
        <f aca="false">Seg!$O$15/(Q!$F$14+Q!$G$14)-1</f>
        <v>0.127709997366804</v>
      </c>
      <c r="G16" s="13" t="n">
        <f aca="false">Seg!$G$15/Seg!$D$15-1</f>
        <v>0.107104468022641</v>
      </c>
      <c r="H16" s="13" t="n">
        <f aca="false">Seg!$F$16+(g_sub-Seg!$F$16)*1/4</f>
        <v>0.113282498025103</v>
      </c>
      <c r="I16" s="13" t="n">
        <f aca="false">Seg!$F$16+(g_sub-Seg!$F$16)*2/4</f>
        <v>0.0988549986834021</v>
      </c>
      <c r="J16" s="13" t="n">
        <f aca="false">Seg!$F$16+(g_sub-Seg!$F$16)*3/4</f>
        <v>0.084427499341701</v>
      </c>
      <c r="K16" s="13" t="n">
        <f aca="false">Seg!$F$16+(g_sub-Seg!$F$16)*4/4</f>
        <v>0.07</v>
      </c>
      <c r="L16" s="13" t="n">
        <f aca="false">g_sub</f>
        <v>0.07</v>
      </c>
      <c r="M16" s="13" t="n">
        <f aca="false">g_sub</f>
        <v>0.07</v>
      </c>
      <c r="P16" s="8" t="s">
        <v>688</v>
      </c>
    </row>
    <row r="17" customFormat="false" ht="17.15" hidden="false" customHeight="false" outlineLevel="0" collapsed="false">
      <c r="A17" s="0" t="s">
        <v>531</v>
      </c>
      <c r="B17" s="0" t="s">
        <v>86</v>
      </c>
      <c r="C17" s="38" t="n">
        <f aca="false">Q!$D$15</f>
        <v>5.425</v>
      </c>
      <c r="D17" s="38" t="n">
        <f aca="false">Q!$E$15</f>
        <v>5.935</v>
      </c>
      <c r="E17" s="38" t="n">
        <f aca="false">Q!$P$15</f>
        <v>3.474</v>
      </c>
      <c r="F17" s="38" t="n">
        <f aca="false">Seg!$O$17*(1+Seg!$F$18)*Seg!$F$19</f>
        <v>3.22246550883619</v>
      </c>
      <c r="G17" s="38" t="n">
        <f aca="false">Seg!$E$17+Seg!$F$17</f>
        <v>6.69646550883619</v>
      </c>
      <c r="H17" s="38" t="n">
        <f aca="false">Seg!$G$17*(1+Seg!$H$18)</f>
        <v>7.16251344209196</v>
      </c>
      <c r="I17" s="38" t="n">
        <f aca="false">Seg!$H$17*(1+Seg!$I$18)</f>
        <v>7.61421070299826</v>
      </c>
      <c r="J17" s="38" t="n">
        <f aca="false">Seg!$I$17*(1+Seg!$J$18)</f>
        <v>8.04465753523932</v>
      </c>
      <c r="K17" s="38" t="n">
        <f aca="false">Seg!$J$17*(1+Seg!$K$18)</f>
        <v>8.44689041200128</v>
      </c>
      <c r="L17" s="38" t="n">
        <f aca="false">Seg!$K$17*(1+Seg!$L$18)</f>
        <v>8.86923493260135</v>
      </c>
      <c r="M17" s="38" t="n">
        <f aca="false">Seg!$L$17*(1+Seg!$M$18)</f>
        <v>9.31269667923142</v>
      </c>
      <c r="N17" s="38" t="n">
        <f aca="false">Q!$N$15</f>
        <v>2.811</v>
      </c>
      <c r="O17" s="38" t="n">
        <f aca="false">Q!$O$15</f>
        <v>3.124</v>
      </c>
      <c r="P17" s="8" t="s">
        <v>678</v>
      </c>
    </row>
    <row r="18" customFormat="false" ht="17.15" hidden="false" customHeight="false" outlineLevel="0" collapsed="false">
      <c r="A18" s="0" t="s">
        <v>689</v>
      </c>
      <c r="B18" s="0" t="s">
        <v>52</v>
      </c>
      <c r="E18" s="13" t="n">
        <f aca="false">Seg!$E$17/Seg!$N$17-1</f>
        <v>0.235859124866596</v>
      </c>
      <c r="F18" s="13" t="n">
        <f aca="false">Seg!$O$17/(Q!$F$15+Q!$G$15)-1</f>
        <v>0.0761281433000345</v>
      </c>
      <c r="G18" s="13" t="n">
        <f aca="false">Seg!$G$17/Seg!$D$17-1</f>
        <v>0.128300843948811</v>
      </c>
      <c r="H18" s="13" t="n">
        <f aca="false">Seg!$F$18+(g_ot-Seg!$F$18)*1/4</f>
        <v>0.0695961074750259</v>
      </c>
      <c r="I18" s="13" t="n">
        <f aca="false">Seg!$F$18+(g_ot-Seg!$F$18)*2/4</f>
        <v>0.0630640716500172</v>
      </c>
      <c r="J18" s="13" t="n">
        <f aca="false">Seg!$F$18+(g_ot-Seg!$F$18)*3/4</f>
        <v>0.0565320358250086</v>
      </c>
      <c r="K18" s="13" t="n">
        <f aca="false">Seg!$F$18+(g_ot-Seg!$F$18)*4/4</f>
        <v>0.05</v>
      </c>
      <c r="L18" s="13" t="n">
        <f aca="false">g_ot</f>
        <v>0.05</v>
      </c>
      <c r="M18" s="13" t="n">
        <f aca="false">g_ot</f>
        <v>0.05</v>
      </c>
      <c r="P18" s="8" t="s">
        <v>690</v>
      </c>
    </row>
    <row r="19" customFormat="false" ht="17.15" hidden="false" customHeight="false" outlineLevel="0" collapsed="false">
      <c r="A19" s="0" t="s">
        <v>691</v>
      </c>
      <c r="B19" s="0" t="s">
        <v>57</v>
      </c>
      <c r="F19" s="40" t="n">
        <f aca="false">(g26q3_mid*Q!$O$8/Q!$J$8-Thesis!$F$89-Thesis!$F$93)/(Seg!$O$7*(1+Seg!$F$8)+Seg!$O$9*(1+Seg!$F$10)+Seg!$O$11*(1+Seg!$F$12)+Seg!$O$13*(1+Seg!$F$14)+Seg!$O$15*(1+Seg!$F$16)+Seg!$O$17*(1+Seg!$F$18))</f>
        <v>0.958546670622329</v>
      </c>
      <c r="P19" s="8" t="s">
        <v>692</v>
      </c>
    </row>
    <row r="20" customFormat="false" ht="17.15" hidden="false" customHeight="false" outlineLevel="0" collapsed="false">
      <c r="A20" s="3" t="s">
        <v>693</v>
      </c>
      <c r="B20" s="8" t="s">
        <v>86</v>
      </c>
      <c r="C20" s="38" t="n">
        <f aca="false">Seg!$C$7+Seg!$C$9+Seg!$C$11+Seg!$C$13+Seg!$C$15+Seg!$C$17</f>
        <v>530.403</v>
      </c>
      <c r="D20" s="38" t="n">
        <f aca="false">Seg!$D$7+Seg!$D$9+Seg!$D$11+Seg!$D$13+Seg!$D$15+Seg!$D$17</f>
        <v>588.199</v>
      </c>
      <c r="E20" s="38" t="n">
        <f aca="false">Seg!$E$7+Seg!$E$9+Seg!$E$11+Seg!$E$13+Seg!$E$15+Seg!$E$17</f>
        <v>302.306</v>
      </c>
      <c r="F20" s="38" t="n">
        <f aca="false">Seg!$F$7+Seg!$F$9+Seg!$F$11+Seg!$F$13+Seg!$F$15+Seg!$F$17</f>
        <v>349.048241645537</v>
      </c>
      <c r="G20" s="38" t="n">
        <f aca="false">Seg!$G$7+Seg!$G$9+Seg!$G$11+Seg!$G$13+Seg!$G$15+Seg!$G$17</f>
        <v>651.354241645537</v>
      </c>
      <c r="H20" s="38" t="n">
        <f aca="false">Seg!$H$7+Seg!$H$9+Seg!$H$11+Seg!$H$13+Seg!$H$15+Seg!$H$17</f>
        <v>721.096889521386</v>
      </c>
      <c r="I20" s="38" t="n">
        <f aca="false">Seg!$I$7+Seg!$I$9+Seg!$I$11+Seg!$I$13+Seg!$I$15+Seg!$I$17</f>
        <v>788.529391152531</v>
      </c>
      <c r="J20" s="38" t="n">
        <f aca="false">Seg!$J$7+Seg!$J$9+Seg!$J$11+Seg!$J$13+Seg!$J$15+Seg!$J$17</f>
        <v>851.108405741443</v>
      </c>
      <c r="K20" s="38" t="n">
        <f aca="false">Seg!$K$7+Seg!$K$9+Seg!$K$11+Seg!$K$13+Seg!$K$15+Seg!$K$17</f>
        <v>906.176455431088</v>
      </c>
      <c r="L20" s="38" t="n">
        <f aca="false">Seg!$L$7+Seg!$L$9+Seg!$L$11+Seg!$L$13+Seg!$L$15+Seg!$L$17</f>
        <v>965.093106475589</v>
      </c>
      <c r="M20" s="38" t="n">
        <f aca="false">Seg!$M$7+Seg!$M$9+Seg!$M$11+Seg!$M$13+Seg!$M$15+Seg!$M$17</f>
        <v>1028.14790794689</v>
      </c>
      <c r="N20" s="38" t="n">
        <f aca="false">Seg!$N$7+Seg!$N$9+Seg!$N$11+Seg!$N$13+Seg!$N$15+Seg!$N$17</f>
        <v>263.229</v>
      </c>
      <c r="O20" s="38" t="n">
        <f aca="false">Seg!$O$7+Seg!$O$9+Seg!$O$11+Seg!$O$13+Seg!$O$15+Seg!$O$17</f>
        <v>324.97</v>
      </c>
    </row>
    <row r="21" customFormat="false" ht="17.15" hidden="false" customHeight="false" outlineLevel="0" collapsed="false">
      <c r="A21" s="5" t="s">
        <v>694</v>
      </c>
      <c r="B21" s="0" t="s">
        <v>52</v>
      </c>
      <c r="C21" s="13" t="n">
        <f aca="false">Q!$D$5/(Q!$D$5+Q!$D$6)</f>
        <v>0.730570905519011</v>
      </c>
      <c r="D21" s="13" t="n">
        <f aca="false">Q!$E$5/(Q!$E$5+Q!$E$6)</f>
        <v>0.724763217890544</v>
      </c>
      <c r="E21" s="13" t="n">
        <f aca="false">Q!$P$5/(Q!$P$5+Q!$P$6)</f>
        <v>0.728797972914861</v>
      </c>
      <c r="F21" s="13" t="n">
        <f aca="false">Seg!$O$21</f>
        <v>0.718066283041511</v>
      </c>
      <c r="G21" s="13" t="n">
        <f aca="false">Seg!$G$22/Seg!$G$20</f>
        <v>0.723047066202847</v>
      </c>
      <c r="H21" s="13" t="n">
        <f aca="false">Seg!$G$21</f>
        <v>0.723047066202847</v>
      </c>
      <c r="I21" s="13" t="n">
        <f aca="false">Seg!$G$21</f>
        <v>0.723047066202847</v>
      </c>
      <c r="J21" s="13" t="n">
        <f aca="false">Seg!$G$21</f>
        <v>0.723047066202847</v>
      </c>
      <c r="K21" s="13" t="n">
        <f aca="false">Seg!$G$21</f>
        <v>0.723047066202847</v>
      </c>
      <c r="L21" s="13" t="n">
        <f aca="false">Seg!$G$21</f>
        <v>0.723047066202847</v>
      </c>
      <c r="M21" s="13" t="n">
        <f aca="false">Seg!$G$21</f>
        <v>0.723047066202847</v>
      </c>
      <c r="N21" s="13" t="n">
        <f aca="false">Q!$N$5/(Q!$N$5+Q!$N$6)</f>
        <v>0.733030935041352</v>
      </c>
      <c r="O21" s="13" t="n">
        <f aca="false">Q!$O$5/(Q!$O$5+Q!$O$6)</f>
        <v>0.718066283041511</v>
      </c>
      <c r="P21" s="8" t="s">
        <v>695</v>
      </c>
    </row>
    <row r="22" customFormat="false" ht="17.15" hidden="false" customHeight="false" outlineLevel="0" collapsed="false">
      <c r="A22" s="1" t="s">
        <v>519</v>
      </c>
      <c r="B22" s="8" t="s">
        <v>86</v>
      </c>
      <c r="C22" s="38" t="n">
        <f aca="false">Q!$D$5</f>
        <v>387.497</v>
      </c>
      <c r="D22" s="38" t="n">
        <f aca="false">Q!$E$5</f>
        <v>426.305</v>
      </c>
      <c r="E22" s="38" t="n">
        <f aca="false">Q!$P$5</f>
        <v>220.32</v>
      </c>
      <c r="F22" s="38" t="n">
        <f aca="false">Seg!$F$20*Seg!$F$21</f>
        <v>250.639773480586</v>
      </c>
      <c r="G22" s="38" t="n">
        <f aca="false">Seg!$E$22+Seg!$F$22</f>
        <v>470.959773480586</v>
      </c>
      <c r="H22" s="38" t="n">
        <f aca="false">Seg!$H$20*Seg!$H$21</f>
        <v>521.386990416437</v>
      </c>
      <c r="I22" s="38" t="n">
        <f aca="false">Seg!$I$20*Seg!$I$21</f>
        <v>570.143862887555</v>
      </c>
      <c r="J22" s="38" t="n">
        <f aca="false">Seg!$J$20*Seg!$J$21</f>
        <v>615.391435791933</v>
      </c>
      <c r="K22" s="38" t="n">
        <f aca="false">Seg!$K$20*Seg!$K$21</f>
        <v>655.208227561543</v>
      </c>
      <c r="L22" s="38" t="n">
        <f aca="false">Seg!$L$20*Seg!$L$21</f>
        <v>697.807739249767</v>
      </c>
      <c r="M22" s="38" t="n">
        <f aca="false">Seg!$M$20*Seg!$M$21</f>
        <v>743.399328463592</v>
      </c>
      <c r="N22" s="38" t="n">
        <f aca="false">Q!$N$5</f>
        <v>192.955</v>
      </c>
      <c r="O22" s="38" t="n">
        <f aca="false">Q!$O$5</f>
        <v>233.35</v>
      </c>
      <c r="P22" s="5" t="s">
        <v>696</v>
      </c>
    </row>
    <row r="23" customFormat="false" ht="17.15" hidden="false" customHeight="false" outlineLevel="0" collapsed="false">
      <c r="A23" s="1" t="s">
        <v>522</v>
      </c>
      <c r="B23" s="8" t="s">
        <v>86</v>
      </c>
      <c r="C23" s="38" t="n">
        <f aca="false">Q!$D$6</f>
        <v>142.906</v>
      </c>
      <c r="D23" s="38" t="n">
        <f aca="false">Q!$E$6</f>
        <v>161.894</v>
      </c>
      <c r="E23" s="38" t="n">
        <f aca="false">Q!$P$6</f>
        <v>81.986</v>
      </c>
      <c r="F23" s="38" t="n">
        <f aca="false">Seg!$F$20*(1-Seg!$F$21)</f>
        <v>98.408468164951</v>
      </c>
      <c r="G23" s="38" t="n">
        <f aca="false">Seg!$E$23+Seg!$F$23</f>
        <v>180.394468164951</v>
      </c>
      <c r="H23" s="38" t="n">
        <f aca="false">Seg!$H$20*(1-Seg!$H$21)</f>
        <v>199.709899104949</v>
      </c>
      <c r="I23" s="38" t="n">
        <f aca="false">Seg!$I$20*(1-Seg!$I$21)</f>
        <v>218.385528264976</v>
      </c>
      <c r="J23" s="38" t="n">
        <f aca="false">Seg!$J$20*(1-Seg!$J$21)</f>
        <v>235.71696994951</v>
      </c>
      <c r="K23" s="38" t="n">
        <f aca="false">Seg!$K$20*(1-Seg!$K$21)</f>
        <v>250.968227869545</v>
      </c>
      <c r="L23" s="38" t="n">
        <f aca="false">Seg!$L$20*(1-Seg!$L$21)</f>
        <v>267.285367225822</v>
      </c>
      <c r="M23" s="38" t="n">
        <f aca="false">Seg!$M$20*(1-Seg!$M$21)</f>
        <v>284.748579483295</v>
      </c>
      <c r="N23" s="38" t="n">
        <f aca="false">Q!$N$6</f>
        <v>70.274</v>
      </c>
      <c r="O23" s="38" t="n">
        <f aca="false">Q!$O$6</f>
        <v>91.62</v>
      </c>
      <c r="P23" s="5" t="s">
        <v>697</v>
      </c>
    </row>
    <row r="24" customFormat="false" ht="17.15" hidden="false" customHeight="false" outlineLevel="0" collapsed="false">
      <c r="A24" s="5" t="s">
        <v>698</v>
      </c>
      <c r="B24" s="0" t="s">
        <v>86</v>
      </c>
      <c r="C24" s="38" t="n">
        <f aca="false">Seg!$C$13*Seg!$C$21</f>
        <v>41.0683128828457</v>
      </c>
      <c r="D24" s="38" t="n">
        <f aca="false">Seg!$D$13*Seg!$D$21</f>
        <v>49.7441234599175</v>
      </c>
      <c r="E24" s="38" t="n">
        <f aca="false">Seg!$E$13*Seg!$E$21</f>
        <v>27.0034224924414</v>
      </c>
      <c r="F24" s="38" t="n">
        <f aca="false">Seg!$F$13*Seg!$F$21</f>
        <v>33.1439448330513</v>
      </c>
      <c r="G24" s="38" t="n">
        <f aca="false">Seg!$G$13*Seg!$G$21</f>
        <v>60.164183844083</v>
      </c>
      <c r="H24" s="38" t="n">
        <f aca="false">Seg!$H$13*Seg!$H$21</f>
        <v>72.2301766552629</v>
      </c>
      <c r="I24" s="38" t="n">
        <f aca="false">Seg!$I$13*Seg!$I$21</f>
        <v>84.2950764463991</v>
      </c>
      <c r="J24" s="38" t="n">
        <f aca="false">Seg!$J$13*Seg!$J$21</f>
        <v>95.5499047729386</v>
      </c>
      <c r="K24" s="38" t="n">
        <f aca="false">Seg!$K$13*Seg!$K$21</f>
        <v>105.104895250232</v>
      </c>
      <c r="L24" s="38" t="n">
        <f aca="false">Seg!$L$13*Seg!$L$21</f>
        <v>115.615384775256</v>
      </c>
      <c r="M24" s="38" t="n">
        <f aca="false">Seg!$M$13*Seg!$M$21</f>
        <v>127.176923252781</v>
      </c>
      <c r="N24" s="38" t="n">
        <f aca="false">Seg!$N$13*Seg!$N$21</f>
        <v>21.7087111412496</v>
      </c>
      <c r="O24" s="38" t="n">
        <f aca="false">Seg!$O$13*Seg!$O$21</f>
        <v>28.0189463642798</v>
      </c>
      <c r="P24" s="5" t="s">
        <v>699</v>
      </c>
    </row>
    <row r="25" customFormat="false" ht="15" hidden="false" customHeight="false" outlineLevel="0" collapsed="false">
      <c r="A25" s="5" t="s">
        <v>700</v>
      </c>
      <c r="B25" s="0" t="s">
        <v>86</v>
      </c>
      <c r="C25" s="38" t="n">
        <f aca="false">Seg!$C$13-Seg!$C$24</f>
        <v>15.1456871171543</v>
      </c>
      <c r="D25" s="38" t="n">
        <f aca="false">Seg!$D$13-Seg!$D$24</f>
        <v>18.8908765400825</v>
      </c>
      <c r="E25" s="38" t="n">
        <f aca="false">Seg!$E$13-Seg!$E$24</f>
        <v>10.0485775075586</v>
      </c>
      <c r="F25" s="38" t="n">
        <f aca="false">Seg!$F$13-Seg!$F$24</f>
        <v>13.0132771613635</v>
      </c>
      <c r="G25" s="38" t="n">
        <f aca="false">Seg!$G$13-Seg!$G$24</f>
        <v>23.0450381503318</v>
      </c>
      <c r="H25" s="38" t="n">
        <f aca="false">Seg!$H$13-Seg!$H$24</f>
        <v>27.6667457326347</v>
      </c>
      <c r="I25" s="38" t="n">
        <f aca="false">Seg!$I$13-Seg!$I$24</f>
        <v>32.2880346490971</v>
      </c>
      <c r="J25" s="38" t="n">
        <f aca="false">Seg!$J$13-Seg!$J$24</f>
        <v>36.5990371690132</v>
      </c>
      <c r="K25" s="38" t="n">
        <f aca="false">Seg!$K$13-Seg!$K$24</f>
        <v>40.2589408859145</v>
      </c>
      <c r="L25" s="38" t="n">
        <f aca="false">Seg!$L$13-Seg!$L$24</f>
        <v>44.2848349745059</v>
      </c>
      <c r="M25" s="38" t="n">
        <f aca="false">Seg!$M$13-Seg!$M$24</f>
        <v>48.7133184719565</v>
      </c>
      <c r="N25" s="38" t="n">
        <f aca="false">Seg!$N$13-Seg!$N$24</f>
        <v>7.90628885875037</v>
      </c>
      <c r="O25" s="38" t="n">
        <f aca="false">Seg!$O$13-Seg!$O$24</f>
        <v>11.0010536357202</v>
      </c>
    </row>
    <row r="26" customFormat="false" ht="17.15" hidden="false" customHeight="false" outlineLevel="0" collapsed="false">
      <c r="A26" s="1" t="s">
        <v>701</v>
      </c>
    </row>
    <row r="27" customFormat="false" ht="17.15" hidden="false" customHeight="false" outlineLevel="0" collapsed="false">
      <c r="A27" s="0" t="s">
        <v>702</v>
      </c>
      <c r="B27" s="0" t="s">
        <v>86</v>
      </c>
      <c r="C27" s="38" t="n">
        <f aca="false">Thesis!$C$26</f>
        <v>2.32100535697364</v>
      </c>
      <c r="D27" s="38" t="n">
        <f aca="false">Thesis!$D$26</f>
        <v>8.70377008865116</v>
      </c>
      <c r="E27" s="38" t="n">
        <f aca="false">Thesis!$E$26</f>
        <v>8.51035297557002</v>
      </c>
      <c r="F27" s="38" t="n">
        <f aca="false">Thesis!$F$26</f>
        <v>17.7706326212121</v>
      </c>
      <c r="G27" s="38" t="n">
        <f aca="false">Thesis!$G$26</f>
        <v>26.2809855967821</v>
      </c>
      <c r="H27" s="38" t="n">
        <f aca="false">Thesis!$H$26</f>
        <v>83.0838740066237</v>
      </c>
      <c r="I27" s="38" t="n">
        <f aca="false">Thesis!$I$26</f>
        <v>148.076291961995</v>
      </c>
      <c r="J27" s="38" t="n">
        <f aca="false">Thesis!$J$26</f>
        <v>213.357841875822</v>
      </c>
      <c r="K27" s="38" t="n">
        <f aca="false">Thesis!$K$26</f>
        <v>269.045375153221</v>
      </c>
      <c r="L27" s="38" t="n">
        <f aca="false">Thesis!$L$26</f>
        <v>305.631872447328</v>
      </c>
      <c r="M27" s="38" t="n">
        <f aca="false">Thesis!$M$26</f>
        <v>323.07028840797</v>
      </c>
      <c r="N27" s="38" t="n">
        <f aca="false">Thesis!$N$26</f>
        <v>3.04631953102791</v>
      </c>
      <c r="O27" s="38" t="n">
        <f aca="false">Thesis!$O$26</f>
        <v>5.65745055762326</v>
      </c>
      <c r="P27" s="8" t="s">
        <v>703</v>
      </c>
    </row>
    <row r="28" customFormat="false" ht="17.15" hidden="false" customHeight="false" outlineLevel="0" collapsed="false">
      <c r="A28" s="0" t="s">
        <v>704</v>
      </c>
      <c r="B28" s="0" t="s">
        <v>86</v>
      </c>
      <c r="C28" s="38" t="n">
        <f aca="false">Thesis!$C$30</f>
        <v>105.234994643026</v>
      </c>
      <c r="D28" s="38" t="n">
        <f aca="false">Thesis!$D$30</f>
        <v>120.021229911349</v>
      </c>
      <c r="E28" s="38" t="n">
        <f aca="false">Thesis!$E$30</f>
        <v>71.30864702443</v>
      </c>
      <c r="F28" s="38" t="n">
        <f aca="false">Thesis!$F$30</f>
        <v>71.7692997942464</v>
      </c>
      <c r="G28" s="38" t="n">
        <f aca="false">Thesis!$G$30</f>
        <v>143.077946818676</v>
      </c>
      <c r="H28" s="38" t="n">
        <f aca="false">Thesis!$H$30</f>
        <v>161.017077079203</v>
      </c>
      <c r="I28" s="38" t="n">
        <f aca="false">Thesis!$I$30</f>
        <v>178.769759521457</v>
      </c>
      <c r="J28" s="38" t="n">
        <f aca="false">Thesis!$J$30</f>
        <v>195.775538045907</v>
      </c>
      <c r="K28" s="38" t="n">
        <f aca="false">Thesis!$K$30</f>
        <v>211.43758108958</v>
      </c>
      <c r="L28" s="38" t="n">
        <f aca="false">Thesis!$L$30</f>
        <v>228.352587576746</v>
      </c>
      <c r="M28" s="38" t="n">
        <f aca="false">Thesis!$M$30</f>
        <v>246.620794582886</v>
      </c>
      <c r="N28" s="38" t="n">
        <f aca="false">Thesis!$N$30</f>
        <v>57.0936804689721</v>
      </c>
      <c r="O28" s="38" t="n">
        <f aca="false">Thesis!$O$30</f>
        <v>62.9275494423768</v>
      </c>
      <c r="P28" s="8" t="s">
        <v>703</v>
      </c>
    </row>
    <row r="29" customFormat="false" ht="17.15" hidden="false" customHeight="false" outlineLevel="0" collapsed="false">
      <c r="A29" s="1" t="s">
        <v>523</v>
      </c>
      <c r="B29" s="8" t="s">
        <v>86</v>
      </c>
      <c r="C29" s="38" t="n">
        <f aca="false">Q!$D$7</f>
        <v>107.556</v>
      </c>
      <c r="D29" s="38" t="n">
        <f aca="false">Q!$E$7</f>
        <v>128.725</v>
      </c>
      <c r="E29" s="38" t="n">
        <f aca="false">Q!$P$7</f>
        <v>79.819</v>
      </c>
      <c r="F29" s="38" t="n">
        <f aca="false">Seg!$F$27+Seg!$F$28</f>
        <v>89.5399324154585</v>
      </c>
      <c r="G29" s="38" t="n">
        <f aca="false">Seg!$G$27+Seg!$G$28</f>
        <v>169.358932415459</v>
      </c>
      <c r="H29" s="38" t="n">
        <f aca="false">Seg!$H$27+Seg!$H$28</f>
        <v>244.100951085827</v>
      </c>
      <c r="I29" s="38" t="n">
        <f aca="false">Seg!$I$27+Seg!$I$28</f>
        <v>326.846051483453</v>
      </c>
      <c r="J29" s="38" t="n">
        <f aca="false">Seg!$J$27+Seg!$J$28</f>
        <v>409.133379921729</v>
      </c>
      <c r="K29" s="38" t="n">
        <f aca="false">Seg!$K$27+Seg!$K$28</f>
        <v>480.482956242801</v>
      </c>
      <c r="L29" s="38" t="n">
        <f aca="false">Seg!$L$27+Seg!$L$28</f>
        <v>533.984460024075</v>
      </c>
      <c r="M29" s="38" t="n">
        <f aca="false">Seg!$M$27+Seg!$M$28</f>
        <v>569.691082990856</v>
      </c>
      <c r="N29" s="38" t="n">
        <f aca="false">Q!$N$7</f>
        <v>60.14</v>
      </c>
      <c r="O29" s="38" t="n">
        <f aca="false">Q!$O$7</f>
        <v>68.585</v>
      </c>
      <c r="P29" s="5" t="s">
        <v>705</v>
      </c>
    </row>
    <row r="30" customFormat="false" ht="15" hidden="false" customHeight="false" outlineLevel="0" collapsed="false">
      <c r="A30" s="3" t="s">
        <v>706</v>
      </c>
      <c r="B30" s="8" t="s">
        <v>86</v>
      </c>
      <c r="C30" s="38" t="n">
        <f aca="false">Q!$D$8</f>
        <v>637.959</v>
      </c>
      <c r="D30" s="38" t="n">
        <f aca="false">Q!$E$8</f>
        <v>716.924</v>
      </c>
      <c r="E30" s="38" t="n">
        <f aca="false">Q!$P$8</f>
        <v>382.125</v>
      </c>
      <c r="F30" s="38" t="n">
        <f aca="false">Seg!$F$20+Seg!$F$29</f>
        <v>438.588174060996</v>
      </c>
      <c r="G30" s="38" t="n">
        <f aca="false">Seg!$G$20+Seg!$G$29</f>
        <v>820.713174060996</v>
      </c>
      <c r="H30" s="38" t="n">
        <f aca="false">Seg!$H$20+Seg!$H$29</f>
        <v>965.197840607213</v>
      </c>
      <c r="I30" s="38" t="n">
        <f aca="false">Seg!$I$20+Seg!$I$29</f>
        <v>1115.37544263598</v>
      </c>
      <c r="J30" s="38" t="n">
        <f aca="false">Seg!$J$20+Seg!$J$29</f>
        <v>1260.24178566317</v>
      </c>
      <c r="K30" s="38" t="n">
        <f aca="false">Seg!$K$20+Seg!$K$29</f>
        <v>1386.65941167389</v>
      </c>
      <c r="L30" s="38" t="n">
        <f aca="false">Seg!$L$20+Seg!$L$29</f>
        <v>1499.07756649966</v>
      </c>
      <c r="M30" s="38" t="n">
        <f aca="false">Seg!$M$20+Seg!$M$29</f>
        <v>1597.83899093774</v>
      </c>
      <c r="N30" s="38" t="n">
        <f aca="false">Q!$N$8</f>
        <v>323.369</v>
      </c>
      <c r="O30" s="38" t="n">
        <f aca="false">Q!$O$8</f>
        <v>393.555</v>
      </c>
    </row>
    <row r="31" customFormat="false" ht="17.15" hidden="false" customHeight="false" outlineLevel="0" collapsed="false">
      <c r="A31" s="24" t="s">
        <v>707</v>
      </c>
      <c r="B31" s="25" t="s">
        <v>86</v>
      </c>
      <c r="C31" s="41" t="n">
        <f aca="false">Seg!$C$20-(Seg!$C$22+Seg!$C$23)</f>
        <v>0</v>
      </c>
      <c r="D31" s="41" t="n">
        <f aca="false">Seg!$D$20-(Seg!$D$22+Seg!$D$23)</f>
        <v>0</v>
      </c>
      <c r="E31" s="41" t="n">
        <f aca="false">Seg!$E$20-(Seg!$E$22+Seg!$E$23)</f>
        <v>0</v>
      </c>
      <c r="F31" s="41" t="n">
        <f aca="false">Seg!$F$20-(Seg!$F$22+Seg!$F$23)</f>
        <v>0</v>
      </c>
      <c r="G31" s="41" t="n">
        <f aca="false">Seg!$G$20-(Seg!$G$22+Seg!$G$23)</f>
        <v>0</v>
      </c>
      <c r="H31" s="41" t="n">
        <f aca="false">Seg!$H$20-(Seg!$H$22+Seg!$H$23)</f>
        <v>0</v>
      </c>
      <c r="I31" s="41" t="n">
        <f aca="false">Seg!$I$20-(Seg!$I$22+Seg!$I$23)</f>
        <v>0</v>
      </c>
      <c r="J31" s="41" t="n">
        <f aca="false">Seg!$J$20-(Seg!$J$22+Seg!$J$23)</f>
        <v>0</v>
      </c>
      <c r="K31" s="41" t="n">
        <f aca="false">Seg!$K$20-(Seg!$K$22+Seg!$K$23)</f>
        <v>0</v>
      </c>
      <c r="L31" s="41" t="n">
        <f aca="false">Seg!$L$20-(Seg!$L$22+Seg!$L$23)</f>
        <v>0</v>
      </c>
      <c r="M31" s="41" t="n">
        <f aca="false">Seg!$M$20-(Seg!$M$22+Seg!$M$23)</f>
        <v>0</v>
      </c>
      <c r="N31" s="41" t="n">
        <f aca="false">Seg!$N$20-(Seg!$N$22+Seg!$N$23)</f>
        <v>0</v>
      </c>
      <c r="O31" s="41" t="n">
        <f aca="false">Seg!$O$20-(Seg!$O$22+Seg!$O$23)</f>
        <v>0</v>
      </c>
    </row>
    <row r="32" customFormat="false" ht="17.15" hidden="false" customHeight="false" outlineLevel="0" collapsed="false">
      <c r="A32" s="24" t="s">
        <v>708</v>
      </c>
      <c r="B32" s="25" t="s">
        <v>86</v>
      </c>
      <c r="C32" s="41" t="n">
        <f aca="false">Seg!$C$27+Seg!$C$28-Seg!$C$29</f>
        <v>0</v>
      </c>
      <c r="D32" s="41" t="n">
        <f aca="false">Seg!$D$27+Seg!$D$28-Seg!$D$29</f>
        <v>0</v>
      </c>
      <c r="E32" s="41" t="n">
        <f aca="false">Seg!$E$27+Seg!$E$28-Seg!$E$29</f>
        <v>0</v>
      </c>
      <c r="F32" s="41" t="n">
        <f aca="false">Seg!$F$27+Seg!$F$28-Seg!$F$29</f>
        <v>0</v>
      </c>
      <c r="G32" s="41" t="n">
        <f aca="false">Seg!$G$27+Seg!$G$28-Seg!$G$29</f>
        <v>0</v>
      </c>
      <c r="H32" s="41" t="n">
        <f aca="false">Seg!$H$27+Seg!$H$28-Seg!$H$29</f>
        <v>0</v>
      </c>
      <c r="I32" s="41" t="n">
        <f aca="false">Seg!$I$27+Seg!$I$28-Seg!$I$29</f>
        <v>0</v>
      </c>
      <c r="J32" s="41" t="n">
        <f aca="false">Seg!$J$27+Seg!$J$28-Seg!$J$29</f>
        <v>0</v>
      </c>
      <c r="K32" s="41" t="n">
        <f aca="false">Seg!$K$27+Seg!$K$28-Seg!$K$29</f>
        <v>0</v>
      </c>
      <c r="L32" s="41" t="n">
        <f aca="false">Seg!$L$27+Seg!$L$28-Seg!$L$29</f>
        <v>0</v>
      </c>
      <c r="M32" s="41" t="n">
        <f aca="false">Seg!$M$27+Seg!$M$28-Seg!$M$29</f>
        <v>0</v>
      </c>
      <c r="N32" s="41" t="n">
        <f aca="false">Seg!$N$27+Seg!$N$28-Seg!$N$29</f>
        <v>0</v>
      </c>
      <c r="O32" s="41" t="n">
        <f aca="false">Seg!$O$27+Seg!$O$28-Seg!$O$29</f>
        <v>0</v>
      </c>
    </row>
    <row r="33" customFormat="false" ht="17.15" hidden="false" customHeight="false" outlineLevel="0" collapsed="false">
      <c r="A33" s="24" t="s">
        <v>709</v>
      </c>
      <c r="B33" s="25" t="s">
        <v>86</v>
      </c>
      <c r="C33" s="41" t="n">
        <f aca="false">Seg!$C$22+Seg!$C$23+Seg!$C$29-Seg!$C$30</f>
        <v>0</v>
      </c>
      <c r="D33" s="41" t="n">
        <f aca="false">Seg!$D$22+Seg!$D$23+Seg!$D$29-Seg!$D$30</f>
        <v>0</v>
      </c>
      <c r="E33" s="41" t="n">
        <f aca="false">Seg!$E$22+Seg!$E$23+Seg!$E$29-Seg!$E$30</f>
        <v>0</v>
      </c>
      <c r="F33" s="41" t="n">
        <f aca="false">Seg!$F$22+Seg!$F$23+Seg!$F$29-Seg!$F$30</f>
        <v>0</v>
      </c>
      <c r="G33" s="41" t="n">
        <f aca="false">Seg!$G$22+Seg!$G$23+Seg!$G$29-Seg!$G$30</f>
        <v>0</v>
      </c>
      <c r="H33" s="41" t="n">
        <f aca="false">Seg!$H$22+Seg!$H$23+Seg!$H$29-Seg!$H$30</f>
        <v>0</v>
      </c>
      <c r="I33" s="41" t="n">
        <f aca="false">Seg!$I$22+Seg!$I$23+Seg!$I$29-Seg!$I$30</f>
        <v>0</v>
      </c>
      <c r="J33" s="41" t="n">
        <f aca="false">Seg!$J$22+Seg!$J$23+Seg!$J$29-Seg!$J$30</f>
        <v>0</v>
      </c>
      <c r="K33" s="41" t="n">
        <f aca="false">Seg!$K$22+Seg!$K$23+Seg!$K$29-Seg!$K$30</f>
        <v>0</v>
      </c>
      <c r="L33" s="41" t="n">
        <f aca="false">Seg!$L$22+Seg!$L$23+Seg!$L$29-Seg!$L$30</f>
        <v>0</v>
      </c>
      <c r="M33" s="41" t="n">
        <f aca="false">Seg!$M$22+Seg!$M$23+Seg!$M$29-Seg!$M$30</f>
        <v>0</v>
      </c>
      <c r="N33" s="41" t="n">
        <f aca="false">Seg!$N$22+Seg!$N$23+Seg!$N$29-Seg!$N$30</f>
        <v>0</v>
      </c>
      <c r="O33" s="41" t="n">
        <f aca="false">Seg!$O$22+Seg!$O$23+Seg!$O$29-Seg!$O$30</f>
        <v>0</v>
      </c>
    </row>
    <row r="34" customFormat="false" ht="15" hidden="false" customHeight="false" outlineLevel="0" collapsed="false">
      <c r="A34" s="5" t="s">
        <v>710</v>
      </c>
      <c r="B34" s="0" t="s">
        <v>52</v>
      </c>
      <c r="G34" s="13" t="n">
        <f aca="false">Seg!$G$30/Seg!$D$30-1</f>
        <v>0.144770120767328</v>
      </c>
      <c r="H34" s="13" t="n">
        <f aca="false">Seg!$H$30/Seg!$G$30-1</f>
        <v>0.176047699869722</v>
      </c>
      <c r="I34" s="13" t="n">
        <f aca="false">Seg!$I$30/Seg!$H$30-1</f>
        <v>0.155592559069852</v>
      </c>
      <c r="J34" s="13" t="n">
        <f aca="false">Seg!$J$30/Seg!$I$30-1</f>
        <v>0.129881237733568</v>
      </c>
      <c r="K34" s="13" t="n">
        <f aca="false">Seg!$K$30/Seg!$J$30-1</f>
        <v>0.1003121999674</v>
      </c>
      <c r="L34" s="13" t="n">
        <f aca="false">Seg!$L$30/Seg!$K$30-1</f>
        <v>0.0810712088919303</v>
      </c>
      <c r="M34" s="13" t="n">
        <f aca="false">Seg!$M$30/Seg!$L$30-1</f>
        <v>0.0658814638048957</v>
      </c>
    </row>
    <row r="35" customFormat="false" ht="17.15" hidden="false" customHeight="false" outlineLevel="0" collapsed="false">
      <c r="A35" s="0" t="s">
        <v>711</v>
      </c>
      <c r="B35" s="0" t="s">
        <v>52</v>
      </c>
      <c r="C35" s="13" t="n">
        <f aca="false">Seg!$C$29/Seg!$C$30</f>
        <v>0.168593906504964</v>
      </c>
      <c r="D35" s="13" t="n">
        <f aca="false">Seg!$D$29/Seg!$D$30</f>
        <v>0.179551807444025</v>
      </c>
      <c r="E35" s="13" t="n">
        <f aca="false">Seg!$E$29/Seg!$E$30</f>
        <v>0.208881910369643</v>
      </c>
      <c r="F35" s="13" t="n">
        <f aca="false">Seg!$F$29/Seg!$F$30</f>
        <v>0.204154917325714</v>
      </c>
      <c r="G35" s="13" t="n">
        <f aca="false">Seg!$G$29/Seg!$G$30</f>
        <v>0.20635581073647</v>
      </c>
      <c r="H35" s="13" t="n">
        <f aca="false">Seg!$H$29/Seg!$H$30</f>
        <v>0.252902504353161</v>
      </c>
      <c r="I35" s="13" t="n">
        <f aca="false">Seg!$I$29/Seg!$I$30</f>
        <v>0.293036800873984</v>
      </c>
      <c r="J35" s="13" t="n">
        <f aca="false">Seg!$J$29/Seg!$J$30</f>
        <v>0.324646734123669</v>
      </c>
      <c r="K35" s="13" t="n">
        <f aca="false">Seg!$K$29/Seg!$K$30</f>
        <v>0.346503944802705</v>
      </c>
      <c r="L35" s="13" t="n">
        <f aca="false">Seg!$L$29/Seg!$L$30</f>
        <v>0.356208692570141</v>
      </c>
      <c r="M35" s="13" t="n">
        <f aca="false">Seg!$M$29/Seg!$M$30</f>
        <v>0.356538478671443</v>
      </c>
      <c r="N35" s="13" t="n">
        <f aca="false">Seg!$N$29/Seg!$N$30</f>
        <v>0.185979484737251</v>
      </c>
      <c r="O35" s="13" t="n">
        <f aca="false">Seg!$O$29/Seg!$O$30</f>
        <v>0.174270432341096</v>
      </c>
    </row>
    <row r="36" customFormat="false" ht="17.15" hidden="false" customHeight="false" outlineLevel="0" collapsed="false">
      <c r="A36" s="0" t="s">
        <v>712</v>
      </c>
      <c r="B36" s="0" t="s">
        <v>52</v>
      </c>
      <c r="C36" s="13" t="n">
        <f aca="false">Seg!$C$27/Seg!$C$29</f>
        <v>0.0215795060896058</v>
      </c>
      <c r="D36" s="13" t="n">
        <f aca="false">Seg!$D$27/Seg!$D$29</f>
        <v>0.0676152269462122</v>
      </c>
      <c r="E36" s="13" t="n">
        <f aca="false">Seg!$E$27/Seg!$E$29</f>
        <v>0.106620641395783</v>
      </c>
      <c r="F36" s="13" t="n">
        <f aca="false">Seg!$F$27/Seg!$F$29</f>
        <v>0.198466004405249</v>
      </c>
      <c r="G36" s="13" t="n">
        <f aca="false">Seg!$G$27/Seg!$G$29</f>
        <v>0.155179211524029</v>
      </c>
      <c r="H36" s="13" t="n">
        <f aca="false">Seg!$H$27/Seg!$H$29</f>
        <v>0.340366859027153</v>
      </c>
      <c r="I36" s="13" t="n">
        <f aca="false">Seg!$I$27/Seg!$I$29</f>
        <v>0.453045986910116</v>
      </c>
      <c r="J36" s="13" t="n">
        <f aca="false">Seg!$J$27/Seg!$J$29</f>
        <v>0.521487251704174</v>
      </c>
      <c r="K36" s="13" t="n">
        <f aca="false">Seg!$K$27/Seg!$K$29</f>
        <v>0.559947801805618</v>
      </c>
      <c r="L36" s="13" t="n">
        <f aca="false">Seg!$L$27/Seg!$L$29</f>
        <v>0.572360986747721</v>
      </c>
      <c r="M36" s="13" t="n">
        <f aca="false">Seg!$M$27/Seg!$M$29</f>
        <v>0.567097323538686</v>
      </c>
      <c r="N36" s="13" t="n">
        <f aca="false">Seg!$N$27/Seg!$N$29</f>
        <v>0.0506537999838362</v>
      </c>
      <c r="O36" s="13" t="n">
        <f aca="false">Seg!$O$27/Seg!$O$29</f>
        <v>0.0824881615167056</v>
      </c>
    </row>
    <row r="39" customFormat="false" ht="19.4" hidden="false" customHeight="false" outlineLevel="0" collapsed="false">
      <c r="A39" s="31" t="s">
        <v>713</v>
      </c>
    </row>
    <row r="40" customFormat="false" ht="17.15" hidden="false" customHeight="false" outlineLevel="0" collapsed="false">
      <c r="A40" s="6" t="s">
        <v>16</v>
      </c>
      <c r="B40" s="6" t="s">
        <v>17</v>
      </c>
      <c r="C40" s="20" t="s">
        <v>504</v>
      </c>
      <c r="D40" s="20" t="s">
        <v>505</v>
      </c>
      <c r="E40" s="20" t="s">
        <v>587</v>
      </c>
      <c r="F40" s="20" t="s">
        <v>588</v>
      </c>
      <c r="G40" s="20" t="s">
        <v>589</v>
      </c>
      <c r="H40" s="20" t="s">
        <v>590</v>
      </c>
      <c r="I40" s="20" t="s">
        <v>591</v>
      </c>
      <c r="J40" s="20" t="s">
        <v>592</v>
      </c>
      <c r="K40" s="20" t="s">
        <v>593</v>
      </c>
      <c r="L40" s="20" t="s">
        <v>594</v>
      </c>
      <c r="M40" s="20" t="s">
        <v>595</v>
      </c>
      <c r="N40" s="20" t="s">
        <v>596</v>
      </c>
      <c r="O40" s="20" t="s">
        <v>597</v>
      </c>
      <c r="P40" s="6" t="s">
        <v>23</v>
      </c>
      <c r="R40" s="20" t="n">
        <v>2023</v>
      </c>
      <c r="S40" s="20" t="n">
        <v>2024</v>
      </c>
      <c r="T40" s="20" t="n">
        <v>2025</v>
      </c>
      <c r="U40" s="20" t="n">
        <v>2026</v>
      </c>
      <c r="V40" s="20" t="n">
        <v>2027</v>
      </c>
      <c r="W40" s="20" t="n">
        <v>2028</v>
      </c>
      <c r="X40" s="20" t="n">
        <v>2029</v>
      </c>
      <c r="Y40" s="20" t="n">
        <v>2030</v>
      </c>
      <c r="Z40" s="20" t="n">
        <v>2031</v>
      </c>
      <c r="AA40" s="20" t="n">
        <v>2032</v>
      </c>
    </row>
    <row r="41" customFormat="false" ht="17.15" hidden="false" customHeight="false" outlineLevel="0" collapsed="false">
      <c r="A41" s="1" t="s">
        <v>677</v>
      </c>
    </row>
    <row r="42" customFormat="false" ht="17.15" hidden="false" customHeight="false" outlineLevel="0" collapsed="false">
      <c r="A42" s="0" t="s">
        <v>526</v>
      </c>
      <c r="B42" s="0" t="s">
        <v>86</v>
      </c>
      <c r="C42" s="38" t="n">
        <f aca="false">Q!$D$10</f>
        <v>247.029</v>
      </c>
      <c r="D42" s="38" t="n">
        <f aca="false">Q!$E$10</f>
        <v>269.287</v>
      </c>
      <c r="E42" s="38" t="n">
        <f aca="false">Q!$P$10</f>
        <v>134.686</v>
      </c>
      <c r="F42" s="38" t="n">
        <f aca="false">Seg!$O$42*(1+Seg!$F$43)*Seg!$F$54</f>
        <v>158.293876822267</v>
      </c>
      <c r="G42" s="38" t="n">
        <f aca="false">Seg!$E$42+Seg!$F$42</f>
        <v>292.979876822267</v>
      </c>
      <c r="H42" s="38" t="n">
        <f aca="false">Seg!$G$42*(1+Seg!$H$43)</f>
        <v>318.184543087396</v>
      </c>
      <c r="I42" s="38" t="n">
        <f aca="false">Seg!$H$42*(1+Seg!$I$43)</f>
        <v>341.736278761793</v>
      </c>
      <c r="J42" s="38" t="n">
        <f aca="false">Seg!$I$42*(1+Seg!$J$43)</f>
        <v>362.927192787048</v>
      </c>
      <c r="K42" s="38" t="n">
        <f aca="false">Seg!$J$42*(1+Seg!$K$43)</f>
        <v>381.0735524264</v>
      </c>
      <c r="L42" s="38" t="n">
        <f aca="false">Seg!$K$42*(1+Seg!$L$43)</f>
        <v>400.12723004772</v>
      </c>
      <c r="M42" s="38" t="n">
        <f aca="false">Seg!$L$42*(1+Seg!$M$43)</f>
        <v>420.133591550106</v>
      </c>
      <c r="N42" s="38" t="n">
        <f aca="false">Q!$N$10</f>
        <v>118.892</v>
      </c>
      <c r="O42" s="38" t="n">
        <f aca="false">Q!$O$10</f>
        <v>150.395</v>
      </c>
      <c r="P42" s="8" t="s">
        <v>678</v>
      </c>
    </row>
    <row r="43" customFormat="false" ht="17.15" hidden="false" customHeight="false" outlineLevel="0" collapsed="false">
      <c r="A43" s="0" t="s">
        <v>679</v>
      </c>
      <c r="B43" s="0" t="s">
        <v>52</v>
      </c>
      <c r="E43" s="13" t="n">
        <f aca="false">Seg!$E$42/Seg!$N$42-1</f>
        <v>0.132843252699929</v>
      </c>
      <c r="F43" s="13" t="n">
        <f aca="false">Seg!$O$42/(Q!$F$10+Q!$G$10)-1</f>
        <v>0.0980382135842941</v>
      </c>
      <c r="G43" s="13" t="n">
        <f aca="false">Seg!$G$42/Seg!$D$42-1</f>
        <v>0.0879837378791657</v>
      </c>
      <c r="H43" s="13" t="n">
        <f aca="false">Seg!$F$43+(g_os-Seg!$F$43)*1/4</f>
        <v>0.0860286601882206</v>
      </c>
      <c r="I43" s="13" t="n">
        <f aca="false">Seg!$F$43+(g_os-Seg!$F$43)*2/4</f>
        <v>0.074019106792147</v>
      </c>
      <c r="J43" s="13" t="n">
        <f aca="false">Seg!$F$43+(g_os-Seg!$F$43)*3/4</f>
        <v>0.0620095533960735</v>
      </c>
      <c r="K43" s="13" t="n">
        <f aca="false">Seg!$F$43+(g_os-Seg!$F$43)*4/4</f>
        <v>0.05</v>
      </c>
      <c r="L43" s="13" t="n">
        <f aca="false">g_os</f>
        <v>0.05</v>
      </c>
      <c r="M43" s="13" t="n">
        <f aca="false">g_os</f>
        <v>0.05</v>
      </c>
      <c r="P43" s="8" t="s">
        <v>680</v>
      </c>
    </row>
    <row r="44" customFormat="false" ht="17.15" hidden="false" customHeight="false" outlineLevel="0" collapsed="false">
      <c r="A44" s="0" t="s">
        <v>527</v>
      </c>
      <c r="B44" s="0" t="s">
        <v>86</v>
      </c>
      <c r="C44" s="38" t="n">
        <f aca="false">Q!$D$11</f>
        <v>21.215</v>
      </c>
      <c r="D44" s="38" t="n">
        <f aca="false">Q!$E$11</f>
        <v>22.561</v>
      </c>
      <c r="E44" s="38" t="n">
        <f aca="false">Q!$P$11</f>
        <v>11.579</v>
      </c>
      <c r="F44" s="38" t="n">
        <f aca="false">Seg!$O$44*(1+Seg!$F$45)*Seg!$F$54</f>
        <v>11.5938724610325</v>
      </c>
      <c r="G44" s="38" t="n">
        <f aca="false">Seg!$E$44+Seg!$F$44</f>
        <v>23.1728724610325</v>
      </c>
      <c r="H44" s="38" t="n">
        <f aca="false">Seg!$G$44*(1+Seg!$H$45)</f>
        <v>24.353392759506</v>
      </c>
      <c r="I44" s="38" t="n">
        <f aca="false">Seg!$H$44*(1+Seg!$I$45)</f>
        <v>25.4240338872015</v>
      </c>
      <c r="J44" s="38" t="n">
        <f aca="false">Seg!$I$44*(1+Seg!$J$45)</f>
        <v>26.3642491017174</v>
      </c>
      <c r="K44" s="38" t="n">
        <f aca="false">Seg!$J$44*(1+Seg!$K$45)</f>
        <v>27.155176574769</v>
      </c>
      <c r="L44" s="38" t="n">
        <f aca="false">Seg!$K$44*(1+Seg!$L$45)</f>
        <v>27.969831872012</v>
      </c>
      <c r="M44" s="38" t="n">
        <f aca="false">Seg!$L$44*(1+Seg!$M$45)</f>
        <v>28.8089268281724</v>
      </c>
      <c r="N44" s="38" t="n">
        <f aca="false">Q!$N$11</f>
        <v>11.128</v>
      </c>
      <c r="O44" s="38" t="n">
        <f aca="false">Q!$O$11</f>
        <v>11.433</v>
      </c>
      <c r="P44" s="8" t="s">
        <v>678</v>
      </c>
    </row>
    <row r="45" customFormat="false" ht="17.15" hidden="false" customHeight="false" outlineLevel="0" collapsed="false">
      <c r="A45" s="0" t="s">
        <v>681</v>
      </c>
      <c r="B45" s="0" t="s">
        <v>52</v>
      </c>
      <c r="E45" s="13" t="n">
        <f aca="false">Seg!$E$44/Seg!$N$44-1</f>
        <v>0.0405283968368082</v>
      </c>
      <c r="F45" s="13" t="n">
        <f aca="false">Seg!$O$44/(Q!$F$11+Q!$G$11)-1</f>
        <v>0.0579254187100955</v>
      </c>
      <c r="G45" s="13" t="n">
        <f aca="false">Seg!$G$44/Seg!$D$44-1</f>
        <v>0.0271208040881397</v>
      </c>
      <c r="H45" s="13" t="n">
        <f aca="false">Seg!$F$45+(g_ps-Seg!$F$45)*1/4</f>
        <v>0.0509440640325716</v>
      </c>
      <c r="I45" s="13" t="n">
        <f aca="false">Seg!$F$45+(g_ps-Seg!$F$45)*2/4</f>
        <v>0.0439627093550477</v>
      </c>
      <c r="J45" s="13" t="n">
        <f aca="false">Seg!$F$45+(g_ps-Seg!$F$45)*3/4</f>
        <v>0.0369813546775239</v>
      </c>
      <c r="K45" s="13" t="n">
        <f aca="false">Seg!$F$45+(g_ps-Seg!$F$45)*4/4</f>
        <v>0.03</v>
      </c>
      <c r="L45" s="13" t="n">
        <f aca="false">g_ps</f>
        <v>0.03</v>
      </c>
      <c r="M45" s="13" t="n">
        <f aca="false">g_ps</f>
        <v>0.03</v>
      </c>
      <c r="P45" s="8" t="s">
        <v>682</v>
      </c>
    </row>
    <row r="46" customFormat="false" ht="17.15" hidden="false" customHeight="false" outlineLevel="0" collapsed="false">
      <c r="A46" s="0" t="s">
        <v>528</v>
      </c>
      <c r="B46" s="0" t="s">
        <v>86</v>
      </c>
      <c r="C46" s="38" t="n">
        <f aca="false">Q!$D$12</f>
        <v>156.146</v>
      </c>
      <c r="D46" s="38" t="n">
        <f aca="false">Q!$E$12</f>
        <v>172.162</v>
      </c>
      <c r="E46" s="38" t="n">
        <f aca="false">Q!$P$12</f>
        <v>88.358</v>
      </c>
      <c r="F46" s="38" t="n">
        <f aca="false">Seg!$O$46*(1+Seg!$F$47)*Seg!$F$54</f>
        <v>102.004388260171</v>
      </c>
      <c r="G46" s="38" t="n">
        <f aca="false">Seg!$E$46+Seg!$F$46</f>
        <v>190.362388260171</v>
      </c>
      <c r="H46" s="38" t="n">
        <f aca="false">Seg!$G$46*(1+Seg!$H$47)</f>
        <v>210.343106588311</v>
      </c>
      <c r="I46" s="38" t="n">
        <f aca="false">Seg!$H$46*(1+Seg!$I$47)</f>
        <v>229.969728494648</v>
      </c>
      <c r="J46" s="38" t="n">
        <f aca="false">Seg!$I$46*(1+Seg!$J$47)</f>
        <v>248.747636972598</v>
      </c>
      <c r="K46" s="38" t="n">
        <f aca="false">Seg!$J$46*(1+Seg!$K$47)</f>
        <v>266.15997156068</v>
      </c>
      <c r="L46" s="38" t="n">
        <f aca="false">Seg!$K$46*(1+Seg!$L$47)</f>
        <v>284.791169569927</v>
      </c>
      <c r="M46" s="38" t="n">
        <f aca="false">Seg!$L$46*(1+Seg!$M$47)</f>
        <v>304.726551439822</v>
      </c>
      <c r="N46" s="38" t="n">
        <f aca="false">Q!$N$12</f>
        <v>76.86</v>
      </c>
      <c r="O46" s="38" t="n">
        <f aca="false">Q!$O$12</f>
        <v>95.302</v>
      </c>
      <c r="P46" s="8" t="s">
        <v>678</v>
      </c>
    </row>
    <row r="47" customFormat="false" ht="17.15" hidden="false" customHeight="false" outlineLevel="0" collapsed="false">
      <c r="A47" s="0" t="s">
        <v>683</v>
      </c>
      <c r="B47" s="0" t="s">
        <v>52</v>
      </c>
      <c r="E47" s="13" t="n">
        <f aca="false">Seg!$E$46/Seg!$N$46-1</f>
        <v>0.1495966692688</v>
      </c>
      <c r="F47" s="13" t="n">
        <f aca="false">Seg!$O$46/(Q!$F$12+Q!$G$12)-1</f>
        <v>0.11661530890813</v>
      </c>
      <c r="G47" s="13" t="n">
        <f aca="false">Seg!$G$46/Seg!$D$46-1</f>
        <v>0.105716640490767</v>
      </c>
      <c r="H47" s="13" t="n">
        <f aca="false">Seg!$F$47+(g_sp-Seg!$F$47)*1/4</f>
        <v>0.104961481681098</v>
      </c>
      <c r="I47" s="13" t="n">
        <f aca="false">Seg!$F$47+(g_sp-Seg!$F$47)*2/4</f>
        <v>0.0933076544540651</v>
      </c>
      <c r="J47" s="13" t="n">
        <f aca="false">Seg!$F$47+(g_sp-Seg!$F$47)*3/4</f>
        <v>0.0816538272270325</v>
      </c>
      <c r="K47" s="13" t="n">
        <f aca="false">Seg!$F$47+(g_sp-Seg!$F$47)*4/4</f>
        <v>0.07</v>
      </c>
      <c r="L47" s="13" t="n">
        <f aca="false">g_sp</f>
        <v>0.07</v>
      </c>
      <c r="M47" s="13" t="n">
        <f aca="false">g_sp</f>
        <v>0.07</v>
      </c>
      <c r="P47" s="8" t="s">
        <v>684</v>
      </c>
    </row>
    <row r="48" customFormat="false" ht="17.15" hidden="false" customHeight="false" outlineLevel="0" collapsed="false">
      <c r="A48" s="0" t="s">
        <v>529</v>
      </c>
      <c r="B48" s="0" t="s">
        <v>86</v>
      </c>
      <c r="C48" s="38" t="n">
        <f aca="false">Q!$D$13</f>
        <v>56.214</v>
      </c>
      <c r="D48" s="38" t="n">
        <f aca="false">Q!$E$13</f>
        <v>68.635</v>
      </c>
      <c r="E48" s="38" t="n">
        <f aca="false">Q!$P$13</f>
        <v>37.052</v>
      </c>
      <c r="F48" s="38" t="n">
        <f aca="false">Seg!$O$48*(1+Seg!$F$49)*Seg!$F$54</f>
        <v>46.1572219944148</v>
      </c>
      <c r="G48" s="38" t="n">
        <f aca="false">Seg!$E$48+Seg!$F$48</f>
        <v>83.2092219944148</v>
      </c>
      <c r="H48" s="38" t="n">
        <f aca="false">Seg!$G$48*(1+Seg!$H$49)</f>
        <v>99.8969223878976</v>
      </c>
      <c r="I48" s="38" t="n">
        <f aca="false">Seg!$H$48*(1+Seg!$I$49)</f>
        <v>116.583111095496</v>
      </c>
      <c r="J48" s="38" t="n">
        <f aca="false">Seg!$I$48*(1+Seg!$J$49)</f>
        <v>132.148941941952</v>
      </c>
      <c r="K48" s="38" t="n">
        <f aca="false">Seg!$J$48*(1+Seg!$K$49)</f>
        <v>145.363836136147</v>
      </c>
      <c r="L48" s="38" t="n">
        <f aca="false">Seg!$K$48*(1+Seg!$L$49)</f>
        <v>159.900219749762</v>
      </c>
      <c r="M48" s="38" t="n">
        <f aca="false">Seg!$L$48*(1+Seg!$M$49)</f>
        <v>175.890241724738</v>
      </c>
      <c r="N48" s="38" t="n">
        <f aca="false">Q!$N$13</f>
        <v>29.615</v>
      </c>
      <c r="O48" s="38" t="n">
        <f aca="false">Q!$O$13</f>
        <v>39.02</v>
      </c>
      <c r="P48" s="8" t="s">
        <v>678</v>
      </c>
    </row>
    <row r="49" customFormat="false" ht="17.15" hidden="false" customHeight="false" outlineLevel="0" collapsed="false">
      <c r="A49" s="0" t="s">
        <v>685</v>
      </c>
      <c r="B49" s="0" t="s">
        <v>52</v>
      </c>
      <c r="E49" s="13" t="n">
        <f aca="false">Seg!$E$48/Seg!$N$48-1</f>
        <v>0.25112274185379</v>
      </c>
      <c r="F49" s="13" t="n">
        <f aca="false">Seg!$O$48/(Q!$F$13+Q!$G$13)-1</f>
        <v>0.234068123596572</v>
      </c>
      <c r="G49" s="13" t="n">
        <f aca="false">Seg!$G$48/Seg!$D$48-1</f>
        <v>0.212343876949294</v>
      </c>
      <c r="H49" s="13" t="n">
        <f aca="false">Seg!$F$49+(g_ad-Seg!$F$49)*1/4</f>
        <v>0.200551092697429</v>
      </c>
      <c r="I49" s="13" t="n">
        <f aca="false">Seg!$F$49+(g_ad-Seg!$F$49)*2/4</f>
        <v>0.167034061798286</v>
      </c>
      <c r="J49" s="13" t="n">
        <f aca="false">Seg!$F$49+(g_ad-Seg!$F$49)*3/4</f>
        <v>0.133517030899143</v>
      </c>
      <c r="K49" s="13" t="n">
        <f aca="false">Seg!$F$49+(g_ad-Seg!$F$49)*4/4</f>
        <v>0.1</v>
      </c>
      <c r="L49" s="13" t="n">
        <f aca="false">g_ad</f>
        <v>0.1</v>
      </c>
      <c r="M49" s="13" t="n">
        <f aca="false">g_ad</f>
        <v>0.1</v>
      </c>
      <c r="P49" s="8" t="s">
        <v>686</v>
      </c>
    </row>
    <row r="50" customFormat="false" ht="17.15" hidden="false" customHeight="false" outlineLevel="0" collapsed="false">
      <c r="A50" s="0" t="s">
        <v>530</v>
      </c>
      <c r="B50" s="0" t="s">
        <v>86</v>
      </c>
      <c r="C50" s="38" t="n">
        <f aca="false">Q!$D$14</f>
        <v>44.374</v>
      </c>
      <c r="D50" s="38" t="n">
        <f aca="false">Q!$E$14</f>
        <v>49.619</v>
      </c>
      <c r="E50" s="38" t="n">
        <f aca="false">Q!$P$14</f>
        <v>27.157</v>
      </c>
      <c r="F50" s="38" t="n">
        <f aca="false">Seg!$O$50*(1+Seg!$F$51)*Seg!$F$54</f>
        <v>27.7764165988154</v>
      </c>
      <c r="G50" s="38" t="n">
        <f aca="false">Seg!$E$50+Seg!$F$50</f>
        <v>54.9334165988154</v>
      </c>
      <c r="H50" s="38" t="n">
        <f aca="false">Seg!$G$50*(1+Seg!$H$51)</f>
        <v>61.1564112561829</v>
      </c>
      <c r="I50" s="38" t="n">
        <f aca="false">Seg!$H$50*(1+Seg!$I$51)</f>
        <v>67.2020282103945</v>
      </c>
      <c r="J50" s="38" t="n">
        <f aca="false">Seg!$I$50*(1+Seg!$J$51)</f>
        <v>72.8757274028885</v>
      </c>
      <c r="K50" s="38" t="n">
        <f aca="false">Seg!$J$50*(1+Seg!$K$51)</f>
        <v>77.9770283210907</v>
      </c>
      <c r="L50" s="38" t="n">
        <f aca="false">Seg!$K$50*(1+Seg!$L$51)</f>
        <v>83.4354203035671</v>
      </c>
      <c r="M50" s="38" t="n">
        <f aca="false">Seg!$L$50*(1+Seg!$M$51)</f>
        <v>89.2758997248168</v>
      </c>
      <c r="N50" s="38" t="n">
        <f aca="false">Q!$N$14</f>
        <v>23.923</v>
      </c>
      <c r="O50" s="38" t="n">
        <f aca="false">Q!$O$14</f>
        <v>25.696</v>
      </c>
      <c r="P50" s="8" t="s">
        <v>678</v>
      </c>
    </row>
    <row r="51" customFormat="false" ht="17.15" hidden="false" customHeight="false" outlineLevel="0" collapsed="false">
      <c r="A51" s="0" t="s">
        <v>687</v>
      </c>
      <c r="B51" s="0" t="s">
        <v>52</v>
      </c>
      <c r="E51" s="13" t="n">
        <f aca="false">Seg!$E$50/Seg!$N$50-1</f>
        <v>0.135183714417088</v>
      </c>
      <c r="F51" s="13" t="n">
        <f aca="false">Seg!$O$50/(Q!$F$14+Q!$G$14)-1</f>
        <v>0.127709997366804</v>
      </c>
      <c r="G51" s="13" t="n">
        <f aca="false">Seg!$G$50/Seg!$D$50-1</f>
        <v>0.107104468022641</v>
      </c>
      <c r="H51" s="13" t="n">
        <f aca="false">Seg!$F$51+(g_sub-Seg!$F$51)*1/4</f>
        <v>0.113282498025103</v>
      </c>
      <c r="I51" s="13" t="n">
        <f aca="false">Seg!$F$51+(g_sub-Seg!$F$51)*2/4</f>
        <v>0.0988549986834021</v>
      </c>
      <c r="J51" s="13" t="n">
        <f aca="false">Seg!$F$51+(g_sub-Seg!$F$51)*3/4</f>
        <v>0.084427499341701</v>
      </c>
      <c r="K51" s="13" t="n">
        <f aca="false">Seg!$F$51+(g_sub-Seg!$F$51)*4/4</f>
        <v>0.07</v>
      </c>
      <c r="L51" s="13" t="n">
        <f aca="false">g_sub</f>
        <v>0.07</v>
      </c>
      <c r="M51" s="13" t="n">
        <f aca="false">g_sub</f>
        <v>0.07</v>
      </c>
      <c r="P51" s="8" t="s">
        <v>688</v>
      </c>
    </row>
    <row r="52" customFormat="false" ht="17.15" hidden="false" customHeight="false" outlineLevel="0" collapsed="false">
      <c r="A52" s="0" t="s">
        <v>531</v>
      </c>
      <c r="B52" s="0" t="s">
        <v>86</v>
      </c>
      <c r="C52" s="38" t="n">
        <f aca="false">Q!$D$15</f>
        <v>5.425</v>
      </c>
      <c r="D52" s="38" t="n">
        <f aca="false">Q!$E$15</f>
        <v>5.935</v>
      </c>
      <c r="E52" s="38" t="n">
        <f aca="false">Q!$P$15</f>
        <v>3.474</v>
      </c>
      <c r="F52" s="38" t="n">
        <f aca="false">Seg!$O$52*(1+Seg!$F$53)*Seg!$F$54</f>
        <v>3.22246550883619</v>
      </c>
      <c r="G52" s="38" t="n">
        <f aca="false">Seg!$E$52+Seg!$F$52</f>
        <v>6.69646550883619</v>
      </c>
      <c r="H52" s="38" t="n">
        <f aca="false">Seg!$G$52*(1+Seg!$H$53)</f>
        <v>7.16251344209196</v>
      </c>
      <c r="I52" s="38" t="n">
        <f aca="false">Seg!$H$52*(1+Seg!$I$53)</f>
        <v>7.61421070299826</v>
      </c>
      <c r="J52" s="38" t="n">
        <f aca="false">Seg!$I$52*(1+Seg!$J$53)</f>
        <v>8.04465753523932</v>
      </c>
      <c r="K52" s="38" t="n">
        <f aca="false">Seg!$J$52*(1+Seg!$K$53)</f>
        <v>8.44689041200128</v>
      </c>
      <c r="L52" s="38" t="n">
        <f aca="false">Seg!$K$52*(1+Seg!$L$53)</f>
        <v>8.86923493260135</v>
      </c>
      <c r="M52" s="38" t="n">
        <f aca="false">Seg!$L$52*(1+Seg!$M$53)</f>
        <v>9.31269667923142</v>
      </c>
      <c r="N52" s="38" t="n">
        <f aca="false">Q!$N$15</f>
        <v>2.811</v>
      </c>
      <c r="O52" s="38" t="n">
        <f aca="false">Q!$O$15</f>
        <v>3.124</v>
      </c>
      <c r="P52" s="8" t="s">
        <v>678</v>
      </c>
    </row>
    <row r="53" customFormat="false" ht="17.15" hidden="false" customHeight="false" outlineLevel="0" collapsed="false">
      <c r="A53" s="0" t="s">
        <v>689</v>
      </c>
      <c r="B53" s="0" t="s">
        <v>52</v>
      </c>
      <c r="E53" s="13" t="n">
        <f aca="false">Seg!$E$52/Seg!$N$52-1</f>
        <v>0.235859124866596</v>
      </c>
      <c r="F53" s="13" t="n">
        <f aca="false">Seg!$O$52/(Q!$F$15+Q!$G$15)-1</f>
        <v>0.0761281433000345</v>
      </c>
      <c r="G53" s="13" t="n">
        <f aca="false">Seg!$G$52/Seg!$D$52-1</f>
        <v>0.128300843948811</v>
      </c>
      <c r="H53" s="13" t="n">
        <f aca="false">Seg!$F$53+(g_ot-Seg!$F$53)*1/4</f>
        <v>0.0695961074750259</v>
      </c>
      <c r="I53" s="13" t="n">
        <f aca="false">Seg!$F$53+(g_ot-Seg!$F$53)*2/4</f>
        <v>0.0630640716500172</v>
      </c>
      <c r="J53" s="13" t="n">
        <f aca="false">Seg!$F$53+(g_ot-Seg!$F$53)*3/4</f>
        <v>0.0565320358250086</v>
      </c>
      <c r="K53" s="13" t="n">
        <f aca="false">Seg!$F$53+(g_ot-Seg!$F$53)*4/4</f>
        <v>0.05</v>
      </c>
      <c r="L53" s="13" t="n">
        <f aca="false">g_ot</f>
        <v>0.05</v>
      </c>
      <c r="M53" s="13" t="n">
        <f aca="false">g_ot</f>
        <v>0.05</v>
      </c>
      <c r="P53" s="8" t="s">
        <v>690</v>
      </c>
    </row>
    <row r="54" customFormat="false" ht="17.15" hidden="false" customHeight="false" outlineLevel="0" collapsed="false">
      <c r="A54" s="0" t="s">
        <v>691</v>
      </c>
      <c r="B54" s="0" t="s">
        <v>57</v>
      </c>
      <c r="F54" s="40" t="n">
        <f aca="false">(g26q3_mid*Q!$O$8/Q!$J$8-Thesis!$F$89-Thesis!$F$93)/(Seg!$O$42*(1+Seg!$F$43)+Seg!$O$44*(1+Seg!$F$45)+Seg!$O$46*(1+Seg!$F$47)+Seg!$O$48*(1+Seg!$F$49)+Seg!$O$50*(1+Seg!$F$51)+Seg!$O$52*(1+Seg!$F$53))</f>
        <v>0.958546670622329</v>
      </c>
      <c r="P54" s="8" t="s">
        <v>692</v>
      </c>
    </row>
    <row r="55" customFormat="false" ht="17.15" hidden="false" customHeight="false" outlineLevel="0" collapsed="false">
      <c r="A55" s="3" t="s">
        <v>693</v>
      </c>
      <c r="B55" s="8" t="s">
        <v>86</v>
      </c>
      <c r="C55" s="38" t="n">
        <f aca="false">Seg!$C$42+Seg!$C$44+Seg!$C$46+Seg!$C$48+Seg!$C$50+Seg!$C$52</f>
        <v>530.403</v>
      </c>
      <c r="D55" s="38" t="n">
        <f aca="false">Seg!$D$42+Seg!$D$44+Seg!$D$46+Seg!$D$48+Seg!$D$50+Seg!$D$52</f>
        <v>588.199</v>
      </c>
      <c r="E55" s="38" t="n">
        <f aca="false">Seg!$E$42+Seg!$E$44+Seg!$E$46+Seg!$E$48+Seg!$E$50+Seg!$E$52</f>
        <v>302.306</v>
      </c>
      <c r="F55" s="38" t="n">
        <f aca="false">Seg!$F$42+Seg!$F$44+Seg!$F$46+Seg!$F$48+Seg!$F$50+Seg!$F$52</f>
        <v>349.048241645537</v>
      </c>
      <c r="G55" s="38" t="n">
        <f aca="false">Seg!$G$42+Seg!$G$44+Seg!$G$46+Seg!$G$48+Seg!$G$50+Seg!$G$52</f>
        <v>651.354241645537</v>
      </c>
      <c r="H55" s="38" t="n">
        <f aca="false">Seg!$H$42+Seg!$H$44+Seg!$H$46+Seg!$H$48+Seg!$H$50+Seg!$H$52</f>
        <v>721.096889521386</v>
      </c>
      <c r="I55" s="38" t="n">
        <f aca="false">Seg!$I$42+Seg!$I$44+Seg!$I$46+Seg!$I$48+Seg!$I$50+Seg!$I$52</f>
        <v>788.529391152531</v>
      </c>
      <c r="J55" s="38" t="n">
        <f aca="false">Seg!$J$42+Seg!$J$44+Seg!$J$46+Seg!$J$48+Seg!$J$50+Seg!$J$52</f>
        <v>851.108405741443</v>
      </c>
      <c r="K55" s="38" t="n">
        <f aca="false">Seg!$K$42+Seg!$K$44+Seg!$K$46+Seg!$K$48+Seg!$K$50+Seg!$K$52</f>
        <v>906.176455431088</v>
      </c>
      <c r="L55" s="38" t="n">
        <f aca="false">Seg!$L$42+Seg!$L$44+Seg!$L$46+Seg!$L$48+Seg!$L$50+Seg!$L$52</f>
        <v>965.093106475589</v>
      </c>
      <c r="M55" s="38" t="n">
        <f aca="false">Seg!$M$42+Seg!$M$44+Seg!$M$46+Seg!$M$48+Seg!$M$50+Seg!$M$52</f>
        <v>1028.14790794689</v>
      </c>
      <c r="N55" s="38" t="n">
        <f aca="false">Seg!$N$42+Seg!$N$44+Seg!$N$46+Seg!$N$48+Seg!$N$50+Seg!$N$52</f>
        <v>263.229</v>
      </c>
      <c r="O55" s="38" t="n">
        <f aca="false">Seg!$O$42+Seg!$O$44+Seg!$O$46+Seg!$O$48+Seg!$O$50+Seg!$O$52</f>
        <v>324.97</v>
      </c>
    </row>
    <row r="56" customFormat="false" ht="17.15" hidden="false" customHeight="false" outlineLevel="0" collapsed="false">
      <c r="A56" s="5" t="s">
        <v>694</v>
      </c>
      <c r="B56" s="0" t="s">
        <v>52</v>
      </c>
      <c r="C56" s="13" t="n">
        <f aca="false">Q!$D$5/(Q!$D$5+Q!$D$6)</f>
        <v>0.730570905519011</v>
      </c>
      <c r="D56" s="13" t="n">
        <f aca="false">Q!$E$5/(Q!$E$5+Q!$E$6)</f>
        <v>0.724763217890544</v>
      </c>
      <c r="E56" s="13" t="n">
        <f aca="false">Q!$P$5/(Q!$P$5+Q!$P$6)</f>
        <v>0.728797972914861</v>
      </c>
      <c r="F56" s="13" t="n">
        <f aca="false">Seg!$O$56</f>
        <v>0.718066283041511</v>
      </c>
      <c r="G56" s="13" t="n">
        <f aca="false">Seg!$G$57/Seg!$G$55</f>
        <v>0.723047066202847</v>
      </c>
      <c r="H56" s="13" t="n">
        <f aca="false">Seg!$G$56</f>
        <v>0.723047066202847</v>
      </c>
      <c r="I56" s="13" t="n">
        <f aca="false">Seg!$G$56</f>
        <v>0.723047066202847</v>
      </c>
      <c r="J56" s="13" t="n">
        <f aca="false">Seg!$G$56</f>
        <v>0.723047066202847</v>
      </c>
      <c r="K56" s="13" t="n">
        <f aca="false">Seg!$G$56</f>
        <v>0.723047066202847</v>
      </c>
      <c r="L56" s="13" t="n">
        <f aca="false">Seg!$G$56</f>
        <v>0.723047066202847</v>
      </c>
      <c r="M56" s="13" t="n">
        <f aca="false">Seg!$G$56</f>
        <v>0.723047066202847</v>
      </c>
      <c r="N56" s="13" t="n">
        <f aca="false">Q!$N$5/(Q!$N$5+Q!$N$6)</f>
        <v>0.733030935041352</v>
      </c>
      <c r="O56" s="13" t="n">
        <f aca="false">Q!$O$5/(Q!$O$5+Q!$O$6)</f>
        <v>0.718066283041511</v>
      </c>
      <c r="P56" s="8" t="s">
        <v>695</v>
      </c>
    </row>
    <row r="57" customFormat="false" ht="17.15" hidden="false" customHeight="false" outlineLevel="0" collapsed="false">
      <c r="A57" s="1" t="s">
        <v>519</v>
      </c>
      <c r="B57" s="8" t="s">
        <v>86</v>
      </c>
      <c r="C57" s="38" t="n">
        <f aca="false">Q!$D$5</f>
        <v>387.497</v>
      </c>
      <c r="D57" s="38" t="n">
        <f aca="false">Q!$E$5</f>
        <v>426.305</v>
      </c>
      <c r="E57" s="38" t="n">
        <f aca="false">Q!$P$5</f>
        <v>220.32</v>
      </c>
      <c r="F57" s="38" t="n">
        <f aca="false">Seg!$F$55*Seg!$F$56</f>
        <v>250.639773480586</v>
      </c>
      <c r="G57" s="38" t="n">
        <f aca="false">Seg!$E$57+Seg!$F$57</f>
        <v>470.959773480586</v>
      </c>
      <c r="H57" s="38" t="n">
        <f aca="false">Seg!$H$55*Seg!$H$56</f>
        <v>521.386990416437</v>
      </c>
      <c r="I57" s="38" t="n">
        <f aca="false">Seg!$I$55*Seg!$I$56</f>
        <v>570.143862887555</v>
      </c>
      <c r="J57" s="38" t="n">
        <f aca="false">Seg!$J$55*Seg!$J$56</f>
        <v>615.391435791933</v>
      </c>
      <c r="K57" s="38" t="n">
        <f aca="false">Seg!$K$55*Seg!$K$56</f>
        <v>655.208227561543</v>
      </c>
      <c r="L57" s="38" t="n">
        <f aca="false">Seg!$L$55*Seg!$L$56</f>
        <v>697.807739249767</v>
      </c>
      <c r="M57" s="38" t="n">
        <f aca="false">Seg!$M$55*Seg!$M$56</f>
        <v>743.399328463592</v>
      </c>
      <c r="N57" s="38" t="n">
        <f aca="false">Q!$N$5</f>
        <v>192.955</v>
      </c>
      <c r="O57" s="38" t="n">
        <f aca="false">Q!$O$5</f>
        <v>233.35</v>
      </c>
      <c r="P57" s="5" t="s">
        <v>696</v>
      </c>
    </row>
    <row r="58" customFormat="false" ht="17.15" hidden="false" customHeight="false" outlineLevel="0" collapsed="false">
      <c r="A58" s="1" t="s">
        <v>522</v>
      </c>
      <c r="B58" s="8" t="s">
        <v>86</v>
      </c>
      <c r="C58" s="38" t="n">
        <f aca="false">Q!$D$6</f>
        <v>142.906</v>
      </c>
      <c r="D58" s="38" t="n">
        <f aca="false">Q!$E$6</f>
        <v>161.894</v>
      </c>
      <c r="E58" s="38" t="n">
        <f aca="false">Q!$P$6</f>
        <v>81.986</v>
      </c>
      <c r="F58" s="38" t="n">
        <f aca="false">Seg!$F$55*(1-Seg!$F$56)</f>
        <v>98.408468164951</v>
      </c>
      <c r="G58" s="38" t="n">
        <f aca="false">Seg!$E$58+Seg!$F$58</f>
        <v>180.394468164951</v>
      </c>
      <c r="H58" s="38" t="n">
        <f aca="false">Seg!$H$55*(1-Seg!$H$56)</f>
        <v>199.709899104949</v>
      </c>
      <c r="I58" s="38" t="n">
        <f aca="false">Seg!$I$55*(1-Seg!$I$56)</f>
        <v>218.385528264976</v>
      </c>
      <c r="J58" s="38" t="n">
        <f aca="false">Seg!$J$55*(1-Seg!$J$56)</f>
        <v>235.71696994951</v>
      </c>
      <c r="K58" s="38" t="n">
        <f aca="false">Seg!$K$55*(1-Seg!$K$56)</f>
        <v>250.968227869545</v>
      </c>
      <c r="L58" s="38" t="n">
        <f aca="false">Seg!$L$55*(1-Seg!$L$56)</f>
        <v>267.285367225822</v>
      </c>
      <c r="M58" s="38" t="n">
        <f aca="false">Seg!$M$55*(1-Seg!$M$56)</f>
        <v>284.748579483295</v>
      </c>
      <c r="N58" s="38" t="n">
        <f aca="false">Q!$N$6</f>
        <v>70.274</v>
      </c>
      <c r="O58" s="38" t="n">
        <f aca="false">Q!$O$6</f>
        <v>91.62</v>
      </c>
      <c r="P58" s="5" t="s">
        <v>697</v>
      </c>
    </row>
    <row r="59" customFormat="false" ht="17.15" hidden="false" customHeight="false" outlineLevel="0" collapsed="false">
      <c r="A59" s="5" t="s">
        <v>698</v>
      </c>
      <c r="B59" s="0" t="s">
        <v>86</v>
      </c>
      <c r="C59" s="38" t="n">
        <f aca="false">Seg!$C$48*Seg!$C$56</f>
        <v>41.0683128828457</v>
      </c>
      <c r="D59" s="38" t="n">
        <f aca="false">Seg!$D$48*Seg!$D$56</f>
        <v>49.7441234599175</v>
      </c>
      <c r="E59" s="38" t="n">
        <f aca="false">Seg!$E$48*Seg!$E$56</f>
        <v>27.0034224924414</v>
      </c>
      <c r="F59" s="38" t="n">
        <f aca="false">Seg!$F$48*Seg!$F$56</f>
        <v>33.1439448330513</v>
      </c>
      <c r="G59" s="38" t="n">
        <f aca="false">Seg!$G$48*Seg!$G$56</f>
        <v>60.164183844083</v>
      </c>
      <c r="H59" s="38" t="n">
        <f aca="false">Seg!$H$48*Seg!$H$56</f>
        <v>72.2301766552629</v>
      </c>
      <c r="I59" s="38" t="n">
        <f aca="false">Seg!$I$48*Seg!$I$56</f>
        <v>84.2950764463991</v>
      </c>
      <c r="J59" s="38" t="n">
        <f aca="false">Seg!$J$48*Seg!$J$56</f>
        <v>95.5499047729386</v>
      </c>
      <c r="K59" s="38" t="n">
        <f aca="false">Seg!$K$48*Seg!$K$56</f>
        <v>105.104895250232</v>
      </c>
      <c r="L59" s="38" t="n">
        <f aca="false">Seg!$L$48*Seg!$L$56</f>
        <v>115.615384775256</v>
      </c>
      <c r="M59" s="38" t="n">
        <f aca="false">Seg!$M$48*Seg!$M$56</f>
        <v>127.176923252781</v>
      </c>
      <c r="N59" s="38" t="n">
        <f aca="false">Seg!$N$48*Seg!$N$56</f>
        <v>21.7087111412496</v>
      </c>
      <c r="O59" s="38" t="n">
        <f aca="false">Seg!$O$48*Seg!$O$56</f>
        <v>28.0189463642798</v>
      </c>
      <c r="P59" s="5" t="s">
        <v>699</v>
      </c>
    </row>
    <row r="60" customFormat="false" ht="15" hidden="false" customHeight="false" outlineLevel="0" collapsed="false">
      <c r="A60" s="5" t="s">
        <v>700</v>
      </c>
      <c r="B60" s="0" t="s">
        <v>86</v>
      </c>
      <c r="C60" s="38" t="n">
        <f aca="false">Seg!$C$48-Seg!$C$59</f>
        <v>15.1456871171543</v>
      </c>
      <c r="D60" s="38" t="n">
        <f aca="false">Seg!$D$48-Seg!$D$59</f>
        <v>18.8908765400825</v>
      </c>
      <c r="E60" s="38" t="n">
        <f aca="false">Seg!$E$48-Seg!$E$59</f>
        <v>10.0485775075586</v>
      </c>
      <c r="F60" s="38" t="n">
        <f aca="false">Seg!$F$48-Seg!$F$59</f>
        <v>13.0132771613635</v>
      </c>
      <c r="G60" s="38" t="n">
        <f aca="false">Seg!$G$48-Seg!$G$59</f>
        <v>23.0450381503318</v>
      </c>
      <c r="H60" s="38" t="n">
        <f aca="false">Seg!$H$48-Seg!$H$59</f>
        <v>27.6667457326347</v>
      </c>
      <c r="I60" s="38" t="n">
        <f aca="false">Seg!$I$48-Seg!$I$59</f>
        <v>32.2880346490971</v>
      </c>
      <c r="J60" s="38" t="n">
        <f aca="false">Seg!$J$48-Seg!$J$59</f>
        <v>36.5990371690132</v>
      </c>
      <c r="K60" s="38" t="n">
        <f aca="false">Seg!$K$48-Seg!$K$59</f>
        <v>40.2589408859145</v>
      </c>
      <c r="L60" s="38" t="n">
        <f aca="false">Seg!$L$48-Seg!$L$59</f>
        <v>44.2848349745059</v>
      </c>
      <c r="M60" s="38" t="n">
        <f aca="false">Seg!$M$48-Seg!$M$59</f>
        <v>48.7133184719565</v>
      </c>
      <c r="N60" s="38" t="n">
        <f aca="false">Seg!$N$48-Seg!$N$59</f>
        <v>7.90628885875037</v>
      </c>
      <c r="O60" s="38" t="n">
        <f aca="false">Seg!$O$48-Seg!$O$59</f>
        <v>11.0010536357202</v>
      </c>
    </row>
    <row r="61" customFormat="false" ht="17.15" hidden="false" customHeight="false" outlineLevel="0" collapsed="false">
      <c r="A61" s="1" t="s">
        <v>701</v>
      </c>
    </row>
    <row r="62" customFormat="false" ht="17.15" hidden="false" customHeight="false" outlineLevel="0" collapsed="false">
      <c r="A62" s="0" t="s">
        <v>702</v>
      </c>
      <c r="B62" s="0" t="s">
        <v>86</v>
      </c>
      <c r="C62" s="38" t="n">
        <f aca="false">Thesis!$C$89</f>
        <v>2.32100535697364</v>
      </c>
      <c r="D62" s="38" t="n">
        <f aca="false">Thesis!$D$89</f>
        <v>8.70377008865116</v>
      </c>
      <c r="E62" s="38" t="n">
        <f aca="false">Thesis!$E$89</f>
        <v>8.51035297557002</v>
      </c>
      <c r="F62" s="38" t="n">
        <f aca="false">Thesis!$F$89</f>
        <v>14.9634336447205</v>
      </c>
      <c r="G62" s="38" t="n">
        <f aca="false">Thesis!$G$89</f>
        <v>23.4737866202905</v>
      </c>
      <c r="H62" s="38" t="n">
        <f aca="false">Thesis!$H$89</f>
        <v>60.1658907497746</v>
      </c>
      <c r="I62" s="38" t="n">
        <f aca="false">Thesis!$I$89</f>
        <v>101.503699136432</v>
      </c>
      <c r="J62" s="38" t="n">
        <f aca="false">Thesis!$J$89</f>
        <v>143.025407151278</v>
      </c>
      <c r="K62" s="38" t="n">
        <f aca="false">Thesis!$K$89</f>
        <v>178.44812038318</v>
      </c>
      <c r="L62" s="38" t="n">
        <f aca="false">Thesis!$L$89</f>
        <v>201.728101802396</v>
      </c>
      <c r="M62" s="38" t="n">
        <f aca="false">Thesis!$M$89</f>
        <v>212.835441368865</v>
      </c>
      <c r="N62" s="38" t="n">
        <f aca="false">Thesis!$N$89</f>
        <v>3.04631953102791</v>
      </c>
      <c r="O62" s="38" t="n">
        <f aca="false">Thesis!$O$89</f>
        <v>5.65745055762326</v>
      </c>
      <c r="P62" s="8" t="s">
        <v>703</v>
      </c>
    </row>
    <row r="63" customFormat="false" ht="17.15" hidden="false" customHeight="false" outlineLevel="0" collapsed="false">
      <c r="A63" s="0" t="s">
        <v>704</v>
      </c>
      <c r="B63" s="0" t="s">
        <v>86</v>
      </c>
      <c r="C63" s="38" t="n">
        <f aca="false">Thesis!$C$93</f>
        <v>105.234994643026</v>
      </c>
      <c r="D63" s="38" t="n">
        <f aca="false">Thesis!$D$93</f>
        <v>120.021229911349</v>
      </c>
      <c r="E63" s="38" t="n">
        <f aca="false">Thesis!$E$93</f>
        <v>71.30864702443</v>
      </c>
      <c r="F63" s="38" t="n">
        <f aca="false">Thesis!$F$93</f>
        <v>71.7692997942464</v>
      </c>
      <c r="G63" s="38" t="n">
        <f aca="false">Thesis!$G$93</f>
        <v>143.077946818676</v>
      </c>
      <c r="H63" s="38" t="n">
        <f aca="false">Thesis!$H$93</f>
        <v>161.017077079203</v>
      </c>
      <c r="I63" s="38" t="n">
        <f aca="false">Thesis!$I$93</f>
        <v>178.769759521457</v>
      </c>
      <c r="J63" s="38" t="n">
        <f aca="false">Thesis!$J$93</f>
        <v>195.775538045907</v>
      </c>
      <c r="K63" s="38" t="n">
        <f aca="false">Thesis!$K$93</f>
        <v>211.43758108958</v>
      </c>
      <c r="L63" s="38" t="n">
        <f aca="false">Thesis!$L$93</f>
        <v>228.352587576746</v>
      </c>
      <c r="M63" s="38" t="n">
        <f aca="false">Thesis!$M$93</f>
        <v>246.620794582886</v>
      </c>
      <c r="N63" s="38" t="n">
        <f aca="false">Thesis!$N$93</f>
        <v>57.0936804689721</v>
      </c>
      <c r="O63" s="38" t="n">
        <f aca="false">Thesis!$O$93</f>
        <v>62.9275494423768</v>
      </c>
      <c r="P63" s="8" t="s">
        <v>703</v>
      </c>
    </row>
    <row r="64" customFormat="false" ht="17.15" hidden="false" customHeight="false" outlineLevel="0" collapsed="false">
      <c r="A64" s="1" t="s">
        <v>523</v>
      </c>
      <c r="B64" s="8" t="s">
        <v>86</v>
      </c>
      <c r="C64" s="38" t="n">
        <f aca="false">Q!$D$7</f>
        <v>107.556</v>
      </c>
      <c r="D64" s="38" t="n">
        <f aca="false">Q!$E$7</f>
        <v>128.725</v>
      </c>
      <c r="E64" s="38" t="n">
        <f aca="false">Q!$P$7</f>
        <v>79.819</v>
      </c>
      <c r="F64" s="38" t="n">
        <f aca="false">Seg!$F$62+Seg!$F$63</f>
        <v>86.7327334389669</v>
      </c>
      <c r="G64" s="38" t="n">
        <f aca="false">Seg!$G$62+Seg!$G$63</f>
        <v>166.551733438967</v>
      </c>
      <c r="H64" s="38" t="n">
        <f aca="false">Seg!$H$62+Seg!$H$63</f>
        <v>221.182967828978</v>
      </c>
      <c r="I64" s="38" t="n">
        <f aca="false">Seg!$I$62+Seg!$I$63</f>
        <v>280.27345865789</v>
      </c>
      <c r="J64" s="38" t="n">
        <f aca="false">Seg!$J$62+Seg!$J$63</f>
        <v>338.800945197185</v>
      </c>
      <c r="K64" s="38" t="n">
        <f aca="false">Seg!$K$62+Seg!$K$63</f>
        <v>389.88570147276</v>
      </c>
      <c r="L64" s="38" t="n">
        <f aca="false">Seg!$L$62+Seg!$L$63</f>
        <v>430.080689379143</v>
      </c>
      <c r="M64" s="38" t="n">
        <f aca="false">Seg!$M$62+Seg!$M$63</f>
        <v>459.456235951751</v>
      </c>
      <c r="N64" s="38" t="n">
        <f aca="false">Q!$N$7</f>
        <v>60.14</v>
      </c>
      <c r="O64" s="38" t="n">
        <f aca="false">Q!$O$7</f>
        <v>68.585</v>
      </c>
      <c r="P64" s="5" t="s">
        <v>705</v>
      </c>
    </row>
    <row r="65" customFormat="false" ht="15" hidden="false" customHeight="false" outlineLevel="0" collapsed="false">
      <c r="A65" s="3" t="s">
        <v>706</v>
      </c>
      <c r="B65" s="8" t="s">
        <v>86</v>
      </c>
      <c r="C65" s="38" t="n">
        <f aca="false">Q!$D$8</f>
        <v>637.959</v>
      </c>
      <c r="D65" s="38" t="n">
        <f aca="false">Q!$E$8</f>
        <v>716.924</v>
      </c>
      <c r="E65" s="38" t="n">
        <f aca="false">Q!$P$8</f>
        <v>382.125</v>
      </c>
      <c r="F65" s="38" t="n">
        <f aca="false">Seg!$F$55+Seg!$F$64</f>
        <v>435.780975084504</v>
      </c>
      <c r="G65" s="38" t="n">
        <f aca="false">Seg!$G$55+Seg!$G$64</f>
        <v>817.905975084504</v>
      </c>
      <c r="H65" s="38" t="n">
        <f aca="false">Seg!$H$55+Seg!$H$64</f>
        <v>942.279857350364</v>
      </c>
      <c r="I65" s="38" t="n">
        <f aca="false">Seg!$I$55+Seg!$I$64</f>
        <v>1068.80284981042</v>
      </c>
      <c r="J65" s="38" t="n">
        <f aca="false">Seg!$J$55+Seg!$J$64</f>
        <v>1189.90935093863</v>
      </c>
      <c r="K65" s="38" t="n">
        <f aca="false">Seg!$K$55+Seg!$K$64</f>
        <v>1296.06215690385</v>
      </c>
      <c r="L65" s="38" t="n">
        <f aca="false">Seg!$L$55+Seg!$L$64</f>
        <v>1395.17379585473</v>
      </c>
      <c r="M65" s="38" t="n">
        <f aca="false">Seg!$M$55+Seg!$M$64</f>
        <v>1487.60414389864</v>
      </c>
      <c r="N65" s="38" t="n">
        <f aca="false">Q!$N$8</f>
        <v>323.369</v>
      </c>
      <c r="O65" s="38" t="n">
        <f aca="false">Q!$O$8</f>
        <v>393.555</v>
      </c>
    </row>
    <row r="66" customFormat="false" ht="17.15" hidden="false" customHeight="false" outlineLevel="0" collapsed="false">
      <c r="A66" s="24" t="s">
        <v>714</v>
      </c>
      <c r="B66" s="25" t="s">
        <v>86</v>
      </c>
      <c r="C66" s="41" t="n">
        <f aca="false">Seg!$C$55-(Seg!$C$57+Seg!$C$58)</f>
        <v>0</v>
      </c>
      <c r="D66" s="41" t="n">
        <f aca="false">Seg!$D$55-(Seg!$D$57+Seg!$D$58)</f>
        <v>0</v>
      </c>
      <c r="E66" s="41" t="n">
        <f aca="false">Seg!$E$55-(Seg!$E$57+Seg!$E$58)</f>
        <v>0</v>
      </c>
      <c r="F66" s="41" t="n">
        <f aca="false">Seg!$F$55-(Seg!$F$57+Seg!$F$58)</f>
        <v>0</v>
      </c>
      <c r="G66" s="41" t="n">
        <f aca="false">Seg!$G$55-(Seg!$G$57+Seg!$G$58)</f>
        <v>0</v>
      </c>
      <c r="H66" s="41" t="n">
        <f aca="false">Seg!$H$55-(Seg!$H$57+Seg!$H$58)</f>
        <v>0</v>
      </c>
      <c r="I66" s="41" t="n">
        <f aca="false">Seg!$I$55-(Seg!$I$57+Seg!$I$58)</f>
        <v>0</v>
      </c>
      <c r="J66" s="41" t="n">
        <f aca="false">Seg!$J$55-(Seg!$J$57+Seg!$J$58)</f>
        <v>0</v>
      </c>
      <c r="K66" s="41" t="n">
        <f aca="false">Seg!$K$55-(Seg!$K$57+Seg!$K$58)</f>
        <v>0</v>
      </c>
      <c r="L66" s="41" t="n">
        <f aca="false">Seg!$L$55-(Seg!$L$57+Seg!$L$58)</f>
        <v>0</v>
      </c>
      <c r="M66" s="41" t="n">
        <f aca="false">Seg!$M$55-(Seg!$M$57+Seg!$M$58)</f>
        <v>0</v>
      </c>
      <c r="N66" s="41" t="n">
        <f aca="false">Seg!$N$55-(Seg!$N$57+Seg!$N$58)</f>
        <v>0</v>
      </c>
      <c r="O66" s="41" t="n">
        <f aca="false">Seg!$O$55-(Seg!$O$57+Seg!$O$58)</f>
        <v>0</v>
      </c>
    </row>
    <row r="67" customFormat="false" ht="17.15" hidden="false" customHeight="false" outlineLevel="0" collapsed="false">
      <c r="A67" s="24" t="s">
        <v>715</v>
      </c>
      <c r="B67" s="25" t="s">
        <v>86</v>
      </c>
      <c r="C67" s="41" t="n">
        <f aca="false">Seg!$C$62+Seg!$C$63-Seg!$C$64</f>
        <v>0</v>
      </c>
      <c r="D67" s="41" t="n">
        <f aca="false">Seg!$D$62+Seg!$D$63-Seg!$D$64</f>
        <v>0</v>
      </c>
      <c r="E67" s="41" t="n">
        <f aca="false">Seg!$E$62+Seg!$E$63-Seg!$E$64</f>
        <v>0</v>
      </c>
      <c r="F67" s="41" t="n">
        <f aca="false">Seg!$F$62+Seg!$F$63-Seg!$F$64</f>
        <v>0</v>
      </c>
      <c r="G67" s="41" t="n">
        <f aca="false">Seg!$G$62+Seg!$G$63-Seg!$G$64</f>
        <v>0</v>
      </c>
      <c r="H67" s="41" t="n">
        <f aca="false">Seg!$H$62+Seg!$H$63-Seg!$H$64</f>
        <v>0</v>
      </c>
      <c r="I67" s="41" t="n">
        <f aca="false">Seg!$I$62+Seg!$I$63-Seg!$I$64</f>
        <v>0</v>
      </c>
      <c r="J67" s="41" t="n">
        <f aca="false">Seg!$J$62+Seg!$J$63-Seg!$J$64</f>
        <v>0</v>
      </c>
      <c r="K67" s="41" t="n">
        <f aca="false">Seg!$K$62+Seg!$K$63-Seg!$K$64</f>
        <v>0</v>
      </c>
      <c r="L67" s="41" t="n">
        <f aca="false">Seg!$L$62+Seg!$L$63-Seg!$L$64</f>
        <v>0</v>
      </c>
      <c r="M67" s="41" t="n">
        <f aca="false">Seg!$M$62+Seg!$M$63-Seg!$M$64</f>
        <v>0</v>
      </c>
      <c r="N67" s="41" t="n">
        <f aca="false">Seg!$N$62+Seg!$N$63-Seg!$N$64</f>
        <v>0</v>
      </c>
      <c r="O67" s="41" t="n">
        <f aca="false">Seg!$O$62+Seg!$O$63-Seg!$O$64</f>
        <v>0</v>
      </c>
    </row>
    <row r="68" customFormat="false" ht="17.15" hidden="false" customHeight="false" outlineLevel="0" collapsed="false">
      <c r="A68" s="24" t="s">
        <v>716</v>
      </c>
      <c r="B68" s="25" t="s">
        <v>86</v>
      </c>
      <c r="C68" s="41" t="n">
        <f aca="false">Seg!$C$57+Seg!$C$58+Seg!$C$64-Seg!$C$65</f>
        <v>0</v>
      </c>
      <c r="D68" s="41" t="n">
        <f aca="false">Seg!$D$57+Seg!$D$58+Seg!$D$64-Seg!$D$65</f>
        <v>0</v>
      </c>
      <c r="E68" s="41" t="n">
        <f aca="false">Seg!$E$57+Seg!$E$58+Seg!$E$64-Seg!$E$65</f>
        <v>0</v>
      </c>
      <c r="F68" s="41" t="n">
        <f aca="false">Seg!$F$57+Seg!$F$58+Seg!$F$64-Seg!$F$65</f>
        <v>0</v>
      </c>
      <c r="G68" s="41" t="n">
        <f aca="false">Seg!$G$57+Seg!$G$58+Seg!$G$64-Seg!$G$65</f>
        <v>0</v>
      </c>
      <c r="H68" s="41" t="n">
        <f aca="false">Seg!$H$57+Seg!$H$58+Seg!$H$64-Seg!$H$65</f>
        <v>0</v>
      </c>
      <c r="I68" s="41" t="n">
        <f aca="false">Seg!$I$57+Seg!$I$58+Seg!$I$64-Seg!$I$65</f>
        <v>0</v>
      </c>
      <c r="J68" s="41" t="n">
        <f aca="false">Seg!$J$57+Seg!$J$58+Seg!$J$64-Seg!$J$65</f>
        <v>0</v>
      </c>
      <c r="K68" s="41" t="n">
        <f aca="false">Seg!$K$57+Seg!$K$58+Seg!$K$64-Seg!$K$65</f>
        <v>0</v>
      </c>
      <c r="L68" s="41" t="n">
        <f aca="false">Seg!$L$57+Seg!$L$58+Seg!$L$64-Seg!$L$65</f>
        <v>0</v>
      </c>
      <c r="M68" s="41" t="n">
        <f aca="false">Seg!$M$57+Seg!$M$58+Seg!$M$64-Seg!$M$65</f>
        <v>0</v>
      </c>
      <c r="N68" s="41" t="n">
        <f aca="false">Seg!$N$57+Seg!$N$58+Seg!$N$64-Seg!$N$65</f>
        <v>0</v>
      </c>
      <c r="O68" s="41" t="n">
        <f aca="false">Seg!$O$57+Seg!$O$58+Seg!$O$64-Seg!$O$65</f>
        <v>0</v>
      </c>
    </row>
    <row r="69" customFormat="false" ht="15" hidden="false" customHeight="false" outlineLevel="0" collapsed="false">
      <c r="A69" s="5" t="s">
        <v>710</v>
      </c>
      <c r="B69" s="0" t="s">
        <v>52</v>
      </c>
      <c r="G69" s="13" t="n">
        <f aca="false">Seg!$G$65/Seg!$D$65-1</f>
        <v>0.140854504918937</v>
      </c>
      <c r="H69" s="13" t="n">
        <f aca="false">Seg!$H$65/Seg!$G$65-1</f>
        <v>0.152063789793209</v>
      </c>
      <c r="I69" s="13" t="n">
        <f aca="false">Seg!$I$65/Seg!$H$65-1</f>
        <v>0.134273264437417</v>
      </c>
      <c r="J69" s="13" t="n">
        <f aca="false">Seg!$J$65/Seg!$I$65-1</f>
        <v>0.113310421234083</v>
      </c>
      <c r="K69" s="13" t="n">
        <f aca="false">Seg!$K$65/Seg!$J$65-1</f>
        <v>0.0892108343223652</v>
      </c>
      <c r="L69" s="13" t="n">
        <f aca="false">Seg!$L$65/Seg!$K$65-1</f>
        <v>0.076471362444261</v>
      </c>
      <c r="M69" s="13" t="n">
        <f aca="false">Seg!$M$65/Seg!$L$65-1</f>
        <v>0.066250060256672</v>
      </c>
    </row>
    <row r="70" customFormat="false" ht="17.15" hidden="false" customHeight="false" outlineLevel="0" collapsed="false">
      <c r="A70" s="0" t="s">
        <v>711</v>
      </c>
      <c r="B70" s="0" t="s">
        <v>52</v>
      </c>
      <c r="C70" s="13" t="n">
        <f aca="false">Seg!$C$64/Seg!$C$65</f>
        <v>0.168593906504964</v>
      </c>
      <c r="D70" s="13" t="n">
        <f aca="false">Seg!$D$64/Seg!$D$65</f>
        <v>0.179551807444025</v>
      </c>
      <c r="E70" s="13" t="n">
        <f aca="false">Seg!$E$64/Seg!$E$65</f>
        <v>0.208881910369643</v>
      </c>
      <c r="F70" s="13" t="n">
        <f aca="false">Seg!$F$64/Seg!$F$65</f>
        <v>0.199028269699356</v>
      </c>
      <c r="G70" s="13" t="n">
        <f aca="false">Seg!$G$64/Seg!$G$65</f>
        <v>0.203631882529968</v>
      </c>
      <c r="H70" s="13" t="n">
        <f aca="false">Seg!$H$64/Seg!$H$65</f>
        <v>0.234731715958496</v>
      </c>
      <c r="I70" s="13" t="n">
        <f aca="false">Seg!$I$64/Seg!$I$65</f>
        <v>0.262231204480418</v>
      </c>
      <c r="J70" s="13" t="n">
        <f aca="false">Seg!$J$64/Seg!$J$65</f>
        <v>0.284728366013706</v>
      </c>
      <c r="K70" s="13" t="n">
        <f aca="false">Seg!$K$64/Seg!$K$65</f>
        <v>0.300823304959505</v>
      </c>
      <c r="L70" s="13" t="n">
        <f aca="false">Seg!$L$64/Seg!$L$65</f>
        <v>0.308263164529735</v>
      </c>
      <c r="M70" s="13" t="n">
        <f aca="false">Seg!$M$64/Seg!$M$65</f>
        <v>0.308856517936036</v>
      </c>
      <c r="N70" s="13" t="n">
        <f aca="false">Seg!$N$64/Seg!$N$65</f>
        <v>0.185979484737251</v>
      </c>
      <c r="O70" s="13" t="n">
        <f aca="false">Seg!$O$64/Seg!$O$65</f>
        <v>0.174270432341096</v>
      </c>
    </row>
    <row r="71" customFormat="false" ht="17.15" hidden="false" customHeight="false" outlineLevel="0" collapsed="false">
      <c r="A71" s="0" t="s">
        <v>712</v>
      </c>
      <c r="B71" s="0" t="s">
        <v>52</v>
      </c>
      <c r="C71" s="13" t="n">
        <f aca="false">Seg!$C$62/Seg!$C$64</f>
        <v>0.0215795060896058</v>
      </c>
      <c r="D71" s="13" t="n">
        <f aca="false">Seg!$D$62/Seg!$D$64</f>
        <v>0.0676152269462122</v>
      </c>
      <c r="E71" s="13" t="n">
        <f aca="false">Seg!$E$62/Seg!$E$64</f>
        <v>0.106620641395783</v>
      </c>
      <c r="F71" s="13" t="n">
        <f aca="false">Seg!$F$62/Seg!$F$64</f>
        <v>0.172523487401099</v>
      </c>
      <c r="G71" s="13" t="n">
        <f aca="false">Seg!$G$62/Seg!$G$64</f>
        <v>0.140939911795589</v>
      </c>
      <c r="H71" s="13" t="n">
        <f aca="false">Seg!$H$62/Seg!$H$64</f>
        <v>0.272018642937714</v>
      </c>
      <c r="I71" s="13" t="n">
        <f aca="false">Seg!$I$62/Seg!$I$64</f>
        <v>0.362159512436497</v>
      </c>
      <c r="J71" s="13" t="n">
        <f aca="false">Seg!$J$62/Seg!$J$64</f>
        <v>0.422151735934609</v>
      </c>
      <c r="K71" s="13" t="n">
        <f aca="false">Seg!$K$62/Seg!$K$64</f>
        <v>0.45769342068485</v>
      </c>
      <c r="L71" s="13" t="n">
        <f aca="false">Seg!$L$62/Seg!$L$64</f>
        <v>0.469047103913472</v>
      </c>
      <c r="M71" s="13" t="n">
        <f aca="false">Seg!$M$62/Seg!$M$64</f>
        <v>0.463233328258093</v>
      </c>
      <c r="N71" s="13" t="n">
        <f aca="false">Seg!$N$62/Seg!$N$64</f>
        <v>0.0506537999838362</v>
      </c>
      <c r="O71" s="13" t="n">
        <f aca="false">Seg!$O$62/Seg!$O$64</f>
        <v>0.0824881615167056</v>
      </c>
    </row>
    <row r="74" customFormat="false" ht="19.4" hidden="false" customHeight="false" outlineLevel="0" collapsed="false">
      <c r="A74" s="31" t="s">
        <v>717</v>
      </c>
    </row>
    <row r="75" customFormat="false" ht="17.15" hidden="false" customHeight="false" outlineLevel="0" collapsed="false">
      <c r="A75" s="6" t="s">
        <v>16</v>
      </c>
      <c r="B75" s="6" t="s">
        <v>17</v>
      </c>
      <c r="C75" s="20" t="s">
        <v>504</v>
      </c>
      <c r="D75" s="20" t="s">
        <v>505</v>
      </c>
      <c r="E75" s="20" t="s">
        <v>587</v>
      </c>
      <c r="F75" s="20" t="s">
        <v>588</v>
      </c>
      <c r="G75" s="20" t="s">
        <v>589</v>
      </c>
      <c r="H75" s="20" t="s">
        <v>590</v>
      </c>
      <c r="I75" s="20" t="s">
        <v>591</v>
      </c>
      <c r="J75" s="20" t="s">
        <v>592</v>
      </c>
      <c r="K75" s="20" t="s">
        <v>593</v>
      </c>
      <c r="L75" s="20" t="s">
        <v>594</v>
      </c>
      <c r="M75" s="20" t="s">
        <v>595</v>
      </c>
      <c r="N75" s="20" t="s">
        <v>596</v>
      </c>
      <c r="O75" s="20" t="s">
        <v>597</v>
      </c>
      <c r="P75" s="6" t="s">
        <v>23</v>
      </c>
      <c r="R75" s="20" t="n">
        <v>2023</v>
      </c>
      <c r="S75" s="20" t="n">
        <v>2024</v>
      </c>
      <c r="T75" s="20" t="n">
        <v>2025</v>
      </c>
      <c r="U75" s="20" t="n">
        <v>2026</v>
      </c>
      <c r="V75" s="20" t="n">
        <v>2027</v>
      </c>
      <c r="W75" s="20" t="n">
        <v>2028</v>
      </c>
      <c r="X75" s="20" t="n">
        <v>2029</v>
      </c>
      <c r="Y75" s="20" t="n">
        <v>2030</v>
      </c>
      <c r="Z75" s="20" t="n">
        <v>2031</v>
      </c>
      <c r="AA75" s="20" t="n">
        <v>2032</v>
      </c>
    </row>
    <row r="76" customFormat="false" ht="17.15" hidden="false" customHeight="false" outlineLevel="0" collapsed="false">
      <c r="A76" s="1" t="s">
        <v>677</v>
      </c>
    </row>
    <row r="77" customFormat="false" ht="17.15" hidden="false" customHeight="false" outlineLevel="0" collapsed="false">
      <c r="A77" s="0" t="s">
        <v>526</v>
      </c>
      <c r="B77" s="0" t="s">
        <v>86</v>
      </c>
      <c r="C77" s="38" t="n">
        <f aca="false">Q!$D$10</f>
        <v>247.029</v>
      </c>
      <c r="D77" s="38" t="n">
        <f aca="false">Q!$E$10</f>
        <v>269.287</v>
      </c>
      <c r="E77" s="38" t="n">
        <f aca="false">Q!$P$10</f>
        <v>134.686</v>
      </c>
      <c r="F77" s="38" t="n">
        <f aca="false">Seg!$O$77*(1+Seg!$F$78)*Seg!$F$89</f>
        <v>158.293876822267</v>
      </c>
      <c r="G77" s="38" t="n">
        <f aca="false">Seg!$E$77+Seg!$F$77</f>
        <v>292.979876822267</v>
      </c>
      <c r="H77" s="38" t="n">
        <f aca="false">Seg!$G$77*(1+Seg!$H$78)</f>
        <v>318.184543087396</v>
      </c>
      <c r="I77" s="38" t="n">
        <f aca="false">Seg!$H$77*(1+Seg!$I$78)</f>
        <v>341.736278761793</v>
      </c>
      <c r="J77" s="38" t="n">
        <f aca="false">Seg!$I$77*(1+Seg!$J$78)</f>
        <v>362.927192787048</v>
      </c>
      <c r="K77" s="38" t="n">
        <f aca="false">Seg!$J$77*(1+Seg!$K$78)</f>
        <v>381.0735524264</v>
      </c>
      <c r="L77" s="38" t="n">
        <f aca="false">Seg!$K$77*(1+Seg!$L$78)</f>
        <v>400.12723004772</v>
      </c>
      <c r="M77" s="38" t="n">
        <f aca="false">Seg!$L$77*(1+Seg!$M$78)</f>
        <v>420.133591550106</v>
      </c>
      <c r="N77" s="38" t="n">
        <f aca="false">Q!$N$10</f>
        <v>118.892</v>
      </c>
      <c r="O77" s="38" t="n">
        <f aca="false">Q!$O$10</f>
        <v>150.395</v>
      </c>
      <c r="P77" s="8" t="s">
        <v>678</v>
      </c>
    </row>
    <row r="78" customFormat="false" ht="17.15" hidden="false" customHeight="false" outlineLevel="0" collapsed="false">
      <c r="A78" s="0" t="s">
        <v>679</v>
      </c>
      <c r="B78" s="0" t="s">
        <v>52</v>
      </c>
      <c r="E78" s="13" t="n">
        <f aca="false">Seg!$E$77/Seg!$N$77-1</f>
        <v>0.132843252699929</v>
      </c>
      <c r="F78" s="13" t="n">
        <f aca="false">Seg!$O$77/(Q!$F$10+Q!$G$10)-1</f>
        <v>0.0980382135842941</v>
      </c>
      <c r="G78" s="13" t="n">
        <f aca="false">Seg!$G$77/Seg!$D$77-1</f>
        <v>0.0879837378791657</v>
      </c>
      <c r="H78" s="13" t="n">
        <f aca="false">Seg!$F$78+(g_os-Seg!$F$78)*1/4</f>
        <v>0.0860286601882206</v>
      </c>
      <c r="I78" s="13" t="n">
        <f aca="false">Seg!$F$78+(g_os-Seg!$F$78)*2/4</f>
        <v>0.074019106792147</v>
      </c>
      <c r="J78" s="13" t="n">
        <f aca="false">Seg!$F$78+(g_os-Seg!$F$78)*3/4</f>
        <v>0.0620095533960735</v>
      </c>
      <c r="K78" s="13" t="n">
        <f aca="false">Seg!$F$78+(g_os-Seg!$F$78)*4/4</f>
        <v>0.05</v>
      </c>
      <c r="L78" s="13" t="n">
        <f aca="false">g_os</f>
        <v>0.05</v>
      </c>
      <c r="M78" s="13" t="n">
        <f aca="false">g_os</f>
        <v>0.05</v>
      </c>
      <c r="P78" s="8" t="s">
        <v>680</v>
      </c>
    </row>
    <row r="79" customFormat="false" ht="17.15" hidden="false" customHeight="false" outlineLevel="0" collapsed="false">
      <c r="A79" s="0" t="s">
        <v>527</v>
      </c>
      <c r="B79" s="0" t="s">
        <v>86</v>
      </c>
      <c r="C79" s="38" t="n">
        <f aca="false">Q!$D$11</f>
        <v>21.215</v>
      </c>
      <c r="D79" s="38" t="n">
        <f aca="false">Q!$E$11</f>
        <v>22.561</v>
      </c>
      <c r="E79" s="38" t="n">
        <f aca="false">Q!$P$11</f>
        <v>11.579</v>
      </c>
      <c r="F79" s="38" t="n">
        <f aca="false">Seg!$O$79*(1+Seg!$F$80)*Seg!$F$89</f>
        <v>11.5938724610325</v>
      </c>
      <c r="G79" s="38" t="n">
        <f aca="false">Seg!$E$79+Seg!$F$79</f>
        <v>23.1728724610325</v>
      </c>
      <c r="H79" s="38" t="n">
        <f aca="false">Seg!$G$79*(1+Seg!$H$80)</f>
        <v>24.353392759506</v>
      </c>
      <c r="I79" s="38" t="n">
        <f aca="false">Seg!$H$79*(1+Seg!$I$80)</f>
        <v>25.4240338872015</v>
      </c>
      <c r="J79" s="38" t="n">
        <f aca="false">Seg!$I$79*(1+Seg!$J$80)</f>
        <v>26.3642491017174</v>
      </c>
      <c r="K79" s="38" t="n">
        <f aca="false">Seg!$J$79*(1+Seg!$K$80)</f>
        <v>27.155176574769</v>
      </c>
      <c r="L79" s="38" t="n">
        <f aca="false">Seg!$K$79*(1+Seg!$L$80)</f>
        <v>27.969831872012</v>
      </c>
      <c r="M79" s="38" t="n">
        <f aca="false">Seg!$L$79*(1+Seg!$M$80)</f>
        <v>28.8089268281724</v>
      </c>
      <c r="N79" s="38" t="n">
        <f aca="false">Q!$N$11</f>
        <v>11.128</v>
      </c>
      <c r="O79" s="38" t="n">
        <f aca="false">Q!$O$11</f>
        <v>11.433</v>
      </c>
      <c r="P79" s="8" t="s">
        <v>678</v>
      </c>
    </row>
    <row r="80" customFormat="false" ht="17.15" hidden="false" customHeight="false" outlineLevel="0" collapsed="false">
      <c r="A80" s="0" t="s">
        <v>681</v>
      </c>
      <c r="B80" s="0" t="s">
        <v>52</v>
      </c>
      <c r="E80" s="13" t="n">
        <f aca="false">Seg!$E$79/Seg!$N$79-1</f>
        <v>0.0405283968368082</v>
      </c>
      <c r="F80" s="13" t="n">
        <f aca="false">Seg!$O$79/(Q!$F$11+Q!$G$11)-1</f>
        <v>0.0579254187100955</v>
      </c>
      <c r="G80" s="13" t="n">
        <f aca="false">Seg!$G$79/Seg!$D$79-1</f>
        <v>0.0271208040881397</v>
      </c>
      <c r="H80" s="13" t="n">
        <f aca="false">Seg!$F$80+(g_ps-Seg!$F$80)*1/4</f>
        <v>0.0509440640325716</v>
      </c>
      <c r="I80" s="13" t="n">
        <f aca="false">Seg!$F$80+(g_ps-Seg!$F$80)*2/4</f>
        <v>0.0439627093550477</v>
      </c>
      <c r="J80" s="13" t="n">
        <f aca="false">Seg!$F$80+(g_ps-Seg!$F$80)*3/4</f>
        <v>0.0369813546775239</v>
      </c>
      <c r="K80" s="13" t="n">
        <f aca="false">Seg!$F$80+(g_ps-Seg!$F$80)*4/4</f>
        <v>0.03</v>
      </c>
      <c r="L80" s="13" t="n">
        <f aca="false">g_ps</f>
        <v>0.03</v>
      </c>
      <c r="M80" s="13" t="n">
        <f aca="false">g_ps</f>
        <v>0.03</v>
      </c>
      <c r="P80" s="8" t="s">
        <v>682</v>
      </c>
    </row>
    <row r="81" customFormat="false" ht="17.15" hidden="false" customHeight="false" outlineLevel="0" collapsed="false">
      <c r="A81" s="0" t="s">
        <v>528</v>
      </c>
      <c r="B81" s="0" t="s">
        <v>86</v>
      </c>
      <c r="C81" s="38" t="n">
        <f aca="false">Q!$D$12</f>
        <v>156.146</v>
      </c>
      <c r="D81" s="38" t="n">
        <f aca="false">Q!$E$12</f>
        <v>172.162</v>
      </c>
      <c r="E81" s="38" t="n">
        <f aca="false">Q!$P$12</f>
        <v>88.358</v>
      </c>
      <c r="F81" s="38" t="n">
        <f aca="false">Seg!$O$81*(1+Seg!$F$82)*Seg!$F$89</f>
        <v>102.004388260171</v>
      </c>
      <c r="G81" s="38" t="n">
        <f aca="false">Seg!$E$81+Seg!$F$81</f>
        <v>190.362388260171</v>
      </c>
      <c r="H81" s="38" t="n">
        <f aca="false">Seg!$G$81*(1+Seg!$H$82)</f>
        <v>210.343106588311</v>
      </c>
      <c r="I81" s="38" t="n">
        <f aca="false">Seg!$H$81*(1+Seg!$I$82)</f>
        <v>229.969728494648</v>
      </c>
      <c r="J81" s="38" t="n">
        <f aca="false">Seg!$I$81*(1+Seg!$J$82)</f>
        <v>248.747636972598</v>
      </c>
      <c r="K81" s="38" t="n">
        <f aca="false">Seg!$J$81*(1+Seg!$K$82)</f>
        <v>266.15997156068</v>
      </c>
      <c r="L81" s="38" t="n">
        <f aca="false">Seg!$K$81*(1+Seg!$L$82)</f>
        <v>284.791169569927</v>
      </c>
      <c r="M81" s="38" t="n">
        <f aca="false">Seg!$L$81*(1+Seg!$M$82)</f>
        <v>304.726551439822</v>
      </c>
      <c r="N81" s="38" t="n">
        <f aca="false">Q!$N$12</f>
        <v>76.86</v>
      </c>
      <c r="O81" s="38" t="n">
        <f aca="false">Q!$O$12</f>
        <v>95.302</v>
      </c>
      <c r="P81" s="8" t="s">
        <v>678</v>
      </c>
    </row>
    <row r="82" customFormat="false" ht="17.15" hidden="false" customHeight="false" outlineLevel="0" collapsed="false">
      <c r="A82" s="0" t="s">
        <v>683</v>
      </c>
      <c r="B82" s="0" t="s">
        <v>52</v>
      </c>
      <c r="E82" s="13" t="n">
        <f aca="false">Seg!$E$81/Seg!$N$81-1</f>
        <v>0.1495966692688</v>
      </c>
      <c r="F82" s="13" t="n">
        <f aca="false">Seg!$O$81/(Q!$F$12+Q!$G$12)-1</f>
        <v>0.11661530890813</v>
      </c>
      <c r="G82" s="13" t="n">
        <f aca="false">Seg!$G$81/Seg!$D$81-1</f>
        <v>0.105716640490767</v>
      </c>
      <c r="H82" s="13" t="n">
        <f aca="false">Seg!$F$82+(g_sp-Seg!$F$82)*1/4</f>
        <v>0.104961481681098</v>
      </c>
      <c r="I82" s="13" t="n">
        <f aca="false">Seg!$F$82+(g_sp-Seg!$F$82)*2/4</f>
        <v>0.0933076544540651</v>
      </c>
      <c r="J82" s="13" t="n">
        <f aca="false">Seg!$F$82+(g_sp-Seg!$F$82)*3/4</f>
        <v>0.0816538272270325</v>
      </c>
      <c r="K82" s="13" t="n">
        <f aca="false">Seg!$F$82+(g_sp-Seg!$F$82)*4/4</f>
        <v>0.07</v>
      </c>
      <c r="L82" s="13" t="n">
        <f aca="false">g_sp</f>
        <v>0.07</v>
      </c>
      <c r="M82" s="13" t="n">
        <f aca="false">g_sp</f>
        <v>0.07</v>
      </c>
      <c r="P82" s="8" t="s">
        <v>684</v>
      </c>
    </row>
    <row r="83" customFormat="false" ht="17.15" hidden="false" customHeight="false" outlineLevel="0" collapsed="false">
      <c r="A83" s="0" t="s">
        <v>529</v>
      </c>
      <c r="B83" s="0" t="s">
        <v>86</v>
      </c>
      <c r="C83" s="38" t="n">
        <f aca="false">Q!$D$13</f>
        <v>56.214</v>
      </c>
      <c r="D83" s="38" t="n">
        <f aca="false">Q!$E$13</f>
        <v>68.635</v>
      </c>
      <c r="E83" s="38" t="n">
        <f aca="false">Q!$P$13</f>
        <v>37.052</v>
      </c>
      <c r="F83" s="38" t="n">
        <f aca="false">Seg!$O$83*(1+Seg!$F$84)*Seg!$F$89</f>
        <v>46.1572219944148</v>
      </c>
      <c r="G83" s="38" t="n">
        <f aca="false">Seg!$E$83+Seg!$F$83</f>
        <v>83.2092219944148</v>
      </c>
      <c r="H83" s="38" t="n">
        <f aca="false">Seg!$G$83*(1+Seg!$H$84)</f>
        <v>99.8969223878976</v>
      </c>
      <c r="I83" s="38" t="n">
        <f aca="false">Seg!$H$83*(1+Seg!$I$84)</f>
        <v>116.583111095496</v>
      </c>
      <c r="J83" s="38" t="n">
        <f aca="false">Seg!$I$83*(1+Seg!$J$84)</f>
        <v>132.148941941952</v>
      </c>
      <c r="K83" s="38" t="n">
        <f aca="false">Seg!$J$83*(1+Seg!$K$84)</f>
        <v>145.363836136147</v>
      </c>
      <c r="L83" s="38" t="n">
        <f aca="false">Seg!$K$83*(1+Seg!$L$84)</f>
        <v>159.900219749762</v>
      </c>
      <c r="M83" s="38" t="n">
        <f aca="false">Seg!$L$83*(1+Seg!$M$84)</f>
        <v>175.890241724738</v>
      </c>
      <c r="N83" s="38" t="n">
        <f aca="false">Q!$N$13</f>
        <v>29.615</v>
      </c>
      <c r="O83" s="38" t="n">
        <f aca="false">Q!$O$13</f>
        <v>39.02</v>
      </c>
      <c r="P83" s="8" t="s">
        <v>678</v>
      </c>
    </row>
    <row r="84" customFormat="false" ht="17.15" hidden="false" customHeight="false" outlineLevel="0" collapsed="false">
      <c r="A84" s="0" t="s">
        <v>685</v>
      </c>
      <c r="B84" s="0" t="s">
        <v>52</v>
      </c>
      <c r="E84" s="13" t="n">
        <f aca="false">Seg!$E$83/Seg!$N$83-1</f>
        <v>0.25112274185379</v>
      </c>
      <c r="F84" s="13" t="n">
        <f aca="false">Seg!$O$83/(Q!$F$13+Q!$G$13)-1</f>
        <v>0.234068123596572</v>
      </c>
      <c r="G84" s="13" t="n">
        <f aca="false">Seg!$G$83/Seg!$D$83-1</f>
        <v>0.212343876949294</v>
      </c>
      <c r="H84" s="13" t="n">
        <f aca="false">Seg!$F$84+(g_ad-Seg!$F$84)*1/4</f>
        <v>0.200551092697429</v>
      </c>
      <c r="I84" s="13" t="n">
        <f aca="false">Seg!$F$84+(g_ad-Seg!$F$84)*2/4</f>
        <v>0.167034061798286</v>
      </c>
      <c r="J84" s="13" t="n">
        <f aca="false">Seg!$F$84+(g_ad-Seg!$F$84)*3/4</f>
        <v>0.133517030899143</v>
      </c>
      <c r="K84" s="13" t="n">
        <f aca="false">Seg!$F$84+(g_ad-Seg!$F$84)*4/4</f>
        <v>0.1</v>
      </c>
      <c r="L84" s="13" t="n">
        <f aca="false">g_ad</f>
        <v>0.1</v>
      </c>
      <c r="M84" s="13" t="n">
        <f aca="false">g_ad</f>
        <v>0.1</v>
      </c>
      <c r="P84" s="8" t="s">
        <v>686</v>
      </c>
    </row>
    <row r="85" customFormat="false" ht="17.15" hidden="false" customHeight="false" outlineLevel="0" collapsed="false">
      <c r="A85" s="0" t="s">
        <v>530</v>
      </c>
      <c r="B85" s="0" t="s">
        <v>86</v>
      </c>
      <c r="C85" s="38" t="n">
        <f aca="false">Q!$D$14</f>
        <v>44.374</v>
      </c>
      <c r="D85" s="38" t="n">
        <f aca="false">Q!$E$14</f>
        <v>49.619</v>
      </c>
      <c r="E85" s="38" t="n">
        <f aca="false">Q!$P$14</f>
        <v>27.157</v>
      </c>
      <c r="F85" s="38" t="n">
        <f aca="false">Seg!$O$85*(1+Seg!$F$86)*Seg!$F$89</f>
        <v>27.7764165988154</v>
      </c>
      <c r="G85" s="38" t="n">
        <f aca="false">Seg!$E$85+Seg!$F$85</f>
        <v>54.9334165988154</v>
      </c>
      <c r="H85" s="38" t="n">
        <f aca="false">Seg!$G$85*(1+Seg!$H$86)</f>
        <v>61.1564112561829</v>
      </c>
      <c r="I85" s="38" t="n">
        <f aca="false">Seg!$H$85*(1+Seg!$I$86)</f>
        <v>67.2020282103945</v>
      </c>
      <c r="J85" s="38" t="n">
        <f aca="false">Seg!$I$85*(1+Seg!$J$86)</f>
        <v>72.8757274028885</v>
      </c>
      <c r="K85" s="38" t="n">
        <f aca="false">Seg!$J$85*(1+Seg!$K$86)</f>
        <v>77.9770283210907</v>
      </c>
      <c r="L85" s="38" t="n">
        <f aca="false">Seg!$K$85*(1+Seg!$L$86)</f>
        <v>83.4354203035671</v>
      </c>
      <c r="M85" s="38" t="n">
        <f aca="false">Seg!$L$85*(1+Seg!$M$86)</f>
        <v>89.2758997248168</v>
      </c>
      <c r="N85" s="38" t="n">
        <f aca="false">Q!$N$14</f>
        <v>23.923</v>
      </c>
      <c r="O85" s="38" t="n">
        <f aca="false">Q!$O$14</f>
        <v>25.696</v>
      </c>
      <c r="P85" s="8" t="s">
        <v>678</v>
      </c>
    </row>
    <row r="86" customFormat="false" ht="17.15" hidden="false" customHeight="false" outlineLevel="0" collapsed="false">
      <c r="A86" s="0" t="s">
        <v>687</v>
      </c>
      <c r="B86" s="0" t="s">
        <v>52</v>
      </c>
      <c r="E86" s="13" t="n">
        <f aca="false">Seg!$E$85/Seg!$N$85-1</f>
        <v>0.135183714417088</v>
      </c>
      <c r="F86" s="13" t="n">
        <f aca="false">Seg!$O$85/(Q!$F$14+Q!$G$14)-1</f>
        <v>0.127709997366804</v>
      </c>
      <c r="G86" s="13" t="n">
        <f aca="false">Seg!$G$85/Seg!$D$85-1</f>
        <v>0.107104468022641</v>
      </c>
      <c r="H86" s="13" t="n">
        <f aca="false">Seg!$F$86+(g_sub-Seg!$F$86)*1/4</f>
        <v>0.113282498025103</v>
      </c>
      <c r="I86" s="13" t="n">
        <f aca="false">Seg!$F$86+(g_sub-Seg!$F$86)*2/4</f>
        <v>0.0988549986834021</v>
      </c>
      <c r="J86" s="13" t="n">
        <f aca="false">Seg!$F$86+(g_sub-Seg!$F$86)*3/4</f>
        <v>0.084427499341701</v>
      </c>
      <c r="K86" s="13" t="n">
        <f aca="false">Seg!$F$86+(g_sub-Seg!$F$86)*4/4</f>
        <v>0.07</v>
      </c>
      <c r="L86" s="13" t="n">
        <f aca="false">g_sub</f>
        <v>0.07</v>
      </c>
      <c r="M86" s="13" t="n">
        <f aca="false">g_sub</f>
        <v>0.07</v>
      </c>
      <c r="P86" s="8" t="s">
        <v>688</v>
      </c>
    </row>
    <row r="87" customFormat="false" ht="17.15" hidden="false" customHeight="false" outlineLevel="0" collapsed="false">
      <c r="A87" s="0" t="s">
        <v>531</v>
      </c>
      <c r="B87" s="0" t="s">
        <v>86</v>
      </c>
      <c r="C87" s="38" t="n">
        <f aca="false">Q!$D$15</f>
        <v>5.425</v>
      </c>
      <c r="D87" s="38" t="n">
        <f aca="false">Q!$E$15</f>
        <v>5.935</v>
      </c>
      <c r="E87" s="38" t="n">
        <f aca="false">Q!$P$15</f>
        <v>3.474</v>
      </c>
      <c r="F87" s="38" t="n">
        <f aca="false">Seg!$O$87*(1+Seg!$F$88)*Seg!$F$89</f>
        <v>3.22246550883619</v>
      </c>
      <c r="G87" s="38" t="n">
        <f aca="false">Seg!$E$87+Seg!$F$87</f>
        <v>6.69646550883619</v>
      </c>
      <c r="H87" s="38" t="n">
        <f aca="false">Seg!$G$87*(1+Seg!$H$88)</f>
        <v>7.16251344209196</v>
      </c>
      <c r="I87" s="38" t="n">
        <f aca="false">Seg!$H$87*(1+Seg!$I$88)</f>
        <v>7.61421070299826</v>
      </c>
      <c r="J87" s="38" t="n">
        <f aca="false">Seg!$I$87*(1+Seg!$J$88)</f>
        <v>8.04465753523932</v>
      </c>
      <c r="K87" s="38" t="n">
        <f aca="false">Seg!$J$87*(1+Seg!$K$88)</f>
        <v>8.44689041200128</v>
      </c>
      <c r="L87" s="38" t="n">
        <f aca="false">Seg!$K$87*(1+Seg!$L$88)</f>
        <v>8.86923493260135</v>
      </c>
      <c r="M87" s="38" t="n">
        <f aca="false">Seg!$L$87*(1+Seg!$M$88)</f>
        <v>9.31269667923142</v>
      </c>
      <c r="N87" s="38" t="n">
        <f aca="false">Q!$N$15</f>
        <v>2.811</v>
      </c>
      <c r="O87" s="38" t="n">
        <f aca="false">Q!$O$15</f>
        <v>3.124</v>
      </c>
      <c r="P87" s="8" t="s">
        <v>678</v>
      </c>
    </row>
    <row r="88" customFormat="false" ht="17.15" hidden="false" customHeight="false" outlineLevel="0" collapsed="false">
      <c r="A88" s="0" t="s">
        <v>689</v>
      </c>
      <c r="B88" s="0" t="s">
        <v>52</v>
      </c>
      <c r="E88" s="13" t="n">
        <f aca="false">Seg!$E$87/Seg!$N$87-1</f>
        <v>0.235859124866596</v>
      </c>
      <c r="F88" s="13" t="n">
        <f aca="false">Seg!$O$87/(Q!$F$15+Q!$G$15)-1</f>
        <v>0.0761281433000345</v>
      </c>
      <c r="G88" s="13" t="n">
        <f aca="false">Seg!$G$87/Seg!$D$87-1</f>
        <v>0.128300843948811</v>
      </c>
      <c r="H88" s="13" t="n">
        <f aca="false">Seg!$F$88+(g_ot-Seg!$F$88)*1/4</f>
        <v>0.0695961074750259</v>
      </c>
      <c r="I88" s="13" t="n">
        <f aca="false">Seg!$F$88+(g_ot-Seg!$F$88)*2/4</f>
        <v>0.0630640716500172</v>
      </c>
      <c r="J88" s="13" t="n">
        <f aca="false">Seg!$F$88+(g_ot-Seg!$F$88)*3/4</f>
        <v>0.0565320358250086</v>
      </c>
      <c r="K88" s="13" t="n">
        <f aca="false">Seg!$F$88+(g_ot-Seg!$F$88)*4/4</f>
        <v>0.05</v>
      </c>
      <c r="L88" s="13" t="n">
        <f aca="false">g_ot</f>
        <v>0.05</v>
      </c>
      <c r="M88" s="13" t="n">
        <f aca="false">g_ot</f>
        <v>0.05</v>
      </c>
      <c r="P88" s="8" t="s">
        <v>690</v>
      </c>
    </row>
    <row r="89" customFormat="false" ht="17.15" hidden="false" customHeight="false" outlineLevel="0" collapsed="false">
      <c r="A89" s="0" t="s">
        <v>691</v>
      </c>
      <c r="B89" s="0" t="s">
        <v>57</v>
      </c>
      <c r="F89" s="40" t="n">
        <f aca="false">(g26q3_mid*Q!$O$8/Q!$J$8-Thesis!$F$89-Thesis!$F$93)/(Seg!$O$77*(1+Seg!$F$78)+Seg!$O$79*(1+Seg!$F$80)+Seg!$O$81*(1+Seg!$F$82)+Seg!$O$83*(1+Seg!$F$84)+Seg!$O$85*(1+Seg!$F$86)+Seg!$O$87*(1+Seg!$F$88))</f>
        <v>0.958546670622329</v>
      </c>
      <c r="P89" s="8" t="s">
        <v>692</v>
      </c>
    </row>
    <row r="90" customFormat="false" ht="17.15" hidden="false" customHeight="false" outlineLevel="0" collapsed="false">
      <c r="A90" s="3" t="s">
        <v>693</v>
      </c>
      <c r="B90" s="8" t="s">
        <v>86</v>
      </c>
      <c r="C90" s="38" t="n">
        <f aca="false">Seg!$C$77+Seg!$C$79+Seg!$C$81+Seg!$C$83+Seg!$C$85+Seg!$C$87</f>
        <v>530.403</v>
      </c>
      <c r="D90" s="38" t="n">
        <f aca="false">Seg!$D$77+Seg!$D$79+Seg!$D$81+Seg!$D$83+Seg!$D$85+Seg!$D$87</f>
        <v>588.199</v>
      </c>
      <c r="E90" s="38" t="n">
        <f aca="false">Seg!$E$77+Seg!$E$79+Seg!$E$81+Seg!$E$83+Seg!$E$85+Seg!$E$87</f>
        <v>302.306</v>
      </c>
      <c r="F90" s="38" t="n">
        <f aca="false">Seg!$F$77+Seg!$F$79+Seg!$F$81+Seg!$F$83+Seg!$F$85+Seg!$F$87</f>
        <v>349.048241645537</v>
      </c>
      <c r="G90" s="38" t="n">
        <f aca="false">Seg!$G$77+Seg!$G$79+Seg!$G$81+Seg!$G$83+Seg!$G$85+Seg!$G$87</f>
        <v>651.354241645537</v>
      </c>
      <c r="H90" s="38" t="n">
        <f aca="false">Seg!$H$77+Seg!$H$79+Seg!$H$81+Seg!$H$83+Seg!$H$85+Seg!$H$87</f>
        <v>721.096889521386</v>
      </c>
      <c r="I90" s="38" t="n">
        <f aca="false">Seg!$I$77+Seg!$I$79+Seg!$I$81+Seg!$I$83+Seg!$I$85+Seg!$I$87</f>
        <v>788.529391152531</v>
      </c>
      <c r="J90" s="38" t="n">
        <f aca="false">Seg!$J$77+Seg!$J$79+Seg!$J$81+Seg!$J$83+Seg!$J$85+Seg!$J$87</f>
        <v>851.108405741443</v>
      </c>
      <c r="K90" s="38" t="n">
        <f aca="false">Seg!$K$77+Seg!$K$79+Seg!$K$81+Seg!$K$83+Seg!$K$85+Seg!$K$87</f>
        <v>906.176455431088</v>
      </c>
      <c r="L90" s="38" t="n">
        <f aca="false">Seg!$L$77+Seg!$L$79+Seg!$L$81+Seg!$L$83+Seg!$L$85+Seg!$L$87</f>
        <v>965.093106475589</v>
      </c>
      <c r="M90" s="38" t="n">
        <f aca="false">Seg!$M$77+Seg!$M$79+Seg!$M$81+Seg!$M$83+Seg!$M$85+Seg!$M$87</f>
        <v>1028.14790794689</v>
      </c>
      <c r="N90" s="38" t="n">
        <f aca="false">Seg!$N$77+Seg!$N$79+Seg!$N$81+Seg!$N$83+Seg!$N$85+Seg!$N$87</f>
        <v>263.229</v>
      </c>
      <c r="O90" s="38" t="n">
        <f aca="false">Seg!$O$77+Seg!$O$79+Seg!$O$81+Seg!$O$83+Seg!$O$85+Seg!$O$87</f>
        <v>324.97</v>
      </c>
    </row>
    <row r="91" customFormat="false" ht="17.15" hidden="false" customHeight="false" outlineLevel="0" collapsed="false">
      <c r="A91" s="5" t="s">
        <v>694</v>
      </c>
      <c r="B91" s="0" t="s">
        <v>52</v>
      </c>
      <c r="C91" s="13" t="n">
        <f aca="false">Q!$D$5/(Q!$D$5+Q!$D$6)</f>
        <v>0.730570905519011</v>
      </c>
      <c r="D91" s="13" t="n">
        <f aca="false">Q!$E$5/(Q!$E$5+Q!$E$6)</f>
        <v>0.724763217890544</v>
      </c>
      <c r="E91" s="13" t="n">
        <f aca="false">Q!$P$5/(Q!$P$5+Q!$P$6)</f>
        <v>0.728797972914861</v>
      </c>
      <c r="F91" s="13" t="n">
        <f aca="false">Seg!$O$91</f>
        <v>0.718066283041511</v>
      </c>
      <c r="G91" s="13" t="n">
        <f aca="false">Seg!$G$92/Seg!$G$90</f>
        <v>0.723047066202847</v>
      </c>
      <c r="H91" s="13" t="n">
        <f aca="false">Seg!$G$91</f>
        <v>0.723047066202847</v>
      </c>
      <c r="I91" s="13" t="n">
        <f aca="false">Seg!$G$91</f>
        <v>0.723047066202847</v>
      </c>
      <c r="J91" s="13" t="n">
        <f aca="false">Seg!$G$91</f>
        <v>0.723047066202847</v>
      </c>
      <c r="K91" s="13" t="n">
        <f aca="false">Seg!$G$91</f>
        <v>0.723047066202847</v>
      </c>
      <c r="L91" s="13" t="n">
        <f aca="false">Seg!$G$91</f>
        <v>0.723047066202847</v>
      </c>
      <c r="M91" s="13" t="n">
        <f aca="false">Seg!$G$91</f>
        <v>0.723047066202847</v>
      </c>
      <c r="N91" s="13" t="n">
        <f aca="false">Q!$N$5/(Q!$N$5+Q!$N$6)</f>
        <v>0.733030935041352</v>
      </c>
      <c r="O91" s="13" t="n">
        <f aca="false">Q!$O$5/(Q!$O$5+Q!$O$6)</f>
        <v>0.718066283041511</v>
      </c>
      <c r="P91" s="8" t="s">
        <v>695</v>
      </c>
    </row>
    <row r="92" customFormat="false" ht="17.15" hidden="false" customHeight="false" outlineLevel="0" collapsed="false">
      <c r="A92" s="1" t="s">
        <v>519</v>
      </c>
      <c r="B92" s="8" t="s">
        <v>86</v>
      </c>
      <c r="C92" s="38" t="n">
        <f aca="false">Q!$D$5</f>
        <v>387.497</v>
      </c>
      <c r="D92" s="38" t="n">
        <f aca="false">Q!$E$5</f>
        <v>426.305</v>
      </c>
      <c r="E92" s="38" t="n">
        <f aca="false">Q!$P$5</f>
        <v>220.32</v>
      </c>
      <c r="F92" s="38" t="n">
        <f aca="false">Seg!$F$90*Seg!$F$91</f>
        <v>250.639773480586</v>
      </c>
      <c r="G92" s="38" t="n">
        <f aca="false">Seg!$E$92+Seg!$F$92</f>
        <v>470.959773480586</v>
      </c>
      <c r="H92" s="38" t="n">
        <f aca="false">Seg!$H$90*Seg!$H$91</f>
        <v>521.386990416437</v>
      </c>
      <c r="I92" s="38" t="n">
        <f aca="false">Seg!$I$90*Seg!$I$91</f>
        <v>570.143862887555</v>
      </c>
      <c r="J92" s="38" t="n">
        <f aca="false">Seg!$J$90*Seg!$J$91</f>
        <v>615.391435791933</v>
      </c>
      <c r="K92" s="38" t="n">
        <f aca="false">Seg!$K$90*Seg!$K$91</f>
        <v>655.208227561543</v>
      </c>
      <c r="L92" s="38" t="n">
        <f aca="false">Seg!$L$90*Seg!$L$91</f>
        <v>697.807739249767</v>
      </c>
      <c r="M92" s="38" t="n">
        <f aca="false">Seg!$M$90*Seg!$M$91</f>
        <v>743.399328463592</v>
      </c>
      <c r="N92" s="38" t="n">
        <f aca="false">Q!$N$5</f>
        <v>192.955</v>
      </c>
      <c r="O92" s="38" t="n">
        <f aca="false">Q!$O$5</f>
        <v>233.35</v>
      </c>
      <c r="P92" s="5" t="s">
        <v>696</v>
      </c>
    </row>
    <row r="93" customFormat="false" ht="17.15" hidden="false" customHeight="false" outlineLevel="0" collapsed="false">
      <c r="A93" s="1" t="s">
        <v>522</v>
      </c>
      <c r="B93" s="8" t="s">
        <v>86</v>
      </c>
      <c r="C93" s="38" t="n">
        <f aca="false">Q!$D$6</f>
        <v>142.906</v>
      </c>
      <c r="D93" s="38" t="n">
        <f aca="false">Q!$E$6</f>
        <v>161.894</v>
      </c>
      <c r="E93" s="38" t="n">
        <f aca="false">Q!$P$6</f>
        <v>81.986</v>
      </c>
      <c r="F93" s="38" t="n">
        <f aca="false">Seg!$F$90*(1-Seg!$F$91)</f>
        <v>98.408468164951</v>
      </c>
      <c r="G93" s="38" t="n">
        <f aca="false">Seg!$E$93+Seg!$F$93</f>
        <v>180.394468164951</v>
      </c>
      <c r="H93" s="38" t="n">
        <f aca="false">Seg!$H$90*(1-Seg!$H$91)</f>
        <v>199.709899104949</v>
      </c>
      <c r="I93" s="38" t="n">
        <f aca="false">Seg!$I$90*(1-Seg!$I$91)</f>
        <v>218.385528264976</v>
      </c>
      <c r="J93" s="38" t="n">
        <f aca="false">Seg!$J$90*(1-Seg!$J$91)</f>
        <v>235.71696994951</v>
      </c>
      <c r="K93" s="38" t="n">
        <f aca="false">Seg!$K$90*(1-Seg!$K$91)</f>
        <v>250.968227869545</v>
      </c>
      <c r="L93" s="38" t="n">
        <f aca="false">Seg!$L$90*(1-Seg!$L$91)</f>
        <v>267.285367225822</v>
      </c>
      <c r="M93" s="38" t="n">
        <f aca="false">Seg!$M$90*(1-Seg!$M$91)</f>
        <v>284.748579483295</v>
      </c>
      <c r="N93" s="38" t="n">
        <f aca="false">Q!$N$6</f>
        <v>70.274</v>
      </c>
      <c r="O93" s="38" t="n">
        <f aca="false">Q!$O$6</f>
        <v>91.62</v>
      </c>
      <c r="P93" s="5" t="s">
        <v>697</v>
      </c>
    </row>
    <row r="94" customFormat="false" ht="17.15" hidden="false" customHeight="false" outlineLevel="0" collapsed="false">
      <c r="A94" s="5" t="s">
        <v>698</v>
      </c>
      <c r="B94" s="0" t="s">
        <v>86</v>
      </c>
      <c r="C94" s="38" t="n">
        <f aca="false">Seg!$C$83*Seg!$C$91</f>
        <v>41.0683128828457</v>
      </c>
      <c r="D94" s="38" t="n">
        <f aca="false">Seg!$D$83*Seg!$D$91</f>
        <v>49.7441234599175</v>
      </c>
      <c r="E94" s="38" t="n">
        <f aca="false">Seg!$E$83*Seg!$E$91</f>
        <v>27.0034224924414</v>
      </c>
      <c r="F94" s="38" t="n">
        <f aca="false">Seg!$F$83*Seg!$F$91</f>
        <v>33.1439448330513</v>
      </c>
      <c r="G94" s="38" t="n">
        <f aca="false">Seg!$G$83*Seg!$G$91</f>
        <v>60.164183844083</v>
      </c>
      <c r="H94" s="38" t="n">
        <f aca="false">Seg!$H$83*Seg!$H$91</f>
        <v>72.2301766552629</v>
      </c>
      <c r="I94" s="38" t="n">
        <f aca="false">Seg!$I$83*Seg!$I$91</f>
        <v>84.2950764463991</v>
      </c>
      <c r="J94" s="38" t="n">
        <f aca="false">Seg!$J$83*Seg!$J$91</f>
        <v>95.5499047729386</v>
      </c>
      <c r="K94" s="38" t="n">
        <f aca="false">Seg!$K$83*Seg!$K$91</f>
        <v>105.104895250232</v>
      </c>
      <c r="L94" s="38" t="n">
        <f aca="false">Seg!$L$83*Seg!$L$91</f>
        <v>115.615384775256</v>
      </c>
      <c r="M94" s="38" t="n">
        <f aca="false">Seg!$M$83*Seg!$M$91</f>
        <v>127.176923252781</v>
      </c>
      <c r="N94" s="38" t="n">
        <f aca="false">Seg!$N$83*Seg!$N$91</f>
        <v>21.7087111412496</v>
      </c>
      <c r="O94" s="38" t="n">
        <f aca="false">Seg!$O$83*Seg!$O$91</f>
        <v>28.0189463642798</v>
      </c>
      <c r="P94" s="5" t="s">
        <v>699</v>
      </c>
    </row>
    <row r="95" customFormat="false" ht="15" hidden="false" customHeight="false" outlineLevel="0" collapsed="false">
      <c r="A95" s="5" t="s">
        <v>700</v>
      </c>
      <c r="B95" s="0" t="s">
        <v>86</v>
      </c>
      <c r="C95" s="38" t="n">
        <f aca="false">Seg!$C$83-Seg!$C$94</f>
        <v>15.1456871171543</v>
      </c>
      <c r="D95" s="38" t="n">
        <f aca="false">Seg!$D$83-Seg!$D$94</f>
        <v>18.8908765400825</v>
      </c>
      <c r="E95" s="38" t="n">
        <f aca="false">Seg!$E$83-Seg!$E$94</f>
        <v>10.0485775075586</v>
      </c>
      <c r="F95" s="38" t="n">
        <f aca="false">Seg!$F$83-Seg!$F$94</f>
        <v>13.0132771613635</v>
      </c>
      <c r="G95" s="38" t="n">
        <f aca="false">Seg!$G$83-Seg!$G$94</f>
        <v>23.0450381503318</v>
      </c>
      <c r="H95" s="38" t="n">
        <f aca="false">Seg!$H$83-Seg!$H$94</f>
        <v>27.6667457326347</v>
      </c>
      <c r="I95" s="38" t="n">
        <f aca="false">Seg!$I$83-Seg!$I$94</f>
        <v>32.2880346490971</v>
      </c>
      <c r="J95" s="38" t="n">
        <f aca="false">Seg!$J$83-Seg!$J$94</f>
        <v>36.5990371690132</v>
      </c>
      <c r="K95" s="38" t="n">
        <f aca="false">Seg!$K$83-Seg!$K$94</f>
        <v>40.2589408859145</v>
      </c>
      <c r="L95" s="38" t="n">
        <f aca="false">Seg!$L$83-Seg!$L$94</f>
        <v>44.2848349745059</v>
      </c>
      <c r="M95" s="38" t="n">
        <f aca="false">Seg!$M$83-Seg!$M$94</f>
        <v>48.7133184719565</v>
      </c>
      <c r="N95" s="38" t="n">
        <f aca="false">Seg!$N$83-Seg!$N$94</f>
        <v>7.90628885875037</v>
      </c>
      <c r="O95" s="38" t="n">
        <f aca="false">Seg!$O$83-Seg!$O$94</f>
        <v>11.0010536357202</v>
      </c>
    </row>
    <row r="96" customFormat="false" ht="17.15" hidden="false" customHeight="false" outlineLevel="0" collapsed="false">
      <c r="A96" s="1" t="s">
        <v>701</v>
      </c>
    </row>
    <row r="97" customFormat="false" ht="17.15" hidden="false" customHeight="false" outlineLevel="0" collapsed="false">
      <c r="A97" s="0" t="s">
        <v>702</v>
      </c>
      <c r="B97" s="0" t="s">
        <v>86</v>
      </c>
      <c r="C97" s="38" t="n">
        <f aca="false">Thesis!$C$152</f>
        <v>2.32100535697364</v>
      </c>
      <c r="D97" s="38" t="n">
        <f aca="false">Thesis!$D$152</f>
        <v>8.70377008865116</v>
      </c>
      <c r="E97" s="38" t="n">
        <f aca="false">Thesis!$E$152</f>
        <v>8.51035297557002</v>
      </c>
      <c r="F97" s="38" t="n">
        <f aca="false">Thesis!$F$152</f>
        <v>14.1374173083338</v>
      </c>
      <c r="G97" s="38" t="n">
        <f aca="false">Thesis!$G$152</f>
        <v>22.6477702839038</v>
      </c>
      <c r="H97" s="38" t="n">
        <f aca="false">Thesis!$H$152</f>
        <v>53.4222901978634</v>
      </c>
      <c r="I97" s="38" t="n">
        <f aca="false">Thesis!$I$152</f>
        <v>87.7997462553011</v>
      </c>
      <c r="J97" s="38" t="n">
        <f aca="false">Thesis!$J$152</f>
        <v>122.330137401312</v>
      </c>
      <c r="K97" s="38" t="n">
        <f aca="false">Thesis!$K$152</f>
        <v>151.788466594157</v>
      </c>
      <c r="L97" s="38" t="n">
        <f aca="false">Thesis!$L$152</f>
        <v>171.148625477554</v>
      </c>
      <c r="M97" s="38" t="n">
        <f aca="false">Thesis!$M$152</f>
        <v>180.385740185952</v>
      </c>
      <c r="N97" s="38" t="n">
        <f aca="false">Thesis!$N$152</f>
        <v>3.04631953102791</v>
      </c>
      <c r="O97" s="38" t="n">
        <f aca="false">Thesis!$O$152</f>
        <v>5.65745055762326</v>
      </c>
      <c r="P97" s="8" t="s">
        <v>703</v>
      </c>
    </row>
    <row r="98" customFormat="false" ht="17.15" hidden="false" customHeight="false" outlineLevel="0" collapsed="false">
      <c r="A98" s="0" t="s">
        <v>704</v>
      </c>
      <c r="B98" s="0" t="s">
        <v>86</v>
      </c>
      <c r="C98" s="38" t="n">
        <f aca="false">Thesis!$C$156</f>
        <v>105.234994643026</v>
      </c>
      <c r="D98" s="38" t="n">
        <f aca="false">Thesis!$D$156</f>
        <v>120.021229911349</v>
      </c>
      <c r="E98" s="38" t="n">
        <f aca="false">Thesis!$E$156</f>
        <v>71.30864702443</v>
      </c>
      <c r="F98" s="38" t="n">
        <f aca="false">Thesis!$F$156</f>
        <v>71.7692997942464</v>
      </c>
      <c r="G98" s="38" t="n">
        <f aca="false">Thesis!$G$156</f>
        <v>143.077946818676</v>
      </c>
      <c r="H98" s="38" t="n">
        <f aca="false">Thesis!$H$156</f>
        <v>161.017077079203</v>
      </c>
      <c r="I98" s="38" t="n">
        <f aca="false">Thesis!$I$156</f>
        <v>178.769759521457</v>
      </c>
      <c r="J98" s="38" t="n">
        <f aca="false">Thesis!$J$156</f>
        <v>195.775538045907</v>
      </c>
      <c r="K98" s="38" t="n">
        <f aca="false">Thesis!$K$156</f>
        <v>211.43758108958</v>
      </c>
      <c r="L98" s="38" t="n">
        <f aca="false">Thesis!$L$156</f>
        <v>228.352587576746</v>
      </c>
      <c r="M98" s="38" t="n">
        <f aca="false">Thesis!$M$156</f>
        <v>246.620794582886</v>
      </c>
      <c r="N98" s="38" t="n">
        <f aca="false">Thesis!$N$156</f>
        <v>57.0936804689721</v>
      </c>
      <c r="O98" s="38" t="n">
        <f aca="false">Thesis!$O$156</f>
        <v>62.9275494423768</v>
      </c>
      <c r="P98" s="8" t="s">
        <v>703</v>
      </c>
    </row>
    <row r="99" customFormat="false" ht="17.15" hidden="false" customHeight="false" outlineLevel="0" collapsed="false">
      <c r="A99" s="1" t="s">
        <v>523</v>
      </c>
      <c r="B99" s="8" t="s">
        <v>86</v>
      </c>
      <c r="C99" s="38" t="n">
        <f aca="false">Q!$D$7</f>
        <v>107.556</v>
      </c>
      <c r="D99" s="38" t="n">
        <f aca="false">Q!$E$7</f>
        <v>128.725</v>
      </c>
      <c r="E99" s="38" t="n">
        <f aca="false">Q!$P$7</f>
        <v>79.819</v>
      </c>
      <c r="F99" s="38" t="n">
        <f aca="false">Seg!$F$97+Seg!$F$98</f>
        <v>85.9067171025802</v>
      </c>
      <c r="G99" s="38" t="n">
        <f aca="false">Seg!$G$97+Seg!$G$98</f>
        <v>165.72571710258</v>
      </c>
      <c r="H99" s="38" t="n">
        <f aca="false">Seg!$H$97+Seg!$H$98</f>
        <v>214.439367277066</v>
      </c>
      <c r="I99" s="38" t="n">
        <f aca="false">Seg!$I$97+Seg!$I$98</f>
        <v>266.569505776759</v>
      </c>
      <c r="J99" s="38" t="n">
        <f aca="false">Seg!$J$97+Seg!$J$98</f>
        <v>318.105675447219</v>
      </c>
      <c r="K99" s="38" t="n">
        <f aca="false">Seg!$K$97+Seg!$K$98</f>
        <v>363.226047683737</v>
      </c>
      <c r="L99" s="38" t="n">
        <f aca="false">Seg!$L$97+Seg!$L$98</f>
        <v>399.5012130543</v>
      </c>
      <c r="M99" s="38" t="n">
        <f aca="false">Seg!$M$97+Seg!$M$98</f>
        <v>427.006534768838</v>
      </c>
      <c r="N99" s="38" t="n">
        <f aca="false">Q!$N$7</f>
        <v>60.14</v>
      </c>
      <c r="O99" s="38" t="n">
        <f aca="false">Q!$O$7</f>
        <v>68.585</v>
      </c>
      <c r="P99" s="5" t="s">
        <v>705</v>
      </c>
    </row>
    <row r="100" customFormat="false" ht="15" hidden="false" customHeight="false" outlineLevel="0" collapsed="false">
      <c r="A100" s="3" t="s">
        <v>706</v>
      </c>
      <c r="B100" s="8" t="s">
        <v>86</v>
      </c>
      <c r="C100" s="38" t="n">
        <f aca="false">Q!$D$8</f>
        <v>637.959</v>
      </c>
      <c r="D100" s="38" t="n">
        <f aca="false">Q!$E$8</f>
        <v>716.924</v>
      </c>
      <c r="E100" s="38" t="n">
        <f aca="false">Q!$P$8</f>
        <v>382.125</v>
      </c>
      <c r="F100" s="38" t="n">
        <f aca="false">Seg!$F$90+Seg!$F$99</f>
        <v>434.954958748117</v>
      </c>
      <c r="G100" s="38" t="n">
        <f aca="false">Seg!$G$90+Seg!$G$99</f>
        <v>817.079958748117</v>
      </c>
      <c r="H100" s="38" t="n">
        <f aca="false">Seg!$H$90+Seg!$H$99</f>
        <v>935.536256798453</v>
      </c>
      <c r="I100" s="38" t="n">
        <f aca="false">Seg!$I$90+Seg!$I$99</f>
        <v>1055.09889692929</v>
      </c>
      <c r="J100" s="38" t="n">
        <f aca="false">Seg!$J$90+Seg!$J$99</f>
        <v>1169.21408118866</v>
      </c>
      <c r="K100" s="38" t="n">
        <f aca="false">Seg!$K$90+Seg!$K$99</f>
        <v>1269.40250311482</v>
      </c>
      <c r="L100" s="38" t="n">
        <f aca="false">Seg!$L$90+Seg!$L$99</f>
        <v>1364.59431952989</v>
      </c>
      <c r="M100" s="38" t="n">
        <f aca="false">Seg!$M$90+Seg!$M$99</f>
        <v>1455.15444271572</v>
      </c>
      <c r="N100" s="38" t="n">
        <f aca="false">Q!$N$8</f>
        <v>323.369</v>
      </c>
      <c r="O100" s="38" t="n">
        <f aca="false">Q!$O$8</f>
        <v>393.555</v>
      </c>
    </row>
    <row r="101" customFormat="false" ht="17.15" hidden="false" customHeight="false" outlineLevel="0" collapsed="false">
      <c r="A101" s="24" t="s">
        <v>718</v>
      </c>
      <c r="B101" s="25" t="s">
        <v>86</v>
      </c>
      <c r="C101" s="41" t="n">
        <f aca="false">Seg!$C$90-(Seg!$C$92+Seg!$C$93)</f>
        <v>0</v>
      </c>
      <c r="D101" s="41" t="n">
        <f aca="false">Seg!$D$90-(Seg!$D$92+Seg!$D$93)</f>
        <v>0</v>
      </c>
      <c r="E101" s="41" t="n">
        <f aca="false">Seg!$E$90-(Seg!$E$92+Seg!$E$93)</f>
        <v>0</v>
      </c>
      <c r="F101" s="41" t="n">
        <f aca="false">Seg!$F$90-(Seg!$F$92+Seg!$F$93)</f>
        <v>0</v>
      </c>
      <c r="G101" s="41" t="n">
        <f aca="false">Seg!$G$90-(Seg!$G$92+Seg!$G$93)</f>
        <v>0</v>
      </c>
      <c r="H101" s="41" t="n">
        <f aca="false">Seg!$H$90-(Seg!$H$92+Seg!$H$93)</f>
        <v>0</v>
      </c>
      <c r="I101" s="41" t="n">
        <f aca="false">Seg!$I$90-(Seg!$I$92+Seg!$I$93)</f>
        <v>0</v>
      </c>
      <c r="J101" s="41" t="n">
        <f aca="false">Seg!$J$90-(Seg!$J$92+Seg!$J$93)</f>
        <v>0</v>
      </c>
      <c r="K101" s="41" t="n">
        <f aca="false">Seg!$K$90-(Seg!$K$92+Seg!$K$93)</f>
        <v>0</v>
      </c>
      <c r="L101" s="41" t="n">
        <f aca="false">Seg!$L$90-(Seg!$L$92+Seg!$L$93)</f>
        <v>0</v>
      </c>
      <c r="M101" s="41" t="n">
        <f aca="false">Seg!$M$90-(Seg!$M$92+Seg!$M$93)</f>
        <v>0</v>
      </c>
      <c r="N101" s="41" t="n">
        <f aca="false">Seg!$N$90-(Seg!$N$92+Seg!$N$93)</f>
        <v>0</v>
      </c>
      <c r="O101" s="41" t="n">
        <f aca="false">Seg!$O$90-(Seg!$O$92+Seg!$O$93)</f>
        <v>0</v>
      </c>
    </row>
    <row r="102" customFormat="false" ht="17.15" hidden="false" customHeight="false" outlineLevel="0" collapsed="false">
      <c r="A102" s="24" t="s">
        <v>719</v>
      </c>
      <c r="B102" s="25" t="s">
        <v>86</v>
      </c>
      <c r="C102" s="41" t="n">
        <f aca="false">Seg!$C$97+Seg!$C$98-Seg!$C$99</f>
        <v>0</v>
      </c>
      <c r="D102" s="41" t="n">
        <f aca="false">Seg!$D$97+Seg!$D$98-Seg!$D$99</f>
        <v>0</v>
      </c>
      <c r="E102" s="41" t="n">
        <f aca="false">Seg!$E$97+Seg!$E$98-Seg!$E$99</f>
        <v>0</v>
      </c>
      <c r="F102" s="41" t="n">
        <f aca="false">Seg!$F$97+Seg!$F$98-Seg!$F$99</f>
        <v>0</v>
      </c>
      <c r="G102" s="41" t="n">
        <f aca="false">Seg!$G$97+Seg!$G$98-Seg!$G$99</f>
        <v>0</v>
      </c>
      <c r="H102" s="41" t="n">
        <f aca="false">Seg!$H$97+Seg!$H$98-Seg!$H$99</f>
        <v>0</v>
      </c>
      <c r="I102" s="41" t="n">
        <f aca="false">Seg!$I$97+Seg!$I$98-Seg!$I$99</f>
        <v>0</v>
      </c>
      <c r="J102" s="41" t="n">
        <f aca="false">Seg!$J$97+Seg!$J$98-Seg!$J$99</f>
        <v>0</v>
      </c>
      <c r="K102" s="41" t="n">
        <f aca="false">Seg!$K$97+Seg!$K$98-Seg!$K$99</f>
        <v>0</v>
      </c>
      <c r="L102" s="41" t="n">
        <f aca="false">Seg!$L$97+Seg!$L$98-Seg!$L$99</f>
        <v>0</v>
      </c>
      <c r="M102" s="41" t="n">
        <f aca="false">Seg!$M$97+Seg!$M$98-Seg!$M$99</f>
        <v>0</v>
      </c>
      <c r="N102" s="41" t="n">
        <f aca="false">Seg!$N$97+Seg!$N$98-Seg!$N$99</f>
        <v>0</v>
      </c>
      <c r="O102" s="41" t="n">
        <f aca="false">Seg!$O$97+Seg!$O$98-Seg!$O$99</f>
        <v>0</v>
      </c>
    </row>
    <row r="103" customFormat="false" ht="17.15" hidden="false" customHeight="false" outlineLevel="0" collapsed="false">
      <c r="A103" s="24" t="s">
        <v>720</v>
      </c>
      <c r="B103" s="25" t="s">
        <v>86</v>
      </c>
      <c r="C103" s="41" t="n">
        <f aca="false">Seg!$C$92+Seg!$C$93+Seg!$C$99-Seg!$C$100</f>
        <v>0</v>
      </c>
      <c r="D103" s="41" t="n">
        <f aca="false">Seg!$D$92+Seg!$D$93+Seg!$D$99-Seg!$D$100</f>
        <v>0</v>
      </c>
      <c r="E103" s="41" t="n">
        <f aca="false">Seg!$E$92+Seg!$E$93+Seg!$E$99-Seg!$E$100</f>
        <v>0</v>
      </c>
      <c r="F103" s="41" t="n">
        <f aca="false">Seg!$F$92+Seg!$F$93+Seg!$F$99-Seg!$F$100</f>
        <v>0</v>
      </c>
      <c r="G103" s="41" t="n">
        <f aca="false">Seg!$G$92+Seg!$G$93+Seg!$G$99-Seg!$G$100</f>
        <v>0</v>
      </c>
      <c r="H103" s="41" t="n">
        <f aca="false">Seg!$H$92+Seg!$H$93+Seg!$H$99-Seg!$H$100</f>
        <v>0</v>
      </c>
      <c r="I103" s="41" t="n">
        <f aca="false">Seg!$I$92+Seg!$I$93+Seg!$I$99-Seg!$I$100</f>
        <v>0</v>
      </c>
      <c r="J103" s="41" t="n">
        <f aca="false">Seg!$J$92+Seg!$J$93+Seg!$J$99-Seg!$J$100</f>
        <v>0</v>
      </c>
      <c r="K103" s="41" t="n">
        <f aca="false">Seg!$K$92+Seg!$K$93+Seg!$K$99-Seg!$K$100</f>
        <v>0</v>
      </c>
      <c r="L103" s="41" t="n">
        <f aca="false">Seg!$L$92+Seg!$L$93+Seg!$L$99-Seg!$L$100</f>
        <v>0</v>
      </c>
      <c r="M103" s="41" t="n">
        <f aca="false">Seg!$M$92+Seg!$M$93+Seg!$M$99-Seg!$M$100</f>
        <v>0</v>
      </c>
      <c r="N103" s="41" t="n">
        <f aca="false">Seg!$N$92+Seg!$N$93+Seg!$N$99-Seg!$N$100</f>
        <v>0</v>
      </c>
      <c r="O103" s="41" t="n">
        <f aca="false">Seg!$O$92+Seg!$O$93+Seg!$O$99-Seg!$O$100</f>
        <v>0</v>
      </c>
    </row>
    <row r="104" customFormat="false" ht="15" hidden="false" customHeight="false" outlineLevel="0" collapsed="false">
      <c r="A104" s="5" t="s">
        <v>710</v>
      </c>
      <c r="B104" s="0" t="s">
        <v>52</v>
      </c>
      <c r="G104" s="13" t="n">
        <f aca="false">Seg!$G$100/Seg!$D$100-1</f>
        <v>0.139702337692862</v>
      </c>
      <c r="H104" s="13" t="n">
        <f aca="false">Seg!$H$100/Seg!$G$100-1</f>
        <v>0.144975160364754</v>
      </c>
      <c r="I104" s="13" t="n">
        <f aca="false">Seg!$I$100/Seg!$H$100-1</f>
        <v>0.127801182756934</v>
      </c>
      <c r="J104" s="13" t="n">
        <f aca="false">Seg!$J$100/Seg!$I$100-1</f>
        <v>0.108155912769398</v>
      </c>
      <c r="K104" s="13" t="n">
        <f aca="false">Seg!$K$100/Seg!$J$100-1</f>
        <v>0.0856886891272366</v>
      </c>
      <c r="L104" s="13" t="n">
        <f aca="false">Seg!$L$100/Seg!$K$100-1</f>
        <v>0.0749894664469983</v>
      </c>
      <c r="M104" s="13" t="n">
        <f aca="false">Seg!$M$100/Seg!$L$100-1</f>
        <v>0.0663641361317064</v>
      </c>
    </row>
    <row r="105" customFormat="false" ht="17.15" hidden="false" customHeight="false" outlineLevel="0" collapsed="false">
      <c r="A105" s="0" t="s">
        <v>711</v>
      </c>
      <c r="B105" s="0" t="s">
        <v>52</v>
      </c>
      <c r="C105" s="13" t="n">
        <f aca="false">Seg!$C$99/Seg!$C$100</f>
        <v>0.168593906504964</v>
      </c>
      <c r="D105" s="13" t="n">
        <f aca="false">Seg!$D$99/Seg!$D$100</f>
        <v>0.179551807444025</v>
      </c>
      <c r="E105" s="13" t="n">
        <f aca="false">Seg!$E$99/Seg!$E$100</f>
        <v>0.208881910369643</v>
      </c>
      <c r="F105" s="13" t="n">
        <f aca="false">Seg!$F$99/Seg!$F$100</f>
        <v>0.197507156487734</v>
      </c>
      <c r="G105" s="13" t="n">
        <f aca="false">Seg!$G$99/Seg!$G$100</f>
        <v>0.202826804559612</v>
      </c>
      <c r="H105" s="13" t="n">
        <f aca="false">Seg!$H$99/Seg!$H$100</f>
        <v>0.229215453403068</v>
      </c>
      <c r="I105" s="13" t="n">
        <f aca="false">Seg!$I$99/Seg!$I$100</f>
        <v>0.252648833727881</v>
      </c>
      <c r="J105" s="13" t="n">
        <f aca="false">Seg!$J$99/Seg!$J$100</f>
        <v>0.272067947662606</v>
      </c>
      <c r="K105" s="13" t="n">
        <f aca="false">Seg!$K$99/Seg!$K$100</f>
        <v>0.286139381947383</v>
      </c>
      <c r="L105" s="13" t="n">
        <f aca="false">Seg!$L$99/Seg!$L$100</f>
        <v>0.292761890722168</v>
      </c>
      <c r="M105" s="13" t="n">
        <f aca="false">Seg!$M$99/Seg!$M$100</f>
        <v>0.293444133649432</v>
      </c>
      <c r="N105" s="13" t="n">
        <f aca="false">Seg!$N$99/Seg!$N$100</f>
        <v>0.185979484737251</v>
      </c>
      <c r="O105" s="13" t="n">
        <f aca="false">Seg!$O$99/Seg!$O$100</f>
        <v>0.174270432341096</v>
      </c>
    </row>
    <row r="106" customFormat="false" ht="17.15" hidden="false" customHeight="false" outlineLevel="0" collapsed="false">
      <c r="A106" s="0" t="s">
        <v>712</v>
      </c>
      <c r="B106" s="0" t="s">
        <v>52</v>
      </c>
      <c r="C106" s="13" t="n">
        <f aca="false">Seg!$C$97/Seg!$C$99</f>
        <v>0.0215795060896058</v>
      </c>
      <c r="D106" s="13" t="n">
        <f aca="false">Seg!$D$97/Seg!$D$99</f>
        <v>0.0676152269462122</v>
      </c>
      <c r="E106" s="13" t="n">
        <f aca="false">Seg!$E$97/Seg!$E$99</f>
        <v>0.106620641395783</v>
      </c>
      <c r="F106" s="13" t="n">
        <f aca="false">Seg!$F$97/Seg!$F$99</f>
        <v>0.16456707676831</v>
      </c>
      <c r="G106" s="13" t="n">
        <f aca="false">Seg!$G$97/Seg!$G$99</f>
        <v>0.136658152276302</v>
      </c>
      <c r="H106" s="13" t="n">
        <f aca="false">Seg!$H$97/Seg!$H$99</f>
        <v>0.249125386239547</v>
      </c>
      <c r="I106" s="13" t="n">
        <f aca="false">Seg!$I$97/Seg!$I$99</f>
        <v>0.329369055171787</v>
      </c>
      <c r="J106" s="13" t="n">
        <f aca="false">Seg!$J$97/Seg!$J$99</f>
        <v>0.384558173095561</v>
      </c>
      <c r="K106" s="13" t="n">
        <f aca="false">Seg!$K$97/Seg!$K$99</f>
        <v>0.417889816994403</v>
      </c>
      <c r="L106" s="13" t="n">
        <f aca="false">Seg!$L$97/Seg!$L$99</f>
        <v>0.428405771709863</v>
      </c>
      <c r="M106" s="13" t="n">
        <f aca="false">Seg!$M$97/Seg!$M$99</f>
        <v>0.422442575225704</v>
      </c>
      <c r="N106" s="13" t="n">
        <f aca="false">Seg!$N$97/Seg!$N$99</f>
        <v>0.0506537999838362</v>
      </c>
      <c r="O106" s="13" t="n">
        <f aca="false">Seg!$O$97/Seg!$O$99</f>
        <v>0.0824881615167056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721</v>
      </c>
    </row>
    <row r="2" customFormat="false" ht="17.15" hidden="false" customHeight="false" outlineLevel="0" collapsed="false">
      <c r="A2" s="5" t="s">
        <v>722</v>
      </c>
    </row>
    <row r="4" customFormat="false" ht="17.15" hidden="false" customHeight="false" outlineLevel="0" collapsed="false">
      <c r="A4" s="3" t="s">
        <v>723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0" t="s">
        <v>504</v>
      </c>
      <c r="D5" s="20" t="s">
        <v>505</v>
      </c>
      <c r="E5" s="20" t="s">
        <v>587</v>
      </c>
      <c r="F5" s="20" t="s">
        <v>588</v>
      </c>
      <c r="G5" s="20" t="s">
        <v>589</v>
      </c>
      <c r="H5" s="20" t="s">
        <v>590</v>
      </c>
      <c r="I5" s="20" t="s">
        <v>591</v>
      </c>
      <c r="J5" s="20" t="s">
        <v>592</v>
      </c>
      <c r="K5" s="20" t="s">
        <v>593</v>
      </c>
      <c r="L5" s="20" t="s">
        <v>594</v>
      </c>
      <c r="M5" s="20" t="s">
        <v>595</v>
      </c>
      <c r="N5" s="20" t="s">
        <v>596</v>
      </c>
      <c r="O5" s="20" t="s">
        <v>597</v>
      </c>
      <c r="P5" s="6" t="s">
        <v>23</v>
      </c>
    </row>
    <row r="6" customFormat="false" ht="17.15" hidden="false" customHeight="false" outlineLevel="0" collapsed="false">
      <c r="A6" s="24" t="s">
        <v>534</v>
      </c>
      <c r="B6" s="25" t="s">
        <v>86</v>
      </c>
      <c r="C6" s="42" t="n">
        <f aca="false">ABS(PL!$C$28)+ABS(PL!$C$98)+ABS(PL!$C$168)</f>
        <v>0</v>
      </c>
      <c r="D6" s="42" t="n">
        <f aca="false">ABS(PL!$D$28)+ABS(PL!$D$98)+ABS(PL!$D$168)</f>
        <v>0</v>
      </c>
      <c r="E6" s="42" t="n">
        <f aca="false">ABS(PL!$E$28)+ABS(PL!$E$98)+ABS(PL!$E$168)</f>
        <v>0</v>
      </c>
      <c r="F6" s="42" t="n">
        <f aca="false">ABS(PL!$F$28)+ABS(PL!$F$98)+ABS(PL!$F$168)</f>
        <v>0</v>
      </c>
      <c r="G6" s="42" t="n">
        <f aca="false">ABS(PL!$G$28)+ABS(PL!$G$98)+ABS(PL!$G$168)</f>
        <v>0</v>
      </c>
      <c r="H6" s="42" t="n">
        <f aca="false">ABS(PL!$H$28)+ABS(PL!$H$98)+ABS(PL!$H$168)</f>
        <v>0</v>
      </c>
      <c r="I6" s="42" t="n">
        <f aca="false">ABS(PL!$I$28)+ABS(PL!$I$98)+ABS(PL!$I$168)</f>
        <v>0</v>
      </c>
      <c r="J6" s="42" t="n">
        <f aca="false">ABS(PL!$J$28)+ABS(PL!$J$98)+ABS(PL!$J$168)</f>
        <v>0</v>
      </c>
      <c r="K6" s="42" t="n">
        <f aca="false">ABS(PL!$K$28)+ABS(PL!$K$98)+ABS(PL!$K$168)</f>
        <v>0</v>
      </c>
      <c r="L6" s="42" t="n">
        <f aca="false">ABS(PL!$L$28)+ABS(PL!$L$98)+ABS(PL!$L$168)</f>
        <v>0</v>
      </c>
      <c r="M6" s="42" t="n">
        <f aca="false">ABS(PL!$M$28)+ABS(PL!$M$98)+ABS(PL!$M$168)</f>
        <v>0</v>
      </c>
      <c r="N6" s="42" t="n">
        <f aca="false">ABS(PL!$N$28)+ABS(PL!$N$98)+ABS(PL!$N$168)</f>
        <v>0</v>
      </c>
      <c r="O6" s="42" t="n">
        <f aca="false">ABS(PL!$O$28)+ABS(PL!$O$98)+ABS(PL!$O$168)</f>
        <v>0</v>
      </c>
    </row>
    <row r="7" customFormat="false" ht="17.15" hidden="false" customHeight="false" outlineLevel="0" collapsed="false">
      <c r="A7" s="24" t="s">
        <v>724</v>
      </c>
      <c r="B7" s="25" t="s">
        <v>86</v>
      </c>
      <c r="C7" s="42" t="n">
        <f aca="false">ABS(PL!$C$29)+ABS(PL!$C$99)+ABS(PL!$C$169)</f>
        <v>0</v>
      </c>
      <c r="D7" s="42" t="n">
        <f aca="false">ABS(PL!$D$29)+ABS(PL!$D$99)+ABS(PL!$D$169)</f>
        <v>0</v>
      </c>
      <c r="E7" s="42" t="n">
        <f aca="false">ABS(PL!$E$29)+ABS(PL!$E$99)+ABS(PL!$E$169)</f>
        <v>0</v>
      </c>
      <c r="F7" s="42" t="n">
        <f aca="false">ABS(PL!$F$29)+ABS(PL!$F$99)+ABS(PL!$F$169)</f>
        <v>0</v>
      </c>
      <c r="G7" s="42" t="n">
        <f aca="false">ABS(PL!$G$29)+ABS(PL!$G$99)+ABS(PL!$G$169)</f>
        <v>0</v>
      </c>
      <c r="H7" s="42" t="n">
        <f aca="false">ABS(PL!$H$29)+ABS(PL!$H$99)+ABS(PL!$H$169)</f>
        <v>0</v>
      </c>
      <c r="I7" s="42" t="n">
        <f aca="false">ABS(PL!$I$29)+ABS(PL!$I$99)+ABS(PL!$I$169)</f>
        <v>0</v>
      </c>
      <c r="J7" s="42" t="n">
        <f aca="false">ABS(PL!$J$29)+ABS(PL!$J$99)+ABS(PL!$J$169)</f>
        <v>0</v>
      </c>
      <c r="K7" s="42" t="n">
        <f aca="false">ABS(PL!$K$29)+ABS(PL!$K$99)+ABS(PL!$K$169)</f>
        <v>0</v>
      </c>
      <c r="L7" s="42" t="n">
        <f aca="false">ABS(PL!$L$29)+ABS(PL!$L$99)+ABS(PL!$L$169)</f>
        <v>0</v>
      </c>
      <c r="M7" s="42" t="n">
        <f aca="false">ABS(PL!$M$29)+ABS(PL!$M$99)+ABS(PL!$M$169)</f>
        <v>0</v>
      </c>
      <c r="N7" s="42" t="n">
        <f aca="false">ABS(PL!$N$29)+ABS(PL!$N$99)+ABS(PL!$N$169)</f>
        <v>0</v>
      </c>
      <c r="O7" s="42" t="n">
        <f aca="false">ABS(PL!$O$29)+ABS(PL!$O$99)+ABS(PL!$O$169)</f>
        <v>0</v>
      </c>
    </row>
    <row r="8" customFormat="false" ht="17.15" hidden="false" customHeight="false" outlineLevel="0" collapsed="false">
      <c r="A8" s="24" t="s">
        <v>535</v>
      </c>
      <c r="B8" s="25" t="s">
        <v>86</v>
      </c>
      <c r="C8" s="42" t="n">
        <f aca="false">ABS(PL!$C$30)+ABS(PL!$C$100)+ABS(PL!$C$170)</f>
        <v>0</v>
      </c>
      <c r="D8" s="42" t="n">
        <f aca="false">ABS(PL!$D$30)+ABS(PL!$D$100)+ABS(PL!$D$170)</f>
        <v>0</v>
      </c>
      <c r="E8" s="42" t="n">
        <f aca="false">ABS(PL!$E$30)+ABS(PL!$E$100)+ABS(PL!$E$170)</f>
        <v>0</v>
      </c>
      <c r="F8" s="42" t="n">
        <f aca="false">ABS(PL!$F$30)+ABS(PL!$F$100)+ABS(PL!$F$170)</f>
        <v>0</v>
      </c>
      <c r="G8" s="42" t="n">
        <f aca="false">ABS(PL!$G$30)+ABS(PL!$G$100)+ABS(PL!$G$170)</f>
        <v>0</v>
      </c>
      <c r="H8" s="42" t="n">
        <f aca="false">ABS(PL!$H$30)+ABS(PL!$H$100)+ABS(PL!$H$170)</f>
        <v>0</v>
      </c>
      <c r="I8" s="42" t="n">
        <f aca="false">ABS(PL!$I$30)+ABS(PL!$I$100)+ABS(PL!$I$170)</f>
        <v>0</v>
      </c>
      <c r="J8" s="42" t="n">
        <f aca="false">ABS(PL!$J$30)+ABS(PL!$J$100)+ABS(PL!$J$170)</f>
        <v>0</v>
      </c>
      <c r="K8" s="42" t="n">
        <f aca="false">ABS(PL!$K$30)+ABS(PL!$K$100)+ABS(PL!$K$170)</f>
        <v>0</v>
      </c>
      <c r="L8" s="42" t="n">
        <f aca="false">ABS(PL!$L$30)+ABS(PL!$L$100)+ABS(PL!$L$170)</f>
        <v>0</v>
      </c>
      <c r="M8" s="42" t="n">
        <f aca="false">ABS(PL!$M$30)+ABS(PL!$M$100)+ABS(PL!$M$170)</f>
        <v>0</v>
      </c>
      <c r="N8" s="42" t="n">
        <f aca="false">ABS(PL!$N$30)+ABS(PL!$N$100)+ABS(PL!$N$170)</f>
        <v>0</v>
      </c>
      <c r="O8" s="42" t="n">
        <f aca="false">ABS(PL!$O$30)+ABS(PL!$O$100)+ABS(PL!$O$170)</f>
        <v>0</v>
      </c>
    </row>
    <row r="9" customFormat="false" ht="15" hidden="false" customHeight="false" outlineLevel="0" collapsed="false">
      <c r="A9" s="24" t="s">
        <v>536</v>
      </c>
      <c r="B9" s="25" t="s">
        <v>86</v>
      </c>
      <c r="C9" s="42" t="n">
        <f aca="false">ABS(PL!$C$31)+ABS(PL!$C$101)+ABS(PL!$C$171)</f>
        <v>0</v>
      </c>
      <c r="D9" s="42" t="n">
        <f aca="false">ABS(PL!$D$31)+ABS(PL!$D$101)+ABS(PL!$D$171)</f>
        <v>0</v>
      </c>
      <c r="E9" s="42" t="n">
        <f aca="false">ABS(PL!$E$31)+ABS(PL!$E$101)+ABS(PL!$E$171)</f>
        <v>0</v>
      </c>
      <c r="F9" s="42" t="n">
        <f aca="false">ABS(PL!$F$31)+ABS(PL!$F$101)+ABS(PL!$F$171)</f>
        <v>0</v>
      </c>
      <c r="G9" s="42" t="n">
        <f aca="false">ABS(PL!$G$31)+ABS(PL!$G$101)+ABS(PL!$G$171)</f>
        <v>0</v>
      </c>
      <c r="H9" s="42" t="n">
        <f aca="false">ABS(PL!$H$31)+ABS(PL!$H$101)+ABS(PL!$H$171)</f>
        <v>0</v>
      </c>
      <c r="I9" s="42" t="n">
        <f aca="false">ABS(PL!$I$31)+ABS(PL!$I$101)+ABS(PL!$I$171)</f>
        <v>0</v>
      </c>
      <c r="J9" s="42" t="n">
        <f aca="false">ABS(PL!$J$31)+ABS(PL!$J$101)+ABS(PL!$J$171)</f>
        <v>0</v>
      </c>
      <c r="K9" s="42" t="n">
        <f aca="false">ABS(PL!$K$31)+ABS(PL!$K$101)+ABS(PL!$K$171)</f>
        <v>0</v>
      </c>
      <c r="L9" s="42" t="n">
        <f aca="false">ABS(PL!$L$31)+ABS(PL!$L$101)+ABS(PL!$L$171)</f>
        <v>0</v>
      </c>
      <c r="M9" s="42" t="n">
        <f aca="false">ABS(PL!$M$31)+ABS(PL!$M$101)+ABS(PL!$M$171)</f>
        <v>0</v>
      </c>
      <c r="N9" s="42" t="n">
        <f aca="false">ABS(PL!$N$31)+ABS(PL!$N$101)+ABS(PL!$N$171)</f>
        <v>0</v>
      </c>
      <c r="O9" s="42" t="n">
        <f aca="false">ABS(PL!$O$31)+ABS(PL!$O$101)+ABS(PL!$O$171)</f>
        <v>0</v>
      </c>
    </row>
    <row r="10" customFormat="false" ht="15" hidden="false" customHeight="false" outlineLevel="0" collapsed="false">
      <c r="A10" s="24" t="s">
        <v>725</v>
      </c>
      <c r="B10" s="25" t="s">
        <v>86</v>
      </c>
      <c r="C10" s="42" t="n">
        <f aca="false">ABS(PL!$C$48)+ABS(PL!$C$118)+ABS(PL!$C$188)</f>
        <v>0</v>
      </c>
      <c r="D10" s="42" t="n">
        <f aca="false">ABS(PL!$D$48)+ABS(PL!$D$118)+ABS(PL!$D$188)</f>
        <v>0</v>
      </c>
      <c r="E10" s="42" t="n">
        <f aca="false">ABS(PL!$E$48)+ABS(PL!$E$118)+ABS(PL!$E$188)</f>
        <v>0</v>
      </c>
      <c r="F10" s="42" t="n">
        <f aca="false">ABS(PL!$F$48)+ABS(PL!$F$118)+ABS(PL!$F$188)</f>
        <v>0</v>
      </c>
      <c r="G10" s="42" t="n">
        <f aca="false">ABS(PL!$G$48)+ABS(PL!$G$118)+ABS(PL!$G$188)</f>
        <v>0</v>
      </c>
      <c r="H10" s="42" t="n">
        <f aca="false">ABS(PL!$H$48)+ABS(PL!$H$118)+ABS(PL!$H$188)</f>
        <v>0</v>
      </c>
      <c r="I10" s="42" t="n">
        <f aca="false">ABS(PL!$I$48)+ABS(PL!$I$118)+ABS(PL!$I$188)</f>
        <v>0</v>
      </c>
      <c r="J10" s="42" t="n">
        <f aca="false">ABS(PL!$J$48)+ABS(PL!$J$118)+ABS(PL!$J$188)</f>
        <v>0</v>
      </c>
      <c r="K10" s="42" t="n">
        <f aca="false">ABS(PL!$K$48)+ABS(PL!$K$118)+ABS(PL!$K$188)</f>
        <v>0</v>
      </c>
      <c r="L10" s="42" t="n">
        <f aca="false">ABS(PL!$L$48)+ABS(PL!$L$118)+ABS(PL!$L$188)</f>
        <v>0</v>
      </c>
      <c r="M10" s="42" t="n">
        <f aca="false">ABS(PL!$M$48)+ABS(PL!$M$118)+ABS(PL!$M$188)</f>
        <v>0</v>
      </c>
      <c r="N10" s="42" t="n">
        <f aca="false">ABS(PL!$N$48)+ABS(PL!$N$118)+ABS(PL!$N$188)</f>
        <v>0</v>
      </c>
      <c r="O10" s="42" t="n">
        <f aca="false">ABS(PL!$O$48)+ABS(PL!$O$118)+ABS(PL!$O$188)</f>
        <v>0</v>
      </c>
    </row>
    <row r="12" customFormat="false" ht="19.4" hidden="false" customHeight="false" outlineLevel="0" collapsed="false">
      <c r="A12" s="31" t="s">
        <v>726</v>
      </c>
    </row>
    <row r="13" customFormat="false" ht="17.15" hidden="false" customHeight="false" outlineLevel="0" collapsed="false">
      <c r="A13" s="6" t="s">
        <v>16</v>
      </c>
      <c r="B13" s="6" t="s">
        <v>17</v>
      </c>
      <c r="C13" s="20" t="s">
        <v>504</v>
      </c>
      <c r="D13" s="20" t="s">
        <v>505</v>
      </c>
      <c r="E13" s="20" t="s">
        <v>587</v>
      </c>
      <c r="F13" s="20" t="s">
        <v>588</v>
      </c>
      <c r="G13" s="20" t="s">
        <v>589</v>
      </c>
      <c r="H13" s="20" t="s">
        <v>590</v>
      </c>
      <c r="I13" s="20" t="s">
        <v>591</v>
      </c>
      <c r="J13" s="20" t="s">
        <v>592</v>
      </c>
      <c r="K13" s="20" t="s">
        <v>593</v>
      </c>
      <c r="L13" s="20" t="s">
        <v>594</v>
      </c>
      <c r="M13" s="20" t="s">
        <v>595</v>
      </c>
      <c r="N13" s="20" t="s">
        <v>596</v>
      </c>
      <c r="O13" s="20" t="s">
        <v>597</v>
      </c>
      <c r="P13" s="6" t="s">
        <v>23</v>
      </c>
      <c r="R13" s="20" t="n">
        <v>2023</v>
      </c>
      <c r="S13" s="20" t="n">
        <v>2024</v>
      </c>
      <c r="T13" s="20" t="n">
        <v>2025</v>
      </c>
      <c r="U13" s="20" t="n">
        <v>2026</v>
      </c>
      <c r="V13" s="20" t="n">
        <v>2027</v>
      </c>
      <c r="W13" s="20" t="n">
        <v>2028</v>
      </c>
      <c r="X13" s="20" t="n">
        <v>2029</v>
      </c>
      <c r="Y13" s="20" t="n">
        <v>2030</v>
      </c>
      <c r="Z13" s="20" t="n">
        <v>2031</v>
      </c>
      <c r="AA13" s="20" t="n">
        <v>2032</v>
      </c>
    </row>
    <row r="14" customFormat="false" ht="17.15" hidden="false" customHeight="false" outlineLevel="0" collapsed="false">
      <c r="A14" s="1" t="s">
        <v>727</v>
      </c>
    </row>
    <row r="15" customFormat="false" ht="15" hidden="false" customHeight="false" outlineLevel="0" collapsed="false">
      <c r="A15" s="0" t="s">
        <v>526</v>
      </c>
      <c r="B15" s="0" t="s">
        <v>86</v>
      </c>
      <c r="C15" s="38" t="n">
        <f aca="false">Seg!$C$7</f>
        <v>247.029</v>
      </c>
      <c r="D15" s="38" t="n">
        <f aca="false">Seg!$D$7</f>
        <v>269.287</v>
      </c>
      <c r="E15" s="38" t="n">
        <f aca="false">Seg!$E$7</f>
        <v>134.686</v>
      </c>
      <c r="F15" s="38" t="n">
        <f aca="false">Seg!$F$7</f>
        <v>158.293876822267</v>
      </c>
      <c r="G15" s="38" t="n">
        <f aca="false">Seg!$G$7</f>
        <v>292.979876822267</v>
      </c>
      <c r="H15" s="38" t="n">
        <f aca="false">Seg!$H$7</f>
        <v>318.184543087396</v>
      </c>
      <c r="I15" s="38" t="n">
        <f aca="false">Seg!$I$7</f>
        <v>341.736278761793</v>
      </c>
      <c r="J15" s="38" t="n">
        <f aca="false">Seg!$J$7</f>
        <v>362.927192787048</v>
      </c>
      <c r="K15" s="38" t="n">
        <f aca="false">Seg!$K$7</f>
        <v>381.0735524264</v>
      </c>
      <c r="L15" s="38" t="n">
        <f aca="false">Seg!$L$7</f>
        <v>400.12723004772</v>
      </c>
      <c r="M15" s="38" t="n">
        <f aca="false">Seg!$M$7</f>
        <v>420.133591550106</v>
      </c>
      <c r="N15" s="38" t="n">
        <f aca="false">Seg!$N$7</f>
        <v>118.892</v>
      </c>
      <c r="O15" s="38" t="n">
        <f aca="false">Seg!$O$7</f>
        <v>150.395</v>
      </c>
    </row>
    <row r="16" customFormat="false" ht="15" hidden="false" customHeight="false" outlineLevel="0" collapsed="false">
      <c r="A16" s="0" t="s">
        <v>527</v>
      </c>
      <c r="B16" s="0" t="s">
        <v>86</v>
      </c>
      <c r="C16" s="38" t="n">
        <f aca="false">Seg!$C$9</f>
        <v>21.215</v>
      </c>
      <c r="D16" s="38" t="n">
        <f aca="false">Seg!$D$9</f>
        <v>22.561</v>
      </c>
      <c r="E16" s="38" t="n">
        <f aca="false">Seg!$E$9</f>
        <v>11.579</v>
      </c>
      <c r="F16" s="38" t="n">
        <f aca="false">Seg!$F$9</f>
        <v>11.5938724610325</v>
      </c>
      <c r="G16" s="38" t="n">
        <f aca="false">Seg!$G$9</f>
        <v>23.1728724610325</v>
      </c>
      <c r="H16" s="38" t="n">
        <f aca="false">Seg!$H$9</f>
        <v>24.353392759506</v>
      </c>
      <c r="I16" s="38" t="n">
        <f aca="false">Seg!$I$9</f>
        <v>25.4240338872015</v>
      </c>
      <c r="J16" s="38" t="n">
        <f aca="false">Seg!$J$9</f>
        <v>26.3642491017174</v>
      </c>
      <c r="K16" s="38" t="n">
        <f aca="false">Seg!$K$9</f>
        <v>27.155176574769</v>
      </c>
      <c r="L16" s="38" t="n">
        <f aca="false">Seg!$L$9</f>
        <v>27.969831872012</v>
      </c>
      <c r="M16" s="38" t="n">
        <f aca="false">Seg!$M$9</f>
        <v>28.8089268281724</v>
      </c>
      <c r="N16" s="38" t="n">
        <f aca="false">Seg!$N$9</f>
        <v>11.128</v>
      </c>
      <c r="O16" s="38" t="n">
        <f aca="false">Seg!$O$9</f>
        <v>11.433</v>
      </c>
    </row>
    <row r="17" customFormat="false" ht="15" hidden="false" customHeight="false" outlineLevel="0" collapsed="false">
      <c r="A17" s="0" t="s">
        <v>528</v>
      </c>
      <c r="B17" s="0" t="s">
        <v>86</v>
      </c>
      <c r="C17" s="38" t="n">
        <f aca="false">Seg!$C$11</f>
        <v>156.146</v>
      </c>
      <c r="D17" s="38" t="n">
        <f aca="false">Seg!$D$11</f>
        <v>172.162</v>
      </c>
      <c r="E17" s="38" t="n">
        <f aca="false">Seg!$E$11</f>
        <v>88.358</v>
      </c>
      <c r="F17" s="38" t="n">
        <f aca="false">Seg!$F$11</f>
        <v>102.004388260171</v>
      </c>
      <c r="G17" s="38" t="n">
        <f aca="false">Seg!$G$11</f>
        <v>190.362388260171</v>
      </c>
      <c r="H17" s="38" t="n">
        <f aca="false">Seg!$H$11</f>
        <v>210.343106588311</v>
      </c>
      <c r="I17" s="38" t="n">
        <f aca="false">Seg!$I$11</f>
        <v>229.969728494648</v>
      </c>
      <c r="J17" s="38" t="n">
        <f aca="false">Seg!$J$11</f>
        <v>248.747636972598</v>
      </c>
      <c r="K17" s="38" t="n">
        <f aca="false">Seg!$K$11</f>
        <v>266.15997156068</v>
      </c>
      <c r="L17" s="38" t="n">
        <f aca="false">Seg!$L$11</f>
        <v>284.791169569927</v>
      </c>
      <c r="M17" s="38" t="n">
        <f aca="false">Seg!$M$11</f>
        <v>304.726551439822</v>
      </c>
      <c r="N17" s="38" t="n">
        <f aca="false">Seg!$N$11</f>
        <v>76.86</v>
      </c>
      <c r="O17" s="38" t="n">
        <f aca="false">Seg!$O$11</f>
        <v>95.302</v>
      </c>
    </row>
    <row r="18" customFormat="false" ht="15" hidden="false" customHeight="false" outlineLevel="0" collapsed="false">
      <c r="A18" s="0" t="s">
        <v>529</v>
      </c>
      <c r="B18" s="0" t="s">
        <v>86</v>
      </c>
      <c r="C18" s="38" t="n">
        <f aca="false">Seg!$C$13</f>
        <v>56.214</v>
      </c>
      <c r="D18" s="38" t="n">
        <f aca="false">Seg!$D$13</f>
        <v>68.635</v>
      </c>
      <c r="E18" s="38" t="n">
        <f aca="false">Seg!$E$13</f>
        <v>37.052</v>
      </c>
      <c r="F18" s="38" t="n">
        <f aca="false">Seg!$F$13</f>
        <v>46.1572219944148</v>
      </c>
      <c r="G18" s="38" t="n">
        <f aca="false">Seg!$G$13</f>
        <v>83.2092219944148</v>
      </c>
      <c r="H18" s="38" t="n">
        <f aca="false">Seg!$H$13</f>
        <v>99.8969223878976</v>
      </c>
      <c r="I18" s="38" t="n">
        <f aca="false">Seg!$I$13</f>
        <v>116.583111095496</v>
      </c>
      <c r="J18" s="38" t="n">
        <f aca="false">Seg!$J$13</f>
        <v>132.148941941952</v>
      </c>
      <c r="K18" s="38" t="n">
        <f aca="false">Seg!$K$13</f>
        <v>145.363836136147</v>
      </c>
      <c r="L18" s="38" t="n">
        <f aca="false">Seg!$L$13</f>
        <v>159.900219749762</v>
      </c>
      <c r="M18" s="38" t="n">
        <f aca="false">Seg!$M$13</f>
        <v>175.890241724738</v>
      </c>
      <c r="N18" s="38" t="n">
        <f aca="false">Seg!$N$13</f>
        <v>29.615</v>
      </c>
      <c r="O18" s="38" t="n">
        <f aca="false">Seg!$O$13</f>
        <v>39.02</v>
      </c>
    </row>
    <row r="19" customFormat="false" ht="15" hidden="false" customHeight="false" outlineLevel="0" collapsed="false">
      <c r="A19" s="0" t="s">
        <v>530</v>
      </c>
      <c r="B19" s="0" t="s">
        <v>86</v>
      </c>
      <c r="C19" s="38" t="n">
        <f aca="false">Seg!$C$15</f>
        <v>44.374</v>
      </c>
      <c r="D19" s="38" t="n">
        <f aca="false">Seg!$D$15</f>
        <v>49.619</v>
      </c>
      <c r="E19" s="38" t="n">
        <f aca="false">Seg!$E$15</f>
        <v>27.157</v>
      </c>
      <c r="F19" s="38" t="n">
        <f aca="false">Seg!$F$15</f>
        <v>27.7764165988154</v>
      </c>
      <c r="G19" s="38" t="n">
        <f aca="false">Seg!$G$15</f>
        <v>54.9334165988154</v>
      </c>
      <c r="H19" s="38" t="n">
        <f aca="false">Seg!$H$15</f>
        <v>61.1564112561829</v>
      </c>
      <c r="I19" s="38" t="n">
        <f aca="false">Seg!$I$15</f>
        <v>67.2020282103945</v>
      </c>
      <c r="J19" s="38" t="n">
        <f aca="false">Seg!$J$15</f>
        <v>72.8757274028885</v>
      </c>
      <c r="K19" s="38" t="n">
        <f aca="false">Seg!$K$15</f>
        <v>77.9770283210907</v>
      </c>
      <c r="L19" s="38" t="n">
        <f aca="false">Seg!$L$15</f>
        <v>83.4354203035671</v>
      </c>
      <c r="M19" s="38" t="n">
        <f aca="false">Seg!$M$15</f>
        <v>89.2758997248168</v>
      </c>
      <c r="N19" s="38" t="n">
        <f aca="false">Seg!$N$15</f>
        <v>23.923</v>
      </c>
      <c r="O19" s="38" t="n">
        <f aca="false">Seg!$O$15</f>
        <v>25.696</v>
      </c>
    </row>
    <row r="20" customFormat="false" ht="15" hidden="false" customHeight="false" outlineLevel="0" collapsed="false">
      <c r="A20" s="0" t="s">
        <v>531</v>
      </c>
      <c r="B20" s="0" t="s">
        <v>86</v>
      </c>
      <c r="C20" s="38" t="n">
        <f aca="false">Seg!$C$17</f>
        <v>5.425</v>
      </c>
      <c r="D20" s="38" t="n">
        <f aca="false">Seg!$D$17</f>
        <v>5.935</v>
      </c>
      <c r="E20" s="38" t="n">
        <f aca="false">Seg!$E$17</f>
        <v>3.474</v>
      </c>
      <c r="F20" s="38" t="n">
        <f aca="false">Seg!$F$17</f>
        <v>3.22246550883619</v>
      </c>
      <c r="G20" s="38" t="n">
        <f aca="false">Seg!$G$17</f>
        <v>6.69646550883619</v>
      </c>
      <c r="H20" s="38" t="n">
        <f aca="false">Seg!$H$17</f>
        <v>7.16251344209196</v>
      </c>
      <c r="I20" s="38" t="n">
        <f aca="false">Seg!$I$17</f>
        <v>7.61421070299826</v>
      </c>
      <c r="J20" s="38" t="n">
        <f aca="false">Seg!$J$17</f>
        <v>8.04465753523932</v>
      </c>
      <c r="K20" s="38" t="n">
        <f aca="false">Seg!$K$17</f>
        <v>8.44689041200128</v>
      </c>
      <c r="L20" s="38" t="n">
        <f aca="false">Seg!$L$17</f>
        <v>8.86923493260135</v>
      </c>
      <c r="M20" s="38" t="n">
        <f aca="false">Seg!$M$17</f>
        <v>9.31269667923142</v>
      </c>
      <c r="N20" s="38" t="n">
        <f aca="false">Seg!$N$17</f>
        <v>2.811</v>
      </c>
      <c r="O20" s="38" t="n">
        <f aca="false">Seg!$O$17</f>
        <v>3.124</v>
      </c>
    </row>
    <row r="21" customFormat="false" ht="17.15" hidden="false" customHeight="false" outlineLevel="0" collapsed="false">
      <c r="A21" s="0" t="s">
        <v>728</v>
      </c>
      <c r="B21" s="0" t="s">
        <v>86</v>
      </c>
      <c r="C21" s="38" t="n">
        <f aca="false">Seg!$C$29</f>
        <v>107.556</v>
      </c>
      <c r="D21" s="38" t="n">
        <f aca="false">Seg!$D$29</f>
        <v>128.725</v>
      </c>
      <c r="E21" s="38" t="n">
        <f aca="false">Seg!$E$29</f>
        <v>79.819</v>
      </c>
      <c r="F21" s="38" t="n">
        <f aca="false">Seg!$F$29</f>
        <v>89.5399324154585</v>
      </c>
      <c r="G21" s="38" t="n">
        <f aca="false">Seg!$G$29</f>
        <v>169.358932415459</v>
      </c>
      <c r="H21" s="38" t="n">
        <f aca="false">Seg!$H$29</f>
        <v>244.100951085827</v>
      </c>
      <c r="I21" s="38" t="n">
        <f aca="false">Seg!$I$29</f>
        <v>326.846051483453</v>
      </c>
      <c r="J21" s="38" t="n">
        <f aca="false">Seg!$J$29</f>
        <v>409.133379921729</v>
      </c>
      <c r="K21" s="38" t="n">
        <f aca="false">Seg!$K$29</f>
        <v>480.482956242801</v>
      </c>
      <c r="L21" s="38" t="n">
        <f aca="false">Seg!$L$29</f>
        <v>533.984460024075</v>
      </c>
      <c r="M21" s="38" t="n">
        <f aca="false">Seg!$M$29</f>
        <v>569.691082990856</v>
      </c>
      <c r="N21" s="38" t="n">
        <f aca="false">Seg!$N$29</f>
        <v>60.14</v>
      </c>
      <c r="O21" s="38" t="n">
        <f aca="false">Seg!$O$29</f>
        <v>68.585</v>
      </c>
    </row>
    <row r="22" customFormat="false" ht="15" hidden="false" customHeight="false" outlineLevel="0" collapsed="false">
      <c r="A22" s="1" t="s">
        <v>519</v>
      </c>
      <c r="B22" s="8" t="s">
        <v>86</v>
      </c>
      <c r="C22" s="38" t="n">
        <f aca="false">Seg!$C$22</f>
        <v>387.497</v>
      </c>
      <c r="D22" s="38" t="n">
        <f aca="false">Seg!$D$22</f>
        <v>426.305</v>
      </c>
      <c r="E22" s="38" t="n">
        <f aca="false">Seg!$E$22</f>
        <v>220.32</v>
      </c>
      <c r="F22" s="38" t="n">
        <f aca="false">Seg!$F$22</f>
        <v>250.639773480586</v>
      </c>
      <c r="G22" s="38" t="n">
        <f aca="false">Seg!$G$22</f>
        <v>470.959773480586</v>
      </c>
      <c r="H22" s="38" t="n">
        <f aca="false">Seg!$H$22</f>
        <v>521.386990416437</v>
      </c>
      <c r="I22" s="38" t="n">
        <f aca="false">Seg!$I$22</f>
        <v>570.143862887555</v>
      </c>
      <c r="J22" s="38" t="n">
        <f aca="false">Seg!$J$22</f>
        <v>615.391435791933</v>
      </c>
      <c r="K22" s="38" t="n">
        <f aca="false">Seg!$K$22</f>
        <v>655.208227561543</v>
      </c>
      <c r="L22" s="38" t="n">
        <f aca="false">Seg!$L$22</f>
        <v>697.807739249767</v>
      </c>
      <c r="M22" s="38" t="n">
        <f aca="false">Seg!$M$22</f>
        <v>743.399328463592</v>
      </c>
      <c r="N22" s="38" t="n">
        <f aca="false">Seg!$N$22</f>
        <v>192.955</v>
      </c>
      <c r="O22" s="38" t="n">
        <f aca="false">Seg!$O$22</f>
        <v>233.35</v>
      </c>
    </row>
    <row r="23" customFormat="false" ht="15" hidden="false" customHeight="false" outlineLevel="0" collapsed="false">
      <c r="A23" s="1" t="s">
        <v>522</v>
      </c>
      <c r="B23" s="8" t="s">
        <v>86</v>
      </c>
      <c r="C23" s="38" t="n">
        <f aca="false">Seg!$C$23</f>
        <v>142.906</v>
      </c>
      <c r="D23" s="38" t="n">
        <f aca="false">Seg!$D$23</f>
        <v>161.894</v>
      </c>
      <c r="E23" s="38" t="n">
        <f aca="false">Seg!$E$23</f>
        <v>81.986</v>
      </c>
      <c r="F23" s="38" t="n">
        <f aca="false">Seg!$F$23</f>
        <v>98.408468164951</v>
      </c>
      <c r="G23" s="38" t="n">
        <f aca="false">Seg!$G$23</f>
        <v>180.394468164951</v>
      </c>
      <c r="H23" s="38" t="n">
        <f aca="false">Seg!$H$23</f>
        <v>199.709899104949</v>
      </c>
      <c r="I23" s="38" t="n">
        <f aca="false">Seg!$I$23</f>
        <v>218.385528264976</v>
      </c>
      <c r="J23" s="38" t="n">
        <f aca="false">Seg!$J$23</f>
        <v>235.71696994951</v>
      </c>
      <c r="K23" s="38" t="n">
        <f aca="false">Seg!$K$23</f>
        <v>250.968227869545</v>
      </c>
      <c r="L23" s="38" t="n">
        <f aca="false">Seg!$L$23</f>
        <v>267.285367225822</v>
      </c>
      <c r="M23" s="38" t="n">
        <f aca="false">Seg!$M$23</f>
        <v>284.748579483295</v>
      </c>
      <c r="N23" s="38" t="n">
        <f aca="false">Seg!$N$23</f>
        <v>70.274</v>
      </c>
      <c r="O23" s="38" t="n">
        <f aca="false">Seg!$O$23</f>
        <v>91.62</v>
      </c>
    </row>
    <row r="24" customFormat="false" ht="15" hidden="false" customHeight="false" outlineLevel="0" collapsed="false">
      <c r="A24" s="1" t="s">
        <v>523</v>
      </c>
      <c r="B24" s="8" t="s">
        <v>86</v>
      </c>
      <c r="C24" s="38" t="n">
        <f aca="false">Seg!$C$29</f>
        <v>107.556</v>
      </c>
      <c r="D24" s="38" t="n">
        <f aca="false">Seg!$D$29</f>
        <v>128.725</v>
      </c>
      <c r="E24" s="38" t="n">
        <f aca="false">Seg!$E$29</f>
        <v>79.819</v>
      </c>
      <c r="F24" s="38" t="n">
        <f aca="false">Seg!$F$29</f>
        <v>89.5399324154585</v>
      </c>
      <c r="G24" s="38" t="n">
        <f aca="false">Seg!$G$29</f>
        <v>169.358932415459</v>
      </c>
      <c r="H24" s="38" t="n">
        <f aca="false">Seg!$H$29</f>
        <v>244.100951085827</v>
      </c>
      <c r="I24" s="38" t="n">
        <f aca="false">Seg!$I$29</f>
        <v>326.846051483453</v>
      </c>
      <c r="J24" s="38" t="n">
        <f aca="false">Seg!$J$29</f>
        <v>409.133379921729</v>
      </c>
      <c r="K24" s="38" t="n">
        <f aca="false">Seg!$K$29</f>
        <v>480.482956242801</v>
      </c>
      <c r="L24" s="38" t="n">
        <f aca="false">Seg!$L$29</f>
        <v>533.984460024075</v>
      </c>
      <c r="M24" s="38" t="n">
        <f aca="false">Seg!$M$29</f>
        <v>569.691082990856</v>
      </c>
      <c r="N24" s="38" t="n">
        <f aca="false">Seg!$N$29</f>
        <v>60.14</v>
      </c>
      <c r="O24" s="38" t="n">
        <f aca="false">Seg!$O$29</f>
        <v>68.585</v>
      </c>
    </row>
    <row r="25" customFormat="false" ht="17.15" hidden="false" customHeight="false" outlineLevel="0" collapsed="false">
      <c r="A25" s="0" t="s">
        <v>702</v>
      </c>
      <c r="B25" s="0" t="s">
        <v>86</v>
      </c>
      <c r="C25" s="38" t="n">
        <f aca="false">Seg!$C$27</f>
        <v>2.32100535697364</v>
      </c>
      <c r="D25" s="38" t="n">
        <f aca="false">Seg!$D$27</f>
        <v>8.70377008865116</v>
      </c>
      <c r="E25" s="38" t="n">
        <f aca="false">Seg!$E$27</f>
        <v>8.51035297557002</v>
      </c>
      <c r="F25" s="38" t="n">
        <f aca="false">Seg!$F$27</f>
        <v>17.7706326212121</v>
      </c>
      <c r="G25" s="38" t="n">
        <f aca="false">Seg!$G$27</f>
        <v>26.2809855967821</v>
      </c>
      <c r="H25" s="38" t="n">
        <f aca="false">Seg!$H$27</f>
        <v>83.0838740066237</v>
      </c>
      <c r="I25" s="38" t="n">
        <f aca="false">Seg!$I$27</f>
        <v>148.076291961995</v>
      </c>
      <c r="J25" s="38" t="n">
        <f aca="false">Seg!$J$27</f>
        <v>213.357841875822</v>
      </c>
      <c r="K25" s="38" t="n">
        <f aca="false">Seg!$K$27</f>
        <v>269.045375153221</v>
      </c>
      <c r="L25" s="38" t="n">
        <f aca="false">Seg!$L$27</f>
        <v>305.631872447328</v>
      </c>
      <c r="M25" s="38" t="n">
        <f aca="false">Seg!$M$27</f>
        <v>323.07028840797</v>
      </c>
      <c r="N25" s="38" t="n">
        <f aca="false">Seg!$N$27</f>
        <v>3.04631953102791</v>
      </c>
      <c r="O25" s="38" t="n">
        <f aca="false">Seg!$O$27</f>
        <v>5.65745055762326</v>
      </c>
    </row>
    <row r="26" customFormat="false" ht="17.15" hidden="false" customHeight="false" outlineLevel="0" collapsed="false">
      <c r="A26" s="0" t="s">
        <v>704</v>
      </c>
      <c r="B26" s="0" t="s">
        <v>86</v>
      </c>
      <c r="C26" s="38" t="n">
        <f aca="false">Seg!$C$28</f>
        <v>105.234994643026</v>
      </c>
      <c r="D26" s="38" t="n">
        <f aca="false">Seg!$D$28</f>
        <v>120.021229911349</v>
      </c>
      <c r="E26" s="38" t="n">
        <f aca="false">Seg!$E$28</f>
        <v>71.30864702443</v>
      </c>
      <c r="F26" s="38" t="n">
        <f aca="false">Seg!$F$28</f>
        <v>71.7692997942464</v>
      </c>
      <c r="G26" s="38" t="n">
        <f aca="false">Seg!$G$28</f>
        <v>143.077946818676</v>
      </c>
      <c r="H26" s="38" t="n">
        <f aca="false">Seg!$H$28</f>
        <v>161.017077079203</v>
      </c>
      <c r="I26" s="38" t="n">
        <f aca="false">Seg!$I$28</f>
        <v>178.769759521457</v>
      </c>
      <c r="J26" s="38" t="n">
        <f aca="false">Seg!$J$28</f>
        <v>195.775538045907</v>
      </c>
      <c r="K26" s="38" t="n">
        <f aca="false">Seg!$K$28</f>
        <v>211.43758108958</v>
      </c>
      <c r="L26" s="38" t="n">
        <f aca="false">Seg!$L$28</f>
        <v>228.352587576746</v>
      </c>
      <c r="M26" s="38" t="n">
        <f aca="false">Seg!$M$28</f>
        <v>246.620794582886</v>
      </c>
      <c r="N26" s="38" t="n">
        <f aca="false">Seg!$N$28</f>
        <v>57.0936804689721</v>
      </c>
      <c r="O26" s="38" t="n">
        <f aca="false">Seg!$O$28</f>
        <v>62.9275494423768</v>
      </c>
    </row>
    <row r="27" customFormat="false" ht="15" hidden="false" customHeight="false" outlineLevel="0" collapsed="false">
      <c r="A27" s="3" t="s">
        <v>524</v>
      </c>
      <c r="B27" s="8" t="s">
        <v>86</v>
      </c>
      <c r="C27" s="38" t="n">
        <f aca="false">Seg!$C$30</f>
        <v>637.959</v>
      </c>
      <c r="D27" s="38" t="n">
        <f aca="false">Seg!$D$30</f>
        <v>716.924</v>
      </c>
      <c r="E27" s="38" t="n">
        <f aca="false">Seg!$E$30</f>
        <v>382.125</v>
      </c>
      <c r="F27" s="38" t="n">
        <f aca="false">Seg!$F$30</f>
        <v>438.588174060996</v>
      </c>
      <c r="G27" s="38" t="n">
        <f aca="false">Seg!$G$30</f>
        <v>820.713174060996</v>
      </c>
      <c r="H27" s="38" t="n">
        <f aca="false">Seg!$H$30</f>
        <v>965.197840607213</v>
      </c>
      <c r="I27" s="38" t="n">
        <f aca="false">Seg!$I$30</f>
        <v>1115.37544263598</v>
      </c>
      <c r="J27" s="38" t="n">
        <f aca="false">Seg!$J$30</f>
        <v>1260.24178566317</v>
      </c>
      <c r="K27" s="38" t="n">
        <f aca="false">Seg!$K$30</f>
        <v>1386.65941167389</v>
      </c>
      <c r="L27" s="38" t="n">
        <f aca="false">Seg!$L$30</f>
        <v>1499.07756649966</v>
      </c>
      <c r="M27" s="38" t="n">
        <f aca="false">Seg!$M$30</f>
        <v>1597.83899093774</v>
      </c>
      <c r="N27" s="38" t="n">
        <f aca="false">Seg!$N$30</f>
        <v>323.369</v>
      </c>
      <c r="O27" s="38" t="n">
        <f aca="false">Seg!$O$30</f>
        <v>393.555</v>
      </c>
    </row>
    <row r="28" customFormat="false" ht="17.15" hidden="false" customHeight="false" outlineLevel="0" collapsed="false">
      <c r="A28" s="24" t="s">
        <v>707</v>
      </c>
      <c r="B28" s="25" t="s">
        <v>86</v>
      </c>
      <c r="C28" s="41" t="n">
        <f aca="false">PL!$C$15+PL!$C$16+PL!$C$17+PL!$C$18+PL!$C$19+PL!$C$20-(PL!$C$22+PL!$C$23)</f>
        <v>0</v>
      </c>
      <c r="D28" s="41" t="n">
        <f aca="false">PL!$D$15+PL!$D$16+PL!$D$17+PL!$D$18+PL!$D$19+PL!$D$20-(PL!$D$22+PL!$D$23)</f>
        <v>0</v>
      </c>
      <c r="E28" s="41" t="n">
        <f aca="false">PL!$E$15+PL!$E$16+PL!$E$17+PL!$E$18+PL!$E$19+PL!$E$20-(PL!$E$22+PL!$E$23)</f>
        <v>0</v>
      </c>
      <c r="F28" s="41" t="n">
        <f aca="false">PL!$F$15+PL!$F$16+PL!$F$17+PL!$F$18+PL!$F$19+PL!$F$20-(PL!$F$22+PL!$F$23)</f>
        <v>0</v>
      </c>
      <c r="G28" s="41" t="n">
        <f aca="false">PL!$G$15+PL!$G$16+PL!$G$17+PL!$G$18+PL!$G$19+PL!$G$20-(PL!$G$22+PL!$G$23)</f>
        <v>0</v>
      </c>
      <c r="H28" s="41" t="n">
        <f aca="false">PL!$H$15+PL!$H$16+PL!$H$17+PL!$H$18+PL!$H$19+PL!$H$20-(PL!$H$22+PL!$H$23)</f>
        <v>0</v>
      </c>
      <c r="I28" s="41" t="n">
        <f aca="false">PL!$I$15+PL!$I$16+PL!$I$17+PL!$I$18+PL!$I$19+PL!$I$20-(PL!$I$22+PL!$I$23)</f>
        <v>0</v>
      </c>
      <c r="J28" s="41" t="n">
        <f aca="false">PL!$J$15+PL!$J$16+PL!$J$17+PL!$J$18+PL!$J$19+PL!$J$20-(PL!$J$22+PL!$J$23)</f>
        <v>0</v>
      </c>
      <c r="K28" s="41" t="n">
        <f aca="false">PL!$K$15+PL!$K$16+PL!$K$17+PL!$K$18+PL!$K$19+PL!$K$20-(PL!$K$22+PL!$K$23)</f>
        <v>0</v>
      </c>
      <c r="L28" s="41" t="n">
        <f aca="false">PL!$L$15+PL!$L$16+PL!$L$17+PL!$L$18+PL!$L$19+PL!$L$20-(PL!$L$22+PL!$L$23)</f>
        <v>0</v>
      </c>
      <c r="M28" s="41" t="n">
        <f aca="false">PL!$M$15+PL!$M$16+PL!$M$17+PL!$M$18+PL!$M$19+PL!$M$20-(PL!$M$22+PL!$M$23)</f>
        <v>0</v>
      </c>
      <c r="N28" s="41" t="n">
        <f aca="false">PL!$N$15+PL!$N$16+PL!$N$17+PL!$N$18+PL!$N$19+PL!$N$20-(PL!$N$22+PL!$N$23)</f>
        <v>0</v>
      </c>
      <c r="O28" s="41" t="n">
        <f aca="false">PL!$O$15+PL!$O$16+PL!$O$17+PL!$O$18+PL!$O$19+PL!$O$20-(PL!$O$22+PL!$O$23)</f>
        <v>0</v>
      </c>
    </row>
    <row r="29" customFormat="false" ht="17.15" hidden="false" customHeight="false" outlineLevel="0" collapsed="false">
      <c r="A29" s="24" t="s">
        <v>708</v>
      </c>
      <c r="B29" s="25" t="s">
        <v>86</v>
      </c>
      <c r="C29" s="41" t="n">
        <f aca="false">PL!$C$25+PL!$C$26-PL!$C$24</f>
        <v>0</v>
      </c>
      <c r="D29" s="41" t="n">
        <f aca="false">PL!$D$25+PL!$D$26-PL!$D$24</f>
        <v>0</v>
      </c>
      <c r="E29" s="41" t="n">
        <f aca="false">PL!$E$25+PL!$E$26-PL!$E$24</f>
        <v>0</v>
      </c>
      <c r="F29" s="41" t="n">
        <f aca="false">PL!$F$25+PL!$F$26-PL!$F$24</f>
        <v>0</v>
      </c>
      <c r="G29" s="41" t="n">
        <f aca="false">PL!$G$25+PL!$G$26-PL!$G$24</f>
        <v>0</v>
      </c>
      <c r="H29" s="41" t="n">
        <f aca="false">PL!$H$25+PL!$H$26-PL!$H$24</f>
        <v>0</v>
      </c>
      <c r="I29" s="41" t="n">
        <f aca="false">PL!$I$25+PL!$I$26-PL!$I$24</f>
        <v>0</v>
      </c>
      <c r="J29" s="41" t="n">
        <f aca="false">PL!$J$25+PL!$J$26-PL!$J$24</f>
        <v>0</v>
      </c>
      <c r="K29" s="41" t="n">
        <f aca="false">PL!$K$25+PL!$K$26-PL!$K$24</f>
        <v>0</v>
      </c>
      <c r="L29" s="41" t="n">
        <f aca="false">PL!$L$25+PL!$L$26-PL!$L$24</f>
        <v>0</v>
      </c>
      <c r="M29" s="41" t="n">
        <f aca="false">PL!$M$25+PL!$M$26-PL!$M$24</f>
        <v>0</v>
      </c>
      <c r="N29" s="41" t="n">
        <f aca="false">PL!$N$25+PL!$N$26-PL!$N$24</f>
        <v>0</v>
      </c>
      <c r="O29" s="41" t="n">
        <f aca="false">PL!$O$25+PL!$O$26-PL!$O$24</f>
        <v>0</v>
      </c>
    </row>
    <row r="30" customFormat="false" ht="17.15" hidden="false" customHeight="false" outlineLevel="0" collapsed="false">
      <c r="A30" s="24" t="s">
        <v>729</v>
      </c>
      <c r="B30" s="25" t="s">
        <v>86</v>
      </c>
      <c r="C30" s="41" t="n">
        <f aca="false">PL!$C$15+PL!$C$16+PL!$C$17+PL!$C$18+PL!$C$19+PL!$C$20+PL!$C$21-PL!$C$27</f>
        <v>0</v>
      </c>
      <c r="D30" s="41" t="n">
        <f aca="false">PL!$D$15+PL!$D$16+PL!$D$17+PL!$D$18+PL!$D$19+PL!$D$20+PL!$D$21-PL!$D$27</f>
        <v>0</v>
      </c>
      <c r="E30" s="41" t="n">
        <f aca="false">PL!$E$15+PL!$E$16+PL!$E$17+PL!$E$18+PL!$E$19+PL!$E$20+PL!$E$21-PL!$E$27</f>
        <v>0</v>
      </c>
      <c r="F30" s="41" t="n">
        <f aca="false">PL!$F$15+PL!$F$16+PL!$F$17+PL!$F$18+PL!$F$19+PL!$F$20+PL!$F$21-PL!$F$27</f>
        <v>0</v>
      </c>
      <c r="G30" s="41" t="n">
        <f aca="false">PL!$G$15+PL!$G$16+PL!$G$17+PL!$G$18+PL!$G$19+PL!$G$20+PL!$G$21-PL!$G$27</f>
        <v>0</v>
      </c>
      <c r="H30" s="41" t="n">
        <f aca="false">PL!$H$15+PL!$H$16+PL!$H$17+PL!$H$18+PL!$H$19+PL!$H$20+PL!$H$21-PL!$H$27</f>
        <v>0</v>
      </c>
      <c r="I30" s="41" t="n">
        <f aca="false">PL!$I$15+PL!$I$16+PL!$I$17+PL!$I$18+PL!$I$19+PL!$I$20+PL!$I$21-PL!$I$27</f>
        <v>0</v>
      </c>
      <c r="J30" s="41" t="n">
        <f aca="false">PL!$J$15+PL!$J$16+PL!$J$17+PL!$J$18+PL!$J$19+PL!$J$20+PL!$J$21-PL!$J$27</f>
        <v>0</v>
      </c>
      <c r="K30" s="41" t="n">
        <f aca="false">PL!$K$15+PL!$K$16+PL!$K$17+PL!$K$18+PL!$K$19+PL!$K$20+PL!$K$21-PL!$K$27</f>
        <v>0</v>
      </c>
      <c r="L30" s="41" t="n">
        <f aca="false">PL!$L$15+PL!$L$16+PL!$L$17+PL!$L$18+PL!$L$19+PL!$L$20+PL!$L$21-PL!$L$27</f>
        <v>0</v>
      </c>
      <c r="M30" s="41" t="n">
        <f aca="false">PL!$M$15+PL!$M$16+PL!$M$17+PL!$M$18+PL!$M$19+PL!$M$20+PL!$M$21-PL!$M$27</f>
        <v>0</v>
      </c>
      <c r="N30" s="41" t="n">
        <f aca="false">PL!$N$15+PL!$N$16+PL!$N$17+PL!$N$18+PL!$N$19+PL!$N$20+PL!$N$21-PL!$N$27</f>
        <v>0</v>
      </c>
      <c r="O30" s="41" t="n">
        <f aca="false">PL!$O$15+PL!$O$16+PL!$O$17+PL!$O$18+PL!$O$19+PL!$O$20+PL!$O$21-PL!$O$27</f>
        <v>0</v>
      </c>
    </row>
    <row r="31" customFormat="false" ht="17.15" hidden="false" customHeight="false" outlineLevel="0" collapsed="false">
      <c r="A31" s="24" t="s">
        <v>709</v>
      </c>
      <c r="B31" s="25" t="s">
        <v>86</v>
      </c>
      <c r="C31" s="41" t="n">
        <f aca="false">PL!$C$22+PL!$C$23+PL!$C$24-PL!$C$27</f>
        <v>0</v>
      </c>
      <c r="D31" s="41" t="n">
        <f aca="false">PL!$D$22+PL!$D$23+PL!$D$24-PL!$D$27</f>
        <v>0</v>
      </c>
      <c r="E31" s="41" t="n">
        <f aca="false">PL!$E$22+PL!$E$23+PL!$E$24-PL!$E$27</f>
        <v>0</v>
      </c>
      <c r="F31" s="41" t="n">
        <f aca="false">PL!$F$22+PL!$F$23+PL!$F$24-PL!$F$27</f>
        <v>0</v>
      </c>
      <c r="G31" s="41" t="n">
        <f aca="false">PL!$G$22+PL!$G$23+PL!$G$24-PL!$G$27</f>
        <v>0</v>
      </c>
      <c r="H31" s="41" t="n">
        <f aca="false">PL!$H$22+PL!$H$23+PL!$H$24-PL!$H$27</f>
        <v>0</v>
      </c>
      <c r="I31" s="41" t="n">
        <f aca="false">PL!$I$22+PL!$I$23+PL!$I$24-PL!$I$27</f>
        <v>0</v>
      </c>
      <c r="J31" s="41" t="n">
        <f aca="false">PL!$J$22+PL!$J$23+PL!$J$24-PL!$J$27</f>
        <v>0</v>
      </c>
      <c r="K31" s="41" t="n">
        <f aca="false">PL!$K$22+PL!$K$23+PL!$K$24-PL!$K$27</f>
        <v>0</v>
      </c>
      <c r="L31" s="41" t="n">
        <f aca="false">PL!$L$22+PL!$L$23+PL!$L$24-PL!$L$27</f>
        <v>0</v>
      </c>
      <c r="M31" s="41" t="n">
        <f aca="false">PL!$M$22+PL!$M$23+PL!$M$24-PL!$M$27</f>
        <v>0</v>
      </c>
      <c r="N31" s="41" t="n">
        <f aca="false">PL!$N$22+PL!$N$23+PL!$N$24-PL!$N$27</f>
        <v>0</v>
      </c>
      <c r="O31" s="41" t="n">
        <f aca="false">PL!$O$22+PL!$O$23+PL!$O$24-PL!$O$27</f>
        <v>0</v>
      </c>
    </row>
    <row r="32" customFormat="false" ht="17.15" hidden="false" customHeight="false" outlineLevel="0" collapsed="false">
      <c r="A32" s="1" t="s">
        <v>730</v>
      </c>
    </row>
    <row r="33" customFormat="false" ht="17.15" hidden="false" customHeight="false" outlineLevel="0" collapsed="false">
      <c r="A33" s="0" t="s">
        <v>731</v>
      </c>
      <c r="B33" s="0" t="s">
        <v>86</v>
      </c>
      <c r="C33" s="38" t="n">
        <f aca="false">Seg!$C$24*m_ad</f>
        <v>20.5341564414228</v>
      </c>
      <c r="D33" s="38" t="n">
        <f aca="false">Seg!$D$24*m_ad</f>
        <v>24.8720617299587</v>
      </c>
      <c r="E33" s="38" t="n">
        <f aca="false">Seg!$E$24*m_ad</f>
        <v>13.5017112462207</v>
      </c>
      <c r="F33" s="38" t="n">
        <f aca="false">Seg!$F$24*m_ad</f>
        <v>16.5719724165257</v>
      </c>
      <c r="G33" s="38" t="n">
        <f aca="false">Seg!$G$24*m_ad</f>
        <v>30.0820919220415</v>
      </c>
      <c r="H33" s="38" t="n">
        <f aca="false">Seg!$H$24*m_ad</f>
        <v>36.1150883276314</v>
      </c>
      <c r="I33" s="38" t="n">
        <f aca="false">Seg!$I$24*m_ad</f>
        <v>42.1475382231996</v>
      </c>
      <c r="J33" s="38" t="n">
        <f aca="false">Seg!$J$24*m_ad</f>
        <v>47.7749523864693</v>
      </c>
      <c r="K33" s="38" t="n">
        <f aca="false">Seg!$K$24*m_ad</f>
        <v>52.5524476251162</v>
      </c>
      <c r="L33" s="38" t="n">
        <f aca="false">Seg!$L$24*m_ad</f>
        <v>57.8076923876279</v>
      </c>
      <c r="M33" s="38" t="n">
        <f aca="false">Seg!$M$24*m_ad</f>
        <v>63.5884616263907</v>
      </c>
      <c r="N33" s="38" t="n">
        <f aca="false">Seg!$N$24*m_ad</f>
        <v>10.8543555706248</v>
      </c>
      <c r="O33" s="38" t="n">
        <f aca="false">Seg!$O$24*m_ad</f>
        <v>14.0094731821399</v>
      </c>
    </row>
    <row r="34" customFormat="false" ht="17.15" hidden="false" customHeight="false" outlineLevel="0" collapsed="false">
      <c r="A34" s="0" t="s">
        <v>732</v>
      </c>
      <c r="B34" s="0" t="s">
        <v>86</v>
      </c>
      <c r="C34" s="38" t="n">
        <f aca="false">Seg!$C$22-Seg!$C$24</f>
        <v>346.428687117154</v>
      </c>
      <c r="D34" s="38" t="n">
        <f aca="false">Seg!$D$22-Seg!$D$24</f>
        <v>376.560876540083</v>
      </c>
      <c r="E34" s="38" t="n">
        <f aca="false">Seg!$E$22-Seg!$E$24</f>
        <v>193.316577507559</v>
      </c>
      <c r="F34" s="38" t="n">
        <f aca="false">Seg!$F$22-Seg!$F$24</f>
        <v>217.495828647535</v>
      </c>
      <c r="G34" s="38" t="n">
        <f aca="false">Seg!$G$22-Seg!$G$24</f>
        <v>410.795589636503</v>
      </c>
      <c r="H34" s="38" t="n">
        <f aca="false">Seg!$H$22-Seg!$H$24</f>
        <v>449.156813761174</v>
      </c>
      <c r="I34" s="38" t="n">
        <f aca="false">Seg!$I$22-Seg!$I$24</f>
        <v>485.848786441156</v>
      </c>
      <c r="J34" s="38" t="n">
        <f aca="false">Seg!$J$22-Seg!$J$24</f>
        <v>519.841531018994</v>
      </c>
      <c r="K34" s="38" t="n">
        <f aca="false">Seg!$K$22-Seg!$K$24</f>
        <v>550.103332311311</v>
      </c>
      <c r="L34" s="38" t="n">
        <f aca="false">Seg!$L$22-Seg!$L$24</f>
        <v>582.192354474511</v>
      </c>
      <c r="M34" s="38" t="n">
        <f aca="false">Seg!$M$22-Seg!$M$24</f>
        <v>616.22240521081</v>
      </c>
      <c r="N34" s="38" t="n">
        <f aca="false">Seg!$N$22-Seg!$N$24</f>
        <v>171.24628885875</v>
      </c>
      <c r="O34" s="38" t="n">
        <f aca="false">Seg!$O$22-Seg!$O$24</f>
        <v>205.33105363572</v>
      </c>
    </row>
    <row r="35" customFormat="false" ht="17.15" hidden="false" customHeight="false" outlineLevel="0" collapsed="false">
      <c r="A35" s="0" t="s">
        <v>733</v>
      </c>
      <c r="B35" s="0" t="s">
        <v>86</v>
      </c>
      <c r="C35" s="38" t="n">
        <f aca="false">Thesis!$C$54*Seg!$C$21</f>
        <v>0.123617442257179</v>
      </c>
      <c r="D35" s="38" t="n">
        <f aca="false">Thesis!$D$54*Seg!$D$21</f>
        <v>0.600198046024689</v>
      </c>
      <c r="E35" s="38" t="n">
        <f aca="false">Thesis!$E$54*Seg!$E$21</f>
        <v>1.10840000750276</v>
      </c>
      <c r="F35" s="38" t="n">
        <f aca="false">Thesis!$F$54*Seg!$F$21</f>
        <v>1.34090532512067</v>
      </c>
      <c r="G35" s="38" t="n">
        <f aca="false">Thesis!$G$54*Seg!$G$21</f>
        <v>2.44986003975115</v>
      </c>
      <c r="H35" s="38" t="n">
        <f aca="false">Thesis!$H$54*Seg!$H$21</f>
        <v>6.67155028103874</v>
      </c>
      <c r="I35" s="38" t="n">
        <f aca="false">Thesis!$I$54*Seg!$I$21</f>
        <v>12.9385304353366</v>
      </c>
      <c r="J35" s="38" t="n">
        <f aca="false">Thesis!$J$54*Seg!$J$21</f>
        <v>18.7509341849094</v>
      </c>
      <c r="K35" s="38" t="n">
        <f aca="false">Thesis!$K$54*Seg!$K$21</f>
        <v>24.4366555450014</v>
      </c>
      <c r="L35" s="38" t="n">
        <f aca="false">Thesis!$L$54*Seg!$L$21</f>
        <v>28.3746334945555</v>
      </c>
      <c r="M35" s="38" t="n">
        <f aca="false">Thesis!$M$54*Seg!$M$21</f>
        <v>30.5516208027283</v>
      </c>
      <c r="N35" s="38" t="n">
        <f aca="false">Thesis!$N$54*Seg!$N$21</f>
        <v>0.25053229484398</v>
      </c>
      <c r="O35" s="38" t="n">
        <f aca="false">Thesis!$O$54*Seg!$O$21</f>
        <v>0.349234376756897</v>
      </c>
    </row>
    <row r="36" customFormat="false" ht="17.15" hidden="false" customHeight="false" outlineLevel="0" collapsed="false">
      <c r="A36" s="0" t="s">
        <v>734</v>
      </c>
      <c r="B36" s="0" t="s">
        <v>52</v>
      </c>
      <c r="C36" s="28" t="n">
        <f aca="false">(PL!$C$37-PL!$C$33+PL!$C$35)/PL!$C$34</f>
        <v>0.0131526665379575</v>
      </c>
      <c r="D36" s="28" t="n">
        <f aca="false">(PL!$D$37-PL!$D$33+PL!$D$35)/PL!$D$34</f>
        <v>0.0141999252954702</v>
      </c>
      <c r="E36" s="28" t="n">
        <f aca="false">(PL!$E$37-PL!$E$33+PL!$E$35)/PL!$E$34</f>
        <v>0.0258471819939326</v>
      </c>
      <c r="F36" s="28" t="n">
        <f aca="false">PL!$O$36+(PL!$E$36-PL!$N$36)</f>
        <v>0.0224302350712874</v>
      </c>
      <c r="G36" s="28" t="n">
        <f aca="false">(PL!$G$37-PL!$G$33+PL!$G$35)/PL!$G$34</f>
        <v>0.0240200187675687</v>
      </c>
      <c r="H36" s="28" t="n">
        <f aca="false">PL!$G$36+step_na</f>
        <v>0.0270200187675687</v>
      </c>
      <c r="I36" s="28" t="n">
        <f aca="false">PL!$H$36+step_na</f>
        <v>0.0300200187675687</v>
      </c>
      <c r="J36" s="28" t="n">
        <f aca="false">PL!$I$36+step_na</f>
        <v>0.0330200187675687</v>
      </c>
      <c r="K36" s="28" t="n">
        <f aca="false">PL!$J$36+step_na</f>
        <v>0.0360200187675687</v>
      </c>
      <c r="L36" s="28" t="n">
        <f aca="false">PL!$K$36</f>
        <v>0.0360200187675687</v>
      </c>
      <c r="M36" s="28" t="n">
        <f aca="false">PL!$L$36</f>
        <v>0.0360200187675687</v>
      </c>
      <c r="N36" s="28" t="n">
        <f aca="false">(PL!$N$37-PL!$N$33+PL!$N$35)/PL!$N$34</f>
        <v>0.0160831323269779</v>
      </c>
      <c r="O36" s="28" t="n">
        <f aca="false">(PL!$O$37-PL!$O$33+PL!$O$35)/PL!$O$34</f>
        <v>0.0126661854043327</v>
      </c>
      <c r="P36" s="8" t="s">
        <v>735</v>
      </c>
    </row>
    <row r="37" customFormat="false" ht="17.15" hidden="false" customHeight="false" outlineLevel="0" collapsed="false">
      <c r="A37" s="1" t="s">
        <v>736</v>
      </c>
      <c r="B37" s="8" t="s">
        <v>86</v>
      </c>
      <c r="C37" s="38" t="n">
        <f aca="false">Q!$D$22</f>
        <v>24.967</v>
      </c>
      <c r="D37" s="38" t="n">
        <f aca="false">Q!$E$22</f>
        <v>29.619</v>
      </c>
      <c r="E37" s="38" t="n">
        <f aca="false">Q!$P$22</f>
        <v>17.39</v>
      </c>
      <c r="F37" s="38" t="n">
        <f aca="false">PL!$F$33+PL!$F$34*PL!$F$36-PL!$F$35</f>
        <v>20.1095496549936</v>
      </c>
      <c r="G37" s="38" t="n">
        <f aca="false">PL!$E$37+PL!$F$37</f>
        <v>37.4995496549936</v>
      </c>
      <c r="H37" s="38" t="n">
        <f aca="false">PL!$H$33+PL!$H$34*PL!$H$36-PL!$H$35</f>
        <v>41.579763584001</v>
      </c>
      <c r="I37" s="38" t="n">
        <f aca="false">PL!$I$33+PL!$I$34*PL!$I$36-PL!$I$35</f>
        <v>43.794197475027</v>
      </c>
      <c r="J37" s="38" t="n">
        <f aca="false">PL!$J$33+PL!$J$34*PL!$J$36-PL!$J$35</f>
        <v>46.1891953119688</v>
      </c>
      <c r="K37" s="38" t="n">
        <f aca="false">PL!$K$33+PL!$K$34*PL!$K$36-PL!$K$35</f>
        <v>47.9305244340703</v>
      </c>
      <c r="L37" s="38" t="n">
        <f aca="false">PL!$L$33+PL!$L$34*PL!$L$36-PL!$L$35</f>
        <v>50.4036384275793</v>
      </c>
      <c r="M37" s="38" t="n">
        <f aca="false">PL!$M$33+PL!$M$34*PL!$M$36-PL!$M$35</f>
        <v>55.2331834243521</v>
      </c>
      <c r="N37" s="38" t="n">
        <f aca="false">Q!$N$22</f>
        <v>13.358</v>
      </c>
      <c r="O37" s="38" t="n">
        <f aca="false">Q!$O$22</f>
        <v>16.261</v>
      </c>
    </row>
    <row r="38" customFormat="false" ht="17.15" hidden="false" customHeight="false" outlineLevel="0" collapsed="false">
      <c r="A38" s="0" t="s">
        <v>737</v>
      </c>
      <c r="B38" s="0" t="s">
        <v>86</v>
      </c>
      <c r="C38" s="38" t="n">
        <f aca="false">Seg!$C$25*m_ad</f>
        <v>7.57284355857716</v>
      </c>
      <c r="D38" s="38" t="n">
        <f aca="false">Seg!$D$25*m_ad</f>
        <v>9.44543827004127</v>
      </c>
      <c r="E38" s="38" t="n">
        <f aca="false">Seg!$E$25*m_ad</f>
        <v>5.02428875377928</v>
      </c>
      <c r="F38" s="38" t="n">
        <f aca="false">Seg!$F$25*m_ad</f>
        <v>6.50663858068173</v>
      </c>
      <c r="G38" s="38" t="n">
        <f aca="false">Seg!$G$25*m_ad</f>
        <v>11.5225190751659</v>
      </c>
      <c r="H38" s="38" t="n">
        <f aca="false">Seg!$H$25*m_ad</f>
        <v>13.8333728663174</v>
      </c>
      <c r="I38" s="38" t="n">
        <f aca="false">Seg!$I$25*m_ad</f>
        <v>16.1440173245485</v>
      </c>
      <c r="J38" s="38" t="n">
        <f aca="false">Seg!$J$25*m_ad</f>
        <v>18.2995185845066</v>
      </c>
      <c r="K38" s="38" t="n">
        <f aca="false">Seg!$K$25*m_ad</f>
        <v>20.1294704429572</v>
      </c>
      <c r="L38" s="38" t="n">
        <f aca="false">Seg!$L$25*m_ad</f>
        <v>22.142417487253</v>
      </c>
      <c r="M38" s="38" t="n">
        <f aca="false">Seg!$M$25*m_ad</f>
        <v>24.3566592359783</v>
      </c>
      <c r="N38" s="38" t="n">
        <f aca="false">Seg!$N$25*m_ad</f>
        <v>3.95314442937518</v>
      </c>
      <c r="O38" s="38" t="n">
        <f aca="false">Seg!$O$25*m_ad</f>
        <v>5.50052681786011</v>
      </c>
    </row>
    <row r="39" customFormat="false" ht="17.15" hidden="false" customHeight="false" outlineLevel="0" collapsed="false">
      <c r="A39" s="0" t="s">
        <v>738</v>
      </c>
      <c r="B39" s="0" t="s">
        <v>86</v>
      </c>
      <c r="C39" s="38" t="n">
        <f aca="false">Seg!$C$23-Seg!$C$25</f>
        <v>127.760312882846</v>
      </c>
      <c r="D39" s="38" t="n">
        <f aca="false">Seg!$D$23-Seg!$D$25</f>
        <v>143.003123459917</v>
      </c>
      <c r="E39" s="38" t="n">
        <f aca="false">Seg!$E$23-Seg!$E$25</f>
        <v>71.9374224924414</v>
      </c>
      <c r="F39" s="38" t="n">
        <f aca="false">Seg!$F$23-Seg!$F$25</f>
        <v>85.3951910035875</v>
      </c>
      <c r="G39" s="38" t="n">
        <f aca="false">Seg!$G$23-Seg!$G$25</f>
        <v>157.349430014619</v>
      </c>
      <c r="H39" s="38" t="n">
        <f aca="false">Seg!$H$23-Seg!$H$25</f>
        <v>172.043153372315</v>
      </c>
      <c r="I39" s="38" t="n">
        <f aca="false">Seg!$I$23-Seg!$I$25</f>
        <v>186.097493615879</v>
      </c>
      <c r="J39" s="38" t="n">
        <f aca="false">Seg!$J$23-Seg!$J$25</f>
        <v>199.117932780497</v>
      </c>
      <c r="K39" s="38" t="n">
        <f aca="false">Seg!$K$23-Seg!$K$25</f>
        <v>210.70928698363</v>
      </c>
      <c r="L39" s="38" t="n">
        <f aca="false">Seg!$L$23-Seg!$L$25</f>
        <v>223.000532251316</v>
      </c>
      <c r="M39" s="38" t="n">
        <f aca="false">Seg!$M$23-Seg!$M$25</f>
        <v>236.035261011339</v>
      </c>
      <c r="N39" s="38" t="n">
        <f aca="false">Seg!$N$23-Seg!$N$25</f>
        <v>62.3677111412496</v>
      </c>
      <c r="O39" s="38" t="n">
        <f aca="false">Seg!$O$23-Seg!$O$25</f>
        <v>80.6189463642798</v>
      </c>
    </row>
    <row r="40" customFormat="false" ht="17.15" hidden="false" customHeight="false" outlineLevel="0" collapsed="false">
      <c r="A40" s="0" t="s">
        <v>739</v>
      </c>
      <c r="B40" s="0" t="s">
        <v>86</v>
      </c>
      <c r="C40" s="38" t="n">
        <f aca="false">Thesis!$C$54*(1-Seg!$C$21)</f>
        <v>0.0455891896019953</v>
      </c>
      <c r="D40" s="38" t="n">
        <f aca="false">Thesis!$D$54*(1-Seg!$D$21)</f>
        <v>0.227931791705753</v>
      </c>
      <c r="E40" s="38" t="n">
        <f aca="false">Thesis!$E$54*(1-Seg!$E$21)</f>
        <v>0.412460434890711</v>
      </c>
      <c r="F40" s="38" t="n">
        <f aca="false">Thesis!$F$54*(1-Seg!$F$21)</f>
        <v>0.526478448200369</v>
      </c>
      <c r="G40" s="38" t="n">
        <f aca="false">Thesis!$G$54*(1-Seg!$G$21)</f>
        <v>0.938384175963367</v>
      </c>
      <c r="H40" s="38" t="n">
        <f aca="false">Thesis!$H$54*(1-Seg!$H$21)</f>
        <v>2.5554428054211</v>
      </c>
      <c r="I40" s="38" t="n">
        <f aca="false">Thesis!$I$54*(1-Seg!$I$21)</f>
        <v>4.95592075618067</v>
      </c>
      <c r="J40" s="38" t="n">
        <f aca="false">Thesis!$J$54*(1-Seg!$J$21)</f>
        <v>7.18227965603981</v>
      </c>
      <c r="K40" s="38" t="n">
        <f aca="false">Thesis!$K$54*(1-Seg!$K$21)</f>
        <v>9.3601146615813</v>
      </c>
      <c r="L40" s="38" t="n">
        <f aca="false">Thesis!$L$54*(1-Seg!$L$21)</f>
        <v>10.8685013176327</v>
      </c>
      <c r="M40" s="38" t="n">
        <f aca="false">Thesis!$M$54*(1-Seg!$M$21)</f>
        <v>11.7023654601206</v>
      </c>
      <c r="N40" s="38" t="n">
        <f aca="false">Thesis!$N$54*(1-Seg!$N$21)</f>
        <v>0.0912435878202994</v>
      </c>
      <c r="O40" s="38" t="n">
        <f aca="false">Thesis!$O$54*(1-Seg!$O$21)</f>
        <v>0.137119578309265</v>
      </c>
    </row>
    <row r="41" customFormat="false" ht="17.15" hidden="false" customHeight="false" outlineLevel="0" collapsed="false">
      <c r="A41" s="0" t="s">
        <v>740</v>
      </c>
      <c r="B41" s="0" t="s">
        <v>52</v>
      </c>
      <c r="C41" s="28" t="n">
        <f aca="false">(PL!$C$42-PL!$C$38+PL!$C$40)/PL!$C$39</f>
        <v>-0.0292364215826579</v>
      </c>
      <c r="D41" s="28" t="n">
        <f aca="false">(PL!$D$42-PL!$D$38+PL!$D$40)/PL!$D$39</f>
        <v>-0.0312406216748665</v>
      </c>
      <c r="E41" s="28" t="n">
        <f aca="false">(PL!$E$42-PL!$E$38+PL!$E$40)/PL!$E$39</f>
        <v>-0.0204459413185552</v>
      </c>
      <c r="F41" s="28" t="n">
        <f aca="false">PL!$O$41+(PL!$E$41-PL!$N$41)</f>
        <v>-0.0375409290246314</v>
      </c>
      <c r="G41" s="28" t="n">
        <f aca="false">(PL!$G$42-PL!$G$38+PL!$G$40)/PL!$G$39</f>
        <v>-0.029671474315464</v>
      </c>
      <c r="H41" s="28" t="n">
        <f aca="false">PL!$G$41+step_in</f>
        <v>-0.029671474315464</v>
      </c>
      <c r="I41" s="28" t="n">
        <f aca="false">PL!$H$41+step_in</f>
        <v>-0.029671474315464</v>
      </c>
      <c r="J41" s="28" t="n">
        <f aca="false">PL!$I$41+step_in</f>
        <v>-0.029671474315464</v>
      </c>
      <c r="K41" s="28" t="n">
        <f aca="false">PL!$J$41+step_in</f>
        <v>-0.029671474315464</v>
      </c>
      <c r="L41" s="28" t="n">
        <f aca="false">PL!$K$41</f>
        <v>-0.029671474315464</v>
      </c>
      <c r="M41" s="28" t="n">
        <f aca="false">PL!$L$41</f>
        <v>-0.029671474315464</v>
      </c>
      <c r="N41" s="28" t="n">
        <f aca="false">(PL!$N$42-PL!$N$38+PL!$N$40)/PL!$N$39</f>
        <v>-0.0216602600421776</v>
      </c>
      <c r="O41" s="28" t="n">
        <f aca="false">(PL!$O$42-PL!$O$38+PL!$O$40)/PL!$O$39</f>
        <v>-0.0387552477482538</v>
      </c>
      <c r="P41" s="8" t="s">
        <v>735</v>
      </c>
    </row>
    <row r="42" customFormat="false" ht="17.15" hidden="false" customHeight="false" outlineLevel="0" collapsed="false">
      <c r="A42" s="1" t="s">
        <v>741</v>
      </c>
      <c r="B42" s="8" t="s">
        <v>86</v>
      </c>
      <c r="C42" s="38" t="n">
        <f aca="false">Q!$D$23</f>
        <v>3.792</v>
      </c>
      <c r="D42" s="38" t="n">
        <f aca="false">Q!$E$23</f>
        <v>4.75</v>
      </c>
      <c r="E42" s="38" t="n">
        <f aca="false">Q!$P$23</f>
        <v>3.141</v>
      </c>
      <c r="F42" s="38" t="n">
        <f aca="false">PL!$F$38+PL!$F$39*PL!$F$41-PL!$F$40</f>
        <v>2.77434532797084</v>
      </c>
      <c r="G42" s="38" t="n">
        <f aca="false">PL!$E$42+PL!$F$42</f>
        <v>5.91534532797084</v>
      </c>
      <c r="H42" s="38" t="n">
        <f aca="false">PL!$H$38+PL!$H$39*PL!$H$41-PL!$H$40</f>
        <v>6.1731560544582</v>
      </c>
      <c r="I42" s="38" t="n">
        <f aca="false">PL!$I$38+PL!$I$39*PL!$I$41-PL!$I$40</f>
        <v>5.66630956637209</v>
      </c>
      <c r="J42" s="38" t="n">
        <f aca="false">PL!$J$38+PL!$J$39*PL!$J$41-PL!$J$40</f>
        <v>5.20911630022198</v>
      </c>
      <c r="K42" s="38" t="n">
        <f aca="false">PL!$K$38+PL!$K$39*PL!$K$41-PL!$K$40</f>
        <v>4.51730058461144</v>
      </c>
      <c r="L42" s="38" t="n">
        <f aca="false">PL!$L$38+PL!$L$39*PL!$L$41-PL!$L$40</f>
        <v>4.65716160459054</v>
      </c>
      <c r="M42" s="38" t="n">
        <f aca="false">PL!$M$38+PL!$M$39*PL!$M$41-PL!$M$40</f>
        <v>5.6507795912159</v>
      </c>
      <c r="N42" s="38" t="n">
        <f aca="false">Q!$N$23</f>
        <v>2.511</v>
      </c>
      <c r="O42" s="38" t="n">
        <f aca="false">Q!$O$23</f>
        <v>2.239</v>
      </c>
    </row>
    <row r="43" customFormat="false" ht="17.15" hidden="false" customHeight="false" outlineLevel="0" collapsed="false">
      <c r="A43" s="0" t="s">
        <v>742</v>
      </c>
      <c r="B43" s="0" t="s">
        <v>86</v>
      </c>
      <c r="C43" s="38" t="n">
        <f aca="false">Thesis!$C$51</f>
        <v>1.64417882953695</v>
      </c>
      <c r="D43" s="38" t="n">
        <f aca="false">Thesis!$D$51</f>
        <v>5.39125073772939</v>
      </c>
      <c r="E43" s="38" t="n">
        <f aca="false">Thesis!$E$51</f>
        <v>2.42691120599613</v>
      </c>
      <c r="F43" s="38" t="n">
        <f aca="false">Thesis!$F$51</f>
        <v>10.301097527928</v>
      </c>
      <c r="G43" s="38" t="n">
        <f aca="false">Thesis!$G$51</f>
        <v>12.7280087339241</v>
      </c>
      <c r="H43" s="38" t="n">
        <f aca="false">Thesis!$H$51</f>
        <v>46.1759016607843</v>
      </c>
      <c r="I43" s="38" t="n">
        <f aca="false">Thesis!$I$51</f>
        <v>76.4984871959261</v>
      </c>
      <c r="J43" s="38" t="n">
        <f aca="false">Thesis!$J$51</f>
        <v>109.624986512025</v>
      </c>
      <c r="K43" s="38" t="n">
        <f aca="false">Thesis!$K$51</f>
        <v>133.85829432689</v>
      </c>
      <c r="L43" s="38" t="n">
        <f aca="false">Thesis!$L$51</f>
        <v>148.659333198576</v>
      </c>
      <c r="M43" s="38" t="n">
        <f aca="false">Thesis!$M$51</f>
        <v>154.054343356574</v>
      </c>
      <c r="N43" s="38" t="n">
        <f aca="false">Thesis!$N$51</f>
        <v>1.67921600037079</v>
      </c>
      <c r="O43" s="38" t="n">
        <f aca="false">Thesis!$O$51</f>
        <v>3.71203473735861</v>
      </c>
    </row>
    <row r="44" customFormat="false" ht="17.15" hidden="false" customHeight="false" outlineLevel="0" collapsed="false">
      <c r="A44" s="0" t="s">
        <v>660</v>
      </c>
      <c r="B44" s="0" t="s">
        <v>86</v>
      </c>
      <c r="C44" s="38" t="n">
        <f aca="false">Thesis!$C$56</f>
        <v>38.1898211704631</v>
      </c>
      <c r="D44" s="38" t="n">
        <f aca="false">Thesis!$D$56</f>
        <v>40.2147492622706</v>
      </c>
      <c r="E44" s="38" t="n">
        <f aca="false">Thesis!$E$56</f>
        <v>28.3550887940039</v>
      </c>
      <c r="F44" s="38" t="n">
        <f aca="false">Thesis!$F$56</f>
        <v>25.9529793149447</v>
      </c>
      <c r="G44" s="38" t="n">
        <f aca="false">Thesis!$G$56</f>
        <v>54.3080681089486</v>
      </c>
      <c r="H44" s="38" t="n">
        <f aca="false">Thesis!$H$56</f>
        <v>58.2264684589333</v>
      </c>
      <c r="I44" s="38" t="n">
        <f aca="false">Thesis!$I$56</f>
        <v>64.6461353851744</v>
      </c>
      <c r="J44" s="38" t="n">
        <f aca="false">Thesis!$J$56</f>
        <v>70.7957093610231</v>
      </c>
      <c r="K44" s="38" t="n">
        <f aca="false">Thesis!$K$56</f>
        <v>76.4593661099049</v>
      </c>
      <c r="L44" s="38" t="n">
        <f aca="false">Thesis!$L$56</f>
        <v>82.5761153986973</v>
      </c>
      <c r="M44" s="38" t="n">
        <f aca="false">Thesis!$M$56</f>
        <v>89.1822046305931</v>
      </c>
      <c r="N44" s="38" t="n">
        <f aca="false">Thesis!$N$56</f>
        <v>20.0277839996292</v>
      </c>
      <c r="O44" s="38" t="n">
        <f aca="false">Thesis!$O$56</f>
        <v>20.1869652626414</v>
      </c>
    </row>
    <row r="45" customFormat="false" ht="17.15" hidden="false" customHeight="false" outlineLevel="0" collapsed="false">
      <c r="A45" s="1" t="s">
        <v>743</v>
      </c>
      <c r="B45" s="8" t="s">
        <v>86</v>
      </c>
      <c r="C45" s="38" t="n">
        <f aca="false">Q!$D$24</f>
        <v>39.834</v>
      </c>
      <c r="D45" s="38" t="n">
        <f aca="false">Q!$E$24</f>
        <v>45.606</v>
      </c>
      <c r="E45" s="38" t="n">
        <f aca="false">Q!$P$24</f>
        <v>30.782</v>
      </c>
      <c r="F45" s="38" t="n">
        <f aca="false">PL!$F$43+PL!$F$44</f>
        <v>36.2540768428727</v>
      </c>
      <c r="G45" s="38" t="n">
        <f aca="false">PL!$G$43+PL!$G$44</f>
        <v>67.0360768428727</v>
      </c>
      <c r="H45" s="38" t="n">
        <f aca="false">PL!$H$43+PL!$H$44</f>
        <v>104.402370119718</v>
      </c>
      <c r="I45" s="38" t="n">
        <f aca="false">PL!$I$43+PL!$I$44</f>
        <v>141.144622581101</v>
      </c>
      <c r="J45" s="38" t="n">
        <f aca="false">PL!$J$43+PL!$J$44</f>
        <v>180.420695873048</v>
      </c>
      <c r="K45" s="38" t="n">
        <f aca="false">PL!$K$43+PL!$K$44</f>
        <v>210.317660436795</v>
      </c>
      <c r="L45" s="38" t="n">
        <f aca="false">PL!$L$43+PL!$L$44</f>
        <v>231.235448597273</v>
      </c>
      <c r="M45" s="38" t="n">
        <f aca="false">PL!$M$43+PL!$M$44</f>
        <v>243.236547987167</v>
      </c>
      <c r="N45" s="38" t="n">
        <f aca="false">Q!$N$24</f>
        <v>21.707</v>
      </c>
      <c r="O45" s="38" t="n">
        <f aca="false">Q!$O$24</f>
        <v>23.899</v>
      </c>
    </row>
    <row r="46" customFormat="false" ht="17.15" hidden="false" customHeight="false" outlineLevel="0" collapsed="false">
      <c r="A46" s="5" t="s">
        <v>744</v>
      </c>
      <c r="B46" s="0" t="s">
        <v>86</v>
      </c>
      <c r="C46" s="38" t="n">
        <f aca="false">Q!$D$26</f>
        <v>0</v>
      </c>
      <c r="D46" s="38" t="n">
        <f aca="false">Q!$E$26</f>
        <v>0</v>
      </c>
      <c r="E46" s="38" t="n">
        <f aca="false">Q!$P$26</f>
        <v>0</v>
      </c>
      <c r="F46" s="39" t="n">
        <v>0</v>
      </c>
      <c r="G46" s="38" t="n">
        <f aca="false">PL!$E$46+PL!$F$46</f>
        <v>0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39" t="n">
        <v>0</v>
      </c>
      <c r="N46" s="38" t="n">
        <f aca="false">Q!$N$26</f>
        <v>0</v>
      </c>
      <c r="O46" s="38" t="n">
        <f aca="false">Q!$O$26</f>
        <v>0</v>
      </c>
    </row>
    <row r="47" customFormat="false" ht="15" hidden="false" customHeight="false" outlineLevel="0" collapsed="false">
      <c r="A47" s="3" t="s">
        <v>541</v>
      </c>
      <c r="B47" s="8" t="s">
        <v>86</v>
      </c>
      <c r="C47" s="38" t="n">
        <f aca="false">Q!$D$25</f>
        <v>68.593</v>
      </c>
      <c r="D47" s="38" t="n">
        <f aca="false">Q!$E$25</f>
        <v>79.975</v>
      </c>
      <c r="E47" s="38" t="n">
        <f aca="false">Q!$P$25</f>
        <v>51.313</v>
      </c>
      <c r="F47" s="38" t="n">
        <f aca="false">PL!$F$37+PL!$F$42+PL!$F$45+PL!$F$46</f>
        <v>59.1379718258371</v>
      </c>
      <c r="G47" s="38" t="n">
        <f aca="false">PL!$G$37+PL!$G$42+PL!$G$45+PL!$G$46</f>
        <v>110.450971825837</v>
      </c>
      <c r="H47" s="38" t="n">
        <f aca="false">PL!$H$37+PL!$H$42+PL!$H$45+PL!$H$46</f>
        <v>152.155289758177</v>
      </c>
      <c r="I47" s="38" t="n">
        <f aca="false">PL!$I$37+PL!$I$42+PL!$I$45+PL!$I$46</f>
        <v>190.6051296225</v>
      </c>
      <c r="J47" s="38" t="n">
        <f aca="false">PL!$J$37+PL!$J$42+PL!$J$45+PL!$J$46</f>
        <v>231.819007485239</v>
      </c>
      <c r="K47" s="38" t="n">
        <f aca="false">PL!$K$37+PL!$K$42+PL!$K$45+PL!$K$46</f>
        <v>262.765485455477</v>
      </c>
      <c r="L47" s="38" t="n">
        <f aca="false">PL!$L$37+PL!$L$42+PL!$L$45+PL!$L$46</f>
        <v>286.296248629443</v>
      </c>
      <c r="M47" s="38" t="n">
        <f aca="false">PL!$M$37+PL!$M$42+PL!$M$45+PL!$M$46</f>
        <v>304.120511002735</v>
      </c>
      <c r="N47" s="38" t="n">
        <f aca="false">Q!$N$25</f>
        <v>37.576</v>
      </c>
      <c r="O47" s="38" t="n">
        <f aca="false">Q!$O$25</f>
        <v>42.399</v>
      </c>
    </row>
    <row r="48" customFormat="false" ht="17.15" hidden="false" customHeight="false" outlineLevel="0" collapsed="false">
      <c r="A48" s="24" t="s">
        <v>745</v>
      </c>
      <c r="B48" s="25" t="s">
        <v>86</v>
      </c>
      <c r="C48" s="41" t="n">
        <f aca="false">PL!$C$37+PL!$C$42+PL!$C$45+PL!$C$46-PL!$C$47</f>
        <v>0</v>
      </c>
      <c r="D48" s="41" t="n">
        <f aca="false">PL!$D$37+PL!$D$42+PL!$D$45+PL!$D$46-PL!$D$47</f>
        <v>0</v>
      </c>
      <c r="E48" s="41" t="n">
        <f aca="false">PL!$E$37+PL!$E$42+PL!$E$45+PL!$E$46-PL!$E$47</f>
        <v>0</v>
      </c>
      <c r="F48" s="41" t="n">
        <f aca="false">PL!$F$37+PL!$F$42+PL!$F$45+PL!$F$46-PL!$F$47</f>
        <v>0</v>
      </c>
      <c r="G48" s="41" t="n">
        <f aca="false">PL!$G$37+PL!$G$42+PL!$G$45+PL!$G$46-PL!$G$47</f>
        <v>0</v>
      </c>
      <c r="H48" s="41" t="n">
        <f aca="false">PL!$H$37+PL!$H$42+PL!$H$45+PL!$H$46-PL!$H$47</f>
        <v>0</v>
      </c>
      <c r="I48" s="41" t="n">
        <f aca="false">PL!$I$37+PL!$I$42+PL!$I$45+PL!$I$46-PL!$I$47</f>
        <v>0</v>
      </c>
      <c r="J48" s="41" t="n">
        <f aca="false">PL!$J$37+PL!$J$42+PL!$J$45+PL!$J$46-PL!$J$47</f>
        <v>0</v>
      </c>
      <c r="K48" s="41" t="n">
        <f aca="false">PL!$K$37+PL!$K$42+PL!$K$45+PL!$K$46-PL!$K$47</f>
        <v>0</v>
      </c>
      <c r="L48" s="41" t="n">
        <f aca="false">PL!$L$37+PL!$L$42+PL!$L$45+PL!$L$46-PL!$L$47</f>
        <v>0</v>
      </c>
      <c r="M48" s="41" t="n">
        <f aca="false">PL!$M$37+PL!$M$42+PL!$M$45+PL!$M$46-PL!$M$47</f>
        <v>0</v>
      </c>
      <c r="N48" s="41" t="n">
        <f aca="false">PL!$N$37+PL!$N$42+PL!$N$45+PL!$N$46-PL!$N$47</f>
        <v>0</v>
      </c>
      <c r="O48" s="41" t="n">
        <f aca="false">PL!$O$37+PL!$O$42+PL!$O$45+PL!$O$46-PL!$O$47</f>
        <v>0</v>
      </c>
    </row>
    <row r="49" customFormat="false" ht="17.15" hidden="false" customHeight="false" outlineLevel="0" collapsed="false">
      <c r="A49" s="5" t="s">
        <v>746</v>
      </c>
      <c r="B49" s="0" t="s">
        <v>86</v>
      </c>
      <c r="C49" s="38" t="n">
        <f aca="false">Thesis!$C$53</f>
        <v>0</v>
      </c>
      <c r="D49" s="38" t="n">
        <f aca="false">Thesis!$D$53</f>
        <v>0</v>
      </c>
      <c r="E49" s="38" t="n">
        <f aca="false">Thesis!$E$53</f>
        <v>0</v>
      </c>
      <c r="F49" s="38" t="n">
        <f aca="false">Thesis!$F$53</f>
        <v>3.80479825569281</v>
      </c>
      <c r="G49" s="38" t="n">
        <f aca="false">Thesis!$G$53</f>
        <v>3.80479825569281</v>
      </c>
      <c r="H49" s="38" t="n">
        <f aca="false">Thesis!$H$53</f>
        <v>15.4376834367265</v>
      </c>
      <c r="I49" s="38" t="n">
        <f aca="false">Thesis!$I$53</f>
        <v>26.1389535282796</v>
      </c>
      <c r="J49" s="38" t="n">
        <f aca="false">Thesis!$J$53</f>
        <v>36.8878303911588</v>
      </c>
      <c r="K49" s="38" t="n">
        <f aca="false">Thesis!$K$53</f>
        <v>46.0570127832188</v>
      </c>
      <c r="L49" s="38" t="n">
        <f aca="false">Thesis!$L$53</f>
        <v>52.0811306967416</v>
      </c>
      <c r="M49" s="38" t="n">
        <f aca="false">Thesis!$M$53</f>
        <v>54.9524379204829</v>
      </c>
      <c r="N49" s="38" t="n">
        <f aca="false">Thesis!$N$53</f>
        <v>0</v>
      </c>
      <c r="O49" s="38" t="n">
        <f aca="false">Thesis!$O$53</f>
        <v>0</v>
      </c>
      <c r="P49" s="5" t="s">
        <v>747</v>
      </c>
    </row>
    <row r="50" customFormat="false" ht="17.15" hidden="false" customHeight="false" outlineLevel="0" collapsed="false">
      <c r="A50" s="5" t="s">
        <v>748</v>
      </c>
      <c r="B50" s="0" t="s">
        <v>86</v>
      </c>
      <c r="C50" s="38" t="n">
        <f aca="false">PL!$C$47+PL!$C$49</f>
        <v>68.593</v>
      </c>
      <c r="D50" s="38" t="n">
        <f aca="false">PL!$D$47+PL!$D$49</f>
        <v>79.975</v>
      </c>
      <c r="E50" s="38" t="n">
        <f aca="false">PL!$E$47+PL!$E$49</f>
        <v>51.313</v>
      </c>
      <c r="F50" s="38" t="n">
        <f aca="false">PL!$F$47+PL!$F$49</f>
        <v>62.94277008153</v>
      </c>
      <c r="G50" s="38" t="n">
        <f aca="false">PL!$G$47+PL!$G$49</f>
        <v>114.25577008153</v>
      </c>
      <c r="H50" s="38" t="n">
        <f aca="false">PL!$H$47+PL!$H$49</f>
        <v>167.592973194903</v>
      </c>
      <c r="I50" s="38" t="n">
        <f aca="false">PL!$I$47+PL!$I$49</f>
        <v>216.744083150779</v>
      </c>
      <c r="J50" s="38" t="n">
        <f aca="false">PL!$J$47+PL!$J$49</f>
        <v>268.706837876398</v>
      </c>
      <c r="K50" s="38" t="n">
        <f aca="false">PL!$K$47+PL!$K$49</f>
        <v>308.822498238696</v>
      </c>
      <c r="L50" s="38" t="n">
        <f aca="false">PL!$L$47+PL!$L$49</f>
        <v>338.377379326184</v>
      </c>
      <c r="M50" s="38" t="n">
        <f aca="false">PL!$M$47+PL!$M$49</f>
        <v>359.072948923218</v>
      </c>
      <c r="N50" s="38" t="n">
        <f aca="false">PL!$N$47+PL!$N$49</f>
        <v>37.576</v>
      </c>
      <c r="O50" s="38" t="n">
        <f aca="false">PL!$O$47+PL!$O$49</f>
        <v>42.399</v>
      </c>
    </row>
    <row r="51" customFormat="false" ht="17.15" hidden="false" customHeight="false" outlineLevel="0" collapsed="false">
      <c r="A51" s="0" t="s">
        <v>749</v>
      </c>
      <c r="B51" s="0" t="s">
        <v>52</v>
      </c>
      <c r="C51" s="13" t="n">
        <f aca="false">PL!$C$37/PL!$C$22</f>
        <v>0.0644314665661928</v>
      </c>
      <c r="D51" s="13" t="n">
        <f aca="false">PL!$D$37/PL!$D$22</f>
        <v>0.0694784250712518</v>
      </c>
      <c r="E51" s="13" t="n">
        <f aca="false">PL!$E$37/PL!$E$22</f>
        <v>0.0789306463326071</v>
      </c>
      <c r="F51" s="13" t="n">
        <f aca="false">PL!$F$37/PL!$F$22</f>
        <v>0.0802328751567886</v>
      </c>
      <c r="G51" s="13" t="n">
        <f aca="false">PL!$G$37/PL!$G$22</f>
        <v>0.0796236786378942</v>
      </c>
      <c r="H51" s="13" t="n">
        <f aca="false">PL!$H$37/PL!$H$22</f>
        <v>0.0797483718394869</v>
      </c>
      <c r="I51" s="13" t="n">
        <f aca="false">PL!$I$37/PL!$I$22</f>
        <v>0.0768125385989889</v>
      </c>
      <c r="J51" s="13" t="n">
        <f aca="false">PL!$J$37/PL!$J$22</f>
        <v>0.075056610517384</v>
      </c>
      <c r="K51" s="13" t="n">
        <f aca="false">PL!$K$37/PL!$K$22</f>
        <v>0.0731531174638191</v>
      </c>
      <c r="L51" s="13" t="n">
        <f aca="false">PL!$L$37/PL!$L$22</f>
        <v>0.0722314121677265</v>
      </c>
      <c r="M51" s="13" t="n">
        <f aca="false">PL!$M$37/PL!$M$22</f>
        <v>0.0742981346761563</v>
      </c>
      <c r="N51" s="13" t="n">
        <f aca="false">PL!$N$37/PL!$N$22</f>
        <v>0.069228576611127</v>
      </c>
      <c r="O51" s="13" t="n">
        <f aca="false">PL!$O$37/PL!$O$22</f>
        <v>0.069685022498393</v>
      </c>
    </row>
    <row r="52" customFormat="false" ht="17.15" hidden="false" customHeight="false" outlineLevel="0" collapsed="false">
      <c r="A52" s="0" t="s">
        <v>750</v>
      </c>
      <c r="B52" s="0" t="s">
        <v>52</v>
      </c>
      <c r="C52" s="13" t="n">
        <f aca="false">PL!$C$42/PL!$C$23</f>
        <v>0.026534925055631</v>
      </c>
      <c r="D52" s="13" t="n">
        <f aca="false">PL!$D$42/PL!$D$23</f>
        <v>0.0293401855535103</v>
      </c>
      <c r="E52" s="13" t="n">
        <f aca="false">PL!$E$42/PL!$E$23</f>
        <v>0.03831141902276</v>
      </c>
      <c r="F52" s="13" t="n">
        <f aca="false">PL!$F$42/PL!$F$23</f>
        <v>0.0281921401654227</v>
      </c>
      <c r="G52" s="13" t="n">
        <f aca="false">PL!$G$42/PL!$G$23</f>
        <v>0.032791168089267</v>
      </c>
      <c r="H52" s="13" t="n">
        <f aca="false">PL!$H$42/PL!$H$23</f>
        <v>0.0309106162595083</v>
      </c>
      <c r="I52" s="13" t="n">
        <f aca="false">PL!$I$42/PL!$I$23</f>
        <v>0.0259463601429529</v>
      </c>
      <c r="J52" s="13" t="n">
        <f aca="false">PL!$J$42/PL!$J$23</f>
        <v>0.022099029617332</v>
      </c>
      <c r="K52" s="13" t="n">
        <f aca="false">PL!$K$42/PL!$K$23</f>
        <v>0.0179994918996662</v>
      </c>
      <c r="L52" s="13" t="n">
        <f aca="false">PL!$L$42/PL!$L$23</f>
        <v>0.0174239302844283</v>
      </c>
      <c r="M52" s="13" t="n">
        <f aca="false">PL!$M$42/PL!$M$23</f>
        <v>0.0198448034454458</v>
      </c>
      <c r="N52" s="13" t="n">
        <f aca="false">PL!$N$42/PL!$N$23</f>
        <v>0.0357315650169337</v>
      </c>
      <c r="O52" s="13" t="n">
        <f aca="false">PL!$O$42/PL!$O$23</f>
        <v>0.0244378956559703</v>
      </c>
    </row>
    <row r="53" customFormat="false" ht="17.15" hidden="false" customHeight="false" outlineLevel="0" collapsed="false">
      <c r="A53" s="14" t="s">
        <v>751</v>
      </c>
      <c r="B53" s="14" t="s">
        <v>52</v>
      </c>
      <c r="C53" s="17" t="n">
        <f aca="false">PL!$C$45/PL!$C$24</f>
        <v>0.370355907620217</v>
      </c>
      <c r="D53" s="17" t="n">
        <f aca="false">PL!$D$45/PL!$D$24</f>
        <v>0.35429015342785</v>
      </c>
      <c r="E53" s="17" t="n">
        <f aca="false">PL!$E$45/PL!$E$24</f>
        <v>0.385647527531039</v>
      </c>
      <c r="F53" s="17" t="n">
        <f aca="false">PL!$F$45/PL!$F$24</f>
        <v>0.404892832336041</v>
      </c>
      <c r="G53" s="17" t="n">
        <f aca="false">PL!$G$45/PL!$G$24</f>
        <v>0.395822504823217</v>
      </c>
      <c r="H53" s="17" t="n">
        <f aca="false">PL!$H$45/PL!$H$24</f>
        <v>0.427701611383765</v>
      </c>
      <c r="I53" s="17" t="n">
        <f aca="false">PL!$I$45/PL!$I$24</f>
        <v>0.431838236810538</v>
      </c>
      <c r="J53" s="17" t="n">
        <f aca="false">PL!$J$45/PL!$J$24</f>
        <v>0.440982585941935</v>
      </c>
      <c r="K53" s="17" t="n">
        <f aca="false">PL!$K$45/PL!$K$24</f>
        <v>0.43772137534576</v>
      </c>
      <c r="L53" s="17" t="n">
        <f aca="false">PL!$L$45/PL!$L$24</f>
        <v>0.433037786505712</v>
      </c>
      <c r="M53" s="17" t="n">
        <f aca="false">PL!$M$45/PL!$M$24</f>
        <v>0.426962182223715</v>
      </c>
      <c r="N53" s="17" t="n">
        <f aca="false">PL!$N$45/PL!$N$24</f>
        <v>0.360941137346192</v>
      </c>
      <c r="O53" s="17" t="n">
        <f aca="false">PL!$O$45/PL!$O$24</f>
        <v>0.348458117664212</v>
      </c>
    </row>
    <row r="54" customFormat="false" ht="17.15" hidden="false" customHeight="false" outlineLevel="0" collapsed="false">
      <c r="A54" s="0" t="s">
        <v>752</v>
      </c>
      <c r="B54" s="0" t="s">
        <v>52</v>
      </c>
      <c r="C54" s="13" t="n">
        <f aca="false">PL!$C$43/PL!$C$25</f>
        <v>0.708390794789371</v>
      </c>
      <c r="D54" s="13" t="n">
        <f aca="false">PL!$D$43/PL!$D$25</f>
        <v>0.619415573115729</v>
      </c>
      <c r="E54" s="13" t="n">
        <f aca="false">PL!$E$43/PL!$E$25</f>
        <v>0.285171627189009</v>
      </c>
      <c r="F54" s="13" t="n">
        <f aca="false">PL!$F$43/PL!$F$25</f>
        <v>0.579669713931958</v>
      </c>
      <c r="G54" s="13" t="n">
        <f aca="false">PL!$G$43/PL!$G$25</f>
        <v>0.484304847968963</v>
      </c>
      <c r="H54" s="13" t="n">
        <f aca="false">PL!$H$43/PL!$H$25</f>
        <v>0.555774537632935</v>
      </c>
      <c r="I54" s="13" t="n">
        <f aca="false">PL!$I$43/PL!$I$25</f>
        <v>0.516615362137512</v>
      </c>
      <c r="J54" s="13" t="n">
        <f aca="false">PL!$J$43/PL!$J$25</f>
        <v>0.513808096052213</v>
      </c>
      <c r="K54" s="13" t="n">
        <f aca="false">PL!$K$43/PL!$K$25</f>
        <v>0.497530553166573</v>
      </c>
      <c r="L54" s="13" t="n">
        <f aca="false">PL!$L$43/PL!$L$25</f>
        <v>0.486399968721178</v>
      </c>
      <c r="M54" s="13" t="n">
        <f aca="false">PL!$M$43/PL!$M$25</f>
        <v>0.476844664719016</v>
      </c>
      <c r="N54" s="13" t="n">
        <f aca="false">PL!$N$43/PL!$N$25</f>
        <v>0.551227795793364</v>
      </c>
      <c r="O54" s="13" t="n">
        <f aca="false">PL!$O$43/PL!$O$25</f>
        <v>0.656132068597002</v>
      </c>
    </row>
    <row r="55" customFormat="false" ht="15" hidden="false" customHeight="false" outlineLevel="0" collapsed="false">
      <c r="A55" s="5" t="s">
        <v>753</v>
      </c>
      <c r="B55" s="0" t="s">
        <v>52</v>
      </c>
      <c r="C55" s="13" t="n">
        <f aca="false">PL!$C$47/PL!$C$27</f>
        <v>0.107519448742004</v>
      </c>
      <c r="D55" s="13" t="n">
        <f aca="false">PL!$D$47/PL!$D$27</f>
        <v>0.111552967957552</v>
      </c>
      <c r="E55" s="13" t="n">
        <f aca="false">PL!$E$47/PL!$E$27</f>
        <v>0.13428328426562</v>
      </c>
      <c r="F55" s="13" t="n">
        <f aca="false">PL!$F$47/PL!$F$27</f>
        <v>0.134837132698459</v>
      </c>
      <c r="G55" s="13" t="n">
        <f aca="false">PL!$G$47/PL!$G$27</f>
        <v>0.134579260229626</v>
      </c>
      <c r="H55" s="13" t="n">
        <f aca="false">PL!$H$47/PL!$H$27</f>
        <v>0.157641556328446</v>
      </c>
      <c r="I55" s="13" t="n">
        <f aca="false">PL!$I$47/PL!$I$27</f>
        <v>0.170888762955046</v>
      </c>
      <c r="J55" s="13" t="n">
        <f aca="false">PL!$J$47/PL!$J$27</f>
        <v>0.183948040862056</v>
      </c>
      <c r="K55" s="13" t="n">
        <f aca="false">PL!$K$47/PL!$K$27</f>
        <v>0.189495331905823</v>
      </c>
      <c r="L55" s="13" t="n">
        <f aca="false">PL!$L$47/PL!$L$27</f>
        <v>0.190981610976904</v>
      </c>
      <c r="M55" s="13" t="n">
        <f aca="false">PL!$M$47/PL!$M$27</f>
        <v>0.190332388136462</v>
      </c>
      <c r="N55" s="13" t="n">
        <f aca="false">PL!$N$47/PL!$N$27</f>
        <v>0.116201614873411</v>
      </c>
      <c r="O55" s="13" t="n">
        <f aca="false">PL!$O$47/PL!$O$27</f>
        <v>0.107733353660861</v>
      </c>
    </row>
    <row r="56" customFormat="false" ht="17.15" hidden="false" customHeight="false" outlineLevel="0" collapsed="false">
      <c r="A56" s="1" t="s">
        <v>754</v>
      </c>
    </row>
    <row r="57" customFormat="false" ht="17.15" hidden="false" customHeight="false" outlineLevel="0" collapsed="false">
      <c r="A57" s="5" t="s">
        <v>755</v>
      </c>
      <c r="B57" s="0" t="s">
        <v>52</v>
      </c>
      <c r="D57" s="28" t="n">
        <f aca="false">(Q!$E$29+Q!$E$30-(1-ext_sh)*Thesis!$D$47)/Seg!$D$20</f>
        <v>0.0341105596409988</v>
      </c>
    </row>
    <row r="58" customFormat="false" ht="17.15" hidden="false" customHeight="false" outlineLevel="0" collapsed="false">
      <c r="A58" s="0" t="s">
        <v>545</v>
      </c>
      <c r="B58" s="0" t="s">
        <v>86</v>
      </c>
      <c r="C58" s="38" t="n">
        <f aca="false">Q!$D$29</f>
        <v>14.285</v>
      </c>
      <c r="D58" s="38" t="n">
        <f aca="false">Q!$E$29</f>
        <v>15.503</v>
      </c>
      <c r="E58" s="38" t="n">
        <f aca="false">Q!$P$29</f>
        <v>8.78</v>
      </c>
      <c r="F58" s="38" t="n">
        <f aca="false">(PL!$D$57*Seg!$F$20+(1-ext_sh)*Thesis!$F$47)*Seg!$F$21</f>
        <v>9.30317620449232</v>
      </c>
      <c r="G58" s="38" t="n">
        <f aca="false">PL!$E$58+PL!$F$58</f>
        <v>18.0831762044923</v>
      </c>
      <c r="H58" s="38" t="n">
        <f aca="false">(PL!$D$57*Seg!$H$20+(1-ext_sh)*Thesis!$H$47)*Seg!$H$21</f>
        <v>22.1297245338482</v>
      </c>
      <c r="I58" s="38" t="n">
        <f aca="false">(PL!$D$57*Seg!$I$20+(1-ext_sh)*Thesis!$I$47)*Seg!$I$21</f>
        <v>28.5185727340446</v>
      </c>
      <c r="J58" s="38" t="n">
        <f aca="false">(PL!$D$57*Seg!$J$20+(1-ext_sh)*Thesis!$J$47)*Seg!$J$21</f>
        <v>34.3302905663277</v>
      </c>
      <c r="K58" s="38" t="n">
        <f aca="false">(PL!$D$57*Seg!$K$20+(1-ext_sh)*Thesis!$K$47)*Seg!$K$21</f>
        <v>40.0564814489929</v>
      </c>
      <c r="L58" s="38" t="n">
        <f aca="false">(PL!$D$57*Seg!$L$20+(1-ext_sh)*Thesis!$L$47)*Seg!$L$21</f>
        <v>44.5817964248712</v>
      </c>
      <c r="M58" s="38" t="n">
        <f aca="false">(PL!$D$57*Seg!$M$20+(1-ext_sh)*Thesis!$M$47)*Seg!$M$21</f>
        <v>47.9005932645486</v>
      </c>
      <c r="N58" s="38" t="n">
        <f aca="false">Q!$N$29</f>
        <v>7.272</v>
      </c>
      <c r="O58" s="38" t="n">
        <f aca="false">Q!$O$29</f>
        <v>8.231</v>
      </c>
    </row>
    <row r="59" customFormat="false" ht="17.15" hidden="false" customHeight="false" outlineLevel="0" collapsed="false">
      <c r="A59" s="0" t="s">
        <v>547</v>
      </c>
      <c r="B59" s="0" t="s">
        <v>86</v>
      </c>
      <c r="C59" s="38" t="n">
        <f aca="false">Q!$D$30</f>
        <v>4.462</v>
      </c>
      <c r="D59" s="38" t="n">
        <f aca="false">Q!$E$30</f>
        <v>4.907</v>
      </c>
      <c r="E59" s="38" t="n">
        <f aca="false">Q!$P$30</f>
        <v>2.57</v>
      </c>
      <c r="F59" s="38" t="n">
        <f aca="false">(PL!$D$57*Seg!$F$20+(1-ext_sh)*Thesis!$F$47)*(1-Seg!$F$21)</f>
        <v>3.6526976809753</v>
      </c>
      <c r="G59" s="38" t="n">
        <f aca="false">PL!$E$59+PL!$F$59</f>
        <v>6.2226976809753</v>
      </c>
      <c r="H59" s="38" t="n">
        <f aca="false">(PL!$D$57*Seg!$H$20+(1-ext_sh)*Thesis!$H$47)*(1-Seg!$H$21)</f>
        <v>8.4764774248495</v>
      </c>
      <c r="I59" s="38" t="n">
        <f aca="false">(PL!$D$57*Seg!$I$20+(1-ext_sh)*Thesis!$I$47)*(1-Seg!$I$21)</f>
        <v>10.9236352038324</v>
      </c>
      <c r="J59" s="38" t="n">
        <f aca="false">(PL!$D$57*Seg!$J$20+(1-ext_sh)*Thesis!$J$47)*(1-Seg!$J$21)</f>
        <v>13.1497313727925</v>
      </c>
      <c r="K59" s="38" t="n">
        <f aca="false">(PL!$D$57*Seg!$K$20+(1-ext_sh)*Thesis!$K$47)*(1-Seg!$K$21)</f>
        <v>15.3430676555397</v>
      </c>
      <c r="L59" s="38" t="n">
        <f aca="false">(PL!$D$57*Seg!$L$20+(1-ext_sh)*Thesis!$L$47)*(1-Seg!$L$21)</f>
        <v>17.0764254374992</v>
      </c>
      <c r="M59" s="38" t="n">
        <f aca="false">(PL!$D$57*Seg!$M$20+(1-ext_sh)*Thesis!$M$47)*(1-Seg!$M$21)</f>
        <v>18.3476435426392</v>
      </c>
      <c r="N59" s="38" t="n">
        <f aca="false">Q!$N$30</f>
        <v>2.316</v>
      </c>
      <c r="O59" s="38" t="n">
        <f aca="false">Q!$O$30</f>
        <v>2.591</v>
      </c>
    </row>
    <row r="60" customFormat="false" ht="17.15" hidden="false" customHeight="false" outlineLevel="0" collapsed="false">
      <c r="A60" s="0" t="s">
        <v>548</v>
      </c>
      <c r="B60" s="0" t="s">
        <v>86</v>
      </c>
      <c r="C60" s="38" t="n">
        <f aca="false">Thesis!$C$59</f>
        <v>13.32</v>
      </c>
      <c r="D60" s="38" t="n">
        <f aca="false">Thesis!$D$59</f>
        <v>21.45</v>
      </c>
      <c r="E60" s="38" t="n">
        <f aca="false">Thesis!$E$59</f>
        <v>15.353</v>
      </c>
      <c r="F60" s="38" t="n">
        <f aca="false">Thesis!$F$59</f>
        <v>16.1969869840094</v>
      </c>
      <c r="G60" s="38" t="n">
        <f aca="false">Thesis!$G$59</f>
        <v>31.5499869840094</v>
      </c>
      <c r="H60" s="38" t="n">
        <f aca="false">Thesis!$H$59</f>
        <v>50.9556213609176</v>
      </c>
      <c r="I60" s="38" t="n">
        <f aca="false">Thesis!$I$59</f>
        <v>80.066903031952</v>
      </c>
      <c r="J60" s="38" t="n">
        <f aca="false">Thesis!$J$59</f>
        <v>106.522769788046</v>
      </c>
      <c r="K60" s="38" t="n">
        <f aca="false">Thesis!$K$59</f>
        <v>133.305655930411</v>
      </c>
      <c r="L60" s="38" t="n">
        <f aca="false">Thesis!$L$59</f>
        <v>153.12948349458</v>
      </c>
      <c r="M60" s="38" t="n">
        <f aca="false">Thesis!$M$59</f>
        <v>165.940289802122</v>
      </c>
      <c r="N60" s="38" t="n">
        <f aca="false">Thesis!$N$59</f>
        <v>9.234</v>
      </c>
      <c r="O60" s="38" t="n">
        <f aca="false">Thesis!$O$59</f>
        <v>12.216</v>
      </c>
    </row>
    <row r="61" customFormat="false" ht="17.15" hidden="false" customHeight="false" outlineLevel="0" collapsed="false">
      <c r="A61" s="5" t="s">
        <v>756</v>
      </c>
      <c r="B61" s="0" t="s">
        <v>86</v>
      </c>
      <c r="C61" s="38" t="n">
        <f aca="false">PL!$C$58+PL!$C$59+PL!$C$60</f>
        <v>32.067</v>
      </c>
      <c r="D61" s="38" t="n">
        <f aca="false">PL!$D$58+PL!$D$59+PL!$D$60</f>
        <v>41.86</v>
      </c>
      <c r="E61" s="38" t="n">
        <f aca="false">PL!$E$58+PL!$E$59+PL!$E$60</f>
        <v>26.703</v>
      </c>
      <c r="F61" s="38" t="n">
        <f aca="false">PL!$F$58+PL!$F$59+PL!$F$60</f>
        <v>29.152860869477</v>
      </c>
      <c r="G61" s="38" t="n">
        <f aca="false">PL!$G$58+PL!$G$59+PL!$G$60</f>
        <v>55.855860869477</v>
      </c>
      <c r="H61" s="38" t="n">
        <f aca="false">PL!$H$58+PL!$H$59+PL!$H$60</f>
        <v>81.5618233196153</v>
      </c>
      <c r="I61" s="38" t="n">
        <f aca="false">PL!$I$58+PL!$I$59+PL!$I$60</f>
        <v>119.509110969829</v>
      </c>
      <c r="J61" s="38" t="n">
        <f aca="false">PL!$J$58+PL!$J$59+PL!$J$60</f>
        <v>154.002791727166</v>
      </c>
      <c r="K61" s="38" t="n">
        <f aca="false">PL!$K$58+PL!$K$59+PL!$K$60</f>
        <v>188.705205034944</v>
      </c>
      <c r="L61" s="38" t="n">
        <f aca="false">PL!$L$58+PL!$L$59+PL!$L$60</f>
        <v>214.78770535695</v>
      </c>
      <c r="M61" s="38" t="n">
        <f aca="false">PL!$M$58+PL!$M$59+PL!$M$60</f>
        <v>232.18852660931</v>
      </c>
      <c r="N61" s="38" t="n">
        <f aca="false">PL!$N$58+PL!$N$59+PL!$N$60</f>
        <v>18.822</v>
      </c>
      <c r="O61" s="38" t="n">
        <f aca="false">PL!$O$58+PL!$O$59+PL!$O$60</f>
        <v>23.038</v>
      </c>
    </row>
    <row r="62" customFormat="false" ht="17.15" hidden="false" customHeight="false" outlineLevel="0" collapsed="false">
      <c r="A62" s="0" t="s">
        <v>757</v>
      </c>
      <c r="B62" s="0" t="s">
        <v>86</v>
      </c>
      <c r="C62" s="38" t="n">
        <f aca="false">PL!$C$33+PL!$C$38</f>
        <v>28.107</v>
      </c>
      <c r="D62" s="38" t="n">
        <f aca="false">PL!$D$33+PL!$D$38</f>
        <v>34.3175</v>
      </c>
      <c r="E62" s="38" t="n">
        <f aca="false">PL!$E$33+PL!$E$38</f>
        <v>18.526</v>
      </c>
      <c r="F62" s="38" t="n">
        <f aca="false">PL!$F$33+PL!$F$38</f>
        <v>23.0786109972074</v>
      </c>
      <c r="G62" s="38" t="n">
        <f aca="false">PL!$G$33+PL!$G$38</f>
        <v>41.6046109972074</v>
      </c>
      <c r="H62" s="38" t="n">
        <f aca="false">PL!$H$33+PL!$H$38</f>
        <v>49.9484611939488</v>
      </c>
      <c r="I62" s="38" t="n">
        <f aca="false">PL!$I$33+PL!$I$38</f>
        <v>58.2915555477481</v>
      </c>
      <c r="J62" s="38" t="n">
        <f aca="false">PL!$J$33+PL!$J$38</f>
        <v>66.0744709709759</v>
      </c>
      <c r="K62" s="38" t="n">
        <f aca="false">PL!$K$33+PL!$K$38</f>
        <v>72.6819180680735</v>
      </c>
      <c r="L62" s="38" t="n">
        <f aca="false">PL!$L$33+PL!$L$38</f>
        <v>79.9501098748808</v>
      </c>
      <c r="M62" s="38" t="n">
        <f aca="false">PL!$M$33+PL!$M$38</f>
        <v>87.9451208623689</v>
      </c>
      <c r="N62" s="38" t="n">
        <f aca="false">PL!$N$33+PL!$N$38</f>
        <v>14.8075</v>
      </c>
      <c r="O62" s="38" t="n">
        <f aca="false">PL!$O$33+PL!$O$38</f>
        <v>19.51</v>
      </c>
    </row>
    <row r="63" customFormat="false" ht="17.15" hidden="false" customHeight="false" outlineLevel="0" collapsed="false">
      <c r="A63" s="0" t="s">
        <v>758</v>
      </c>
      <c r="B63" s="0" t="s">
        <v>86</v>
      </c>
      <c r="C63" s="38" t="n">
        <f aca="false">PL!$C$37+PL!$C$42+PL!$C$58+PL!$C$59-PL!$C$62</f>
        <v>19.399</v>
      </c>
      <c r="D63" s="38" t="n">
        <f aca="false">PL!$D$37+PL!$D$42+PL!$D$58+PL!$D$59-PL!$D$62</f>
        <v>20.4615</v>
      </c>
      <c r="E63" s="38" t="n">
        <f aca="false">PL!$E$37+PL!$E$42+PL!$E$58+PL!$E$59-PL!$E$62</f>
        <v>13.355</v>
      </c>
      <c r="F63" s="38" t="n">
        <f aca="false">PL!$F$37+PL!$F$42+PL!$F$58+PL!$F$59-PL!$F$62</f>
        <v>12.7611578712247</v>
      </c>
      <c r="G63" s="38" t="n">
        <f aca="false">PL!$G$37+PL!$G$42+PL!$G$58+PL!$G$59-PL!$G$62</f>
        <v>26.1161578712247</v>
      </c>
      <c r="H63" s="38" t="n">
        <f aca="false">PL!$H$37+PL!$H$42+PL!$H$58+PL!$H$59-PL!$H$62</f>
        <v>28.4106604032081</v>
      </c>
      <c r="I63" s="38" t="n">
        <f aca="false">PL!$I$37+PL!$I$42+PL!$I$58+PL!$I$59-PL!$I$62</f>
        <v>30.6111594315279</v>
      </c>
      <c r="J63" s="38" t="n">
        <f aca="false">PL!$J$37+PL!$J$42+PL!$J$58+PL!$J$59-PL!$J$62</f>
        <v>32.8038625803351</v>
      </c>
      <c r="K63" s="38" t="n">
        <f aca="false">PL!$K$37+PL!$K$42+PL!$K$58+PL!$K$59-PL!$K$62</f>
        <v>35.1654560551409</v>
      </c>
      <c r="L63" s="38" t="n">
        <f aca="false">PL!$L$37+PL!$L$42+PL!$L$58+PL!$L$59-PL!$L$62</f>
        <v>36.7689120196594</v>
      </c>
      <c r="M63" s="38" t="n">
        <f aca="false">PL!$M$37+PL!$M$42+PL!$M$58+PL!$M$59-PL!$M$62</f>
        <v>39.1870789603869</v>
      </c>
      <c r="N63" s="38" t="n">
        <f aca="false">PL!$N$37+PL!$N$42+PL!$N$58+PL!$N$59-PL!$N$62</f>
        <v>10.6495</v>
      </c>
      <c r="O63" s="38" t="n">
        <f aca="false">PL!$O$37+PL!$O$42+PL!$O$58+PL!$O$59-PL!$O$62</f>
        <v>9.81200000000001</v>
      </c>
    </row>
    <row r="64" customFormat="false" ht="17.15" hidden="false" customHeight="false" outlineLevel="0" collapsed="false">
      <c r="A64" s="0" t="s">
        <v>759</v>
      </c>
      <c r="B64" s="0" t="s">
        <v>86</v>
      </c>
      <c r="C64" s="38" t="n">
        <f aca="false">PL!$C$44+PL!$C$60-ext_sh*Thesis!$C$47</f>
        <v>51.3470500115664</v>
      </c>
      <c r="D64" s="38" t="n">
        <f aca="false">PL!$D$44+PL!$D$60-ext_sh*Thesis!$D$47</f>
        <v>60.2799375433739</v>
      </c>
      <c r="E64" s="38" t="n">
        <f aca="false">PL!$E$44+PL!$E$60-ext_sh*Thesis!$E$47</f>
        <v>39.5095167090767</v>
      </c>
      <c r="F64" s="38" t="n">
        <f aca="false">PL!$F$44+PL!$F$60-ext_sh*Thesis!$F$47</f>
        <v>37.951394214027</v>
      </c>
      <c r="G64" s="38" t="n">
        <f aca="false">PL!$G$44+PL!$G$60-ext_sh*Thesis!$G$47</f>
        <v>77.4609109231037</v>
      </c>
      <c r="H64" s="38" t="n">
        <f aca="false">PL!$H$44+PL!$H$60-ext_sh*Thesis!$H$47</f>
        <v>85.1453558128916</v>
      </c>
      <c r="I64" s="38" t="n">
        <f aca="false">PL!$I$44+PL!$I$60-ext_sh*Thesis!$I$47</f>
        <v>94.5329219679741</v>
      </c>
      <c r="J64" s="38" t="n">
        <f aca="false">PL!$J$44+PL!$J$60-ext_sh*Thesis!$J$47</f>
        <v>103.525527532583</v>
      </c>
      <c r="K64" s="38" t="n">
        <f aca="false">PL!$K$44+PL!$K$60-ext_sh*Thesis!$K$47</f>
        <v>111.80756973519</v>
      </c>
      <c r="L64" s="38" t="n">
        <f aca="false">PL!$L$44+PL!$L$60-ext_sh*Thesis!$L$47</f>
        <v>120.752175314005</v>
      </c>
      <c r="M64" s="38" t="n">
        <f aca="false">PL!$M$44+PL!$M$60-ext_sh*Thesis!$M$47</f>
        <v>130.412349339125</v>
      </c>
      <c r="N64" s="38" t="n">
        <f aca="false">PL!$N$44+PL!$N$60-ext_sh*Thesis!$N$47</f>
        <v>28.5693781401809</v>
      </c>
      <c r="O64" s="38" t="n">
        <f aca="false">PL!$O$44+PL!$O$60-ext_sh*Thesis!$O$47</f>
        <v>31.7105594031931</v>
      </c>
    </row>
    <row r="65" customFormat="false" ht="17.15" hidden="false" customHeight="false" outlineLevel="0" collapsed="false">
      <c r="A65" s="0" t="s">
        <v>760</v>
      </c>
      <c r="B65" s="0" t="s">
        <v>86</v>
      </c>
      <c r="C65" s="38" t="n">
        <f aca="false">Thesis!$C$50</f>
        <v>1.80694998843362</v>
      </c>
      <c r="D65" s="38" t="n">
        <f aca="false">Thesis!$D$50</f>
        <v>6.77606245662607</v>
      </c>
      <c r="E65" s="38" t="n">
        <f aca="false">Thesis!$E$50</f>
        <v>6.62548329092326</v>
      </c>
      <c r="F65" s="38" t="n">
        <f aca="false">Thesis!$F$50</f>
        <v>14.4996696128551</v>
      </c>
      <c r="G65" s="38" t="n">
        <f aca="false">Thesis!$G$50</f>
        <v>21.1251529037784</v>
      </c>
      <c r="H65" s="38" t="n">
        <f aca="false">Thesis!$H$50</f>
        <v>70.2126356677435</v>
      </c>
      <c r="I65" s="38" t="n">
        <f aca="false">Thesis!$I$50</f>
        <v>126.678603645079</v>
      </c>
      <c r="J65" s="38" t="n">
        <f aca="false">Thesis!$J$50</f>
        <v>183.417938128511</v>
      </c>
      <c r="K65" s="38" t="n">
        <f aca="false">Thesis!$K$50</f>
        <v>231.815746632017</v>
      </c>
      <c r="L65" s="38" t="n">
        <f aca="false">Thesis!$L$50</f>
        <v>263.612756777848</v>
      </c>
      <c r="M65" s="38" t="n">
        <f aca="false">Thesis!$M$50</f>
        <v>278.764488450164</v>
      </c>
      <c r="N65" s="38" t="n">
        <f aca="false">Thesis!$N$50</f>
        <v>2.37162185981912</v>
      </c>
      <c r="O65" s="38" t="n">
        <f aca="false">Thesis!$O$50</f>
        <v>4.40444059680694</v>
      </c>
    </row>
    <row r="66" customFormat="false" ht="17.15" hidden="false" customHeight="false" outlineLevel="0" collapsed="false">
      <c r="A66" s="0" t="s">
        <v>761</v>
      </c>
      <c r="B66" s="0" t="s">
        <v>86</v>
      </c>
      <c r="C66" s="38" t="n">
        <f aca="false">PL!$C$47+PL!$C$61</f>
        <v>100.66</v>
      </c>
      <c r="D66" s="38" t="n">
        <f aca="false">PL!$D$47+PL!$D$61</f>
        <v>121.835</v>
      </c>
      <c r="E66" s="38" t="n">
        <f aca="false">PL!$E$47+PL!$E$61</f>
        <v>78.016</v>
      </c>
      <c r="F66" s="38" t="n">
        <f aca="false">PL!$F$47+PL!$F$61</f>
        <v>88.2908326953142</v>
      </c>
      <c r="G66" s="38" t="n">
        <f aca="false">PL!$G$47+PL!$G$61</f>
        <v>166.306832695314</v>
      </c>
      <c r="H66" s="38" t="n">
        <f aca="false">PL!$H$47+PL!$H$61</f>
        <v>233.717113077792</v>
      </c>
      <c r="I66" s="38" t="n">
        <f aca="false">PL!$I$47+PL!$I$61</f>
        <v>310.114240592329</v>
      </c>
      <c r="J66" s="38" t="n">
        <f aca="false">PL!$J$47+PL!$J$61</f>
        <v>385.821799212405</v>
      </c>
      <c r="K66" s="38" t="n">
        <f aca="false">PL!$K$47+PL!$K$61</f>
        <v>451.470690490421</v>
      </c>
      <c r="L66" s="38" t="n">
        <f aca="false">PL!$L$47+PL!$L$61</f>
        <v>501.083953986393</v>
      </c>
      <c r="M66" s="38" t="n">
        <f aca="false">PL!$M$47+PL!$M$61</f>
        <v>536.309037612045</v>
      </c>
      <c r="N66" s="38" t="n">
        <f aca="false">PL!$N$47+PL!$N$61</f>
        <v>56.398</v>
      </c>
      <c r="O66" s="38" t="n">
        <f aca="false">PL!$O$47+PL!$O$61</f>
        <v>65.437</v>
      </c>
    </row>
    <row r="67" customFormat="false" ht="17.15" hidden="false" customHeight="false" outlineLevel="0" collapsed="false">
      <c r="A67" s="1" t="s">
        <v>762</v>
      </c>
    </row>
    <row r="68" customFormat="false" ht="15" hidden="false" customHeight="false" outlineLevel="0" collapsed="false">
      <c r="A68" s="5" t="s">
        <v>551</v>
      </c>
      <c r="B68" s="0" t="s">
        <v>86</v>
      </c>
      <c r="C68" s="38" t="n">
        <f aca="false">Q!$D$34</f>
        <v>2.406</v>
      </c>
      <c r="D68" s="38" t="n">
        <f aca="false">Q!$E$34</f>
        <v>2.274</v>
      </c>
      <c r="E68" s="38" t="n">
        <f aca="false">Q!$P$34</f>
        <v>2.114</v>
      </c>
      <c r="F68" s="38" t="n">
        <f aca="false">CF!$F$38</f>
        <v>3.24888962733561</v>
      </c>
      <c r="G68" s="38" t="n">
        <f aca="false">PL!$E$68+PL!$F$68</f>
        <v>5.36288962733561</v>
      </c>
      <c r="H68" s="38" t="n">
        <f aca="false">CF!$H$38</f>
        <v>7.42354172302123</v>
      </c>
      <c r="I68" s="38" t="n">
        <f aca="false">CF!$I$38</f>
        <v>7.42354172302123</v>
      </c>
      <c r="J68" s="38" t="n">
        <f aca="false">CF!$J$38</f>
        <v>7.42354172302123</v>
      </c>
      <c r="K68" s="38" t="n">
        <f aca="false">CF!$K$38</f>
        <v>7.42354172302123</v>
      </c>
      <c r="L68" s="38" t="n">
        <f aca="false">CF!$L$38</f>
        <v>7.42354172302123</v>
      </c>
      <c r="M68" s="38" t="n">
        <f aca="false">CF!$M$38</f>
        <v>7.42354172302123</v>
      </c>
      <c r="N68" s="38" t="n">
        <f aca="false">Q!$N$34</f>
        <v>1.057</v>
      </c>
      <c r="O68" s="38" t="n">
        <f aca="false">Q!$O$34</f>
        <v>1.217</v>
      </c>
    </row>
    <row r="69" customFormat="false" ht="15" hidden="false" customHeight="false" outlineLevel="0" collapsed="false">
      <c r="A69" s="5" t="s">
        <v>763</v>
      </c>
      <c r="B69" s="0" t="s">
        <v>86</v>
      </c>
      <c r="F69" s="38" t="n">
        <f aca="false">CF!$F$39</f>
        <v>2.59</v>
      </c>
      <c r="H69" s="38" t="n">
        <f aca="false">CF!$H$39</f>
        <v>4.21624805096226</v>
      </c>
      <c r="I69" s="38" t="n">
        <f aca="false">CF!$I$39</f>
        <v>2.52688393545712</v>
      </c>
      <c r="J69" s="38" t="n">
        <f aca="false">CF!$J$39</f>
        <v>3.36845988432222</v>
      </c>
      <c r="K69" s="38" t="n">
        <f aca="false">CF!$K$39</f>
        <v>6.8321933403636</v>
      </c>
      <c r="L69" s="38" t="n">
        <f aca="false">CF!$L$39</f>
        <v>15.254039913402</v>
      </c>
      <c r="M69" s="38" t="n">
        <f aca="false">CF!$M$39</f>
        <v>26.820156272289</v>
      </c>
    </row>
    <row r="70" customFormat="false" ht="17.15" hidden="false" customHeight="false" outlineLevel="0" collapsed="false">
      <c r="A70" s="5" t="s">
        <v>764</v>
      </c>
      <c r="B70" s="0" t="s">
        <v>86</v>
      </c>
      <c r="C70" s="38" t="n">
        <f aca="false">Q!$D$39</f>
        <v>2.427</v>
      </c>
      <c r="D70" s="38" t="n">
        <f aca="false">Q!$E$39</f>
        <v>19.61</v>
      </c>
      <c r="E70" s="38" t="n">
        <f aca="false">Q!$P$39</f>
        <v>71.492</v>
      </c>
      <c r="F70" s="39" t="n">
        <v>0</v>
      </c>
      <c r="G70" s="38" t="n">
        <f aca="false">PL!$E$70+PL!$F$70</f>
        <v>71.492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39" t="n">
        <v>0</v>
      </c>
      <c r="N70" s="38" t="n">
        <f aca="false">Q!$N$39</f>
        <v>6.017</v>
      </c>
      <c r="O70" s="38" t="n">
        <f aca="false">Q!$O$39</f>
        <v>13.593</v>
      </c>
      <c r="P70" s="5" t="s">
        <v>765</v>
      </c>
    </row>
    <row r="71" customFormat="false" ht="15" hidden="false" customHeight="false" outlineLevel="0" collapsed="false">
      <c r="A71" s="5" t="s">
        <v>554</v>
      </c>
      <c r="B71" s="0" t="s">
        <v>86</v>
      </c>
      <c r="C71" s="38" t="n">
        <f aca="false">Q!$D$36</f>
        <v>68.614</v>
      </c>
      <c r="D71" s="38" t="n">
        <f aca="false">Q!$E$36</f>
        <v>97.311</v>
      </c>
      <c r="E71" s="38" t="n">
        <f aca="false">Q!$P$36</f>
        <v>120.691</v>
      </c>
      <c r="F71" s="38" t="n">
        <f aca="false">PL!$F$47-PL!$F$68+PL!$F$69+PL!$F$70</f>
        <v>58.4790821985015</v>
      </c>
      <c r="G71" s="38" t="n">
        <f aca="false">PL!$E$71+PL!$F$71</f>
        <v>179.170082198502</v>
      </c>
      <c r="H71" s="38" t="n">
        <f aca="false">PL!$H$47-PL!$H$68+PL!$H$69+PL!$H$70</f>
        <v>148.947996086118</v>
      </c>
      <c r="I71" s="38" t="n">
        <f aca="false">PL!$I$47-PL!$I$68+PL!$I$69+PL!$I$70</f>
        <v>185.708471834936</v>
      </c>
      <c r="J71" s="38" t="n">
        <f aca="false">PL!$J$47-PL!$J$68+PL!$J$69+PL!$J$70</f>
        <v>227.76392564654</v>
      </c>
      <c r="K71" s="38" t="n">
        <f aca="false">PL!$K$47-PL!$K$68+PL!$K$69+PL!$K$70</f>
        <v>262.174137072819</v>
      </c>
      <c r="L71" s="38" t="n">
        <f aca="false">PL!$L$47-PL!$L$68+PL!$L$69+PL!$L$70</f>
        <v>294.126746819824</v>
      </c>
      <c r="M71" s="38" t="n">
        <f aca="false">PL!$M$47-PL!$M$68+PL!$M$69+PL!$M$70</f>
        <v>323.517125552003</v>
      </c>
      <c r="N71" s="38" t="n">
        <f aca="false">Q!$N$36</f>
        <v>42.536</v>
      </c>
      <c r="O71" s="38" t="n">
        <f aca="false">Q!$O$36</f>
        <v>54.775</v>
      </c>
    </row>
    <row r="72" customFormat="false" ht="15" hidden="false" customHeight="false" outlineLevel="0" collapsed="false">
      <c r="A72" s="5" t="s">
        <v>555</v>
      </c>
      <c r="B72" s="0" t="s">
        <v>86</v>
      </c>
      <c r="C72" s="38" t="n">
        <f aca="false">Q!$D$37</f>
        <v>9.265</v>
      </c>
      <c r="D72" s="38" t="n">
        <f aca="false">Q!$E$37</f>
        <v>19.087</v>
      </c>
      <c r="E72" s="38" t="n">
        <f aca="false">Q!$P$37</f>
        <v>27.759</v>
      </c>
      <c r="F72" s="38" t="n">
        <f aca="false">PL!$F$71*tax</f>
        <v>10.1510638006589</v>
      </c>
      <c r="G72" s="38" t="n">
        <f aca="false">PL!$E$72+PL!$F$72</f>
        <v>37.9100638006589</v>
      </c>
      <c r="H72" s="38" t="n">
        <f aca="false">PL!$H$71*tax</f>
        <v>25.8550673917592</v>
      </c>
      <c r="I72" s="38" t="n">
        <f aca="false">PL!$I$71*tax</f>
        <v>32.2361171729814</v>
      </c>
      <c r="J72" s="38" t="n">
        <f aca="false">PL!$J$71*tax</f>
        <v>39.5362932147012</v>
      </c>
      <c r="K72" s="38" t="n">
        <f aca="false">PL!$K$71*tax</f>
        <v>45.5093734760613</v>
      </c>
      <c r="L72" s="38" t="n">
        <f aca="false">PL!$L$71*tax</f>
        <v>51.0558521133014</v>
      </c>
      <c r="M72" s="38" t="n">
        <f aca="false">PL!$M$71*tax</f>
        <v>56.1575670927395</v>
      </c>
      <c r="N72" s="38" t="n">
        <f aca="false">Q!$N$37</f>
        <v>7.231</v>
      </c>
      <c r="O72" s="38" t="n">
        <f aca="false">Q!$O$37</f>
        <v>11.856</v>
      </c>
    </row>
    <row r="73" customFormat="false" ht="15" hidden="false" customHeight="false" outlineLevel="0" collapsed="false">
      <c r="A73" s="3" t="s">
        <v>556</v>
      </c>
      <c r="B73" s="8" t="s">
        <v>86</v>
      </c>
      <c r="C73" s="38" t="n">
        <f aca="false">Q!$D$38</f>
        <v>59.248</v>
      </c>
      <c r="D73" s="38" t="n">
        <f aca="false">Q!$E$38</f>
        <v>77.67</v>
      </c>
      <c r="E73" s="38" t="n">
        <f aca="false">Q!$P$38</f>
        <v>92.902</v>
      </c>
      <c r="F73" s="38" t="n">
        <f aca="false">PL!$F$71-PL!$F$72</f>
        <v>48.3280183978426</v>
      </c>
      <c r="G73" s="38" t="n">
        <f aca="false">PL!$E$73+PL!$F$73</f>
        <v>141.230018397843</v>
      </c>
      <c r="H73" s="38" t="n">
        <f aca="false">PL!$H$71-PL!$H$72</f>
        <v>123.092928694359</v>
      </c>
      <c r="I73" s="38" t="n">
        <f aca="false">PL!$I$71-PL!$I$72</f>
        <v>153.472354661954</v>
      </c>
      <c r="J73" s="38" t="n">
        <f aca="false">PL!$J$71-PL!$J$72</f>
        <v>188.227632431839</v>
      </c>
      <c r="K73" s="38" t="n">
        <f aca="false">PL!$K$71-PL!$K$72</f>
        <v>216.664763596758</v>
      </c>
      <c r="L73" s="38" t="n">
        <f aca="false">PL!$L$71-PL!$L$72</f>
        <v>243.070894706522</v>
      </c>
      <c r="M73" s="38" t="n">
        <f aca="false">PL!$M$71-PL!$M$72</f>
        <v>267.359558459264</v>
      </c>
      <c r="N73" s="38" t="n">
        <f aca="false">Q!$N$38</f>
        <v>35.291</v>
      </c>
      <c r="O73" s="38" t="n">
        <f aca="false">Q!$O$38</f>
        <v>42.379</v>
      </c>
    </row>
    <row r="74" customFormat="false" ht="17.15" hidden="false" customHeight="false" outlineLevel="0" collapsed="false">
      <c r="A74" s="5" t="s">
        <v>559</v>
      </c>
      <c r="B74" s="5" t="s">
        <v>33</v>
      </c>
      <c r="C74" s="22" t="n">
        <f aca="false">Q!$D$41</f>
        <v>10.721</v>
      </c>
      <c r="D74" s="22" t="n">
        <f aca="false">Q!$E$41</f>
        <v>10.827</v>
      </c>
      <c r="E74" s="22" t="n">
        <f aca="false">(Q!$L$41+Q!$M$41)/2</f>
        <v>10.8885</v>
      </c>
      <c r="F74" s="22" t="n">
        <f aca="false">PL!$G$74</f>
        <v>10.924806</v>
      </c>
      <c r="G74" s="22" t="n">
        <f aca="false">Q!$M$41*(1+sh_g*0.25)</f>
        <v>10.924806</v>
      </c>
      <c r="H74" s="22" t="n">
        <f aca="false">PL!$G$74*(1+sh_g)</f>
        <v>11.012204448</v>
      </c>
      <c r="I74" s="22" t="n">
        <f aca="false">PL!$H$74*(1+sh_g)</f>
        <v>11.100302083584</v>
      </c>
      <c r="J74" s="22" t="n">
        <f aca="false">PL!$I$74*(1+sh_g)</f>
        <v>11.1891045002527</v>
      </c>
      <c r="K74" s="22" t="n">
        <f aca="false">PL!$J$74*(1+sh_g)</f>
        <v>11.2786173362547</v>
      </c>
      <c r="L74" s="22" t="n">
        <f aca="false">PL!$K$74*(1+sh_g)</f>
        <v>11.3688462749447</v>
      </c>
      <c r="M74" s="22" t="n">
        <f aca="false">PL!$L$74*(1+sh_g)</f>
        <v>11.4597970451443</v>
      </c>
      <c r="P74" s="5" t="s">
        <v>766</v>
      </c>
    </row>
    <row r="75" customFormat="false" ht="17.15" hidden="false" customHeight="false" outlineLevel="0" collapsed="false">
      <c r="A75" s="5" t="s">
        <v>767</v>
      </c>
      <c r="B75" s="0" t="s">
        <v>86</v>
      </c>
      <c r="C75" s="38" t="n">
        <f aca="false">PL!$C$73+PL!$C$49*(1-tax)</f>
        <v>59.248</v>
      </c>
      <c r="D75" s="38" t="n">
        <f aca="false">PL!$D$73+PL!$D$49*(1-tax)</f>
        <v>77.67</v>
      </c>
      <c r="E75" s="38" t="n">
        <f aca="false">PL!$E$73+PL!$E$49*(1-tax)</f>
        <v>92.902</v>
      </c>
      <c r="F75" s="38" t="n">
        <f aca="false">PL!$F$73+PL!$F$49*(1-tax)</f>
        <v>51.4723625494325</v>
      </c>
      <c r="G75" s="38" t="n">
        <f aca="false">PL!$G$73+PL!$G$49*(1-tax)</f>
        <v>144.374362549432</v>
      </c>
      <c r="H75" s="38" t="n">
        <f aca="false">PL!$H$73+PL!$H$49*(1-tax)</f>
        <v>135.850869159596</v>
      </c>
      <c r="I75" s="38" t="n">
        <f aca="false">PL!$I$73+PL!$I$49*(1-tax)</f>
        <v>175.073990315658</v>
      </c>
      <c r="J75" s="38" t="n">
        <f aca="false">PL!$J$73+PL!$J$49*(1-tax)</f>
        <v>218.712306246472</v>
      </c>
      <c r="K75" s="38" t="n">
        <f aca="false">PL!$K$73+PL!$K$49*(1-tax)</f>
        <v>254.726991618423</v>
      </c>
      <c r="L75" s="38" t="n">
        <f aca="false">PL!$L$73+PL!$L$49*(1-tax)</f>
        <v>286.111546985382</v>
      </c>
      <c r="M75" s="38" t="n">
        <f aca="false">PL!$M$73+PL!$M$49*(1-tax)</f>
        <v>312.773103456648</v>
      </c>
      <c r="N75" s="38" t="n">
        <f aca="false">PL!$N$73+PL!$N$49*(1-tax)</f>
        <v>35.291</v>
      </c>
      <c r="O75" s="38" t="n">
        <f aca="false">PL!$O$73+PL!$O$49*(1-tax)</f>
        <v>42.379</v>
      </c>
    </row>
    <row r="76" customFormat="false" ht="17.15" hidden="false" customHeight="false" outlineLevel="0" collapsed="false">
      <c r="A76" s="43" t="s">
        <v>768</v>
      </c>
      <c r="B76" s="14" t="s">
        <v>27</v>
      </c>
      <c r="C76" s="44" t="n">
        <f aca="false">PL!$C$75/PL!$C$74</f>
        <v>5.52635015390355</v>
      </c>
      <c r="D76" s="44" t="n">
        <f aca="false">PL!$D$75/PL!$D$74</f>
        <v>7.1737323358271</v>
      </c>
      <c r="E76" s="44" t="n">
        <f aca="false">PL!$E$75/PL!$E$74</f>
        <v>8.53212104513937</v>
      </c>
      <c r="F76" s="14"/>
      <c r="G76" s="44" t="n">
        <f aca="false">PL!$G$75/PL!$G$74</f>
        <v>13.2152792964408</v>
      </c>
      <c r="H76" s="44" t="n">
        <f aca="false">PL!$H$75/PL!$H$74</f>
        <v>12.336391846073</v>
      </c>
      <c r="I76" s="44" t="n">
        <f aca="false">PL!$I$75/PL!$I$74</f>
        <v>15.7720023290692</v>
      </c>
      <c r="J76" s="44" t="n">
        <f aca="false">PL!$J$75/PL!$J$74</f>
        <v>19.5468999544631</v>
      </c>
      <c r="K76" s="44" t="n">
        <f aca="false">PL!$K$75/PL!$K$74</f>
        <v>22.5849484936077</v>
      </c>
      <c r="L76" s="44" t="n">
        <f aca="false">PL!$L$75/PL!$L$74</f>
        <v>25.1662780959516</v>
      </c>
      <c r="M76" s="44" t="n">
        <f aca="false">PL!$M$75/PL!$M$74</f>
        <v>27.2930752808729</v>
      </c>
      <c r="N76" s="14"/>
      <c r="O76" s="14"/>
    </row>
    <row r="77" customFormat="false" ht="17.15" hidden="false" customHeight="false" outlineLevel="0" collapsed="false">
      <c r="A77" s="0" t="s">
        <v>769</v>
      </c>
      <c r="B77" s="0" t="s">
        <v>27</v>
      </c>
      <c r="C77" s="30" t="n">
        <f aca="false">PL!$C$73/PL!$C$74</f>
        <v>5.52635015390355</v>
      </c>
      <c r="D77" s="30" t="n">
        <f aca="false">PL!$D$73/PL!$D$74</f>
        <v>7.1737323358271</v>
      </c>
      <c r="E77" s="30" t="n">
        <f aca="false">PL!$E$73/PL!$E$74</f>
        <v>8.53212104513937</v>
      </c>
      <c r="G77" s="30" t="n">
        <f aca="false">PL!$G$73/PL!$G$74</f>
        <v>12.9274623638939</v>
      </c>
      <c r="H77" s="30" t="n">
        <f aca="false">PL!$H$73/PL!$H$74</f>
        <v>11.1778644571673</v>
      </c>
      <c r="I77" s="30" t="n">
        <f aca="false">PL!$I$73/PL!$I$74</f>
        <v>13.8259619879103</v>
      </c>
      <c r="J77" s="30" t="n">
        <f aca="false">PL!$J$73/PL!$J$74</f>
        <v>16.8224036541609</v>
      </c>
      <c r="K77" s="30" t="n">
        <f aca="false">PL!$K$73/PL!$K$74</f>
        <v>19.2102238365954</v>
      </c>
      <c r="L77" s="30" t="n">
        <f aca="false">PL!$L$73/PL!$L$74</f>
        <v>21.3804363985653</v>
      </c>
      <c r="M77" s="30" t="n">
        <f aca="false">PL!$M$73/PL!$M$74</f>
        <v>23.3302175776794</v>
      </c>
    </row>
    <row r="78" customFormat="false" ht="17.15" hidden="false" customHeight="false" outlineLevel="0" collapsed="false">
      <c r="A78" s="0" t="s">
        <v>770</v>
      </c>
      <c r="B78" s="0" t="s">
        <v>27</v>
      </c>
      <c r="C78" s="30" t="n">
        <f aca="false">(PL!$C$73-PL!$C$70*(1-tax))/PL!$C$74</f>
        <v>5.33926775917445</v>
      </c>
      <c r="D78" s="30" t="n">
        <f aca="false">(PL!$D$73-PL!$D$70*(1-tax))/PL!$D$74</f>
        <v>5.67691812755503</v>
      </c>
      <c r="E78" s="30" t="n">
        <f aca="false">(PL!$E$73-PL!$E$70*(1-tax))/PL!$E$74</f>
        <v>3.10602057006846</v>
      </c>
      <c r="G78" s="30" t="n">
        <f aca="false">(PL!$G$73-PL!$G$70*(1-tax))/PL!$G$74</f>
        <v>7.51939424599695</v>
      </c>
      <c r="H78" s="30" t="n">
        <f aca="false">(PL!$H$73-PL!$H$70*(1-tax))/PL!$H$74</f>
        <v>11.1778644571673</v>
      </c>
      <c r="I78" s="30" t="n">
        <f aca="false">(PL!$I$73-PL!$I$70*(1-tax))/PL!$I$74</f>
        <v>13.8259619879103</v>
      </c>
      <c r="J78" s="30" t="n">
        <f aca="false">(PL!$J$73-PL!$J$70*(1-tax))/PL!$J$74</f>
        <v>16.8224036541609</v>
      </c>
      <c r="K78" s="30" t="n">
        <f aca="false">(PL!$K$73-PL!$K$70*(1-tax))/PL!$K$74</f>
        <v>19.2102238365954</v>
      </c>
      <c r="L78" s="30" t="n">
        <f aca="false">(PL!$L$73-PL!$L$70*(1-tax))/PL!$L$74</f>
        <v>21.3804363985653</v>
      </c>
      <c r="M78" s="30" t="n">
        <f aca="false">(PL!$M$73-PL!$M$70*(1-tax))/PL!$M$74</f>
        <v>23.3302175776794</v>
      </c>
      <c r="P78" s="5" t="s">
        <v>771</v>
      </c>
    </row>
    <row r="79" customFormat="false" ht="17.15" hidden="false" customHeight="false" outlineLevel="0" collapsed="false">
      <c r="A79" s="0" t="s">
        <v>772</v>
      </c>
      <c r="B79" s="0" t="s">
        <v>52</v>
      </c>
      <c r="H79" s="13" t="n">
        <f aca="false">PL!$H$76/PL!$G$76-1</f>
        <v>-0.0665054011082877</v>
      </c>
      <c r="I79" s="13" t="n">
        <f aca="false">PL!$I$76/PL!$H$76-1</f>
        <v>0.278493949111211</v>
      </c>
      <c r="J79" s="13" t="n">
        <f aca="false">PL!$J$76/PL!$I$76-1</f>
        <v>0.23934168576912</v>
      </c>
      <c r="K79" s="13" t="n">
        <f aca="false">PL!$K$76/PL!$J$76-1</f>
        <v>0.155423547786203</v>
      </c>
      <c r="L79" s="13" t="n">
        <f aca="false">PL!$L$76/PL!$K$76-1</f>
        <v>0.11429424349028</v>
      </c>
      <c r="M79" s="13" t="n">
        <f aca="false">PL!$M$76/PL!$L$76-1</f>
        <v>0.0845098022366491</v>
      </c>
    </row>
    <row r="82" customFormat="false" ht="19.4" hidden="false" customHeight="false" outlineLevel="0" collapsed="false">
      <c r="A82" s="31" t="s">
        <v>773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20" t="s">
        <v>504</v>
      </c>
      <c r="D83" s="20" t="s">
        <v>505</v>
      </c>
      <c r="E83" s="20" t="s">
        <v>587</v>
      </c>
      <c r="F83" s="20" t="s">
        <v>588</v>
      </c>
      <c r="G83" s="20" t="s">
        <v>589</v>
      </c>
      <c r="H83" s="20" t="s">
        <v>590</v>
      </c>
      <c r="I83" s="20" t="s">
        <v>591</v>
      </c>
      <c r="J83" s="20" t="s">
        <v>592</v>
      </c>
      <c r="K83" s="20" t="s">
        <v>593</v>
      </c>
      <c r="L83" s="20" t="s">
        <v>594</v>
      </c>
      <c r="M83" s="20" t="s">
        <v>595</v>
      </c>
      <c r="N83" s="20" t="s">
        <v>596</v>
      </c>
      <c r="O83" s="20" t="s">
        <v>597</v>
      </c>
      <c r="P83" s="6" t="s">
        <v>23</v>
      </c>
      <c r="R83" s="20" t="n">
        <v>2023</v>
      </c>
      <c r="S83" s="20" t="n">
        <v>2024</v>
      </c>
      <c r="T83" s="20" t="n">
        <v>2025</v>
      </c>
      <c r="U83" s="20" t="n">
        <v>2026</v>
      </c>
      <c r="V83" s="20" t="n">
        <v>2027</v>
      </c>
      <c r="W83" s="20" t="n">
        <v>2028</v>
      </c>
      <c r="X83" s="20" t="n">
        <v>2029</v>
      </c>
      <c r="Y83" s="20" t="n">
        <v>2030</v>
      </c>
      <c r="Z83" s="20" t="n">
        <v>2031</v>
      </c>
      <c r="AA83" s="20" t="n">
        <v>2032</v>
      </c>
    </row>
    <row r="84" customFormat="false" ht="17.15" hidden="false" customHeight="false" outlineLevel="0" collapsed="false">
      <c r="A84" s="1" t="s">
        <v>727</v>
      </c>
    </row>
    <row r="85" customFormat="false" ht="15" hidden="false" customHeight="false" outlineLevel="0" collapsed="false">
      <c r="A85" s="0" t="s">
        <v>526</v>
      </c>
      <c r="B85" s="0" t="s">
        <v>86</v>
      </c>
      <c r="C85" s="38" t="n">
        <f aca="false">Seg!$C$42</f>
        <v>247.029</v>
      </c>
      <c r="D85" s="38" t="n">
        <f aca="false">Seg!$D$42</f>
        <v>269.287</v>
      </c>
      <c r="E85" s="38" t="n">
        <f aca="false">Seg!$E$42</f>
        <v>134.686</v>
      </c>
      <c r="F85" s="38" t="n">
        <f aca="false">Seg!$F$42</f>
        <v>158.293876822267</v>
      </c>
      <c r="G85" s="38" t="n">
        <f aca="false">Seg!$G$42</f>
        <v>292.979876822267</v>
      </c>
      <c r="H85" s="38" t="n">
        <f aca="false">Seg!$H$42</f>
        <v>318.184543087396</v>
      </c>
      <c r="I85" s="38" t="n">
        <f aca="false">Seg!$I$42</f>
        <v>341.736278761793</v>
      </c>
      <c r="J85" s="38" t="n">
        <f aca="false">Seg!$J$42</f>
        <v>362.927192787048</v>
      </c>
      <c r="K85" s="38" t="n">
        <f aca="false">Seg!$K$42</f>
        <v>381.0735524264</v>
      </c>
      <c r="L85" s="38" t="n">
        <f aca="false">Seg!$L$42</f>
        <v>400.12723004772</v>
      </c>
      <c r="M85" s="38" t="n">
        <f aca="false">Seg!$M$42</f>
        <v>420.133591550106</v>
      </c>
      <c r="N85" s="38" t="n">
        <f aca="false">Seg!$N$42</f>
        <v>118.892</v>
      </c>
      <c r="O85" s="38" t="n">
        <f aca="false">Seg!$O$42</f>
        <v>150.395</v>
      </c>
    </row>
    <row r="86" customFormat="false" ht="15" hidden="false" customHeight="false" outlineLevel="0" collapsed="false">
      <c r="A86" s="0" t="s">
        <v>527</v>
      </c>
      <c r="B86" s="0" t="s">
        <v>86</v>
      </c>
      <c r="C86" s="38" t="n">
        <f aca="false">Seg!$C$44</f>
        <v>21.215</v>
      </c>
      <c r="D86" s="38" t="n">
        <f aca="false">Seg!$D$44</f>
        <v>22.561</v>
      </c>
      <c r="E86" s="38" t="n">
        <f aca="false">Seg!$E$44</f>
        <v>11.579</v>
      </c>
      <c r="F86" s="38" t="n">
        <f aca="false">Seg!$F$44</f>
        <v>11.5938724610325</v>
      </c>
      <c r="G86" s="38" t="n">
        <f aca="false">Seg!$G$44</f>
        <v>23.1728724610325</v>
      </c>
      <c r="H86" s="38" t="n">
        <f aca="false">Seg!$H$44</f>
        <v>24.353392759506</v>
      </c>
      <c r="I86" s="38" t="n">
        <f aca="false">Seg!$I$44</f>
        <v>25.4240338872015</v>
      </c>
      <c r="J86" s="38" t="n">
        <f aca="false">Seg!$J$44</f>
        <v>26.3642491017174</v>
      </c>
      <c r="K86" s="38" t="n">
        <f aca="false">Seg!$K$44</f>
        <v>27.155176574769</v>
      </c>
      <c r="L86" s="38" t="n">
        <f aca="false">Seg!$L$44</f>
        <v>27.969831872012</v>
      </c>
      <c r="M86" s="38" t="n">
        <f aca="false">Seg!$M$44</f>
        <v>28.8089268281724</v>
      </c>
      <c r="N86" s="38" t="n">
        <f aca="false">Seg!$N$44</f>
        <v>11.128</v>
      </c>
      <c r="O86" s="38" t="n">
        <f aca="false">Seg!$O$44</f>
        <v>11.433</v>
      </c>
    </row>
    <row r="87" customFormat="false" ht="15" hidden="false" customHeight="false" outlineLevel="0" collapsed="false">
      <c r="A87" s="0" t="s">
        <v>528</v>
      </c>
      <c r="B87" s="0" t="s">
        <v>86</v>
      </c>
      <c r="C87" s="38" t="n">
        <f aca="false">Seg!$C$46</f>
        <v>156.146</v>
      </c>
      <c r="D87" s="38" t="n">
        <f aca="false">Seg!$D$46</f>
        <v>172.162</v>
      </c>
      <c r="E87" s="38" t="n">
        <f aca="false">Seg!$E$46</f>
        <v>88.358</v>
      </c>
      <c r="F87" s="38" t="n">
        <f aca="false">Seg!$F$46</f>
        <v>102.004388260171</v>
      </c>
      <c r="G87" s="38" t="n">
        <f aca="false">Seg!$G$46</f>
        <v>190.362388260171</v>
      </c>
      <c r="H87" s="38" t="n">
        <f aca="false">Seg!$H$46</f>
        <v>210.343106588311</v>
      </c>
      <c r="I87" s="38" t="n">
        <f aca="false">Seg!$I$46</f>
        <v>229.969728494648</v>
      </c>
      <c r="J87" s="38" t="n">
        <f aca="false">Seg!$J$46</f>
        <v>248.747636972598</v>
      </c>
      <c r="K87" s="38" t="n">
        <f aca="false">Seg!$K$46</f>
        <v>266.15997156068</v>
      </c>
      <c r="L87" s="38" t="n">
        <f aca="false">Seg!$L$46</f>
        <v>284.791169569927</v>
      </c>
      <c r="M87" s="38" t="n">
        <f aca="false">Seg!$M$46</f>
        <v>304.726551439822</v>
      </c>
      <c r="N87" s="38" t="n">
        <f aca="false">Seg!$N$46</f>
        <v>76.86</v>
      </c>
      <c r="O87" s="38" t="n">
        <f aca="false">Seg!$O$46</f>
        <v>95.302</v>
      </c>
    </row>
    <row r="88" customFormat="false" ht="15" hidden="false" customHeight="false" outlineLevel="0" collapsed="false">
      <c r="A88" s="0" t="s">
        <v>529</v>
      </c>
      <c r="B88" s="0" t="s">
        <v>86</v>
      </c>
      <c r="C88" s="38" t="n">
        <f aca="false">Seg!$C$48</f>
        <v>56.214</v>
      </c>
      <c r="D88" s="38" t="n">
        <f aca="false">Seg!$D$48</f>
        <v>68.635</v>
      </c>
      <c r="E88" s="38" t="n">
        <f aca="false">Seg!$E$48</f>
        <v>37.052</v>
      </c>
      <c r="F88" s="38" t="n">
        <f aca="false">Seg!$F$48</f>
        <v>46.1572219944148</v>
      </c>
      <c r="G88" s="38" t="n">
        <f aca="false">Seg!$G$48</f>
        <v>83.2092219944148</v>
      </c>
      <c r="H88" s="38" t="n">
        <f aca="false">Seg!$H$48</f>
        <v>99.8969223878976</v>
      </c>
      <c r="I88" s="38" t="n">
        <f aca="false">Seg!$I$48</f>
        <v>116.583111095496</v>
      </c>
      <c r="J88" s="38" t="n">
        <f aca="false">Seg!$J$48</f>
        <v>132.148941941952</v>
      </c>
      <c r="K88" s="38" t="n">
        <f aca="false">Seg!$K$48</f>
        <v>145.363836136147</v>
      </c>
      <c r="L88" s="38" t="n">
        <f aca="false">Seg!$L$48</f>
        <v>159.900219749762</v>
      </c>
      <c r="M88" s="38" t="n">
        <f aca="false">Seg!$M$48</f>
        <v>175.890241724738</v>
      </c>
      <c r="N88" s="38" t="n">
        <f aca="false">Seg!$N$48</f>
        <v>29.615</v>
      </c>
      <c r="O88" s="38" t="n">
        <f aca="false">Seg!$O$48</f>
        <v>39.02</v>
      </c>
    </row>
    <row r="89" customFormat="false" ht="15" hidden="false" customHeight="false" outlineLevel="0" collapsed="false">
      <c r="A89" s="0" t="s">
        <v>530</v>
      </c>
      <c r="B89" s="0" t="s">
        <v>86</v>
      </c>
      <c r="C89" s="38" t="n">
        <f aca="false">Seg!$C$50</f>
        <v>44.374</v>
      </c>
      <c r="D89" s="38" t="n">
        <f aca="false">Seg!$D$50</f>
        <v>49.619</v>
      </c>
      <c r="E89" s="38" t="n">
        <f aca="false">Seg!$E$50</f>
        <v>27.157</v>
      </c>
      <c r="F89" s="38" t="n">
        <f aca="false">Seg!$F$50</f>
        <v>27.7764165988154</v>
      </c>
      <c r="G89" s="38" t="n">
        <f aca="false">Seg!$G$50</f>
        <v>54.9334165988154</v>
      </c>
      <c r="H89" s="38" t="n">
        <f aca="false">Seg!$H$50</f>
        <v>61.1564112561829</v>
      </c>
      <c r="I89" s="38" t="n">
        <f aca="false">Seg!$I$50</f>
        <v>67.2020282103945</v>
      </c>
      <c r="J89" s="38" t="n">
        <f aca="false">Seg!$J$50</f>
        <v>72.8757274028885</v>
      </c>
      <c r="K89" s="38" t="n">
        <f aca="false">Seg!$K$50</f>
        <v>77.9770283210907</v>
      </c>
      <c r="L89" s="38" t="n">
        <f aca="false">Seg!$L$50</f>
        <v>83.4354203035671</v>
      </c>
      <c r="M89" s="38" t="n">
        <f aca="false">Seg!$M$50</f>
        <v>89.2758997248168</v>
      </c>
      <c r="N89" s="38" t="n">
        <f aca="false">Seg!$N$50</f>
        <v>23.923</v>
      </c>
      <c r="O89" s="38" t="n">
        <f aca="false">Seg!$O$50</f>
        <v>25.696</v>
      </c>
    </row>
    <row r="90" customFormat="false" ht="15" hidden="false" customHeight="false" outlineLevel="0" collapsed="false">
      <c r="A90" s="0" t="s">
        <v>531</v>
      </c>
      <c r="B90" s="0" t="s">
        <v>86</v>
      </c>
      <c r="C90" s="38" t="n">
        <f aca="false">Seg!$C$52</f>
        <v>5.425</v>
      </c>
      <c r="D90" s="38" t="n">
        <f aca="false">Seg!$D$52</f>
        <v>5.935</v>
      </c>
      <c r="E90" s="38" t="n">
        <f aca="false">Seg!$E$52</f>
        <v>3.474</v>
      </c>
      <c r="F90" s="38" t="n">
        <f aca="false">Seg!$F$52</f>
        <v>3.22246550883619</v>
      </c>
      <c r="G90" s="38" t="n">
        <f aca="false">Seg!$G$52</f>
        <v>6.69646550883619</v>
      </c>
      <c r="H90" s="38" t="n">
        <f aca="false">Seg!$H$52</f>
        <v>7.16251344209196</v>
      </c>
      <c r="I90" s="38" t="n">
        <f aca="false">Seg!$I$52</f>
        <v>7.61421070299826</v>
      </c>
      <c r="J90" s="38" t="n">
        <f aca="false">Seg!$J$52</f>
        <v>8.04465753523932</v>
      </c>
      <c r="K90" s="38" t="n">
        <f aca="false">Seg!$K$52</f>
        <v>8.44689041200128</v>
      </c>
      <c r="L90" s="38" t="n">
        <f aca="false">Seg!$L$52</f>
        <v>8.86923493260135</v>
      </c>
      <c r="M90" s="38" t="n">
        <f aca="false">Seg!$M$52</f>
        <v>9.31269667923142</v>
      </c>
      <c r="N90" s="38" t="n">
        <f aca="false">Seg!$N$52</f>
        <v>2.811</v>
      </c>
      <c r="O90" s="38" t="n">
        <f aca="false">Seg!$O$52</f>
        <v>3.124</v>
      </c>
    </row>
    <row r="91" customFormat="false" ht="17.15" hidden="false" customHeight="false" outlineLevel="0" collapsed="false">
      <c r="A91" s="0" t="s">
        <v>728</v>
      </c>
      <c r="B91" s="0" t="s">
        <v>86</v>
      </c>
      <c r="C91" s="38" t="n">
        <f aca="false">Seg!$C$64</f>
        <v>107.556</v>
      </c>
      <c r="D91" s="38" t="n">
        <f aca="false">Seg!$D$64</f>
        <v>128.725</v>
      </c>
      <c r="E91" s="38" t="n">
        <f aca="false">Seg!$E$64</f>
        <v>79.819</v>
      </c>
      <c r="F91" s="38" t="n">
        <f aca="false">Seg!$F$64</f>
        <v>86.7327334389669</v>
      </c>
      <c r="G91" s="38" t="n">
        <f aca="false">Seg!$G$64</f>
        <v>166.551733438967</v>
      </c>
      <c r="H91" s="38" t="n">
        <f aca="false">Seg!$H$64</f>
        <v>221.182967828978</v>
      </c>
      <c r="I91" s="38" t="n">
        <f aca="false">Seg!$I$64</f>
        <v>280.27345865789</v>
      </c>
      <c r="J91" s="38" t="n">
        <f aca="false">Seg!$J$64</f>
        <v>338.800945197185</v>
      </c>
      <c r="K91" s="38" t="n">
        <f aca="false">Seg!$K$64</f>
        <v>389.88570147276</v>
      </c>
      <c r="L91" s="38" t="n">
        <f aca="false">Seg!$L$64</f>
        <v>430.080689379143</v>
      </c>
      <c r="M91" s="38" t="n">
        <f aca="false">Seg!$M$64</f>
        <v>459.456235951751</v>
      </c>
      <c r="N91" s="38" t="n">
        <f aca="false">Seg!$N$64</f>
        <v>60.14</v>
      </c>
      <c r="O91" s="38" t="n">
        <f aca="false">Seg!$O$64</f>
        <v>68.585</v>
      </c>
    </row>
    <row r="92" customFormat="false" ht="15" hidden="false" customHeight="false" outlineLevel="0" collapsed="false">
      <c r="A92" s="1" t="s">
        <v>519</v>
      </c>
      <c r="B92" s="8" t="s">
        <v>86</v>
      </c>
      <c r="C92" s="38" t="n">
        <f aca="false">Seg!$C$57</f>
        <v>387.497</v>
      </c>
      <c r="D92" s="38" t="n">
        <f aca="false">Seg!$D$57</f>
        <v>426.305</v>
      </c>
      <c r="E92" s="38" t="n">
        <f aca="false">Seg!$E$57</f>
        <v>220.32</v>
      </c>
      <c r="F92" s="38" t="n">
        <f aca="false">Seg!$F$57</f>
        <v>250.639773480586</v>
      </c>
      <c r="G92" s="38" t="n">
        <f aca="false">Seg!$G$57</f>
        <v>470.959773480586</v>
      </c>
      <c r="H92" s="38" t="n">
        <f aca="false">Seg!$H$57</f>
        <v>521.386990416437</v>
      </c>
      <c r="I92" s="38" t="n">
        <f aca="false">Seg!$I$57</f>
        <v>570.143862887555</v>
      </c>
      <c r="J92" s="38" t="n">
        <f aca="false">Seg!$J$57</f>
        <v>615.391435791933</v>
      </c>
      <c r="K92" s="38" t="n">
        <f aca="false">Seg!$K$57</f>
        <v>655.208227561543</v>
      </c>
      <c r="L92" s="38" t="n">
        <f aca="false">Seg!$L$57</f>
        <v>697.807739249767</v>
      </c>
      <c r="M92" s="38" t="n">
        <f aca="false">Seg!$M$57</f>
        <v>743.399328463592</v>
      </c>
      <c r="N92" s="38" t="n">
        <f aca="false">Seg!$N$57</f>
        <v>192.955</v>
      </c>
      <c r="O92" s="38" t="n">
        <f aca="false">Seg!$O$57</f>
        <v>233.35</v>
      </c>
    </row>
    <row r="93" customFormat="false" ht="15" hidden="false" customHeight="false" outlineLevel="0" collapsed="false">
      <c r="A93" s="1" t="s">
        <v>522</v>
      </c>
      <c r="B93" s="8" t="s">
        <v>86</v>
      </c>
      <c r="C93" s="38" t="n">
        <f aca="false">Seg!$C$58</f>
        <v>142.906</v>
      </c>
      <c r="D93" s="38" t="n">
        <f aca="false">Seg!$D$58</f>
        <v>161.894</v>
      </c>
      <c r="E93" s="38" t="n">
        <f aca="false">Seg!$E$58</f>
        <v>81.986</v>
      </c>
      <c r="F93" s="38" t="n">
        <f aca="false">Seg!$F$58</f>
        <v>98.408468164951</v>
      </c>
      <c r="G93" s="38" t="n">
        <f aca="false">Seg!$G$58</f>
        <v>180.394468164951</v>
      </c>
      <c r="H93" s="38" t="n">
        <f aca="false">Seg!$H$58</f>
        <v>199.709899104949</v>
      </c>
      <c r="I93" s="38" t="n">
        <f aca="false">Seg!$I$58</f>
        <v>218.385528264976</v>
      </c>
      <c r="J93" s="38" t="n">
        <f aca="false">Seg!$J$58</f>
        <v>235.71696994951</v>
      </c>
      <c r="K93" s="38" t="n">
        <f aca="false">Seg!$K$58</f>
        <v>250.968227869545</v>
      </c>
      <c r="L93" s="38" t="n">
        <f aca="false">Seg!$L$58</f>
        <v>267.285367225822</v>
      </c>
      <c r="M93" s="38" t="n">
        <f aca="false">Seg!$M$58</f>
        <v>284.748579483295</v>
      </c>
      <c r="N93" s="38" t="n">
        <f aca="false">Seg!$N$58</f>
        <v>70.274</v>
      </c>
      <c r="O93" s="38" t="n">
        <f aca="false">Seg!$O$58</f>
        <v>91.62</v>
      </c>
    </row>
    <row r="94" customFormat="false" ht="15" hidden="false" customHeight="false" outlineLevel="0" collapsed="false">
      <c r="A94" s="1" t="s">
        <v>523</v>
      </c>
      <c r="B94" s="8" t="s">
        <v>86</v>
      </c>
      <c r="C94" s="38" t="n">
        <f aca="false">Seg!$C$64</f>
        <v>107.556</v>
      </c>
      <c r="D94" s="38" t="n">
        <f aca="false">Seg!$D$64</f>
        <v>128.725</v>
      </c>
      <c r="E94" s="38" t="n">
        <f aca="false">Seg!$E$64</f>
        <v>79.819</v>
      </c>
      <c r="F94" s="38" t="n">
        <f aca="false">Seg!$F$64</f>
        <v>86.7327334389669</v>
      </c>
      <c r="G94" s="38" t="n">
        <f aca="false">Seg!$G$64</f>
        <v>166.551733438967</v>
      </c>
      <c r="H94" s="38" t="n">
        <f aca="false">Seg!$H$64</f>
        <v>221.182967828978</v>
      </c>
      <c r="I94" s="38" t="n">
        <f aca="false">Seg!$I$64</f>
        <v>280.27345865789</v>
      </c>
      <c r="J94" s="38" t="n">
        <f aca="false">Seg!$J$64</f>
        <v>338.800945197185</v>
      </c>
      <c r="K94" s="38" t="n">
        <f aca="false">Seg!$K$64</f>
        <v>389.88570147276</v>
      </c>
      <c r="L94" s="38" t="n">
        <f aca="false">Seg!$L$64</f>
        <v>430.080689379143</v>
      </c>
      <c r="M94" s="38" t="n">
        <f aca="false">Seg!$M$64</f>
        <v>459.456235951751</v>
      </c>
      <c r="N94" s="38" t="n">
        <f aca="false">Seg!$N$64</f>
        <v>60.14</v>
      </c>
      <c r="O94" s="38" t="n">
        <f aca="false">Seg!$O$64</f>
        <v>68.585</v>
      </c>
    </row>
    <row r="95" customFormat="false" ht="17.15" hidden="false" customHeight="false" outlineLevel="0" collapsed="false">
      <c r="A95" s="0" t="s">
        <v>702</v>
      </c>
      <c r="B95" s="0" t="s">
        <v>86</v>
      </c>
      <c r="C95" s="38" t="n">
        <f aca="false">Seg!$C$62</f>
        <v>2.32100535697364</v>
      </c>
      <c r="D95" s="38" t="n">
        <f aca="false">Seg!$D$62</f>
        <v>8.70377008865116</v>
      </c>
      <c r="E95" s="38" t="n">
        <f aca="false">Seg!$E$62</f>
        <v>8.51035297557002</v>
      </c>
      <c r="F95" s="38" t="n">
        <f aca="false">Seg!$F$62</f>
        <v>14.9634336447205</v>
      </c>
      <c r="G95" s="38" t="n">
        <f aca="false">Seg!$G$62</f>
        <v>23.4737866202905</v>
      </c>
      <c r="H95" s="38" t="n">
        <f aca="false">Seg!$H$62</f>
        <v>60.1658907497746</v>
      </c>
      <c r="I95" s="38" t="n">
        <f aca="false">Seg!$I$62</f>
        <v>101.503699136432</v>
      </c>
      <c r="J95" s="38" t="n">
        <f aca="false">Seg!$J$62</f>
        <v>143.025407151278</v>
      </c>
      <c r="K95" s="38" t="n">
        <f aca="false">Seg!$K$62</f>
        <v>178.44812038318</v>
      </c>
      <c r="L95" s="38" t="n">
        <f aca="false">Seg!$L$62</f>
        <v>201.728101802396</v>
      </c>
      <c r="M95" s="38" t="n">
        <f aca="false">Seg!$M$62</f>
        <v>212.835441368865</v>
      </c>
      <c r="N95" s="38" t="n">
        <f aca="false">Seg!$N$62</f>
        <v>3.04631953102791</v>
      </c>
      <c r="O95" s="38" t="n">
        <f aca="false">Seg!$O$62</f>
        <v>5.65745055762326</v>
      </c>
    </row>
    <row r="96" customFormat="false" ht="17.15" hidden="false" customHeight="false" outlineLevel="0" collapsed="false">
      <c r="A96" s="0" t="s">
        <v>704</v>
      </c>
      <c r="B96" s="0" t="s">
        <v>86</v>
      </c>
      <c r="C96" s="38" t="n">
        <f aca="false">Seg!$C$63</f>
        <v>105.234994643026</v>
      </c>
      <c r="D96" s="38" t="n">
        <f aca="false">Seg!$D$63</f>
        <v>120.021229911349</v>
      </c>
      <c r="E96" s="38" t="n">
        <f aca="false">Seg!$E$63</f>
        <v>71.30864702443</v>
      </c>
      <c r="F96" s="38" t="n">
        <f aca="false">Seg!$F$63</f>
        <v>71.7692997942464</v>
      </c>
      <c r="G96" s="38" t="n">
        <f aca="false">Seg!$G$63</f>
        <v>143.077946818676</v>
      </c>
      <c r="H96" s="38" t="n">
        <f aca="false">Seg!$H$63</f>
        <v>161.017077079203</v>
      </c>
      <c r="I96" s="38" t="n">
        <f aca="false">Seg!$I$63</f>
        <v>178.769759521457</v>
      </c>
      <c r="J96" s="38" t="n">
        <f aca="false">Seg!$J$63</f>
        <v>195.775538045907</v>
      </c>
      <c r="K96" s="38" t="n">
        <f aca="false">Seg!$K$63</f>
        <v>211.43758108958</v>
      </c>
      <c r="L96" s="38" t="n">
        <f aca="false">Seg!$L$63</f>
        <v>228.352587576746</v>
      </c>
      <c r="M96" s="38" t="n">
        <f aca="false">Seg!$M$63</f>
        <v>246.620794582886</v>
      </c>
      <c r="N96" s="38" t="n">
        <f aca="false">Seg!$N$63</f>
        <v>57.0936804689721</v>
      </c>
      <c r="O96" s="38" t="n">
        <f aca="false">Seg!$O$63</f>
        <v>62.9275494423768</v>
      </c>
    </row>
    <row r="97" customFormat="false" ht="15" hidden="false" customHeight="false" outlineLevel="0" collapsed="false">
      <c r="A97" s="3" t="s">
        <v>524</v>
      </c>
      <c r="B97" s="8" t="s">
        <v>86</v>
      </c>
      <c r="C97" s="38" t="n">
        <f aca="false">Seg!$C$65</f>
        <v>637.959</v>
      </c>
      <c r="D97" s="38" t="n">
        <f aca="false">Seg!$D$65</f>
        <v>716.924</v>
      </c>
      <c r="E97" s="38" t="n">
        <f aca="false">Seg!$E$65</f>
        <v>382.125</v>
      </c>
      <c r="F97" s="38" t="n">
        <f aca="false">Seg!$F$65</f>
        <v>435.780975084504</v>
      </c>
      <c r="G97" s="38" t="n">
        <f aca="false">Seg!$G$65</f>
        <v>817.905975084504</v>
      </c>
      <c r="H97" s="38" t="n">
        <f aca="false">Seg!$H$65</f>
        <v>942.279857350364</v>
      </c>
      <c r="I97" s="38" t="n">
        <f aca="false">Seg!$I$65</f>
        <v>1068.80284981042</v>
      </c>
      <c r="J97" s="38" t="n">
        <f aca="false">Seg!$J$65</f>
        <v>1189.90935093863</v>
      </c>
      <c r="K97" s="38" t="n">
        <f aca="false">Seg!$K$65</f>
        <v>1296.06215690385</v>
      </c>
      <c r="L97" s="38" t="n">
        <f aca="false">Seg!$L$65</f>
        <v>1395.17379585473</v>
      </c>
      <c r="M97" s="38" t="n">
        <f aca="false">Seg!$M$65</f>
        <v>1487.60414389864</v>
      </c>
      <c r="N97" s="38" t="n">
        <f aca="false">Seg!$N$65</f>
        <v>323.369</v>
      </c>
      <c r="O97" s="38" t="n">
        <f aca="false">Seg!$O$65</f>
        <v>393.555</v>
      </c>
    </row>
    <row r="98" customFormat="false" ht="17.15" hidden="false" customHeight="false" outlineLevel="0" collapsed="false">
      <c r="A98" s="24" t="s">
        <v>714</v>
      </c>
      <c r="B98" s="25" t="s">
        <v>86</v>
      </c>
      <c r="C98" s="41" t="n">
        <f aca="false">PL!$C$85+PL!$C$86+PL!$C$87+PL!$C$88+PL!$C$89+PL!$C$90-(PL!$C$92+PL!$C$93)</f>
        <v>0</v>
      </c>
      <c r="D98" s="41" t="n">
        <f aca="false">PL!$D$85+PL!$D$86+PL!$D$87+PL!$D$88+PL!$D$89+PL!$D$90-(PL!$D$92+PL!$D$93)</f>
        <v>0</v>
      </c>
      <c r="E98" s="41" t="n">
        <f aca="false">PL!$E$85+PL!$E$86+PL!$E$87+PL!$E$88+PL!$E$89+PL!$E$90-(PL!$E$92+PL!$E$93)</f>
        <v>0</v>
      </c>
      <c r="F98" s="41" t="n">
        <f aca="false">PL!$F$85+PL!$F$86+PL!$F$87+PL!$F$88+PL!$F$89+PL!$F$90-(PL!$F$92+PL!$F$93)</f>
        <v>0</v>
      </c>
      <c r="G98" s="41" t="n">
        <f aca="false">PL!$G$85+PL!$G$86+PL!$G$87+PL!$G$88+PL!$G$89+PL!$G$90-(PL!$G$92+PL!$G$93)</f>
        <v>0</v>
      </c>
      <c r="H98" s="41" t="n">
        <f aca="false">PL!$H$85+PL!$H$86+PL!$H$87+PL!$H$88+PL!$H$89+PL!$H$90-(PL!$H$92+PL!$H$93)</f>
        <v>0</v>
      </c>
      <c r="I98" s="41" t="n">
        <f aca="false">PL!$I$85+PL!$I$86+PL!$I$87+PL!$I$88+PL!$I$89+PL!$I$90-(PL!$I$92+PL!$I$93)</f>
        <v>0</v>
      </c>
      <c r="J98" s="41" t="n">
        <f aca="false">PL!$J$85+PL!$J$86+PL!$J$87+PL!$J$88+PL!$J$89+PL!$J$90-(PL!$J$92+PL!$J$93)</f>
        <v>0</v>
      </c>
      <c r="K98" s="41" t="n">
        <f aca="false">PL!$K$85+PL!$K$86+PL!$K$87+PL!$K$88+PL!$K$89+PL!$K$90-(PL!$K$92+PL!$K$93)</f>
        <v>0</v>
      </c>
      <c r="L98" s="41" t="n">
        <f aca="false">PL!$L$85+PL!$L$86+PL!$L$87+PL!$L$88+PL!$L$89+PL!$L$90-(PL!$L$92+PL!$L$93)</f>
        <v>0</v>
      </c>
      <c r="M98" s="41" t="n">
        <f aca="false">PL!$M$85+PL!$M$86+PL!$M$87+PL!$M$88+PL!$M$89+PL!$M$90-(PL!$M$92+PL!$M$93)</f>
        <v>0</v>
      </c>
      <c r="N98" s="41" t="n">
        <f aca="false">PL!$N$85+PL!$N$86+PL!$N$87+PL!$N$88+PL!$N$89+PL!$N$90-(PL!$N$92+PL!$N$93)</f>
        <v>0</v>
      </c>
      <c r="O98" s="41" t="n">
        <f aca="false">PL!$O$85+PL!$O$86+PL!$O$87+PL!$O$88+PL!$O$89+PL!$O$90-(PL!$O$92+PL!$O$93)</f>
        <v>0</v>
      </c>
    </row>
    <row r="99" customFormat="false" ht="17.15" hidden="false" customHeight="false" outlineLevel="0" collapsed="false">
      <c r="A99" s="24" t="s">
        <v>715</v>
      </c>
      <c r="B99" s="25" t="s">
        <v>86</v>
      </c>
      <c r="C99" s="41" t="n">
        <f aca="false">PL!$C$95+PL!$C$96-PL!$C$94</f>
        <v>0</v>
      </c>
      <c r="D99" s="41" t="n">
        <f aca="false">PL!$D$95+PL!$D$96-PL!$D$94</f>
        <v>0</v>
      </c>
      <c r="E99" s="41" t="n">
        <f aca="false">PL!$E$95+PL!$E$96-PL!$E$94</f>
        <v>0</v>
      </c>
      <c r="F99" s="41" t="n">
        <f aca="false">PL!$F$95+PL!$F$96-PL!$F$94</f>
        <v>0</v>
      </c>
      <c r="G99" s="41" t="n">
        <f aca="false">PL!$G$95+PL!$G$96-PL!$G$94</f>
        <v>0</v>
      </c>
      <c r="H99" s="41" t="n">
        <f aca="false">PL!$H$95+PL!$H$96-PL!$H$94</f>
        <v>0</v>
      </c>
      <c r="I99" s="41" t="n">
        <f aca="false">PL!$I$95+PL!$I$96-PL!$I$94</f>
        <v>0</v>
      </c>
      <c r="J99" s="41" t="n">
        <f aca="false">PL!$J$95+PL!$J$96-PL!$J$94</f>
        <v>0</v>
      </c>
      <c r="K99" s="41" t="n">
        <f aca="false">PL!$K$95+PL!$K$96-PL!$K$94</f>
        <v>0</v>
      </c>
      <c r="L99" s="41" t="n">
        <f aca="false">PL!$L$95+PL!$L$96-PL!$L$94</f>
        <v>0</v>
      </c>
      <c r="M99" s="41" t="n">
        <f aca="false">PL!$M$95+PL!$M$96-PL!$M$94</f>
        <v>0</v>
      </c>
      <c r="N99" s="41" t="n">
        <f aca="false">PL!$N$95+PL!$N$96-PL!$N$94</f>
        <v>0</v>
      </c>
      <c r="O99" s="41" t="n">
        <f aca="false">PL!$O$95+PL!$O$96-PL!$O$94</f>
        <v>0</v>
      </c>
    </row>
    <row r="100" customFormat="false" ht="17.15" hidden="false" customHeight="false" outlineLevel="0" collapsed="false">
      <c r="A100" s="24" t="s">
        <v>774</v>
      </c>
      <c r="B100" s="25" t="s">
        <v>86</v>
      </c>
      <c r="C100" s="41" t="n">
        <f aca="false">PL!$C$85+PL!$C$86+PL!$C$87+PL!$C$88+PL!$C$89+PL!$C$90+PL!$C$91-PL!$C$97</f>
        <v>0</v>
      </c>
      <c r="D100" s="41" t="n">
        <f aca="false">PL!$D$85+PL!$D$86+PL!$D$87+PL!$D$88+PL!$D$89+PL!$D$90+PL!$D$91-PL!$D$97</f>
        <v>0</v>
      </c>
      <c r="E100" s="41" t="n">
        <f aca="false">PL!$E$85+PL!$E$86+PL!$E$87+PL!$E$88+PL!$E$89+PL!$E$90+PL!$E$91-PL!$E$97</f>
        <v>0</v>
      </c>
      <c r="F100" s="41" t="n">
        <f aca="false">PL!$F$85+PL!$F$86+PL!$F$87+PL!$F$88+PL!$F$89+PL!$F$90+PL!$F$91-PL!$F$97</f>
        <v>0</v>
      </c>
      <c r="G100" s="41" t="n">
        <f aca="false">PL!$G$85+PL!$G$86+PL!$G$87+PL!$G$88+PL!$G$89+PL!$G$90+PL!$G$91-PL!$G$97</f>
        <v>0</v>
      </c>
      <c r="H100" s="41" t="n">
        <f aca="false">PL!$H$85+PL!$H$86+PL!$H$87+PL!$H$88+PL!$H$89+PL!$H$90+PL!$H$91-PL!$H$97</f>
        <v>0</v>
      </c>
      <c r="I100" s="41" t="n">
        <f aca="false">PL!$I$85+PL!$I$86+PL!$I$87+PL!$I$88+PL!$I$89+PL!$I$90+PL!$I$91-PL!$I$97</f>
        <v>0</v>
      </c>
      <c r="J100" s="41" t="n">
        <f aca="false">PL!$J$85+PL!$J$86+PL!$J$87+PL!$J$88+PL!$J$89+PL!$J$90+PL!$J$91-PL!$J$97</f>
        <v>0</v>
      </c>
      <c r="K100" s="41" t="n">
        <f aca="false">PL!$K$85+PL!$K$86+PL!$K$87+PL!$K$88+PL!$K$89+PL!$K$90+PL!$K$91-PL!$K$97</f>
        <v>0</v>
      </c>
      <c r="L100" s="41" t="n">
        <f aca="false">PL!$L$85+PL!$L$86+PL!$L$87+PL!$L$88+PL!$L$89+PL!$L$90+PL!$L$91-PL!$L$97</f>
        <v>0</v>
      </c>
      <c r="M100" s="41" t="n">
        <f aca="false">PL!$M$85+PL!$M$86+PL!$M$87+PL!$M$88+PL!$M$89+PL!$M$90+PL!$M$91-PL!$M$97</f>
        <v>0</v>
      </c>
      <c r="N100" s="41" t="n">
        <f aca="false">PL!$N$85+PL!$N$86+PL!$N$87+PL!$N$88+PL!$N$89+PL!$N$90+PL!$N$91-PL!$N$97</f>
        <v>0</v>
      </c>
      <c r="O100" s="41" t="n">
        <f aca="false">PL!$O$85+PL!$O$86+PL!$O$87+PL!$O$88+PL!$O$89+PL!$O$90+PL!$O$91-PL!$O$97</f>
        <v>0</v>
      </c>
    </row>
    <row r="101" customFormat="false" ht="17.15" hidden="false" customHeight="false" outlineLevel="0" collapsed="false">
      <c r="A101" s="24" t="s">
        <v>716</v>
      </c>
      <c r="B101" s="25" t="s">
        <v>86</v>
      </c>
      <c r="C101" s="41" t="n">
        <f aca="false">PL!$C$92+PL!$C$93+PL!$C$94-PL!$C$97</f>
        <v>0</v>
      </c>
      <c r="D101" s="41" t="n">
        <f aca="false">PL!$D$92+PL!$D$93+PL!$D$94-PL!$D$97</f>
        <v>0</v>
      </c>
      <c r="E101" s="41" t="n">
        <f aca="false">PL!$E$92+PL!$E$93+PL!$E$94-PL!$E$97</f>
        <v>0</v>
      </c>
      <c r="F101" s="41" t="n">
        <f aca="false">PL!$F$92+PL!$F$93+PL!$F$94-PL!$F$97</f>
        <v>0</v>
      </c>
      <c r="G101" s="41" t="n">
        <f aca="false">PL!$G$92+PL!$G$93+PL!$G$94-PL!$G$97</f>
        <v>0</v>
      </c>
      <c r="H101" s="41" t="n">
        <f aca="false">PL!$H$92+PL!$H$93+PL!$H$94-PL!$H$97</f>
        <v>0</v>
      </c>
      <c r="I101" s="41" t="n">
        <f aca="false">PL!$I$92+PL!$I$93+PL!$I$94-PL!$I$97</f>
        <v>0</v>
      </c>
      <c r="J101" s="41" t="n">
        <f aca="false">PL!$J$92+PL!$J$93+PL!$J$94-PL!$J$97</f>
        <v>0</v>
      </c>
      <c r="K101" s="41" t="n">
        <f aca="false">PL!$K$92+PL!$K$93+PL!$K$94-PL!$K$97</f>
        <v>0</v>
      </c>
      <c r="L101" s="41" t="n">
        <f aca="false">PL!$L$92+PL!$L$93+PL!$L$94-PL!$L$97</f>
        <v>0</v>
      </c>
      <c r="M101" s="41" t="n">
        <f aca="false">PL!$M$92+PL!$M$93+PL!$M$94-PL!$M$97</f>
        <v>0</v>
      </c>
      <c r="N101" s="41" t="n">
        <f aca="false">PL!$N$92+PL!$N$93+PL!$N$94-PL!$N$97</f>
        <v>0</v>
      </c>
      <c r="O101" s="41" t="n">
        <f aca="false">PL!$O$92+PL!$O$93+PL!$O$94-PL!$O$97</f>
        <v>0</v>
      </c>
    </row>
    <row r="102" customFormat="false" ht="17.15" hidden="false" customHeight="false" outlineLevel="0" collapsed="false">
      <c r="A102" s="1" t="s">
        <v>730</v>
      </c>
    </row>
    <row r="103" customFormat="false" ht="17.15" hidden="false" customHeight="false" outlineLevel="0" collapsed="false">
      <c r="A103" s="0" t="s">
        <v>731</v>
      </c>
      <c r="B103" s="0" t="s">
        <v>86</v>
      </c>
      <c r="C103" s="38" t="n">
        <f aca="false">Seg!$C$59*m_ad</f>
        <v>20.5341564414228</v>
      </c>
      <c r="D103" s="38" t="n">
        <f aca="false">Seg!$D$59*m_ad</f>
        <v>24.8720617299587</v>
      </c>
      <c r="E103" s="38" t="n">
        <f aca="false">Seg!$E$59*m_ad</f>
        <v>13.5017112462207</v>
      </c>
      <c r="F103" s="38" t="n">
        <f aca="false">Seg!$F$59*m_ad</f>
        <v>16.5719724165257</v>
      </c>
      <c r="G103" s="38" t="n">
        <f aca="false">Seg!$G$59*m_ad</f>
        <v>30.0820919220415</v>
      </c>
      <c r="H103" s="38" t="n">
        <f aca="false">Seg!$H$59*m_ad</f>
        <v>36.1150883276314</v>
      </c>
      <c r="I103" s="38" t="n">
        <f aca="false">Seg!$I$59*m_ad</f>
        <v>42.1475382231996</v>
      </c>
      <c r="J103" s="38" t="n">
        <f aca="false">Seg!$J$59*m_ad</f>
        <v>47.7749523864693</v>
      </c>
      <c r="K103" s="38" t="n">
        <f aca="false">Seg!$K$59*m_ad</f>
        <v>52.5524476251162</v>
      </c>
      <c r="L103" s="38" t="n">
        <f aca="false">Seg!$L$59*m_ad</f>
        <v>57.8076923876279</v>
      </c>
      <c r="M103" s="38" t="n">
        <f aca="false">Seg!$M$59*m_ad</f>
        <v>63.5884616263907</v>
      </c>
      <c r="N103" s="38" t="n">
        <f aca="false">Seg!$N$59*m_ad</f>
        <v>10.8543555706248</v>
      </c>
      <c r="O103" s="38" t="n">
        <f aca="false">Seg!$O$59*m_ad</f>
        <v>14.0094731821399</v>
      </c>
    </row>
    <row r="104" customFormat="false" ht="17.15" hidden="false" customHeight="false" outlineLevel="0" collapsed="false">
      <c r="A104" s="0" t="s">
        <v>732</v>
      </c>
      <c r="B104" s="0" t="s">
        <v>86</v>
      </c>
      <c r="C104" s="38" t="n">
        <f aca="false">Seg!$C$57-Seg!$C$59</f>
        <v>346.428687117154</v>
      </c>
      <c r="D104" s="38" t="n">
        <f aca="false">Seg!$D$57-Seg!$D$59</f>
        <v>376.560876540083</v>
      </c>
      <c r="E104" s="38" t="n">
        <f aca="false">Seg!$E$57-Seg!$E$59</f>
        <v>193.316577507559</v>
      </c>
      <c r="F104" s="38" t="n">
        <f aca="false">Seg!$F$57-Seg!$F$59</f>
        <v>217.495828647535</v>
      </c>
      <c r="G104" s="38" t="n">
        <f aca="false">Seg!$G$57-Seg!$G$59</f>
        <v>410.795589636503</v>
      </c>
      <c r="H104" s="38" t="n">
        <f aca="false">Seg!$H$57-Seg!$H$59</f>
        <v>449.156813761174</v>
      </c>
      <c r="I104" s="38" t="n">
        <f aca="false">Seg!$I$57-Seg!$I$59</f>
        <v>485.848786441156</v>
      </c>
      <c r="J104" s="38" t="n">
        <f aca="false">Seg!$J$57-Seg!$J$59</f>
        <v>519.841531018994</v>
      </c>
      <c r="K104" s="38" t="n">
        <f aca="false">Seg!$K$57-Seg!$K$59</f>
        <v>550.103332311311</v>
      </c>
      <c r="L104" s="38" t="n">
        <f aca="false">Seg!$L$57-Seg!$L$59</f>
        <v>582.192354474511</v>
      </c>
      <c r="M104" s="38" t="n">
        <f aca="false">Seg!$M$57-Seg!$M$59</f>
        <v>616.22240521081</v>
      </c>
      <c r="N104" s="38" t="n">
        <f aca="false">Seg!$N$57-Seg!$N$59</f>
        <v>171.24628885875</v>
      </c>
      <c r="O104" s="38" t="n">
        <f aca="false">Seg!$O$57-Seg!$O$59</f>
        <v>205.33105363572</v>
      </c>
    </row>
    <row r="105" customFormat="false" ht="17.15" hidden="false" customHeight="false" outlineLevel="0" collapsed="false">
      <c r="A105" s="0" t="s">
        <v>733</v>
      </c>
      <c r="B105" s="0" t="s">
        <v>86</v>
      </c>
      <c r="C105" s="38" t="n">
        <f aca="false">Thesis!$C$117*Seg!$C$56</f>
        <v>0.123617442257179</v>
      </c>
      <c r="D105" s="38" t="n">
        <f aca="false">Thesis!$D$117*Seg!$D$56</f>
        <v>0.600198046024689</v>
      </c>
      <c r="E105" s="38" t="n">
        <f aca="false">Thesis!$E$117*Seg!$E$56</f>
        <v>1.10840000750276</v>
      </c>
      <c r="F105" s="38" t="n">
        <f aca="false">Thesis!$F$117*Seg!$F$56</f>
        <v>1.33595298721025</v>
      </c>
      <c r="G105" s="38" t="n">
        <f aca="false">Thesis!$G$117*Seg!$G$56</f>
        <v>2.44487335052545</v>
      </c>
      <c r="H105" s="38" t="n">
        <f aca="false">Thesis!$H$117*Seg!$H$56</f>
        <v>6.63132711939388</v>
      </c>
      <c r="I105" s="38" t="n">
        <f aca="false">Thesis!$I$117*Seg!$I$56</f>
        <v>12.7486799258504</v>
      </c>
      <c r="J105" s="38" t="n">
        <f aca="false">Thesis!$J$117*Seg!$J$56</f>
        <v>18.4074045299415</v>
      </c>
      <c r="K105" s="38" t="n">
        <f aca="false">Thesis!$K$117*Seg!$K$56</f>
        <v>23.9455472348705</v>
      </c>
      <c r="L105" s="38" t="n">
        <f aca="false">Thesis!$L$117*Seg!$L$56</f>
        <v>27.78179156216</v>
      </c>
      <c r="M105" s="38" t="n">
        <f aca="false">Thesis!$M$117*Seg!$M$56</f>
        <v>29.9029027327362</v>
      </c>
      <c r="N105" s="38" t="n">
        <f aca="false">Thesis!$N$117*Seg!$N$56</f>
        <v>0.25053229484398</v>
      </c>
      <c r="O105" s="38" t="n">
        <f aca="false">Thesis!$O$117*Seg!$O$56</f>
        <v>0.349234376756897</v>
      </c>
    </row>
    <row r="106" customFormat="false" ht="17.15" hidden="false" customHeight="false" outlineLevel="0" collapsed="false">
      <c r="A106" s="0" t="s">
        <v>734</v>
      </c>
      <c r="B106" s="0" t="s">
        <v>52</v>
      </c>
      <c r="C106" s="28" t="n">
        <f aca="false">(PL!$C$107-PL!$C$103+PL!$C$105)/PL!$C$104</f>
        <v>0.0131526665379575</v>
      </c>
      <c r="D106" s="28" t="n">
        <f aca="false">(PL!$D$107-PL!$D$103+PL!$D$105)/PL!$D$104</f>
        <v>0.0141999252954702</v>
      </c>
      <c r="E106" s="28" t="n">
        <f aca="false">(PL!$E$107-PL!$E$103+PL!$E$105)/PL!$E$104</f>
        <v>0.0258471819939326</v>
      </c>
      <c r="F106" s="28" t="n">
        <f aca="false">PL!$O$106+(PL!$E$106-PL!$N$106)</f>
        <v>0.0224302350712874</v>
      </c>
      <c r="G106" s="28" t="n">
        <f aca="false">(PL!$G$107-PL!$G$103+PL!$G$105)/PL!$G$104</f>
        <v>0.0240199351461372</v>
      </c>
      <c r="H106" s="28" t="n">
        <f aca="false">PL!$G$106+step_na</f>
        <v>0.0270199351461372</v>
      </c>
      <c r="I106" s="28" t="n">
        <f aca="false">PL!$H$106+step_na</f>
        <v>0.0300199351461372</v>
      </c>
      <c r="J106" s="28" t="n">
        <f aca="false">PL!$I$106+step_na</f>
        <v>0.0330199351461372</v>
      </c>
      <c r="K106" s="28" t="n">
        <f aca="false">PL!$J$106+step_na</f>
        <v>0.0360199351461372</v>
      </c>
      <c r="L106" s="28" t="n">
        <f aca="false">PL!$K$106</f>
        <v>0.0360199351461372</v>
      </c>
      <c r="M106" s="28" t="n">
        <f aca="false">PL!$L$106</f>
        <v>0.0360199351461372</v>
      </c>
      <c r="N106" s="28" t="n">
        <f aca="false">(PL!$N$107-PL!$N$103+PL!$N$105)/PL!$N$104</f>
        <v>0.0160831323269779</v>
      </c>
      <c r="O106" s="28" t="n">
        <f aca="false">(PL!$O$107-PL!$O$103+PL!$O$105)/PL!$O$104</f>
        <v>0.0126661854043327</v>
      </c>
      <c r="P106" s="8" t="s">
        <v>735</v>
      </c>
    </row>
    <row r="107" customFormat="false" ht="17.15" hidden="false" customHeight="false" outlineLevel="0" collapsed="false">
      <c r="A107" s="1" t="s">
        <v>736</v>
      </c>
      <c r="B107" s="8" t="s">
        <v>86</v>
      </c>
      <c r="C107" s="38" t="n">
        <f aca="false">Q!$D$22</f>
        <v>24.967</v>
      </c>
      <c r="D107" s="38" t="n">
        <f aca="false">Q!$E$22</f>
        <v>29.619</v>
      </c>
      <c r="E107" s="38" t="n">
        <f aca="false">Q!$P$22</f>
        <v>17.39</v>
      </c>
      <c r="F107" s="38" t="n">
        <f aca="false">PL!$F$103+PL!$F$104*PL!$F$106-PL!$F$105</f>
        <v>20.1145019929041</v>
      </c>
      <c r="G107" s="38" t="n">
        <f aca="false">PL!$E$107+PL!$F$107</f>
        <v>37.5045019929041</v>
      </c>
      <c r="H107" s="38" t="n">
        <f aca="false">PL!$H$103+PL!$H$104*PL!$H$106-PL!$H$105</f>
        <v>41.6199491865101</v>
      </c>
      <c r="I107" s="38" t="n">
        <f aca="false">PL!$I$103+PL!$I$104*PL!$I$106-PL!$I$105</f>
        <v>43.9840073571422</v>
      </c>
      <c r="J107" s="38" t="n">
        <f aca="false">PL!$J$103+PL!$J$104*PL!$J$106-PL!$J$105</f>
        <v>46.5326814970436</v>
      </c>
      <c r="K107" s="38" t="n">
        <f aca="false">PL!$K$103+PL!$K$104*PL!$K$106-PL!$K$105</f>
        <v>48.4215867437731</v>
      </c>
      <c r="L107" s="38" t="n">
        <f aca="false">PL!$L$103+PL!$L$104*PL!$L$106-PL!$L$105</f>
        <v>50.9964316762167</v>
      </c>
      <c r="M107" s="38" t="n">
        <f aca="false">PL!$M$103+PL!$M$104*PL!$M$106-PL!$M$105</f>
        <v>55.8818499649445</v>
      </c>
      <c r="N107" s="38" t="n">
        <f aca="false">Q!$N$22</f>
        <v>13.358</v>
      </c>
      <c r="O107" s="38" t="n">
        <f aca="false">Q!$O$22</f>
        <v>16.261</v>
      </c>
    </row>
    <row r="108" customFormat="false" ht="17.15" hidden="false" customHeight="false" outlineLevel="0" collapsed="false">
      <c r="A108" s="0" t="s">
        <v>737</v>
      </c>
      <c r="B108" s="0" t="s">
        <v>86</v>
      </c>
      <c r="C108" s="38" t="n">
        <f aca="false">Seg!$C$60*m_ad</f>
        <v>7.57284355857716</v>
      </c>
      <c r="D108" s="38" t="n">
        <f aca="false">Seg!$D$60*m_ad</f>
        <v>9.44543827004127</v>
      </c>
      <c r="E108" s="38" t="n">
        <f aca="false">Seg!$E$60*m_ad</f>
        <v>5.02428875377928</v>
      </c>
      <c r="F108" s="38" t="n">
        <f aca="false">Seg!$F$60*m_ad</f>
        <v>6.50663858068173</v>
      </c>
      <c r="G108" s="38" t="n">
        <f aca="false">Seg!$G$60*m_ad</f>
        <v>11.5225190751659</v>
      </c>
      <c r="H108" s="38" t="n">
        <f aca="false">Seg!$H$60*m_ad</f>
        <v>13.8333728663174</v>
      </c>
      <c r="I108" s="38" t="n">
        <f aca="false">Seg!$I$60*m_ad</f>
        <v>16.1440173245485</v>
      </c>
      <c r="J108" s="38" t="n">
        <f aca="false">Seg!$J$60*m_ad</f>
        <v>18.2995185845066</v>
      </c>
      <c r="K108" s="38" t="n">
        <f aca="false">Seg!$K$60*m_ad</f>
        <v>20.1294704429572</v>
      </c>
      <c r="L108" s="38" t="n">
        <f aca="false">Seg!$L$60*m_ad</f>
        <v>22.142417487253</v>
      </c>
      <c r="M108" s="38" t="n">
        <f aca="false">Seg!$M$60*m_ad</f>
        <v>24.3566592359783</v>
      </c>
      <c r="N108" s="38" t="n">
        <f aca="false">Seg!$N$60*m_ad</f>
        <v>3.95314442937518</v>
      </c>
      <c r="O108" s="38" t="n">
        <f aca="false">Seg!$O$60*m_ad</f>
        <v>5.50052681786011</v>
      </c>
    </row>
    <row r="109" customFormat="false" ht="17.15" hidden="false" customHeight="false" outlineLevel="0" collapsed="false">
      <c r="A109" s="0" t="s">
        <v>738</v>
      </c>
      <c r="B109" s="0" t="s">
        <v>86</v>
      </c>
      <c r="C109" s="38" t="n">
        <f aca="false">Seg!$C$58-Seg!$C$60</f>
        <v>127.760312882846</v>
      </c>
      <c r="D109" s="38" t="n">
        <f aca="false">Seg!$D$58-Seg!$D$60</f>
        <v>143.003123459917</v>
      </c>
      <c r="E109" s="38" t="n">
        <f aca="false">Seg!$E$58-Seg!$E$60</f>
        <v>71.9374224924414</v>
      </c>
      <c r="F109" s="38" t="n">
        <f aca="false">Seg!$F$58-Seg!$F$60</f>
        <v>85.3951910035875</v>
      </c>
      <c r="G109" s="38" t="n">
        <f aca="false">Seg!$G$58-Seg!$G$60</f>
        <v>157.349430014619</v>
      </c>
      <c r="H109" s="38" t="n">
        <f aca="false">Seg!$H$58-Seg!$H$60</f>
        <v>172.043153372315</v>
      </c>
      <c r="I109" s="38" t="n">
        <f aca="false">Seg!$I$58-Seg!$I$60</f>
        <v>186.097493615879</v>
      </c>
      <c r="J109" s="38" t="n">
        <f aca="false">Seg!$J$58-Seg!$J$60</f>
        <v>199.117932780497</v>
      </c>
      <c r="K109" s="38" t="n">
        <f aca="false">Seg!$K$58-Seg!$K$60</f>
        <v>210.70928698363</v>
      </c>
      <c r="L109" s="38" t="n">
        <f aca="false">Seg!$L$58-Seg!$L$60</f>
        <v>223.000532251316</v>
      </c>
      <c r="M109" s="38" t="n">
        <f aca="false">Seg!$M$58-Seg!$M$60</f>
        <v>236.035261011339</v>
      </c>
      <c r="N109" s="38" t="n">
        <f aca="false">Seg!$N$58-Seg!$N$60</f>
        <v>62.3677111412496</v>
      </c>
      <c r="O109" s="38" t="n">
        <f aca="false">Seg!$O$58-Seg!$O$60</f>
        <v>80.6189463642798</v>
      </c>
    </row>
    <row r="110" customFormat="false" ht="17.15" hidden="false" customHeight="false" outlineLevel="0" collapsed="false">
      <c r="A110" s="0" t="s">
        <v>739</v>
      </c>
      <c r="B110" s="0" t="s">
        <v>86</v>
      </c>
      <c r="C110" s="38" t="n">
        <f aca="false">Thesis!$C$117*(1-Seg!$C$56)</f>
        <v>0.0455891896019953</v>
      </c>
      <c r="D110" s="38" t="n">
        <f aca="false">Thesis!$D$117*(1-Seg!$D$56)</f>
        <v>0.227931791705753</v>
      </c>
      <c r="E110" s="38" t="n">
        <f aca="false">Thesis!$E$117*(1-Seg!$E$56)</f>
        <v>0.412460434890711</v>
      </c>
      <c r="F110" s="38" t="n">
        <f aca="false">Thesis!$F$117*(1-Seg!$F$56)</f>
        <v>0.524534016233997</v>
      </c>
      <c r="G110" s="38" t="n">
        <f aca="false">Thesis!$G$117*(1-Seg!$G$56)</f>
        <v>0.936474095312266</v>
      </c>
      <c r="H110" s="38" t="n">
        <f aca="false">Thesis!$H$117*(1-Seg!$H$56)</f>
        <v>2.54003589327823</v>
      </c>
      <c r="I110" s="38" t="n">
        <f aca="false">Thesis!$I$117*(1-Seg!$I$56)</f>
        <v>4.88320120852905</v>
      </c>
      <c r="J110" s="38" t="n">
        <f aca="false">Thesis!$J$117*(1-Seg!$J$56)</f>
        <v>7.05069548920359</v>
      </c>
      <c r="K110" s="38" t="n">
        <f aca="false">Thesis!$K$117*(1-Seg!$K$56)</f>
        <v>9.17200258193867</v>
      </c>
      <c r="L110" s="38" t="n">
        <f aca="false">Thesis!$L$117*(1-Seg!$L$56)</f>
        <v>10.6414216154535</v>
      </c>
      <c r="M110" s="38" t="n">
        <f aca="false">Thesis!$M$117*(1-Seg!$M$56)</f>
        <v>11.4538831951485</v>
      </c>
      <c r="N110" s="38" t="n">
        <f aca="false">Thesis!$N$117*(1-Seg!$N$56)</f>
        <v>0.0912435878202994</v>
      </c>
      <c r="O110" s="38" t="n">
        <f aca="false">Thesis!$O$117*(1-Seg!$O$56)</f>
        <v>0.137119578309265</v>
      </c>
    </row>
    <row r="111" customFormat="false" ht="17.15" hidden="false" customHeight="false" outlineLevel="0" collapsed="false">
      <c r="A111" s="0" t="s">
        <v>740</v>
      </c>
      <c r="B111" s="0" t="s">
        <v>52</v>
      </c>
      <c r="C111" s="28" t="n">
        <f aca="false">(PL!$C$112-PL!$C$108+PL!$C$110)/PL!$C$109</f>
        <v>-0.0292364215826579</v>
      </c>
      <c r="D111" s="28" t="n">
        <f aca="false">(PL!$D$112-PL!$D$108+PL!$D$110)/PL!$D$109</f>
        <v>-0.0312406216748665</v>
      </c>
      <c r="E111" s="28" t="n">
        <f aca="false">(PL!$E$112-PL!$E$108+PL!$E$110)/PL!$E$109</f>
        <v>-0.0204459413185552</v>
      </c>
      <c r="F111" s="28" t="n">
        <f aca="false">PL!$O$111+(PL!$E$111-PL!$N$111)</f>
        <v>-0.0375409290246314</v>
      </c>
      <c r="G111" s="28" t="n">
        <f aca="false">(PL!$G$112-PL!$G$108+PL!$G$110)/PL!$G$109</f>
        <v>-0.0296712560031684</v>
      </c>
      <c r="H111" s="28" t="n">
        <f aca="false">PL!$G$111+step_in</f>
        <v>-0.0296712560031684</v>
      </c>
      <c r="I111" s="28" t="n">
        <f aca="false">PL!$H$111+step_in</f>
        <v>-0.0296712560031684</v>
      </c>
      <c r="J111" s="28" t="n">
        <f aca="false">PL!$I$111+step_in</f>
        <v>-0.0296712560031684</v>
      </c>
      <c r="K111" s="28" t="n">
        <f aca="false">PL!$J$111+step_in</f>
        <v>-0.0296712560031684</v>
      </c>
      <c r="L111" s="28" t="n">
        <f aca="false">PL!$K$111</f>
        <v>-0.0296712560031684</v>
      </c>
      <c r="M111" s="28" t="n">
        <f aca="false">PL!$L$111</f>
        <v>-0.0296712560031684</v>
      </c>
      <c r="N111" s="28" t="n">
        <f aca="false">(PL!$N$112-PL!$N$108+PL!$N$110)/PL!$N$109</f>
        <v>-0.0216602600421776</v>
      </c>
      <c r="O111" s="28" t="n">
        <f aca="false">(PL!$O$112-PL!$O$108+PL!$O$110)/PL!$O$109</f>
        <v>-0.0387552477482538</v>
      </c>
      <c r="P111" s="8" t="s">
        <v>735</v>
      </c>
    </row>
    <row r="112" customFormat="false" ht="17.15" hidden="false" customHeight="false" outlineLevel="0" collapsed="false">
      <c r="A112" s="1" t="s">
        <v>741</v>
      </c>
      <c r="B112" s="8" t="s">
        <v>86</v>
      </c>
      <c r="C112" s="38" t="n">
        <f aca="false">Q!$D$23</f>
        <v>3.792</v>
      </c>
      <c r="D112" s="38" t="n">
        <f aca="false">Q!$E$23</f>
        <v>4.75</v>
      </c>
      <c r="E112" s="38" t="n">
        <f aca="false">Q!$P$23</f>
        <v>3.141</v>
      </c>
      <c r="F112" s="38" t="n">
        <f aca="false">PL!$F$108+PL!$F$109*PL!$F$111-PL!$F$110</f>
        <v>2.77628975993721</v>
      </c>
      <c r="G112" s="38" t="n">
        <f aca="false">PL!$E$112+PL!$F$112</f>
        <v>5.91728975993721</v>
      </c>
      <c r="H112" s="38" t="n">
        <f aca="false">PL!$H$108+PL!$H$109*PL!$H$111-PL!$H$110</f>
        <v>6.18860052573681</v>
      </c>
      <c r="I112" s="38" t="n">
        <f aca="false">PL!$I$108+PL!$I$109*PL!$I$111-PL!$I$110</f>
        <v>5.73906974139474</v>
      </c>
      <c r="J112" s="38" t="n">
        <f aca="false">PL!$J$108+PL!$J$109*PL!$J$111-PL!$J$110</f>
        <v>5.34074393695119</v>
      </c>
      <c r="K112" s="38" t="n">
        <f aca="false">PL!$K$108+PL!$K$109*PL!$K$111-PL!$K$110</f>
        <v>4.7054586646822</v>
      </c>
      <c r="L112" s="38" t="n">
        <f aca="false">PL!$L$108+PL!$L$109*PL!$L$111-PL!$L$110</f>
        <v>4.88428999052786</v>
      </c>
      <c r="M112" s="38" t="n">
        <f aca="false">PL!$M$108+PL!$M$109*PL!$M$111-PL!$M$110</f>
        <v>5.89931338558769</v>
      </c>
      <c r="N112" s="38" t="n">
        <f aca="false">Q!$N$23</f>
        <v>2.511</v>
      </c>
      <c r="O112" s="38" t="n">
        <f aca="false">Q!$O$23</f>
        <v>2.239</v>
      </c>
    </row>
    <row r="113" customFormat="false" ht="17.15" hidden="false" customHeight="false" outlineLevel="0" collapsed="false">
      <c r="A113" s="0" t="s">
        <v>742</v>
      </c>
      <c r="B113" s="0" t="s">
        <v>86</v>
      </c>
      <c r="C113" s="38" t="n">
        <f aca="false">Thesis!$C$114</f>
        <v>1.64417882953695</v>
      </c>
      <c r="D113" s="38" t="n">
        <f aca="false">Thesis!$D$114</f>
        <v>5.39125073772939</v>
      </c>
      <c r="E113" s="38" t="n">
        <f aca="false">Thesis!$E$114</f>
        <v>2.42691120599613</v>
      </c>
      <c r="F113" s="38" t="n">
        <f aca="false">Thesis!$F$114</f>
        <v>7.52148563094346</v>
      </c>
      <c r="G113" s="38" t="n">
        <f aca="false">Thesis!$G$114</f>
        <v>9.94839683693959</v>
      </c>
      <c r="H113" s="38" t="n">
        <f aca="false">Thesis!$H$114</f>
        <v>23.4804386990861</v>
      </c>
      <c r="I113" s="38" t="n">
        <f aca="false">Thesis!$I$114</f>
        <v>30.9761745989143</v>
      </c>
      <c r="J113" s="38" t="n">
        <f aca="false">Thesis!$J$114</f>
        <v>41.1930070746977</v>
      </c>
      <c r="K113" s="38" t="n">
        <f aca="false">Thesis!$K$114</f>
        <v>45.9779211159428</v>
      </c>
      <c r="L113" s="38" t="n">
        <f aca="false">Thesis!$L$114</f>
        <v>48.0352490919424</v>
      </c>
      <c r="M113" s="38" t="n">
        <f aca="false">Thesis!$M$114</f>
        <v>47.4082976573265</v>
      </c>
      <c r="N113" s="38" t="n">
        <f aca="false">Thesis!$N$114</f>
        <v>1.67921600037079</v>
      </c>
      <c r="O113" s="38" t="n">
        <f aca="false">Thesis!$O$114</f>
        <v>3.71203473735861</v>
      </c>
    </row>
    <row r="114" customFormat="false" ht="17.15" hidden="false" customHeight="false" outlineLevel="0" collapsed="false">
      <c r="A114" s="0" t="s">
        <v>660</v>
      </c>
      <c r="B114" s="0" t="s">
        <v>86</v>
      </c>
      <c r="C114" s="38" t="n">
        <f aca="false">Thesis!$C$119</f>
        <v>38.1898211704631</v>
      </c>
      <c r="D114" s="38" t="n">
        <f aca="false">Thesis!$D$119</f>
        <v>40.2147492622706</v>
      </c>
      <c r="E114" s="38" t="n">
        <f aca="false">Thesis!$E$119</f>
        <v>28.3550887940039</v>
      </c>
      <c r="F114" s="38" t="n">
        <f aca="false">Thesis!$F$119</f>
        <v>25.9529793149447</v>
      </c>
      <c r="G114" s="38" t="n">
        <f aca="false">Thesis!$G$119</f>
        <v>54.3080681089486</v>
      </c>
      <c r="H114" s="38" t="n">
        <f aca="false">Thesis!$H$119</f>
        <v>58.2264684589333</v>
      </c>
      <c r="I114" s="38" t="n">
        <f aca="false">Thesis!$I$119</f>
        <v>64.6461353851744</v>
      </c>
      <c r="J114" s="38" t="n">
        <f aca="false">Thesis!$J$119</f>
        <v>70.7957093610231</v>
      </c>
      <c r="K114" s="38" t="n">
        <f aca="false">Thesis!$K$119</f>
        <v>76.4593661099049</v>
      </c>
      <c r="L114" s="38" t="n">
        <f aca="false">Thesis!$L$119</f>
        <v>82.5761153986973</v>
      </c>
      <c r="M114" s="38" t="n">
        <f aca="false">Thesis!$M$119</f>
        <v>89.1822046305931</v>
      </c>
      <c r="N114" s="38" t="n">
        <f aca="false">Thesis!$N$119</f>
        <v>20.0277839996292</v>
      </c>
      <c r="O114" s="38" t="n">
        <f aca="false">Thesis!$O$119</f>
        <v>20.1869652626414</v>
      </c>
    </row>
    <row r="115" customFormat="false" ht="17.15" hidden="false" customHeight="false" outlineLevel="0" collapsed="false">
      <c r="A115" s="1" t="s">
        <v>743</v>
      </c>
      <c r="B115" s="8" t="s">
        <v>86</v>
      </c>
      <c r="C115" s="38" t="n">
        <f aca="false">Q!$D$24</f>
        <v>39.834</v>
      </c>
      <c r="D115" s="38" t="n">
        <f aca="false">Q!$E$24</f>
        <v>45.606</v>
      </c>
      <c r="E115" s="38" t="n">
        <f aca="false">Q!$P$24</f>
        <v>30.782</v>
      </c>
      <c r="F115" s="38" t="n">
        <f aca="false">PL!$F$113+PL!$F$114</f>
        <v>33.4744649458882</v>
      </c>
      <c r="G115" s="38" t="n">
        <f aca="false">PL!$G$113+PL!$G$114</f>
        <v>64.2564649458882</v>
      </c>
      <c r="H115" s="38" t="n">
        <f aca="false">PL!$H$113+PL!$H$114</f>
        <v>81.7069071580194</v>
      </c>
      <c r="I115" s="38" t="n">
        <f aca="false">PL!$I$113+PL!$I$114</f>
        <v>95.6223099840887</v>
      </c>
      <c r="J115" s="38" t="n">
        <f aca="false">PL!$J$113+PL!$J$114</f>
        <v>111.988716435721</v>
      </c>
      <c r="K115" s="38" t="n">
        <f aca="false">PL!$K$113+PL!$K$114</f>
        <v>122.437287225848</v>
      </c>
      <c r="L115" s="38" t="n">
        <f aca="false">PL!$L$113+PL!$L$114</f>
        <v>130.61136449064</v>
      </c>
      <c r="M115" s="38" t="n">
        <f aca="false">PL!$M$113+PL!$M$114</f>
        <v>136.59050228792</v>
      </c>
      <c r="N115" s="38" t="n">
        <f aca="false">Q!$N$24</f>
        <v>21.707</v>
      </c>
      <c r="O115" s="38" t="n">
        <f aca="false">Q!$O$24</f>
        <v>23.899</v>
      </c>
    </row>
    <row r="116" customFormat="false" ht="17.15" hidden="false" customHeight="false" outlineLevel="0" collapsed="false">
      <c r="A116" s="5" t="s">
        <v>744</v>
      </c>
      <c r="B116" s="0" t="s">
        <v>86</v>
      </c>
      <c r="C116" s="38" t="n">
        <f aca="false">Q!$D$26</f>
        <v>0</v>
      </c>
      <c r="D116" s="38" t="n">
        <f aca="false">Q!$E$26</f>
        <v>0</v>
      </c>
      <c r="E116" s="38" t="n">
        <f aca="false">Q!$P$26</f>
        <v>0</v>
      </c>
      <c r="F116" s="39" t="n">
        <v>0</v>
      </c>
      <c r="G116" s="38" t="n">
        <f aca="false">PL!$E$116+PL!$F$116</f>
        <v>0</v>
      </c>
      <c r="H116" s="39" t="n">
        <v>0</v>
      </c>
      <c r="I116" s="39" t="n">
        <v>0</v>
      </c>
      <c r="J116" s="39" t="n">
        <v>0</v>
      </c>
      <c r="K116" s="39" t="n">
        <v>0</v>
      </c>
      <c r="L116" s="39" t="n">
        <v>0</v>
      </c>
      <c r="M116" s="39" t="n">
        <v>0</v>
      </c>
      <c r="N116" s="38" t="n">
        <f aca="false">Q!$N$26</f>
        <v>0</v>
      </c>
      <c r="O116" s="38" t="n">
        <f aca="false">Q!$O$26</f>
        <v>0</v>
      </c>
    </row>
    <row r="117" customFormat="false" ht="15" hidden="false" customHeight="false" outlineLevel="0" collapsed="false">
      <c r="A117" s="3" t="s">
        <v>541</v>
      </c>
      <c r="B117" s="8" t="s">
        <v>86</v>
      </c>
      <c r="C117" s="38" t="n">
        <f aca="false">Q!$D$25</f>
        <v>68.593</v>
      </c>
      <c r="D117" s="38" t="n">
        <f aca="false">Q!$E$25</f>
        <v>79.975</v>
      </c>
      <c r="E117" s="38" t="n">
        <f aca="false">Q!$P$25</f>
        <v>51.313</v>
      </c>
      <c r="F117" s="38" t="n">
        <f aca="false">PL!$F$107+PL!$F$112+PL!$F$115+PL!$F$116</f>
        <v>56.3652566987294</v>
      </c>
      <c r="G117" s="38" t="n">
        <f aca="false">PL!$G$107+PL!$G$112+PL!$G$115+PL!$G$116</f>
        <v>107.678256698729</v>
      </c>
      <c r="H117" s="38" t="n">
        <f aca="false">PL!$H$107+PL!$H$112+PL!$H$115+PL!$H$116</f>
        <v>129.515456870266</v>
      </c>
      <c r="I117" s="38" t="n">
        <f aca="false">PL!$I$107+PL!$I$112+PL!$I$115+PL!$I$116</f>
        <v>145.345387082626</v>
      </c>
      <c r="J117" s="38" t="n">
        <f aca="false">PL!$J$107+PL!$J$112+PL!$J$115+PL!$J$116</f>
        <v>163.862141869716</v>
      </c>
      <c r="K117" s="38" t="n">
        <f aca="false">PL!$K$107+PL!$K$112+PL!$K$115+PL!$K$116</f>
        <v>175.564332634303</v>
      </c>
      <c r="L117" s="38" t="n">
        <f aca="false">PL!$L$107+PL!$L$112+PL!$L$115+PL!$L$116</f>
        <v>186.492086157384</v>
      </c>
      <c r="M117" s="38" t="n">
        <f aca="false">PL!$M$107+PL!$M$112+PL!$M$115+PL!$M$116</f>
        <v>198.371665638452</v>
      </c>
      <c r="N117" s="38" t="n">
        <f aca="false">Q!$N$25</f>
        <v>37.576</v>
      </c>
      <c r="O117" s="38" t="n">
        <f aca="false">Q!$O$25</f>
        <v>42.399</v>
      </c>
    </row>
    <row r="118" customFormat="false" ht="17.15" hidden="false" customHeight="false" outlineLevel="0" collapsed="false">
      <c r="A118" s="24" t="s">
        <v>775</v>
      </c>
      <c r="B118" s="25" t="s">
        <v>86</v>
      </c>
      <c r="C118" s="41" t="n">
        <f aca="false">PL!$C$107+PL!$C$112+PL!$C$115+PL!$C$116-PL!$C$117</f>
        <v>0</v>
      </c>
      <c r="D118" s="41" t="n">
        <f aca="false">PL!$D$107+PL!$D$112+PL!$D$115+PL!$D$116-PL!$D$117</f>
        <v>0</v>
      </c>
      <c r="E118" s="41" t="n">
        <f aca="false">PL!$E$107+PL!$E$112+PL!$E$115+PL!$E$116-PL!$E$117</f>
        <v>0</v>
      </c>
      <c r="F118" s="41" t="n">
        <f aca="false">PL!$F$107+PL!$F$112+PL!$F$115+PL!$F$116-PL!$F$117</f>
        <v>0</v>
      </c>
      <c r="G118" s="41" t="n">
        <f aca="false">PL!$G$107+PL!$G$112+PL!$G$115+PL!$G$116-PL!$G$117</f>
        <v>0</v>
      </c>
      <c r="H118" s="41" t="n">
        <f aca="false">PL!$H$107+PL!$H$112+PL!$H$115+PL!$H$116-PL!$H$117</f>
        <v>0</v>
      </c>
      <c r="I118" s="41" t="n">
        <f aca="false">PL!$I$107+PL!$I$112+PL!$I$115+PL!$I$116-PL!$I$117</f>
        <v>0</v>
      </c>
      <c r="J118" s="41" t="n">
        <f aca="false">PL!$J$107+PL!$J$112+PL!$J$115+PL!$J$116-PL!$J$117</f>
        <v>0</v>
      </c>
      <c r="K118" s="41" t="n">
        <f aca="false">PL!$K$107+PL!$K$112+PL!$K$115+PL!$K$116-PL!$K$117</f>
        <v>0</v>
      </c>
      <c r="L118" s="41" t="n">
        <f aca="false">PL!$L$107+PL!$L$112+PL!$L$115+PL!$L$116-PL!$L$117</f>
        <v>0</v>
      </c>
      <c r="M118" s="41" t="n">
        <f aca="false">PL!$M$107+PL!$M$112+PL!$M$115+PL!$M$116-PL!$M$117</f>
        <v>0</v>
      </c>
      <c r="N118" s="41" t="n">
        <f aca="false">PL!$N$107+PL!$N$112+PL!$N$115+PL!$N$116-PL!$N$117</f>
        <v>0</v>
      </c>
      <c r="O118" s="41" t="n">
        <f aca="false">PL!$O$107+PL!$O$112+PL!$O$115+PL!$O$116-PL!$O$117</f>
        <v>0</v>
      </c>
    </row>
    <row r="119" customFormat="false" ht="17.15" hidden="false" customHeight="false" outlineLevel="0" collapsed="false">
      <c r="A119" s="5" t="s">
        <v>746</v>
      </c>
      <c r="B119" s="0" t="s">
        <v>86</v>
      </c>
      <c r="C119" s="38" t="n">
        <f aca="false">Thesis!$C$116</f>
        <v>0</v>
      </c>
      <c r="D119" s="38" t="n">
        <f aca="false">Thesis!$D$116</f>
        <v>0</v>
      </c>
      <c r="E119" s="38" t="n">
        <f aca="false">Thesis!$E$116</f>
        <v>0</v>
      </c>
      <c r="F119" s="38" t="n">
        <f aca="false">Thesis!$F$116</f>
        <v>3.77122048175818</v>
      </c>
      <c r="G119" s="38" t="n">
        <f aca="false">Thesis!$G$116</f>
        <v>3.77122048175818</v>
      </c>
      <c r="H119" s="38" t="n">
        <f aca="false">Thesis!$H$116</f>
        <v>15.1635543609893</v>
      </c>
      <c r="I119" s="38" t="n">
        <f aca="false">Thesis!$I$116</f>
        <v>25.5818843619889</v>
      </c>
      <c r="J119" s="38" t="n">
        <f aca="false">Thesis!$J$116</f>
        <v>36.0465624179122</v>
      </c>
      <c r="K119" s="38" t="n">
        <f aca="false">Thesis!$K$116</f>
        <v>44.9741164026038</v>
      </c>
      <c r="L119" s="38" t="n">
        <f aca="false">Thesis!$L$116</f>
        <v>50.8413488057813</v>
      </c>
      <c r="M119" s="38" t="n">
        <f aca="false">Thesis!$M$116</f>
        <v>53.6407214274315</v>
      </c>
      <c r="N119" s="38" t="n">
        <f aca="false">Thesis!$N$116</f>
        <v>0</v>
      </c>
      <c r="O119" s="38" t="n">
        <f aca="false">Thesis!$O$116</f>
        <v>0</v>
      </c>
      <c r="P119" s="5" t="s">
        <v>747</v>
      </c>
    </row>
    <row r="120" customFormat="false" ht="17.15" hidden="false" customHeight="false" outlineLevel="0" collapsed="false">
      <c r="A120" s="5" t="s">
        <v>748</v>
      </c>
      <c r="B120" s="0" t="s">
        <v>86</v>
      </c>
      <c r="C120" s="38" t="n">
        <f aca="false">PL!$C$117+PL!$C$119</f>
        <v>68.593</v>
      </c>
      <c r="D120" s="38" t="n">
        <f aca="false">PL!$D$117+PL!$D$119</f>
        <v>79.975</v>
      </c>
      <c r="E120" s="38" t="n">
        <f aca="false">PL!$E$117+PL!$E$119</f>
        <v>51.313</v>
      </c>
      <c r="F120" s="38" t="n">
        <f aca="false">PL!$F$117+PL!$F$119</f>
        <v>60.1364771804876</v>
      </c>
      <c r="G120" s="38" t="n">
        <f aca="false">PL!$G$117+PL!$G$119</f>
        <v>111.449477180488</v>
      </c>
      <c r="H120" s="38" t="n">
        <f aca="false">PL!$H$117+PL!$H$119</f>
        <v>144.679011231256</v>
      </c>
      <c r="I120" s="38" t="n">
        <f aca="false">PL!$I$117+PL!$I$119</f>
        <v>170.927271444615</v>
      </c>
      <c r="J120" s="38" t="n">
        <f aca="false">PL!$J$117+PL!$J$119</f>
        <v>199.908704287628</v>
      </c>
      <c r="K120" s="38" t="n">
        <f aca="false">PL!$K$117+PL!$K$119</f>
        <v>220.538449036907</v>
      </c>
      <c r="L120" s="38" t="n">
        <f aca="false">PL!$L$117+PL!$L$119</f>
        <v>237.333434963166</v>
      </c>
      <c r="M120" s="38" t="n">
        <f aca="false">PL!$M$117+PL!$M$119</f>
        <v>252.012387065883</v>
      </c>
      <c r="N120" s="38" t="n">
        <f aca="false">PL!$N$117+PL!$N$119</f>
        <v>37.576</v>
      </c>
      <c r="O120" s="38" t="n">
        <f aca="false">PL!$O$117+PL!$O$119</f>
        <v>42.399</v>
      </c>
    </row>
    <row r="121" customFormat="false" ht="17.15" hidden="false" customHeight="false" outlineLevel="0" collapsed="false">
      <c r="A121" s="0" t="s">
        <v>749</v>
      </c>
      <c r="B121" s="0" t="s">
        <v>52</v>
      </c>
      <c r="C121" s="13" t="n">
        <f aca="false">PL!$C$107/PL!$C$92</f>
        <v>0.0644314665661928</v>
      </c>
      <c r="D121" s="13" t="n">
        <f aca="false">PL!$D$107/PL!$D$92</f>
        <v>0.0694784250712518</v>
      </c>
      <c r="E121" s="13" t="n">
        <f aca="false">PL!$E$107/PL!$E$92</f>
        <v>0.0789306463326071</v>
      </c>
      <c r="F121" s="13" t="n">
        <f aca="false">PL!$F$107/PL!$F$92</f>
        <v>0.0802526339438384</v>
      </c>
      <c r="G121" s="13" t="n">
        <f aca="false">PL!$G$107/PL!$G$92</f>
        <v>0.0796341940538369</v>
      </c>
      <c r="H121" s="13" t="n">
        <f aca="false">PL!$H$107/PL!$H$92</f>
        <v>0.0798254462645258</v>
      </c>
      <c r="I121" s="13" t="n">
        <f aca="false">PL!$I$107/PL!$I$92</f>
        <v>0.0771454543672196</v>
      </c>
      <c r="J121" s="13" t="n">
        <f aca="false">PL!$J$107/PL!$J$92</f>
        <v>0.0756147693819656</v>
      </c>
      <c r="K121" s="13" t="n">
        <f aca="false">PL!$K$107/PL!$K$92</f>
        <v>0.0739025926520816</v>
      </c>
      <c r="L121" s="13" t="n">
        <f aca="false">PL!$L$107/PL!$L$92</f>
        <v>0.0730809201558074</v>
      </c>
      <c r="M121" s="13" t="n">
        <f aca="false">PL!$M$107/PL!$M$92</f>
        <v>0.0751707027775199</v>
      </c>
      <c r="N121" s="13" t="n">
        <f aca="false">PL!$N$107/PL!$N$92</f>
        <v>0.069228576611127</v>
      </c>
      <c r="O121" s="13" t="n">
        <f aca="false">PL!$O$107/PL!$O$92</f>
        <v>0.069685022498393</v>
      </c>
    </row>
    <row r="122" customFormat="false" ht="17.15" hidden="false" customHeight="false" outlineLevel="0" collapsed="false">
      <c r="A122" s="0" t="s">
        <v>750</v>
      </c>
      <c r="B122" s="0" t="s">
        <v>52</v>
      </c>
      <c r="C122" s="13" t="n">
        <f aca="false">PL!$C$112/PL!$C$93</f>
        <v>0.026534925055631</v>
      </c>
      <c r="D122" s="13" t="n">
        <f aca="false">PL!$D$112/PL!$D$93</f>
        <v>0.0293401855535103</v>
      </c>
      <c r="E122" s="13" t="n">
        <f aca="false">PL!$E$112/PL!$E$93</f>
        <v>0.03831141902276</v>
      </c>
      <c r="F122" s="13" t="n">
        <f aca="false">PL!$F$112/PL!$F$93</f>
        <v>0.0282118989524726</v>
      </c>
      <c r="G122" s="13" t="n">
        <f aca="false">PL!$G$112/PL!$G$93</f>
        <v>0.0328019468674976</v>
      </c>
      <c r="H122" s="13" t="n">
        <f aca="false">PL!$H$112/PL!$H$93</f>
        <v>0.0309879507899839</v>
      </c>
      <c r="I122" s="13" t="n">
        <f aca="false">PL!$I$112/PL!$I$93</f>
        <v>0.0262795332043765</v>
      </c>
      <c r="J122" s="13" t="n">
        <f aca="false">PL!$J$112/PL!$J$93</f>
        <v>0.0226574435353346</v>
      </c>
      <c r="K122" s="13" t="n">
        <f aca="false">PL!$K$112/PL!$K$93</f>
        <v>0.0187492205871101</v>
      </c>
      <c r="L122" s="13" t="n">
        <f aca="false">PL!$L$112/PL!$L$93</f>
        <v>0.018273690180732</v>
      </c>
      <c r="M122" s="13" t="n">
        <f aca="false">PL!$M$112/PL!$M$93</f>
        <v>0.0207176218272716</v>
      </c>
      <c r="N122" s="13" t="n">
        <f aca="false">PL!$N$112/PL!$N$93</f>
        <v>0.0357315650169337</v>
      </c>
      <c r="O122" s="13" t="n">
        <f aca="false">PL!$O$112/PL!$O$93</f>
        <v>0.0244378956559703</v>
      </c>
    </row>
    <row r="123" customFormat="false" ht="17.15" hidden="false" customHeight="false" outlineLevel="0" collapsed="false">
      <c r="A123" s="14" t="s">
        <v>751</v>
      </c>
      <c r="B123" s="14" t="s">
        <v>52</v>
      </c>
      <c r="C123" s="17" t="n">
        <f aca="false">PL!$C$115/PL!$C$94</f>
        <v>0.370355907620217</v>
      </c>
      <c r="D123" s="17" t="n">
        <f aca="false">PL!$D$115/PL!$D$94</f>
        <v>0.35429015342785</v>
      </c>
      <c r="E123" s="17" t="n">
        <f aca="false">PL!$E$115/PL!$E$94</f>
        <v>0.385647527531039</v>
      </c>
      <c r="F123" s="17" t="n">
        <f aca="false">PL!$F$115/PL!$F$94</f>
        <v>0.385949613469105</v>
      </c>
      <c r="G123" s="17" t="n">
        <f aca="false">PL!$G$115/PL!$G$94</f>
        <v>0.385804840448779</v>
      </c>
      <c r="H123" s="17" t="n">
        <f aca="false">PL!$H$115/PL!$H$94</f>
        <v>0.369408675360557</v>
      </c>
      <c r="I123" s="17" t="n">
        <f aca="false">PL!$I$115/PL!$I$94</f>
        <v>0.34117504540738</v>
      </c>
      <c r="J123" s="17" t="n">
        <f aca="false">PL!$J$115/PL!$J$94</f>
        <v>0.330544285732563</v>
      </c>
      <c r="K123" s="17" t="n">
        <f aca="false">PL!$K$115/PL!$K$94</f>
        <v>0.314033796990635</v>
      </c>
      <c r="L123" s="17" t="n">
        <f aca="false">PL!$L$115/PL!$L$94</f>
        <v>0.303690371867633</v>
      </c>
      <c r="M123" s="17" t="n">
        <f aca="false">PL!$M$115/PL!$M$94</f>
        <v>0.297287296590884</v>
      </c>
      <c r="N123" s="17" t="n">
        <f aca="false">PL!$N$115/PL!$N$94</f>
        <v>0.360941137346192</v>
      </c>
      <c r="O123" s="17" t="n">
        <f aca="false">PL!$O$115/PL!$O$94</f>
        <v>0.348458117664212</v>
      </c>
    </row>
    <row r="124" customFormat="false" ht="17.15" hidden="false" customHeight="false" outlineLevel="0" collapsed="false">
      <c r="A124" s="0" t="s">
        <v>752</v>
      </c>
      <c r="B124" s="0" t="s">
        <v>52</v>
      </c>
      <c r="C124" s="13" t="n">
        <f aca="false">PL!$C$113/PL!$C$95</f>
        <v>0.708390794789371</v>
      </c>
      <c r="D124" s="13" t="n">
        <f aca="false">PL!$D$113/PL!$D$95</f>
        <v>0.619415573115729</v>
      </c>
      <c r="E124" s="13" t="n">
        <f aca="false">PL!$E$113/PL!$E$95</f>
        <v>0.285171627189009</v>
      </c>
      <c r="F124" s="13" t="n">
        <f aca="false">PL!$F$113/PL!$F$95</f>
        <v>0.502657732812366</v>
      </c>
      <c r="G124" s="13" t="n">
        <f aca="false">PL!$G$113/PL!$G$95</f>
        <v>0.423808778611812</v>
      </c>
      <c r="H124" s="13" t="n">
        <f aca="false">PL!$H$113/PL!$H$95</f>
        <v>0.390261631739809</v>
      </c>
      <c r="I124" s="13" t="n">
        <f aca="false">PL!$I$113/PL!$I$95</f>
        <v>0.305172864264572</v>
      </c>
      <c r="J124" s="13" t="n">
        <f aca="false">PL!$J$113/PL!$J$95</f>
        <v>0.288011814789856</v>
      </c>
      <c r="K124" s="13" t="n">
        <f aca="false">PL!$K$113/PL!$K$95</f>
        <v>0.25765427518774</v>
      </c>
      <c r="L124" s="13" t="n">
        <f aca="false">PL!$L$113/PL!$L$95</f>
        <v>0.238118778012374</v>
      </c>
      <c r="M124" s="13" t="n">
        <f aca="false">PL!$M$113/PL!$M$95</f>
        <v>0.222746255757109</v>
      </c>
      <c r="N124" s="13" t="n">
        <f aca="false">PL!$N$113/PL!$N$95</f>
        <v>0.551227795793364</v>
      </c>
      <c r="O124" s="13" t="n">
        <f aca="false">PL!$O$113/PL!$O$95</f>
        <v>0.656132068597002</v>
      </c>
    </row>
    <row r="125" customFormat="false" ht="15" hidden="false" customHeight="false" outlineLevel="0" collapsed="false">
      <c r="A125" s="5" t="s">
        <v>753</v>
      </c>
      <c r="B125" s="0" t="s">
        <v>52</v>
      </c>
      <c r="C125" s="13" t="n">
        <f aca="false">PL!$C$117/PL!$C$97</f>
        <v>0.107519448742004</v>
      </c>
      <c r="D125" s="13" t="n">
        <f aca="false">PL!$D$117/PL!$D$97</f>
        <v>0.111552967957552</v>
      </c>
      <c r="E125" s="13" t="n">
        <f aca="false">PL!$E$117/PL!$E$97</f>
        <v>0.13428328426562</v>
      </c>
      <c r="F125" s="13" t="n">
        <f aca="false">PL!$F$117/PL!$F$97</f>
        <v>0.129343087287827</v>
      </c>
      <c r="G125" s="13" t="n">
        <f aca="false">PL!$G$117/PL!$G$97</f>
        <v>0.131651143259596</v>
      </c>
      <c r="H125" s="13" t="n">
        <f aca="false">PL!$H$117/PL!$H$97</f>
        <v>0.137449034763893</v>
      </c>
      <c r="I125" s="13" t="n">
        <f aca="false">PL!$I$117/PL!$I$97</f>
        <v>0.13598895915033</v>
      </c>
      <c r="J125" s="13" t="n">
        <f aca="false">PL!$J$117/PL!$J$97</f>
        <v>0.137709769017663</v>
      </c>
      <c r="K125" s="13" t="n">
        <f aca="false">PL!$K$117/PL!$K$97</f>
        <v>0.135459809314784</v>
      </c>
      <c r="L125" s="13" t="n">
        <f aca="false">PL!$L$117/PL!$L$97</f>
        <v>0.133669430082102</v>
      </c>
      <c r="M125" s="13" t="n">
        <f aca="false">PL!$M$117/PL!$M$97</f>
        <v>0.133349766772341</v>
      </c>
      <c r="N125" s="13" t="n">
        <f aca="false">PL!$N$117/PL!$N$97</f>
        <v>0.116201614873411</v>
      </c>
      <c r="O125" s="13" t="n">
        <f aca="false">PL!$O$117/PL!$O$97</f>
        <v>0.107733353660861</v>
      </c>
    </row>
    <row r="126" customFormat="false" ht="17.15" hidden="false" customHeight="false" outlineLevel="0" collapsed="false">
      <c r="A126" s="1" t="s">
        <v>754</v>
      </c>
    </row>
    <row r="127" customFormat="false" ht="17.15" hidden="false" customHeight="false" outlineLevel="0" collapsed="false">
      <c r="A127" s="5" t="s">
        <v>755</v>
      </c>
      <c r="B127" s="0" t="s">
        <v>52</v>
      </c>
      <c r="D127" s="28" t="n">
        <f aca="false">(Q!$E$29+Q!$E$30-(1-ext_sh)*Thesis!$D$110)/Seg!$D$55</f>
        <v>0.0341105596409988</v>
      </c>
    </row>
    <row r="128" customFormat="false" ht="17.15" hidden="false" customHeight="false" outlineLevel="0" collapsed="false">
      <c r="A128" s="0" t="s">
        <v>545</v>
      </c>
      <c r="B128" s="0" t="s">
        <v>86</v>
      </c>
      <c r="C128" s="38" t="n">
        <f aca="false">Q!$D$29</f>
        <v>14.285</v>
      </c>
      <c r="D128" s="38" t="n">
        <f aca="false">Q!$E$29</f>
        <v>15.503</v>
      </c>
      <c r="E128" s="38" t="n">
        <f aca="false">Q!$P$29</f>
        <v>8.78</v>
      </c>
      <c r="F128" s="38" t="n">
        <f aca="false">(PL!$D$127*Seg!$F$55+(1-ext_sh)*Thesis!$F$110)*Seg!$F$56</f>
        <v>9.30317620449232</v>
      </c>
      <c r="G128" s="38" t="n">
        <f aca="false">PL!$E$128+PL!$F$128</f>
        <v>18.0831762044923</v>
      </c>
      <c r="H128" s="38" t="n">
        <f aca="false">(PL!$D$127*Seg!$H$55+(1-ext_sh)*Thesis!$H$110)*Seg!$H$56</f>
        <v>22.1297245338482</v>
      </c>
      <c r="I128" s="38" t="n">
        <f aca="false">(PL!$D$127*Seg!$I$55+(1-ext_sh)*Thesis!$I$110)*Seg!$I$56</f>
        <v>28.409695984391</v>
      </c>
      <c r="J128" s="38" t="n">
        <f aca="false">(PL!$D$127*Seg!$J$55+(1-ext_sh)*Thesis!$J$110)*Seg!$J$56</f>
        <v>34.1085606174579</v>
      </c>
      <c r="K128" s="38" t="n">
        <f aca="false">(PL!$D$127*Seg!$K$55+(1-ext_sh)*Thesis!$K$110)*Seg!$K$56</f>
        <v>39.7218983009068</v>
      </c>
      <c r="L128" s="38" t="n">
        <f aca="false">(PL!$D$127*Seg!$L$55+(1-ext_sh)*Thesis!$L$110)*Seg!$L$56</f>
        <v>44.1680279486684</v>
      </c>
      <c r="M128" s="38" t="n">
        <f aca="false">(PL!$D$127*Seg!$M$55+(1-ext_sh)*Thesis!$M$110)*Seg!$M$56</f>
        <v>47.4413073313286</v>
      </c>
      <c r="N128" s="38" t="n">
        <f aca="false">Q!$N$29</f>
        <v>7.272</v>
      </c>
      <c r="O128" s="38" t="n">
        <f aca="false">Q!$O$29</f>
        <v>8.231</v>
      </c>
    </row>
    <row r="129" customFormat="false" ht="17.15" hidden="false" customHeight="false" outlineLevel="0" collapsed="false">
      <c r="A129" s="0" t="s">
        <v>547</v>
      </c>
      <c r="B129" s="0" t="s">
        <v>86</v>
      </c>
      <c r="C129" s="38" t="n">
        <f aca="false">Q!$D$30</f>
        <v>4.462</v>
      </c>
      <c r="D129" s="38" t="n">
        <f aca="false">Q!$E$30</f>
        <v>4.907</v>
      </c>
      <c r="E129" s="38" t="n">
        <f aca="false">Q!$P$30</f>
        <v>2.57</v>
      </c>
      <c r="F129" s="38" t="n">
        <f aca="false">(PL!$D$127*Seg!$F$55+(1-ext_sh)*Thesis!$F$110)*(1-Seg!$F$56)</f>
        <v>3.6526976809753</v>
      </c>
      <c r="G129" s="38" t="n">
        <f aca="false">PL!$E$129+PL!$F$129</f>
        <v>6.2226976809753</v>
      </c>
      <c r="H129" s="38" t="n">
        <f aca="false">(PL!$D$127*Seg!$H$55+(1-ext_sh)*Thesis!$H$110)*(1-Seg!$H$56)</f>
        <v>8.4764774248495</v>
      </c>
      <c r="I129" s="38" t="n">
        <f aca="false">(PL!$D$127*Seg!$I$55+(1-ext_sh)*Thesis!$I$110)*(1-Seg!$I$56)</f>
        <v>10.881931507561</v>
      </c>
      <c r="J129" s="38" t="n">
        <f aca="false">(PL!$D$127*Seg!$J$55+(1-ext_sh)*Thesis!$J$110)*(1-Seg!$J$56)</f>
        <v>13.0648008575874</v>
      </c>
      <c r="K129" s="38" t="n">
        <f aca="false">(PL!$D$127*Seg!$K$55+(1-ext_sh)*Thesis!$K$110)*(1-Seg!$K$56)</f>
        <v>15.2149103214008</v>
      </c>
      <c r="L129" s="38" t="n">
        <f aca="false">(PL!$D$127*Seg!$L$55+(1-ext_sh)*Thesis!$L$110)*(1-Seg!$L$56)</f>
        <v>16.9179372854085</v>
      </c>
      <c r="M129" s="38" t="n">
        <f aca="false">(PL!$D$127*Seg!$M$55+(1-ext_sh)*Thesis!$M$110)*(1-Seg!$M$56)</f>
        <v>18.1717205735785</v>
      </c>
      <c r="N129" s="38" t="n">
        <f aca="false">Q!$N$30</f>
        <v>2.316</v>
      </c>
      <c r="O129" s="38" t="n">
        <f aca="false">Q!$O$30</f>
        <v>2.591</v>
      </c>
    </row>
    <row r="130" customFormat="false" ht="17.15" hidden="false" customHeight="false" outlineLevel="0" collapsed="false">
      <c r="A130" s="0" t="s">
        <v>548</v>
      </c>
      <c r="B130" s="0" t="s">
        <v>86</v>
      </c>
      <c r="C130" s="38" t="n">
        <f aca="false">Thesis!$C$122</f>
        <v>13.32</v>
      </c>
      <c r="D130" s="38" t="n">
        <f aca="false">Thesis!$D$122</f>
        <v>21.45</v>
      </c>
      <c r="E130" s="38" t="n">
        <f aca="false">Thesis!$E$122</f>
        <v>15.353</v>
      </c>
      <c r="F130" s="38" t="n">
        <f aca="false">Thesis!$F$122</f>
        <v>16.1969869840094</v>
      </c>
      <c r="G130" s="38" t="n">
        <f aca="false">Thesis!$G$122</f>
        <v>31.5499869840094</v>
      </c>
      <c r="H130" s="38" t="n">
        <f aca="false">Thesis!$H$122</f>
        <v>50.9556213609176</v>
      </c>
      <c r="I130" s="38" t="n">
        <f aca="false">Thesis!$I$122</f>
        <v>79.464581248252</v>
      </c>
      <c r="J130" s="38" t="n">
        <f aca="false">Thesis!$J$122</f>
        <v>105.296127931746</v>
      </c>
      <c r="K130" s="38" t="n">
        <f aca="false">Thesis!$K$122</f>
        <v>131.454694001511</v>
      </c>
      <c r="L130" s="38" t="n">
        <f aca="false">Thesis!$L$122</f>
        <v>150.840456981405</v>
      </c>
      <c r="M130" s="38" t="n">
        <f aca="false">Thesis!$M$122</f>
        <v>163.399454192999</v>
      </c>
      <c r="N130" s="38" t="n">
        <f aca="false">Thesis!$N$122</f>
        <v>9.234</v>
      </c>
      <c r="O130" s="38" t="n">
        <f aca="false">Thesis!$O$122</f>
        <v>12.216</v>
      </c>
    </row>
    <row r="131" customFormat="false" ht="17.15" hidden="false" customHeight="false" outlineLevel="0" collapsed="false">
      <c r="A131" s="5" t="s">
        <v>756</v>
      </c>
      <c r="B131" s="0" t="s">
        <v>86</v>
      </c>
      <c r="C131" s="38" t="n">
        <f aca="false">PL!$C$128+PL!$C$129+PL!$C$130</f>
        <v>32.067</v>
      </c>
      <c r="D131" s="38" t="n">
        <f aca="false">PL!$D$128+PL!$D$129+PL!$D$130</f>
        <v>41.86</v>
      </c>
      <c r="E131" s="38" t="n">
        <f aca="false">PL!$E$128+PL!$E$129+PL!$E$130</f>
        <v>26.703</v>
      </c>
      <c r="F131" s="38" t="n">
        <f aca="false">PL!$F$128+PL!$F$129+PL!$F$130</f>
        <v>29.152860869477</v>
      </c>
      <c r="G131" s="38" t="n">
        <f aca="false">PL!$G$128+PL!$G$129+PL!$G$130</f>
        <v>55.855860869477</v>
      </c>
      <c r="H131" s="38" t="n">
        <f aca="false">PL!$H$128+PL!$H$129+PL!$H$130</f>
        <v>81.5618233196153</v>
      </c>
      <c r="I131" s="38" t="n">
        <f aca="false">PL!$I$128+PL!$I$129+PL!$I$130</f>
        <v>118.756208740204</v>
      </c>
      <c r="J131" s="38" t="n">
        <f aca="false">PL!$J$128+PL!$J$129+PL!$J$130</f>
        <v>152.469489406791</v>
      </c>
      <c r="K131" s="38" t="n">
        <f aca="false">PL!$K$128+PL!$K$129+PL!$K$130</f>
        <v>186.391502623819</v>
      </c>
      <c r="L131" s="38" t="n">
        <f aca="false">PL!$L$128+PL!$L$129+PL!$L$130</f>
        <v>211.926422215482</v>
      </c>
      <c r="M131" s="38" t="n">
        <f aca="false">PL!$M$128+PL!$M$129+PL!$M$130</f>
        <v>229.012482097906</v>
      </c>
      <c r="N131" s="38" t="n">
        <f aca="false">PL!$N$128+PL!$N$129+PL!$N$130</f>
        <v>18.822</v>
      </c>
      <c r="O131" s="38" t="n">
        <f aca="false">PL!$O$128+PL!$O$129+PL!$O$130</f>
        <v>23.038</v>
      </c>
    </row>
    <row r="132" customFormat="false" ht="17.15" hidden="false" customHeight="false" outlineLevel="0" collapsed="false">
      <c r="A132" s="0" t="s">
        <v>757</v>
      </c>
      <c r="B132" s="0" t="s">
        <v>86</v>
      </c>
      <c r="C132" s="38" t="n">
        <f aca="false">PL!$C$103+PL!$C$108</f>
        <v>28.107</v>
      </c>
      <c r="D132" s="38" t="n">
        <f aca="false">PL!$D$103+PL!$D$108</f>
        <v>34.3175</v>
      </c>
      <c r="E132" s="38" t="n">
        <f aca="false">PL!$E$103+PL!$E$108</f>
        <v>18.526</v>
      </c>
      <c r="F132" s="38" t="n">
        <f aca="false">PL!$F$103+PL!$F$108</f>
        <v>23.0786109972074</v>
      </c>
      <c r="G132" s="38" t="n">
        <f aca="false">PL!$G$103+PL!$G$108</f>
        <v>41.6046109972074</v>
      </c>
      <c r="H132" s="38" t="n">
        <f aca="false">PL!$H$103+PL!$H$108</f>
        <v>49.9484611939488</v>
      </c>
      <c r="I132" s="38" t="n">
        <f aca="false">PL!$I$103+PL!$I$108</f>
        <v>58.2915555477481</v>
      </c>
      <c r="J132" s="38" t="n">
        <f aca="false">PL!$J$103+PL!$J$108</f>
        <v>66.0744709709759</v>
      </c>
      <c r="K132" s="38" t="n">
        <f aca="false">PL!$K$103+PL!$K$108</f>
        <v>72.6819180680735</v>
      </c>
      <c r="L132" s="38" t="n">
        <f aca="false">PL!$L$103+PL!$L$108</f>
        <v>79.9501098748808</v>
      </c>
      <c r="M132" s="38" t="n">
        <f aca="false">PL!$M$103+PL!$M$108</f>
        <v>87.9451208623689</v>
      </c>
      <c r="N132" s="38" t="n">
        <f aca="false">PL!$N$103+PL!$N$108</f>
        <v>14.8075</v>
      </c>
      <c r="O132" s="38" t="n">
        <f aca="false">PL!$O$103+PL!$O$108</f>
        <v>19.51</v>
      </c>
    </row>
    <row r="133" customFormat="false" ht="17.15" hidden="false" customHeight="false" outlineLevel="0" collapsed="false">
      <c r="A133" s="0" t="s">
        <v>758</v>
      </c>
      <c r="B133" s="0" t="s">
        <v>86</v>
      </c>
      <c r="C133" s="38" t="n">
        <f aca="false">PL!$C$107+PL!$C$112+PL!$C$128+PL!$C$129-PL!$C$132</f>
        <v>19.399</v>
      </c>
      <c r="D133" s="38" t="n">
        <f aca="false">PL!$D$107+PL!$D$112+PL!$D$128+PL!$D$129-PL!$D$132</f>
        <v>20.4615</v>
      </c>
      <c r="E133" s="38" t="n">
        <f aca="false">PL!$E$107+PL!$E$112+PL!$E$128+PL!$E$129-PL!$E$132</f>
        <v>13.355</v>
      </c>
      <c r="F133" s="38" t="n">
        <f aca="false">PL!$F$107+PL!$F$112+PL!$F$128+PL!$F$129-PL!$F$132</f>
        <v>12.7680546411015</v>
      </c>
      <c r="G133" s="38" t="n">
        <f aca="false">PL!$G$107+PL!$G$112+PL!$G$128+PL!$G$129-PL!$G$132</f>
        <v>26.1230546411015</v>
      </c>
      <c r="H133" s="38" t="n">
        <f aca="false">PL!$H$107+PL!$H$112+PL!$H$128+PL!$H$129-PL!$H$132</f>
        <v>28.4662904769959</v>
      </c>
      <c r="I133" s="38" t="n">
        <f aca="false">PL!$I$107+PL!$I$112+PL!$I$128+PL!$I$129-PL!$I$132</f>
        <v>30.7231490427408</v>
      </c>
      <c r="J133" s="38" t="n">
        <f aca="false">PL!$J$107+PL!$J$112+PL!$J$128+PL!$J$129-PL!$J$132</f>
        <v>32.9723159380642</v>
      </c>
      <c r="K133" s="38" t="n">
        <f aca="false">PL!$K$107+PL!$K$112+PL!$K$128+PL!$K$129-PL!$K$132</f>
        <v>35.3819359626894</v>
      </c>
      <c r="L133" s="38" t="n">
        <f aca="false">PL!$L$107+PL!$L$112+PL!$L$128+PL!$L$129-PL!$L$132</f>
        <v>37.0165770259405</v>
      </c>
      <c r="M133" s="38" t="n">
        <f aca="false">PL!$M$107+PL!$M$112+PL!$M$128+PL!$M$129-PL!$M$132</f>
        <v>39.4490703930704</v>
      </c>
      <c r="N133" s="38" t="n">
        <f aca="false">PL!$N$107+PL!$N$112+PL!$N$128+PL!$N$129-PL!$N$132</f>
        <v>10.6495</v>
      </c>
      <c r="O133" s="38" t="n">
        <f aca="false">PL!$O$107+PL!$O$112+PL!$O$128+PL!$O$129-PL!$O$132</f>
        <v>9.81200000000001</v>
      </c>
    </row>
    <row r="134" customFormat="false" ht="17.15" hidden="false" customHeight="false" outlineLevel="0" collapsed="false">
      <c r="A134" s="0" t="s">
        <v>759</v>
      </c>
      <c r="B134" s="0" t="s">
        <v>86</v>
      </c>
      <c r="C134" s="38" t="n">
        <f aca="false">PL!$C$114+PL!$C$130-ext_sh*Thesis!$C$110</f>
        <v>51.3470500115664</v>
      </c>
      <c r="D134" s="38" t="n">
        <f aca="false">PL!$D$114+PL!$D$130-ext_sh*Thesis!$D$110</f>
        <v>60.2799375433739</v>
      </c>
      <c r="E134" s="38" t="n">
        <f aca="false">PL!$E$114+PL!$E$130-ext_sh*Thesis!$E$110</f>
        <v>39.5095167090767</v>
      </c>
      <c r="F134" s="38" t="n">
        <f aca="false">PL!$F$114+PL!$F$130-ext_sh*Thesis!$F$110</f>
        <v>37.951394214027</v>
      </c>
      <c r="G134" s="38" t="n">
        <f aca="false">PL!$G$114+PL!$G$130-ext_sh*Thesis!$G$110</f>
        <v>77.4609109231037</v>
      </c>
      <c r="H134" s="38" t="n">
        <f aca="false">PL!$H$114+PL!$H$130-ext_sh*Thesis!$H$110</f>
        <v>85.1453558128916</v>
      </c>
      <c r="I134" s="38" t="n">
        <f aca="false">PL!$I$114+PL!$I$130-ext_sh*Thesis!$I$110</f>
        <v>94.532921967974</v>
      </c>
      <c r="J134" s="38" t="n">
        <f aca="false">PL!$J$114+PL!$J$130-ext_sh*Thesis!$J$110</f>
        <v>103.525527532583</v>
      </c>
      <c r="K134" s="38" t="n">
        <f aca="false">PL!$K$114+PL!$K$130-ext_sh*Thesis!$K$110</f>
        <v>111.80756973519</v>
      </c>
      <c r="L134" s="38" t="n">
        <f aca="false">PL!$L$114+PL!$L$130-ext_sh*Thesis!$L$110</f>
        <v>120.752175314005</v>
      </c>
      <c r="M134" s="38" t="n">
        <f aca="false">PL!$M$114+PL!$M$130-ext_sh*Thesis!$M$110</f>
        <v>130.412349339125</v>
      </c>
      <c r="N134" s="38" t="n">
        <f aca="false">PL!$N$114+PL!$N$130-ext_sh*Thesis!$N$110</f>
        <v>28.5693781401809</v>
      </c>
      <c r="O134" s="38" t="n">
        <f aca="false">PL!$O$114+PL!$O$130-ext_sh*Thesis!$O$110</f>
        <v>31.7105594031931</v>
      </c>
    </row>
    <row r="135" customFormat="false" ht="17.15" hidden="false" customHeight="false" outlineLevel="0" collapsed="false">
      <c r="A135" s="0" t="s">
        <v>760</v>
      </c>
      <c r="B135" s="0" t="s">
        <v>86</v>
      </c>
      <c r="C135" s="38" t="n">
        <f aca="false">Thesis!$C$113</f>
        <v>1.80694998843362</v>
      </c>
      <c r="D135" s="38" t="n">
        <f aca="false">Thesis!$D$113</f>
        <v>6.77606245662607</v>
      </c>
      <c r="E135" s="38" t="n">
        <f aca="false">Thesis!$E$113</f>
        <v>6.62548329092326</v>
      </c>
      <c r="F135" s="38" t="n">
        <f aca="false">Thesis!$F$113</f>
        <v>11.7200577158706</v>
      </c>
      <c r="G135" s="38" t="n">
        <f aca="false">Thesis!$G$113</f>
        <v>18.3455410067939</v>
      </c>
      <c r="H135" s="38" t="n">
        <f aca="false">Thesis!$H$113</f>
        <v>47.5171727060453</v>
      </c>
      <c r="I135" s="38" t="n">
        <f aca="false">Thesis!$I$113</f>
        <v>80.5539692643667</v>
      </c>
      <c r="J135" s="38" t="n">
        <f aca="false">Thesis!$J$113</f>
        <v>113.759316834883</v>
      </c>
      <c r="K135" s="38" t="n">
        <f aca="false">Thesis!$K$113</f>
        <v>142.084411492169</v>
      </c>
      <c r="L135" s="38" t="n">
        <f aca="false">Thesis!$L$113</f>
        <v>160.69964615804</v>
      </c>
      <c r="M135" s="38" t="n">
        <f aca="false">Thesis!$M$113</f>
        <v>169.577607141793</v>
      </c>
      <c r="N135" s="38" t="n">
        <f aca="false">Thesis!$N$113</f>
        <v>2.37162185981912</v>
      </c>
      <c r="O135" s="38" t="n">
        <f aca="false">Thesis!$O$113</f>
        <v>4.40444059680694</v>
      </c>
    </row>
    <row r="136" customFormat="false" ht="17.15" hidden="false" customHeight="false" outlineLevel="0" collapsed="false">
      <c r="A136" s="0" t="s">
        <v>761</v>
      </c>
      <c r="B136" s="0" t="s">
        <v>86</v>
      </c>
      <c r="C136" s="38" t="n">
        <f aca="false">PL!$C$117+PL!$C$131</f>
        <v>100.66</v>
      </c>
      <c r="D136" s="38" t="n">
        <f aca="false">PL!$D$117+PL!$D$131</f>
        <v>121.835</v>
      </c>
      <c r="E136" s="38" t="n">
        <f aca="false">PL!$E$117+PL!$E$131</f>
        <v>78.016</v>
      </c>
      <c r="F136" s="38" t="n">
        <f aca="false">PL!$F$117+PL!$F$131</f>
        <v>85.5181175682064</v>
      </c>
      <c r="G136" s="38" t="n">
        <f aca="false">PL!$G$117+PL!$G$131</f>
        <v>163.534117568206</v>
      </c>
      <c r="H136" s="38" t="n">
        <f aca="false">PL!$H$117+PL!$H$131</f>
        <v>211.077280189882</v>
      </c>
      <c r="I136" s="38" t="n">
        <f aca="false">PL!$I$117+PL!$I$131</f>
        <v>264.10159582283</v>
      </c>
      <c r="J136" s="38" t="n">
        <f aca="false">PL!$J$117+PL!$J$131</f>
        <v>316.331631276507</v>
      </c>
      <c r="K136" s="38" t="n">
        <f aca="false">PL!$K$117+PL!$K$131</f>
        <v>361.955835258122</v>
      </c>
      <c r="L136" s="38" t="n">
        <f aca="false">PL!$L$117+PL!$L$131</f>
        <v>398.418508372866</v>
      </c>
      <c r="M136" s="38" t="n">
        <f aca="false">PL!$M$117+PL!$M$131</f>
        <v>427.384147736358</v>
      </c>
      <c r="N136" s="38" t="n">
        <f aca="false">PL!$N$117+PL!$N$131</f>
        <v>56.398</v>
      </c>
      <c r="O136" s="38" t="n">
        <f aca="false">PL!$O$117+PL!$O$131</f>
        <v>65.437</v>
      </c>
    </row>
    <row r="137" customFormat="false" ht="17.15" hidden="false" customHeight="false" outlineLevel="0" collapsed="false">
      <c r="A137" s="1" t="s">
        <v>762</v>
      </c>
    </row>
    <row r="138" customFormat="false" ht="15" hidden="false" customHeight="false" outlineLevel="0" collapsed="false">
      <c r="A138" s="5" t="s">
        <v>551</v>
      </c>
      <c r="B138" s="0" t="s">
        <v>86</v>
      </c>
      <c r="C138" s="38" t="n">
        <f aca="false">Q!$D$34</f>
        <v>2.406</v>
      </c>
      <c r="D138" s="38" t="n">
        <f aca="false">Q!$E$34</f>
        <v>2.274</v>
      </c>
      <c r="E138" s="38" t="n">
        <f aca="false">Q!$P$34</f>
        <v>2.114</v>
      </c>
      <c r="F138" s="38" t="n">
        <f aca="false">CF!$F$69</f>
        <v>3.24888962733561</v>
      </c>
      <c r="G138" s="38" t="n">
        <f aca="false">PL!$E$138+PL!$F$138</f>
        <v>5.36288962733561</v>
      </c>
      <c r="H138" s="38" t="n">
        <f aca="false">CF!$H$69</f>
        <v>7.42354172302123</v>
      </c>
      <c r="I138" s="38" t="n">
        <f aca="false">CF!$I$69</f>
        <v>7.84418947693382</v>
      </c>
      <c r="J138" s="38" t="n">
        <f aca="false">CF!$J$69</f>
        <v>8.79561318891235</v>
      </c>
      <c r="K138" s="38" t="n">
        <f aca="false">CF!$K$69</f>
        <v>8.79561318891235</v>
      </c>
      <c r="L138" s="38" t="n">
        <f aca="false">CF!$L$69</f>
        <v>8.79561318891235</v>
      </c>
      <c r="M138" s="38" t="n">
        <f aca="false">CF!$M$69</f>
        <v>8.79561318891235</v>
      </c>
      <c r="N138" s="38" t="n">
        <f aca="false">Q!$N$34</f>
        <v>1.057</v>
      </c>
      <c r="O138" s="38" t="n">
        <f aca="false">Q!$O$34</f>
        <v>1.217</v>
      </c>
    </row>
    <row r="139" customFormat="false" ht="15" hidden="false" customHeight="false" outlineLevel="0" collapsed="false">
      <c r="A139" s="5" t="s">
        <v>763</v>
      </c>
      <c r="B139" s="0" t="s">
        <v>86</v>
      </c>
      <c r="F139" s="38" t="n">
        <f aca="false">CF!$F$70</f>
        <v>2.59</v>
      </c>
      <c r="H139" s="38" t="n">
        <f aca="false">CF!$H$70</f>
        <v>4.1153774832261</v>
      </c>
      <c r="I139" s="38" t="n">
        <f aca="false">CF!$I$70</f>
        <v>2.10589651022864</v>
      </c>
      <c r="J139" s="38" t="n">
        <f aca="false">CF!$J$70</f>
        <v>2.10589651022864</v>
      </c>
      <c r="K139" s="38" t="n">
        <f aca="false">CF!$K$70</f>
        <v>3.172800358404</v>
      </c>
      <c r="L139" s="38" t="n">
        <f aca="false">CF!$L$70</f>
        <v>8.31037272592208</v>
      </c>
      <c r="M139" s="38" t="n">
        <f aca="false">CF!$M$70</f>
        <v>15.9256588704093</v>
      </c>
    </row>
    <row r="140" customFormat="false" ht="17.15" hidden="false" customHeight="false" outlineLevel="0" collapsed="false">
      <c r="A140" s="5" t="s">
        <v>764</v>
      </c>
      <c r="B140" s="0" t="s">
        <v>86</v>
      </c>
      <c r="C140" s="38" t="n">
        <f aca="false">Q!$D$39</f>
        <v>2.427</v>
      </c>
      <c r="D140" s="38" t="n">
        <f aca="false">Q!$E$39</f>
        <v>19.61</v>
      </c>
      <c r="E140" s="38" t="n">
        <f aca="false">Q!$P$39</f>
        <v>71.492</v>
      </c>
      <c r="F140" s="39" t="n">
        <v>0</v>
      </c>
      <c r="G140" s="38" t="n">
        <f aca="false">PL!$E$140+PL!$F$140</f>
        <v>71.492</v>
      </c>
      <c r="H140" s="39" t="n">
        <v>0</v>
      </c>
      <c r="I140" s="39" t="n">
        <v>0</v>
      </c>
      <c r="J140" s="39" t="n">
        <v>0</v>
      </c>
      <c r="K140" s="39" t="n">
        <v>0</v>
      </c>
      <c r="L140" s="39" t="n">
        <v>0</v>
      </c>
      <c r="M140" s="39" t="n">
        <v>0</v>
      </c>
      <c r="N140" s="38" t="n">
        <f aca="false">Q!$N$39</f>
        <v>6.017</v>
      </c>
      <c r="O140" s="38" t="n">
        <f aca="false">Q!$O$39</f>
        <v>13.593</v>
      </c>
      <c r="P140" s="5" t="s">
        <v>765</v>
      </c>
    </row>
    <row r="141" customFormat="false" ht="15" hidden="false" customHeight="false" outlineLevel="0" collapsed="false">
      <c r="A141" s="5" t="s">
        <v>554</v>
      </c>
      <c r="B141" s="0" t="s">
        <v>86</v>
      </c>
      <c r="C141" s="38" t="n">
        <f aca="false">Q!$D$36</f>
        <v>68.614</v>
      </c>
      <c r="D141" s="38" t="n">
        <f aca="false">Q!$E$36</f>
        <v>97.311</v>
      </c>
      <c r="E141" s="38" t="n">
        <f aca="false">Q!$P$36</f>
        <v>120.691</v>
      </c>
      <c r="F141" s="38" t="n">
        <f aca="false">PL!$F$117-PL!$F$138+PL!$F$139+PL!$F$140</f>
        <v>55.7063670713938</v>
      </c>
      <c r="G141" s="38" t="n">
        <f aca="false">PL!$E$141+PL!$F$141</f>
        <v>176.397367071394</v>
      </c>
      <c r="H141" s="38" t="n">
        <f aca="false">PL!$H$117-PL!$H$138+PL!$H$139+PL!$H$140</f>
        <v>126.207292630471</v>
      </c>
      <c r="I141" s="38" t="n">
        <f aca="false">PL!$I$117-PL!$I$138+PL!$I$139+PL!$I$140</f>
        <v>139.60709411592</v>
      </c>
      <c r="J141" s="38" t="n">
        <f aca="false">PL!$J$117-PL!$J$138+PL!$J$139+PL!$J$140</f>
        <v>157.172425191032</v>
      </c>
      <c r="K141" s="38" t="n">
        <f aca="false">PL!$K$117-PL!$K$138+PL!$K$139+PL!$K$140</f>
        <v>169.941519803795</v>
      </c>
      <c r="L141" s="38" t="n">
        <f aca="false">PL!$L$117-PL!$L$138+PL!$L$139+PL!$L$140</f>
        <v>186.006845694394</v>
      </c>
      <c r="M141" s="38" t="n">
        <f aca="false">PL!$M$117-PL!$M$138+PL!$M$139+PL!$M$140</f>
        <v>205.501711319949</v>
      </c>
      <c r="N141" s="38" t="n">
        <f aca="false">Q!$N$36</f>
        <v>42.536</v>
      </c>
      <c r="O141" s="38" t="n">
        <f aca="false">Q!$O$36</f>
        <v>54.775</v>
      </c>
    </row>
    <row r="142" customFormat="false" ht="15" hidden="false" customHeight="false" outlineLevel="0" collapsed="false">
      <c r="A142" s="5" t="s">
        <v>555</v>
      </c>
      <c r="B142" s="0" t="s">
        <v>86</v>
      </c>
      <c r="C142" s="38" t="n">
        <f aca="false">Q!$D$37</f>
        <v>9.265</v>
      </c>
      <c r="D142" s="38" t="n">
        <f aca="false">Q!$E$37</f>
        <v>19.087</v>
      </c>
      <c r="E142" s="38" t="n">
        <f aca="false">Q!$P$37</f>
        <v>27.759</v>
      </c>
      <c r="F142" s="38" t="n">
        <f aca="false">PL!$F$141*tax</f>
        <v>9.669763357865</v>
      </c>
      <c r="G142" s="38" t="n">
        <f aca="false">PL!$E$142+PL!$F$142</f>
        <v>37.428763357865</v>
      </c>
      <c r="H142" s="38" t="n">
        <f aca="false">PL!$H$141*tax</f>
        <v>21.9076331473816</v>
      </c>
      <c r="I142" s="38" t="n">
        <f aca="false">PL!$I$141*tax</f>
        <v>24.2336313450491</v>
      </c>
      <c r="J142" s="38" t="n">
        <f aca="false">PL!$J$141*tax</f>
        <v>27.2827010246639</v>
      </c>
      <c r="K142" s="38" t="n">
        <f aca="false">PL!$K$141*tax</f>
        <v>29.4992182683994</v>
      </c>
      <c r="L142" s="38" t="n">
        <f aca="false">PL!$L$141*tax</f>
        <v>32.2879102581316</v>
      </c>
      <c r="M142" s="38" t="n">
        <f aca="false">PL!$M$141*tax</f>
        <v>35.671917279284</v>
      </c>
      <c r="N142" s="38" t="n">
        <f aca="false">Q!$N$37</f>
        <v>7.231</v>
      </c>
      <c r="O142" s="38" t="n">
        <f aca="false">Q!$O$37</f>
        <v>11.856</v>
      </c>
    </row>
    <row r="143" customFormat="false" ht="15" hidden="false" customHeight="false" outlineLevel="0" collapsed="false">
      <c r="A143" s="3" t="s">
        <v>556</v>
      </c>
      <c r="B143" s="8" t="s">
        <v>86</v>
      </c>
      <c r="C143" s="38" t="n">
        <f aca="false">Q!$D$38</f>
        <v>59.248</v>
      </c>
      <c r="D143" s="38" t="n">
        <f aca="false">Q!$E$38</f>
        <v>77.67</v>
      </c>
      <c r="E143" s="38" t="n">
        <f aca="false">Q!$P$38</f>
        <v>92.902</v>
      </c>
      <c r="F143" s="38" t="n">
        <f aca="false">PL!$F$141-PL!$F$142</f>
        <v>46.0366037135288</v>
      </c>
      <c r="G143" s="38" t="n">
        <f aca="false">PL!$E$143+PL!$F$143</f>
        <v>138.938603713529</v>
      </c>
      <c r="H143" s="38" t="n">
        <f aca="false">PL!$H$141-PL!$H$142</f>
        <v>104.29965948309</v>
      </c>
      <c r="I143" s="38" t="n">
        <f aca="false">PL!$I$141-PL!$I$142</f>
        <v>115.373462770871</v>
      </c>
      <c r="J143" s="38" t="n">
        <f aca="false">PL!$J$141-PL!$J$142</f>
        <v>129.889724166368</v>
      </c>
      <c r="K143" s="38" t="n">
        <f aca="false">PL!$K$141-PL!$K$142</f>
        <v>140.442301535395</v>
      </c>
      <c r="L143" s="38" t="n">
        <f aca="false">PL!$L$141-PL!$L$142</f>
        <v>153.718935436262</v>
      </c>
      <c r="M143" s="38" t="n">
        <f aca="false">PL!$M$141-PL!$M$142</f>
        <v>169.829794040665</v>
      </c>
      <c r="N143" s="38" t="n">
        <f aca="false">Q!$N$38</f>
        <v>35.291</v>
      </c>
      <c r="O143" s="38" t="n">
        <f aca="false">Q!$O$38</f>
        <v>42.379</v>
      </c>
    </row>
    <row r="144" customFormat="false" ht="17.15" hidden="false" customHeight="false" outlineLevel="0" collapsed="false">
      <c r="A144" s="5" t="s">
        <v>559</v>
      </c>
      <c r="B144" s="5" t="s">
        <v>33</v>
      </c>
      <c r="C144" s="22" t="n">
        <f aca="false">Q!$D$41</f>
        <v>10.721</v>
      </c>
      <c r="D144" s="22" t="n">
        <f aca="false">Q!$E$41</f>
        <v>10.827</v>
      </c>
      <c r="E144" s="22" t="n">
        <f aca="false">(Q!$L$41+Q!$M$41)/2</f>
        <v>10.8885</v>
      </c>
      <c r="F144" s="22" t="n">
        <f aca="false">PL!$G$144</f>
        <v>10.924806</v>
      </c>
      <c r="G144" s="22" t="n">
        <f aca="false">Q!$M$41*(1+sh_g*0.25)</f>
        <v>10.924806</v>
      </c>
      <c r="H144" s="22" t="n">
        <f aca="false">PL!$G$144*(1+sh_g)</f>
        <v>11.012204448</v>
      </c>
      <c r="I144" s="22" t="n">
        <f aca="false">PL!$H$144*(1+sh_g)</f>
        <v>11.100302083584</v>
      </c>
      <c r="J144" s="22" t="n">
        <f aca="false">PL!$I$144*(1+sh_g)</f>
        <v>11.1891045002527</v>
      </c>
      <c r="K144" s="22" t="n">
        <f aca="false">PL!$J$144*(1+sh_g)</f>
        <v>11.2786173362547</v>
      </c>
      <c r="L144" s="22" t="n">
        <f aca="false">PL!$K$144*(1+sh_g)</f>
        <v>11.3688462749447</v>
      </c>
      <c r="M144" s="22" t="n">
        <f aca="false">PL!$L$144*(1+sh_g)</f>
        <v>11.4597970451443</v>
      </c>
      <c r="P144" s="5" t="s">
        <v>766</v>
      </c>
    </row>
    <row r="145" customFormat="false" ht="17.15" hidden="false" customHeight="false" outlineLevel="0" collapsed="false">
      <c r="A145" s="5" t="s">
        <v>767</v>
      </c>
      <c r="B145" s="0" t="s">
        <v>86</v>
      </c>
      <c r="C145" s="38" t="n">
        <f aca="false">PL!$C$143+PL!$C$119*(1-tax)</f>
        <v>59.248</v>
      </c>
      <c r="D145" s="38" t="n">
        <f aca="false">PL!$D$143+PL!$D$119*(1-tax)</f>
        <v>77.67</v>
      </c>
      <c r="E145" s="38" t="n">
        <f aca="false">PL!$E$143+PL!$E$119*(1-tax)</f>
        <v>92.902</v>
      </c>
      <c r="F145" s="38" t="n">
        <f aca="false">PL!$F$143+PL!$F$119*(1-tax)</f>
        <v>49.1531986731775</v>
      </c>
      <c r="G145" s="38" t="n">
        <f aca="false">PL!$G$143+PL!$G$119*(1-tax)</f>
        <v>142.055198673178</v>
      </c>
      <c r="H145" s="38" t="n">
        <f aca="false">PL!$H$143+PL!$H$119*(1-tax)</f>
        <v>116.831055438434</v>
      </c>
      <c r="I145" s="38" t="n">
        <f aca="false">PL!$I$143+PL!$I$119*(1-tax)</f>
        <v>136.514727845811</v>
      </c>
      <c r="J145" s="38" t="n">
        <f aca="false">PL!$J$143+PL!$J$119*(1-tax)</f>
        <v>159.679161110652</v>
      </c>
      <c r="K145" s="38" t="n">
        <f aca="false">PL!$K$143+PL!$K$119*(1-tax)</f>
        <v>177.609607232054</v>
      </c>
      <c r="L145" s="38" t="n">
        <f aca="false">PL!$L$143+PL!$L$119*(1-tax)</f>
        <v>195.735012776818</v>
      </c>
      <c r="M145" s="38" t="n">
        <f aca="false">PL!$M$143+PL!$M$119*(1-tax)</f>
        <v>214.159316231505</v>
      </c>
      <c r="N145" s="38" t="n">
        <f aca="false">PL!$N$143+PL!$N$119*(1-tax)</f>
        <v>35.291</v>
      </c>
      <c r="O145" s="38" t="n">
        <f aca="false">PL!$O$143+PL!$O$119*(1-tax)</f>
        <v>42.379</v>
      </c>
    </row>
    <row r="146" customFormat="false" ht="17.15" hidden="false" customHeight="false" outlineLevel="0" collapsed="false">
      <c r="A146" s="43" t="s">
        <v>768</v>
      </c>
      <c r="B146" s="14" t="s">
        <v>27</v>
      </c>
      <c r="C146" s="44" t="n">
        <f aca="false">PL!$C$145/PL!$C$144</f>
        <v>5.52635015390355</v>
      </c>
      <c r="D146" s="44" t="n">
        <f aca="false">PL!$D$145/PL!$D$144</f>
        <v>7.1737323358271</v>
      </c>
      <c r="E146" s="44" t="n">
        <f aca="false">PL!$E$145/PL!$E$144</f>
        <v>8.53212104513937</v>
      </c>
      <c r="F146" s="14"/>
      <c r="G146" s="44" t="n">
        <f aca="false">PL!$G$145/PL!$G$144</f>
        <v>13.0029950804781</v>
      </c>
      <c r="H146" s="44" t="n">
        <f aca="false">PL!$H$145/PL!$H$144</f>
        <v>10.6092341447268</v>
      </c>
      <c r="I146" s="44" t="n">
        <f aca="false">PL!$I$145/PL!$I$144</f>
        <v>12.298289435537</v>
      </c>
      <c r="J146" s="44" t="n">
        <f aca="false">PL!$J$145/PL!$J$144</f>
        <v>14.2709509154236</v>
      </c>
      <c r="K146" s="44" t="n">
        <f aca="false">PL!$K$145/PL!$K$144</f>
        <v>15.7474628260624</v>
      </c>
      <c r="L146" s="44" t="n">
        <f aca="false">PL!$L$145/PL!$L$144</f>
        <v>17.2167877059072</v>
      </c>
      <c r="M146" s="44" t="n">
        <f aca="false">PL!$M$145/PL!$M$144</f>
        <v>18.6878803688978</v>
      </c>
      <c r="N146" s="14"/>
      <c r="O146" s="14"/>
    </row>
    <row r="147" customFormat="false" ht="17.15" hidden="false" customHeight="false" outlineLevel="0" collapsed="false">
      <c r="A147" s="0" t="s">
        <v>769</v>
      </c>
      <c r="B147" s="0" t="s">
        <v>27</v>
      </c>
      <c r="C147" s="30" t="n">
        <f aca="false">PL!$C$143/PL!$C$144</f>
        <v>5.52635015390355</v>
      </c>
      <c r="D147" s="30" t="n">
        <f aca="false">PL!$D$143/PL!$D$144</f>
        <v>7.1737323358271</v>
      </c>
      <c r="E147" s="30" t="n">
        <f aca="false">PL!$E$143/PL!$E$144</f>
        <v>8.53212104513937</v>
      </c>
      <c r="G147" s="30" t="n">
        <f aca="false">PL!$G$143/PL!$G$144</f>
        <v>12.7177181648378</v>
      </c>
      <c r="H147" s="30" t="n">
        <f aca="false">PL!$H$143/PL!$H$144</f>
        <v>9.47127888658407</v>
      </c>
      <c r="I147" s="30" t="n">
        <f aca="false">PL!$I$143/PL!$I$144</f>
        <v>10.3937227925981</v>
      </c>
      <c r="J147" s="30" t="n">
        <f aca="false">PL!$J$143/PL!$J$144</f>
        <v>11.6085897815536</v>
      </c>
      <c r="K147" s="30" t="n">
        <f aca="false">PL!$K$143/PL!$K$144</f>
        <v>12.4520849806606</v>
      </c>
      <c r="L147" s="30" t="n">
        <f aca="false">PL!$L$143/PL!$L$144</f>
        <v>13.5210672849924</v>
      </c>
      <c r="M147" s="30" t="n">
        <f aca="false">PL!$M$143/PL!$M$144</f>
        <v>14.8196162088773</v>
      </c>
    </row>
    <row r="148" customFormat="false" ht="17.15" hidden="false" customHeight="false" outlineLevel="0" collapsed="false">
      <c r="A148" s="0" t="s">
        <v>770</v>
      </c>
      <c r="B148" s="0" t="s">
        <v>27</v>
      </c>
      <c r="C148" s="30" t="n">
        <f aca="false">(PL!$C$143-PL!$C$140*(1-tax))/PL!$C$144</f>
        <v>5.33926775917445</v>
      </c>
      <c r="D148" s="30" t="n">
        <f aca="false">(PL!$D$143-PL!$D$140*(1-tax))/PL!$D$144</f>
        <v>5.67691812755503</v>
      </c>
      <c r="E148" s="30" t="n">
        <f aca="false">(PL!$E$143-PL!$E$140*(1-tax))/PL!$E$144</f>
        <v>3.10602057006846</v>
      </c>
      <c r="G148" s="30" t="n">
        <f aca="false">(PL!$G$143-PL!$G$140*(1-tax))/PL!$G$144</f>
        <v>7.30965004694081</v>
      </c>
      <c r="H148" s="30" t="n">
        <f aca="false">(PL!$H$143-PL!$H$140*(1-tax))/PL!$H$144</f>
        <v>9.47127888658407</v>
      </c>
      <c r="I148" s="30" t="n">
        <f aca="false">(PL!$I$143-PL!$I$140*(1-tax))/PL!$I$144</f>
        <v>10.3937227925981</v>
      </c>
      <c r="J148" s="30" t="n">
        <f aca="false">(PL!$J$143-PL!$J$140*(1-tax))/PL!$J$144</f>
        <v>11.6085897815536</v>
      </c>
      <c r="K148" s="30" t="n">
        <f aca="false">(PL!$K$143-PL!$K$140*(1-tax))/PL!$K$144</f>
        <v>12.4520849806606</v>
      </c>
      <c r="L148" s="30" t="n">
        <f aca="false">(PL!$L$143-PL!$L$140*(1-tax))/PL!$L$144</f>
        <v>13.5210672849924</v>
      </c>
      <c r="M148" s="30" t="n">
        <f aca="false">(PL!$M$143-PL!$M$140*(1-tax))/PL!$M$144</f>
        <v>14.8196162088773</v>
      </c>
      <c r="P148" s="5" t="s">
        <v>771</v>
      </c>
    </row>
    <row r="149" customFormat="false" ht="17.15" hidden="false" customHeight="false" outlineLevel="0" collapsed="false">
      <c r="A149" s="0" t="s">
        <v>772</v>
      </c>
      <c r="B149" s="0" t="s">
        <v>52</v>
      </c>
      <c r="H149" s="13" t="n">
        <f aca="false">PL!$H$146/PL!$G$146-1</f>
        <v>-0.184093043251635</v>
      </c>
      <c r="I149" s="13" t="n">
        <f aca="false">PL!$I$146/PL!$H$146-1</f>
        <v>0.159206147000695</v>
      </c>
      <c r="J149" s="13" t="n">
        <f aca="false">PL!$J$146/PL!$I$146-1</f>
        <v>0.160401289157047</v>
      </c>
      <c r="K149" s="13" t="n">
        <f aca="false">PL!$K$146/PL!$J$146-1</f>
        <v>0.103462755873053</v>
      </c>
      <c r="L149" s="13" t="n">
        <f aca="false">PL!$L$146/PL!$K$146-1</f>
        <v>0.093305499182575</v>
      </c>
      <c r="M149" s="13" t="n">
        <f aca="false">PL!$M$146/PL!$L$146-1</f>
        <v>0.0854452461236912</v>
      </c>
    </row>
    <row r="152" customFormat="false" ht="19.4" hidden="false" customHeight="false" outlineLevel="0" collapsed="false">
      <c r="A152" s="31" t="s">
        <v>776</v>
      </c>
    </row>
    <row r="153" customFormat="false" ht="17.15" hidden="false" customHeight="false" outlineLevel="0" collapsed="false">
      <c r="A153" s="6" t="s">
        <v>16</v>
      </c>
      <c r="B153" s="6" t="s">
        <v>17</v>
      </c>
      <c r="C153" s="20" t="s">
        <v>504</v>
      </c>
      <c r="D153" s="20" t="s">
        <v>505</v>
      </c>
      <c r="E153" s="20" t="s">
        <v>587</v>
      </c>
      <c r="F153" s="20" t="s">
        <v>588</v>
      </c>
      <c r="G153" s="20" t="s">
        <v>589</v>
      </c>
      <c r="H153" s="20" t="s">
        <v>590</v>
      </c>
      <c r="I153" s="20" t="s">
        <v>591</v>
      </c>
      <c r="J153" s="20" t="s">
        <v>592</v>
      </c>
      <c r="K153" s="20" t="s">
        <v>593</v>
      </c>
      <c r="L153" s="20" t="s">
        <v>594</v>
      </c>
      <c r="M153" s="20" t="s">
        <v>595</v>
      </c>
      <c r="N153" s="20" t="s">
        <v>596</v>
      </c>
      <c r="O153" s="20" t="s">
        <v>597</v>
      </c>
      <c r="P153" s="6" t="s">
        <v>23</v>
      </c>
      <c r="R153" s="20" t="n">
        <v>2023</v>
      </c>
      <c r="S153" s="20" t="n">
        <v>2024</v>
      </c>
      <c r="T153" s="20" t="n">
        <v>2025</v>
      </c>
      <c r="U153" s="20" t="n">
        <v>2026</v>
      </c>
      <c r="V153" s="20" t="n">
        <v>2027</v>
      </c>
      <c r="W153" s="20" t="n">
        <v>2028</v>
      </c>
      <c r="X153" s="20" t="n">
        <v>2029</v>
      </c>
      <c r="Y153" s="20" t="n">
        <v>2030</v>
      </c>
      <c r="Z153" s="20" t="n">
        <v>2031</v>
      </c>
      <c r="AA153" s="20" t="n">
        <v>2032</v>
      </c>
    </row>
    <row r="154" customFormat="false" ht="17.15" hidden="false" customHeight="false" outlineLevel="0" collapsed="false">
      <c r="A154" s="1" t="s">
        <v>727</v>
      </c>
    </row>
    <row r="155" customFormat="false" ht="15" hidden="false" customHeight="false" outlineLevel="0" collapsed="false">
      <c r="A155" s="0" t="s">
        <v>526</v>
      </c>
      <c r="B155" s="0" t="s">
        <v>86</v>
      </c>
      <c r="C155" s="38" t="n">
        <f aca="false">Seg!$C$77</f>
        <v>247.029</v>
      </c>
      <c r="D155" s="38" t="n">
        <f aca="false">Seg!$D$77</f>
        <v>269.287</v>
      </c>
      <c r="E155" s="38" t="n">
        <f aca="false">Seg!$E$77</f>
        <v>134.686</v>
      </c>
      <c r="F155" s="38" t="n">
        <f aca="false">Seg!$F$77</f>
        <v>158.293876822267</v>
      </c>
      <c r="G155" s="38" t="n">
        <f aca="false">Seg!$G$77</f>
        <v>292.979876822267</v>
      </c>
      <c r="H155" s="38" t="n">
        <f aca="false">Seg!$H$77</f>
        <v>318.184543087396</v>
      </c>
      <c r="I155" s="38" t="n">
        <f aca="false">Seg!$I$77</f>
        <v>341.736278761793</v>
      </c>
      <c r="J155" s="38" t="n">
        <f aca="false">Seg!$J$77</f>
        <v>362.927192787048</v>
      </c>
      <c r="K155" s="38" t="n">
        <f aca="false">Seg!$K$77</f>
        <v>381.0735524264</v>
      </c>
      <c r="L155" s="38" t="n">
        <f aca="false">Seg!$L$77</f>
        <v>400.12723004772</v>
      </c>
      <c r="M155" s="38" t="n">
        <f aca="false">Seg!$M$77</f>
        <v>420.133591550106</v>
      </c>
      <c r="N155" s="38" t="n">
        <f aca="false">Seg!$N$77</f>
        <v>118.892</v>
      </c>
      <c r="O155" s="38" t="n">
        <f aca="false">Seg!$O$77</f>
        <v>150.395</v>
      </c>
    </row>
    <row r="156" customFormat="false" ht="15" hidden="false" customHeight="false" outlineLevel="0" collapsed="false">
      <c r="A156" s="0" t="s">
        <v>527</v>
      </c>
      <c r="B156" s="0" t="s">
        <v>86</v>
      </c>
      <c r="C156" s="38" t="n">
        <f aca="false">Seg!$C$79</f>
        <v>21.215</v>
      </c>
      <c r="D156" s="38" t="n">
        <f aca="false">Seg!$D$79</f>
        <v>22.561</v>
      </c>
      <c r="E156" s="38" t="n">
        <f aca="false">Seg!$E$79</f>
        <v>11.579</v>
      </c>
      <c r="F156" s="38" t="n">
        <f aca="false">Seg!$F$79</f>
        <v>11.5938724610325</v>
      </c>
      <c r="G156" s="38" t="n">
        <f aca="false">Seg!$G$79</f>
        <v>23.1728724610325</v>
      </c>
      <c r="H156" s="38" t="n">
        <f aca="false">Seg!$H$79</f>
        <v>24.353392759506</v>
      </c>
      <c r="I156" s="38" t="n">
        <f aca="false">Seg!$I$79</f>
        <v>25.4240338872015</v>
      </c>
      <c r="J156" s="38" t="n">
        <f aca="false">Seg!$J$79</f>
        <v>26.3642491017174</v>
      </c>
      <c r="K156" s="38" t="n">
        <f aca="false">Seg!$K$79</f>
        <v>27.155176574769</v>
      </c>
      <c r="L156" s="38" t="n">
        <f aca="false">Seg!$L$79</f>
        <v>27.969831872012</v>
      </c>
      <c r="M156" s="38" t="n">
        <f aca="false">Seg!$M$79</f>
        <v>28.8089268281724</v>
      </c>
      <c r="N156" s="38" t="n">
        <f aca="false">Seg!$N$79</f>
        <v>11.128</v>
      </c>
      <c r="O156" s="38" t="n">
        <f aca="false">Seg!$O$79</f>
        <v>11.433</v>
      </c>
    </row>
    <row r="157" customFormat="false" ht="15" hidden="false" customHeight="false" outlineLevel="0" collapsed="false">
      <c r="A157" s="0" t="s">
        <v>528</v>
      </c>
      <c r="B157" s="0" t="s">
        <v>86</v>
      </c>
      <c r="C157" s="38" t="n">
        <f aca="false">Seg!$C$81</f>
        <v>156.146</v>
      </c>
      <c r="D157" s="38" t="n">
        <f aca="false">Seg!$D$81</f>
        <v>172.162</v>
      </c>
      <c r="E157" s="38" t="n">
        <f aca="false">Seg!$E$81</f>
        <v>88.358</v>
      </c>
      <c r="F157" s="38" t="n">
        <f aca="false">Seg!$F$81</f>
        <v>102.004388260171</v>
      </c>
      <c r="G157" s="38" t="n">
        <f aca="false">Seg!$G$81</f>
        <v>190.362388260171</v>
      </c>
      <c r="H157" s="38" t="n">
        <f aca="false">Seg!$H$81</f>
        <v>210.343106588311</v>
      </c>
      <c r="I157" s="38" t="n">
        <f aca="false">Seg!$I$81</f>
        <v>229.969728494648</v>
      </c>
      <c r="J157" s="38" t="n">
        <f aca="false">Seg!$J$81</f>
        <v>248.747636972598</v>
      </c>
      <c r="K157" s="38" t="n">
        <f aca="false">Seg!$K$81</f>
        <v>266.15997156068</v>
      </c>
      <c r="L157" s="38" t="n">
        <f aca="false">Seg!$L$81</f>
        <v>284.791169569927</v>
      </c>
      <c r="M157" s="38" t="n">
        <f aca="false">Seg!$M$81</f>
        <v>304.726551439822</v>
      </c>
      <c r="N157" s="38" t="n">
        <f aca="false">Seg!$N$81</f>
        <v>76.86</v>
      </c>
      <c r="O157" s="38" t="n">
        <f aca="false">Seg!$O$81</f>
        <v>95.302</v>
      </c>
    </row>
    <row r="158" customFormat="false" ht="15" hidden="false" customHeight="false" outlineLevel="0" collapsed="false">
      <c r="A158" s="0" t="s">
        <v>529</v>
      </c>
      <c r="B158" s="0" t="s">
        <v>86</v>
      </c>
      <c r="C158" s="38" t="n">
        <f aca="false">Seg!$C$83</f>
        <v>56.214</v>
      </c>
      <c r="D158" s="38" t="n">
        <f aca="false">Seg!$D$83</f>
        <v>68.635</v>
      </c>
      <c r="E158" s="38" t="n">
        <f aca="false">Seg!$E$83</f>
        <v>37.052</v>
      </c>
      <c r="F158" s="38" t="n">
        <f aca="false">Seg!$F$83</f>
        <v>46.1572219944148</v>
      </c>
      <c r="G158" s="38" t="n">
        <f aca="false">Seg!$G$83</f>
        <v>83.2092219944148</v>
      </c>
      <c r="H158" s="38" t="n">
        <f aca="false">Seg!$H$83</f>
        <v>99.8969223878976</v>
      </c>
      <c r="I158" s="38" t="n">
        <f aca="false">Seg!$I$83</f>
        <v>116.583111095496</v>
      </c>
      <c r="J158" s="38" t="n">
        <f aca="false">Seg!$J$83</f>
        <v>132.148941941952</v>
      </c>
      <c r="K158" s="38" t="n">
        <f aca="false">Seg!$K$83</f>
        <v>145.363836136147</v>
      </c>
      <c r="L158" s="38" t="n">
        <f aca="false">Seg!$L$83</f>
        <v>159.900219749762</v>
      </c>
      <c r="M158" s="38" t="n">
        <f aca="false">Seg!$M$83</f>
        <v>175.890241724738</v>
      </c>
      <c r="N158" s="38" t="n">
        <f aca="false">Seg!$N$83</f>
        <v>29.615</v>
      </c>
      <c r="O158" s="38" t="n">
        <f aca="false">Seg!$O$83</f>
        <v>39.02</v>
      </c>
    </row>
    <row r="159" customFormat="false" ht="15" hidden="false" customHeight="false" outlineLevel="0" collapsed="false">
      <c r="A159" s="0" t="s">
        <v>530</v>
      </c>
      <c r="B159" s="0" t="s">
        <v>86</v>
      </c>
      <c r="C159" s="38" t="n">
        <f aca="false">Seg!$C$85</f>
        <v>44.374</v>
      </c>
      <c r="D159" s="38" t="n">
        <f aca="false">Seg!$D$85</f>
        <v>49.619</v>
      </c>
      <c r="E159" s="38" t="n">
        <f aca="false">Seg!$E$85</f>
        <v>27.157</v>
      </c>
      <c r="F159" s="38" t="n">
        <f aca="false">Seg!$F$85</f>
        <v>27.7764165988154</v>
      </c>
      <c r="G159" s="38" t="n">
        <f aca="false">Seg!$G$85</f>
        <v>54.9334165988154</v>
      </c>
      <c r="H159" s="38" t="n">
        <f aca="false">Seg!$H$85</f>
        <v>61.1564112561829</v>
      </c>
      <c r="I159" s="38" t="n">
        <f aca="false">Seg!$I$85</f>
        <v>67.2020282103945</v>
      </c>
      <c r="J159" s="38" t="n">
        <f aca="false">Seg!$J$85</f>
        <v>72.8757274028885</v>
      </c>
      <c r="K159" s="38" t="n">
        <f aca="false">Seg!$K$85</f>
        <v>77.9770283210907</v>
      </c>
      <c r="L159" s="38" t="n">
        <f aca="false">Seg!$L$85</f>
        <v>83.4354203035671</v>
      </c>
      <c r="M159" s="38" t="n">
        <f aca="false">Seg!$M$85</f>
        <v>89.2758997248168</v>
      </c>
      <c r="N159" s="38" t="n">
        <f aca="false">Seg!$N$85</f>
        <v>23.923</v>
      </c>
      <c r="O159" s="38" t="n">
        <f aca="false">Seg!$O$85</f>
        <v>25.696</v>
      </c>
    </row>
    <row r="160" customFormat="false" ht="15" hidden="false" customHeight="false" outlineLevel="0" collapsed="false">
      <c r="A160" s="0" t="s">
        <v>531</v>
      </c>
      <c r="B160" s="0" t="s">
        <v>86</v>
      </c>
      <c r="C160" s="38" t="n">
        <f aca="false">Seg!$C$87</f>
        <v>5.425</v>
      </c>
      <c r="D160" s="38" t="n">
        <f aca="false">Seg!$D$87</f>
        <v>5.935</v>
      </c>
      <c r="E160" s="38" t="n">
        <f aca="false">Seg!$E$87</f>
        <v>3.474</v>
      </c>
      <c r="F160" s="38" t="n">
        <f aca="false">Seg!$F$87</f>
        <v>3.22246550883619</v>
      </c>
      <c r="G160" s="38" t="n">
        <f aca="false">Seg!$G$87</f>
        <v>6.69646550883619</v>
      </c>
      <c r="H160" s="38" t="n">
        <f aca="false">Seg!$H$87</f>
        <v>7.16251344209196</v>
      </c>
      <c r="I160" s="38" t="n">
        <f aca="false">Seg!$I$87</f>
        <v>7.61421070299826</v>
      </c>
      <c r="J160" s="38" t="n">
        <f aca="false">Seg!$J$87</f>
        <v>8.04465753523932</v>
      </c>
      <c r="K160" s="38" t="n">
        <f aca="false">Seg!$K$87</f>
        <v>8.44689041200128</v>
      </c>
      <c r="L160" s="38" t="n">
        <f aca="false">Seg!$L$87</f>
        <v>8.86923493260135</v>
      </c>
      <c r="M160" s="38" t="n">
        <f aca="false">Seg!$M$87</f>
        <v>9.31269667923142</v>
      </c>
      <c r="N160" s="38" t="n">
        <f aca="false">Seg!$N$87</f>
        <v>2.811</v>
      </c>
      <c r="O160" s="38" t="n">
        <f aca="false">Seg!$O$87</f>
        <v>3.124</v>
      </c>
    </row>
    <row r="161" customFormat="false" ht="17.15" hidden="false" customHeight="false" outlineLevel="0" collapsed="false">
      <c r="A161" s="0" t="s">
        <v>728</v>
      </c>
      <c r="B161" s="0" t="s">
        <v>86</v>
      </c>
      <c r="C161" s="38" t="n">
        <f aca="false">Seg!$C$99</f>
        <v>107.556</v>
      </c>
      <c r="D161" s="38" t="n">
        <f aca="false">Seg!$D$99</f>
        <v>128.725</v>
      </c>
      <c r="E161" s="38" t="n">
        <f aca="false">Seg!$E$99</f>
        <v>79.819</v>
      </c>
      <c r="F161" s="38" t="n">
        <f aca="false">Seg!$F$99</f>
        <v>85.9067171025802</v>
      </c>
      <c r="G161" s="38" t="n">
        <f aca="false">Seg!$G$99</f>
        <v>165.72571710258</v>
      </c>
      <c r="H161" s="38" t="n">
        <f aca="false">Seg!$H$99</f>
        <v>214.439367277066</v>
      </c>
      <c r="I161" s="38" t="n">
        <f aca="false">Seg!$I$99</f>
        <v>266.569505776759</v>
      </c>
      <c r="J161" s="38" t="n">
        <f aca="false">Seg!$J$99</f>
        <v>318.105675447219</v>
      </c>
      <c r="K161" s="38" t="n">
        <f aca="false">Seg!$K$99</f>
        <v>363.226047683737</v>
      </c>
      <c r="L161" s="38" t="n">
        <f aca="false">Seg!$L$99</f>
        <v>399.5012130543</v>
      </c>
      <c r="M161" s="38" t="n">
        <f aca="false">Seg!$M$99</f>
        <v>427.006534768838</v>
      </c>
      <c r="N161" s="38" t="n">
        <f aca="false">Seg!$N$99</f>
        <v>60.14</v>
      </c>
      <c r="O161" s="38" t="n">
        <f aca="false">Seg!$O$99</f>
        <v>68.585</v>
      </c>
    </row>
    <row r="162" customFormat="false" ht="15" hidden="false" customHeight="false" outlineLevel="0" collapsed="false">
      <c r="A162" s="1" t="s">
        <v>519</v>
      </c>
      <c r="B162" s="8" t="s">
        <v>86</v>
      </c>
      <c r="C162" s="38" t="n">
        <f aca="false">Seg!$C$92</f>
        <v>387.497</v>
      </c>
      <c r="D162" s="38" t="n">
        <f aca="false">Seg!$D$92</f>
        <v>426.305</v>
      </c>
      <c r="E162" s="38" t="n">
        <f aca="false">Seg!$E$92</f>
        <v>220.32</v>
      </c>
      <c r="F162" s="38" t="n">
        <f aca="false">Seg!$F$92</f>
        <v>250.639773480586</v>
      </c>
      <c r="G162" s="38" t="n">
        <f aca="false">Seg!$G$92</f>
        <v>470.959773480586</v>
      </c>
      <c r="H162" s="38" t="n">
        <f aca="false">Seg!$H$92</f>
        <v>521.386990416437</v>
      </c>
      <c r="I162" s="38" t="n">
        <f aca="false">Seg!$I$92</f>
        <v>570.143862887555</v>
      </c>
      <c r="J162" s="38" t="n">
        <f aca="false">Seg!$J$92</f>
        <v>615.391435791933</v>
      </c>
      <c r="K162" s="38" t="n">
        <f aca="false">Seg!$K$92</f>
        <v>655.208227561543</v>
      </c>
      <c r="L162" s="38" t="n">
        <f aca="false">Seg!$L$92</f>
        <v>697.807739249767</v>
      </c>
      <c r="M162" s="38" t="n">
        <f aca="false">Seg!$M$92</f>
        <v>743.399328463592</v>
      </c>
      <c r="N162" s="38" t="n">
        <f aca="false">Seg!$N$92</f>
        <v>192.955</v>
      </c>
      <c r="O162" s="38" t="n">
        <f aca="false">Seg!$O$92</f>
        <v>233.35</v>
      </c>
    </row>
    <row r="163" customFormat="false" ht="15" hidden="false" customHeight="false" outlineLevel="0" collapsed="false">
      <c r="A163" s="1" t="s">
        <v>522</v>
      </c>
      <c r="B163" s="8" t="s">
        <v>86</v>
      </c>
      <c r="C163" s="38" t="n">
        <f aca="false">Seg!$C$93</f>
        <v>142.906</v>
      </c>
      <c r="D163" s="38" t="n">
        <f aca="false">Seg!$D$93</f>
        <v>161.894</v>
      </c>
      <c r="E163" s="38" t="n">
        <f aca="false">Seg!$E$93</f>
        <v>81.986</v>
      </c>
      <c r="F163" s="38" t="n">
        <f aca="false">Seg!$F$93</f>
        <v>98.408468164951</v>
      </c>
      <c r="G163" s="38" t="n">
        <f aca="false">Seg!$G$93</f>
        <v>180.394468164951</v>
      </c>
      <c r="H163" s="38" t="n">
        <f aca="false">Seg!$H$93</f>
        <v>199.709899104949</v>
      </c>
      <c r="I163" s="38" t="n">
        <f aca="false">Seg!$I$93</f>
        <v>218.385528264976</v>
      </c>
      <c r="J163" s="38" t="n">
        <f aca="false">Seg!$J$93</f>
        <v>235.71696994951</v>
      </c>
      <c r="K163" s="38" t="n">
        <f aca="false">Seg!$K$93</f>
        <v>250.968227869545</v>
      </c>
      <c r="L163" s="38" t="n">
        <f aca="false">Seg!$L$93</f>
        <v>267.285367225822</v>
      </c>
      <c r="M163" s="38" t="n">
        <f aca="false">Seg!$M$93</f>
        <v>284.748579483295</v>
      </c>
      <c r="N163" s="38" t="n">
        <f aca="false">Seg!$N$93</f>
        <v>70.274</v>
      </c>
      <c r="O163" s="38" t="n">
        <f aca="false">Seg!$O$93</f>
        <v>91.62</v>
      </c>
    </row>
    <row r="164" customFormat="false" ht="15" hidden="false" customHeight="false" outlineLevel="0" collapsed="false">
      <c r="A164" s="1" t="s">
        <v>523</v>
      </c>
      <c r="B164" s="8" t="s">
        <v>86</v>
      </c>
      <c r="C164" s="38" t="n">
        <f aca="false">Seg!$C$99</f>
        <v>107.556</v>
      </c>
      <c r="D164" s="38" t="n">
        <f aca="false">Seg!$D$99</f>
        <v>128.725</v>
      </c>
      <c r="E164" s="38" t="n">
        <f aca="false">Seg!$E$99</f>
        <v>79.819</v>
      </c>
      <c r="F164" s="38" t="n">
        <f aca="false">Seg!$F$99</f>
        <v>85.9067171025802</v>
      </c>
      <c r="G164" s="38" t="n">
        <f aca="false">Seg!$G$99</f>
        <v>165.72571710258</v>
      </c>
      <c r="H164" s="38" t="n">
        <f aca="false">Seg!$H$99</f>
        <v>214.439367277066</v>
      </c>
      <c r="I164" s="38" t="n">
        <f aca="false">Seg!$I$99</f>
        <v>266.569505776759</v>
      </c>
      <c r="J164" s="38" t="n">
        <f aca="false">Seg!$J$99</f>
        <v>318.105675447219</v>
      </c>
      <c r="K164" s="38" t="n">
        <f aca="false">Seg!$K$99</f>
        <v>363.226047683737</v>
      </c>
      <c r="L164" s="38" t="n">
        <f aca="false">Seg!$L$99</f>
        <v>399.5012130543</v>
      </c>
      <c r="M164" s="38" t="n">
        <f aca="false">Seg!$M$99</f>
        <v>427.006534768838</v>
      </c>
      <c r="N164" s="38" t="n">
        <f aca="false">Seg!$N$99</f>
        <v>60.14</v>
      </c>
      <c r="O164" s="38" t="n">
        <f aca="false">Seg!$O$99</f>
        <v>68.585</v>
      </c>
    </row>
    <row r="165" customFormat="false" ht="17.15" hidden="false" customHeight="false" outlineLevel="0" collapsed="false">
      <c r="A165" s="0" t="s">
        <v>702</v>
      </c>
      <c r="B165" s="0" t="s">
        <v>86</v>
      </c>
      <c r="C165" s="38" t="n">
        <f aca="false">Seg!$C$97</f>
        <v>2.32100535697364</v>
      </c>
      <c r="D165" s="38" t="n">
        <f aca="false">Seg!$D$97</f>
        <v>8.70377008865116</v>
      </c>
      <c r="E165" s="38" t="n">
        <f aca="false">Seg!$E$97</f>
        <v>8.51035297557002</v>
      </c>
      <c r="F165" s="38" t="n">
        <f aca="false">Seg!$F$97</f>
        <v>14.1374173083338</v>
      </c>
      <c r="G165" s="38" t="n">
        <f aca="false">Seg!$G$97</f>
        <v>22.6477702839038</v>
      </c>
      <c r="H165" s="38" t="n">
        <f aca="false">Seg!$H$97</f>
        <v>53.4222901978634</v>
      </c>
      <c r="I165" s="38" t="n">
        <f aca="false">Seg!$I$97</f>
        <v>87.7997462553011</v>
      </c>
      <c r="J165" s="38" t="n">
        <f aca="false">Seg!$J$97</f>
        <v>122.330137401312</v>
      </c>
      <c r="K165" s="38" t="n">
        <f aca="false">Seg!$K$97</f>
        <v>151.788466594157</v>
      </c>
      <c r="L165" s="38" t="n">
        <f aca="false">Seg!$L$97</f>
        <v>171.148625477554</v>
      </c>
      <c r="M165" s="38" t="n">
        <f aca="false">Seg!$M$97</f>
        <v>180.385740185952</v>
      </c>
      <c r="N165" s="38" t="n">
        <f aca="false">Seg!$N$97</f>
        <v>3.04631953102791</v>
      </c>
      <c r="O165" s="38" t="n">
        <f aca="false">Seg!$O$97</f>
        <v>5.65745055762326</v>
      </c>
    </row>
    <row r="166" customFormat="false" ht="17.15" hidden="false" customHeight="false" outlineLevel="0" collapsed="false">
      <c r="A166" s="0" t="s">
        <v>704</v>
      </c>
      <c r="B166" s="0" t="s">
        <v>86</v>
      </c>
      <c r="C166" s="38" t="n">
        <f aca="false">Seg!$C$98</f>
        <v>105.234994643026</v>
      </c>
      <c r="D166" s="38" t="n">
        <f aca="false">Seg!$D$98</f>
        <v>120.021229911349</v>
      </c>
      <c r="E166" s="38" t="n">
        <f aca="false">Seg!$E$98</f>
        <v>71.30864702443</v>
      </c>
      <c r="F166" s="38" t="n">
        <f aca="false">Seg!$F$98</f>
        <v>71.7692997942464</v>
      </c>
      <c r="G166" s="38" t="n">
        <f aca="false">Seg!$G$98</f>
        <v>143.077946818676</v>
      </c>
      <c r="H166" s="38" t="n">
        <f aca="false">Seg!$H$98</f>
        <v>161.017077079203</v>
      </c>
      <c r="I166" s="38" t="n">
        <f aca="false">Seg!$I$98</f>
        <v>178.769759521457</v>
      </c>
      <c r="J166" s="38" t="n">
        <f aca="false">Seg!$J$98</f>
        <v>195.775538045907</v>
      </c>
      <c r="K166" s="38" t="n">
        <f aca="false">Seg!$K$98</f>
        <v>211.43758108958</v>
      </c>
      <c r="L166" s="38" t="n">
        <f aca="false">Seg!$L$98</f>
        <v>228.352587576746</v>
      </c>
      <c r="M166" s="38" t="n">
        <f aca="false">Seg!$M$98</f>
        <v>246.620794582886</v>
      </c>
      <c r="N166" s="38" t="n">
        <f aca="false">Seg!$N$98</f>
        <v>57.0936804689721</v>
      </c>
      <c r="O166" s="38" t="n">
        <f aca="false">Seg!$O$98</f>
        <v>62.9275494423768</v>
      </c>
    </row>
    <row r="167" customFormat="false" ht="15" hidden="false" customHeight="false" outlineLevel="0" collapsed="false">
      <c r="A167" s="3" t="s">
        <v>524</v>
      </c>
      <c r="B167" s="8" t="s">
        <v>86</v>
      </c>
      <c r="C167" s="38" t="n">
        <f aca="false">Seg!$C$100</f>
        <v>637.959</v>
      </c>
      <c r="D167" s="38" t="n">
        <f aca="false">Seg!$D$100</f>
        <v>716.924</v>
      </c>
      <c r="E167" s="38" t="n">
        <f aca="false">Seg!$E$100</f>
        <v>382.125</v>
      </c>
      <c r="F167" s="38" t="n">
        <f aca="false">Seg!$F$100</f>
        <v>434.954958748117</v>
      </c>
      <c r="G167" s="38" t="n">
        <f aca="false">Seg!$G$100</f>
        <v>817.079958748117</v>
      </c>
      <c r="H167" s="38" t="n">
        <f aca="false">Seg!$H$100</f>
        <v>935.536256798453</v>
      </c>
      <c r="I167" s="38" t="n">
        <f aca="false">Seg!$I$100</f>
        <v>1055.09889692929</v>
      </c>
      <c r="J167" s="38" t="n">
        <f aca="false">Seg!$J$100</f>
        <v>1169.21408118866</v>
      </c>
      <c r="K167" s="38" t="n">
        <f aca="false">Seg!$K$100</f>
        <v>1269.40250311482</v>
      </c>
      <c r="L167" s="38" t="n">
        <f aca="false">Seg!$L$100</f>
        <v>1364.59431952989</v>
      </c>
      <c r="M167" s="38" t="n">
        <f aca="false">Seg!$M$100</f>
        <v>1455.15444271572</v>
      </c>
      <c r="N167" s="38" t="n">
        <f aca="false">Seg!$N$100</f>
        <v>323.369</v>
      </c>
      <c r="O167" s="38" t="n">
        <f aca="false">Seg!$O$100</f>
        <v>393.555</v>
      </c>
    </row>
    <row r="168" customFormat="false" ht="17.15" hidden="false" customHeight="false" outlineLevel="0" collapsed="false">
      <c r="A168" s="24" t="s">
        <v>718</v>
      </c>
      <c r="B168" s="25" t="s">
        <v>86</v>
      </c>
      <c r="C168" s="41" t="n">
        <f aca="false">PL!$C$155+PL!$C$156+PL!$C$157+PL!$C$158+PL!$C$159+PL!$C$160-(PL!$C$162+PL!$C$163)</f>
        <v>0</v>
      </c>
      <c r="D168" s="41" t="n">
        <f aca="false">PL!$D$155+PL!$D$156+PL!$D$157+PL!$D$158+PL!$D$159+PL!$D$160-(PL!$D$162+PL!$D$163)</f>
        <v>0</v>
      </c>
      <c r="E168" s="41" t="n">
        <f aca="false">PL!$E$155+PL!$E$156+PL!$E$157+PL!$E$158+PL!$E$159+PL!$E$160-(PL!$E$162+PL!$E$163)</f>
        <v>0</v>
      </c>
      <c r="F168" s="41" t="n">
        <f aca="false">PL!$F$155+PL!$F$156+PL!$F$157+PL!$F$158+PL!$F$159+PL!$F$160-(PL!$F$162+PL!$F$163)</f>
        <v>0</v>
      </c>
      <c r="G168" s="41" t="n">
        <f aca="false">PL!$G$155+PL!$G$156+PL!$G$157+PL!$G$158+PL!$G$159+PL!$G$160-(PL!$G$162+PL!$G$163)</f>
        <v>0</v>
      </c>
      <c r="H168" s="41" t="n">
        <f aca="false">PL!$H$155+PL!$H$156+PL!$H$157+PL!$H$158+PL!$H$159+PL!$H$160-(PL!$H$162+PL!$H$163)</f>
        <v>0</v>
      </c>
      <c r="I168" s="41" t="n">
        <f aca="false">PL!$I$155+PL!$I$156+PL!$I$157+PL!$I$158+PL!$I$159+PL!$I$160-(PL!$I$162+PL!$I$163)</f>
        <v>0</v>
      </c>
      <c r="J168" s="41" t="n">
        <f aca="false">PL!$J$155+PL!$J$156+PL!$J$157+PL!$J$158+PL!$J$159+PL!$J$160-(PL!$J$162+PL!$J$163)</f>
        <v>0</v>
      </c>
      <c r="K168" s="41" t="n">
        <f aca="false">PL!$K$155+PL!$K$156+PL!$K$157+PL!$K$158+PL!$K$159+PL!$K$160-(PL!$K$162+PL!$K$163)</f>
        <v>0</v>
      </c>
      <c r="L168" s="41" t="n">
        <f aca="false">PL!$L$155+PL!$L$156+PL!$L$157+PL!$L$158+PL!$L$159+PL!$L$160-(PL!$L$162+PL!$L$163)</f>
        <v>0</v>
      </c>
      <c r="M168" s="41" t="n">
        <f aca="false">PL!$M$155+PL!$M$156+PL!$M$157+PL!$M$158+PL!$M$159+PL!$M$160-(PL!$M$162+PL!$M$163)</f>
        <v>0</v>
      </c>
      <c r="N168" s="41" t="n">
        <f aca="false">PL!$N$155+PL!$N$156+PL!$N$157+PL!$N$158+PL!$N$159+PL!$N$160-(PL!$N$162+PL!$N$163)</f>
        <v>0</v>
      </c>
      <c r="O168" s="41" t="n">
        <f aca="false">PL!$O$155+PL!$O$156+PL!$O$157+PL!$O$158+PL!$O$159+PL!$O$160-(PL!$O$162+PL!$O$163)</f>
        <v>0</v>
      </c>
    </row>
    <row r="169" customFormat="false" ht="17.15" hidden="false" customHeight="false" outlineLevel="0" collapsed="false">
      <c r="A169" s="24" t="s">
        <v>719</v>
      </c>
      <c r="B169" s="25" t="s">
        <v>86</v>
      </c>
      <c r="C169" s="41" t="n">
        <f aca="false">PL!$C$165+PL!$C$166-PL!$C$164</f>
        <v>0</v>
      </c>
      <c r="D169" s="41" t="n">
        <f aca="false">PL!$D$165+PL!$D$166-PL!$D$164</f>
        <v>0</v>
      </c>
      <c r="E169" s="41" t="n">
        <f aca="false">PL!$E$165+PL!$E$166-PL!$E$164</f>
        <v>0</v>
      </c>
      <c r="F169" s="41" t="n">
        <f aca="false">PL!$F$165+PL!$F$166-PL!$F$164</f>
        <v>0</v>
      </c>
      <c r="G169" s="41" t="n">
        <f aca="false">PL!$G$165+PL!$G$166-PL!$G$164</f>
        <v>0</v>
      </c>
      <c r="H169" s="41" t="n">
        <f aca="false">PL!$H$165+PL!$H$166-PL!$H$164</f>
        <v>0</v>
      </c>
      <c r="I169" s="41" t="n">
        <f aca="false">PL!$I$165+PL!$I$166-PL!$I$164</f>
        <v>0</v>
      </c>
      <c r="J169" s="41" t="n">
        <f aca="false">PL!$J$165+PL!$J$166-PL!$J$164</f>
        <v>0</v>
      </c>
      <c r="K169" s="41" t="n">
        <f aca="false">PL!$K$165+PL!$K$166-PL!$K$164</f>
        <v>0</v>
      </c>
      <c r="L169" s="41" t="n">
        <f aca="false">PL!$L$165+PL!$L$166-PL!$L$164</f>
        <v>0</v>
      </c>
      <c r="M169" s="41" t="n">
        <f aca="false">PL!$M$165+PL!$M$166-PL!$M$164</f>
        <v>0</v>
      </c>
      <c r="N169" s="41" t="n">
        <f aca="false">PL!$N$165+PL!$N$166-PL!$N$164</f>
        <v>0</v>
      </c>
      <c r="O169" s="41" t="n">
        <f aca="false">PL!$O$165+PL!$O$166-PL!$O$164</f>
        <v>0</v>
      </c>
    </row>
    <row r="170" customFormat="false" ht="17.15" hidden="false" customHeight="false" outlineLevel="0" collapsed="false">
      <c r="A170" s="24" t="s">
        <v>777</v>
      </c>
      <c r="B170" s="25" t="s">
        <v>86</v>
      </c>
      <c r="C170" s="41" t="n">
        <f aca="false">PL!$C$155+PL!$C$156+PL!$C$157+PL!$C$158+PL!$C$159+PL!$C$160+PL!$C$161-PL!$C$167</f>
        <v>0</v>
      </c>
      <c r="D170" s="41" t="n">
        <f aca="false">PL!$D$155+PL!$D$156+PL!$D$157+PL!$D$158+PL!$D$159+PL!$D$160+PL!$D$161-PL!$D$167</f>
        <v>0</v>
      </c>
      <c r="E170" s="41" t="n">
        <f aca="false">PL!$E$155+PL!$E$156+PL!$E$157+PL!$E$158+PL!$E$159+PL!$E$160+PL!$E$161-PL!$E$167</f>
        <v>0</v>
      </c>
      <c r="F170" s="41" t="n">
        <f aca="false">PL!$F$155+PL!$F$156+PL!$F$157+PL!$F$158+PL!$F$159+PL!$F$160+PL!$F$161-PL!$F$167</f>
        <v>0</v>
      </c>
      <c r="G170" s="41" t="n">
        <f aca="false">PL!$G$155+PL!$G$156+PL!$G$157+PL!$G$158+PL!$G$159+PL!$G$160+PL!$G$161-PL!$G$167</f>
        <v>0</v>
      </c>
      <c r="H170" s="41" t="n">
        <f aca="false">PL!$H$155+PL!$H$156+PL!$H$157+PL!$H$158+PL!$H$159+PL!$H$160+PL!$H$161-PL!$H$167</f>
        <v>0</v>
      </c>
      <c r="I170" s="41" t="n">
        <f aca="false">PL!$I$155+PL!$I$156+PL!$I$157+PL!$I$158+PL!$I$159+PL!$I$160+PL!$I$161-PL!$I$167</f>
        <v>0</v>
      </c>
      <c r="J170" s="41" t="n">
        <f aca="false">PL!$J$155+PL!$J$156+PL!$J$157+PL!$J$158+PL!$J$159+PL!$J$160+PL!$J$161-PL!$J$167</f>
        <v>0</v>
      </c>
      <c r="K170" s="41" t="n">
        <f aca="false">PL!$K$155+PL!$K$156+PL!$K$157+PL!$K$158+PL!$K$159+PL!$K$160+PL!$K$161-PL!$K$167</f>
        <v>0</v>
      </c>
      <c r="L170" s="41" t="n">
        <f aca="false">PL!$L$155+PL!$L$156+PL!$L$157+PL!$L$158+PL!$L$159+PL!$L$160+PL!$L$161-PL!$L$167</f>
        <v>0</v>
      </c>
      <c r="M170" s="41" t="n">
        <f aca="false">PL!$M$155+PL!$M$156+PL!$M$157+PL!$M$158+PL!$M$159+PL!$M$160+PL!$M$161-PL!$M$167</f>
        <v>0</v>
      </c>
      <c r="N170" s="41" t="n">
        <f aca="false">PL!$N$155+PL!$N$156+PL!$N$157+PL!$N$158+PL!$N$159+PL!$N$160+PL!$N$161-PL!$N$167</f>
        <v>0</v>
      </c>
      <c r="O170" s="41" t="n">
        <f aca="false">PL!$O$155+PL!$O$156+PL!$O$157+PL!$O$158+PL!$O$159+PL!$O$160+PL!$O$161-PL!$O$167</f>
        <v>0</v>
      </c>
    </row>
    <row r="171" customFormat="false" ht="17.15" hidden="false" customHeight="false" outlineLevel="0" collapsed="false">
      <c r="A171" s="24" t="s">
        <v>720</v>
      </c>
      <c r="B171" s="25" t="s">
        <v>86</v>
      </c>
      <c r="C171" s="41" t="n">
        <f aca="false">PL!$C$162+PL!$C$163+PL!$C$164-PL!$C$167</f>
        <v>0</v>
      </c>
      <c r="D171" s="41" t="n">
        <f aca="false">PL!$D$162+PL!$D$163+PL!$D$164-PL!$D$167</f>
        <v>0</v>
      </c>
      <c r="E171" s="41" t="n">
        <f aca="false">PL!$E$162+PL!$E$163+PL!$E$164-PL!$E$167</f>
        <v>0</v>
      </c>
      <c r="F171" s="41" t="n">
        <f aca="false">PL!$F$162+PL!$F$163+PL!$F$164-PL!$F$167</f>
        <v>0</v>
      </c>
      <c r="G171" s="41" t="n">
        <f aca="false">PL!$G$162+PL!$G$163+PL!$G$164-PL!$G$167</f>
        <v>0</v>
      </c>
      <c r="H171" s="41" t="n">
        <f aca="false">PL!$H$162+PL!$H$163+PL!$H$164-PL!$H$167</f>
        <v>0</v>
      </c>
      <c r="I171" s="41" t="n">
        <f aca="false">PL!$I$162+PL!$I$163+PL!$I$164-PL!$I$167</f>
        <v>0</v>
      </c>
      <c r="J171" s="41" t="n">
        <f aca="false">PL!$J$162+PL!$J$163+PL!$J$164-PL!$J$167</f>
        <v>0</v>
      </c>
      <c r="K171" s="41" t="n">
        <f aca="false">PL!$K$162+PL!$K$163+PL!$K$164-PL!$K$167</f>
        <v>0</v>
      </c>
      <c r="L171" s="41" t="n">
        <f aca="false">PL!$L$162+PL!$L$163+PL!$L$164-PL!$L$167</f>
        <v>0</v>
      </c>
      <c r="M171" s="41" t="n">
        <f aca="false">PL!$M$162+PL!$M$163+PL!$M$164-PL!$M$167</f>
        <v>0</v>
      </c>
      <c r="N171" s="41" t="n">
        <f aca="false">PL!$N$162+PL!$N$163+PL!$N$164-PL!$N$167</f>
        <v>0</v>
      </c>
      <c r="O171" s="41" t="n">
        <f aca="false">PL!$O$162+PL!$O$163+PL!$O$164-PL!$O$167</f>
        <v>0</v>
      </c>
    </row>
    <row r="172" customFormat="false" ht="17.15" hidden="false" customHeight="false" outlineLevel="0" collapsed="false">
      <c r="A172" s="1" t="s">
        <v>730</v>
      </c>
    </row>
    <row r="173" customFormat="false" ht="17.15" hidden="false" customHeight="false" outlineLevel="0" collapsed="false">
      <c r="A173" s="0" t="s">
        <v>731</v>
      </c>
      <c r="B173" s="0" t="s">
        <v>86</v>
      </c>
      <c r="C173" s="38" t="n">
        <f aca="false">Seg!$C$94*m_ad</f>
        <v>20.5341564414228</v>
      </c>
      <c r="D173" s="38" t="n">
        <f aca="false">Seg!$D$94*m_ad</f>
        <v>24.8720617299587</v>
      </c>
      <c r="E173" s="38" t="n">
        <f aca="false">Seg!$E$94*m_ad</f>
        <v>13.5017112462207</v>
      </c>
      <c r="F173" s="38" t="n">
        <f aca="false">Seg!$F$94*m_ad</f>
        <v>16.5719724165257</v>
      </c>
      <c r="G173" s="38" t="n">
        <f aca="false">Seg!$G$94*m_ad</f>
        <v>30.0820919220415</v>
      </c>
      <c r="H173" s="38" t="n">
        <f aca="false">Seg!$H$94*m_ad</f>
        <v>36.1150883276314</v>
      </c>
      <c r="I173" s="38" t="n">
        <f aca="false">Seg!$I$94*m_ad</f>
        <v>42.1475382231996</v>
      </c>
      <c r="J173" s="38" t="n">
        <f aca="false">Seg!$J$94*m_ad</f>
        <v>47.7749523864693</v>
      </c>
      <c r="K173" s="38" t="n">
        <f aca="false">Seg!$K$94*m_ad</f>
        <v>52.5524476251162</v>
      </c>
      <c r="L173" s="38" t="n">
        <f aca="false">Seg!$L$94*m_ad</f>
        <v>57.8076923876279</v>
      </c>
      <c r="M173" s="38" t="n">
        <f aca="false">Seg!$M$94*m_ad</f>
        <v>63.5884616263907</v>
      </c>
      <c r="N173" s="38" t="n">
        <f aca="false">Seg!$N$94*m_ad</f>
        <v>10.8543555706248</v>
      </c>
      <c r="O173" s="38" t="n">
        <f aca="false">Seg!$O$94*m_ad</f>
        <v>14.0094731821399</v>
      </c>
    </row>
    <row r="174" customFormat="false" ht="17.15" hidden="false" customHeight="false" outlineLevel="0" collapsed="false">
      <c r="A174" s="0" t="s">
        <v>732</v>
      </c>
      <c r="B174" s="0" t="s">
        <v>86</v>
      </c>
      <c r="C174" s="38" t="n">
        <f aca="false">Seg!$C$92-Seg!$C$94</f>
        <v>346.428687117154</v>
      </c>
      <c r="D174" s="38" t="n">
        <f aca="false">Seg!$D$92-Seg!$D$94</f>
        <v>376.560876540083</v>
      </c>
      <c r="E174" s="38" t="n">
        <f aca="false">Seg!$E$92-Seg!$E$94</f>
        <v>193.316577507559</v>
      </c>
      <c r="F174" s="38" t="n">
        <f aca="false">Seg!$F$92-Seg!$F$94</f>
        <v>217.495828647535</v>
      </c>
      <c r="G174" s="38" t="n">
        <f aca="false">Seg!$G$92-Seg!$G$94</f>
        <v>410.795589636503</v>
      </c>
      <c r="H174" s="38" t="n">
        <f aca="false">Seg!$H$92-Seg!$H$94</f>
        <v>449.156813761174</v>
      </c>
      <c r="I174" s="38" t="n">
        <f aca="false">Seg!$I$92-Seg!$I$94</f>
        <v>485.848786441156</v>
      </c>
      <c r="J174" s="38" t="n">
        <f aca="false">Seg!$J$92-Seg!$J$94</f>
        <v>519.841531018994</v>
      </c>
      <c r="K174" s="38" t="n">
        <f aca="false">Seg!$K$92-Seg!$K$94</f>
        <v>550.103332311311</v>
      </c>
      <c r="L174" s="38" t="n">
        <f aca="false">Seg!$L$92-Seg!$L$94</f>
        <v>582.192354474511</v>
      </c>
      <c r="M174" s="38" t="n">
        <f aca="false">Seg!$M$92-Seg!$M$94</f>
        <v>616.22240521081</v>
      </c>
      <c r="N174" s="38" t="n">
        <f aca="false">Seg!$N$92-Seg!$N$94</f>
        <v>171.24628885875</v>
      </c>
      <c r="O174" s="38" t="n">
        <f aca="false">Seg!$O$92-Seg!$O$94</f>
        <v>205.33105363572</v>
      </c>
    </row>
    <row r="175" customFormat="false" ht="17.15" hidden="false" customHeight="false" outlineLevel="0" collapsed="false">
      <c r="A175" s="0" t="s">
        <v>733</v>
      </c>
      <c r="B175" s="0" t="s">
        <v>86</v>
      </c>
      <c r="C175" s="38" t="n">
        <f aca="false">Thesis!$C$180*Seg!$C$91</f>
        <v>0.123617442257179</v>
      </c>
      <c r="D175" s="38" t="n">
        <f aca="false">Thesis!$D$180*Seg!$D$91</f>
        <v>0.600198046024689</v>
      </c>
      <c r="E175" s="38" t="n">
        <f aca="false">Thesis!$E$180*Seg!$E$91</f>
        <v>1.10840000750276</v>
      </c>
      <c r="F175" s="38" t="n">
        <f aca="false">Thesis!$F$180*Seg!$F$91</f>
        <v>1.33595298721025</v>
      </c>
      <c r="G175" s="38" t="n">
        <f aca="false">Thesis!$G$180*Seg!$G$91</f>
        <v>2.44487335052545</v>
      </c>
      <c r="H175" s="38" t="n">
        <f aca="false">Thesis!$H$180*Seg!$H$91</f>
        <v>6.63132711939388</v>
      </c>
      <c r="I175" s="38" t="n">
        <f aca="false">Thesis!$I$180*Seg!$I$91</f>
        <v>12.7486799258504</v>
      </c>
      <c r="J175" s="38" t="n">
        <f aca="false">Thesis!$J$180*Seg!$J$91</f>
        <v>18.4074045299415</v>
      </c>
      <c r="K175" s="38" t="n">
        <f aca="false">Thesis!$K$180*Seg!$K$91</f>
        <v>23.9455472348705</v>
      </c>
      <c r="L175" s="38" t="n">
        <f aca="false">Thesis!$L$180*Seg!$L$91</f>
        <v>27.78179156216</v>
      </c>
      <c r="M175" s="38" t="n">
        <f aca="false">Thesis!$M$180*Seg!$M$91</f>
        <v>29.9029027327362</v>
      </c>
      <c r="N175" s="38" t="n">
        <f aca="false">Thesis!$N$180*Seg!$N$91</f>
        <v>0.25053229484398</v>
      </c>
      <c r="O175" s="38" t="n">
        <f aca="false">Thesis!$O$180*Seg!$O$91</f>
        <v>0.349234376756897</v>
      </c>
    </row>
    <row r="176" customFormat="false" ht="17.15" hidden="false" customHeight="false" outlineLevel="0" collapsed="false">
      <c r="A176" s="0" t="s">
        <v>734</v>
      </c>
      <c r="B176" s="0" t="s">
        <v>52</v>
      </c>
      <c r="C176" s="28" t="n">
        <f aca="false">(PL!$C$177-PL!$C$173+PL!$C$175)/PL!$C$174</f>
        <v>0.0131526665379575</v>
      </c>
      <c r="D176" s="28" t="n">
        <f aca="false">(PL!$D$177-PL!$D$173+PL!$D$175)/PL!$D$174</f>
        <v>0.0141999252954702</v>
      </c>
      <c r="E176" s="28" t="n">
        <f aca="false">(PL!$E$177-PL!$E$173+PL!$E$175)/PL!$E$174</f>
        <v>0.0258471819939326</v>
      </c>
      <c r="F176" s="28" t="n">
        <f aca="false">PL!$O$176+(PL!$E$176-PL!$N$176)</f>
        <v>0.0224302350712874</v>
      </c>
      <c r="G176" s="28" t="n">
        <f aca="false">(PL!$G$177-PL!$G$173+PL!$G$175)/PL!$G$174</f>
        <v>0.0240199351461372</v>
      </c>
      <c r="H176" s="28" t="n">
        <f aca="false">PL!$G$176+step_na</f>
        <v>0.0270199351461372</v>
      </c>
      <c r="I176" s="28" t="n">
        <f aca="false">PL!$H$176+step_na</f>
        <v>0.0300199351461372</v>
      </c>
      <c r="J176" s="28" t="n">
        <f aca="false">PL!$I$176+step_na</f>
        <v>0.0330199351461372</v>
      </c>
      <c r="K176" s="28" t="n">
        <f aca="false">PL!$J$176+step_na</f>
        <v>0.0360199351461372</v>
      </c>
      <c r="L176" s="28" t="n">
        <f aca="false">PL!$K$176</f>
        <v>0.0360199351461372</v>
      </c>
      <c r="M176" s="28" t="n">
        <f aca="false">PL!$L$176</f>
        <v>0.0360199351461372</v>
      </c>
      <c r="N176" s="28" t="n">
        <f aca="false">(PL!$N$177-PL!$N$173+PL!$N$175)/PL!$N$174</f>
        <v>0.0160831323269779</v>
      </c>
      <c r="O176" s="28" t="n">
        <f aca="false">(PL!$O$177-PL!$O$173+PL!$O$175)/PL!$O$174</f>
        <v>0.0126661854043327</v>
      </c>
      <c r="P176" s="8" t="s">
        <v>735</v>
      </c>
    </row>
    <row r="177" customFormat="false" ht="17.15" hidden="false" customHeight="false" outlineLevel="0" collapsed="false">
      <c r="A177" s="1" t="s">
        <v>736</v>
      </c>
      <c r="B177" s="8" t="s">
        <v>86</v>
      </c>
      <c r="C177" s="38" t="n">
        <f aca="false">Q!$D$22</f>
        <v>24.967</v>
      </c>
      <c r="D177" s="38" t="n">
        <f aca="false">Q!$E$22</f>
        <v>29.619</v>
      </c>
      <c r="E177" s="38" t="n">
        <f aca="false">Q!$P$22</f>
        <v>17.39</v>
      </c>
      <c r="F177" s="38" t="n">
        <f aca="false">PL!$F$173+PL!$F$174*PL!$F$176-PL!$F$175</f>
        <v>20.1145019929041</v>
      </c>
      <c r="G177" s="38" t="n">
        <f aca="false">PL!$E$177+PL!$F$177</f>
        <v>37.5045019929041</v>
      </c>
      <c r="H177" s="38" t="n">
        <f aca="false">PL!$H$173+PL!$H$174*PL!$H$176-PL!$H$175</f>
        <v>41.6199491865101</v>
      </c>
      <c r="I177" s="38" t="n">
        <f aca="false">PL!$I$173+PL!$I$174*PL!$I$176-PL!$I$175</f>
        <v>43.9840073571422</v>
      </c>
      <c r="J177" s="38" t="n">
        <f aca="false">PL!$J$173+PL!$J$174*PL!$J$176-PL!$J$175</f>
        <v>46.5326814970436</v>
      </c>
      <c r="K177" s="38" t="n">
        <f aca="false">PL!$K$173+PL!$K$174*PL!$K$176-PL!$K$175</f>
        <v>48.4215867437731</v>
      </c>
      <c r="L177" s="38" t="n">
        <f aca="false">PL!$L$173+PL!$L$174*PL!$L$176-PL!$L$175</f>
        <v>50.9964316762167</v>
      </c>
      <c r="M177" s="38" t="n">
        <f aca="false">PL!$M$173+PL!$M$174*PL!$M$176-PL!$M$175</f>
        <v>55.8818499649445</v>
      </c>
      <c r="N177" s="38" t="n">
        <f aca="false">Q!$N$22</f>
        <v>13.358</v>
      </c>
      <c r="O177" s="38" t="n">
        <f aca="false">Q!$O$22</f>
        <v>16.261</v>
      </c>
    </row>
    <row r="178" customFormat="false" ht="17.15" hidden="false" customHeight="false" outlineLevel="0" collapsed="false">
      <c r="A178" s="0" t="s">
        <v>737</v>
      </c>
      <c r="B178" s="0" t="s">
        <v>86</v>
      </c>
      <c r="C178" s="38" t="n">
        <f aca="false">Seg!$C$95*m_ad</f>
        <v>7.57284355857716</v>
      </c>
      <c r="D178" s="38" t="n">
        <f aca="false">Seg!$D$95*m_ad</f>
        <v>9.44543827004127</v>
      </c>
      <c r="E178" s="38" t="n">
        <f aca="false">Seg!$E$95*m_ad</f>
        <v>5.02428875377928</v>
      </c>
      <c r="F178" s="38" t="n">
        <f aca="false">Seg!$F$95*m_ad</f>
        <v>6.50663858068173</v>
      </c>
      <c r="G178" s="38" t="n">
        <f aca="false">Seg!$G$95*m_ad</f>
        <v>11.5225190751659</v>
      </c>
      <c r="H178" s="38" t="n">
        <f aca="false">Seg!$H$95*m_ad</f>
        <v>13.8333728663174</v>
      </c>
      <c r="I178" s="38" t="n">
        <f aca="false">Seg!$I$95*m_ad</f>
        <v>16.1440173245485</v>
      </c>
      <c r="J178" s="38" t="n">
        <f aca="false">Seg!$J$95*m_ad</f>
        <v>18.2995185845066</v>
      </c>
      <c r="K178" s="38" t="n">
        <f aca="false">Seg!$K$95*m_ad</f>
        <v>20.1294704429572</v>
      </c>
      <c r="L178" s="38" t="n">
        <f aca="false">Seg!$L$95*m_ad</f>
        <v>22.142417487253</v>
      </c>
      <c r="M178" s="38" t="n">
        <f aca="false">Seg!$M$95*m_ad</f>
        <v>24.3566592359783</v>
      </c>
      <c r="N178" s="38" t="n">
        <f aca="false">Seg!$N$95*m_ad</f>
        <v>3.95314442937518</v>
      </c>
      <c r="O178" s="38" t="n">
        <f aca="false">Seg!$O$95*m_ad</f>
        <v>5.50052681786011</v>
      </c>
    </row>
    <row r="179" customFormat="false" ht="17.15" hidden="false" customHeight="false" outlineLevel="0" collapsed="false">
      <c r="A179" s="0" t="s">
        <v>738</v>
      </c>
      <c r="B179" s="0" t="s">
        <v>86</v>
      </c>
      <c r="C179" s="38" t="n">
        <f aca="false">Seg!$C$93-Seg!$C$95</f>
        <v>127.760312882846</v>
      </c>
      <c r="D179" s="38" t="n">
        <f aca="false">Seg!$D$93-Seg!$D$95</f>
        <v>143.003123459917</v>
      </c>
      <c r="E179" s="38" t="n">
        <f aca="false">Seg!$E$93-Seg!$E$95</f>
        <v>71.9374224924414</v>
      </c>
      <c r="F179" s="38" t="n">
        <f aca="false">Seg!$F$93-Seg!$F$95</f>
        <v>85.3951910035875</v>
      </c>
      <c r="G179" s="38" t="n">
        <f aca="false">Seg!$G$93-Seg!$G$95</f>
        <v>157.349430014619</v>
      </c>
      <c r="H179" s="38" t="n">
        <f aca="false">Seg!$H$93-Seg!$H$95</f>
        <v>172.043153372315</v>
      </c>
      <c r="I179" s="38" t="n">
        <f aca="false">Seg!$I$93-Seg!$I$95</f>
        <v>186.097493615879</v>
      </c>
      <c r="J179" s="38" t="n">
        <f aca="false">Seg!$J$93-Seg!$J$95</f>
        <v>199.117932780497</v>
      </c>
      <c r="K179" s="38" t="n">
        <f aca="false">Seg!$K$93-Seg!$K$95</f>
        <v>210.70928698363</v>
      </c>
      <c r="L179" s="38" t="n">
        <f aca="false">Seg!$L$93-Seg!$L$95</f>
        <v>223.000532251316</v>
      </c>
      <c r="M179" s="38" t="n">
        <f aca="false">Seg!$M$93-Seg!$M$95</f>
        <v>236.035261011339</v>
      </c>
      <c r="N179" s="38" t="n">
        <f aca="false">Seg!$N$93-Seg!$N$95</f>
        <v>62.3677111412496</v>
      </c>
      <c r="O179" s="38" t="n">
        <f aca="false">Seg!$O$93-Seg!$O$95</f>
        <v>80.6189463642798</v>
      </c>
    </row>
    <row r="180" customFormat="false" ht="17.15" hidden="false" customHeight="false" outlineLevel="0" collapsed="false">
      <c r="A180" s="0" t="s">
        <v>739</v>
      </c>
      <c r="B180" s="0" t="s">
        <v>86</v>
      </c>
      <c r="C180" s="38" t="n">
        <f aca="false">Thesis!$C$180*(1-Seg!$C$91)</f>
        <v>0.0455891896019953</v>
      </c>
      <c r="D180" s="38" t="n">
        <f aca="false">Thesis!$D$180*(1-Seg!$D$91)</f>
        <v>0.227931791705753</v>
      </c>
      <c r="E180" s="38" t="n">
        <f aca="false">Thesis!$E$180*(1-Seg!$E$91)</f>
        <v>0.412460434890711</v>
      </c>
      <c r="F180" s="38" t="n">
        <f aca="false">Thesis!$F$180*(1-Seg!$F$91)</f>
        <v>0.524534016233997</v>
      </c>
      <c r="G180" s="38" t="n">
        <f aca="false">Thesis!$G$180*(1-Seg!$G$91)</f>
        <v>0.936474095312266</v>
      </c>
      <c r="H180" s="38" t="n">
        <f aca="false">Thesis!$H$180*(1-Seg!$H$91)</f>
        <v>2.54003589327823</v>
      </c>
      <c r="I180" s="38" t="n">
        <f aca="false">Thesis!$I$180*(1-Seg!$I$91)</f>
        <v>4.88320120852905</v>
      </c>
      <c r="J180" s="38" t="n">
        <f aca="false">Thesis!$J$180*(1-Seg!$J$91)</f>
        <v>7.05069548920359</v>
      </c>
      <c r="K180" s="38" t="n">
        <f aca="false">Thesis!$K$180*(1-Seg!$K$91)</f>
        <v>9.17200258193867</v>
      </c>
      <c r="L180" s="38" t="n">
        <f aca="false">Thesis!$L$180*(1-Seg!$L$91)</f>
        <v>10.6414216154535</v>
      </c>
      <c r="M180" s="38" t="n">
        <f aca="false">Thesis!$M$180*(1-Seg!$M$91)</f>
        <v>11.4538831951485</v>
      </c>
      <c r="N180" s="38" t="n">
        <f aca="false">Thesis!$N$180*(1-Seg!$N$91)</f>
        <v>0.0912435878202994</v>
      </c>
      <c r="O180" s="38" t="n">
        <f aca="false">Thesis!$O$180*(1-Seg!$O$91)</f>
        <v>0.137119578309265</v>
      </c>
    </row>
    <row r="181" customFormat="false" ht="17.15" hidden="false" customHeight="false" outlineLevel="0" collapsed="false">
      <c r="A181" s="0" t="s">
        <v>740</v>
      </c>
      <c r="B181" s="0" t="s">
        <v>52</v>
      </c>
      <c r="C181" s="28" t="n">
        <f aca="false">(PL!$C$182-PL!$C$178+PL!$C$180)/PL!$C$179</f>
        <v>-0.0292364215826579</v>
      </c>
      <c r="D181" s="28" t="n">
        <f aca="false">(PL!$D$182-PL!$D$178+PL!$D$180)/PL!$D$179</f>
        <v>-0.0312406216748665</v>
      </c>
      <c r="E181" s="28" t="n">
        <f aca="false">(PL!$E$182-PL!$E$178+PL!$E$180)/PL!$E$179</f>
        <v>-0.0204459413185552</v>
      </c>
      <c r="F181" s="28" t="n">
        <f aca="false">PL!$O$181+(PL!$E$181-PL!$N$181)</f>
        <v>-0.0375409290246314</v>
      </c>
      <c r="G181" s="28" t="n">
        <f aca="false">(PL!$G$182-PL!$G$178+PL!$G$180)/PL!$G$179</f>
        <v>-0.0296712560031684</v>
      </c>
      <c r="H181" s="28" t="n">
        <f aca="false">PL!$G$181+step_in</f>
        <v>-0.0296712560031684</v>
      </c>
      <c r="I181" s="28" t="n">
        <f aca="false">PL!$H$181+step_in</f>
        <v>-0.0296712560031684</v>
      </c>
      <c r="J181" s="28" t="n">
        <f aca="false">PL!$I$181+step_in</f>
        <v>-0.0296712560031684</v>
      </c>
      <c r="K181" s="28" t="n">
        <f aca="false">PL!$J$181+step_in</f>
        <v>-0.0296712560031684</v>
      </c>
      <c r="L181" s="28" t="n">
        <f aca="false">PL!$K$181</f>
        <v>-0.0296712560031684</v>
      </c>
      <c r="M181" s="28" t="n">
        <f aca="false">PL!$L$181</f>
        <v>-0.0296712560031684</v>
      </c>
      <c r="N181" s="28" t="n">
        <f aca="false">(PL!$N$182-PL!$N$178+PL!$N$180)/PL!$N$179</f>
        <v>-0.0216602600421776</v>
      </c>
      <c r="O181" s="28" t="n">
        <f aca="false">(PL!$O$182-PL!$O$178+PL!$O$180)/PL!$O$179</f>
        <v>-0.0387552477482538</v>
      </c>
      <c r="P181" s="8" t="s">
        <v>735</v>
      </c>
    </row>
    <row r="182" customFormat="false" ht="17.15" hidden="false" customHeight="false" outlineLevel="0" collapsed="false">
      <c r="A182" s="1" t="s">
        <v>741</v>
      </c>
      <c r="B182" s="8" t="s">
        <v>86</v>
      </c>
      <c r="C182" s="38" t="n">
        <f aca="false">Q!$D$23</f>
        <v>3.792</v>
      </c>
      <c r="D182" s="38" t="n">
        <f aca="false">Q!$E$23</f>
        <v>4.75</v>
      </c>
      <c r="E182" s="38" t="n">
        <f aca="false">Q!$P$23</f>
        <v>3.141</v>
      </c>
      <c r="F182" s="38" t="n">
        <f aca="false">PL!$F$178+PL!$F$179*PL!$F$181-PL!$F$180</f>
        <v>2.77628975993721</v>
      </c>
      <c r="G182" s="38" t="n">
        <f aca="false">PL!$E$182+PL!$F$182</f>
        <v>5.91728975993721</v>
      </c>
      <c r="H182" s="38" t="n">
        <f aca="false">PL!$H$178+PL!$H$179*PL!$H$181-PL!$H$180</f>
        <v>6.18860052573681</v>
      </c>
      <c r="I182" s="38" t="n">
        <f aca="false">PL!$I$178+PL!$I$179*PL!$I$181-PL!$I$180</f>
        <v>5.73906974139474</v>
      </c>
      <c r="J182" s="38" t="n">
        <f aca="false">PL!$J$178+PL!$J$179*PL!$J$181-PL!$J$180</f>
        <v>5.34074393695119</v>
      </c>
      <c r="K182" s="38" t="n">
        <f aca="false">PL!$K$178+PL!$K$179*PL!$K$181-PL!$K$180</f>
        <v>4.7054586646822</v>
      </c>
      <c r="L182" s="38" t="n">
        <f aca="false">PL!$L$178+PL!$L$179*PL!$L$181-PL!$L$180</f>
        <v>4.88428999052786</v>
      </c>
      <c r="M182" s="38" t="n">
        <f aca="false">PL!$M$178+PL!$M$179*PL!$M$181-PL!$M$180</f>
        <v>5.89931338558769</v>
      </c>
      <c r="N182" s="38" t="n">
        <f aca="false">Q!$N$23</f>
        <v>2.511</v>
      </c>
      <c r="O182" s="38" t="n">
        <f aca="false">Q!$O$23</f>
        <v>2.239</v>
      </c>
    </row>
    <row r="183" customFormat="false" ht="17.15" hidden="false" customHeight="false" outlineLevel="0" collapsed="false">
      <c r="A183" s="0" t="s">
        <v>742</v>
      </c>
      <c r="B183" s="0" t="s">
        <v>86</v>
      </c>
      <c r="C183" s="38" t="n">
        <f aca="false">Thesis!$C$177</f>
        <v>1.64417882953695</v>
      </c>
      <c r="D183" s="38" t="n">
        <f aca="false">Thesis!$D$177</f>
        <v>5.39125073772939</v>
      </c>
      <c r="E183" s="38" t="n">
        <f aca="false">Thesis!$E$177</f>
        <v>2.42691120599613</v>
      </c>
      <c r="F183" s="38" t="n">
        <f aca="false">Thesis!$F$177</f>
        <v>6.69546929455678</v>
      </c>
      <c r="G183" s="38" t="n">
        <f aca="false">Thesis!$G$177</f>
        <v>9.1223805005529</v>
      </c>
      <c r="H183" s="38" t="n">
        <f aca="false">Thesis!$H$177</f>
        <v>16.7368381471749</v>
      </c>
      <c r="I183" s="38" t="n">
        <f aca="false">Thesis!$I$177</f>
        <v>17.2722217177834</v>
      </c>
      <c r="J183" s="38" t="n">
        <f aca="false">Thesis!$J$177</f>
        <v>20.4977373247316</v>
      </c>
      <c r="K183" s="38" t="n">
        <f aca="false">Thesis!$K$177</f>
        <v>19.3182673269205</v>
      </c>
      <c r="L183" s="38" t="n">
        <f aca="false">Thesis!$L$177</f>
        <v>17.4557727670999</v>
      </c>
      <c r="M183" s="38" t="n">
        <f aca="false">Thesis!$M$177</f>
        <v>14.958596474413</v>
      </c>
      <c r="N183" s="38" t="n">
        <f aca="false">Thesis!$N$177</f>
        <v>1.67921600037079</v>
      </c>
      <c r="O183" s="38" t="n">
        <f aca="false">Thesis!$O$177</f>
        <v>3.71203473735861</v>
      </c>
    </row>
    <row r="184" customFormat="false" ht="17.15" hidden="false" customHeight="false" outlineLevel="0" collapsed="false">
      <c r="A184" s="0" t="s">
        <v>660</v>
      </c>
      <c r="B184" s="0" t="s">
        <v>86</v>
      </c>
      <c r="C184" s="38" t="n">
        <f aca="false">Thesis!$C$182</f>
        <v>38.1898211704631</v>
      </c>
      <c r="D184" s="38" t="n">
        <f aca="false">Thesis!$D$182</f>
        <v>40.2147492622706</v>
      </c>
      <c r="E184" s="38" t="n">
        <f aca="false">Thesis!$E$182</f>
        <v>28.3550887940039</v>
      </c>
      <c r="F184" s="38" t="n">
        <f aca="false">Thesis!$F$182</f>
        <v>25.9529793149447</v>
      </c>
      <c r="G184" s="38" t="n">
        <f aca="false">Thesis!$G$182</f>
        <v>54.3080681089486</v>
      </c>
      <c r="H184" s="38" t="n">
        <f aca="false">Thesis!$H$182</f>
        <v>58.2264684589333</v>
      </c>
      <c r="I184" s="38" t="n">
        <f aca="false">Thesis!$I$182</f>
        <v>64.6461353851744</v>
      </c>
      <c r="J184" s="38" t="n">
        <f aca="false">Thesis!$J$182</f>
        <v>70.7957093610231</v>
      </c>
      <c r="K184" s="38" t="n">
        <f aca="false">Thesis!$K$182</f>
        <v>76.4593661099049</v>
      </c>
      <c r="L184" s="38" t="n">
        <f aca="false">Thesis!$L$182</f>
        <v>82.5761153986973</v>
      </c>
      <c r="M184" s="38" t="n">
        <f aca="false">Thesis!$M$182</f>
        <v>89.1822046305931</v>
      </c>
      <c r="N184" s="38" t="n">
        <f aca="false">Thesis!$N$182</f>
        <v>20.0277839996292</v>
      </c>
      <c r="O184" s="38" t="n">
        <f aca="false">Thesis!$O$182</f>
        <v>20.1869652626414</v>
      </c>
    </row>
    <row r="185" customFormat="false" ht="17.15" hidden="false" customHeight="false" outlineLevel="0" collapsed="false">
      <c r="A185" s="1" t="s">
        <v>743</v>
      </c>
      <c r="B185" s="8" t="s">
        <v>86</v>
      </c>
      <c r="C185" s="38" t="n">
        <f aca="false">Q!$D$24</f>
        <v>39.834</v>
      </c>
      <c r="D185" s="38" t="n">
        <f aca="false">Q!$E$24</f>
        <v>45.606</v>
      </c>
      <c r="E185" s="38" t="n">
        <f aca="false">Q!$P$24</f>
        <v>30.782</v>
      </c>
      <c r="F185" s="38" t="n">
        <f aca="false">PL!$F$183+PL!$F$184</f>
        <v>32.6484486095015</v>
      </c>
      <c r="G185" s="38" t="n">
        <f aca="false">PL!$G$183+PL!$G$184</f>
        <v>63.4304486095015</v>
      </c>
      <c r="H185" s="38" t="n">
        <f aca="false">PL!$H$183+PL!$H$184</f>
        <v>74.9633066061082</v>
      </c>
      <c r="I185" s="38" t="n">
        <f aca="false">PL!$I$183+PL!$I$184</f>
        <v>81.9183571029579</v>
      </c>
      <c r="J185" s="38" t="n">
        <f aca="false">PL!$J$183+PL!$J$184</f>
        <v>91.2934466857547</v>
      </c>
      <c r="K185" s="38" t="n">
        <f aca="false">PL!$K$183+PL!$K$184</f>
        <v>95.7776334368254</v>
      </c>
      <c r="L185" s="38" t="n">
        <f aca="false">PL!$L$183+PL!$L$184</f>
        <v>100.031888165797</v>
      </c>
      <c r="M185" s="38" t="n">
        <f aca="false">PL!$M$183+PL!$M$184</f>
        <v>104.140801105006</v>
      </c>
      <c r="N185" s="38" t="n">
        <f aca="false">Q!$N$24</f>
        <v>21.707</v>
      </c>
      <c r="O185" s="38" t="n">
        <f aca="false">Q!$O$24</f>
        <v>23.899</v>
      </c>
    </row>
    <row r="186" customFormat="false" ht="17.15" hidden="false" customHeight="false" outlineLevel="0" collapsed="false">
      <c r="A186" s="5" t="s">
        <v>744</v>
      </c>
      <c r="B186" s="0" t="s">
        <v>86</v>
      </c>
      <c r="C186" s="38" t="n">
        <f aca="false">Q!$D$26</f>
        <v>0</v>
      </c>
      <c r="D186" s="38" t="n">
        <f aca="false">Q!$E$26</f>
        <v>0</v>
      </c>
      <c r="E186" s="38" t="n">
        <f aca="false">Q!$P$26</f>
        <v>0</v>
      </c>
      <c r="F186" s="39" t="n">
        <v>0</v>
      </c>
      <c r="G186" s="38" t="n">
        <f aca="false">PL!$E$186+PL!$F$186</f>
        <v>0</v>
      </c>
      <c r="H186" s="39" t="n">
        <v>0</v>
      </c>
      <c r="I186" s="39" t="n">
        <v>0</v>
      </c>
      <c r="J186" s="39" t="n">
        <v>0</v>
      </c>
      <c r="K186" s="39" t="n">
        <v>0</v>
      </c>
      <c r="L186" s="39" t="n">
        <v>0</v>
      </c>
      <c r="M186" s="39" t="n">
        <v>0</v>
      </c>
      <c r="N186" s="38" t="n">
        <f aca="false">Q!$N$26</f>
        <v>0</v>
      </c>
      <c r="O186" s="38" t="n">
        <f aca="false">Q!$O$26</f>
        <v>0</v>
      </c>
    </row>
    <row r="187" customFormat="false" ht="15" hidden="false" customHeight="false" outlineLevel="0" collapsed="false">
      <c r="A187" s="3" t="s">
        <v>541</v>
      </c>
      <c r="B187" s="8" t="s">
        <v>86</v>
      </c>
      <c r="C187" s="38" t="n">
        <f aca="false">Q!$D$25</f>
        <v>68.593</v>
      </c>
      <c r="D187" s="38" t="n">
        <f aca="false">Q!$E$25</f>
        <v>79.975</v>
      </c>
      <c r="E187" s="38" t="n">
        <f aca="false">Q!$P$25</f>
        <v>51.313</v>
      </c>
      <c r="F187" s="38" t="n">
        <f aca="false">PL!$F$177+PL!$F$182+PL!$F$185+PL!$F$186</f>
        <v>55.5392403623427</v>
      </c>
      <c r="G187" s="38" t="n">
        <f aca="false">PL!$G$177+PL!$G$182+PL!$G$185+PL!$G$186</f>
        <v>106.852240362343</v>
      </c>
      <c r="H187" s="38" t="n">
        <f aca="false">PL!$H$177+PL!$H$182+PL!$H$185+PL!$H$186</f>
        <v>122.771856318355</v>
      </c>
      <c r="I187" s="38" t="n">
        <f aca="false">PL!$I$177+PL!$I$182+PL!$I$185+PL!$I$186</f>
        <v>131.641434201495</v>
      </c>
      <c r="J187" s="38" t="n">
        <f aca="false">PL!$J$177+PL!$J$182+PL!$J$185+PL!$J$186</f>
        <v>143.16687211975</v>
      </c>
      <c r="K187" s="38" t="n">
        <f aca="false">PL!$K$177+PL!$K$182+PL!$K$185+PL!$K$186</f>
        <v>148.904678845281</v>
      </c>
      <c r="L187" s="38" t="n">
        <f aca="false">PL!$L$177+PL!$L$182+PL!$L$185+PL!$L$186</f>
        <v>155.912609832542</v>
      </c>
      <c r="M187" s="38" t="n">
        <f aca="false">PL!$M$177+PL!$M$182+PL!$M$185+PL!$M$186</f>
        <v>165.921964455538</v>
      </c>
      <c r="N187" s="38" t="n">
        <f aca="false">Q!$N$25</f>
        <v>37.576</v>
      </c>
      <c r="O187" s="38" t="n">
        <f aca="false">Q!$O$25</f>
        <v>42.399</v>
      </c>
    </row>
    <row r="188" customFormat="false" ht="17.15" hidden="false" customHeight="false" outlineLevel="0" collapsed="false">
      <c r="A188" s="24" t="s">
        <v>778</v>
      </c>
      <c r="B188" s="25" t="s">
        <v>86</v>
      </c>
      <c r="C188" s="41" t="n">
        <f aca="false">PL!$C$177+PL!$C$182+PL!$C$185+PL!$C$186-PL!$C$187</f>
        <v>0</v>
      </c>
      <c r="D188" s="41" t="n">
        <f aca="false">PL!$D$177+PL!$D$182+PL!$D$185+PL!$D$186-PL!$D$187</f>
        <v>0</v>
      </c>
      <c r="E188" s="41" t="n">
        <f aca="false">PL!$E$177+PL!$E$182+PL!$E$185+PL!$E$186-PL!$E$187</f>
        <v>0</v>
      </c>
      <c r="F188" s="41" t="n">
        <f aca="false">PL!$F$177+PL!$F$182+PL!$F$185+PL!$F$186-PL!$F$187</f>
        <v>0</v>
      </c>
      <c r="G188" s="41" t="n">
        <f aca="false">PL!$G$177+PL!$G$182+PL!$G$185+PL!$G$186-PL!$G$187</f>
        <v>0</v>
      </c>
      <c r="H188" s="41" t="n">
        <f aca="false">PL!$H$177+PL!$H$182+PL!$H$185+PL!$H$186-PL!$H$187</f>
        <v>0</v>
      </c>
      <c r="I188" s="41" t="n">
        <f aca="false">PL!$I$177+PL!$I$182+PL!$I$185+PL!$I$186-PL!$I$187</f>
        <v>0</v>
      </c>
      <c r="J188" s="41" t="n">
        <f aca="false">PL!$J$177+PL!$J$182+PL!$J$185+PL!$J$186-PL!$J$187</f>
        <v>0</v>
      </c>
      <c r="K188" s="41" t="n">
        <f aca="false">PL!$K$177+PL!$K$182+PL!$K$185+PL!$K$186-PL!$K$187</f>
        <v>0</v>
      </c>
      <c r="L188" s="41" t="n">
        <f aca="false">PL!$L$177+PL!$L$182+PL!$L$185+PL!$L$186-PL!$L$187</f>
        <v>0</v>
      </c>
      <c r="M188" s="41" t="n">
        <f aca="false">PL!$M$177+PL!$M$182+PL!$M$185+PL!$M$186-PL!$M$187</f>
        <v>0</v>
      </c>
      <c r="N188" s="41" t="n">
        <f aca="false">PL!$N$177+PL!$N$182+PL!$N$185+PL!$N$186-PL!$N$187</f>
        <v>0</v>
      </c>
      <c r="O188" s="41" t="n">
        <f aca="false">PL!$O$177+PL!$O$182+PL!$O$185+PL!$O$186-PL!$O$187</f>
        <v>0</v>
      </c>
    </row>
    <row r="189" customFormat="false" ht="17.15" hidden="false" customHeight="false" outlineLevel="0" collapsed="false">
      <c r="A189" s="5" t="s">
        <v>746</v>
      </c>
      <c r="B189" s="0" t="s">
        <v>86</v>
      </c>
      <c r="C189" s="38" t="n">
        <f aca="false">Thesis!$C$179</f>
        <v>0</v>
      </c>
      <c r="D189" s="38" t="n">
        <f aca="false">Thesis!$D$179</f>
        <v>0</v>
      </c>
      <c r="E189" s="38" t="n">
        <f aca="false">Thesis!$E$179</f>
        <v>0</v>
      </c>
      <c r="F189" s="38" t="n">
        <f aca="false">Thesis!$F$179</f>
        <v>3.77122048175818</v>
      </c>
      <c r="G189" s="38" t="n">
        <f aca="false">Thesis!$G$179</f>
        <v>3.77122048175818</v>
      </c>
      <c r="H189" s="38" t="n">
        <f aca="false">Thesis!$H$179</f>
        <v>15.1635543609893</v>
      </c>
      <c r="I189" s="38" t="n">
        <f aca="false">Thesis!$I$179</f>
        <v>25.5818843619889</v>
      </c>
      <c r="J189" s="38" t="n">
        <f aca="false">Thesis!$J$179</f>
        <v>36.0465624179122</v>
      </c>
      <c r="K189" s="38" t="n">
        <f aca="false">Thesis!$K$179</f>
        <v>44.9741164026038</v>
      </c>
      <c r="L189" s="38" t="n">
        <f aca="false">Thesis!$L$179</f>
        <v>50.8413488057813</v>
      </c>
      <c r="M189" s="38" t="n">
        <f aca="false">Thesis!$M$179</f>
        <v>53.6407214274315</v>
      </c>
      <c r="N189" s="38" t="n">
        <f aca="false">Thesis!$N$179</f>
        <v>0</v>
      </c>
      <c r="O189" s="38" t="n">
        <f aca="false">Thesis!$O$179</f>
        <v>0</v>
      </c>
      <c r="P189" s="5" t="s">
        <v>747</v>
      </c>
    </row>
    <row r="190" customFormat="false" ht="17.15" hidden="false" customHeight="false" outlineLevel="0" collapsed="false">
      <c r="A190" s="5" t="s">
        <v>748</v>
      </c>
      <c r="B190" s="0" t="s">
        <v>86</v>
      </c>
      <c r="C190" s="38" t="n">
        <f aca="false">PL!$C$187+PL!$C$189</f>
        <v>68.593</v>
      </c>
      <c r="D190" s="38" t="n">
        <f aca="false">PL!$D$187+PL!$D$189</f>
        <v>79.975</v>
      </c>
      <c r="E190" s="38" t="n">
        <f aca="false">PL!$E$187+PL!$E$189</f>
        <v>51.313</v>
      </c>
      <c r="F190" s="38" t="n">
        <f aca="false">PL!$F$187+PL!$F$189</f>
        <v>59.3104608441009</v>
      </c>
      <c r="G190" s="38" t="n">
        <f aca="false">PL!$G$187+PL!$G$189</f>
        <v>110.623460844101</v>
      </c>
      <c r="H190" s="38" t="n">
        <f aca="false">PL!$H$187+PL!$H$189</f>
        <v>137.935410679344</v>
      </c>
      <c r="I190" s="38" t="n">
        <f aca="false">PL!$I$187+PL!$I$189</f>
        <v>157.223318563484</v>
      </c>
      <c r="J190" s="38" t="n">
        <f aca="false">PL!$J$187+PL!$J$189</f>
        <v>179.213434537662</v>
      </c>
      <c r="K190" s="38" t="n">
        <f aca="false">PL!$K$187+PL!$K$189</f>
        <v>193.878795247884</v>
      </c>
      <c r="L190" s="38" t="n">
        <f aca="false">PL!$L$187+PL!$L$189</f>
        <v>206.753958638323</v>
      </c>
      <c r="M190" s="38" t="n">
        <f aca="false">PL!$M$187+PL!$M$189</f>
        <v>219.56268588297</v>
      </c>
      <c r="N190" s="38" t="n">
        <f aca="false">PL!$N$187+PL!$N$189</f>
        <v>37.576</v>
      </c>
      <c r="O190" s="38" t="n">
        <f aca="false">PL!$O$187+PL!$O$189</f>
        <v>42.399</v>
      </c>
    </row>
    <row r="191" customFormat="false" ht="17.15" hidden="false" customHeight="false" outlineLevel="0" collapsed="false">
      <c r="A191" s="0" t="s">
        <v>749</v>
      </c>
      <c r="B191" s="0" t="s">
        <v>52</v>
      </c>
      <c r="C191" s="13" t="n">
        <f aca="false">PL!$C$177/PL!$C$162</f>
        <v>0.0644314665661928</v>
      </c>
      <c r="D191" s="13" t="n">
        <f aca="false">PL!$D$177/PL!$D$162</f>
        <v>0.0694784250712518</v>
      </c>
      <c r="E191" s="13" t="n">
        <f aca="false">PL!$E$177/PL!$E$162</f>
        <v>0.0789306463326071</v>
      </c>
      <c r="F191" s="13" t="n">
        <f aca="false">PL!$F$177/PL!$F$162</f>
        <v>0.0802526339438384</v>
      </c>
      <c r="G191" s="13" t="n">
        <f aca="false">PL!$G$177/PL!$G$162</f>
        <v>0.0796341940538369</v>
      </c>
      <c r="H191" s="13" t="n">
        <f aca="false">PL!$H$177/PL!$H$162</f>
        <v>0.0798254462645258</v>
      </c>
      <c r="I191" s="13" t="n">
        <f aca="false">PL!$I$177/PL!$I$162</f>
        <v>0.0771454543672196</v>
      </c>
      <c r="J191" s="13" t="n">
        <f aca="false">PL!$J$177/PL!$J$162</f>
        <v>0.0756147693819656</v>
      </c>
      <c r="K191" s="13" t="n">
        <f aca="false">PL!$K$177/PL!$K$162</f>
        <v>0.0739025926520816</v>
      </c>
      <c r="L191" s="13" t="n">
        <f aca="false">PL!$L$177/PL!$L$162</f>
        <v>0.0730809201558074</v>
      </c>
      <c r="M191" s="13" t="n">
        <f aca="false">PL!$M$177/PL!$M$162</f>
        <v>0.0751707027775199</v>
      </c>
      <c r="N191" s="13" t="n">
        <f aca="false">PL!$N$177/PL!$N$162</f>
        <v>0.069228576611127</v>
      </c>
      <c r="O191" s="13" t="n">
        <f aca="false">PL!$O$177/PL!$O$162</f>
        <v>0.069685022498393</v>
      </c>
    </row>
    <row r="192" customFormat="false" ht="17.15" hidden="false" customHeight="false" outlineLevel="0" collapsed="false">
      <c r="A192" s="0" t="s">
        <v>750</v>
      </c>
      <c r="B192" s="0" t="s">
        <v>52</v>
      </c>
      <c r="C192" s="13" t="n">
        <f aca="false">PL!$C$182/PL!$C$163</f>
        <v>0.026534925055631</v>
      </c>
      <c r="D192" s="13" t="n">
        <f aca="false">PL!$D$182/PL!$D$163</f>
        <v>0.0293401855535103</v>
      </c>
      <c r="E192" s="13" t="n">
        <f aca="false">PL!$E$182/PL!$E$163</f>
        <v>0.03831141902276</v>
      </c>
      <c r="F192" s="13" t="n">
        <f aca="false">PL!$F$182/PL!$F$163</f>
        <v>0.0282118989524726</v>
      </c>
      <c r="G192" s="13" t="n">
        <f aca="false">PL!$G$182/PL!$G$163</f>
        <v>0.0328019468674976</v>
      </c>
      <c r="H192" s="13" t="n">
        <f aca="false">PL!$H$182/PL!$H$163</f>
        <v>0.0309879507899839</v>
      </c>
      <c r="I192" s="13" t="n">
        <f aca="false">PL!$I$182/PL!$I$163</f>
        <v>0.0262795332043765</v>
      </c>
      <c r="J192" s="13" t="n">
        <f aca="false">PL!$J$182/PL!$J$163</f>
        <v>0.0226574435353346</v>
      </c>
      <c r="K192" s="13" t="n">
        <f aca="false">PL!$K$182/PL!$K$163</f>
        <v>0.0187492205871101</v>
      </c>
      <c r="L192" s="13" t="n">
        <f aca="false">PL!$L$182/PL!$L$163</f>
        <v>0.018273690180732</v>
      </c>
      <c r="M192" s="13" t="n">
        <f aca="false">PL!$M$182/PL!$M$163</f>
        <v>0.0207176218272716</v>
      </c>
      <c r="N192" s="13" t="n">
        <f aca="false">PL!$N$182/PL!$N$163</f>
        <v>0.0357315650169337</v>
      </c>
      <c r="O192" s="13" t="n">
        <f aca="false">PL!$O$182/PL!$O$163</f>
        <v>0.0244378956559703</v>
      </c>
    </row>
    <row r="193" customFormat="false" ht="17.15" hidden="false" customHeight="false" outlineLevel="0" collapsed="false">
      <c r="A193" s="14" t="s">
        <v>751</v>
      </c>
      <c r="B193" s="14" t="s">
        <v>52</v>
      </c>
      <c r="C193" s="17" t="n">
        <f aca="false">PL!$C$185/PL!$C$164</f>
        <v>0.370355907620217</v>
      </c>
      <c r="D193" s="17" t="n">
        <f aca="false">PL!$D$185/PL!$D$164</f>
        <v>0.35429015342785</v>
      </c>
      <c r="E193" s="17" t="n">
        <f aca="false">PL!$E$185/PL!$E$164</f>
        <v>0.385647527531039</v>
      </c>
      <c r="F193" s="17" t="n">
        <f aca="false">PL!$F$185/PL!$F$164</f>
        <v>0.380045352804209</v>
      </c>
      <c r="G193" s="17" t="n">
        <f aca="false">PL!$G$185/PL!$G$164</f>
        <v>0.382743545892998</v>
      </c>
      <c r="H193" s="17" t="n">
        <f aca="false">PL!$H$185/PL!$H$164</f>
        <v>0.349578100131455</v>
      </c>
      <c r="I193" s="17" t="n">
        <f aca="false">PL!$I$185/PL!$I$164</f>
        <v>0.307305807032411</v>
      </c>
      <c r="J193" s="17" t="n">
        <f aca="false">PL!$J$185/PL!$J$164</f>
        <v>0.286990939590772</v>
      </c>
      <c r="K193" s="17" t="n">
        <f aca="false">PL!$K$185/PL!$K$164</f>
        <v>0.26368602705558</v>
      </c>
      <c r="L193" s="17" t="n">
        <f aca="false">PL!$L$185/PL!$L$164</f>
        <v>0.250391951005668</v>
      </c>
      <c r="M193" s="17" t="n">
        <f aca="false">PL!$M$185/PL!$M$164</f>
        <v>0.243885731541283</v>
      </c>
      <c r="N193" s="17" t="n">
        <f aca="false">PL!$N$185/PL!$N$164</f>
        <v>0.360941137346192</v>
      </c>
      <c r="O193" s="17" t="n">
        <f aca="false">PL!$O$185/PL!$O$164</f>
        <v>0.348458117664212</v>
      </c>
    </row>
    <row r="194" customFormat="false" ht="17.15" hidden="false" customHeight="false" outlineLevel="0" collapsed="false">
      <c r="A194" s="0" t="s">
        <v>752</v>
      </c>
      <c r="B194" s="0" t="s">
        <v>52</v>
      </c>
      <c r="C194" s="13" t="n">
        <f aca="false">PL!$C$183/PL!$C$165</f>
        <v>0.708390794789371</v>
      </c>
      <c r="D194" s="13" t="n">
        <f aca="false">PL!$D$183/PL!$D$165</f>
        <v>0.619415573115729</v>
      </c>
      <c r="E194" s="13" t="n">
        <f aca="false">PL!$E$183/PL!$E$165</f>
        <v>0.285171627189009</v>
      </c>
      <c r="F194" s="13" t="n">
        <f aca="false">PL!$F$183/PL!$F$165</f>
        <v>0.47359918353757</v>
      </c>
      <c r="G194" s="13" t="n">
        <f aca="false">PL!$G$183/PL!$G$165</f>
        <v>0.402793757893083</v>
      </c>
      <c r="H194" s="13" t="n">
        <f aca="false">PL!$H$183/PL!$H$165</f>
        <v>0.31329316068603</v>
      </c>
      <c r="I194" s="13" t="n">
        <f aca="false">PL!$I$183/PL!$I$165</f>
        <v>0.196722911562407</v>
      </c>
      <c r="J194" s="13" t="n">
        <f aca="false">PL!$J$183/PL!$J$165</f>
        <v>0.167560813387199</v>
      </c>
      <c r="K194" s="13" t="n">
        <f aca="false">PL!$K$183/PL!$K$165</f>
        <v>0.12727098283806</v>
      </c>
      <c r="L194" s="13" t="n">
        <f aca="false">PL!$L$183/PL!$L$165</f>
        <v>0.101991895747882</v>
      </c>
      <c r="M194" s="13" t="n">
        <f aca="false">PL!$M$183/PL!$M$165</f>
        <v>0.0829256040915033</v>
      </c>
      <c r="N194" s="13" t="n">
        <f aca="false">PL!$N$183/PL!$N$165</f>
        <v>0.551227795793364</v>
      </c>
      <c r="O194" s="13" t="n">
        <f aca="false">PL!$O$183/PL!$O$165</f>
        <v>0.656132068597002</v>
      </c>
    </row>
    <row r="195" customFormat="false" ht="15" hidden="false" customHeight="false" outlineLevel="0" collapsed="false">
      <c r="A195" s="5" t="s">
        <v>753</v>
      </c>
      <c r="B195" s="0" t="s">
        <v>52</v>
      </c>
      <c r="C195" s="13" t="n">
        <f aca="false">PL!$C$187/PL!$C$167</f>
        <v>0.107519448742004</v>
      </c>
      <c r="D195" s="13" t="n">
        <f aca="false">PL!$D$187/PL!$D$167</f>
        <v>0.111552967957552</v>
      </c>
      <c r="E195" s="13" t="n">
        <f aca="false">PL!$E$187/PL!$E$167</f>
        <v>0.13428328426562</v>
      </c>
      <c r="F195" s="13" t="n">
        <f aca="false">PL!$F$187/PL!$F$167</f>
        <v>0.127689636007818</v>
      </c>
      <c r="G195" s="13" t="n">
        <f aca="false">PL!$G$187/PL!$G$167</f>
        <v>0.130773297298903</v>
      </c>
      <c r="H195" s="13" t="n">
        <f aca="false">PL!$H$187/PL!$H$167</f>
        <v>0.131231532103843</v>
      </c>
      <c r="I195" s="13" t="n">
        <f aca="false">PL!$I$187/PL!$I$167</f>
        <v>0.124766914821556</v>
      </c>
      <c r="J195" s="13" t="n">
        <f aca="false">PL!$J$187/PL!$J$167</f>
        <v>0.122447098801788</v>
      </c>
      <c r="K195" s="13" t="n">
        <f aca="false">PL!$K$187/PL!$K$167</f>
        <v>0.117302966143443</v>
      </c>
      <c r="L195" s="13" t="n">
        <f aca="false">PL!$L$187/PL!$L$167</f>
        <v>0.114255649170703</v>
      </c>
      <c r="M195" s="13" t="n">
        <f aca="false">PL!$M$187/PL!$M$167</f>
        <v>0.114023611229803</v>
      </c>
      <c r="N195" s="13" t="n">
        <f aca="false">PL!$N$187/PL!$N$167</f>
        <v>0.116201614873411</v>
      </c>
      <c r="O195" s="13" t="n">
        <f aca="false">PL!$O$187/PL!$O$167</f>
        <v>0.107733353660861</v>
      </c>
    </row>
    <row r="196" customFormat="false" ht="17.15" hidden="false" customHeight="false" outlineLevel="0" collapsed="false">
      <c r="A196" s="1" t="s">
        <v>754</v>
      </c>
    </row>
    <row r="197" customFormat="false" ht="17.15" hidden="false" customHeight="false" outlineLevel="0" collapsed="false">
      <c r="A197" s="5" t="s">
        <v>755</v>
      </c>
      <c r="B197" s="0" t="s">
        <v>52</v>
      </c>
      <c r="D197" s="28" t="n">
        <f aca="false">(Q!$E$29+Q!$E$30-(1-ext_sh)*Thesis!$D$173)/Seg!$D$90</f>
        <v>0.0341105596409988</v>
      </c>
    </row>
    <row r="198" customFormat="false" ht="17.15" hidden="false" customHeight="false" outlineLevel="0" collapsed="false">
      <c r="A198" s="0" t="s">
        <v>545</v>
      </c>
      <c r="B198" s="0" t="s">
        <v>86</v>
      </c>
      <c r="C198" s="38" t="n">
        <f aca="false">Q!$D$29</f>
        <v>14.285</v>
      </c>
      <c r="D198" s="38" t="n">
        <f aca="false">Q!$E$29</f>
        <v>15.503</v>
      </c>
      <c r="E198" s="38" t="n">
        <f aca="false">Q!$P$29</f>
        <v>8.78</v>
      </c>
      <c r="F198" s="38" t="n">
        <f aca="false">(PL!$D$197*Seg!$F$90+(1-ext_sh)*Thesis!$F$173)*Seg!$F$91</f>
        <v>9.30317620449232</v>
      </c>
      <c r="G198" s="38" t="n">
        <f aca="false">PL!$E$198+PL!$F$198</f>
        <v>18.0831762044923</v>
      </c>
      <c r="H198" s="38" t="n">
        <f aca="false">(PL!$D$197*Seg!$H$90+(1-ext_sh)*Thesis!$H$173)*Seg!$H$91</f>
        <v>22.1297245338482</v>
      </c>
      <c r="I198" s="38" t="n">
        <f aca="false">(PL!$D$197*Seg!$I$90+(1-ext_sh)*Thesis!$I$173)*Seg!$I$91</f>
        <v>28.409695984391</v>
      </c>
      <c r="J198" s="38" t="n">
        <f aca="false">(PL!$D$197*Seg!$J$90+(1-ext_sh)*Thesis!$J$173)*Seg!$J$91</f>
        <v>34.1085606174579</v>
      </c>
      <c r="K198" s="38" t="n">
        <f aca="false">(PL!$D$197*Seg!$K$90+(1-ext_sh)*Thesis!$K$173)*Seg!$K$91</f>
        <v>39.7218983009068</v>
      </c>
      <c r="L198" s="38" t="n">
        <f aca="false">(PL!$D$197*Seg!$L$90+(1-ext_sh)*Thesis!$L$173)*Seg!$L$91</f>
        <v>44.1680279486684</v>
      </c>
      <c r="M198" s="38" t="n">
        <f aca="false">(PL!$D$197*Seg!$M$90+(1-ext_sh)*Thesis!$M$173)*Seg!$M$91</f>
        <v>47.4413073313286</v>
      </c>
      <c r="N198" s="38" t="n">
        <f aca="false">Q!$N$29</f>
        <v>7.272</v>
      </c>
      <c r="O198" s="38" t="n">
        <f aca="false">Q!$O$29</f>
        <v>8.231</v>
      </c>
    </row>
    <row r="199" customFormat="false" ht="17.15" hidden="false" customHeight="false" outlineLevel="0" collapsed="false">
      <c r="A199" s="0" t="s">
        <v>547</v>
      </c>
      <c r="B199" s="0" t="s">
        <v>86</v>
      </c>
      <c r="C199" s="38" t="n">
        <f aca="false">Q!$D$30</f>
        <v>4.462</v>
      </c>
      <c r="D199" s="38" t="n">
        <f aca="false">Q!$E$30</f>
        <v>4.907</v>
      </c>
      <c r="E199" s="38" t="n">
        <f aca="false">Q!$P$30</f>
        <v>2.57</v>
      </c>
      <c r="F199" s="38" t="n">
        <f aca="false">(PL!$D$197*Seg!$F$90+(1-ext_sh)*Thesis!$F$173)*(1-Seg!$F$91)</f>
        <v>3.6526976809753</v>
      </c>
      <c r="G199" s="38" t="n">
        <f aca="false">PL!$E$199+PL!$F$199</f>
        <v>6.2226976809753</v>
      </c>
      <c r="H199" s="38" t="n">
        <f aca="false">(PL!$D$197*Seg!$H$90+(1-ext_sh)*Thesis!$H$173)*(1-Seg!$H$91)</f>
        <v>8.4764774248495</v>
      </c>
      <c r="I199" s="38" t="n">
        <f aca="false">(PL!$D$197*Seg!$I$90+(1-ext_sh)*Thesis!$I$173)*(1-Seg!$I$91)</f>
        <v>10.881931507561</v>
      </c>
      <c r="J199" s="38" t="n">
        <f aca="false">(PL!$D$197*Seg!$J$90+(1-ext_sh)*Thesis!$J$173)*(1-Seg!$J$91)</f>
        <v>13.0648008575874</v>
      </c>
      <c r="K199" s="38" t="n">
        <f aca="false">(PL!$D$197*Seg!$K$90+(1-ext_sh)*Thesis!$K$173)*(1-Seg!$K$91)</f>
        <v>15.2149103214008</v>
      </c>
      <c r="L199" s="38" t="n">
        <f aca="false">(PL!$D$197*Seg!$L$90+(1-ext_sh)*Thesis!$L$173)*(1-Seg!$L$91)</f>
        <v>16.9179372854085</v>
      </c>
      <c r="M199" s="38" t="n">
        <f aca="false">(PL!$D$197*Seg!$M$90+(1-ext_sh)*Thesis!$M$173)*(1-Seg!$M$91)</f>
        <v>18.1717205735785</v>
      </c>
      <c r="N199" s="38" t="n">
        <f aca="false">Q!$N$30</f>
        <v>2.316</v>
      </c>
      <c r="O199" s="38" t="n">
        <f aca="false">Q!$O$30</f>
        <v>2.591</v>
      </c>
    </row>
    <row r="200" customFormat="false" ht="17.15" hidden="false" customHeight="false" outlineLevel="0" collapsed="false">
      <c r="A200" s="0" t="s">
        <v>548</v>
      </c>
      <c r="B200" s="0" t="s">
        <v>86</v>
      </c>
      <c r="C200" s="38" t="n">
        <f aca="false">Thesis!$C$185</f>
        <v>13.32</v>
      </c>
      <c r="D200" s="38" t="n">
        <f aca="false">Thesis!$D$185</f>
        <v>21.45</v>
      </c>
      <c r="E200" s="38" t="n">
        <f aca="false">Thesis!$E$185</f>
        <v>15.353</v>
      </c>
      <c r="F200" s="38" t="n">
        <f aca="false">Thesis!$F$185</f>
        <v>16.1969869840094</v>
      </c>
      <c r="G200" s="38" t="n">
        <f aca="false">Thesis!$G$185</f>
        <v>31.5499869840094</v>
      </c>
      <c r="H200" s="38" t="n">
        <f aca="false">Thesis!$H$185</f>
        <v>50.9556213609176</v>
      </c>
      <c r="I200" s="38" t="n">
        <f aca="false">Thesis!$I$185</f>
        <v>79.464581248252</v>
      </c>
      <c r="J200" s="38" t="n">
        <f aca="false">Thesis!$J$185</f>
        <v>105.296127931746</v>
      </c>
      <c r="K200" s="38" t="n">
        <f aca="false">Thesis!$K$185</f>
        <v>131.454694001511</v>
      </c>
      <c r="L200" s="38" t="n">
        <f aca="false">Thesis!$L$185</f>
        <v>150.840456981405</v>
      </c>
      <c r="M200" s="38" t="n">
        <f aca="false">Thesis!$M$185</f>
        <v>163.399454192999</v>
      </c>
      <c r="N200" s="38" t="n">
        <f aca="false">Thesis!$N$185</f>
        <v>9.234</v>
      </c>
      <c r="O200" s="38" t="n">
        <f aca="false">Thesis!$O$185</f>
        <v>12.216</v>
      </c>
    </row>
    <row r="201" customFormat="false" ht="17.15" hidden="false" customHeight="false" outlineLevel="0" collapsed="false">
      <c r="A201" s="5" t="s">
        <v>756</v>
      </c>
      <c r="B201" s="0" t="s">
        <v>86</v>
      </c>
      <c r="C201" s="38" t="n">
        <f aca="false">PL!$C$198+PL!$C$199+PL!$C$200</f>
        <v>32.067</v>
      </c>
      <c r="D201" s="38" t="n">
        <f aca="false">PL!$D$198+PL!$D$199+PL!$D$200</f>
        <v>41.86</v>
      </c>
      <c r="E201" s="38" t="n">
        <f aca="false">PL!$E$198+PL!$E$199+PL!$E$200</f>
        <v>26.703</v>
      </c>
      <c r="F201" s="38" t="n">
        <f aca="false">PL!$F$198+PL!$F$199+PL!$F$200</f>
        <v>29.152860869477</v>
      </c>
      <c r="G201" s="38" t="n">
        <f aca="false">PL!$G$198+PL!$G$199+PL!$G$200</f>
        <v>55.855860869477</v>
      </c>
      <c r="H201" s="38" t="n">
        <f aca="false">PL!$H$198+PL!$H$199+PL!$H$200</f>
        <v>81.5618233196153</v>
      </c>
      <c r="I201" s="38" t="n">
        <f aca="false">PL!$I$198+PL!$I$199+PL!$I$200</f>
        <v>118.756208740204</v>
      </c>
      <c r="J201" s="38" t="n">
        <f aca="false">PL!$J$198+PL!$J$199+PL!$J$200</f>
        <v>152.469489406791</v>
      </c>
      <c r="K201" s="38" t="n">
        <f aca="false">PL!$K$198+PL!$K$199+PL!$K$200</f>
        <v>186.391502623819</v>
      </c>
      <c r="L201" s="38" t="n">
        <f aca="false">PL!$L$198+PL!$L$199+PL!$L$200</f>
        <v>211.926422215482</v>
      </c>
      <c r="M201" s="38" t="n">
        <f aca="false">PL!$M$198+PL!$M$199+PL!$M$200</f>
        <v>229.012482097906</v>
      </c>
      <c r="N201" s="38" t="n">
        <f aca="false">PL!$N$198+PL!$N$199+PL!$N$200</f>
        <v>18.822</v>
      </c>
      <c r="O201" s="38" t="n">
        <f aca="false">PL!$O$198+PL!$O$199+PL!$O$200</f>
        <v>23.038</v>
      </c>
    </row>
    <row r="202" customFormat="false" ht="17.15" hidden="false" customHeight="false" outlineLevel="0" collapsed="false">
      <c r="A202" s="0" t="s">
        <v>757</v>
      </c>
      <c r="B202" s="0" t="s">
        <v>86</v>
      </c>
      <c r="C202" s="38" t="n">
        <f aca="false">PL!$C$173+PL!$C$178</f>
        <v>28.107</v>
      </c>
      <c r="D202" s="38" t="n">
        <f aca="false">PL!$D$173+PL!$D$178</f>
        <v>34.3175</v>
      </c>
      <c r="E202" s="38" t="n">
        <f aca="false">PL!$E$173+PL!$E$178</f>
        <v>18.526</v>
      </c>
      <c r="F202" s="38" t="n">
        <f aca="false">PL!$F$173+PL!$F$178</f>
        <v>23.0786109972074</v>
      </c>
      <c r="G202" s="38" t="n">
        <f aca="false">PL!$G$173+PL!$G$178</f>
        <v>41.6046109972074</v>
      </c>
      <c r="H202" s="38" t="n">
        <f aca="false">PL!$H$173+PL!$H$178</f>
        <v>49.9484611939488</v>
      </c>
      <c r="I202" s="38" t="n">
        <f aca="false">PL!$I$173+PL!$I$178</f>
        <v>58.2915555477481</v>
      </c>
      <c r="J202" s="38" t="n">
        <f aca="false">PL!$J$173+PL!$J$178</f>
        <v>66.0744709709759</v>
      </c>
      <c r="K202" s="38" t="n">
        <f aca="false">PL!$K$173+PL!$K$178</f>
        <v>72.6819180680735</v>
      </c>
      <c r="L202" s="38" t="n">
        <f aca="false">PL!$L$173+PL!$L$178</f>
        <v>79.9501098748808</v>
      </c>
      <c r="M202" s="38" t="n">
        <f aca="false">PL!$M$173+PL!$M$178</f>
        <v>87.9451208623689</v>
      </c>
      <c r="N202" s="38" t="n">
        <f aca="false">PL!$N$173+PL!$N$178</f>
        <v>14.8075</v>
      </c>
      <c r="O202" s="38" t="n">
        <f aca="false">PL!$O$173+PL!$O$178</f>
        <v>19.51</v>
      </c>
    </row>
    <row r="203" customFormat="false" ht="17.15" hidden="false" customHeight="false" outlineLevel="0" collapsed="false">
      <c r="A203" s="0" t="s">
        <v>758</v>
      </c>
      <c r="B203" s="0" t="s">
        <v>86</v>
      </c>
      <c r="C203" s="38" t="n">
        <f aca="false">PL!$C$177+PL!$C$182+PL!$C$198+PL!$C$199-PL!$C$202</f>
        <v>19.399</v>
      </c>
      <c r="D203" s="38" t="n">
        <f aca="false">PL!$D$177+PL!$D$182+PL!$D$198+PL!$D$199-PL!$D$202</f>
        <v>20.4615</v>
      </c>
      <c r="E203" s="38" t="n">
        <f aca="false">PL!$E$177+PL!$E$182+PL!$E$198+PL!$E$199-PL!$E$202</f>
        <v>13.355</v>
      </c>
      <c r="F203" s="38" t="n">
        <f aca="false">PL!$F$177+PL!$F$182+PL!$F$198+PL!$F$199-PL!$F$202</f>
        <v>12.7680546411015</v>
      </c>
      <c r="G203" s="38" t="n">
        <f aca="false">PL!$G$177+PL!$G$182+PL!$G$198+PL!$G$199-PL!$G$202</f>
        <v>26.1230546411015</v>
      </c>
      <c r="H203" s="38" t="n">
        <f aca="false">PL!$H$177+PL!$H$182+PL!$H$198+PL!$H$199-PL!$H$202</f>
        <v>28.4662904769959</v>
      </c>
      <c r="I203" s="38" t="n">
        <f aca="false">PL!$I$177+PL!$I$182+PL!$I$198+PL!$I$199-PL!$I$202</f>
        <v>30.7231490427408</v>
      </c>
      <c r="J203" s="38" t="n">
        <f aca="false">PL!$J$177+PL!$J$182+PL!$J$198+PL!$J$199-PL!$J$202</f>
        <v>32.9723159380642</v>
      </c>
      <c r="K203" s="38" t="n">
        <f aca="false">PL!$K$177+PL!$K$182+PL!$K$198+PL!$K$199-PL!$K$202</f>
        <v>35.3819359626894</v>
      </c>
      <c r="L203" s="38" t="n">
        <f aca="false">PL!$L$177+PL!$L$182+PL!$L$198+PL!$L$199-PL!$L$202</f>
        <v>37.0165770259405</v>
      </c>
      <c r="M203" s="38" t="n">
        <f aca="false">PL!$M$177+PL!$M$182+PL!$M$198+PL!$M$199-PL!$M$202</f>
        <v>39.4490703930704</v>
      </c>
      <c r="N203" s="38" t="n">
        <f aca="false">PL!$N$177+PL!$N$182+PL!$N$198+PL!$N$199-PL!$N$202</f>
        <v>10.6495</v>
      </c>
      <c r="O203" s="38" t="n">
        <f aca="false">PL!$O$177+PL!$O$182+PL!$O$198+PL!$O$199-PL!$O$202</f>
        <v>9.81200000000001</v>
      </c>
    </row>
    <row r="204" customFormat="false" ht="17.15" hidden="false" customHeight="false" outlineLevel="0" collapsed="false">
      <c r="A204" s="0" t="s">
        <v>759</v>
      </c>
      <c r="B204" s="0" t="s">
        <v>86</v>
      </c>
      <c r="C204" s="38" t="n">
        <f aca="false">PL!$C$184+PL!$C$200-ext_sh*Thesis!$C$173</f>
        <v>51.3470500115664</v>
      </c>
      <c r="D204" s="38" t="n">
        <f aca="false">PL!$D$184+PL!$D$200-ext_sh*Thesis!$D$173</f>
        <v>60.2799375433739</v>
      </c>
      <c r="E204" s="38" t="n">
        <f aca="false">PL!$E$184+PL!$E$200-ext_sh*Thesis!$E$173</f>
        <v>39.5095167090767</v>
      </c>
      <c r="F204" s="38" t="n">
        <f aca="false">PL!$F$184+PL!$F$200-ext_sh*Thesis!$F$173</f>
        <v>37.951394214027</v>
      </c>
      <c r="G204" s="38" t="n">
        <f aca="false">PL!$G$184+PL!$G$200-ext_sh*Thesis!$G$173</f>
        <v>77.4609109231037</v>
      </c>
      <c r="H204" s="38" t="n">
        <f aca="false">PL!$H$184+PL!$H$200-ext_sh*Thesis!$H$173</f>
        <v>85.1453558128916</v>
      </c>
      <c r="I204" s="38" t="n">
        <f aca="false">PL!$I$184+PL!$I$200-ext_sh*Thesis!$I$173</f>
        <v>94.532921967974</v>
      </c>
      <c r="J204" s="38" t="n">
        <f aca="false">PL!$J$184+PL!$J$200-ext_sh*Thesis!$J$173</f>
        <v>103.525527532583</v>
      </c>
      <c r="K204" s="38" t="n">
        <f aca="false">PL!$K$184+PL!$K$200-ext_sh*Thesis!$K$173</f>
        <v>111.80756973519</v>
      </c>
      <c r="L204" s="38" t="n">
        <f aca="false">PL!$L$184+PL!$L$200-ext_sh*Thesis!$L$173</f>
        <v>120.752175314005</v>
      </c>
      <c r="M204" s="38" t="n">
        <f aca="false">PL!$M$184+PL!$M$200-ext_sh*Thesis!$M$173</f>
        <v>130.412349339125</v>
      </c>
      <c r="N204" s="38" t="n">
        <f aca="false">PL!$N$184+PL!$N$200-ext_sh*Thesis!$N$173</f>
        <v>28.5693781401809</v>
      </c>
      <c r="O204" s="38" t="n">
        <f aca="false">PL!$O$184+PL!$O$200-ext_sh*Thesis!$O$173</f>
        <v>31.7105594031931</v>
      </c>
    </row>
    <row r="205" customFormat="false" ht="17.15" hidden="false" customHeight="false" outlineLevel="0" collapsed="false">
      <c r="A205" s="0" t="s">
        <v>760</v>
      </c>
      <c r="B205" s="0" t="s">
        <v>86</v>
      </c>
      <c r="C205" s="38" t="n">
        <f aca="false">Thesis!$C$176</f>
        <v>1.80694998843362</v>
      </c>
      <c r="D205" s="38" t="n">
        <f aca="false">Thesis!$D$176</f>
        <v>6.77606245662607</v>
      </c>
      <c r="E205" s="38" t="n">
        <f aca="false">Thesis!$E$176</f>
        <v>6.62548329092326</v>
      </c>
      <c r="F205" s="38" t="n">
        <f aca="false">Thesis!$F$176</f>
        <v>10.8940413794839</v>
      </c>
      <c r="G205" s="38" t="n">
        <f aca="false">Thesis!$G$176</f>
        <v>17.5195246704072</v>
      </c>
      <c r="H205" s="38" t="n">
        <f aca="false">Thesis!$H$176</f>
        <v>40.7735721541341</v>
      </c>
      <c r="I205" s="38" t="n">
        <f aca="false">Thesis!$I$176</f>
        <v>66.8500163832358</v>
      </c>
      <c r="J205" s="38" t="n">
        <f aca="false">Thesis!$J$176</f>
        <v>93.0640470849174</v>
      </c>
      <c r="K205" s="38" t="n">
        <f aca="false">Thesis!$K$176</f>
        <v>115.424757703147</v>
      </c>
      <c r="L205" s="38" t="n">
        <f aca="false">Thesis!$L$176</f>
        <v>130.120169833198</v>
      </c>
      <c r="M205" s="38" t="n">
        <f aca="false">Thesis!$M$176</f>
        <v>137.12790595888</v>
      </c>
      <c r="N205" s="38" t="n">
        <f aca="false">Thesis!$N$176</f>
        <v>2.37162185981912</v>
      </c>
      <c r="O205" s="38" t="n">
        <f aca="false">Thesis!$O$176</f>
        <v>4.40444059680694</v>
      </c>
    </row>
    <row r="206" customFormat="false" ht="17.15" hidden="false" customHeight="false" outlineLevel="0" collapsed="false">
      <c r="A206" s="0" t="s">
        <v>761</v>
      </c>
      <c r="B206" s="0" t="s">
        <v>86</v>
      </c>
      <c r="C206" s="38" t="n">
        <f aca="false">PL!$C$187+PL!$C$201</f>
        <v>100.66</v>
      </c>
      <c r="D206" s="38" t="n">
        <f aca="false">PL!$D$187+PL!$D$201</f>
        <v>121.835</v>
      </c>
      <c r="E206" s="38" t="n">
        <f aca="false">PL!$E$187+PL!$E$201</f>
        <v>78.016</v>
      </c>
      <c r="F206" s="38" t="n">
        <f aca="false">PL!$F$187+PL!$F$201</f>
        <v>84.6921012318198</v>
      </c>
      <c r="G206" s="38" t="n">
        <f aca="false">PL!$G$187+PL!$G$201</f>
        <v>162.70810123182</v>
      </c>
      <c r="H206" s="38" t="n">
        <f aca="false">PL!$H$187+PL!$H$201</f>
        <v>204.33367963797</v>
      </c>
      <c r="I206" s="38" t="n">
        <f aca="false">PL!$I$187+PL!$I$201</f>
        <v>250.397642941699</v>
      </c>
      <c r="J206" s="38" t="n">
        <f aca="false">PL!$J$187+PL!$J$201</f>
        <v>295.63636152654</v>
      </c>
      <c r="K206" s="38" t="n">
        <f aca="false">PL!$K$187+PL!$K$201</f>
        <v>335.2961814691</v>
      </c>
      <c r="L206" s="38" t="n">
        <f aca="false">PL!$L$187+PL!$L$201</f>
        <v>367.839032048024</v>
      </c>
      <c r="M206" s="38" t="n">
        <f aca="false">PL!$M$187+PL!$M$201</f>
        <v>394.934446553444</v>
      </c>
      <c r="N206" s="38" t="n">
        <f aca="false">PL!$N$187+PL!$N$201</f>
        <v>56.398</v>
      </c>
      <c r="O206" s="38" t="n">
        <f aca="false">PL!$O$187+PL!$O$201</f>
        <v>65.437</v>
      </c>
    </row>
    <row r="207" customFormat="false" ht="17.15" hidden="false" customHeight="false" outlineLevel="0" collapsed="false">
      <c r="A207" s="1" t="s">
        <v>762</v>
      </c>
    </row>
    <row r="208" customFormat="false" ht="15" hidden="false" customHeight="false" outlineLevel="0" collapsed="false">
      <c r="A208" s="5" t="s">
        <v>551</v>
      </c>
      <c r="B208" s="0" t="s">
        <v>86</v>
      </c>
      <c r="C208" s="38" t="n">
        <f aca="false">Q!$D$34</f>
        <v>2.406</v>
      </c>
      <c r="D208" s="38" t="n">
        <f aca="false">Q!$E$34</f>
        <v>2.274</v>
      </c>
      <c r="E208" s="38" t="n">
        <f aca="false">Q!$P$34</f>
        <v>2.114</v>
      </c>
      <c r="F208" s="38" t="n">
        <f aca="false">CF!$F$100</f>
        <v>3.24888962733561</v>
      </c>
      <c r="G208" s="38" t="n">
        <f aca="false">PL!$E$208+PL!$F$208</f>
        <v>5.36288962733561</v>
      </c>
      <c r="H208" s="38" t="n">
        <f aca="false">CF!$H$100</f>
        <v>7.42354172302123</v>
      </c>
      <c r="I208" s="38" t="n">
        <f aca="false">CF!$I$100</f>
        <v>8.25941641365132</v>
      </c>
      <c r="J208" s="38" t="n">
        <f aca="false">CF!$J$100</f>
        <v>9.98143948839194</v>
      </c>
      <c r="K208" s="38" t="n">
        <f aca="false">CF!$K$100</f>
        <v>9.98143948839194</v>
      </c>
      <c r="L208" s="38" t="n">
        <f aca="false">CF!$L$100</f>
        <v>9.98143948839194</v>
      </c>
      <c r="M208" s="38" t="n">
        <f aca="false">CF!$M$100</f>
        <v>9.98143948839194</v>
      </c>
      <c r="N208" s="38" t="n">
        <f aca="false">Q!$N$34</f>
        <v>1.057</v>
      </c>
      <c r="O208" s="38" t="n">
        <f aca="false">Q!$O$34</f>
        <v>1.217</v>
      </c>
    </row>
    <row r="209" customFormat="false" ht="15" hidden="false" customHeight="false" outlineLevel="0" collapsed="false">
      <c r="A209" s="5" t="s">
        <v>763</v>
      </c>
      <c r="B209" s="0" t="s">
        <v>86</v>
      </c>
      <c r="F209" s="38" t="n">
        <f aca="false">CF!$F$101</f>
        <v>2.59</v>
      </c>
      <c r="H209" s="38" t="n">
        <f aca="false">CF!$H$101</f>
        <v>4.08534320874867</v>
      </c>
      <c r="I209" s="38" t="n">
        <f aca="false">CF!$I$101</f>
        <v>2.10589651022864</v>
      </c>
      <c r="J209" s="38" t="n">
        <f aca="false">CF!$J$101</f>
        <v>2.10589651022864</v>
      </c>
      <c r="K209" s="38" t="n">
        <f aca="false">CF!$K$101</f>
        <v>2.37903737236338</v>
      </c>
      <c r="L209" s="38" t="n">
        <f aca="false">CF!$L$101</f>
        <v>6.47835099985353</v>
      </c>
      <c r="M209" s="38" t="n">
        <f aca="false">CF!$M$101</f>
        <v>12.8767135583378</v>
      </c>
    </row>
    <row r="210" customFormat="false" ht="17.15" hidden="false" customHeight="false" outlineLevel="0" collapsed="false">
      <c r="A210" s="5" t="s">
        <v>764</v>
      </c>
      <c r="B210" s="0" t="s">
        <v>86</v>
      </c>
      <c r="C210" s="38" t="n">
        <f aca="false">Q!$D$39</f>
        <v>2.427</v>
      </c>
      <c r="D210" s="38" t="n">
        <f aca="false">Q!$E$39</f>
        <v>19.61</v>
      </c>
      <c r="E210" s="38" t="n">
        <f aca="false">Q!$P$39</f>
        <v>71.492</v>
      </c>
      <c r="F210" s="39" t="n">
        <v>0</v>
      </c>
      <c r="G210" s="38" t="n">
        <f aca="false">PL!$E$210+PL!$F$210</f>
        <v>71.492</v>
      </c>
      <c r="H210" s="39" t="n">
        <v>0</v>
      </c>
      <c r="I210" s="39" t="n">
        <v>0</v>
      </c>
      <c r="J210" s="39" t="n">
        <v>0</v>
      </c>
      <c r="K210" s="39" t="n">
        <v>0</v>
      </c>
      <c r="L210" s="39" t="n">
        <v>0</v>
      </c>
      <c r="M210" s="39" t="n">
        <v>0</v>
      </c>
      <c r="N210" s="38" t="n">
        <f aca="false">Q!$N$39</f>
        <v>6.017</v>
      </c>
      <c r="O210" s="38" t="n">
        <f aca="false">Q!$O$39</f>
        <v>13.593</v>
      </c>
      <c r="P210" s="5" t="s">
        <v>765</v>
      </c>
    </row>
    <row r="211" customFormat="false" ht="15" hidden="false" customHeight="false" outlineLevel="0" collapsed="false">
      <c r="A211" s="5" t="s">
        <v>554</v>
      </c>
      <c r="B211" s="0" t="s">
        <v>86</v>
      </c>
      <c r="C211" s="38" t="n">
        <f aca="false">Q!$D$36</f>
        <v>68.614</v>
      </c>
      <c r="D211" s="38" t="n">
        <f aca="false">Q!$E$36</f>
        <v>97.311</v>
      </c>
      <c r="E211" s="38" t="n">
        <f aca="false">Q!$P$36</f>
        <v>120.691</v>
      </c>
      <c r="F211" s="38" t="n">
        <f aca="false">PL!$F$187-PL!$F$208+PL!$F$209+PL!$F$210</f>
        <v>54.8803507350071</v>
      </c>
      <c r="G211" s="38" t="n">
        <f aca="false">PL!$E$211+PL!$F$211</f>
        <v>175.571350735007</v>
      </c>
      <c r="H211" s="38" t="n">
        <f aca="false">PL!$H$187-PL!$H$208+PL!$H$209+PL!$H$210</f>
        <v>119.433657804083</v>
      </c>
      <c r="I211" s="38" t="n">
        <f aca="false">PL!$I$187-PL!$I$208+PL!$I$209+PL!$I$210</f>
        <v>125.487914298072</v>
      </c>
      <c r="J211" s="38" t="n">
        <f aca="false">PL!$J$187-PL!$J$208+PL!$J$209+PL!$J$210</f>
        <v>135.291329141586</v>
      </c>
      <c r="K211" s="38" t="n">
        <f aca="false">PL!$K$187-PL!$K$208+PL!$K$209+PL!$K$210</f>
        <v>141.302276729252</v>
      </c>
      <c r="L211" s="38" t="n">
        <f aca="false">PL!$L$187-PL!$L$208+PL!$L$209+PL!$L$210</f>
        <v>152.409521344003</v>
      </c>
      <c r="M211" s="38" t="n">
        <f aca="false">PL!$M$187-PL!$M$208+PL!$M$209+PL!$M$210</f>
        <v>168.817238525484</v>
      </c>
      <c r="N211" s="38" t="n">
        <f aca="false">Q!$N$36</f>
        <v>42.536</v>
      </c>
      <c r="O211" s="38" t="n">
        <f aca="false">Q!$O$36</f>
        <v>54.775</v>
      </c>
    </row>
    <row r="212" customFormat="false" ht="15" hidden="false" customHeight="false" outlineLevel="0" collapsed="false">
      <c r="A212" s="5" t="s">
        <v>555</v>
      </c>
      <c r="B212" s="0" t="s">
        <v>86</v>
      </c>
      <c r="C212" s="38" t="n">
        <f aca="false">Q!$D$37</f>
        <v>9.265</v>
      </c>
      <c r="D212" s="38" t="n">
        <f aca="false">Q!$E$37</f>
        <v>19.087</v>
      </c>
      <c r="E212" s="38" t="n">
        <f aca="false">Q!$P$37</f>
        <v>27.759</v>
      </c>
      <c r="F212" s="38" t="n">
        <f aca="false">PL!$F$211*tax</f>
        <v>9.52637970313208</v>
      </c>
      <c r="G212" s="38" t="n">
        <f aca="false">PL!$E$212+PL!$F$212</f>
        <v>37.2853797031321</v>
      </c>
      <c r="H212" s="38" t="n">
        <f aca="false">PL!$H$211*tax</f>
        <v>20.7318349525393</v>
      </c>
      <c r="I212" s="38" t="n">
        <f aca="false">PL!$I$211*tax</f>
        <v>21.7827602000907</v>
      </c>
      <c r="J212" s="38" t="n">
        <f aca="false">PL!$J$211*tax</f>
        <v>23.4844813249716</v>
      </c>
      <c r="K212" s="38" t="n">
        <f aca="false">PL!$K$211*tax</f>
        <v>24.5278888165204</v>
      </c>
      <c r="L212" s="38" t="n">
        <f aca="false">PL!$L$211*tax</f>
        <v>26.455934615036</v>
      </c>
      <c r="M212" s="38" t="n">
        <f aca="false">PL!$M$211*tax</f>
        <v>29.304060434915</v>
      </c>
      <c r="N212" s="38" t="n">
        <f aca="false">Q!$N$37</f>
        <v>7.231</v>
      </c>
      <c r="O212" s="38" t="n">
        <f aca="false">Q!$O$37</f>
        <v>11.856</v>
      </c>
    </row>
    <row r="213" customFormat="false" ht="15" hidden="false" customHeight="false" outlineLevel="0" collapsed="false">
      <c r="A213" s="3" t="s">
        <v>556</v>
      </c>
      <c r="B213" s="8" t="s">
        <v>86</v>
      </c>
      <c r="C213" s="38" t="n">
        <f aca="false">Q!$D$38</f>
        <v>59.248</v>
      </c>
      <c r="D213" s="38" t="n">
        <f aca="false">Q!$E$38</f>
        <v>77.67</v>
      </c>
      <c r="E213" s="38" t="n">
        <f aca="false">Q!$P$38</f>
        <v>92.902</v>
      </c>
      <c r="F213" s="38" t="n">
        <f aca="false">PL!$F$211-PL!$F$212</f>
        <v>45.3539710318751</v>
      </c>
      <c r="G213" s="38" t="n">
        <f aca="false">PL!$E$213+PL!$F$213</f>
        <v>138.255971031875</v>
      </c>
      <c r="H213" s="38" t="n">
        <f aca="false">PL!$H$211-PL!$H$212</f>
        <v>98.7018228515433</v>
      </c>
      <c r="I213" s="38" t="n">
        <f aca="false">PL!$I$211-PL!$I$212</f>
        <v>103.705154097981</v>
      </c>
      <c r="J213" s="38" t="n">
        <f aca="false">PL!$J$211-PL!$J$212</f>
        <v>111.806847816615</v>
      </c>
      <c r="K213" s="38" t="n">
        <f aca="false">PL!$K$211-PL!$K$212</f>
        <v>116.774387912732</v>
      </c>
      <c r="L213" s="38" t="n">
        <f aca="false">PL!$L$211-PL!$L$212</f>
        <v>125.953586728967</v>
      </c>
      <c r="M213" s="38" t="n">
        <f aca="false">PL!$M$211-PL!$M$212</f>
        <v>139.513178090569</v>
      </c>
      <c r="N213" s="38" t="n">
        <f aca="false">Q!$N$38</f>
        <v>35.291</v>
      </c>
      <c r="O213" s="38" t="n">
        <f aca="false">Q!$O$38</f>
        <v>42.379</v>
      </c>
    </row>
    <row r="214" customFormat="false" ht="17.15" hidden="false" customHeight="false" outlineLevel="0" collapsed="false">
      <c r="A214" s="5" t="s">
        <v>559</v>
      </c>
      <c r="B214" s="5" t="s">
        <v>33</v>
      </c>
      <c r="C214" s="22" t="n">
        <f aca="false">Q!$D$41</f>
        <v>10.721</v>
      </c>
      <c r="D214" s="22" t="n">
        <f aca="false">Q!$E$41</f>
        <v>10.827</v>
      </c>
      <c r="E214" s="22" t="n">
        <f aca="false">(Q!$L$41+Q!$M$41)/2</f>
        <v>10.8885</v>
      </c>
      <c r="F214" s="22" t="n">
        <f aca="false">PL!$G$214</f>
        <v>10.924806</v>
      </c>
      <c r="G214" s="22" t="n">
        <f aca="false">Q!$M$41*(1+sh_g*0.25)</f>
        <v>10.924806</v>
      </c>
      <c r="H214" s="22" t="n">
        <f aca="false">PL!$G$214*(1+sh_g)</f>
        <v>11.012204448</v>
      </c>
      <c r="I214" s="22" t="n">
        <f aca="false">PL!$H$214*(1+sh_g)</f>
        <v>11.100302083584</v>
      </c>
      <c r="J214" s="22" t="n">
        <f aca="false">PL!$I$214*(1+sh_g)</f>
        <v>11.1891045002527</v>
      </c>
      <c r="K214" s="22" t="n">
        <f aca="false">PL!$J$214*(1+sh_g)</f>
        <v>11.2786173362547</v>
      </c>
      <c r="L214" s="22" t="n">
        <f aca="false">PL!$K$214*(1+sh_g)</f>
        <v>11.3688462749447</v>
      </c>
      <c r="M214" s="22" t="n">
        <f aca="false">PL!$L$214*(1+sh_g)</f>
        <v>11.4597970451443</v>
      </c>
      <c r="P214" s="5" t="s">
        <v>766</v>
      </c>
    </row>
    <row r="215" customFormat="false" ht="17.15" hidden="false" customHeight="false" outlineLevel="0" collapsed="false">
      <c r="A215" s="5" t="s">
        <v>767</v>
      </c>
      <c r="B215" s="0" t="s">
        <v>86</v>
      </c>
      <c r="C215" s="38" t="n">
        <f aca="false">PL!$C$213+PL!$C$189*(1-tax)</f>
        <v>59.248</v>
      </c>
      <c r="D215" s="38" t="n">
        <f aca="false">PL!$D$213+PL!$D$189*(1-tax)</f>
        <v>77.67</v>
      </c>
      <c r="E215" s="38" t="n">
        <f aca="false">PL!$E$213+PL!$E$189*(1-tax)</f>
        <v>92.902</v>
      </c>
      <c r="F215" s="38" t="n">
        <f aca="false">PL!$F$213+PL!$F$189*(1-tax)</f>
        <v>48.4705659915237</v>
      </c>
      <c r="G215" s="38" t="n">
        <f aca="false">PL!$G$213+PL!$G$189*(1-tax)</f>
        <v>141.372565991524</v>
      </c>
      <c r="H215" s="38" t="n">
        <f aca="false">PL!$H$213+PL!$H$189*(1-tax)</f>
        <v>111.233218806888</v>
      </c>
      <c r="I215" s="38" t="n">
        <f aca="false">PL!$I$213+PL!$I$189*(1-tax)</f>
        <v>124.846419172921</v>
      </c>
      <c r="J215" s="38" t="n">
        <f aca="false">PL!$J$213+PL!$J$189*(1-tax)</f>
        <v>141.596284760898</v>
      </c>
      <c r="K215" s="38" t="n">
        <f aca="false">PL!$K$213+PL!$K$189*(1-tax)</f>
        <v>153.941693609391</v>
      </c>
      <c r="L215" s="38" t="n">
        <f aca="false">PL!$L$213+PL!$L$189*(1-tax)</f>
        <v>167.969664069523</v>
      </c>
      <c r="M215" s="38" t="n">
        <f aca="false">PL!$M$213+PL!$M$189*(1-tax)</f>
        <v>183.84270028141</v>
      </c>
      <c r="N215" s="38" t="n">
        <f aca="false">PL!$N$213+PL!$N$189*(1-tax)</f>
        <v>35.291</v>
      </c>
      <c r="O215" s="38" t="n">
        <f aca="false">PL!$O$213+PL!$O$189*(1-tax)</f>
        <v>42.379</v>
      </c>
    </row>
    <row r="216" customFormat="false" ht="17.15" hidden="false" customHeight="false" outlineLevel="0" collapsed="false">
      <c r="A216" s="43" t="s">
        <v>768</v>
      </c>
      <c r="B216" s="14" t="s">
        <v>27</v>
      </c>
      <c r="C216" s="44" t="n">
        <f aca="false">PL!$C$215/PL!$C$214</f>
        <v>5.52635015390355</v>
      </c>
      <c r="D216" s="44" t="n">
        <f aca="false">PL!$D$215/PL!$D$214</f>
        <v>7.1737323358271</v>
      </c>
      <c r="E216" s="44" t="n">
        <f aca="false">PL!$E$215/PL!$E$214</f>
        <v>8.53212104513937</v>
      </c>
      <c r="F216" s="14"/>
      <c r="G216" s="44" t="n">
        <f aca="false">PL!$G$215/PL!$G$214</f>
        <v>12.940510430256</v>
      </c>
      <c r="H216" s="44" t="n">
        <f aca="false">PL!$H$215/PL!$H$214</f>
        <v>10.1009038955039</v>
      </c>
      <c r="I216" s="44" t="n">
        <f aca="false">PL!$I$215/PL!$I$214</f>
        <v>11.2471190633229</v>
      </c>
      <c r="J216" s="44" t="n">
        <f aca="false">PL!$J$215/PL!$J$214</f>
        <v>12.654836207643</v>
      </c>
      <c r="K216" s="44" t="n">
        <f aca="false">PL!$K$215/PL!$K$214</f>
        <v>13.6489863092128</v>
      </c>
      <c r="L216" s="44" t="n">
        <f aca="false">PL!$L$215/PL!$L$214</f>
        <v>14.7745567146689</v>
      </c>
      <c r="M216" s="44" t="n">
        <f aca="false">PL!$M$215/PL!$M$214</f>
        <v>16.0424045519468</v>
      </c>
      <c r="N216" s="14"/>
      <c r="O216" s="14"/>
    </row>
    <row r="217" customFormat="false" ht="17.15" hidden="false" customHeight="false" outlineLevel="0" collapsed="false">
      <c r="A217" s="0" t="s">
        <v>769</v>
      </c>
      <c r="B217" s="0" t="s">
        <v>27</v>
      </c>
      <c r="C217" s="30" t="n">
        <f aca="false">PL!$C$213/PL!$C$214</f>
        <v>5.52635015390355</v>
      </c>
      <c r="D217" s="30" t="n">
        <f aca="false">PL!$D$213/PL!$D$214</f>
        <v>7.1737323358271</v>
      </c>
      <c r="E217" s="30" t="n">
        <f aca="false">PL!$E$213/PL!$E$214</f>
        <v>8.53212104513937</v>
      </c>
      <c r="G217" s="30" t="n">
        <f aca="false">PL!$G$213/PL!$G$214</f>
        <v>12.6552335146157</v>
      </c>
      <c r="H217" s="30" t="n">
        <f aca="false">PL!$H$213/PL!$H$214</f>
        <v>8.96294863736109</v>
      </c>
      <c r="I217" s="30" t="n">
        <f aca="false">PL!$I$213/PL!$I$214</f>
        <v>9.34255242038401</v>
      </c>
      <c r="J217" s="30" t="n">
        <f aca="false">PL!$J$213/PL!$J$214</f>
        <v>9.99247507377286</v>
      </c>
      <c r="K217" s="30" t="n">
        <f aca="false">PL!$K$213/PL!$K$214</f>
        <v>10.353608463811</v>
      </c>
      <c r="L217" s="30" t="n">
        <f aca="false">PL!$L$213/PL!$L$214</f>
        <v>11.078836293754</v>
      </c>
      <c r="M217" s="30" t="n">
        <f aca="false">PL!$M$213/PL!$M$214</f>
        <v>12.1741403919263</v>
      </c>
    </row>
    <row r="218" customFormat="false" ht="17.15" hidden="false" customHeight="false" outlineLevel="0" collapsed="false">
      <c r="A218" s="0" t="s">
        <v>770</v>
      </c>
      <c r="B218" s="0" t="s">
        <v>27</v>
      </c>
      <c r="C218" s="30" t="n">
        <f aca="false">(PL!$C$213-PL!$C$210*(1-tax))/PL!$C$214</f>
        <v>5.33926775917445</v>
      </c>
      <c r="D218" s="30" t="n">
        <f aca="false">(PL!$D$213-PL!$D$210*(1-tax))/PL!$D$214</f>
        <v>5.67691812755503</v>
      </c>
      <c r="E218" s="30" t="n">
        <f aca="false">(PL!$E$213-PL!$E$210*(1-tax))/PL!$E$214</f>
        <v>3.10602057006846</v>
      </c>
      <c r="G218" s="30" t="n">
        <f aca="false">(PL!$G$213-PL!$G$210*(1-tax))/PL!$G$214</f>
        <v>7.24716539671875</v>
      </c>
      <c r="H218" s="30" t="n">
        <f aca="false">(PL!$H$213-PL!$H$210*(1-tax))/PL!$H$214</f>
        <v>8.96294863736109</v>
      </c>
      <c r="I218" s="30" t="n">
        <f aca="false">(PL!$I$213-PL!$I$210*(1-tax))/PL!$I$214</f>
        <v>9.34255242038401</v>
      </c>
      <c r="J218" s="30" t="n">
        <f aca="false">(PL!$J$213-PL!$J$210*(1-tax))/PL!$J$214</f>
        <v>9.99247507377286</v>
      </c>
      <c r="K218" s="30" t="n">
        <f aca="false">(PL!$K$213-PL!$K$210*(1-tax))/PL!$K$214</f>
        <v>10.353608463811</v>
      </c>
      <c r="L218" s="30" t="n">
        <f aca="false">(PL!$L$213-PL!$L$210*(1-tax))/PL!$L$214</f>
        <v>11.078836293754</v>
      </c>
      <c r="M218" s="30" t="n">
        <f aca="false">(PL!$M$213-PL!$M$210*(1-tax))/PL!$M$214</f>
        <v>12.1741403919263</v>
      </c>
      <c r="P218" s="5" t="s">
        <v>771</v>
      </c>
    </row>
    <row r="219" customFormat="false" ht="17.15" hidden="false" customHeight="false" outlineLevel="0" collapsed="false">
      <c r="A219" s="0" t="s">
        <v>772</v>
      </c>
      <c r="B219" s="0" t="s">
        <v>52</v>
      </c>
      <c r="H219" s="13" t="n">
        <f aca="false">PL!$H$216/PL!$G$216-1</f>
        <v>-0.219435434951077</v>
      </c>
      <c r="I219" s="13" t="n">
        <f aca="false">PL!$I$216/PL!$H$216-1</f>
        <v>0.113476494745115</v>
      </c>
      <c r="J219" s="13" t="n">
        <f aca="false">PL!$J$216/PL!$I$216-1</f>
        <v>0.125162464840498</v>
      </c>
      <c r="K219" s="13" t="n">
        <f aca="false">PL!$K$216/PL!$J$216-1</f>
        <v>0.0785589070658566</v>
      </c>
      <c r="L219" s="13" t="n">
        <f aca="false">PL!$L$216/PL!$K$216-1</f>
        <v>0.0824654945031562</v>
      </c>
      <c r="M219" s="13" t="n">
        <f aca="false">PL!$M$216/PL!$L$216-1</f>
        <v>0.0858129189093848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779</v>
      </c>
    </row>
    <row r="4" customFormat="false" ht="15" hidden="false" customHeight="false" outlineLevel="0" collapsed="false">
      <c r="A4" s="3" t="s">
        <v>780</v>
      </c>
    </row>
    <row r="5" customFormat="false" ht="17.15" hidden="false" customHeight="false" outlineLevel="0" collapsed="false">
      <c r="A5" s="6" t="s">
        <v>16</v>
      </c>
      <c r="B5" s="20" t="s">
        <v>781</v>
      </c>
      <c r="C5" s="20" t="s">
        <v>782</v>
      </c>
      <c r="D5" s="20" t="s">
        <v>783</v>
      </c>
      <c r="E5" s="6" t="s">
        <v>784</v>
      </c>
      <c r="F5" s="6" t="s">
        <v>23</v>
      </c>
    </row>
    <row r="6" customFormat="false" ht="17.15" hidden="false" customHeight="false" outlineLevel="0" collapsed="false">
      <c r="A6" s="15" t="s">
        <v>785</v>
      </c>
      <c r="B6" s="45" t="n">
        <f aca="false">CF!$G$40</f>
        <v>205.545491515344</v>
      </c>
      <c r="C6" s="45" t="n">
        <f aca="false">CF!$G$71</f>
        <v>19.0072988716234</v>
      </c>
      <c r="D6" s="45" t="n">
        <f aca="false">CF!$G$102</f>
        <v>-43.2235641042111</v>
      </c>
      <c r="E6" s="45" t="n">
        <f aca="false">w_A*B6+w_B*C6+w_C*D6</f>
        <v>50.084131288595</v>
      </c>
      <c r="F6" s="14" t="s">
        <v>786</v>
      </c>
    </row>
    <row r="7" customFormat="false" ht="17.15" hidden="false" customHeight="false" outlineLevel="0" collapsed="false">
      <c r="A7" s="0" t="s">
        <v>787</v>
      </c>
      <c r="B7" s="46" t="n">
        <f aca="false">CF!$G$41</f>
        <v>0</v>
      </c>
      <c r="C7" s="46" t="n">
        <f aca="false">CF!$G$72</f>
        <v>21.6756945638408</v>
      </c>
      <c r="D7" s="46" t="n">
        <f aca="false">CF!$G$103</f>
        <v>40.4091274150191</v>
      </c>
    </row>
    <row r="8" customFormat="false" ht="17.15" hidden="false" customHeight="false" outlineLevel="0" collapsed="false">
      <c r="A8" s="5" t="s">
        <v>788</v>
      </c>
      <c r="B8" s="0" t="str">
        <f aca="false">IF(B7&gt;=1,"需要舉債",IF(B7&gt;0,"幾乎不需要（新增借款少於 1）","不需要（現金足以支應）"))</f>
        <v>不需要（現金足以支應）</v>
      </c>
      <c r="C8" s="0" t="str">
        <f aca="false">IF(C7&gt;=1,"需要舉債",IF(C7&gt;0,"幾乎不需要（新增借款少於 1）","不需要（現金足以支應）"))</f>
        <v>需要舉債</v>
      </c>
      <c r="D8" s="0" t="str">
        <f aca="false">IF(D7&gt;=1,"需要舉債",IF(D7&gt;0,"幾乎不需要（新增借款少於 1）","不需要（現金足以支應）"))</f>
        <v>需要舉債</v>
      </c>
      <c r="F8" s="5" t="s">
        <v>789</v>
      </c>
    </row>
    <row r="9" customFormat="false" ht="17.15" hidden="false" customHeight="false" outlineLevel="0" collapsed="false">
      <c r="A9" s="5" t="s">
        <v>790</v>
      </c>
      <c r="B9" s="5" t="s">
        <v>791</v>
      </c>
      <c r="C9" s="5" t="s">
        <v>791</v>
      </c>
      <c r="D9" s="5" t="s">
        <v>791</v>
      </c>
    </row>
    <row r="10" customFormat="false" ht="17.15" hidden="false" customHeight="false" outlineLevel="0" collapsed="false">
      <c r="A10" s="0" t="s">
        <v>792</v>
      </c>
      <c r="B10" s="46" t="n">
        <f aca="false">CF!$I$29</f>
        <v>19.9814175287687</v>
      </c>
      <c r="C10" s="46" t="n">
        <f aca="false">CF!$I$60</f>
        <v>-15.0303903946055</v>
      </c>
      <c r="D10" s="46" t="n">
        <f aca="false">CF!$I$91</f>
        <v>-27.2041559990619</v>
      </c>
    </row>
    <row r="11" customFormat="false" ht="15" hidden="false" customHeight="false" outlineLevel="0" collapsed="false">
      <c r="A11" s="24" t="s">
        <v>793</v>
      </c>
      <c r="B11" s="42" t="n">
        <f aca="false">ABS(CF!$G$42)+ABS(CF!$G$73)+ABS(CF!$G$104)</f>
        <v>0</v>
      </c>
      <c r="C11" s="25"/>
      <c r="D11" s="25"/>
      <c r="E11" s="25"/>
      <c r="F11" s="25"/>
    </row>
    <row r="14" customFormat="false" ht="19.4" hidden="false" customHeight="false" outlineLevel="0" collapsed="false">
      <c r="A14" s="31" t="s">
        <v>794</v>
      </c>
    </row>
    <row r="15" customFormat="false" ht="17.15" hidden="false" customHeight="false" outlineLevel="0" collapsed="false">
      <c r="A15" s="6" t="s">
        <v>16</v>
      </c>
      <c r="B15" s="6" t="s">
        <v>17</v>
      </c>
      <c r="C15" s="20" t="s">
        <v>504</v>
      </c>
      <c r="D15" s="20" t="s">
        <v>505</v>
      </c>
      <c r="E15" s="20" t="s">
        <v>587</v>
      </c>
      <c r="F15" s="20" t="s">
        <v>588</v>
      </c>
      <c r="G15" s="20" t="s">
        <v>589</v>
      </c>
      <c r="H15" s="20" t="s">
        <v>590</v>
      </c>
      <c r="I15" s="20" t="s">
        <v>591</v>
      </c>
      <c r="J15" s="20" t="s">
        <v>592</v>
      </c>
      <c r="K15" s="20" t="s">
        <v>593</v>
      </c>
      <c r="L15" s="20" t="s">
        <v>594</v>
      </c>
      <c r="M15" s="20" t="s">
        <v>595</v>
      </c>
      <c r="N15" s="20" t="s">
        <v>596</v>
      </c>
      <c r="O15" s="20" t="s">
        <v>597</v>
      </c>
      <c r="P15" s="6" t="s">
        <v>23</v>
      </c>
      <c r="R15" s="20" t="n">
        <v>2023</v>
      </c>
      <c r="S15" s="20" t="n">
        <v>2024</v>
      </c>
      <c r="T15" s="20" t="n">
        <v>2025</v>
      </c>
      <c r="U15" s="20" t="n">
        <v>2026</v>
      </c>
      <c r="V15" s="20" t="n">
        <v>2027</v>
      </c>
      <c r="W15" s="20" t="n">
        <v>2028</v>
      </c>
      <c r="X15" s="20" t="n">
        <v>2029</v>
      </c>
      <c r="Y15" s="20" t="n">
        <v>2030</v>
      </c>
      <c r="Z15" s="20" t="n">
        <v>2031</v>
      </c>
      <c r="AA15" s="20" t="n">
        <v>2032</v>
      </c>
    </row>
    <row r="16" customFormat="false" ht="15" hidden="false" customHeight="false" outlineLevel="0" collapsed="false">
      <c r="A16" s="5" t="s">
        <v>556</v>
      </c>
      <c r="B16" s="0" t="s">
        <v>86</v>
      </c>
      <c r="C16" s="38" t="n">
        <f aca="false">PL!$C$73</f>
        <v>59.248</v>
      </c>
      <c r="D16" s="38" t="n">
        <f aca="false">PL!$D$73</f>
        <v>77.67</v>
      </c>
      <c r="E16" s="38" t="n">
        <f aca="false">PL!$E$73</f>
        <v>92.902</v>
      </c>
      <c r="F16" s="38" t="n">
        <f aca="false">PL!$F$73</f>
        <v>48.3280183978426</v>
      </c>
      <c r="G16" s="38" t="n">
        <f aca="false">PL!$G$73</f>
        <v>141.230018397843</v>
      </c>
      <c r="H16" s="38" t="n">
        <f aca="false">PL!$H$73</f>
        <v>123.092928694359</v>
      </c>
      <c r="I16" s="38" t="n">
        <f aca="false">PL!$I$73</f>
        <v>153.472354661954</v>
      </c>
      <c r="J16" s="38" t="n">
        <f aca="false">PL!$J$73</f>
        <v>188.227632431839</v>
      </c>
      <c r="K16" s="38" t="n">
        <f aca="false">PL!$K$73</f>
        <v>216.664763596758</v>
      </c>
      <c r="L16" s="38" t="n">
        <f aca="false">PL!$L$73</f>
        <v>243.070894706522</v>
      </c>
      <c r="M16" s="38" t="n">
        <f aca="false">PL!$M$73</f>
        <v>267.359558459264</v>
      </c>
    </row>
    <row r="17" customFormat="false" ht="17.15" hidden="false" customHeight="false" outlineLevel="0" collapsed="false">
      <c r="A17" s="5" t="s">
        <v>795</v>
      </c>
      <c r="B17" s="0" t="s">
        <v>86</v>
      </c>
      <c r="C17" s="38" t="n">
        <f aca="false">PL!$C$61</f>
        <v>32.067</v>
      </c>
      <c r="D17" s="38" t="n">
        <f aca="false">PL!$D$61</f>
        <v>41.86</v>
      </c>
      <c r="E17" s="38" t="n">
        <f aca="false">PL!$E$61</f>
        <v>26.703</v>
      </c>
      <c r="F17" s="38" t="n">
        <f aca="false">PL!$F$61</f>
        <v>29.152860869477</v>
      </c>
      <c r="G17" s="38" t="n">
        <f aca="false">PL!$G$61</f>
        <v>55.855860869477</v>
      </c>
      <c r="H17" s="38" t="n">
        <f aca="false">PL!$H$61</f>
        <v>81.5618233196153</v>
      </c>
      <c r="I17" s="38" t="n">
        <f aca="false">PL!$I$61</f>
        <v>119.509110969829</v>
      </c>
      <c r="J17" s="38" t="n">
        <f aca="false">PL!$J$61</f>
        <v>154.002791727166</v>
      </c>
      <c r="K17" s="38" t="n">
        <f aca="false">PL!$K$61</f>
        <v>188.705205034944</v>
      </c>
      <c r="L17" s="38" t="n">
        <f aca="false">PL!$L$61</f>
        <v>214.78770535695</v>
      </c>
      <c r="M17" s="38" t="n">
        <f aca="false">PL!$M$61</f>
        <v>232.18852660931</v>
      </c>
    </row>
    <row r="18" customFormat="false" ht="15" hidden="false" customHeight="false" outlineLevel="0" collapsed="false">
      <c r="A18" s="5" t="s">
        <v>796</v>
      </c>
      <c r="B18" s="0" t="s">
        <v>86</v>
      </c>
      <c r="C18" s="38" t="n">
        <f aca="false">Q!$D$48</f>
        <v>22.011</v>
      </c>
      <c r="D18" s="38" t="n">
        <f aca="false">Q!$E$48</f>
        <v>19.467</v>
      </c>
      <c r="E18" s="38" t="n">
        <f aca="false">Q!$P$48</f>
        <v>10.07</v>
      </c>
      <c r="F18" s="38" t="n">
        <f aca="false">sbc_r*Seg!$F$30</f>
        <v>10.920601270903</v>
      </c>
      <c r="G18" s="38" t="n">
        <f aca="false">CF!$E$18+CF!$F$18</f>
        <v>20.990601270903</v>
      </c>
      <c r="H18" s="38" t="n">
        <f aca="false">sbc_r*Seg!$H$30</f>
        <v>24.0328886828173</v>
      </c>
      <c r="I18" s="38" t="n">
        <f aca="false">sbc_r*Seg!$I$30</f>
        <v>27.7722273348177</v>
      </c>
      <c r="J18" s="38" t="n">
        <f aca="false">sbc_r*Seg!$J$30</f>
        <v>31.3793185956819</v>
      </c>
      <c r="K18" s="38" t="n">
        <f aca="false">sbc_r*Seg!$K$30</f>
        <v>34.5270470774926</v>
      </c>
      <c r="L18" s="38" t="n">
        <f aca="false">sbc_r*Seg!$L$30</f>
        <v>37.3261965235336</v>
      </c>
      <c r="M18" s="38" t="n">
        <f aca="false">sbc_r*Seg!$M$30</f>
        <v>39.7853009887732</v>
      </c>
    </row>
    <row r="19" customFormat="false" ht="17.15" hidden="false" customHeight="false" outlineLevel="0" collapsed="false">
      <c r="A19" s="5" t="s">
        <v>797</v>
      </c>
      <c r="B19" s="0" t="s">
        <v>86</v>
      </c>
      <c r="C19" s="38" t="n">
        <f aca="false">Q!$D$44-CF!$C$16-CF!$C$17-CF!$C$18</f>
        <v>2.551</v>
      </c>
      <c r="D19" s="38" t="n">
        <f aca="false">Q!$E$44-CF!$D$16-CF!$D$17-CF!$D$18</f>
        <v>0.51700000000001</v>
      </c>
      <c r="E19" s="38" t="n">
        <f aca="false">Q!$P$44-CF!$E$16-CF!$E$17-CF!$E$18</f>
        <v>-58.256</v>
      </c>
      <c r="F19" s="38" t="n">
        <f aca="false">oth_r*Seg!$F$30</f>
        <v>5.2562956146242</v>
      </c>
      <c r="G19" s="38" t="n">
        <f aca="false">CF!$E$19+CF!$F$19</f>
        <v>-52.9997043853758</v>
      </c>
      <c r="H19" s="38" t="n">
        <f aca="false">oth_r*Seg!$H$30</f>
        <v>11.5674919591491</v>
      </c>
      <c r="I19" s="38" t="n">
        <f aca="false">oth_r*Seg!$I$30</f>
        <v>13.367307635093</v>
      </c>
      <c r="J19" s="38" t="n">
        <f aca="false">oth_r*Seg!$J$30</f>
        <v>15.1034700959042</v>
      </c>
      <c r="K19" s="38" t="n">
        <f aca="false">oth_r*Seg!$K$30</f>
        <v>16.6185324083662</v>
      </c>
      <c r="L19" s="38" t="n">
        <f aca="false">oth_r*Seg!$L$30</f>
        <v>17.9658169207222</v>
      </c>
      <c r="M19" s="38" t="n">
        <f aca="false">oth_r*Seg!$M$30</f>
        <v>19.1494312379102</v>
      </c>
      <c r="P19" s="8" t="s">
        <v>798</v>
      </c>
    </row>
    <row r="20" customFormat="false" ht="15" hidden="false" customHeight="false" outlineLevel="0" collapsed="false">
      <c r="A20" s="3" t="s">
        <v>562</v>
      </c>
      <c r="B20" s="8" t="s">
        <v>86</v>
      </c>
      <c r="C20" s="38" t="n">
        <f aca="false">Q!$D$44</f>
        <v>115.877</v>
      </c>
      <c r="D20" s="38" t="n">
        <f aca="false">Q!$E$44</f>
        <v>139.514</v>
      </c>
      <c r="E20" s="38" t="n">
        <f aca="false">Q!$P$44</f>
        <v>71.419</v>
      </c>
      <c r="F20" s="38" t="n">
        <f aca="false">CF!$F$16+CF!$F$17+CF!$F$18+CF!$F$19</f>
        <v>93.6577761528468</v>
      </c>
      <c r="G20" s="38" t="n">
        <f aca="false">CF!$E$20+CF!$F$20</f>
        <v>165.076776152847</v>
      </c>
      <c r="H20" s="38" t="n">
        <f aca="false">CF!$H$16+CF!$H$17+CF!$H$18+CF!$H$19</f>
        <v>240.25513265594</v>
      </c>
      <c r="I20" s="38" t="n">
        <f aca="false">CF!$I$16+CF!$I$17+CF!$I$18+CF!$I$19</f>
        <v>314.121000601694</v>
      </c>
      <c r="J20" s="38" t="n">
        <f aca="false">CF!$J$16+CF!$J$17+CF!$J$18+CF!$J$19</f>
        <v>388.713212850591</v>
      </c>
      <c r="K20" s="38" t="n">
        <f aca="false">CF!$K$16+CF!$K$17+CF!$K$18+CF!$K$19</f>
        <v>456.515548117561</v>
      </c>
      <c r="L20" s="38" t="n">
        <f aca="false">CF!$L$16+CF!$L$17+CF!$L$18+CF!$L$19</f>
        <v>513.150613507728</v>
      </c>
      <c r="M20" s="38" t="n">
        <f aca="false">CF!$M$16+CF!$M$17+CF!$M$18+CF!$M$19</f>
        <v>558.482817295257</v>
      </c>
    </row>
    <row r="21" customFormat="false" ht="17.15" hidden="false" customHeight="false" outlineLevel="0" collapsed="false">
      <c r="A21" s="5" t="s">
        <v>799</v>
      </c>
      <c r="B21" s="0" t="s">
        <v>86</v>
      </c>
      <c r="C21" s="38" t="n">
        <f aca="false">Thesis!$C$35</f>
        <v>25.2781053077374</v>
      </c>
      <c r="D21" s="38" t="n">
        <f aca="false">Thesis!$D$35</f>
        <v>69.5686316310026</v>
      </c>
      <c r="E21" s="38" t="n">
        <f aca="false">Thesis!$E$35</f>
        <v>64.1899206485108</v>
      </c>
      <c r="F21" s="38" t="n">
        <f aca="false">Thesis!$F$35</f>
        <v>88.7165504612134</v>
      </c>
      <c r="G21" s="38" t="n">
        <f aca="false">Thesis!$G$35</f>
        <v>152.906471109724</v>
      </c>
      <c r="H21" s="38" t="n">
        <f aca="false">Thesis!$H$35</f>
        <v>203.9641486225</v>
      </c>
      <c r="I21" s="38" t="n">
        <f aca="false">Thesis!$I$35</f>
        <v>210.204240755</v>
      </c>
      <c r="J21" s="38" t="n">
        <f aca="false">Thesis!$J$35</f>
        <v>215.441008955</v>
      </c>
      <c r="K21" s="38" t="n">
        <f aca="false">Thesis!$K$35</f>
        <v>159.138087817758</v>
      </c>
      <c r="L21" s="38" t="n">
        <f aca="false">Thesis!$L$35</f>
        <v>134.255775880517</v>
      </c>
      <c r="M21" s="38" t="n">
        <f aca="false">Thesis!$M$35</f>
        <v>134.968168520775</v>
      </c>
    </row>
    <row r="22" customFormat="false" ht="17.15" hidden="false" customHeight="false" outlineLevel="0" collapsed="false">
      <c r="A22" s="5" t="s">
        <v>800</v>
      </c>
      <c r="B22" s="0" t="s">
        <v>86</v>
      </c>
      <c r="C22" s="38" t="n">
        <f aca="false">cx_awso*Seg!$C$28</f>
        <v>21.0469989286053</v>
      </c>
      <c r="D22" s="38" t="n">
        <f aca="false">cx_awso*Seg!$D$28</f>
        <v>24.0042459822698</v>
      </c>
      <c r="E22" s="38" t="n">
        <f aca="false">cx_awso*Seg!$E$28</f>
        <v>14.261729404886</v>
      </c>
      <c r="F22" s="38" t="n">
        <f aca="false">cx_awso*Seg!$F$28</f>
        <v>14.3538599588493</v>
      </c>
      <c r="G22" s="38" t="n">
        <f aca="false">CF!$E$22+CF!$F$22</f>
        <v>28.6155893637353</v>
      </c>
      <c r="H22" s="38" t="n">
        <f aca="false">cx_awso*Seg!$H$28</f>
        <v>32.2034154158406</v>
      </c>
      <c r="I22" s="38" t="n">
        <f aca="false">cx_awso*Seg!$I$28</f>
        <v>35.7539519042915</v>
      </c>
      <c r="J22" s="38" t="n">
        <f aca="false">cx_awso*Seg!$J$28</f>
        <v>39.1551076091815</v>
      </c>
      <c r="K22" s="38" t="n">
        <f aca="false">cx_awso*Seg!$K$28</f>
        <v>42.287516217916</v>
      </c>
      <c r="L22" s="38" t="n">
        <f aca="false">cx_awso*Seg!$L$28</f>
        <v>45.6705175153492</v>
      </c>
      <c r="M22" s="38" t="n">
        <f aca="false">cx_awso*Seg!$M$28</f>
        <v>49.3241589165772</v>
      </c>
    </row>
    <row r="23" customFormat="false" ht="17.15" hidden="false" customHeight="false" outlineLevel="0" collapsed="false">
      <c r="A23" s="5" t="s">
        <v>801</v>
      </c>
      <c r="B23" s="0" t="s">
        <v>86</v>
      </c>
      <c r="C23" s="38" t="n">
        <f aca="false">Q!$D$46-CF!$C$21-CF!$C$22</f>
        <v>31.3328957636573</v>
      </c>
      <c r="D23" s="38" t="n">
        <f aca="false">Q!$E$46-CF!$D$21-CF!$D$22</f>
        <v>34.7471223867276</v>
      </c>
      <c r="E23" s="38" t="n">
        <f aca="false">Q!$P$46-CF!$E$21-CF!$E$22</f>
        <v>17.8583499466032</v>
      </c>
      <c r="F23" s="38" t="n">
        <f aca="false">cx_rt*Seg!$F$20</f>
        <v>20.6195895799373</v>
      </c>
      <c r="G23" s="38" t="n">
        <f aca="false">CF!$E$23+CF!$F$23</f>
        <v>38.4779395265405</v>
      </c>
      <c r="H23" s="38" t="n">
        <f aca="false">cx_rt*Seg!$H$20</f>
        <v>42.5978994743075</v>
      </c>
      <c r="I23" s="38" t="n">
        <f aca="false">cx_rt*Seg!$I$20</f>
        <v>46.5813904136335</v>
      </c>
      <c r="J23" s="38" t="n">
        <f aca="false">cx_rt*Seg!$J$20</f>
        <v>50.2781676586844</v>
      </c>
      <c r="K23" s="38" t="n">
        <f aca="false">cx_rt*Seg!$K$20</f>
        <v>53.5312440191755</v>
      </c>
      <c r="L23" s="38" t="n">
        <f aca="false">cx_rt*Seg!$L$20</f>
        <v>57.0116717051447</v>
      </c>
      <c r="M23" s="38" t="n">
        <f aca="false">cx_rt*Seg!$M$20</f>
        <v>60.7365554669226</v>
      </c>
    </row>
    <row r="24" customFormat="false" ht="15" hidden="false" customHeight="false" outlineLevel="0" collapsed="false">
      <c r="A24" s="3" t="s">
        <v>802</v>
      </c>
      <c r="B24" s="8" t="s">
        <v>86</v>
      </c>
      <c r="C24" s="38" t="n">
        <f aca="false">Q!$D$46</f>
        <v>77.658</v>
      </c>
      <c r="D24" s="38" t="n">
        <f aca="false">Q!$E$46</f>
        <v>128.32</v>
      </c>
      <c r="E24" s="38" t="n">
        <f aca="false">Q!$P$46</f>
        <v>96.31</v>
      </c>
      <c r="F24" s="38" t="n">
        <f aca="false">CF!$F$21+CF!$F$22+CF!$F$23</f>
        <v>123.69</v>
      </c>
      <c r="G24" s="38" t="n">
        <f aca="false">CF!$E$24+CF!$F$24</f>
        <v>220</v>
      </c>
      <c r="H24" s="38" t="n">
        <f aca="false">CF!$H$21+CF!$H$22+CF!$H$23</f>
        <v>278.765463512648</v>
      </c>
      <c r="I24" s="38" t="n">
        <f aca="false">CF!$I$21+CF!$I$22+CF!$I$23</f>
        <v>292.539583072925</v>
      </c>
      <c r="J24" s="38" t="n">
        <f aca="false">CF!$J$21+CF!$J$22+CF!$J$23</f>
        <v>304.874284222866</v>
      </c>
      <c r="K24" s="38" t="n">
        <f aca="false">CF!$K$21+CF!$K$22+CF!$K$23</f>
        <v>254.95684805485</v>
      </c>
      <c r="L24" s="38" t="n">
        <f aca="false">CF!$L$21+CF!$L$22+CF!$L$23</f>
        <v>236.937965101011</v>
      </c>
      <c r="M24" s="38" t="n">
        <f aca="false">CF!$M$21+CF!$M$22+CF!$M$23</f>
        <v>245.028882904275</v>
      </c>
    </row>
    <row r="25" customFormat="false" ht="17.15" hidden="false" customHeight="false" outlineLevel="0" collapsed="false">
      <c r="A25" s="5" t="s">
        <v>570</v>
      </c>
      <c r="B25" s="0" t="s">
        <v>86</v>
      </c>
      <c r="C25" s="38" t="n">
        <f aca="false">Q!$D$50</f>
        <v>2.043</v>
      </c>
      <c r="D25" s="38" t="n">
        <f aca="false">Q!$E$50</f>
        <v>1.557</v>
      </c>
      <c r="E25" s="38" t="n">
        <f aca="false">lease_pr/2</f>
        <v>0.8</v>
      </c>
      <c r="F25" s="38" t="n">
        <f aca="false">lease_pr/2</f>
        <v>0.8</v>
      </c>
      <c r="G25" s="38" t="n">
        <f aca="false">CF!$E$25+CF!$F$25</f>
        <v>1.6</v>
      </c>
      <c r="H25" s="38" t="n">
        <f aca="false">lease_pr</f>
        <v>1.6</v>
      </c>
      <c r="I25" s="38" t="n">
        <f aca="false">lease_pr</f>
        <v>1.6</v>
      </c>
      <c r="J25" s="38" t="n">
        <f aca="false">lease_pr</f>
        <v>1.6</v>
      </c>
      <c r="K25" s="38" t="n">
        <f aca="false">lease_pr</f>
        <v>1.6</v>
      </c>
      <c r="L25" s="38" t="n">
        <f aca="false">lease_pr</f>
        <v>1.6</v>
      </c>
      <c r="M25" s="38" t="n">
        <f aca="false">lease_pr</f>
        <v>1.6</v>
      </c>
      <c r="P25" s="8" t="s">
        <v>803</v>
      </c>
    </row>
    <row r="26" customFormat="false" ht="15" hidden="false" customHeight="false" outlineLevel="0" collapsed="false">
      <c r="A26" s="47" t="s">
        <v>804</v>
      </c>
      <c r="B26" s="14" t="s">
        <v>86</v>
      </c>
      <c r="C26" s="48" t="n">
        <f aca="false">CF!$C$20-CF!$C$24-CF!$C$25</f>
        <v>36.176</v>
      </c>
      <c r="D26" s="48" t="n">
        <f aca="false">CF!$D$20-CF!$D$24-CF!$D$25</f>
        <v>9.63700000000002</v>
      </c>
      <c r="E26" s="48" t="n">
        <f aca="false">CF!$E$20-CF!$E$24-CF!$E$25</f>
        <v>-25.691</v>
      </c>
      <c r="F26" s="48" t="n">
        <f aca="false">CF!$F$20-CF!$F$24-CF!$F$25</f>
        <v>-30.8322238471532</v>
      </c>
      <c r="G26" s="48" t="n">
        <f aca="false">CF!$G$20-CF!$G$24-CF!$G$25</f>
        <v>-56.5232238471532</v>
      </c>
      <c r="H26" s="48" t="n">
        <f aca="false">CF!$H$20-CF!$H$24-CF!$H$25</f>
        <v>-40.1103308567079</v>
      </c>
      <c r="I26" s="48" t="n">
        <f aca="false">CF!$I$20-CF!$I$24-CF!$I$25</f>
        <v>19.9814175287687</v>
      </c>
      <c r="J26" s="48" t="n">
        <f aca="false">CF!$J$20-CF!$J$24-CF!$J$25</f>
        <v>82.2389286277251</v>
      </c>
      <c r="K26" s="48" t="n">
        <f aca="false">CF!$K$20-CF!$K$24-CF!$K$25</f>
        <v>199.958700062711</v>
      </c>
      <c r="L26" s="48" t="n">
        <f aca="false">CF!$L$20-CF!$L$24-CF!$L$25</f>
        <v>274.612648406718</v>
      </c>
      <c r="M26" s="48" t="n">
        <f aca="false">CF!$M$20-CF!$M$24-CF!$M$25</f>
        <v>311.853934390982</v>
      </c>
      <c r="N26" s="14"/>
      <c r="O26" s="14"/>
    </row>
    <row r="27" customFormat="false" ht="17.15" hidden="false" customHeight="false" outlineLevel="0" collapsed="false">
      <c r="A27" s="5" t="s">
        <v>805</v>
      </c>
      <c r="B27" s="0" t="s">
        <v>86</v>
      </c>
      <c r="C27" s="38" t="n">
        <f aca="false">dps*PL!$C$74</f>
        <v>0</v>
      </c>
      <c r="D27" s="38" t="n">
        <f aca="false">dps*PL!$D$74</f>
        <v>0</v>
      </c>
      <c r="E27" s="38" t="n">
        <f aca="false">dps*PL!$E$74</f>
        <v>0</v>
      </c>
      <c r="F27" s="38" t="n">
        <f aca="false">0</f>
        <v>0</v>
      </c>
      <c r="G27" s="38" t="n">
        <f aca="false">dps*PL!$G$74</f>
        <v>0</v>
      </c>
      <c r="H27" s="38" t="n">
        <f aca="false">dps*PL!$H$74</f>
        <v>0</v>
      </c>
      <c r="I27" s="38" t="n">
        <f aca="false">dps*PL!$I$74</f>
        <v>0</v>
      </c>
      <c r="J27" s="38" t="n">
        <f aca="false">dps*PL!$J$74</f>
        <v>0</v>
      </c>
      <c r="K27" s="38" t="n">
        <f aca="false">dps*PL!$K$74</f>
        <v>0</v>
      </c>
      <c r="L27" s="38" t="n">
        <f aca="false">dps*PL!$L$74</f>
        <v>0</v>
      </c>
      <c r="M27" s="38" t="n">
        <f aca="false">dps*PL!$M$74</f>
        <v>0</v>
      </c>
      <c r="P27" s="8" t="s">
        <v>806</v>
      </c>
    </row>
    <row r="28" customFormat="false" ht="17.15" hidden="false" customHeight="false" outlineLevel="0" collapsed="false">
      <c r="A28" s="5" t="s">
        <v>807</v>
      </c>
      <c r="B28" s="0" t="s">
        <v>86</v>
      </c>
      <c r="C28" s="38" t="n">
        <f aca="false">0</f>
        <v>0</v>
      </c>
      <c r="D28" s="38" t="n">
        <f aca="false">0</f>
        <v>0</v>
      </c>
      <c r="E28" s="38" t="n">
        <f aca="false">0</f>
        <v>0</v>
      </c>
      <c r="F28" s="38" t="n">
        <f aca="false">0</f>
        <v>0</v>
      </c>
      <c r="G28" s="38" t="n">
        <f aca="false">0</f>
        <v>0</v>
      </c>
      <c r="H28" s="38" t="n">
        <f aca="false">0</f>
        <v>0</v>
      </c>
      <c r="I28" s="38" t="n">
        <f aca="false">0</f>
        <v>0</v>
      </c>
      <c r="J28" s="38" t="n">
        <f aca="false">0</f>
        <v>0</v>
      </c>
      <c r="K28" s="38" t="n">
        <f aca="false">0</f>
        <v>0</v>
      </c>
      <c r="L28" s="38" t="n">
        <f aca="false">0</f>
        <v>0</v>
      </c>
      <c r="M28" s="38" t="n">
        <f aca="false">0</f>
        <v>0</v>
      </c>
      <c r="P28" s="8" t="s">
        <v>808</v>
      </c>
    </row>
    <row r="29" customFormat="false" ht="15" hidden="false" customHeight="false" outlineLevel="0" collapsed="false">
      <c r="A29" s="3" t="s">
        <v>809</v>
      </c>
      <c r="B29" s="8" t="s">
        <v>86</v>
      </c>
      <c r="C29" s="38" t="n">
        <f aca="false">CF!$C$26-CF!$C$27</f>
        <v>36.176</v>
      </c>
      <c r="D29" s="38" t="n">
        <f aca="false">CF!$D$26-CF!$D$27</f>
        <v>9.63700000000002</v>
      </c>
      <c r="E29" s="38" t="n">
        <f aca="false">CF!$E$26-CF!$E$27</f>
        <v>-25.691</v>
      </c>
      <c r="F29" s="38" t="n">
        <f aca="false">CF!$F$26-CF!$F$27</f>
        <v>-30.8322238471532</v>
      </c>
      <c r="G29" s="38" t="n">
        <f aca="false">CF!$G$26-CF!$G$27</f>
        <v>-56.5232238471532</v>
      </c>
      <c r="H29" s="38" t="n">
        <f aca="false">CF!$H$26-CF!$H$27</f>
        <v>-40.1103308567079</v>
      </c>
      <c r="I29" s="38" t="n">
        <f aca="false">CF!$I$26-CF!$I$27</f>
        <v>19.9814175287687</v>
      </c>
      <c r="J29" s="38" t="n">
        <f aca="false">CF!$J$26-CF!$J$27</f>
        <v>82.2389286277251</v>
      </c>
      <c r="K29" s="38" t="n">
        <f aca="false">CF!$K$26-CF!$K$27</f>
        <v>199.958700062711</v>
      </c>
      <c r="L29" s="38" t="n">
        <f aca="false">CF!$L$26-CF!$L$27</f>
        <v>274.612648406718</v>
      </c>
      <c r="M29" s="38" t="n">
        <f aca="false">CF!$M$26-CF!$M$27</f>
        <v>311.853934390982</v>
      </c>
    </row>
    <row r="30" customFormat="false" ht="17.15" hidden="false" customHeight="false" outlineLevel="0" collapsed="false">
      <c r="A30" s="5" t="s">
        <v>810</v>
      </c>
      <c r="B30" s="0" t="s">
        <v>86</v>
      </c>
      <c r="E30" s="38" t="n">
        <f aca="false">Q!$P$53</f>
        <v>39.767</v>
      </c>
      <c r="F30" s="38" t="n">
        <f aca="false">inv_2h26</f>
        <v>21.3</v>
      </c>
      <c r="G30" s="38" t="n">
        <f aca="false">CF!$E$30+CF!$F$30</f>
        <v>61.067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  <c r="M30" s="39" t="n">
        <v>0</v>
      </c>
    </row>
    <row r="31" customFormat="false" ht="17.15" hidden="false" customHeight="false" outlineLevel="0" collapsed="false">
      <c r="A31" s="5" t="s">
        <v>811</v>
      </c>
      <c r="B31" s="0" t="s">
        <v>86</v>
      </c>
      <c r="F31" s="38" t="n">
        <f aca="false">iss_2h26</f>
        <v>29.249999</v>
      </c>
      <c r="G31" s="38" t="n">
        <f aca="false">CF!$F$31</f>
        <v>29.249999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</row>
    <row r="32" customFormat="false" ht="17.15" hidden="false" customHeight="false" outlineLevel="0" collapsed="false">
      <c r="A32" s="5" t="s">
        <v>812</v>
      </c>
      <c r="B32" s="0" t="s">
        <v>86</v>
      </c>
      <c r="F32" s="38" t="n">
        <f aca="false">cash_q2</f>
        <v>122.988</v>
      </c>
      <c r="G32" s="38" t="n">
        <f aca="false">cash_q2</f>
        <v>122.988</v>
      </c>
      <c r="H32" s="38" t="n">
        <f aca="false">CF!$G$35</f>
        <v>100.105775152847</v>
      </c>
      <c r="I32" s="38" t="n">
        <f aca="false">CF!$H$35</f>
        <v>59.995444296139</v>
      </c>
      <c r="J32" s="38" t="n">
        <f aca="false">CF!$I$35</f>
        <v>79.9768618249077</v>
      </c>
      <c r="K32" s="38" t="n">
        <f aca="false">CF!$J$35</f>
        <v>162.215790452633</v>
      </c>
      <c r="L32" s="38" t="n">
        <f aca="false">CF!$K$35</f>
        <v>362.174490515344</v>
      </c>
      <c r="M32" s="38" t="n">
        <f aca="false">CF!$L$35</f>
        <v>636.787138922062</v>
      </c>
    </row>
    <row r="33" customFormat="false" ht="15" hidden="false" customHeight="false" outlineLevel="0" collapsed="false">
      <c r="A33" s="5" t="s">
        <v>813</v>
      </c>
      <c r="B33" s="0" t="s">
        <v>86</v>
      </c>
      <c r="F33" s="38" t="n">
        <f aca="false">CF!$F$32+CF!$F$29-CF!$F$28-CF!$F$30+CF!$F$31</f>
        <v>100.105775152847</v>
      </c>
      <c r="H33" s="38" t="n">
        <f aca="false">CF!$H$32+CF!$H$29-CF!$H$28-CF!$H$30+CF!$H$31</f>
        <v>59.995444296139</v>
      </c>
      <c r="I33" s="38" t="n">
        <f aca="false">CF!$I$32+CF!$I$29-CF!$I$28-CF!$I$30+CF!$I$31</f>
        <v>79.9768618249077</v>
      </c>
      <c r="J33" s="38" t="n">
        <f aca="false">CF!$J$32+CF!$J$29-CF!$J$28-CF!$J$30+CF!$J$31</f>
        <v>162.215790452633</v>
      </c>
      <c r="K33" s="38" t="n">
        <f aca="false">CF!$K$32+CF!$K$29-CF!$K$28-CF!$K$30+CF!$K$31</f>
        <v>362.174490515344</v>
      </c>
      <c r="L33" s="38" t="n">
        <f aca="false">CF!$L$32+CF!$L$29-CF!$L$28-CF!$L$30+CF!$L$31</f>
        <v>636.787138922062</v>
      </c>
      <c r="M33" s="38" t="n">
        <f aca="false">CF!$M$32+CF!$M$29-CF!$M$28-CF!$M$30+CF!$M$31</f>
        <v>948.641073313044</v>
      </c>
    </row>
    <row r="34" customFormat="false" ht="17.15" hidden="false" customHeight="false" outlineLevel="0" collapsed="false">
      <c r="A34" s="5" t="s">
        <v>814</v>
      </c>
      <c r="B34" s="0" t="s">
        <v>86</v>
      </c>
      <c r="F34" s="38" t="n">
        <f aca="false">MAX(0,min_cash-CF!$F$33)</f>
        <v>0</v>
      </c>
      <c r="G34" s="38" t="n">
        <f aca="false">CF!$F$34</f>
        <v>0</v>
      </c>
      <c r="H34" s="38" t="n">
        <f aca="false">MAX(0,min_cash-CF!$H$33)</f>
        <v>0</v>
      </c>
      <c r="I34" s="38" t="n">
        <f aca="false">MAX(0,min_cash-CF!$I$33)</f>
        <v>0</v>
      </c>
      <c r="J34" s="38" t="n">
        <f aca="false">MAX(0,min_cash-CF!$J$33)</f>
        <v>0</v>
      </c>
      <c r="K34" s="38" t="n">
        <f aca="false">MAX(0,min_cash-CF!$K$33)</f>
        <v>0</v>
      </c>
      <c r="L34" s="38" t="n">
        <f aca="false">MAX(0,min_cash-CF!$L$33)</f>
        <v>0</v>
      </c>
      <c r="M34" s="38" t="n">
        <f aca="false">MAX(0,min_cash-CF!$M$33)</f>
        <v>0</v>
      </c>
      <c r="P34" s="5" t="s">
        <v>815</v>
      </c>
    </row>
    <row r="35" customFormat="false" ht="15" hidden="false" customHeight="false" outlineLevel="0" collapsed="false">
      <c r="A35" s="5" t="s">
        <v>816</v>
      </c>
      <c r="B35" s="0" t="s">
        <v>86</v>
      </c>
      <c r="D35" s="38" t="n">
        <f aca="false">Q!$E$61</f>
        <v>123.029</v>
      </c>
      <c r="E35" s="38" t="n">
        <f aca="false">Q!$M$61</f>
        <v>122.988</v>
      </c>
      <c r="F35" s="38" t="n">
        <f aca="false">CF!$F$33+CF!$F$34</f>
        <v>100.105775152847</v>
      </c>
      <c r="G35" s="38" t="n">
        <f aca="false">CF!$F$35</f>
        <v>100.105775152847</v>
      </c>
      <c r="H35" s="38" t="n">
        <f aca="false">CF!$H$33+CF!$H$34</f>
        <v>59.995444296139</v>
      </c>
      <c r="I35" s="38" t="n">
        <f aca="false">CF!$I$33+CF!$I$34</f>
        <v>79.9768618249077</v>
      </c>
      <c r="J35" s="38" t="n">
        <f aca="false">CF!$J$33+CF!$J$34</f>
        <v>162.215790452633</v>
      </c>
      <c r="K35" s="38" t="n">
        <f aca="false">CF!$K$33+CF!$K$34</f>
        <v>362.174490515344</v>
      </c>
      <c r="L35" s="38" t="n">
        <f aca="false">CF!$L$33+CF!$L$34</f>
        <v>636.787138922062</v>
      </c>
      <c r="M35" s="38" t="n">
        <f aca="false">CF!$M$33+CF!$M$34</f>
        <v>948.641073313044</v>
      </c>
    </row>
    <row r="36" customFormat="false" ht="15" hidden="false" customHeight="false" outlineLevel="0" collapsed="false">
      <c r="A36" s="5" t="s">
        <v>817</v>
      </c>
      <c r="B36" s="0" t="s">
        <v>86</v>
      </c>
      <c r="D36" s="38" t="n">
        <f aca="false">Q!$E$62</f>
        <v>68.836</v>
      </c>
      <c r="E36" s="38" t="n">
        <f aca="false">Q!$M$62</f>
        <v>132.995</v>
      </c>
      <c r="F36" s="38" t="n">
        <f aca="false">debt_q2+CF!$F$31+CF!$F$34</f>
        <v>162.244999</v>
      </c>
      <c r="G36" s="38" t="n">
        <f aca="false">CF!$F$36</f>
        <v>162.244999</v>
      </c>
      <c r="H36" s="38" t="n">
        <f aca="false">CF!$G$36+CF!$H$34</f>
        <v>162.244999</v>
      </c>
      <c r="I36" s="38" t="n">
        <f aca="false">CF!$H$36+CF!$I$34</f>
        <v>162.244999</v>
      </c>
      <c r="J36" s="38" t="n">
        <f aca="false">CF!$I$36+CF!$J$34</f>
        <v>162.244999</v>
      </c>
      <c r="K36" s="38" t="n">
        <f aca="false">CF!$J$36+CF!$K$34</f>
        <v>162.244999</v>
      </c>
      <c r="L36" s="38" t="n">
        <f aca="false">CF!$K$36+CF!$L$34</f>
        <v>162.244999</v>
      </c>
      <c r="M36" s="38" t="n">
        <f aca="false">CF!$L$36+CF!$M$34</f>
        <v>162.244999</v>
      </c>
    </row>
    <row r="37" customFormat="false" ht="15" hidden="false" customHeight="false" outlineLevel="0" collapsed="false">
      <c r="A37" s="5" t="s">
        <v>818</v>
      </c>
      <c r="B37" s="0" t="s">
        <v>86</v>
      </c>
      <c r="D37" s="38" t="n">
        <f aca="false">CF!$D$36-CF!$D$35</f>
        <v>-54.193</v>
      </c>
      <c r="E37" s="38" t="n">
        <f aca="false">CF!$E$36-CF!$E$35</f>
        <v>10.007</v>
      </c>
      <c r="F37" s="38" t="n">
        <f aca="false">CF!$F$36-CF!$F$35</f>
        <v>62.1392238471532</v>
      </c>
      <c r="G37" s="38" t="n">
        <f aca="false">CF!$G$36-CF!$G$35</f>
        <v>62.1392238471532</v>
      </c>
      <c r="H37" s="38" t="n">
        <f aca="false">CF!$H$36-CF!$H$35</f>
        <v>102.249554703861</v>
      </c>
      <c r="I37" s="38" t="n">
        <f aca="false">CF!$I$36-CF!$I$35</f>
        <v>82.2681371750923</v>
      </c>
      <c r="J37" s="38" t="n">
        <f aca="false">CF!$J$36-CF!$J$35</f>
        <v>0.0292085473672046</v>
      </c>
      <c r="K37" s="38" t="n">
        <f aca="false">CF!$K$36-CF!$K$35</f>
        <v>-199.929491515344</v>
      </c>
      <c r="L37" s="38" t="n">
        <f aca="false">CF!$L$36-CF!$L$35</f>
        <v>-474.542139922062</v>
      </c>
      <c r="M37" s="38" t="n">
        <f aca="false">CF!$M$36-CF!$M$35</f>
        <v>-786.396074313044</v>
      </c>
    </row>
    <row r="38" customFormat="false" ht="17.15" hidden="false" customHeight="false" outlineLevel="0" collapsed="false">
      <c r="A38" s="5" t="s">
        <v>819</v>
      </c>
      <c r="B38" s="0" t="s">
        <v>86</v>
      </c>
      <c r="F38" s="38" t="n">
        <f aca="false">debt_q2*kd_book*0.5+iss_2h26*kd_new*iss_t</f>
        <v>3.24888962733561</v>
      </c>
      <c r="H38" s="38" t="n">
        <f aca="false">debt_q2*kd_book+(CF!$G$36-debt_q2)*kd_new</f>
        <v>7.42354172302123</v>
      </c>
      <c r="I38" s="38" t="n">
        <f aca="false">debt_q2*kd_book+(CF!$H$36-debt_q2)*kd_new</f>
        <v>7.42354172302123</v>
      </c>
      <c r="J38" s="38" t="n">
        <f aca="false">debt_q2*kd_book+(CF!$I$36-debt_q2)*kd_new</f>
        <v>7.42354172302123</v>
      </c>
      <c r="K38" s="38" t="n">
        <f aca="false">debt_q2*kd_book+(CF!$J$36-debt_q2)*kd_new</f>
        <v>7.42354172302123</v>
      </c>
      <c r="L38" s="38" t="n">
        <f aca="false">debt_q2*kd_book+(CF!$K$36-debt_q2)*kd_new</f>
        <v>7.42354172302123</v>
      </c>
      <c r="M38" s="38" t="n">
        <f aca="false">debt_q2*kd_book+(CF!$L$36-debt_q2)*kd_new</f>
        <v>7.42354172302123</v>
      </c>
    </row>
    <row r="39" customFormat="false" ht="17.15" hidden="false" customHeight="false" outlineLevel="0" collapsed="false">
      <c r="A39" s="5" t="s">
        <v>820</v>
      </c>
      <c r="B39" s="0" t="s">
        <v>86</v>
      </c>
      <c r="F39" s="38" t="n">
        <f aca="false">cash_q2*y_cash*0.5</f>
        <v>2.59</v>
      </c>
      <c r="H39" s="38" t="n">
        <f aca="false">CF!$G$35*y_cash</f>
        <v>4.21624805096226</v>
      </c>
      <c r="I39" s="38" t="n">
        <f aca="false">CF!$H$35*y_cash</f>
        <v>2.52688393545712</v>
      </c>
      <c r="J39" s="38" t="n">
        <f aca="false">CF!$I$35*y_cash</f>
        <v>3.36845988432222</v>
      </c>
      <c r="K39" s="38" t="n">
        <f aca="false">CF!$J$35*y_cash</f>
        <v>6.8321933403636</v>
      </c>
      <c r="L39" s="38" t="n">
        <f aca="false">CF!$K$35*y_cash</f>
        <v>15.254039913402</v>
      </c>
      <c r="M39" s="38" t="n">
        <f aca="false">CF!$L$35*y_cash</f>
        <v>26.820156272289</v>
      </c>
    </row>
    <row r="40" customFormat="false" ht="17.15" hidden="false" customHeight="false" outlineLevel="0" collapsed="false">
      <c r="A40" s="47" t="s">
        <v>821</v>
      </c>
      <c r="B40" s="14" t="s">
        <v>86</v>
      </c>
      <c r="C40" s="14"/>
      <c r="D40" s="14"/>
      <c r="E40" s="14"/>
      <c r="F40" s="14"/>
      <c r="G40" s="48" t="n">
        <f aca="false">SUM(CF!$G$29:$K$29)</f>
        <v>205.545491515344</v>
      </c>
      <c r="H40" s="14"/>
      <c r="I40" s="14"/>
      <c r="J40" s="14"/>
      <c r="K40" s="14"/>
      <c r="L40" s="14"/>
      <c r="M40" s="14"/>
      <c r="N40" s="14"/>
      <c r="O40" s="14"/>
    </row>
    <row r="41" customFormat="false" ht="17.15" hidden="false" customHeight="false" outlineLevel="0" collapsed="false">
      <c r="A41" s="0" t="s">
        <v>787</v>
      </c>
      <c r="B41" s="0" t="s">
        <v>86</v>
      </c>
      <c r="G41" s="38" t="n">
        <f aca="false">SUM(CF!$G$34:$K$34)</f>
        <v>0</v>
      </c>
    </row>
    <row r="42" customFormat="false" ht="17.15" hidden="false" customHeight="false" outlineLevel="0" collapsed="false">
      <c r="A42" s="24" t="s">
        <v>822</v>
      </c>
      <c r="B42" s="25" t="s">
        <v>86</v>
      </c>
      <c r="C42" s="25"/>
      <c r="D42" s="25"/>
      <c r="E42" s="25"/>
      <c r="F42" s="25"/>
      <c r="G42" s="41" t="n">
        <f aca="false">CF!$G$40-(CF!$G$29+CF!$H$29+CF!$I$29+CF!$J$29+CF!$K$29)</f>
        <v>0</v>
      </c>
      <c r="H42" s="25"/>
      <c r="I42" s="25"/>
      <c r="J42" s="25"/>
      <c r="K42" s="25"/>
      <c r="L42" s="25"/>
      <c r="M42" s="25"/>
      <c r="N42" s="25"/>
      <c r="O42" s="25"/>
    </row>
    <row r="45" customFormat="false" ht="19.4" hidden="false" customHeight="false" outlineLevel="0" collapsed="false">
      <c r="A45" s="31" t="s">
        <v>823</v>
      </c>
    </row>
    <row r="46" customFormat="false" ht="17.15" hidden="false" customHeight="false" outlineLevel="0" collapsed="false">
      <c r="A46" s="6" t="s">
        <v>16</v>
      </c>
      <c r="B46" s="6" t="s">
        <v>17</v>
      </c>
      <c r="C46" s="20" t="s">
        <v>504</v>
      </c>
      <c r="D46" s="20" t="s">
        <v>505</v>
      </c>
      <c r="E46" s="20" t="s">
        <v>587</v>
      </c>
      <c r="F46" s="20" t="s">
        <v>588</v>
      </c>
      <c r="G46" s="20" t="s">
        <v>589</v>
      </c>
      <c r="H46" s="20" t="s">
        <v>590</v>
      </c>
      <c r="I46" s="20" t="s">
        <v>591</v>
      </c>
      <c r="J46" s="20" t="s">
        <v>592</v>
      </c>
      <c r="K46" s="20" t="s">
        <v>593</v>
      </c>
      <c r="L46" s="20" t="s">
        <v>594</v>
      </c>
      <c r="M46" s="20" t="s">
        <v>595</v>
      </c>
      <c r="N46" s="20" t="s">
        <v>596</v>
      </c>
      <c r="O46" s="20" t="s">
        <v>597</v>
      </c>
      <c r="P46" s="6" t="s">
        <v>23</v>
      </c>
      <c r="R46" s="20" t="n">
        <v>2023</v>
      </c>
      <c r="S46" s="20" t="n">
        <v>2024</v>
      </c>
      <c r="T46" s="20" t="n">
        <v>2025</v>
      </c>
      <c r="U46" s="20" t="n">
        <v>2026</v>
      </c>
      <c r="V46" s="20" t="n">
        <v>2027</v>
      </c>
      <c r="W46" s="20" t="n">
        <v>2028</v>
      </c>
      <c r="X46" s="20" t="n">
        <v>2029</v>
      </c>
      <c r="Y46" s="20" t="n">
        <v>2030</v>
      </c>
      <c r="Z46" s="20" t="n">
        <v>2031</v>
      </c>
      <c r="AA46" s="20" t="n">
        <v>2032</v>
      </c>
    </row>
    <row r="47" customFormat="false" ht="15" hidden="false" customHeight="false" outlineLevel="0" collapsed="false">
      <c r="A47" s="5" t="s">
        <v>556</v>
      </c>
      <c r="B47" s="0" t="s">
        <v>86</v>
      </c>
      <c r="C47" s="38" t="n">
        <f aca="false">PL!$C$143</f>
        <v>59.248</v>
      </c>
      <c r="D47" s="38" t="n">
        <f aca="false">PL!$D$143</f>
        <v>77.67</v>
      </c>
      <c r="E47" s="38" t="n">
        <f aca="false">PL!$E$143</f>
        <v>92.902</v>
      </c>
      <c r="F47" s="38" t="n">
        <f aca="false">PL!$F$143</f>
        <v>46.0366037135288</v>
      </c>
      <c r="G47" s="38" t="n">
        <f aca="false">PL!$G$143</f>
        <v>138.938603713529</v>
      </c>
      <c r="H47" s="38" t="n">
        <f aca="false">PL!$H$143</f>
        <v>104.29965948309</v>
      </c>
      <c r="I47" s="38" t="n">
        <f aca="false">PL!$I$143</f>
        <v>115.373462770871</v>
      </c>
      <c r="J47" s="38" t="n">
        <f aca="false">PL!$J$143</f>
        <v>129.889724166368</v>
      </c>
      <c r="K47" s="38" t="n">
        <f aca="false">PL!$K$143</f>
        <v>140.442301535395</v>
      </c>
      <c r="L47" s="38" t="n">
        <f aca="false">PL!$L$143</f>
        <v>153.718935436262</v>
      </c>
      <c r="M47" s="38" t="n">
        <f aca="false">PL!$M$143</f>
        <v>169.829794040665</v>
      </c>
    </row>
    <row r="48" customFormat="false" ht="17.15" hidden="false" customHeight="false" outlineLevel="0" collapsed="false">
      <c r="A48" s="5" t="s">
        <v>795</v>
      </c>
      <c r="B48" s="0" t="s">
        <v>86</v>
      </c>
      <c r="C48" s="38" t="n">
        <f aca="false">PL!$C$131</f>
        <v>32.067</v>
      </c>
      <c r="D48" s="38" t="n">
        <f aca="false">PL!$D$131</f>
        <v>41.86</v>
      </c>
      <c r="E48" s="38" t="n">
        <f aca="false">PL!$E$131</f>
        <v>26.703</v>
      </c>
      <c r="F48" s="38" t="n">
        <f aca="false">PL!$F$131</f>
        <v>29.152860869477</v>
      </c>
      <c r="G48" s="38" t="n">
        <f aca="false">PL!$G$131</f>
        <v>55.855860869477</v>
      </c>
      <c r="H48" s="38" t="n">
        <f aca="false">PL!$H$131</f>
        <v>81.5618233196153</v>
      </c>
      <c r="I48" s="38" t="n">
        <f aca="false">PL!$I$131</f>
        <v>118.756208740204</v>
      </c>
      <c r="J48" s="38" t="n">
        <f aca="false">PL!$J$131</f>
        <v>152.469489406791</v>
      </c>
      <c r="K48" s="38" t="n">
        <f aca="false">PL!$K$131</f>
        <v>186.391502623819</v>
      </c>
      <c r="L48" s="38" t="n">
        <f aca="false">PL!$L$131</f>
        <v>211.926422215482</v>
      </c>
      <c r="M48" s="38" t="n">
        <f aca="false">PL!$M$131</f>
        <v>229.012482097906</v>
      </c>
    </row>
    <row r="49" customFormat="false" ht="15" hidden="false" customHeight="false" outlineLevel="0" collapsed="false">
      <c r="A49" s="5" t="s">
        <v>796</v>
      </c>
      <c r="B49" s="0" t="s">
        <v>86</v>
      </c>
      <c r="C49" s="38" t="n">
        <f aca="false">Q!$D$48</f>
        <v>22.011</v>
      </c>
      <c r="D49" s="38" t="n">
        <f aca="false">Q!$E$48</f>
        <v>19.467</v>
      </c>
      <c r="E49" s="38" t="n">
        <f aca="false">Q!$P$48</f>
        <v>10.07</v>
      </c>
      <c r="F49" s="38" t="n">
        <f aca="false">sbc_r*Seg!$F$65</f>
        <v>10.8507035798037</v>
      </c>
      <c r="G49" s="38" t="n">
        <f aca="false">CF!$E$49+CF!$F$49</f>
        <v>20.9207035798037</v>
      </c>
      <c r="H49" s="38" t="n">
        <f aca="false">sbc_r*Seg!$H$65</f>
        <v>23.46224366345</v>
      </c>
      <c r="I49" s="38" t="n">
        <f aca="false">sbc_r*Seg!$I$65</f>
        <v>26.6125957111676</v>
      </c>
      <c r="J49" s="38" t="n">
        <f aca="false">sbc_r*Seg!$J$65</f>
        <v>29.6280801413323</v>
      </c>
      <c r="K49" s="38" t="n">
        <f aca="false">sbc_r*Seg!$K$65</f>
        <v>32.2712258901105</v>
      </c>
      <c r="L49" s="38" t="n">
        <f aca="false">sbc_r*Seg!$L$65</f>
        <v>34.7390505016737</v>
      </c>
      <c r="M49" s="38" t="n">
        <f aca="false">sbc_r*Seg!$M$65</f>
        <v>37.0405146906692</v>
      </c>
    </row>
    <row r="50" customFormat="false" ht="17.15" hidden="false" customHeight="false" outlineLevel="0" collapsed="false">
      <c r="A50" s="5" t="s">
        <v>797</v>
      </c>
      <c r="B50" s="0" t="s">
        <v>86</v>
      </c>
      <c r="C50" s="38" t="n">
        <f aca="false">Q!$D$44-CF!$C$47-CF!$C$48-CF!$C$49</f>
        <v>2.551</v>
      </c>
      <c r="D50" s="38" t="n">
        <f aca="false">Q!$E$44-CF!$D$47-CF!$D$48-CF!$D$49</f>
        <v>0.51700000000001</v>
      </c>
      <c r="E50" s="38" t="n">
        <f aca="false">Q!$P$44-CF!$E$47-CF!$E$48-CF!$E$49</f>
        <v>-58.256</v>
      </c>
      <c r="F50" s="38" t="n">
        <f aca="false">oth_r*Seg!$F$65</f>
        <v>5.22265251035878</v>
      </c>
      <c r="G50" s="38" t="n">
        <f aca="false">CF!$E$50+CF!$F$50</f>
        <v>-53.0333474896412</v>
      </c>
      <c r="H50" s="38" t="n">
        <f aca="false">oth_r*Seg!$H$65</f>
        <v>11.2928295263397</v>
      </c>
      <c r="I50" s="38" t="n">
        <f aca="false">oth_r*Seg!$I$65</f>
        <v>12.8091546115766</v>
      </c>
      <c r="J50" s="38" t="n">
        <f aca="false">oth_r*Seg!$J$65</f>
        <v>14.2605653162668</v>
      </c>
      <c r="K50" s="38" t="n">
        <f aca="false">oth_r*Seg!$K$65</f>
        <v>15.5327622460396</v>
      </c>
      <c r="L50" s="38" t="n">
        <f aca="false">oth_r*Seg!$L$65</f>
        <v>16.720573737517</v>
      </c>
      <c r="M50" s="38" t="n">
        <f aca="false">oth_r*Seg!$M$65</f>
        <v>17.8283127551536</v>
      </c>
      <c r="P50" s="8" t="s">
        <v>798</v>
      </c>
    </row>
    <row r="51" customFormat="false" ht="15" hidden="false" customHeight="false" outlineLevel="0" collapsed="false">
      <c r="A51" s="3" t="s">
        <v>562</v>
      </c>
      <c r="B51" s="8" t="s">
        <v>86</v>
      </c>
      <c r="C51" s="38" t="n">
        <f aca="false">Q!$D$44</f>
        <v>115.877</v>
      </c>
      <c r="D51" s="38" t="n">
        <f aca="false">Q!$E$44</f>
        <v>139.514</v>
      </c>
      <c r="E51" s="38" t="n">
        <f aca="false">Q!$P$44</f>
        <v>71.419</v>
      </c>
      <c r="F51" s="38" t="n">
        <f aca="false">CF!$F$47+CF!$F$48+CF!$F$49+CF!$F$50</f>
        <v>91.2628206731683</v>
      </c>
      <c r="G51" s="38" t="n">
        <f aca="false">CF!$E$51+CF!$F$51</f>
        <v>162.681820673168</v>
      </c>
      <c r="H51" s="38" t="n">
        <f aca="false">CF!$H$47+CF!$H$48+CF!$H$49+CF!$H$50</f>
        <v>220.616555992495</v>
      </c>
      <c r="I51" s="38" t="n">
        <f aca="false">CF!$I$47+CF!$I$48+CF!$I$49+CF!$I$50</f>
        <v>273.55142183382</v>
      </c>
      <c r="J51" s="38" t="n">
        <f aca="false">CF!$J$47+CF!$J$48+CF!$J$49+CF!$J$50</f>
        <v>326.247859030758</v>
      </c>
      <c r="K51" s="38" t="n">
        <f aca="false">CF!$K$47+CF!$K$48+CF!$K$49+CF!$K$50</f>
        <v>374.637792295364</v>
      </c>
      <c r="L51" s="38" t="n">
        <f aca="false">CF!$L$47+CF!$L$48+CF!$L$49+CF!$L$50</f>
        <v>417.104981890935</v>
      </c>
      <c r="M51" s="38" t="n">
        <f aca="false">CF!$M$47+CF!$M$48+CF!$M$49+CF!$M$50</f>
        <v>453.711103584394</v>
      </c>
    </row>
    <row r="52" customFormat="false" ht="17.15" hidden="false" customHeight="false" outlineLevel="0" collapsed="false">
      <c r="A52" s="5" t="s">
        <v>799</v>
      </c>
      <c r="B52" s="0" t="s">
        <v>86</v>
      </c>
      <c r="C52" s="38" t="n">
        <f aca="false">Thesis!$C$98</f>
        <v>25.2781053077374</v>
      </c>
      <c r="D52" s="38" t="n">
        <f aca="false">Thesis!$D$98</f>
        <v>69.5686316310026</v>
      </c>
      <c r="E52" s="38" t="n">
        <f aca="false">Thesis!$E$98</f>
        <v>64.1899206485108</v>
      </c>
      <c r="F52" s="38" t="n">
        <f aca="false">Thesis!$F$98</f>
        <v>88.7165504612134</v>
      </c>
      <c r="G52" s="38" t="n">
        <f aca="false">Thesis!$G$98</f>
        <v>152.906471109724</v>
      </c>
      <c r="H52" s="38" t="n">
        <f aca="false">Thesis!$H$98</f>
        <v>198.57136494475</v>
      </c>
      <c r="I52" s="38" t="n">
        <f aca="false">Thesis!$I$98</f>
        <v>204.6464699105</v>
      </c>
      <c r="J52" s="38" t="n">
        <f aca="false">Thesis!$J$98</f>
        <v>209.8832381105</v>
      </c>
      <c r="K52" s="38" t="n">
        <f aca="false">Thesis!$K$98</f>
        <v>155.238385275201</v>
      </c>
      <c r="L52" s="38" t="n">
        <f aca="false">Thesis!$L$98</f>
        <v>132.014141639902</v>
      </c>
      <c r="M52" s="38" t="n">
        <f aca="false">Thesis!$M$98</f>
        <v>132.230981659852</v>
      </c>
    </row>
    <row r="53" customFormat="false" ht="17.15" hidden="false" customHeight="false" outlineLevel="0" collapsed="false">
      <c r="A53" s="5" t="s">
        <v>800</v>
      </c>
      <c r="B53" s="0" t="s">
        <v>86</v>
      </c>
      <c r="C53" s="38" t="n">
        <f aca="false">cx_awso*Seg!$C$63</f>
        <v>21.0469989286053</v>
      </c>
      <c r="D53" s="38" t="n">
        <f aca="false">cx_awso*Seg!$D$63</f>
        <v>24.0042459822698</v>
      </c>
      <c r="E53" s="38" t="n">
        <f aca="false">cx_awso*Seg!$E$63</f>
        <v>14.261729404886</v>
      </c>
      <c r="F53" s="38" t="n">
        <f aca="false">cx_awso*Seg!$F$63</f>
        <v>14.3538599588493</v>
      </c>
      <c r="G53" s="38" t="n">
        <f aca="false">CF!$E$53+CF!$F$53</f>
        <v>28.6155893637353</v>
      </c>
      <c r="H53" s="38" t="n">
        <f aca="false">cx_awso*Seg!$H$63</f>
        <v>32.2034154158406</v>
      </c>
      <c r="I53" s="38" t="n">
        <f aca="false">cx_awso*Seg!$I$63</f>
        <v>35.7539519042915</v>
      </c>
      <c r="J53" s="38" t="n">
        <f aca="false">cx_awso*Seg!$J$63</f>
        <v>39.1551076091815</v>
      </c>
      <c r="K53" s="38" t="n">
        <f aca="false">cx_awso*Seg!$K$63</f>
        <v>42.287516217916</v>
      </c>
      <c r="L53" s="38" t="n">
        <f aca="false">cx_awso*Seg!$L$63</f>
        <v>45.6705175153492</v>
      </c>
      <c r="M53" s="38" t="n">
        <f aca="false">cx_awso*Seg!$M$63</f>
        <v>49.3241589165772</v>
      </c>
    </row>
    <row r="54" customFormat="false" ht="17.15" hidden="false" customHeight="false" outlineLevel="0" collapsed="false">
      <c r="A54" s="5" t="s">
        <v>801</v>
      </c>
      <c r="B54" s="0" t="s">
        <v>86</v>
      </c>
      <c r="C54" s="38" t="n">
        <f aca="false">Q!$D$46-CF!$C$52-CF!$C$53</f>
        <v>31.3328957636573</v>
      </c>
      <c r="D54" s="38" t="n">
        <f aca="false">Q!$E$46-CF!$D$52-CF!$D$53</f>
        <v>34.7471223867276</v>
      </c>
      <c r="E54" s="38" t="n">
        <f aca="false">Q!$P$46-CF!$E$52-CF!$E$53</f>
        <v>17.8583499466032</v>
      </c>
      <c r="F54" s="38" t="n">
        <f aca="false">cx_rt*Seg!$F$55</f>
        <v>20.6195895799373</v>
      </c>
      <c r="G54" s="38" t="n">
        <f aca="false">CF!$E$54+CF!$F$54</f>
        <v>38.4779395265405</v>
      </c>
      <c r="H54" s="38" t="n">
        <f aca="false">cx_rt*Seg!$H$55</f>
        <v>42.5978994743075</v>
      </c>
      <c r="I54" s="38" t="n">
        <f aca="false">cx_rt*Seg!$I$55</f>
        <v>46.5813904136335</v>
      </c>
      <c r="J54" s="38" t="n">
        <f aca="false">cx_rt*Seg!$J$55</f>
        <v>50.2781676586844</v>
      </c>
      <c r="K54" s="38" t="n">
        <f aca="false">cx_rt*Seg!$K$55</f>
        <v>53.5312440191755</v>
      </c>
      <c r="L54" s="38" t="n">
        <f aca="false">cx_rt*Seg!$L$55</f>
        <v>57.0116717051447</v>
      </c>
      <c r="M54" s="38" t="n">
        <f aca="false">cx_rt*Seg!$M$55</f>
        <v>60.7365554669226</v>
      </c>
    </row>
    <row r="55" customFormat="false" ht="15" hidden="false" customHeight="false" outlineLevel="0" collapsed="false">
      <c r="A55" s="3" t="s">
        <v>802</v>
      </c>
      <c r="B55" s="8" t="s">
        <v>86</v>
      </c>
      <c r="C55" s="38" t="n">
        <f aca="false">Q!$D$46</f>
        <v>77.658</v>
      </c>
      <c r="D55" s="38" t="n">
        <f aca="false">Q!$E$46</f>
        <v>128.32</v>
      </c>
      <c r="E55" s="38" t="n">
        <f aca="false">Q!$P$46</f>
        <v>96.31</v>
      </c>
      <c r="F55" s="38" t="n">
        <f aca="false">CF!$F$52+CF!$F$53+CF!$F$54</f>
        <v>123.69</v>
      </c>
      <c r="G55" s="38" t="n">
        <f aca="false">CF!$E$55+CF!$F$55</f>
        <v>220</v>
      </c>
      <c r="H55" s="38" t="n">
        <f aca="false">CF!$H$52+CF!$H$53+CF!$H$54</f>
        <v>273.372679834898</v>
      </c>
      <c r="I55" s="38" t="n">
        <f aca="false">CF!$I$52+CF!$I$53+CF!$I$54</f>
        <v>286.981812228425</v>
      </c>
      <c r="J55" s="38" t="n">
        <f aca="false">CF!$J$52+CF!$J$53+CF!$J$54</f>
        <v>299.316513378366</v>
      </c>
      <c r="K55" s="38" t="n">
        <f aca="false">CF!$K$52+CF!$K$53+CF!$K$54</f>
        <v>251.057145512292</v>
      </c>
      <c r="L55" s="38" t="n">
        <f aca="false">CF!$L$52+CF!$L$53+CF!$L$54</f>
        <v>234.696330860396</v>
      </c>
      <c r="M55" s="38" t="n">
        <f aca="false">CF!$M$52+CF!$M$53+CF!$M$54</f>
        <v>242.291696043352</v>
      </c>
    </row>
    <row r="56" customFormat="false" ht="17.15" hidden="false" customHeight="false" outlineLevel="0" collapsed="false">
      <c r="A56" s="5" t="s">
        <v>570</v>
      </c>
      <c r="B56" s="0" t="s">
        <v>86</v>
      </c>
      <c r="C56" s="38" t="n">
        <f aca="false">Q!$D$50</f>
        <v>2.043</v>
      </c>
      <c r="D56" s="38" t="n">
        <f aca="false">Q!$E$50</f>
        <v>1.557</v>
      </c>
      <c r="E56" s="38" t="n">
        <f aca="false">lease_pr/2</f>
        <v>0.8</v>
      </c>
      <c r="F56" s="38" t="n">
        <f aca="false">lease_pr/2</f>
        <v>0.8</v>
      </c>
      <c r="G56" s="38" t="n">
        <f aca="false">CF!$E$56+CF!$F$56</f>
        <v>1.6</v>
      </c>
      <c r="H56" s="38" t="n">
        <f aca="false">lease_pr</f>
        <v>1.6</v>
      </c>
      <c r="I56" s="38" t="n">
        <f aca="false">lease_pr</f>
        <v>1.6</v>
      </c>
      <c r="J56" s="38" t="n">
        <f aca="false">lease_pr</f>
        <v>1.6</v>
      </c>
      <c r="K56" s="38" t="n">
        <f aca="false">lease_pr</f>
        <v>1.6</v>
      </c>
      <c r="L56" s="38" t="n">
        <f aca="false">lease_pr</f>
        <v>1.6</v>
      </c>
      <c r="M56" s="38" t="n">
        <f aca="false">lease_pr</f>
        <v>1.6</v>
      </c>
      <c r="P56" s="8" t="s">
        <v>803</v>
      </c>
    </row>
    <row r="57" customFormat="false" ht="15" hidden="false" customHeight="false" outlineLevel="0" collapsed="false">
      <c r="A57" s="47" t="s">
        <v>804</v>
      </c>
      <c r="B57" s="14" t="s">
        <v>86</v>
      </c>
      <c r="C57" s="48" t="n">
        <f aca="false">CF!$C$51-CF!$C$55-CF!$C$56</f>
        <v>36.176</v>
      </c>
      <c r="D57" s="48" t="n">
        <f aca="false">CF!$D$51-CF!$D$55-CF!$D$56</f>
        <v>9.63700000000002</v>
      </c>
      <c r="E57" s="48" t="n">
        <f aca="false">CF!$E$51-CF!$E$55-CF!$E$56</f>
        <v>-25.691</v>
      </c>
      <c r="F57" s="48" t="n">
        <f aca="false">CF!$F$51-CF!$F$55-CF!$F$56</f>
        <v>-33.2271793268317</v>
      </c>
      <c r="G57" s="48" t="n">
        <f aca="false">CF!$G$51-CF!$G$55-CF!$G$56</f>
        <v>-58.9181793268317</v>
      </c>
      <c r="H57" s="48" t="n">
        <f aca="false">CF!$H$51-CF!$H$55-CF!$H$56</f>
        <v>-54.3561238424036</v>
      </c>
      <c r="I57" s="48" t="n">
        <f aca="false">CF!$I$51-CF!$I$55-CF!$I$56</f>
        <v>-15.0303903946055</v>
      </c>
      <c r="J57" s="48" t="n">
        <f aca="false">CF!$J$51-CF!$J$55-CF!$J$56</f>
        <v>25.3313456523922</v>
      </c>
      <c r="K57" s="48" t="n">
        <f aca="false">CF!$K$51-CF!$K$55-CF!$K$56</f>
        <v>121.980646783072</v>
      </c>
      <c r="L57" s="48" t="n">
        <f aca="false">CF!$L$51-CF!$L$55-CF!$L$56</f>
        <v>180.80865103054</v>
      </c>
      <c r="M57" s="48" t="n">
        <f aca="false">CF!$M$51-CF!$M$55-CF!$M$56</f>
        <v>209.819407541041</v>
      </c>
      <c r="N57" s="14"/>
      <c r="O57" s="14"/>
    </row>
    <row r="58" customFormat="false" ht="17.15" hidden="false" customHeight="false" outlineLevel="0" collapsed="false">
      <c r="A58" s="5" t="s">
        <v>805</v>
      </c>
      <c r="B58" s="0" t="s">
        <v>86</v>
      </c>
      <c r="C58" s="38" t="n">
        <f aca="false">dps*PL!$C$144</f>
        <v>0</v>
      </c>
      <c r="D58" s="38" t="n">
        <f aca="false">dps*PL!$D$144</f>
        <v>0</v>
      </c>
      <c r="E58" s="38" t="n">
        <f aca="false">dps*PL!$E$144</f>
        <v>0</v>
      </c>
      <c r="F58" s="38" t="n">
        <f aca="false">0</f>
        <v>0</v>
      </c>
      <c r="G58" s="38" t="n">
        <f aca="false">dps*PL!$G$144</f>
        <v>0</v>
      </c>
      <c r="H58" s="38" t="n">
        <f aca="false">dps*PL!$H$144</f>
        <v>0</v>
      </c>
      <c r="I58" s="38" t="n">
        <f aca="false">dps*PL!$I$144</f>
        <v>0</v>
      </c>
      <c r="J58" s="38" t="n">
        <f aca="false">dps*PL!$J$144</f>
        <v>0</v>
      </c>
      <c r="K58" s="38" t="n">
        <f aca="false">dps*PL!$K$144</f>
        <v>0</v>
      </c>
      <c r="L58" s="38" t="n">
        <f aca="false">dps*PL!$L$144</f>
        <v>0</v>
      </c>
      <c r="M58" s="38" t="n">
        <f aca="false">dps*PL!$M$144</f>
        <v>0</v>
      </c>
      <c r="P58" s="8" t="s">
        <v>806</v>
      </c>
    </row>
    <row r="59" customFormat="false" ht="17.15" hidden="false" customHeight="false" outlineLevel="0" collapsed="false">
      <c r="A59" s="5" t="s">
        <v>807</v>
      </c>
      <c r="B59" s="0" t="s">
        <v>86</v>
      </c>
      <c r="C59" s="38" t="n">
        <f aca="false">0</f>
        <v>0</v>
      </c>
      <c r="D59" s="38" t="n">
        <f aca="false">0</f>
        <v>0</v>
      </c>
      <c r="E59" s="38" t="n">
        <f aca="false">0</f>
        <v>0</v>
      </c>
      <c r="F59" s="38" t="n">
        <f aca="false">0</f>
        <v>0</v>
      </c>
      <c r="G59" s="38" t="n">
        <f aca="false">0</f>
        <v>0</v>
      </c>
      <c r="H59" s="38" t="n">
        <f aca="false">0</f>
        <v>0</v>
      </c>
      <c r="I59" s="38" t="n">
        <f aca="false">0</f>
        <v>0</v>
      </c>
      <c r="J59" s="38" t="n">
        <f aca="false">0</f>
        <v>0</v>
      </c>
      <c r="K59" s="38" t="n">
        <f aca="false">0</f>
        <v>0</v>
      </c>
      <c r="L59" s="38" t="n">
        <f aca="false">0</f>
        <v>0</v>
      </c>
      <c r="M59" s="38" t="n">
        <f aca="false">0</f>
        <v>0</v>
      </c>
      <c r="P59" s="8" t="s">
        <v>808</v>
      </c>
    </row>
    <row r="60" customFormat="false" ht="15" hidden="false" customHeight="false" outlineLevel="0" collapsed="false">
      <c r="A60" s="3" t="s">
        <v>809</v>
      </c>
      <c r="B60" s="8" t="s">
        <v>86</v>
      </c>
      <c r="C60" s="38" t="n">
        <f aca="false">CF!$C$57-CF!$C$58</f>
        <v>36.176</v>
      </c>
      <c r="D60" s="38" t="n">
        <f aca="false">CF!$D$57-CF!$D$58</f>
        <v>9.63700000000002</v>
      </c>
      <c r="E60" s="38" t="n">
        <f aca="false">CF!$E$57-CF!$E$58</f>
        <v>-25.691</v>
      </c>
      <c r="F60" s="38" t="n">
        <f aca="false">CF!$F$57-CF!$F$58</f>
        <v>-33.2271793268317</v>
      </c>
      <c r="G60" s="38" t="n">
        <f aca="false">CF!$G$57-CF!$G$58</f>
        <v>-58.9181793268317</v>
      </c>
      <c r="H60" s="38" t="n">
        <f aca="false">CF!$H$57-CF!$H$58</f>
        <v>-54.3561238424036</v>
      </c>
      <c r="I60" s="38" t="n">
        <f aca="false">CF!$I$57-CF!$I$58</f>
        <v>-15.0303903946055</v>
      </c>
      <c r="J60" s="38" t="n">
        <f aca="false">CF!$J$57-CF!$J$58</f>
        <v>25.3313456523922</v>
      </c>
      <c r="K60" s="38" t="n">
        <f aca="false">CF!$K$57-CF!$K$58</f>
        <v>121.980646783072</v>
      </c>
      <c r="L60" s="38" t="n">
        <f aca="false">CF!$L$57-CF!$L$58</f>
        <v>180.80865103054</v>
      </c>
      <c r="M60" s="38" t="n">
        <f aca="false">CF!$M$57-CF!$M$58</f>
        <v>209.819407541041</v>
      </c>
    </row>
    <row r="61" customFormat="false" ht="17.15" hidden="false" customHeight="false" outlineLevel="0" collapsed="false">
      <c r="A61" s="5" t="s">
        <v>810</v>
      </c>
      <c r="B61" s="0" t="s">
        <v>86</v>
      </c>
      <c r="E61" s="38" t="n">
        <f aca="false">Q!$P$53</f>
        <v>39.767</v>
      </c>
      <c r="F61" s="38" t="n">
        <f aca="false">inv_2h26</f>
        <v>21.3</v>
      </c>
      <c r="G61" s="38" t="n">
        <f aca="false">CF!$E$61+CF!$F$61</f>
        <v>61.067</v>
      </c>
      <c r="H61" s="39" t="n">
        <v>0</v>
      </c>
      <c r="I61" s="39" t="n">
        <v>0</v>
      </c>
      <c r="J61" s="39" t="n">
        <v>0</v>
      </c>
      <c r="K61" s="39" t="n">
        <v>0</v>
      </c>
      <c r="L61" s="39" t="n">
        <v>0</v>
      </c>
      <c r="M61" s="39" t="n">
        <v>0</v>
      </c>
    </row>
    <row r="62" customFormat="false" ht="17.15" hidden="false" customHeight="false" outlineLevel="0" collapsed="false">
      <c r="A62" s="5" t="s">
        <v>811</v>
      </c>
      <c r="B62" s="0" t="s">
        <v>86</v>
      </c>
      <c r="F62" s="38" t="n">
        <f aca="false">iss_2h26</f>
        <v>29.249999</v>
      </c>
      <c r="G62" s="38" t="n">
        <f aca="false">CF!$F$62</f>
        <v>29.249999</v>
      </c>
      <c r="H62" s="39" t="n">
        <v>0</v>
      </c>
      <c r="I62" s="39" t="n">
        <v>0</v>
      </c>
      <c r="J62" s="39" t="n">
        <v>0</v>
      </c>
      <c r="K62" s="39" t="n">
        <v>0</v>
      </c>
      <c r="L62" s="39" t="n">
        <v>0</v>
      </c>
      <c r="M62" s="39" t="n">
        <v>0</v>
      </c>
    </row>
    <row r="63" customFormat="false" ht="17.15" hidden="false" customHeight="false" outlineLevel="0" collapsed="false">
      <c r="A63" s="5" t="s">
        <v>812</v>
      </c>
      <c r="B63" s="0" t="s">
        <v>86</v>
      </c>
      <c r="F63" s="38" t="n">
        <f aca="false">cash_q2</f>
        <v>122.988</v>
      </c>
      <c r="G63" s="38" t="n">
        <f aca="false">cash_q2</f>
        <v>122.988</v>
      </c>
      <c r="H63" s="38" t="n">
        <f aca="false">CF!$G$66</f>
        <v>97.7108196731683</v>
      </c>
      <c r="I63" s="38" t="n">
        <f aca="false">CF!$H$66</f>
        <v>50</v>
      </c>
      <c r="J63" s="38" t="n">
        <f aca="false">CF!$I$66</f>
        <v>50</v>
      </c>
      <c r="K63" s="38" t="n">
        <f aca="false">CF!$J$66</f>
        <v>75.3313456523922</v>
      </c>
      <c r="L63" s="38" t="n">
        <f aca="false">CF!$K$66</f>
        <v>197.311992435464</v>
      </c>
      <c r="M63" s="38" t="n">
        <f aca="false">CF!$L$66</f>
        <v>378.120643466004</v>
      </c>
    </row>
    <row r="64" customFormat="false" ht="15" hidden="false" customHeight="false" outlineLevel="0" collapsed="false">
      <c r="A64" s="5" t="s">
        <v>813</v>
      </c>
      <c r="B64" s="0" t="s">
        <v>86</v>
      </c>
      <c r="F64" s="38" t="n">
        <f aca="false">CF!$F$63+CF!$F$60-CF!$F$59-CF!$F$61+CF!$F$62</f>
        <v>97.7108196731683</v>
      </c>
      <c r="H64" s="38" t="n">
        <f aca="false">CF!$H$63+CF!$H$60-CF!$H$59-CF!$H$61+CF!$H$62</f>
        <v>43.3546958307647</v>
      </c>
      <c r="I64" s="38" t="n">
        <f aca="false">CF!$I$63+CF!$I$60-CF!$I$59-CF!$I$61+CF!$I$62</f>
        <v>34.9696096053945</v>
      </c>
      <c r="J64" s="38" t="n">
        <f aca="false">CF!$J$63+CF!$J$60-CF!$J$59-CF!$J$61+CF!$J$62</f>
        <v>75.3313456523922</v>
      </c>
      <c r="K64" s="38" t="n">
        <f aca="false">CF!$K$63+CF!$K$60-CF!$K$59-CF!$K$61+CF!$K$62</f>
        <v>197.311992435464</v>
      </c>
      <c r="L64" s="38" t="n">
        <f aca="false">CF!$L$63+CF!$L$60-CF!$L$59-CF!$L$61+CF!$L$62</f>
        <v>378.120643466004</v>
      </c>
      <c r="M64" s="38" t="n">
        <f aca="false">CF!$M$63+CF!$M$60-CF!$M$59-CF!$M$61+CF!$M$62</f>
        <v>587.940051007045</v>
      </c>
    </row>
    <row r="65" customFormat="false" ht="17.15" hidden="false" customHeight="false" outlineLevel="0" collapsed="false">
      <c r="A65" s="5" t="s">
        <v>814</v>
      </c>
      <c r="B65" s="0" t="s">
        <v>86</v>
      </c>
      <c r="F65" s="38" t="n">
        <f aca="false">MAX(0,min_cash-CF!$F$64)</f>
        <v>0</v>
      </c>
      <c r="G65" s="38" t="n">
        <f aca="false">CF!$F$65</f>
        <v>0</v>
      </c>
      <c r="H65" s="38" t="n">
        <f aca="false">MAX(0,min_cash-CF!$H$64)</f>
        <v>6.64530416923528</v>
      </c>
      <c r="I65" s="38" t="n">
        <f aca="false">MAX(0,min_cash-CF!$I$64)</f>
        <v>15.0303903946055</v>
      </c>
      <c r="J65" s="38" t="n">
        <f aca="false">MAX(0,min_cash-CF!$J$64)</f>
        <v>0</v>
      </c>
      <c r="K65" s="38" t="n">
        <f aca="false">MAX(0,min_cash-CF!$K$64)</f>
        <v>0</v>
      </c>
      <c r="L65" s="38" t="n">
        <f aca="false">MAX(0,min_cash-CF!$L$64)</f>
        <v>0</v>
      </c>
      <c r="M65" s="38" t="n">
        <f aca="false">MAX(0,min_cash-CF!$M$64)</f>
        <v>0</v>
      </c>
      <c r="P65" s="5" t="s">
        <v>815</v>
      </c>
    </row>
    <row r="66" customFormat="false" ht="15" hidden="false" customHeight="false" outlineLevel="0" collapsed="false">
      <c r="A66" s="5" t="s">
        <v>816</v>
      </c>
      <c r="B66" s="0" t="s">
        <v>86</v>
      </c>
      <c r="D66" s="38" t="n">
        <f aca="false">Q!$E$61</f>
        <v>123.029</v>
      </c>
      <c r="E66" s="38" t="n">
        <f aca="false">Q!$M$61</f>
        <v>122.988</v>
      </c>
      <c r="F66" s="38" t="n">
        <f aca="false">CF!$F$64+CF!$F$65</f>
        <v>97.7108196731683</v>
      </c>
      <c r="G66" s="38" t="n">
        <f aca="false">CF!$F$66</f>
        <v>97.7108196731683</v>
      </c>
      <c r="H66" s="38" t="n">
        <f aca="false">CF!$H$64+CF!$H$65</f>
        <v>50</v>
      </c>
      <c r="I66" s="38" t="n">
        <f aca="false">CF!$I$64+CF!$I$65</f>
        <v>50</v>
      </c>
      <c r="J66" s="38" t="n">
        <f aca="false">CF!$J$64+CF!$J$65</f>
        <v>75.3313456523922</v>
      </c>
      <c r="K66" s="38" t="n">
        <f aca="false">CF!$K$64+CF!$K$65</f>
        <v>197.311992435464</v>
      </c>
      <c r="L66" s="38" t="n">
        <f aca="false">CF!$L$64+CF!$L$65</f>
        <v>378.120643466004</v>
      </c>
      <c r="M66" s="38" t="n">
        <f aca="false">CF!$M$64+CF!$M$65</f>
        <v>587.940051007045</v>
      </c>
    </row>
    <row r="67" customFormat="false" ht="15" hidden="false" customHeight="false" outlineLevel="0" collapsed="false">
      <c r="A67" s="5" t="s">
        <v>817</v>
      </c>
      <c r="B67" s="0" t="s">
        <v>86</v>
      </c>
      <c r="D67" s="38" t="n">
        <f aca="false">Q!$E$62</f>
        <v>68.836</v>
      </c>
      <c r="E67" s="38" t="n">
        <f aca="false">Q!$M$62</f>
        <v>132.995</v>
      </c>
      <c r="F67" s="38" t="n">
        <f aca="false">debt_q2+CF!$F$62+CF!$F$65</f>
        <v>162.244999</v>
      </c>
      <c r="G67" s="38" t="n">
        <f aca="false">CF!$F$67</f>
        <v>162.244999</v>
      </c>
      <c r="H67" s="38" t="n">
        <f aca="false">CF!$G$67+CF!$H$65</f>
        <v>168.890303169235</v>
      </c>
      <c r="I67" s="38" t="n">
        <f aca="false">CF!$H$67+CF!$I$65</f>
        <v>183.920693563841</v>
      </c>
      <c r="J67" s="38" t="n">
        <f aca="false">CF!$I$67+CF!$J$65</f>
        <v>183.920693563841</v>
      </c>
      <c r="K67" s="38" t="n">
        <f aca="false">CF!$J$67+CF!$K$65</f>
        <v>183.920693563841</v>
      </c>
      <c r="L67" s="38" t="n">
        <f aca="false">CF!$K$67+CF!$L$65</f>
        <v>183.920693563841</v>
      </c>
      <c r="M67" s="38" t="n">
        <f aca="false">CF!$L$67+CF!$M$65</f>
        <v>183.920693563841</v>
      </c>
    </row>
    <row r="68" customFormat="false" ht="15" hidden="false" customHeight="false" outlineLevel="0" collapsed="false">
      <c r="A68" s="5" t="s">
        <v>818</v>
      </c>
      <c r="B68" s="0" t="s">
        <v>86</v>
      </c>
      <c r="D68" s="38" t="n">
        <f aca="false">CF!$D$67-CF!$D$66</f>
        <v>-54.193</v>
      </c>
      <c r="E68" s="38" t="n">
        <f aca="false">CF!$E$67-CF!$E$66</f>
        <v>10.007</v>
      </c>
      <c r="F68" s="38" t="n">
        <f aca="false">CF!$F$67-CF!$F$66</f>
        <v>64.5341793268317</v>
      </c>
      <c r="G68" s="38" t="n">
        <f aca="false">CF!$G$67-CF!$G$66</f>
        <v>64.5341793268317</v>
      </c>
      <c r="H68" s="38" t="n">
        <f aca="false">CF!$H$67-CF!$H$66</f>
        <v>118.890303169235</v>
      </c>
      <c r="I68" s="38" t="n">
        <f aca="false">CF!$I$67-CF!$I$66</f>
        <v>133.920693563841</v>
      </c>
      <c r="J68" s="38" t="n">
        <f aca="false">CF!$J$67-CF!$J$66</f>
        <v>108.589347911449</v>
      </c>
      <c r="K68" s="38" t="n">
        <f aca="false">CF!$K$67-CF!$K$66</f>
        <v>-13.3912988716235</v>
      </c>
      <c r="L68" s="38" t="n">
        <f aca="false">CF!$L$67-CF!$L$66</f>
        <v>-194.199949902163</v>
      </c>
      <c r="M68" s="38" t="n">
        <f aca="false">CF!$M$67-CF!$M$66</f>
        <v>-404.019357443204</v>
      </c>
    </row>
    <row r="69" customFormat="false" ht="17.15" hidden="false" customHeight="false" outlineLevel="0" collapsed="false">
      <c r="A69" s="5" t="s">
        <v>819</v>
      </c>
      <c r="B69" s="0" t="s">
        <v>86</v>
      </c>
      <c r="F69" s="38" t="n">
        <f aca="false">debt_q2*kd_book*0.5+iss_2h26*kd_new*iss_t</f>
        <v>3.24888962733561</v>
      </c>
      <c r="H69" s="38" t="n">
        <f aca="false">debt_q2*kd_book+(CF!$G$67-debt_q2)*kd_new</f>
        <v>7.42354172302123</v>
      </c>
      <c r="I69" s="38" t="n">
        <f aca="false">debt_q2*kd_book+(CF!$H$67-debt_q2)*kd_new</f>
        <v>7.84418947693382</v>
      </c>
      <c r="J69" s="38" t="n">
        <f aca="false">debt_q2*kd_book+(CF!$I$67-debt_q2)*kd_new</f>
        <v>8.79561318891235</v>
      </c>
      <c r="K69" s="38" t="n">
        <f aca="false">debt_q2*kd_book+(CF!$J$67-debt_q2)*kd_new</f>
        <v>8.79561318891235</v>
      </c>
      <c r="L69" s="38" t="n">
        <f aca="false">debt_q2*kd_book+(CF!$K$67-debt_q2)*kd_new</f>
        <v>8.79561318891235</v>
      </c>
      <c r="M69" s="38" t="n">
        <f aca="false">debt_q2*kd_book+(CF!$L$67-debt_q2)*kd_new</f>
        <v>8.79561318891235</v>
      </c>
    </row>
    <row r="70" customFormat="false" ht="17.15" hidden="false" customHeight="false" outlineLevel="0" collapsed="false">
      <c r="A70" s="5" t="s">
        <v>820</v>
      </c>
      <c r="B70" s="0" t="s">
        <v>86</v>
      </c>
      <c r="F70" s="38" t="n">
        <f aca="false">cash_q2*y_cash*0.5</f>
        <v>2.59</v>
      </c>
      <c r="H70" s="38" t="n">
        <f aca="false">CF!$G$66*y_cash</f>
        <v>4.1153774832261</v>
      </c>
      <c r="I70" s="38" t="n">
        <f aca="false">CF!$H$66*y_cash</f>
        <v>2.10589651022864</v>
      </c>
      <c r="J70" s="38" t="n">
        <f aca="false">CF!$I$66*y_cash</f>
        <v>2.10589651022864</v>
      </c>
      <c r="K70" s="38" t="n">
        <f aca="false">CF!$J$66*y_cash</f>
        <v>3.172800358404</v>
      </c>
      <c r="L70" s="38" t="n">
        <f aca="false">CF!$K$66*y_cash</f>
        <v>8.31037272592208</v>
      </c>
      <c r="M70" s="38" t="n">
        <f aca="false">CF!$L$66*y_cash</f>
        <v>15.9256588704093</v>
      </c>
    </row>
    <row r="71" customFormat="false" ht="17.15" hidden="false" customHeight="false" outlineLevel="0" collapsed="false">
      <c r="A71" s="47" t="s">
        <v>821</v>
      </c>
      <c r="B71" s="14" t="s">
        <v>86</v>
      </c>
      <c r="C71" s="14"/>
      <c r="D71" s="14"/>
      <c r="E71" s="14"/>
      <c r="F71" s="14"/>
      <c r="G71" s="48" t="n">
        <f aca="false">SUM(CF!$G$60:$K$60)</f>
        <v>19.0072988716234</v>
      </c>
      <c r="H71" s="14"/>
      <c r="I71" s="14"/>
      <c r="J71" s="14"/>
      <c r="K71" s="14"/>
      <c r="L71" s="14"/>
      <c r="M71" s="14"/>
      <c r="N71" s="14"/>
      <c r="O71" s="14"/>
    </row>
    <row r="72" customFormat="false" ht="17.15" hidden="false" customHeight="false" outlineLevel="0" collapsed="false">
      <c r="A72" s="0" t="s">
        <v>787</v>
      </c>
      <c r="B72" s="0" t="s">
        <v>86</v>
      </c>
      <c r="G72" s="38" t="n">
        <f aca="false">SUM(CF!$G$65:$K$65)</f>
        <v>21.6756945638408</v>
      </c>
    </row>
    <row r="73" customFormat="false" ht="17.15" hidden="false" customHeight="false" outlineLevel="0" collapsed="false">
      <c r="A73" s="24" t="s">
        <v>824</v>
      </c>
      <c r="B73" s="25" t="s">
        <v>86</v>
      </c>
      <c r="C73" s="25"/>
      <c r="D73" s="25"/>
      <c r="E73" s="25"/>
      <c r="F73" s="25"/>
      <c r="G73" s="41" t="n">
        <f aca="false">CF!$G$71-(CF!$G$60+CF!$H$60+CF!$I$60+CF!$J$60+CF!$K$60)</f>
        <v>0</v>
      </c>
      <c r="H73" s="25"/>
      <c r="I73" s="25"/>
      <c r="J73" s="25"/>
      <c r="K73" s="25"/>
      <c r="L73" s="25"/>
      <c r="M73" s="25"/>
      <c r="N73" s="25"/>
      <c r="O73" s="25"/>
    </row>
    <row r="76" customFormat="false" ht="19.4" hidden="false" customHeight="false" outlineLevel="0" collapsed="false">
      <c r="A76" s="31" t="s">
        <v>825</v>
      </c>
    </row>
    <row r="77" customFormat="false" ht="17.15" hidden="false" customHeight="false" outlineLevel="0" collapsed="false">
      <c r="A77" s="6" t="s">
        <v>16</v>
      </c>
      <c r="B77" s="6" t="s">
        <v>17</v>
      </c>
      <c r="C77" s="20" t="s">
        <v>504</v>
      </c>
      <c r="D77" s="20" t="s">
        <v>505</v>
      </c>
      <c r="E77" s="20" t="s">
        <v>587</v>
      </c>
      <c r="F77" s="20" t="s">
        <v>588</v>
      </c>
      <c r="G77" s="20" t="s">
        <v>589</v>
      </c>
      <c r="H77" s="20" t="s">
        <v>590</v>
      </c>
      <c r="I77" s="20" t="s">
        <v>591</v>
      </c>
      <c r="J77" s="20" t="s">
        <v>592</v>
      </c>
      <c r="K77" s="20" t="s">
        <v>593</v>
      </c>
      <c r="L77" s="20" t="s">
        <v>594</v>
      </c>
      <c r="M77" s="20" t="s">
        <v>595</v>
      </c>
      <c r="N77" s="20" t="s">
        <v>596</v>
      </c>
      <c r="O77" s="20" t="s">
        <v>597</v>
      </c>
      <c r="P77" s="6" t="s">
        <v>23</v>
      </c>
      <c r="R77" s="20" t="n">
        <v>2023</v>
      </c>
      <c r="S77" s="20" t="n">
        <v>2024</v>
      </c>
      <c r="T77" s="20" t="n">
        <v>2025</v>
      </c>
      <c r="U77" s="20" t="n">
        <v>2026</v>
      </c>
      <c r="V77" s="20" t="n">
        <v>2027</v>
      </c>
      <c r="W77" s="20" t="n">
        <v>2028</v>
      </c>
      <c r="X77" s="20" t="n">
        <v>2029</v>
      </c>
      <c r="Y77" s="20" t="n">
        <v>2030</v>
      </c>
      <c r="Z77" s="20" t="n">
        <v>2031</v>
      </c>
      <c r="AA77" s="20" t="n">
        <v>2032</v>
      </c>
    </row>
    <row r="78" customFormat="false" ht="15" hidden="false" customHeight="false" outlineLevel="0" collapsed="false">
      <c r="A78" s="5" t="s">
        <v>556</v>
      </c>
      <c r="B78" s="0" t="s">
        <v>86</v>
      </c>
      <c r="C78" s="38" t="n">
        <f aca="false">PL!$C$213</f>
        <v>59.248</v>
      </c>
      <c r="D78" s="38" t="n">
        <f aca="false">PL!$D$213</f>
        <v>77.67</v>
      </c>
      <c r="E78" s="38" t="n">
        <f aca="false">PL!$E$213</f>
        <v>92.902</v>
      </c>
      <c r="F78" s="38" t="n">
        <f aca="false">PL!$F$213</f>
        <v>45.3539710318751</v>
      </c>
      <c r="G78" s="38" t="n">
        <f aca="false">PL!$G$213</f>
        <v>138.255971031875</v>
      </c>
      <c r="H78" s="38" t="n">
        <f aca="false">PL!$H$213</f>
        <v>98.7018228515433</v>
      </c>
      <c r="I78" s="38" t="n">
        <f aca="false">PL!$I$213</f>
        <v>103.705154097981</v>
      </c>
      <c r="J78" s="38" t="n">
        <f aca="false">PL!$J$213</f>
        <v>111.806847816615</v>
      </c>
      <c r="K78" s="38" t="n">
        <f aca="false">PL!$K$213</f>
        <v>116.774387912732</v>
      </c>
      <c r="L78" s="38" t="n">
        <f aca="false">PL!$L$213</f>
        <v>125.953586728967</v>
      </c>
      <c r="M78" s="38" t="n">
        <f aca="false">PL!$M$213</f>
        <v>139.513178090569</v>
      </c>
    </row>
    <row r="79" customFormat="false" ht="17.15" hidden="false" customHeight="false" outlineLevel="0" collapsed="false">
      <c r="A79" s="5" t="s">
        <v>795</v>
      </c>
      <c r="B79" s="0" t="s">
        <v>86</v>
      </c>
      <c r="C79" s="38" t="n">
        <f aca="false">PL!$C$201</f>
        <v>32.067</v>
      </c>
      <c r="D79" s="38" t="n">
        <f aca="false">PL!$D$201</f>
        <v>41.86</v>
      </c>
      <c r="E79" s="38" t="n">
        <f aca="false">PL!$E$201</f>
        <v>26.703</v>
      </c>
      <c r="F79" s="38" t="n">
        <f aca="false">PL!$F$201</f>
        <v>29.152860869477</v>
      </c>
      <c r="G79" s="38" t="n">
        <f aca="false">PL!$G$201</f>
        <v>55.855860869477</v>
      </c>
      <c r="H79" s="38" t="n">
        <f aca="false">PL!$H$201</f>
        <v>81.5618233196153</v>
      </c>
      <c r="I79" s="38" t="n">
        <f aca="false">PL!$I$201</f>
        <v>118.756208740204</v>
      </c>
      <c r="J79" s="38" t="n">
        <f aca="false">PL!$J$201</f>
        <v>152.469489406791</v>
      </c>
      <c r="K79" s="38" t="n">
        <f aca="false">PL!$K$201</f>
        <v>186.391502623819</v>
      </c>
      <c r="L79" s="38" t="n">
        <f aca="false">PL!$L$201</f>
        <v>211.926422215482</v>
      </c>
      <c r="M79" s="38" t="n">
        <f aca="false">PL!$M$201</f>
        <v>229.012482097906</v>
      </c>
    </row>
    <row r="80" customFormat="false" ht="15" hidden="false" customHeight="false" outlineLevel="0" collapsed="false">
      <c r="A80" s="5" t="s">
        <v>796</v>
      </c>
      <c r="B80" s="0" t="s">
        <v>86</v>
      </c>
      <c r="C80" s="38" t="n">
        <f aca="false">Q!$D$48</f>
        <v>22.011</v>
      </c>
      <c r="D80" s="38" t="n">
        <f aca="false">Q!$E$48</f>
        <v>19.467</v>
      </c>
      <c r="E80" s="38" t="n">
        <f aca="false">Q!$P$48</f>
        <v>10.07</v>
      </c>
      <c r="F80" s="38" t="n">
        <f aca="false">sbc_r*Seg!$F$100</f>
        <v>10.8301362330615</v>
      </c>
      <c r="G80" s="38" t="n">
        <f aca="false">CF!$E$80+CF!$F$80</f>
        <v>20.9001362330615</v>
      </c>
      <c r="H80" s="38" t="n">
        <f aca="false">sbc_r*Seg!$H$100</f>
        <v>23.2943317654256</v>
      </c>
      <c r="I80" s="38" t="n">
        <f aca="false">sbc_r*Seg!$I$100</f>
        <v>26.2713749165794</v>
      </c>
      <c r="J80" s="38" t="n">
        <f aca="false">sbc_r*Seg!$J$100</f>
        <v>29.1127794503891</v>
      </c>
      <c r="K80" s="38" t="n">
        <f aca="false">sbc_r*Seg!$K$100</f>
        <v>31.6074153583433</v>
      </c>
      <c r="L80" s="38" t="n">
        <f aca="false">sbc_r*Seg!$L$100</f>
        <v>33.9776385718341</v>
      </c>
      <c r="M80" s="38" t="n">
        <f aca="false">sbc_r*Seg!$M$100</f>
        <v>36.2325352034492</v>
      </c>
    </row>
    <row r="81" customFormat="false" ht="17.15" hidden="false" customHeight="false" outlineLevel="0" collapsed="false">
      <c r="A81" s="5" t="s">
        <v>797</v>
      </c>
      <c r="B81" s="0" t="s">
        <v>86</v>
      </c>
      <c r="C81" s="38" t="n">
        <f aca="false">Q!$D$44-CF!$C$78-CF!$C$79-CF!$C$80</f>
        <v>2.551</v>
      </c>
      <c r="D81" s="38" t="n">
        <f aca="false">Q!$E$44-CF!$D$78-CF!$D$79-CF!$D$80</f>
        <v>0.51700000000001</v>
      </c>
      <c r="E81" s="38" t="n">
        <f aca="false">Q!$P$44-CF!$E$78-CF!$E$79-CF!$E$80</f>
        <v>-58.256</v>
      </c>
      <c r="F81" s="38" t="n">
        <f aca="false">oth_r*Seg!$F$100</f>
        <v>5.21275305044778</v>
      </c>
      <c r="G81" s="38" t="n">
        <f aca="false">CF!$E$81+CF!$F$81</f>
        <v>-53.0432469495522</v>
      </c>
      <c r="H81" s="38" t="n">
        <f aca="false">oth_r*Seg!$H$100</f>
        <v>11.2120102974955</v>
      </c>
      <c r="I81" s="38" t="n">
        <f aca="false">oth_r*Seg!$I$100</f>
        <v>12.6449184745984</v>
      </c>
      <c r="J81" s="38" t="n">
        <f aca="false">oth_r*Seg!$J$100</f>
        <v>14.0125411741132</v>
      </c>
      <c r="K81" s="38" t="n">
        <f aca="false">oth_r*Seg!$K$100</f>
        <v>15.2132574586644</v>
      </c>
      <c r="L81" s="38" t="n">
        <f aca="false">oth_r*Seg!$L$100</f>
        <v>16.3540915184104</v>
      </c>
      <c r="M81" s="38" t="n">
        <f aca="false">oth_r*Seg!$M$100</f>
        <v>17.4394166742486</v>
      </c>
      <c r="P81" s="8" t="s">
        <v>798</v>
      </c>
    </row>
    <row r="82" customFormat="false" ht="15" hidden="false" customHeight="false" outlineLevel="0" collapsed="false">
      <c r="A82" s="3" t="s">
        <v>562</v>
      </c>
      <c r="B82" s="8" t="s">
        <v>86</v>
      </c>
      <c r="C82" s="38" t="n">
        <f aca="false">Q!$D$44</f>
        <v>115.877</v>
      </c>
      <c r="D82" s="38" t="n">
        <f aca="false">Q!$E$44</f>
        <v>139.514</v>
      </c>
      <c r="E82" s="38" t="n">
        <f aca="false">Q!$P$44</f>
        <v>71.419</v>
      </c>
      <c r="F82" s="38" t="n">
        <f aca="false">CF!$F$78+CF!$F$79+CF!$F$80+CF!$F$81</f>
        <v>90.5497211848613</v>
      </c>
      <c r="G82" s="38" t="n">
        <f aca="false">CF!$E$82+CF!$F$82</f>
        <v>161.968721184861</v>
      </c>
      <c r="H82" s="38" t="n">
        <f aca="false">CF!$H$78+CF!$H$79+CF!$H$80+CF!$H$81</f>
        <v>214.76998823408</v>
      </c>
      <c r="I82" s="38" t="n">
        <f aca="false">CF!$I$78+CF!$I$79+CF!$I$80+CF!$I$81</f>
        <v>261.377656229363</v>
      </c>
      <c r="J82" s="38" t="n">
        <f aca="false">CF!$J$78+CF!$J$79+CF!$J$80+CF!$J$81</f>
        <v>307.401657847908</v>
      </c>
      <c r="K82" s="38" t="n">
        <f aca="false">CF!$K$78+CF!$K$79+CF!$K$80+CF!$K$81</f>
        <v>349.986563353558</v>
      </c>
      <c r="L82" s="38" t="n">
        <f aca="false">CF!$L$78+CF!$L$79+CF!$L$80+CF!$L$81</f>
        <v>388.211739034694</v>
      </c>
      <c r="M82" s="38" t="n">
        <f aca="false">CF!$M$78+CF!$M$79+CF!$M$80+CF!$M$81</f>
        <v>422.197612066173</v>
      </c>
    </row>
    <row r="83" customFormat="false" ht="17.15" hidden="false" customHeight="false" outlineLevel="0" collapsed="false">
      <c r="A83" s="5" t="s">
        <v>799</v>
      </c>
      <c r="B83" s="0" t="s">
        <v>86</v>
      </c>
      <c r="C83" s="38" t="n">
        <f aca="false">Thesis!$C$161</f>
        <v>25.2781053077374</v>
      </c>
      <c r="D83" s="38" t="n">
        <f aca="false">Thesis!$D$161</f>
        <v>69.5686316310026</v>
      </c>
      <c r="E83" s="38" t="n">
        <f aca="false">Thesis!$E$161</f>
        <v>64.1899206485108</v>
      </c>
      <c r="F83" s="38" t="n">
        <f aca="false">Thesis!$F$161</f>
        <v>88.7165504612134</v>
      </c>
      <c r="G83" s="38" t="n">
        <f aca="false">Thesis!$G$161</f>
        <v>152.906471109724</v>
      </c>
      <c r="H83" s="38" t="n">
        <f aca="false">Thesis!$H$161</f>
        <v>198.57136494475</v>
      </c>
      <c r="I83" s="38" t="n">
        <f aca="false">Thesis!$I$161</f>
        <v>204.6464699105</v>
      </c>
      <c r="J83" s="38" t="n">
        <f aca="false">Thesis!$J$161</f>
        <v>209.8832381105</v>
      </c>
      <c r="K83" s="38" t="n">
        <f aca="false">Thesis!$K$161</f>
        <v>155.238385275201</v>
      </c>
      <c r="L83" s="38" t="n">
        <f aca="false">Thesis!$L$161</f>
        <v>132.014141639902</v>
      </c>
      <c r="M83" s="38" t="n">
        <f aca="false">Thesis!$M$161</f>
        <v>132.230981659852</v>
      </c>
    </row>
    <row r="84" customFormat="false" ht="17.15" hidden="false" customHeight="false" outlineLevel="0" collapsed="false">
      <c r="A84" s="5" t="s">
        <v>800</v>
      </c>
      <c r="B84" s="0" t="s">
        <v>86</v>
      </c>
      <c r="C84" s="38" t="n">
        <f aca="false">cx_awso*Seg!$C$98</f>
        <v>21.0469989286053</v>
      </c>
      <c r="D84" s="38" t="n">
        <f aca="false">cx_awso*Seg!$D$98</f>
        <v>24.0042459822698</v>
      </c>
      <c r="E84" s="38" t="n">
        <f aca="false">cx_awso*Seg!$E$98</f>
        <v>14.261729404886</v>
      </c>
      <c r="F84" s="38" t="n">
        <f aca="false">cx_awso*Seg!$F$98</f>
        <v>14.3538599588493</v>
      </c>
      <c r="G84" s="38" t="n">
        <f aca="false">CF!$E$84+CF!$F$84</f>
        <v>28.6155893637353</v>
      </c>
      <c r="H84" s="38" t="n">
        <f aca="false">cx_awso*Seg!$H$98</f>
        <v>32.2034154158406</v>
      </c>
      <c r="I84" s="38" t="n">
        <f aca="false">cx_awso*Seg!$I$98</f>
        <v>35.7539519042915</v>
      </c>
      <c r="J84" s="38" t="n">
        <f aca="false">cx_awso*Seg!$J$98</f>
        <v>39.1551076091815</v>
      </c>
      <c r="K84" s="38" t="n">
        <f aca="false">cx_awso*Seg!$K$98</f>
        <v>42.287516217916</v>
      </c>
      <c r="L84" s="38" t="n">
        <f aca="false">cx_awso*Seg!$L$98</f>
        <v>45.6705175153492</v>
      </c>
      <c r="M84" s="38" t="n">
        <f aca="false">cx_awso*Seg!$M$98</f>
        <v>49.3241589165772</v>
      </c>
    </row>
    <row r="85" customFormat="false" ht="17.15" hidden="false" customHeight="false" outlineLevel="0" collapsed="false">
      <c r="A85" s="5" t="s">
        <v>801</v>
      </c>
      <c r="B85" s="0" t="s">
        <v>86</v>
      </c>
      <c r="C85" s="38" t="n">
        <f aca="false">Q!$D$46-CF!$C$83-CF!$C$84</f>
        <v>31.3328957636573</v>
      </c>
      <c r="D85" s="38" t="n">
        <f aca="false">Q!$E$46-CF!$D$83-CF!$D$84</f>
        <v>34.7471223867276</v>
      </c>
      <c r="E85" s="38" t="n">
        <f aca="false">Q!$P$46-CF!$E$83-CF!$E$84</f>
        <v>17.8583499466032</v>
      </c>
      <c r="F85" s="38" t="n">
        <f aca="false">cx_rt*Seg!$F$90</f>
        <v>20.6195895799373</v>
      </c>
      <c r="G85" s="38" t="n">
        <f aca="false">CF!$E$85+CF!$F$85</f>
        <v>38.4779395265405</v>
      </c>
      <c r="H85" s="38" t="n">
        <f aca="false">cx_rt*Seg!$H$90</f>
        <v>42.5978994743075</v>
      </c>
      <c r="I85" s="38" t="n">
        <f aca="false">cx_rt*Seg!$I$90</f>
        <v>46.5813904136335</v>
      </c>
      <c r="J85" s="38" t="n">
        <f aca="false">cx_rt*Seg!$J$90</f>
        <v>50.2781676586844</v>
      </c>
      <c r="K85" s="38" t="n">
        <f aca="false">cx_rt*Seg!$K$90</f>
        <v>53.5312440191755</v>
      </c>
      <c r="L85" s="38" t="n">
        <f aca="false">cx_rt*Seg!$L$90</f>
        <v>57.0116717051447</v>
      </c>
      <c r="M85" s="38" t="n">
        <f aca="false">cx_rt*Seg!$M$90</f>
        <v>60.7365554669226</v>
      </c>
    </row>
    <row r="86" customFormat="false" ht="15" hidden="false" customHeight="false" outlineLevel="0" collapsed="false">
      <c r="A86" s="3" t="s">
        <v>802</v>
      </c>
      <c r="B86" s="8" t="s">
        <v>86</v>
      </c>
      <c r="C86" s="38" t="n">
        <f aca="false">Q!$D$46</f>
        <v>77.658</v>
      </c>
      <c r="D86" s="38" t="n">
        <f aca="false">Q!$E$46</f>
        <v>128.32</v>
      </c>
      <c r="E86" s="38" t="n">
        <f aca="false">Q!$P$46</f>
        <v>96.31</v>
      </c>
      <c r="F86" s="38" t="n">
        <f aca="false">CF!$F$83+CF!$F$84+CF!$F$85</f>
        <v>123.69</v>
      </c>
      <c r="G86" s="38" t="n">
        <f aca="false">CF!$E$86+CF!$F$86</f>
        <v>220</v>
      </c>
      <c r="H86" s="38" t="n">
        <f aca="false">CF!$H$83+CF!$H$84+CF!$H$85</f>
        <v>273.372679834898</v>
      </c>
      <c r="I86" s="38" t="n">
        <f aca="false">CF!$I$83+CF!$I$84+CF!$I$85</f>
        <v>286.981812228425</v>
      </c>
      <c r="J86" s="38" t="n">
        <f aca="false">CF!$J$83+CF!$J$84+CF!$J$85</f>
        <v>299.316513378366</v>
      </c>
      <c r="K86" s="38" t="n">
        <f aca="false">CF!$K$83+CF!$K$84+CF!$K$85</f>
        <v>251.057145512292</v>
      </c>
      <c r="L86" s="38" t="n">
        <f aca="false">CF!$L$83+CF!$L$84+CF!$L$85</f>
        <v>234.696330860396</v>
      </c>
      <c r="M86" s="38" t="n">
        <f aca="false">CF!$M$83+CF!$M$84+CF!$M$85</f>
        <v>242.291696043352</v>
      </c>
    </row>
    <row r="87" customFormat="false" ht="17.15" hidden="false" customHeight="false" outlineLevel="0" collapsed="false">
      <c r="A87" s="5" t="s">
        <v>570</v>
      </c>
      <c r="B87" s="0" t="s">
        <v>86</v>
      </c>
      <c r="C87" s="38" t="n">
        <f aca="false">Q!$D$50</f>
        <v>2.043</v>
      </c>
      <c r="D87" s="38" t="n">
        <f aca="false">Q!$E$50</f>
        <v>1.557</v>
      </c>
      <c r="E87" s="38" t="n">
        <f aca="false">lease_pr/2</f>
        <v>0.8</v>
      </c>
      <c r="F87" s="38" t="n">
        <f aca="false">lease_pr/2</f>
        <v>0.8</v>
      </c>
      <c r="G87" s="38" t="n">
        <f aca="false">CF!$E$87+CF!$F$87</f>
        <v>1.6</v>
      </c>
      <c r="H87" s="38" t="n">
        <f aca="false">lease_pr</f>
        <v>1.6</v>
      </c>
      <c r="I87" s="38" t="n">
        <f aca="false">lease_pr</f>
        <v>1.6</v>
      </c>
      <c r="J87" s="38" t="n">
        <f aca="false">lease_pr</f>
        <v>1.6</v>
      </c>
      <c r="K87" s="38" t="n">
        <f aca="false">lease_pr</f>
        <v>1.6</v>
      </c>
      <c r="L87" s="38" t="n">
        <f aca="false">lease_pr</f>
        <v>1.6</v>
      </c>
      <c r="M87" s="38" t="n">
        <f aca="false">lease_pr</f>
        <v>1.6</v>
      </c>
      <c r="P87" s="8" t="s">
        <v>803</v>
      </c>
    </row>
    <row r="88" customFormat="false" ht="15" hidden="false" customHeight="false" outlineLevel="0" collapsed="false">
      <c r="A88" s="47" t="s">
        <v>804</v>
      </c>
      <c r="B88" s="14" t="s">
        <v>86</v>
      </c>
      <c r="C88" s="48" t="n">
        <f aca="false">CF!$C$82-CF!$C$86-CF!$C$87</f>
        <v>36.176</v>
      </c>
      <c r="D88" s="48" t="n">
        <f aca="false">CF!$D$82-CF!$D$86-CF!$D$87</f>
        <v>9.63700000000002</v>
      </c>
      <c r="E88" s="48" t="n">
        <f aca="false">CF!$E$82-CF!$E$86-CF!$E$87</f>
        <v>-25.691</v>
      </c>
      <c r="F88" s="48" t="n">
        <f aca="false">CF!$F$82-CF!$F$86-CF!$F$87</f>
        <v>-33.9402788151387</v>
      </c>
      <c r="G88" s="48" t="n">
        <f aca="false">CF!$G$82-CF!$G$86-CF!$G$87</f>
        <v>-59.6312788151387</v>
      </c>
      <c r="H88" s="48" t="n">
        <f aca="false">CF!$H$82-CF!$H$86-CF!$H$87</f>
        <v>-60.2026916008185</v>
      </c>
      <c r="I88" s="48" t="n">
        <f aca="false">CF!$I$82-CF!$I$86-CF!$I$87</f>
        <v>-27.2041559990619</v>
      </c>
      <c r="J88" s="48" t="n">
        <f aca="false">CF!$J$82-CF!$J$86-CF!$J$87</f>
        <v>6.48514446954195</v>
      </c>
      <c r="K88" s="48" t="n">
        <f aca="false">CF!$K$82-CF!$K$86-CF!$K$87</f>
        <v>97.3294178412661</v>
      </c>
      <c r="L88" s="48" t="n">
        <f aca="false">CF!$L$82-CF!$L$86-CF!$L$87</f>
        <v>151.915408174298</v>
      </c>
      <c r="M88" s="48" t="n">
        <f aca="false">CF!$M$82-CF!$M$86-CF!$M$87</f>
        <v>178.305916022821</v>
      </c>
      <c r="N88" s="14"/>
      <c r="O88" s="14"/>
    </row>
    <row r="89" customFormat="false" ht="17.15" hidden="false" customHeight="false" outlineLevel="0" collapsed="false">
      <c r="A89" s="5" t="s">
        <v>805</v>
      </c>
      <c r="B89" s="0" t="s">
        <v>86</v>
      </c>
      <c r="C89" s="38" t="n">
        <f aca="false">dps*PL!$C$214</f>
        <v>0</v>
      </c>
      <c r="D89" s="38" t="n">
        <f aca="false">dps*PL!$D$214</f>
        <v>0</v>
      </c>
      <c r="E89" s="38" t="n">
        <f aca="false">dps*PL!$E$214</f>
        <v>0</v>
      </c>
      <c r="F89" s="38" t="n">
        <f aca="false">0</f>
        <v>0</v>
      </c>
      <c r="G89" s="38" t="n">
        <f aca="false">dps*PL!$G$214</f>
        <v>0</v>
      </c>
      <c r="H89" s="38" t="n">
        <f aca="false">dps*PL!$H$214</f>
        <v>0</v>
      </c>
      <c r="I89" s="38" t="n">
        <f aca="false">dps*PL!$I$214</f>
        <v>0</v>
      </c>
      <c r="J89" s="38" t="n">
        <f aca="false">dps*PL!$J$214</f>
        <v>0</v>
      </c>
      <c r="K89" s="38" t="n">
        <f aca="false">dps*PL!$K$214</f>
        <v>0</v>
      </c>
      <c r="L89" s="38" t="n">
        <f aca="false">dps*PL!$L$214</f>
        <v>0</v>
      </c>
      <c r="M89" s="38" t="n">
        <f aca="false">dps*PL!$M$214</f>
        <v>0</v>
      </c>
      <c r="P89" s="8" t="s">
        <v>806</v>
      </c>
    </row>
    <row r="90" customFormat="false" ht="17.15" hidden="false" customHeight="false" outlineLevel="0" collapsed="false">
      <c r="A90" s="5" t="s">
        <v>807</v>
      </c>
      <c r="B90" s="0" t="s">
        <v>86</v>
      </c>
      <c r="C90" s="38" t="n">
        <f aca="false">0</f>
        <v>0</v>
      </c>
      <c r="D90" s="38" t="n">
        <f aca="false">0</f>
        <v>0</v>
      </c>
      <c r="E90" s="38" t="n">
        <f aca="false">0</f>
        <v>0</v>
      </c>
      <c r="F90" s="38" t="n">
        <f aca="false">0</f>
        <v>0</v>
      </c>
      <c r="G90" s="38" t="n">
        <f aca="false">0</f>
        <v>0</v>
      </c>
      <c r="H90" s="38" t="n">
        <f aca="false">0</f>
        <v>0</v>
      </c>
      <c r="I90" s="38" t="n">
        <f aca="false">0</f>
        <v>0</v>
      </c>
      <c r="J90" s="38" t="n">
        <f aca="false">0</f>
        <v>0</v>
      </c>
      <c r="K90" s="38" t="n">
        <f aca="false">0</f>
        <v>0</v>
      </c>
      <c r="L90" s="38" t="n">
        <f aca="false">0</f>
        <v>0</v>
      </c>
      <c r="M90" s="38" t="n">
        <f aca="false">0</f>
        <v>0</v>
      </c>
      <c r="P90" s="8" t="s">
        <v>808</v>
      </c>
    </row>
    <row r="91" customFormat="false" ht="15" hidden="false" customHeight="false" outlineLevel="0" collapsed="false">
      <c r="A91" s="3" t="s">
        <v>809</v>
      </c>
      <c r="B91" s="8" t="s">
        <v>86</v>
      </c>
      <c r="C91" s="38" t="n">
        <f aca="false">CF!$C$88-CF!$C$89</f>
        <v>36.176</v>
      </c>
      <c r="D91" s="38" t="n">
        <f aca="false">CF!$D$88-CF!$D$89</f>
        <v>9.63700000000002</v>
      </c>
      <c r="E91" s="38" t="n">
        <f aca="false">CF!$E$88-CF!$E$89</f>
        <v>-25.691</v>
      </c>
      <c r="F91" s="38" t="n">
        <f aca="false">CF!$F$88-CF!$F$89</f>
        <v>-33.9402788151387</v>
      </c>
      <c r="G91" s="38" t="n">
        <f aca="false">CF!$G$88-CF!$G$89</f>
        <v>-59.6312788151387</v>
      </c>
      <c r="H91" s="38" t="n">
        <f aca="false">CF!$H$88-CF!$H$89</f>
        <v>-60.2026916008185</v>
      </c>
      <c r="I91" s="38" t="n">
        <f aca="false">CF!$I$88-CF!$I$89</f>
        <v>-27.2041559990619</v>
      </c>
      <c r="J91" s="38" t="n">
        <f aca="false">CF!$J$88-CF!$J$89</f>
        <v>6.48514446954195</v>
      </c>
      <c r="K91" s="38" t="n">
        <f aca="false">CF!$K$88-CF!$K$89</f>
        <v>97.3294178412661</v>
      </c>
      <c r="L91" s="38" t="n">
        <f aca="false">CF!$L$88-CF!$L$89</f>
        <v>151.915408174298</v>
      </c>
      <c r="M91" s="38" t="n">
        <f aca="false">CF!$M$88-CF!$M$89</f>
        <v>178.305916022821</v>
      </c>
    </row>
    <row r="92" customFormat="false" ht="17.15" hidden="false" customHeight="false" outlineLevel="0" collapsed="false">
      <c r="A92" s="5" t="s">
        <v>810</v>
      </c>
      <c r="B92" s="0" t="s">
        <v>86</v>
      </c>
      <c r="E92" s="38" t="n">
        <f aca="false">Q!$P$53</f>
        <v>39.767</v>
      </c>
      <c r="F92" s="38" t="n">
        <f aca="false">inv_2h26</f>
        <v>21.3</v>
      </c>
      <c r="G92" s="38" t="n">
        <f aca="false">CF!$E$92+CF!$F$92</f>
        <v>61.067</v>
      </c>
      <c r="H92" s="39" t="n">
        <v>0</v>
      </c>
      <c r="I92" s="39" t="n">
        <v>0</v>
      </c>
      <c r="J92" s="39" t="n">
        <v>0</v>
      </c>
      <c r="K92" s="39" t="n">
        <v>0</v>
      </c>
      <c r="L92" s="39" t="n">
        <v>0</v>
      </c>
      <c r="M92" s="39" t="n">
        <v>0</v>
      </c>
    </row>
    <row r="93" customFormat="false" ht="17.15" hidden="false" customHeight="false" outlineLevel="0" collapsed="false">
      <c r="A93" s="5" t="s">
        <v>811</v>
      </c>
      <c r="B93" s="0" t="s">
        <v>86</v>
      </c>
      <c r="F93" s="38" t="n">
        <f aca="false">iss_2h26</f>
        <v>29.249999</v>
      </c>
      <c r="G93" s="38" t="n">
        <f aca="false">CF!$F$93</f>
        <v>29.249999</v>
      </c>
      <c r="H93" s="39" t="n">
        <v>0</v>
      </c>
      <c r="I93" s="39" t="n">
        <v>0</v>
      </c>
      <c r="J93" s="39" t="n">
        <v>0</v>
      </c>
      <c r="K93" s="39" t="n">
        <v>0</v>
      </c>
      <c r="L93" s="39" t="n">
        <v>0</v>
      </c>
      <c r="M93" s="39" t="n">
        <v>0</v>
      </c>
    </row>
    <row r="94" customFormat="false" ht="17.15" hidden="false" customHeight="false" outlineLevel="0" collapsed="false">
      <c r="A94" s="5" t="s">
        <v>812</v>
      </c>
      <c r="B94" s="0" t="s">
        <v>86</v>
      </c>
      <c r="F94" s="38" t="n">
        <f aca="false">cash_q2</f>
        <v>122.988</v>
      </c>
      <c r="G94" s="38" t="n">
        <f aca="false">cash_q2</f>
        <v>122.988</v>
      </c>
      <c r="H94" s="38" t="n">
        <f aca="false">CF!$G$97</f>
        <v>96.9977201848613</v>
      </c>
      <c r="I94" s="38" t="n">
        <f aca="false">CF!$H$97</f>
        <v>50</v>
      </c>
      <c r="J94" s="38" t="n">
        <f aca="false">CF!$I$97</f>
        <v>50</v>
      </c>
      <c r="K94" s="38" t="n">
        <f aca="false">CF!$J$97</f>
        <v>56.4851444695419</v>
      </c>
      <c r="L94" s="38" t="n">
        <f aca="false">CF!$K$97</f>
        <v>153.814562310808</v>
      </c>
      <c r="M94" s="38" t="n">
        <f aca="false">CF!$L$97</f>
        <v>305.729970485107</v>
      </c>
    </row>
    <row r="95" customFormat="false" ht="15" hidden="false" customHeight="false" outlineLevel="0" collapsed="false">
      <c r="A95" s="5" t="s">
        <v>813</v>
      </c>
      <c r="B95" s="0" t="s">
        <v>86</v>
      </c>
      <c r="F95" s="38" t="n">
        <f aca="false">CF!$F$94+CF!$F$91-CF!$F$90-CF!$F$92+CF!$F$93</f>
        <v>96.9977201848613</v>
      </c>
      <c r="H95" s="38" t="n">
        <f aca="false">CF!$H$94+CF!$H$91-CF!$H$90-CF!$H$92+CF!$H$93</f>
        <v>36.7950285840428</v>
      </c>
      <c r="I95" s="38" t="n">
        <f aca="false">CF!$I$94+CF!$I$91-CF!$I$90-CF!$I$92+CF!$I$93</f>
        <v>22.7958440009381</v>
      </c>
      <c r="J95" s="38" t="n">
        <f aca="false">CF!$J$94+CF!$J$91-CF!$J$90-CF!$J$92+CF!$J$93</f>
        <v>56.4851444695419</v>
      </c>
      <c r="K95" s="38" t="n">
        <f aca="false">CF!$K$94+CF!$K$91-CF!$K$90-CF!$K$92+CF!$K$93</f>
        <v>153.814562310808</v>
      </c>
      <c r="L95" s="38" t="n">
        <f aca="false">CF!$L$94+CF!$L$91-CF!$L$90-CF!$L$92+CF!$L$93</f>
        <v>305.729970485107</v>
      </c>
      <c r="M95" s="38" t="n">
        <f aca="false">CF!$M$94+CF!$M$91-CF!$M$90-CF!$M$92+CF!$M$93</f>
        <v>484.035886507927</v>
      </c>
    </row>
    <row r="96" customFormat="false" ht="17.15" hidden="false" customHeight="false" outlineLevel="0" collapsed="false">
      <c r="A96" s="5" t="s">
        <v>814</v>
      </c>
      <c r="B96" s="0" t="s">
        <v>86</v>
      </c>
      <c r="F96" s="38" t="n">
        <f aca="false">MAX(0,min_cash-CF!$F$95)</f>
        <v>0</v>
      </c>
      <c r="G96" s="38" t="n">
        <f aca="false">CF!$F$96</f>
        <v>0</v>
      </c>
      <c r="H96" s="38" t="n">
        <f aca="false">MAX(0,min_cash-CF!$H$95)</f>
        <v>13.2049714159572</v>
      </c>
      <c r="I96" s="38" t="n">
        <f aca="false">MAX(0,min_cash-CF!$I$95)</f>
        <v>27.2041559990619</v>
      </c>
      <c r="J96" s="38" t="n">
        <f aca="false">MAX(0,min_cash-CF!$J$95)</f>
        <v>0</v>
      </c>
      <c r="K96" s="38" t="n">
        <f aca="false">MAX(0,min_cash-CF!$K$95)</f>
        <v>0</v>
      </c>
      <c r="L96" s="38" t="n">
        <f aca="false">MAX(0,min_cash-CF!$L$95)</f>
        <v>0</v>
      </c>
      <c r="M96" s="38" t="n">
        <f aca="false">MAX(0,min_cash-CF!$M$95)</f>
        <v>0</v>
      </c>
      <c r="P96" s="5" t="s">
        <v>815</v>
      </c>
    </row>
    <row r="97" customFormat="false" ht="15" hidden="false" customHeight="false" outlineLevel="0" collapsed="false">
      <c r="A97" s="5" t="s">
        <v>816</v>
      </c>
      <c r="B97" s="0" t="s">
        <v>86</v>
      </c>
      <c r="D97" s="38" t="n">
        <f aca="false">Q!$E$61</f>
        <v>123.029</v>
      </c>
      <c r="E97" s="38" t="n">
        <f aca="false">Q!$M$61</f>
        <v>122.988</v>
      </c>
      <c r="F97" s="38" t="n">
        <f aca="false">CF!$F$95+CF!$F$96</f>
        <v>96.9977201848613</v>
      </c>
      <c r="G97" s="38" t="n">
        <f aca="false">CF!$F$97</f>
        <v>96.9977201848613</v>
      </c>
      <c r="H97" s="38" t="n">
        <f aca="false">CF!$H$95+CF!$H$96</f>
        <v>50</v>
      </c>
      <c r="I97" s="38" t="n">
        <f aca="false">CF!$I$95+CF!$I$96</f>
        <v>50</v>
      </c>
      <c r="J97" s="38" t="n">
        <f aca="false">CF!$J$95+CF!$J$96</f>
        <v>56.4851444695419</v>
      </c>
      <c r="K97" s="38" t="n">
        <f aca="false">CF!$K$95+CF!$K$96</f>
        <v>153.814562310808</v>
      </c>
      <c r="L97" s="38" t="n">
        <f aca="false">CF!$L$95+CF!$L$96</f>
        <v>305.729970485107</v>
      </c>
      <c r="M97" s="38" t="n">
        <f aca="false">CF!$M$95+CF!$M$96</f>
        <v>484.035886507927</v>
      </c>
    </row>
    <row r="98" customFormat="false" ht="15" hidden="false" customHeight="false" outlineLevel="0" collapsed="false">
      <c r="A98" s="5" t="s">
        <v>817</v>
      </c>
      <c r="B98" s="0" t="s">
        <v>86</v>
      </c>
      <c r="D98" s="38" t="n">
        <f aca="false">Q!$E$62</f>
        <v>68.836</v>
      </c>
      <c r="E98" s="38" t="n">
        <f aca="false">Q!$M$62</f>
        <v>132.995</v>
      </c>
      <c r="F98" s="38" t="n">
        <f aca="false">debt_q2+CF!$F$93+CF!$F$96</f>
        <v>162.244999</v>
      </c>
      <c r="G98" s="38" t="n">
        <f aca="false">CF!$F$98</f>
        <v>162.244999</v>
      </c>
      <c r="H98" s="38" t="n">
        <f aca="false">CF!$G$98+CF!$H$96</f>
        <v>175.449970415957</v>
      </c>
      <c r="I98" s="38" t="n">
        <f aca="false">CF!$H$98+CF!$I$96</f>
        <v>202.654126415019</v>
      </c>
      <c r="J98" s="38" t="n">
        <f aca="false">CF!$I$98+CF!$J$96</f>
        <v>202.654126415019</v>
      </c>
      <c r="K98" s="38" t="n">
        <f aca="false">CF!$J$98+CF!$K$96</f>
        <v>202.654126415019</v>
      </c>
      <c r="L98" s="38" t="n">
        <f aca="false">CF!$K$98+CF!$L$96</f>
        <v>202.654126415019</v>
      </c>
      <c r="M98" s="38" t="n">
        <f aca="false">CF!$L$98+CF!$M$96</f>
        <v>202.654126415019</v>
      </c>
    </row>
    <row r="99" customFormat="false" ht="15" hidden="false" customHeight="false" outlineLevel="0" collapsed="false">
      <c r="A99" s="5" t="s">
        <v>818</v>
      </c>
      <c r="B99" s="0" t="s">
        <v>86</v>
      </c>
      <c r="D99" s="38" t="n">
        <f aca="false">CF!$D$98-CF!$D$97</f>
        <v>-54.193</v>
      </c>
      <c r="E99" s="38" t="n">
        <f aca="false">CF!$E$98-CF!$E$97</f>
        <v>10.007</v>
      </c>
      <c r="F99" s="38" t="n">
        <f aca="false">CF!$F$98-CF!$F$97</f>
        <v>65.2472788151387</v>
      </c>
      <c r="G99" s="38" t="n">
        <f aca="false">CF!$G$98-CF!$G$97</f>
        <v>65.2472788151387</v>
      </c>
      <c r="H99" s="38" t="n">
        <f aca="false">CF!$H$98-CF!$H$97</f>
        <v>125.449970415957</v>
      </c>
      <c r="I99" s="38" t="n">
        <f aca="false">CF!$I$98-CF!$I$97</f>
        <v>152.654126415019</v>
      </c>
      <c r="J99" s="38" t="n">
        <f aca="false">CF!$J$98-CF!$J$97</f>
        <v>146.168981945477</v>
      </c>
      <c r="K99" s="38" t="n">
        <f aca="false">CF!$K$98-CF!$K$97</f>
        <v>48.8395641042111</v>
      </c>
      <c r="L99" s="38" t="n">
        <f aca="false">CF!$L$98-CF!$L$97</f>
        <v>-103.075844070087</v>
      </c>
      <c r="M99" s="38" t="n">
        <f aca="false">CF!$M$98-CF!$M$97</f>
        <v>-281.381760092908</v>
      </c>
    </row>
    <row r="100" customFormat="false" ht="17.15" hidden="false" customHeight="false" outlineLevel="0" collapsed="false">
      <c r="A100" s="5" t="s">
        <v>819</v>
      </c>
      <c r="B100" s="0" t="s">
        <v>86</v>
      </c>
      <c r="F100" s="38" t="n">
        <f aca="false">debt_q2*kd_book*0.5+iss_2h26*kd_new*iss_t</f>
        <v>3.24888962733561</v>
      </c>
      <c r="H100" s="38" t="n">
        <f aca="false">debt_q2*kd_book+(CF!$G$98-debt_q2)*kd_new</f>
        <v>7.42354172302123</v>
      </c>
      <c r="I100" s="38" t="n">
        <f aca="false">debt_q2*kd_book+(CF!$H$98-debt_q2)*kd_new</f>
        <v>8.25941641365132</v>
      </c>
      <c r="J100" s="38" t="n">
        <f aca="false">debt_q2*kd_book+(CF!$I$98-debt_q2)*kd_new</f>
        <v>9.98143948839194</v>
      </c>
      <c r="K100" s="38" t="n">
        <f aca="false">debt_q2*kd_book+(CF!$J$98-debt_q2)*kd_new</f>
        <v>9.98143948839194</v>
      </c>
      <c r="L100" s="38" t="n">
        <f aca="false">debt_q2*kd_book+(CF!$K$98-debt_q2)*kd_new</f>
        <v>9.98143948839194</v>
      </c>
      <c r="M100" s="38" t="n">
        <f aca="false">debt_q2*kd_book+(CF!$L$98-debt_q2)*kd_new</f>
        <v>9.98143948839194</v>
      </c>
    </row>
    <row r="101" customFormat="false" ht="17.15" hidden="false" customHeight="false" outlineLevel="0" collapsed="false">
      <c r="A101" s="5" t="s">
        <v>820</v>
      </c>
      <c r="B101" s="0" t="s">
        <v>86</v>
      </c>
      <c r="F101" s="38" t="n">
        <f aca="false">cash_q2*y_cash*0.5</f>
        <v>2.59</v>
      </c>
      <c r="H101" s="38" t="n">
        <f aca="false">CF!$G$97*y_cash</f>
        <v>4.08534320874867</v>
      </c>
      <c r="I101" s="38" t="n">
        <f aca="false">CF!$H$97*y_cash</f>
        <v>2.10589651022864</v>
      </c>
      <c r="J101" s="38" t="n">
        <f aca="false">CF!$I$97*y_cash</f>
        <v>2.10589651022864</v>
      </c>
      <c r="K101" s="38" t="n">
        <f aca="false">CF!$J$97*y_cash</f>
        <v>2.37903737236338</v>
      </c>
      <c r="L101" s="38" t="n">
        <f aca="false">CF!$K$97*y_cash</f>
        <v>6.47835099985353</v>
      </c>
      <c r="M101" s="38" t="n">
        <f aca="false">CF!$L$97*y_cash</f>
        <v>12.8767135583378</v>
      </c>
    </row>
    <row r="102" customFormat="false" ht="17.15" hidden="false" customHeight="false" outlineLevel="0" collapsed="false">
      <c r="A102" s="47" t="s">
        <v>821</v>
      </c>
      <c r="B102" s="14" t="s">
        <v>86</v>
      </c>
      <c r="C102" s="14"/>
      <c r="D102" s="14"/>
      <c r="E102" s="14"/>
      <c r="F102" s="14"/>
      <c r="G102" s="48" t="n">
        <f aca="false">SUM(CF!$G$91:$K$91)</f>
        <v>-43.2235641042111</v>
      </c>
      <c r="H102" s="14"/>
      <c r="I102" s="14"/>
      <c r="J102" s="14"/>
      <c r="K102" s="14"/>
      <c r="L102" s="14"/>
      <c r="M102" s="14"/>
      <c r="N102" s="14"/>
      <c r="O102" s="14"/>
    </row>
    <row r="103" customFormat="false" ht="17.15" hidden="false" customHeight="false" outlineLevel="0" collapsed="false">
      <c r="A103" s="0" t="s">
        <v>787</v>
      </c>
      <c r="B103" s="0" t="s">
        <v>86</v>
      </c>
      <c r="G103" s="38" t="n">
        <f aca="false">SUM(CF!$G$96:$K$96)</f>
        <v>40.4091274150191</v>
      </c>
    </row>
    <row r="104" customFormat="false" ht="17.15" hidden="false" customHeight="false" outlineLevel="0" collapsed="false">
      <c r="A104" s="24" t="s">
        <v>826</v>
      </c>
      <c r="B104" s="25" t="s">
        <v>86</v>
      </c>
      <c r="C104" s="25"/>
      <c r="D104" s="25"/>
      <c r="E104" s="25"/>
      <c r="F104" s="25"/>
      <c r="G104" s="41" t="n">
        <f aca="false">CF!$G$102-(CF!$G$91+CF!$H$91+CF!$I$91+CF!$J$91+CF!$K$91)</f>
        <v>0</v>
      </c>
      <c r="H104" s="25"/>
      <c r="I104" s="25"/>
      <c r="J104" s="25"/>
      <c r="K104" s="25"/>
      <c r="L104" s="25"/>
      <c r="M104" s="25"/>
      <c r="N104" s="25"/>
      <c r="O10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0" t="s">
        <v>827</v>
      </c>
    </row>
    <row r="3" customFormat="false" ht="19.4" hidden="false" customHeight="false" outlineLevel="0" collapsed="false">
      <c r="A3" s="31" t="s">
        <v>828</v>
      </c>
    </row>
    <row r="4" customFormat="false" ht="17.15" hidden="false" customHeight="false" outlineLevel="0" collapsed="false">
      <c r="A4" s="6" t="s">
        <v>16</v>
      </c>
      <c r="B4" s="20" t="s">
        <v>781</v>
      </c>
      <c r="C4" s="20" t="s">
        <v>782</v>
      </c>
      <c r="D4" s="20" t="s">
        <v>783</v>
      </c>
      <c r="E4" s="6" t="s">
        <v>23</v>
      </c>
    </row>
    <row r="5" customFormat="false" ht="17.15" hidden="false" customHeight="false" outlineLevel="0" collapsed="false">
      <c r="A5" s="0" t="s">
        <v>829</v>
      </c>
      <c r="B5" s="38" t="n">
        <f aca="false">Val!$C$110</f>
        <v>205.037948524346</v>
      </c>
      <c r="C5" s="38" t="n">
        <f aca="false">Val!$C$157</f>
        <v>138.008970873001</v>
      </c>
      <c r="D5" s="38" t="n">
        <f aca="false">Val!$C$204</f>
        <v>117.352344636521</v>
      </c>
      <c r="E5" s="8" t="s">
        <v>830</v>
      </c>
    </row>
    <row r="6" customFormat="false" ht="17.15" hidden="false" customHeight="false" outlineLevel="0" collapsed="false">
      <c r="A6" s="0" t="s">
        <v>831</v>
      </c>
      <c r="B6" s="38" t="n">
        <f aca="false">Val!$C$131</f>
        <v>335.226731952432</v>
      </c>
      <c r="C6" s="38" t="n">
        <f aca="false">Val!$C$178</f>
        <v>270.344379564487</v>
      </c>
      <c r="D6" s="38" t="n">
        <f aca="false">Val!$C$225</f>
        <v>250.307333098472</v>
      </c>
      <c r="E6" s="5" t="s">
        <v>832</v>
      </c>
    </row>
    <row r="7" customFormat="false" ht="17.15" hidden="false" customHeight="false" outlineLevel="0" collapsed="false">
      <c r="A7" s="5" t="s">
        <v>833</v>
      </c>
      <c r="B7" s="48" t="n">
        <f aca="false">Val!$C$132</f>
        <v>270.132340238389</v>
      </c>
      <c r="C7" s="48" t="n">
        <f aca="false">Val!$C$179</f>
        <v>204.176675218744</v>
      </c>
      <c r="D7" s="48" t="n">
        <f aca="false">Val!$C$226</f>
        <v>183.829838867496</v>
      </c>
    </row>
    <row r="8" customFormat="false" ht="17.15" hidden="false" customHeight="false" outlineLevel="0" collapsed="false">
      <c r="A8" s="5" t="s">
        <v>834</v>
      </c>
      <c r="B8" s="13" t="n">
        <f aca="false">Val!$C$105</f>
        <v>0.735363779626283</v>
      </c>
      <c r="C8" s="13" t="n">
        <f aca="false">Val!$C$152</f>
        <v>0.783556030495984</v>
      </c>
      <c r="D8" s="13" t="n">
        <f aca="false">Val!$C$199</f>
        <v>0.81241936909351</v>
      </c>
    </row>
    <row r="9" customFormat="false" ht="15" hidden="false" customHeight="false" outlineLevel="0" collapsed="false">
      <c r="A9" s="5" t="s">
        <v>835</v>
      </c>
      <c r="B9" s="35" t="n">
        <f aca="false">w_A</f>
        <v>0.25</v>
      </c>
      <c r="C9" s="35" t="n">
        <f aca="false">w_B</f>
        <v>0.5</v>
      </c>
      <c r="D9" s="35" t="n">
        <f aca="false">w_C</f>
        <v>0.25</v>
      </c>
    </row>
    <row r="10" customFormat="false" ht="17.15" hidden="false" customHeight="false" outlineLevel="0" collapsed="false">
      <c r="A10" s="0" t="s">
        <v>836</v>
      </c>
      <c r="B10" s="13" t="n">
        <f aca="false">PL!$I$53</f>
        <v>0.431838236810538</v>
      </c>
      <c r="C10" s="13" t="n">
        <f aca="false">PL!$I$123</f>
        <v>0.34117504540738</v>
      </c>
      <c r="D10" s="13" t="n">
        <f aca="false">PL!$I$193</f>
        <v>0.307305807032411</v>
      </c>
      <c r="E10" s="5" t="s">
        <v>837</v>
      </c>
    </row>
    <row r="11" customFormat="false" ht="17.15" hidden="false" customHeight="false" outlineLevel="0" collapsed="false">
      <c r="A11" s="0" t="s">
        <v>838</v>
      </c>
      <c r="B11" s="46" t="n">
        <f aca="false">CF!$I$29</f>
        <v>19.9814175287687</v>
      </c>
      <c r="C11" s="46" t="n">
        <f aca="false">CF!$I$60</f>
        <v>-15.0303903946055</v>
      </c>
      <c r="D11" s="46" t="n">
        <f aca="false">CF!$I$91</f>
        <v>-27.2041559990619</v>
      </c>
      <c r="E11" s="5" t="s">
        <v>839</v>
      </c>
    </row>
    <row r="12" customFormat="false" ht="17.15" hidden="false" customHeight="false" outlineLevel="0" collapsed="false">
      <c r="A12" s="0" t="s">
        <v>840</v>
      </c>
      <c r="B12" s="13" t="n">
        <f aca="false">Thesis!$I$61</f>
        <v>0.163110350954647</v>
      </c>
      <c r="C12" s="13" t="n">
        <f aca="false">Thesis!$I$124</f>
        <v>0.067127575356291</v>
      </c>
      <c r="D12" s="13" t="n">
        <f aca="false">Thesis!$I$187</f>
        <v>0.037430133964047</v>
      </c>
      <c r="E12" s="5" t="s">
        <v>841</v>
      </c>
    </row>
    <row r="13" customFormat="false" ht="15" hidden="false" customHeight="false" outlineLevel="0" collapsed="false">
      <c r="A13" s="0" t="s">
        <v>842</v>
      </c>
      <c r="B13" s="30" t="n">
        <f aca="false">PL!$I$76</f>
        <v>15.7720023290692</v>
      </c>
      <c r="C13" s="30" t="n">
        <f aca="false">PL!$I$146</f>
        <v>12.298289435537</v>
      </c>
      <c r="D13" s="30" t="n">
        <f aca="false">PL!$I$216</f>
        <v>11.2471190633229</v>
      </c>
    </row>
    <row r="14" customFormat="false" ht="17.15" hidden="false" customHeight="false" outlineLevel="0" collapsed="false">
      <c r="A14" s="5" t="s">
        <v>843</v>
      </c>
      <c r="B14" s="46" t="n">
        <f aca="false">CF!$G$40</f>
        <v>205.545491515344</v>
      </c>
      <c r="C14" s="46" t="n">
        <f aca="false">CF!$G$71</f>
        <v>19.0072988716234</v>
      </c>
      <c r="D14" s="46" t="n">
        <f aca="false">CF!$G$102</f>
        <v>-43.2235641042111</v>
      </c>
      <c r="E14" s="8" t="s">
        <v>844</v>
      </c>
    </row>
    <row r="16" customFormat="false" ht="15" hidden="false" customHeight="false" outlineLevel="0" collapsed="false">
      <c r="A16" s="6" t="s">
        <v>16</v>
      </c>
      <c r="B16" s="6" t="s">
        <v>845</v>
      </c>
      <c r="E16" s="6" t="s">
        <v>23</v>
      </c>
    </row>
    <row r="17" customFormat="false" ht="17.15" hidden="false" customHeight="false" outlineLevel="0" collapsed="false">
      <c r="A17" s="0" t="s">
        <v>846</v>
      </c>
      <c r="B17" s="38" t="n">
        <f aca="false">w_A*B5+w_B*C5+w_C*D5</f>
        <v>149.602058726717</v>
      </c>
    </row>
    <row r="18" customFormat="false" ht="17.15" hidden="false" customHeight="false" outlineLevel="0" collapsed="false">
      <c r="A18" s="0" t="s">
        <v>847</v>
      </c>
      <c r="B18" s="38" t="n">
        <f aca="false">w_A*B6+w_B*C6+w_C*D6</f>
        <v>281.55570604497</v>
      </c>
      <c r="E18" s="5" t="s">
        <v>848</v>
      </c>
    </row>
    <row r="19" customFormat="false" ht="17.15" hidden="false" customHeight="false" outlineLevel="0" collapsed="false">
      <c r="A19" s="15" t="s">
        <v>849</v>
      </c>
      <c r="B19" s="48" t="n">
        <f aca="false">w_dcf*B17+(1-w_dcf)*B18</f>
        <v>215.578882385843</v>
      </c>
      <c r="E19" s="5" t="s">
        <v>850</v>
      </c>
    </row>
    <row r="20" customFormat="false" ht="17.15" hidden="false" customHeight="false" outlineLevel="0" collapsed="false">
      <c r="A20" s="5" t="s">
        <v>851</v>
      </c>
      <c r="B20" s="38" t="n">
        <f aca="false">px</f>
        <v>249.09</v>
      </c>
      <c r="E20" s="8" t="s">
        <v>852</v>
      </c>
    </row>
    <row r="21" customFormat="false" ht="15" hidden="false" customHeight="false" outlineLevel="0" collapsed="false">
      <c r="A21" s="15" t="s">
        <v>853</v>
      </c>
      <c r="B21" s="17" t="n">
        <f aca="false">B19/px-1</f>
        <v>-0.134534174853092</v>
      </c>
    </row>
    <row r="22" customFormat="false" ht="17.15" hidden="false" customHeight="false" outlineLevel="0" collapsed="false">
      <c r="A22" s="5" t="s">
        <v>854</v>
      </c>
      <c r="B22" s="13" t="n">
        <f aca="false">B18/px-1</f>
        <v>0.130337251776344</v>
      </c>
    </row>
    <row r="23" customFormat="false" ht="17.15" hidden="false" customHeight="false" outlineLevel="0" collapsed="false">
      <c r="A23" s="5" t="s">
        <v>855</v>
      </c>
      <c r="B23" s="49" t="str">
        <f aca="false">IF(B21&gt;=0.5,"大於 50%",IF(B21&gt;=0.25,"25%–50%",IF(B21&gt;=0,"0%–25%",IF(B21&gt;-0.25,"0%～−25%",IF(B21&gt;-0.5,"−25%～−50%","小於 −50%")))))</f>
        <v>0%～−25%</v>
      </c>
    </row>
    <row r="24" customFormat="false" ht="17.15" hidden="false" customHeight="false" outlineLevel="0" collapsed="false">
      <c r="A24" s="15" t="s">
        <v>856</v>
      </c>
      <c r="B24" s="50" t="str">
        <f aca="false">IF(B21&gt;=0.5,"強力買進",IF(B21&gt;=0.25,"買進",IF(B21&gt;-0.25,"中立",IF(B21&gt;-0.5,"放空","強力放空"))))</f>
        <v>中立</v>
      </c>
      <c r="E24" s="5" t="s">
        <v>857</v>
      </c>
    </row>
    <row r="25" customFormat="false" ht="17.15" hidden="false" customHeight="false" outlineLevel="0" collapsed="false">
      <c r="A25" s="5" t="s">
        <v>858</v>
      </c>
      <c r="B25" s="38" t="n">
        <f aca="false">cons_tp</f>
        <v>332.24</v>
      </c>
      <c r="E25" s="8" t="s">
        <v>859</v>
      </c>
    </row>
    <row r="26" customFormat="false" ht="15" hidden="false" customHeight="false" outlineLevel="0" collapsed="false">
      <c r="A26" s="5" t="s">
        <v>860</v>
      </c>
      <c r="B26" s="13" t="n">
        <f aca="false">B25/px-1</f>
        <v>0.333815086916376</v>
      </c>
    </row>
    <row r="27" customFormat="false" ht="17.15" hidden="false" customHeight="false" outlineLevel="0" collapsed="false">
      <c r="A27" s="5" t="s">
        <v>861</v>
      </c>
      <c r="B27" s="38" t="n">
        <f aca="false">D5</f>
        <v>117.352344636521</v>
      </c>
    </row>
    <row r="28" customFormat="false" ht="17.15" hidden="false" customHeight="false" outlineLevel="0" collapsed="false">
      <c r="A28" s="5" t="s">
        <v>862</v>
      </c>
      <c r="B28" s="49" t="str">
        <f aca="false">TEXT(D5,"#,##0")&amp;"～"&amp;TEXT(B5,"#,##0")</f>
        <v>117～205</v>
      </c>
      <c r="E28" s="8" t="s">
        <v>863</v>
      </c>
    </row>
    <row r="29" customFormat="false" ht="17.15" hidden="false" customHeight="false" outlineLevel="0" collapsed="false">
      <c r="A29" s="5" t="s">
        <v>864</v>
      </c>
      <c r="B29" s="46" t="n">
        <f aca="false">CF!E6</f>
        <v>50.084131288595</v>
      </c>
    </row>
    <row r="30" customFormat="false" ht="17.15" hidden="false" customHeight="false" outlineLevel="0" collapsed="false">
      <c r="A30" s="0" t="s">
        <v>865</v>
      </c>
      <c r="B30" s="28" t="n">
        <f aca="false">wacc</f>
        <v>0.113297422795535</v>
      </c>
      <c r="C30" s="28" t="n">
        <f aca="false">ke</f>
        <v>0.11720225</v>
      </c>
      <c r="D30" s="28" t="n">
        <f aca="false">tg</f>
        <v>0.03</v>
      </c>
    </row>
    <row r="31" customFormat="false" ht="17.15" hidden="false" customHeight="false" outlineLevel="0" collapsed="false">
      <c r="A31" s="5" t="s">
        <v>866</v>
      </c>
      <c r="B31" s="0" t="s">
        <v>867</v>
      </c>
    </row>
    <row r="32" customFormat="false" ht="17.15" hidden="false" customHeight="false" outlineLevel="0" collapsed="false">
      <c r="A32" s="5" t="s">
        <v>868</v>
      </c>
      <c r="B32" s="30" t="n">
        <f aca="false">Sens!B52</f>
        <v>248.445349730798</v>
      </c>
      <c r="C32" s="30" t="n">
        <f aca="false">Sens!B53</f>
        <v>182.985994357075</v>
      </c>
      <c r="D32" s="30" t="n">
        <f aca="false">Sens!B54</f>
        <v>162.639158005828</v>
      </c>
      <c r="E32" s="8" t="s">
        <v>869</v>
      </c>
    </row>
    <row r="33" customFormat="false" ht="17.15" hidden="false" customHeight="false" outlineLevel="0" collapsed="false">
      <c r="A33" s="5" t="s">
        <v>870</v>
      </c>
      <c r="B33" s="30" t="n">
        <f aca="false">w_A*B32+w_B*C32+w_C*D32</f>
        <v>194.264124112694</v>
      </c>
    </row>
    <row r="34" customFormat="false" ht="17.15" hidden="false" customHeight="false" outlineLevel="0" collapsed="false">
      <c r="A34" s="5" t="s">
        <v>871</v>
      </c>
      <c r="B34" s="13" t="n">
        <f aca="false">B33/px-1</f>
        <v>-0.220104684601173</v>
      </c>
    </row>
    <row r="35" customFormat="false" ht="17.15" hidden="false" customHeight="false" outlineLevel="0" collapsed="false">
      <c r="A35" s="5" t="s">
        <v>872</v>
      </c>
      <c r="B35" s="0" t="str">
        <f aca="false">IF(B34&gt;=0.5,"強力買進",IF(B34&gt;=0.25,"買進",IF(B34&gt;-0.25,"中立",IF(B34&gt;-0.5,"放空","強力放空"))))</f>
        <v>中立</v>
      </c>
    </row>
    <row r="36" customFormat="false" ht="17.15" hidden="false" customHeight="false" outlineLevel="0" collapsed="false">
      <c r="A36" s="5" t="s">
        <v>873</v>
      </c>
      <c r="B36" s="51" t="n">
        <f aca="false">internal_ai_reading</f>
        <v>2</v>
      </c>
      <c r="E36" s="8" t="s">
        <v>874</v>
      </c>
    </row>
    <row r="40" customFormat="false" ht="17.15" hidden="false" customHeight="false" outlineLevel="0" collapsed="false">
      <c r="A40" s="3" t="s">
        <v>875</v>
      </c>
    </row>
    <row r="41" customFormat="false" ht="15" hidden="false" customHeight="false" outlineLevel="0" collapsed="false">
      <c r="A41" s="6" t="s">
        <v>876</v>
      </c>
      <c r="B41" s="6" t="s">
        <v>877</v>
      </c>
      <c r="C41" s="20" t="s">
        <v>878</v>
      </c>
      <c r="D41" s="6" t="s">
        <v>879</v>
      </c>
      <c r="E41" s="6" t="s">
        <v>22</v>
      </c>
      <c r="F41" s="6" t="s">
        <v>21</v>
      </c>
    </row>
    <row r="42" customFormat="false" ht="15" hidden="false" customHeight="false" outlineLevel="0" collapsed="false">
      <c r="A42" s="0" t="s">
        <v>880</v>
      </c>
      <c r="B42" s="0" t="s">
        <v>881</v>
      </c>
      <c r="C42" s="52" t="n">
        <v>17.72</v>
      </c>
      <c r="D42" s="5" t="s">
        <v>882</v>
      </c>
      <c r="E42" s="8" t="s">
        <v>883</v>
      </c>
      <c r="F42" s="8" t="s">
        <v>41</v>
      </c>
    </row>
    <row r="43" customFormat="false" ht="15" hidden="false" customHeight="false" outlineLevel="0" collapsed="false">
      <c r="A43" s="0" t="s">
        <v>884</v>
      </c>
      <c r="B43" s="0" t="s">
        <v>885</v>
      </c>
      <c r="C43" s="52" t="n">
        <v>25.33</v>
      </c>
      <c r="D43" s="5" t="s">
        <v>882</v>
      </c>
      <c r="E43" s="8" t="s">
        <v>883</v>
      </c>
      <c r="F43" s="8" t="s">
        <v>41</v>
      </c>
    </row>
    <row r="44" customFormat="false" ht="15" hidden="false" customHeight="false" outlineLevel="0" collapsed="false">
      <c r="A44" s="0" t="s">
        <v>886</v>
      </c>
      <c r="B44" s="0" t="s">
        <v>887</v>
      </c>
      <c r="C44" s="52" t="n">
        <v>8.77</v>
      </c>
      <c r="D44" s="5" t="s">
        <v>882</v>
      </c>
      <c r="E44" s="8" t="s">
        <v>883</v>
      </c>
      <c r="F44" s="8" t="s">
        <v>41</v>
      </c>
    </row>
    <row r="45" customFormat="false" ht="17.15" hidden="false" customHeight="false" outlineLevel="0" collapsed="false">
      <c r="A45" s="0" t="s">
        <v>888</v>
      </c>
      <c r="B45" s="0" t="s">
        <v>889</v>
      </c>
      <c r="C45" s="52" t="n">
        <v>10.79</v>
      </c>
      <c r="D45" s="5" t="s">
        <v>890</v>
      </c>
      <c r="E45" s="8" t="s">
        <v>891</v>
      </c>
      <c r="F45" s="8" t="s">
        <v>41</v>
      </c>
    </row>
    <row r="46" customFormat="false" ht="17.15" hidden="false" customHeight="false" outlineLevel="0" collapsed="false">
      <c r="A46" s="0" t="s">
        <v>892</v>
      </c>
      <c r="B46" s="0" t="s">
        <v>893</v>
      </c>
      <c r="C46" s="52" t="n">
        <v>6.91</v>
      </c>
      <c r="D46" s="5" t="s">
        <v>890</v>
      </c>
      <c r="E46" s="8" t="s">
        <v>891</v>
      </c>
      <c r="F46" s="8" t="s">
        <v>41</v>
      </c>
    </row>
    <row r="47" customFormat="false" ht="17.15" hidden="false" customHeight="false" outlineLevel="0" collapsed="false">
      <c r="A47" s="0" t="s">
        <v>894</v>
      </c>
      <c r="B47" s="0" t="s">
        <v>895</v>
      </c>
      <c r="C47" s="52" t="n">
        <v>6.53</v>
      </c>
      <c r="D47" s="5" t="s">
        <v>890</v>
      </c>
      <c r="E47" s="8" t="s">
        <v>891</v>
      </c>
      <c r="F47" s="8" t="s">
        <v>41</v>
      </c>
    </row>
    <row r="48" customFormat="false" ht="17.15" hidden="false" customHeight="false" outlineLevel="0" collapsed="false">
      <c r="A48" s="0" t="s">
        <v>896</v>
      </c>
      <c r="B48" s="0" t="s">
        <v>897</v>
      </c>
      <c r="C48" s="52" t="n">
        <v>11.38</v>
      </c>
      <c r="D48" s="5" t="s">
        <v>890</v>
      </c>
      <c r="E48" s="8" t="s">
        <v>891</v>
      </c>
      <c r="F48" s="8" t="s">
        <v>41</v>
      </c>
    </row>
    <row r="49" customFormat="false" ht="17.15" hidden="false" customHeight="false" outlineLevel="0" collapsed="false">
      <c r="A49" s="0" t="s">
        <v>898</v>
      </c>
      <c r="B49" s="0" t="s">
        <v>899</v>
      </c>
      <c r="C49" s="52" t="n">
        <v>13.63</v>
      </c>
      <c r="D49" s="5" t="s">
        <v>890</v>
      </c>
      <c r="E49" s="8" t="s">
        <v>891</v>
      </c>
      <c r="F49" s="8" t="s">
        <v>41</v>
      </c>
    </row>
    <row r="50" customFormat="false" ht="17.15" hidden="false" customHeight="false" outlineLevel="0" collapsed="false">
      <c r="A50" s="0" t="s">
        <v>900</v>
      </c>
      <c r="B50" s="0" t="s">
        <v>901</v>
      </c>
      <c r="C50" s="52" t="n">
        <v>7.43</v>
      </c>
      <c r="D50" s="5" t="s">
        <v>890</v>
      </c>
      <c r="E50" s="8" t="s">
        <v>891</v>
      </c>
      <c r="F50" s="8" t="s">
        <v>41</v>
      </c>
    </row>
    <row r="51" customFormat="false" ht="17.15" hidden="false" customHeight="false" outlineLevel="0" collapsed="false">
      <c r="A51" s="0" t="s">
        <v>902</v>
      </c>
      <c r="B51" s="0" t="s">
        <v>903</v>
      </c>
      <c r="C51" s="52" t="n">
        <v>9.49</v>
      </c>
      <c r="D51" s="5" t="s">
        <v>904</v>
      </c>
      <c r="E51" s="8" t="s">
        <v>905</v>
      </c>
      <c r="F51" s="8" t="s">
        <v>41</v>
      </c>
    </row>
    <row r="52" customFormat="false" ht="17.15" hidden="false" customHeight="false" outlineLevel="0" collapsed="false">
      <c r="A52" s="0" t="s">
        <v>906</v>
      </c>
      <c r="B52" s="0" t="s">
        <v>906</v>
      </c>
      <c r="C52" s="52" t="n">
        <v>12.51</v>
      </c>
      <c r="D52" s="5" t="s">
        <v>904</v>
      </c>
      <c r="E52" s="8" t="s">
        <v>905</v>
      </c>
      <c r="F52" s="8" t="s">
        <v>41</v>
      </c>
    </row>
    <row r="53" customFormat="false" ht="17.15" hidden="false" customHeight="false" outlineLevel="0" collapsed="false">
      <c r="A53" s="0" t="s">
        <v>907</v>
      </c>
      <c r="B53" s="0" t="s">
        <v>907</v>
      </c>
      <c r="C53" s="52" t="n">
        <v>15.13</v>
      </c>
      <c r="D53" s="5" t="s">
        <v>904</v>
      </c>
      <c r="E53" s="8" t="s">
        <v>905</v>
      </c>
      <c r="F53" s="8" t="s">
        <v>41</v>
      </c>
    </row>
    <row r="54" customFormat="false" ht="17.15" hidden="false" customHeight="false" outlineLevel="0" collapsed="false">
      <c r="A54" s="0" t="s">
        <v>908</v>
      </c>
      <c r="B54" s="0" t="s">
        <v>909</v>
      </c>
      <c r="C54" s="52" t="n">
        <v>10.81</v>
      </c>
      <c r="D54" s="5" t="s">
        <v>904</v>
      </c>
      <c r="E54" s="8" t="s">
        <v>905</v>
      </c>
      <c r="F54" s="8" t="s">
        <v>41</v>
      </c>
    </row>
    <row r="55" customFormat="false" ht="17.15" hidden="false" customHeight="false" outlineLevel="0" collapsed="false">
      <c r="A55" s="0" t="s">
        <v>910</v>
      </c>
      <c r="B55" s="0" t="s">
        <v>911</v>
      </c>
      <c r="C55" s="52" t="n">
        <v>20.63</v>
      </c>
      <c r="D55" s="5" t="s">
        <v>904</v>
      </c>
      <c r="E55" s="8" t="s">
        <v>905</v>
      </c>
      <c r="F55" s="8" t="s">
        <v>41</v>
      </c>
    </row>
    <row r="56" customFormat="false" ht="17.15" hidden="false" customHeight="false" outlineLevel="0" collapsed="false">
      <c r="A56" s="0" t="s">
        <v>912</v>
      </c>
      <c r="B56" s="0" t="s">
        <v>913</v>
      </c>
      <c r="C56" s="52" t="n">
        <v>9.7</v>
      </c>
      <c r="D56" s="5" t="s">
        <v>904</v>
      </c>
      <c r="E56" s="8" t="s">
        <v>905</v>
      </c>
      <c r="F56" s="8" t="s">
        <v>41</v>
      </c>
    </row>
    <row r="57" customFormat="false" ht="17.15" hidden="false" customHeight="false" outlineLevel="0" collapsed="false">
      <c r="A57" s="0" t="s">
        <v>914</v>
      </c>
      <c r="B57" s="0" t="s">
        <v>915</v>
      </c>
      <c r="C57" s="52" t="n">
        <v>21.2</v>
      </c>
      <c r="D57" s="5" t="s">
        <v>904</v>
      </c>
      <c r="E57" s="8" t="s">
        <v>905</v>
      </c>
      <c r="F57" s="8" t="s">
        <v>41</v>
      </c>
    </row>
    <row r="58" customFormat="false" ht="17.15" hidden="false" customHeight="false" outlineLevel="0" collapsed="false">
      <c r="A58" s="0" t="s">
        <v>916</v>
      </c>
      <c r="B58" s="0" t="s">
        <v>917</v>
      </c>
      <c r="C58" s="52" t="n">
        <v>24.49</v>
      </c>
      <c r="D58" s="5" t="s">
        <v>904</v>
      </c>
      <c r="E58" s="8" t="s">
        <v>905</v>
      </c>
      <c r="F58" s="8" t="s">
        <v>41</v>
      </c>
    </row>
    <row r="59" customFormat="false" ht="17.15" hidden="false" customHeight="false" outlineLevel="0" collapsed="false">
      <c r="A59" s="3" t="s">
        <v>918</v>
      </c>
      <c r="C59" s="30" t="n">
        <f aca="false">MEDIAN(C42:C44)</f>
        <v>17.72</v>
      </c>
      <c r="D59" s="8" t="s">
        <v>919</v>
      </c>
    </row>
    <row r="60" customFormat="false" ht="17.15" hidden="false" customHeight="false" outlineLevel="0" collapsed="false">
      <c r="A60" s="3" t="s">
        <v>920</v>
      </c>
      <c r="C60" s="30" t="n">
        <f aca="false">MEDIAN(C45:C50)</f>
        <v>9.11</v>
      </c>
      <c r="D60" s="8" t="s">
        <v>921</v>
      </c>
    </row>
    <row r="61" customFormat="false" ht="17.15" hidden="false" customHeight="false" outlineLevel="0" collapsed="false">
      <c r="A61" s="3" t="s">
        <v>922</v>
      </c>
      <c r="C61" s="30" t="n">
        <f aca="false">MEDIAN(C51:C58)</f>
        <v>13.82</v>
      </c>
      <c r="D61" s="8" t="s">
        <v>923</v>
      </c>
    </row>
    <row r="62" customFormat="false" ht="17.15" hidden="false" customHeight="false" outlineLevel="0" collapsed="false">
      <c r="A62" s="0" t="s">
        <v>924</v>
      </c>
    </row>
    <row r="90" customFormat="false" ht="19.4" hidden="false" customHeight="false" outlineLevel="0" collapsed="false">
      <c r="A90" s="31" t="s">
        <v>925</v>
      </c>
    </row>
    <row r="91" customFormat="false" ht="17.15" hidden="false" customHeight="false" outlineLevel="0" collapsed="false">
      <c r="A91" s="6" t="s">
        <v>16</v>
      </c>
      <c r="B91" s="6" t="s">
        <v>17</v>
      </c>
      <c r="C91" s="20" t="s">
        <v>504</v>
      </c>
      <c r="D91" s="20" t="s">
        <v>505</v>
      </c>
      <c r="E91" s="20" t="s">
        <v>587</v>
      </c>
      <c r="F91" s="20" t="s">
        <v>588</v>
      </c>
      <c r="G91" s="20" t="s">
        <v>589</v>
      </c>
      <c r="H91" s="20" t="s">
        <v>590</v>
      </c>
      <c r="I91" s="20" t="s">
        <v>591</v>
      </c>
      <c r="J91" s="20" t="s">
        <v>592</v>
      </c>
      <c r="K91" s="20" t="s">
        <v>593</v>
      </c>
      <c r="L91" s="20" t="s">
        <v>594</v>
      </c>
      <c r="M91" s="20" t="s">
        <v>595</v>
      </c>
      <c r="N91" s="20" t="s">
        <v>596</v>
      </c>
      <c r="O91" s="20" t="s">
        <v>597</v>
      </c>
      <c r="P91" s="6" t="s">
        <v>23</v>
      </c>
      <c r="R91" s="20" t="n">
        <v>2023</v>
      </c>
      <c r="S91" s="20" t="n">
        <v>2024</v>
      </c>
      <c r="T91" s="20" t="n">
        <v>2025</v>
      </c>
      <c r="U91" s="20" t="n">
        <v>2026</v>
      </c>
      <c r="V91" s="20" t="n">
        <v>2027</v>
      </c>
      <c r="W91" s="20" t="n">
        <v>2028</v>
      </c>
      <c r="X91" s="20" t="n">
        <v>2029</v>
      </c>
      <c r="Y91" s="20" t="n">
        <v>2030</v>
      </c>
      <c r="Z91" s="20" t="n">
        <v>2031</v>
      </c>
      <c r="AA91" s="20" t="n">
        <v>2032</v>
      </c>
    </row>
    <row r="92" customFormat="false" ht="17.15" hidden="false" customHeight="false" outlineLevel="0" collapsed="false">
      <c r="A92" s="1" t="s">
        <v>926</v>
      </c>
    </row>
    <row r="93" customFormat="false" ht="17.15" hidden="false" customHeight="false" outlineLevel="0" collapsed="false">
      <c r="A93" s="0" t="s">
        <v>927</v>
      </c>
      <c r="B93" s="0" t="s">
        <v>86</v>
      </c>
      <c r="H93" s="38" t="n">
        <f aca="false">PL!$H$50*(1-tax)</f>
        <v>138.501426277856</v>
      </c>
      <c r="I93" s="38" t="n">
        <f aca="false">PL!$I$50*(1-tax)</f>
        <v>179.120664079143</v>
      </c>
      <c r="J93" s="38" t="n">
        <f aca="false">PL!$J$50*(1-tax)</f>
        <v>222.063488623791</v>
      </c>
      <c r="K93" s="38" t="n">
        <f aca="false">PL!$K$50*(1-tax)</f>
        <v>255.215691072009</v>
      </c>
      <c r="L93" s="38" t="n">
        <f aca="false">PL!$L$50*(1-tax)</f>
        <v>279.640302116585</v>
      </c>
      <c r="M93" s="38" t="n">
        <f aca="false">PL!$M$50*(1-tax)</f>
        <v>296.743441061966</v>
      </c>
    </row>
    <row r="94" customFormat="false" ht="15" hidden="false" customHeight="false" outlineLevel="0" collapsed="false">
      <c r="A94" s="5" t="s">
        <v>928</v>
      </c>
      <c r="B94" s="0" t="s">
        <v>86</v>
      </c>
      <c r="H94" s="38" t="n">
        <f aca="false">PL!$H$61</f>
        <v>81.5618233196153</v>
      </c>
      <c r="I94" s="38" t="n">
        <f aca="false">PL!$I$61</f>
        <v>119.509110969829</v>
      </c>
      <c r="J94" s="38" t="n">
        <f aca="false">PL!$J$61</f>
        <v>154.002791727166</v>
      </c>
      <c r="K94" s="38" t="n">
        <f aca="false">PL!$K$61</f>
        <v>188.705205034944</v>
      </c>
      <c r="L94" s="38" t="n">
        <f aca="false">PL!$L$61</f>
        <v>214.78770535695</v>
      </c>
      <c r="M94" s="38" t="n">
        <f aca="false">PL!$M$61</f>
        <v>232.18852660931</v>
      </c>
    </row>
    <row r="95" customFormat="false" ht="15" hidden="false" customHeight="false" outlineLevel="0" collapsed="false">
      <c r="A95" s="5" t="s">
        <v>929</v>
      </c>
      <c r="B95" s="0" t="s">
        <v>86</v>
      </c>
      <c r="H95" s="38" t="n">
        <f aca="false">CF!$H$24</f>
        <v>278.765463512648</v>
      </c>
      <c r="I95" s="38" t="n">
        <f aca="false">CF!$I$24</f>
        <v>292.539583072925</v>
      </c>
      <c r="J95" s="38" t="n">
        <f aca="false">CF!$J$24</f>
        <v>304.874284222866</v>
      </c>
      <c r="K95" s="38" t="n">
        <f aca="false">CF!$K$24</f>
        <v>254.95684805485</v>
      </c>
      <c r="L95" s="38" t="n">
        <f aca="false">CF!$L$24</f>
        <v>236.937965101011</v>
      </c>
      <c r="M95" s="38" t="n">
        <f aca="false">CF!$M$24</f>
        <v>245.028882904275</v>
      </c>
    </row>
    <row r="96" customFormat="false" ht="15" hidden="false" customHeight="false" outlineLevel="0" collapsed="false">
      <c r="A96" s="5" t="s">
        <v>930</v>
      </c>
      <c r="B96" s="0" t="s">
        <v>86</v>
      </c>
      <c r="H96" s="38" t="n">
        <f aca="false">CF!$H$25</f>
        <v>1.6</v>
      </c>
      <c r="I96" s="38" t="n">
        <f aca="false">CF!$I$25</f>
        <v>1.6</v>
      </c>
      <c r="J96" s="38" t="n">
        <f aca="false">CF!$J$25</f>
        <v>1.6</v>
      </c>
      <c r="K96" s="38" t="n">
        <f aca="false">CF!$K$25</f>
        <v>1.6</v>
      </c>
      <c r="L96" s="38" t="n">
        <f aca="false">CF!$L$25</f>
        <v>1.6</v>
      </c>
      <c r="M96" s="38" t="n">
        <f aca="false">CF!$M$25</f>
        <v>1.6</v>
      </c>
    </row>
    <row r="97" customFormat="false" ht="15" hidden="false" customHeight="false" outlineLevel="0" collapsed="false">
      <c r="A97" s="5" t="s">
        <v>931</v>
      </c>
      <c r="B97" s="0" t="s">
        <v>86</v>
      </c>
      <c r="H97" s="38" t="n">
        <f aca="false">CF!$H$19</f>
        <v>11.5674919591491</v>
      </c>
      <c r="I97" s="38" t="n">
        <f aca="false">CF!$I$19</f>
        <v>13.367307635093</v>
      </c>
      <c r="J97" s="38" t="n">
        <f aca="false">CF!$J$19</f>
        <v>15.1034700959042</v>
      </c>
      <c r="K97" s="38" t="n">
        <f aca="false">CF!$K$19</f>
        <v>16.6185324083662</v>
      </c>
      <c r="L97" s="38" t="n">
        <f aca="false">CF!$L$19</f>
        <v>17.9658169207222</v>
      </c>
      <c r="M97" s="38" t="n">
        <f aca="false">CF!$M$19</f>
        <v>19.1494312379102</v>
      </c>
    </row>
    <row r="98" customFormat="false" ht="17.15" hidden="false" customHeight="false" outlineLevel="0" collapsed="false">
      <c r="A98" s="1" t="s">
        <v>932</v>
      </c>
      <c r="B98" s="8" t="s">
        <v>86</v>
      </c>
      <c r="H98" s="38" t="n">
        <f aca="false">Val!$H$93+Val!$H$94-Val!$H$95-Val!$H$96+Val!$H$97</f>
        <v>-48.7347219560281</v>
      </c>
      <c r="I98" s="38" t="n">
        <f aca="false">Val!$I$93+Val!$I$94-Val!$I$95-Val!$I$96+Val!$I$97</f>
        <v>17.8574996111399</v>
      </c>
      <c r="J98" s="38" t="n">
        <f aca="false">Val!$J$93+Val!$J$94-Val!$J$95-Val!$J$96+Val!$J$97</f>
        <v>84.695466223995</v>
      </c>
      <c r="K98" s="38" t="n">
        <f aca="false">Val!$K$93+Val!$K$94-Val!$K$95-Val!$K$96+Val!$K$97</f>
        <v>203.98258046047</v>
      </c>
      <c r="L98" s="38" t="n">
        <f aca="false">Val!$L$93+Val!$L$94-Val!$L$95-Val!$L$96+Val!$L$97</f>
        <v>273.855859293247</v>
      </c>
      <c r="M98" s="38" t="n">
        <f aca="false">Val!$M$93+Val!$M$94-Val!$M$95-Val!$M$96+Val!$M$97</f>
        <v>301.452516004911</v>
      </c>
    </row>
    <row r="99" customFormat="false" ht="15" hidden="false" customHeight="false" outlineLevel="0" collapsed="false">
      <c r="A99" s="5" t="s">
        <v>933</v>
      </c>
      <c r="B99" s="0" t="s">
        <v>57</v>
      </c>
      <c r="H99" s="40" t="n">
        <f aca="false">1/(1+wacc)^(2027-2026-0.5)</f>
        <v>0.947751320380232</v>
      </c>
      <c r="I99" s="40" t="n">
        <f aca="false">1/(1+wacc)^(2028-2026-0.5)</f>
        <v>0.851301099754987</v>
      </c>
      <c r="J99" s="40" t="n">
        <f aca="false">1/(1+wacc)^(2029-2026-0.5)</f>
        <v>0.764666370660713</v>
      </c>
      <c r="K99" s="40" t="n">
        <f aca="false">1/(1+wacc)^(2030-2026-0.5)</f>
        <v>0.686848235703811</v>
      </c>
      <c r="L99" s="40" t="n">
        <f aca="false">1/(1+wacc)^(2031-2026-0.5)</f>
        <v>0.616949452715975</v>
      </c>
      <c r="M99" s="40" t="n">
        <f aca="false">1/(1+wacc)^(2032-2026-0.5)</f>
        <v>0.554164089562688</v>
      </c>
    </row>
    <row r="100" customFormat="false" ht="15" hidden="false" customHeight="false" outlineLevel="0" collapsed="false">
      <c r="A100" s="5" t="s">
        <v>934</v>
      </c>
      <c r="B100" s="0" t="s">
        <v>86</v>
      </c>
      <c r="H100" s="38" t="n">
        <f aca="false">Val!$H$98*Val!$H$99</f>
        <v>-46.1883970821891</v>
      </c>
      <c r="I100" s="38" t="n">
        <f aca="false">Val!$I$98*Val!$I$99</f>
        <v>15.2021090578377</v>
      </c>
      <c r="J100" s="38" t="n">
        <f aca="false">Val!$J$98*Val!$J$99</f>
        <v>64.7637747689193</v>
      </c>
      <c r="K100" s="38" t="n">
        <f aca="false">Val!$K$98*Val!$K$99</f>
        <v>140.105075503584</v>
      </c>
      <c r="L100" s="38" t="n">
        <f aca="false">Val!$L$98*Val!$L$99</f>
        <v>168.955222514032</v>
      </c>
      <c r="M100" s="38" t="n">
        <f aca="false">Val!$M$98*Val!$M$99</f>
        <v>167.054159078243</v>
      </c>
    </row>
    <row r="101" customFormat="false" ht="15" hidden="false" customHeight="false" outlineLevel="0" collapsed="false">
      <c r="A101" s="5" t="s">
        <v>935</v>
      </c>
      <c r="B101" s="0" t="s">
        <v>86</v>
      </c>
      <c r="C101" s="38" t="n">
        <f aca="false">SUM(Val!$H$100:$M$100)</f>
        <v>509.891943840427</v>
      </c>
    </row>
    <row r="102" customFormat="false" ht="17.15" hidden="false" customHeight="false" outlineLevel="0" collapsed="false">
      <c r="A102" s="5" t="s">
        <v>936</v>
      </c>
      <c r="B102" s="0" t="s">
        <v>86</v>
      </c>
      <c r="C102" s="38" t="n">
        <f aca="false">Val!$M$93*(1+tg)*(1-tg/ronic)/(wacc-tg)</f>
        <v>2697.72901053023</v>
      </c>
    </row>
    <row r="103" customFormat="false" ht="15" hidden="false" customHeight="false" outlineLevel="0" collapsed="false">
      <c r="A103" s="5" t="s">
        <v>937</v>
      </c>
      <c r="B103" s="0" t="s">
        <v>86</v>
      </c>
      <c r="C103" s="38" t="n">
        <f aca="false">Val!$C$102/(1+wacc)^6</f>
        <v>1416.87357268774</v>
      </c>
    </row>
    <row r="104" customFormat="false" ht="17.15" hidden="false" customHeight="false" outlineLevel="0" collapsed="false">
      <c r="A104" s="5" t="s">
        <v>938</v>
      </c>
      <c r="B104" s="0" t="s">
        <v>86</v>
      </c>
      <c r="C104" s="38" t="n">
        <f aca="false">Val!$C$101+Val!$C$103</f>
        <v>1926.76551652817</v>
      </c>
    </row>
    <row r="105" customFormat="false" ht="17.15" hidden="false" customHeight="false" outlineLevel="0" collapsed="false">
      <c r="A105" s="5" t="s">
        <v>939</v>
      </c>
      <c r="B105" s="0" t="s">
        <v>52</v>
      </c>
      <c r="C105" s="13" t="n">
        <f aca="false">Val!$C$103/Val!$C$104</f>
        <v>0.735363779626283</v>
      </c>
    </row>
    <row r="106" customFormat="false" ht="17.15" hidden="false" customHeight="false" outlineLevel="0" collapsed="false">
      <c r="A106" s="5" t="s">
        <v>940</v>
      </c>
      <c r="B106" s="0" t="s">
        <v>86</v>
      </c>
      <c r="C106" s="38" t="n">
        <f aca="false">CF!$G$37+fin_debt</f>
        <v>86.6602238471532</v>
      </c>
    </row>
    <row r="107" customFormat="false" ht="17.15" hidden="false" customHeight="false" outlineLevel="0" collapsed="false">
      <c r="A107" s="5" t="s">
        <v>941</v>
      </c>
      <c r="B107" s="0" t="s">
        <v>86</v>
      </c>
      <c r="C107" s="38" t="n">
        <f aca="false">(ant_val*ant_sh+oai_val*oai_sh)*(1-liq_disc)</f>
        <v>178.944</v>
      </c>
    </row>
    <row r="108" customFormat="false" ht="15" hidden="false" customHeight="false" outlineLevel="0" collapsed="false">
      <c r="A108" s="5" t="s">
        <v>942</v>
      </c>
      <c r="B108" s="0" t="s">
        <v>86</v>
      </c>
      <c r="C108" s="38" t="n">
        <f aca="false">Val!$C$104-Val!$C$106+Val!$C$107</f>
        <v>2019.04929268101</v>
      </c>
    </row>
    <row r="109" customFormat="false" ht="17.15" hidden="false" customHeight="false" outlineLevel="0" collapsed="false">
      <c r="A109" s="5" t="s">
        <v>943</v>
      </c>
      <c r="B109" s="0" t="s">
        <v>27</v>
      </c>
      <c r="C109" s="30" t="n">
        <f aca="false">Val!$C$108/sh_out</f>
        <v>187.18621511306</v>
      </c>
    </row>
    <row r="110" customFormat="false" ht="17.15" hidden="false" customHeight="false" outlineLevel="0" collapsed="false">
      <c r="A110" s="1" t="s">
        <v>944</v>
      </c>
      <c r="B110" s="8" t="s">
        <v>27</v>
      </c>
      <c r="C110" s="30" t="n">
        <f aca="false">Val!$C$109*(1+ke)^tp_yf-dps*tp_yf</f>
        <v>205.037948524346</v>
      </c>
    </row>
    <row r="111" customFormat="false" ht="17.15" hidden="false" customHeight="false" outlineLevel="0" collapsed="false">
      <c r="A111" s="3" t="s">
        <v>945</v>
      </c>
    </row>
    <row r="112" customFormat="false" ht="17.15" hidden="false" customHeight="false" outlineLevel="0" collapsed="false">
      <c r="A112" s="5" t="s">
        <v>946</v>
      </c>
      <c r="B112" s="0" t="s">
        <v>86</v>
      </c>
      <c r="C112" s="38" t="n">
        <f aca="false">(1-tp_yf)*(PL!$H$62+sbc_ab*CF!$H$18*Seg!$H$13/Seg!$H$30)+tp_yf*(PL!$I$62+sbc_ab*CF!$I$18*Seg!$I$13/Seg!$I$30)</f>
        <v>59.634664536349</v>
      </c>
    </row>
    <row r="113" customFormat="false" ht="15" hidden="false" customHeight="false" outlineLevel="0" collapsed="false">
      <c r="A113" s="5" t="s">
        <v>947</v>
      </c>
      <c r="B113" s="0" t="s">
        <v>57</v>
      </c>
      <c r="C113" s="30" t="n">
        <f aca="false">m_ads*m_x</f>
        <v>9.11</v>
      </c>
    </row>
    <row r="114" customFormat="false" ht="17.15" hidden="false" customHeight="false" outlineLevel="0" collapsed="false">
      <c r="A114" s="5" t="s">
        <v>948</v>
      </c>
      <c r="B114" s="0" t="s">
        <v>86</v>
      </c>
      <c r="C114" s="38" t="n">
        <f aca="false">Val!$C$112*Val!$C$113</f>
        <v>543.271793926139</v>
      </c>
    </row>
    <row r="115" customFormat="false" ht="17.15" hidden="false" customHeight="false" outlineLevel="0" collapsed="false">
      <c r="A115" s="5" t="s">
        <v>949</v>
      </c>
      <c r="B115" s="0" t="s">
        <v>86</v>
      </c>
      <c r="C115" s="38" t="n">
        <f aca="false">(1-tp_yf)*(PL!$H$63+sbc_ab*CF!$H$18*(Seg!$H$20-Seg!$H$13)/Seg!$H$30+IF(internal_ai_reading=2,1,0)*(1-ext_sh)*Thesis!$H$28)+tp_yf*(PL!$I$63+sbc_ab*CF!$I$18*(Seg!$I$20-Seg!$I$13)/Seg!$I$30+IF(internal_ai_reading=2,1,0)*(1-ext_sh)*Thesis!$I$28)</f>
        <v>51.6951811103438</v>
      </c>
    </row>
    <row r="116" customFormat="false" ht="17.15" hidden="false" customHeight="false" outlineLevel="0" collapsed="false">
      <c r="A116" s="5" t="s">
        <v>950</v>
      </c>
      <c r="B116" s="0" t="s">
        <v>57</v>
      </c>
      <c r="C116" s="30" t="n">
        <f aca="false">m_retail*m_x</f>
        <v>17.72</v>
      </c>
    </row>
    <row r="117" customFormat="false" ht="17.15" hidden="false" customHeight="false" outlineLevel="0" collapsed="false">
      <c r="A117" s="5" t="s">
        <v>951</v>
      </c>
      <c r="B117" s="0" t="s">
        <v>86</v>
      </c>
      <c r="C117" s="38" t="n">
        <f aca="false">Val!$C$115*Val!$C$116</f>
        <v>916.038609275292</v>
      </c>
    </row>
    <row r="118" customFormat="false" ht="17.15" hidden="false" customHeight="false" outlineLevel="0" collapsed="false">
      <c r="A118" s="0" t="s">
        <v>952</v>
      </c>
      <c r="B118" s="0" t="s">
        <v>86</v>
      </c>
      <c r="C118" s="38" t="n">
        <f aca="false">(1-tp_yf)*(PL!$H$64+sbc_ab*CF!$H$18*Seg!$H$28/Seg!$H$30)+tp_yf*(PL!$I$64+sbc_ab*CF!$I$18*Seg!$I$28/Seg!$I$30)</f>
        <v>97.2337130506861</v>
      </c>
    </row>
    <row r="119" customFormat="false" ht="17.15" hidden="false" customHeight="false" outlineLevel="0" collapsed="false">
      <c r="A119" s="0" t="s">
        <v>953</v>
      </c>
      <c r="B119" s="0" t="s">
        <v>57</v>
      </c>
      <c r="C119" s="30" t="n">
        <f aca="false">m_cloud*m_x</f>
        <v>13.82</v>
      </c>
    </row>
    <row r="120" customFormat="false" ht="17.15" hidden="false" customHeight="false" outlineLevel="0" collapsed="false">
      <c r="A120" s="0" t="s">
        <v>954</v>
      </c>
      <c r="B120" s="0" t="s">
        <v>86</v>
      </c>
      <c r="C120" s="38" t="n">
        <f aca="false">Val!$C$118*Val!$C$119</f>
        <v>1343.76991436048</v>
      </c>
    </row>
    <row r="121" customFormat="false" ht="17.15" hidden="false" customHeight="false" outlineLevel="0" collapsed="false">
      <c r="A121" s="0" t="s">
        <v>955</v>
      </c>
      <c r="B121" s="0" t="s">
        <v>86</v>
      </c>
      <c r="H121" s="38" t="n">
        <f aca="false">Thesis!$H$50-tax*Thesis!$H$51-ext_sh*Thesis!$H$35</f>
        <v>-100.974105261343</v>
      </c>
      <c r="I121" s="38" t="n">
        <f aca="false">Thesis!$I$50-tax*Thesis!$I$51-ext_sh*Thesis!$I$35</f>
        <v>-54.763742646051</v>
      </c>
      <c r="J121" s="38" t="n">
        <f aca="false">Thesis!$J$50-tax*Thesis!$J$51-ext_sh*Thesis!$J$35</f>
        <v>-7.96407042501519</v>
      </c>
      <c r="K121" s="38" t="n">
        <f aca="false">Thesis!$K$50-tax*Thesis!$K$51-ext_sh*Thesis!$K$35</f>
        <v>81.2695477227792</v>
      </c>
      <c r="L121" s="38" t="n">
        <f aca="false">Thesis!$L$50-tax*Thesis!$L$51-ext_sh*Thesis!$L$35</f>
        <v>130.403176092362</v>
      </c>
      <c r="M121" s="38" t="n">
        <f aca="false">Thesis!$M$50-tax*Thesis!$M$51-ext_sh*Thesis!$M$35</f>
        <v>144.04850336808</v>
      </c>
    </row>
    <row r="122" customFormat="false" ht="17.15" hidden="false" customHeight="false" outlineLevel="0" collapsed="false">
      <c r="A122" s="5" t="s">
        <v>956</v>
      </c>
      <c r="B122" s="0" t="s">
        <v>86</v>
      </c>
      <c r="H122" s="38" t="n">
        <f aca="false">Val!$H$121*Val!$H$99</f>
        <v>-95.6983415856502</v>
      </c>
      <c r="I122" s="38" t="n">
        <f aca="false">Val!$I$121*Val!$I$99</f>
        <v>-46.6204343412823</v>
      </c>
      <c r="J122" s="38" t="n">
        <f aca="false">Val!$J$121*Val!$J$99</f>
        <v>-6.08985682758269</v>
      </c>
      <c r="K122" s="38" t="n">
        <f aca="false">Val!$K$121*Val!$K$99</f>
        <v>55.8198454698376</v>
      </c>
      <c r="L122" s="38" t="n">
        <f aca="false">Val!$L$121*Val!$L$99</f>
        <v>80.4521681226079</v>
      </c>
      <c r="M122" s="38" t="n">
        <f aca="false">Val!$M$121*Val!$M$99</f>
        <v>79.8265077218401</v>
      </c>
    </row>
    <row r="123" customFormat="false" ht="17.15" hidden="false" customHeight="false" outlineLevel="0" collapsed="false">
      <c r="A123" s="5" t="s">
        <v>957</v>
      </c>
      <c r="B123" s="0" t="s">
        <v>86</v>
      </c>
      <c r="C123" s="38" t="n">
        <f aca="false">Thesis!$M$51*(1-tax)*(1+tg)*(1-tg/ronic)/(wacc-tg)</f>
        <v>1157.41626462673</v>
      </c>
    </row>
    <row r="124" customFormat="false" ht="17.15" hidden="false" customHeight="false" outlineLevel="0" collapsed="false">
      <c r="A124" s="0" t="s">
        <v>958</v>
      </c>
      <c r="B124" s="0" t="s">
        <v>86</v>
      </c>
      <c r="C124" s="38" t="n">
        <f aca="false">(SUM(Val!$I$122:$M$122)+Val!$C$123/(1+wacc)^6)*(1+wacc)^tp_yf</f>
        <v>842.402351771106</v>
      </c>
    </row>
    <row r="125" customFormat="false" ht="17.15" hidden="false" customHeight="false" outlineLevel="0" collapsed="false">
      <c r="A125" s="5" t="s">
        <v>959</v>
      </c>
      <c r="B125" s="0" t="s">
        <v>86</v>
      </c>
      <c r="C125" s="38" t="n">
        <f aca="false">(1-tp_yf)*(PL!$H$65)+tp_yf*(PL!$I$65)</f>
        <v>116.623020306649</v>
      </c>
    </row>
    <row r="126" customFormat="false" ht="17.15" hidden="false" customHeight="false" outlineLevel="0" collapsed="false">
      <c r="A126" s="5" t="s">
        <v>960</v>
      </c>
      <c r="B126" s="0" t="s">
        <v>86</v>
      </c>
      <c r="C126" s="38" t="n">
        <f aca="false">Val!$C$125*m_ai</f>
        <v>699.738121839894</v>
      </c>
    </row>
    <row r="127" customFormat="false" ht="17.15" hidden="false" customHeight="false" outlineLevel="0" collapsed="false">
      <c r="A127" s="0" t="s">
        <v>961</v>
      </c>
      <c r="B127" s="0" t="s">
        <v>86</v>
      </c>
      <c r="C127" s="38" t="n">
        <f aca="false">IF(ai_leg=1,Val!$C$124,Val!$C$126)</f>
        <v>842.402351771106</v>
      </c>
    </row>
    <row r="128" customFormat="false" ht="17.15" hidden="false" customHeight="false" outlineLevel="0" collapsed="false">
      <c r="A128" s="5" t="s">
        <v>962</v>
      </c>
      <c r="B128" s="0" t="s">
        <v>86</v>
      </c>
      <c r="C128" s="38" t="n">
        <f aca="false">Val!$C$114+Val!$C$117+Val!$C$120+Val!$C$127</f>
        <v>3645.48266933302</v>
      </c>
    </row>
    <row r="129" customFormat="false" ht="17.15" hidden="false" customHeight="false" outlineLevel="0" collapsed="false">
      <c r="A129" s="5" t="s">
        <v>963</v>
      </c>
      <c r="B129" s="0" t="s">
        <v>86</v>
      </c>
      <c r="C129" s="38" t="n">
        <f aca="false">CF!$H$37+fin_debt</f>
        <v>126.770554703861</v>
      </c>
    </row>
    <row r="130" customFormat="false" ht="15" hidden="false" customHeight="false" outlineLevel="0" collapsed="false">
      <c r="A130" s="5" t="s">
        <v>964</v>
      </c>
      <c r="B130" s="0" t="s">
        <v>86</v>
      </c>
      <c r="C130" s="38" t="n">
        <f aca="false">Val!$C$128-Val!$C$129+Val!$C$107</f>
        <v>3697.65611462916</v>
      </c>
    </row>
    <row r="131" customFormat="false" ht="15" hidden="false" customHeight="false" outlineLevel="0" collapsed="false">
      <c r="A131" s="3" t="s">
        <v>965</v>
      </c>
      <c r="B131" s="8" t="s">
        <v>27</v>
      </c>
      <c r="C131" s="30" t="n">
        <f aca="false">Val!$C$130/sh_val</f>
        <v>335.226731952432</v>
      </c>
    </row>
    <row r="132" customFormat="false" ht="17.15" hidden="false" customHeight="false" outlineLevel="0" collapsed="false">
      <c r="A132" s="47" t="s">
        <v>966</v>
      </c>
      <c r="B132" s="14" t="s">
        <v>27</v>
      </c>
      <c r="C132" s="44" t="n">
        <f aca="false">w_dcf*Val!$C$110+(1-w_dcf)*Val!$C$131</f>
        <v>270.132340238389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customFormat="false" ht="17.15" hidden="false" customHeight="false" outlineLevel="0" collapsed="false">
      <c r="A133" s="5" t="s">
        <v>967</v>
      </c>
      <c r="B133" s="0" t="s">
        <v>27</v>
      </c>
      <c r="C133" s="30" t="n">
        <f aca="false">v022_wdcf*Val!$C$110+(1-v022_wdcf)*Val!$C$131</f>
        <v>276.641779409793</v>
      </c>
    </row>
    <row r="134" customFormat="false" ht="17.15" hidden="false" customHeight="false" outlineLevel="0" collapsed="false">
      <c r="A134" s="5" t="s">
        <v>968</v>
      </c>
      <c r="B134" s="0" t="s">
        <v>27</v>
      </c>
      <c r="C134" s="30" t="n">
        <f aca="false">(Val!$C$130-Val!$C$127+Val!$C$126)/sh_val</f>
        <v>322.292899793963</v>
      </c>
    </row>
    <row r="137" customFormat="false" ht="19.4" hidden="false" customHeight="false" outlineLevel="0" collapsed="false">
      <c r="A137" s="31" t="s">
        <v>969</v>
      </c>
    </row>
    <row r="138" customFormat="false" ht="17.15" hidden="false" customHeight="false" outlineLevel="0" collapsed="false">
      <c r="A138" s="6" t="s">
        <v>16</v>
      </c>
      <c r="B138" s="6" t="s">
        <v>17</v>
      </c>
      <c r="C138" s="20" t="s">
        <v>504</v>
      </c>
      <c r="D138" s="20" t="s">
        <v>505</v>
      </c>
      <c r="E138" s="20" t="s">
        <v>587</v>
      </c>
      <c r="F138" s="20" t="s">
        <v>588</v>
      </c>
      <c r="G138" s="20" t="s">
        <v>589</v>
      </c>
      <c r="H138" s="20" t="s">
        <v>590</v>
      </c>
      <c r="I138" s="20" t="s">
        <v>591</v>
      </c>
      <c r="J138" s="20" t="s">
        <v>592</v>
      </c>
      <c r="K138" s="20" t="s">
        <v>593</v>
      </c>
      <c r="L138" s="20" t="s">
        <v>594</v>
      </c>
      <c r="M138" s="20" t="s">
        <v>595</v>
      </c>
      <c r="N138" s="20" t="s">
        <v>596</v>
      </c>
      <c r="O138" s="20" t="s">
        <v>597</v>
      </c>
      <c r="P138" s="6" t="s">
        <v>23</v>
      </c>
      <c r="R138" s="20" t="n">
        <v>2023</v>
      </c>
      <c r="S138" s="20" t="n">
        <v>2024</v>
      </c>
      <c r="T138" s="20" t="n">
        <v>2025</v>
      </c>
      <c r="U138" s="20" t="n">
        <v>2026</v>
      </c>
      <c r="V138" s="20" t="n">
        <v>2027</v>
      </c>
      <c r="W138" s="20" t="n">
        <v>2028</v>
      </c>
      <c r="X138" s="20" t="n">
        <v>2029</v>
      </c>
      <c r="Y138" s="20" t="n">
        <v>2030</v>
      </c>
      <c r="Z138" s="20" t="n">
        <v>2031</v>
      </c>
      <c r="AA138" s="20" t="n">
        <v>2032</v>
      </c>
    </row>
    <row r="139" customFormat="false" ht="17.15" hidden="false" customHeight="false" outlineLevel="0" collapsed="false">
      <c r="A139" s="1" t="s">
        <v>926</v>
      </c>
    </row>
    <row r="140" customFormat="false" ht="17.15" hidden="false" customHeight="false" outlineLevel="0" collapsed="false">
      <c r="A140" s="0" t="s">
        <v>927</v>
      </c>
      <c r="B140" s="0" t="s">
        <v>86</v>
      </c>
      <c r="H140" s="38" t="n">
        <f aca="false">PL!$H$120*(1-tax)</f>
        <v>119.56497355468</v>
      </c>
      <c r="I140" s="38" t="n">
        <f aca="false">PL!$I$120*(1-tax)</f>
        <v>141.256941944278</v>
      </c>
      <c r="J140" s="38" t="n">
        <f aca="false">PL!$J$120*(1-tax)</f>
        <v>165.207646486437</v>
      </c>
      <c r="K140" s="38" t="n">
        <f aca="false">PL!$K$120*(1-tax)</f>
        <v>182.2563867591</v>
      </c>
      <c r="L140" s="38" t="n">
        <f aca="false">PL!$L$120*(1-tax)</f>
        <v>196.136023003742</v>
      </c>
      <c r="M140" s="38" t="n">
        <f aca="false">PL!$M$120*(1-tax)</f>
        <v>208.266936154417</v>
      </c>
    </row>
    <row r="141" customFormat="false" ht="15" hidden="false" customHeight="false" outlineLevel="0" collapsed="false">
      <c r="A141" s="5" t="s">
        <v>928</v>
      </c>
      <c r="B141" s="0" t="s">
        <v>86</v>
      </c>
      <c r="H141" s="38" t="n">
        <f aca="false">PL!$H$131</f>
        <v>81.5618233196153</v>
      </c>
      <c r="I141" s="38" t="n">
        <f aca="false">PL!$I$131</f>
        <v>118.756208740204</v>
      </c>
      <c r="J141" s="38" t="n">
        <f aca="false">PL!$J$131</f>
        <v>152.469489406791</v>
      </c>
      <c r="K141" s="38" t="n">
        <f aca="false">PL!$K$131</f>
        <v>186.391502623819</v>
      </c>
      <c r="L141" s="38" t="n">
        <f aca="false">PL!$L$131</f>
        <v>211.926422215482</v>
      </c>
      <c r="M141" s="38" t="n">
        <f aca="false">PL!$M$131</f>
        <v>229.012482097906</v>
      </c>
    </row>
    <row r="142" customFormat="false" ht="15" hidden="false" customHeight="false" outlineLevel="0" collapsed="false">
      <c r="A142" s="5" t="s">
        <v>929</v>
      </c>
      <c r="B142" s="0" t="s">
        <v>86</v>
      </c>
      <c r="H142" s="38" t="n">
        <f aca="false">CF!$H$55</f>
        <v>273.372679834898</v>
      </c>
      <c r="I142" s="38" t="n">
        <f aca="false">CF!$I$55</f>
        <v>286.981812228425</v>
      </c>
      <c r="J142" s="38" t="n">
        <f aca="false">CF!$J$55</f>
        <v>299.316513378366</v>
      </c>
      <c r="K142" s="38" t="n">
        <f aca="false">CF!$K$55</f>
        <v>251.057145512292</v>
      </c>
      <c r="L142" s="38" t="n">
        <f aca="false">CF!$L$55</f>
        <v>234.696330860396</v>
      </c>
      <c r="M142" s="38" t="n">
        <f aca="false">CF!$M$55</f>
        <v>242.291696043352</v>
      </c>
    </row>
    <row r="143" customFormat="false" ht="15" hidden="false" customHeight="false" outlineLevel="0" collapsed="false">
      <c r="A143" s="5" t="s">
        <v>930</v>
      </c>
      <c r="B143" s="0" t="s">
        <v>86</v>
      </c>
      <c r="H143" s="38" t="n">
        <f aca="false">CF!$H$56</f>
        <v>1.6</v>
      </c>
      <c r="I143" s="38" t="n">
        <f aca="false">CF!$I$56</f>
        <v>1.6</v>
      </c>
      <c r="J143" s="38" t="n">
        <f aca="false">CF!$J$56</f>
        <v>1.6</v>
      </c>
      <c r="K143" s="38" t="n">
        <f aca="false">CF!$K$56</f>
        <v>1.6</v>
      </c>
      <c r="L143" s="38" t="n">
        <f aca="false">CF!$L$56</f>
        <v>1.6</v>
      </c>
      <c r="M143" s="38" t="n">
        <f aca="false">CF!$M$56</f>
        <v>1.6</v>
      </c>
    </row>
    <row r="144" customFormat="false" ht="15" hidden="false" customHeight="false" outlineLevel="0" collapsed="false">
      <c r="A144" s="5" t="s">
        <v>931</v>
      </c>
      <c r="B144" s="0" t="s">
        <v>86</v>
      </c>
      <c r="H144" s="38" t="n">
        <f aca="false">CF!$H$50</f>
        <v>11.2928295263397</v>
      </c>
      <c r="I144" s="38" t="n">
        <f aca="false">CF!$I$50</f>
        <v>12.8091546115766</v>
      </c>
      <c r="J144" s="38" t="n">
        <f aca="false">CF!$J$50</f>
        <v>14.2605653162668</v>
      </c>
      <c r="K144" s="38" t="n">
        <f aca="false">CF!$K$50</f>
        <v>15.5327622460396</v>
      </c>
      <c r="L144" s="38" t="n">
        <f aca="false">CF!$L$50</f>
        <v>16.720573737517</v>
      </c>
      <c r="M144" s="38" t="n">
        <f aca="false">CF!$M$50</f>
        <v>17.8283127551536</v>
      </c>
    </row>
    <row r="145" customFormat="false" ht="17.15" hidden="false" customHeight="false" outlineLevel="0" collapsed="false">
      <c r="A145" s="1" t="s">
        <v>932</v>
      </c>
      <c r="B145" s="8" t="s">
        <v>86</v>
      </c>
      <c r="H145" s="38" t="n">
        <f aca="false">Val!$H$140+Val!$H$141-Val!$H$142-Val!$H$143+Val!$H$144</f>
        <v>-62.5530534342631</v>
      </c>
      <c r="I145" s="38" t="n">
        <f aca="false">Val!$I$140+Val!$I$141-Val!$I$142-Val!$I$143+Val!$I$144</f>
        <v>-15.7595069323669</v>
      </c>
      <c r="J145" s="38" t="n">
        <f aca="false">Val!$J$140+Val!$J$141-Val!$J$142-Val!$J$143+Val!$J$144</f>
        <v>31.0211878311291</v>
      </c>
      <c r="K145" s="38" t="n">
        <f aca="false">Val!$K$140+Val!$K$141-Val!$K$142-Val!$K$143+Val!$K$144</f>
        <v>131.523506116666</v>
      </c>
      <c r="L145" s="38" t="n">
        <f aca="false">Val!$L$140+Val!$L$141-Val!$L$142-Val!$L$143+Val!$L$144</f>
        <v>188.486688096346</v>
      </c>
      <c r="M145" s="38" t="n">
        <f aca="false">Val!$M$140+Val!$M$141-Val!$M$142-Val!$M$143+Val!$M$144</f>
        <v>211.216034964125</v>
      </c>
    </row>
    <row r="146" customFormat="false" ht="15" hidden="false" customHeight="false" outlineLevel="0" collapsed="false">
      <c r="A146" s="5" t="s">
        <v>933</v>
      </c>
      <c r="B146" s="0" t="s">
        <v>57</v>
      </c>
      <c r="H146" s="40" t="n">
        <f aca="false">1/(1+wacc)^(2027-2026-0.5)</f>
        <v>0.947751320380232</v>
      </c>
      <c r="I146" s="40" t="n">
        <f aca="false">1/(1+wacc)^(2028-2026-0.5)</f>
        <v>0.851301099754987</v>
      </c>
      <c r="J146" s="40" t="n">
        <f aca="false">1/(1+wacc)^(2029-2026-0.5)</f>
        <v>0.764666370660713</v>
      </c>
      <c r="K146" s="40" t="n">
        <f aca="false">1/(1+wacc)^(2030-2026-0.5)</f>
        <v>0.686848235703811</v>
      </c>
      <c r="L146" s="40" t="n">
        <f aca="false">1/(1+wacc)^(2031-2026-0.5)</f>
        <v>0.616949452715975</v>
      </c>
      <c r="M146" s="40" t="n">
        <f aca="false">1/(1+wacc)^(2032-2026-0.5)</f>
        <v>0.554164089562688</v>
      </c>
    </row>
    <row r="147" customFormat="false" ht="15" hidden="false" customHeight="false" outlineLevel="0" collapsed="false">
      <c r="A147" s="5" t="s">
        <v>934</v>
      </c>
      <c r="B147" s="0" t="s">
        <v>86</v>
      </c>
      <c r="H147" s="38" t="n">
        <f aca="false">Val!$H$145*Val!$H$146</f>
        <v>-59.2847389861381</v>
      </c>
      <c r="I147" s="38" t="n">
        <f aca="false">Val!$I$145*Val!$I$146</f>
        <v>-13.4160855831203</v>
      </c>
      <c r="J147" s="38" t="n">
        <f aca="false">Val!$J$145*Val!$J$146</f>
        <v>23.7208591124138</v>
      </c>
      <c r="K147" s="38" t="n">
        <f aca="false">Val!$K$145*Val!$K$146</f>
        <v>90.3366881298116</v>
      </c>
      <c r="L147" s="38" t="n">
        <f aca="false">Val!$L$145*Val!$L$146</f>
        <v>116.286759065287</v>
      </c>
      <c r="M147" s="38" t="n">
        <f aca="false">Val!$M$145*Val!$M$146</f>
        <v>117.048341716935</v>
      </c>
    </row>
    <row r="148" customFormat="false" ht="15" hidden="false" customHeight="false" outlineLevel="0" collapsed="false">
      <c r="A148" s="5" t="s">
        <v>935</v>
      </c>
      <c r="B148" s="0" t="s">
        <v>86</v>
      </c>
      <c r="C148" s="38" t="n">
        <f aca="false">SUM(Val!$H$147:$M$147)</f>
        <v>274.691823455189</v>
      </c>
    </row>
    <row r="149" customFormat="false" ht="17.15" hidden="false" customHeight="false" outlineLevel="0" collapsed="false">
      <c r="A149" s="5" t="s">
        <v>936</v>
      </c>
      <c r="B149" s="0" t="s">
        <v>86</v>
      </c>
      <c r="C149" s="38" t="n">
        <f aca="false">Val!$M$140*(1+tg)*(1-tg/ronic)/(wacc-tg)</f>
        <v>1893.37885139876</v>
      </c>
    </row>
    <row r="150" customFormat="false" ht="15" hidden="false" customHeight="false" outlineLevel="0" collapsed="false">
      <c r="A150" s="5" t="s">
        <v>937</v>
      </c>
      <c r="B150" s="0" t="s">
        <v>86</v>
      </c>
      <c r="C150" s="38" t="n">
        <f aca="false">Val!$C$149/(1+wacc)^6</f>
        <v>994.421028636041</v>
      </c>
    </row>
    <row r="151" customFormat="false" ht="17.15" hidden="false" customHeight="false" outlineLevel="0" collapsed="false">
      <c r="A151" s="5" t="s">
        <v>938</v>
      </c>
      <c r="B151" s="0" t="s">
        <v>86</v>
      </c>
      <c r="C151" s="38" t="n">
        <f aca="false">Val!$C$148+Val!$C$150</f>
        <v>1269.11285209123</v>
      </c>
    </row>
    <row r="152" customFormat="false" ht="17.15" hidden="false" customHeight="false" outlineLevel="0" collapsed="false">
      <c r="A152" s="5" t="s">
        <v>939</v>
      </c>
      <c r="B152" s="0" t="s">
        <v>52</v>
      </c>
      <c r="C152" s="13" t="n">
        <f aca="false">Val!$C$150/Val!$C$151</f>
        <v>0.783556030495984</v>
      </c>
    </row>
    <row r="153" customFormat="false" ht="17.15" hidden="false" customHeight="false" outlineLevel="0" collapsed="false">
      <c r="A153" s="5" t="s">
        <v>940</v>
      </c>
      <c r="B153" s="0" t="s">
        <v>86</v>
      </c>
      <c r="C153" s="38" t="n">
        <f aca="false">CF!$G$68+fin_debt</f>
        <v>89.0551793268317</v>
      </c>
    </row>
    <row r="154" customFormat="false" ht="17.15" hidden="false" customHeight="false" outlineLevel="0" collapsed="false">
      <c r="A154" s="5" t="s">
        <v>941</v>
      </c>
      <c r="B154" s="0" t="s">
        <v>86</v>
      </c>
      <c r="C154" s="38" t="n">
        <f aca="false">(ant_val*ant_sh+oai_val*oai_sh)*(1-liq_disc)</f>
        <v>178.944</v>
      </c>
    </row>
    <row r="155" customFormat="false" ht="15" hidden="false" customHeight="false" outlineLevel="0" collapsed="false">
      <c r="A155" s="5" t="s">
        <v>942</v>
      </c>
      <c r="B155" s="0" t="s">
        <v>86</v>
      </c>
      <c r="C155" s="38" t="n">
        <f aca="false">Val!$C$151-Val!$C$153+Val!$C$154</f>
        <v>1359.0016727644</v>
      </c>
    </row>
    <row r="156" customFormat="false" ht="17.15" hidden="false" customHeight="false" outlineLevel="0" collapsed="false">
      <c r="A156" s="5" t="s">
        <v>943</v>
      </c>
      <c r="B156" s="0" t="s">
        <v>27</v>
      </c>
      <c r="C156" s="30" t="n">
        <f aca="false">Val!$C$155/sh_out</f>
        <v>125.993149537868</v>
      </c>
    </row>
    <row r="157" customFormat="false" ht="17.15" hidden="false" customHeight="false" outlineLevel="0" collapsed="false">
      <c r="A157" s="1" t="s">
        <v>944</v>
      </c>
      <c r="B157" s="8" t="s">
        <v>27</v>
      </c>
      <c r="C157" s="30" t="n">
        <f aca="false">Val!$C$156*(1+ke)^tp_yf-dps*tp_yf</f>
        <v>138.008970873001</v>
      </c>
    </row>
    <row r="158" customFormat="false" ht="17.15" hidden="false" customHeight="false" outlineLevel="0" collapsed="false">
      <c r="A158" s="3" t="s">
        <v>945</v>
      </c>
    </row>
    <row r="159" customFormat="false" ht="17.15" hidden="false" customHeight="false" outlineLevel="0" collapsed="false">
      <c r="A159" s="5" t="s">
        <v>946</v>
      </c>
      <c r="B159" s="0" t="s">
        <v>86</v>
      </c>
      <c r="C159" s="38" t="n">
        <f aca="false">(1-tp_yf)*(PL!$H$132+sbc_ab*CF!$H$49*Seg!$H$48/Seg!$H$65)+tp_yf*(PL!$I$132+sbc_ab*CF!$I$49*Seg!$I$48/Seg!$I$65)</f>
        <v>59.634664536349</v>
      </c>
    </row>
    <row r="160" customFormat="false" ht="15" hidden="false" customHeight="false" outlineLevel="0" collapsed="false">
      <c r="A160" s="5" t="s">
        <v>947</v>
      </c>
      <c r="B160" s="0" t="s">
        <v>57</v>
      </c>
      <c r="C160" s="30" t="n">
        <f aca="false">m_ads*m_x</f>
        <v>9.11</v>
      </c>
    </row>
    <row r="161" customFormat="false" ht="17.15" hidden="false" customHeight="false" outlineLevel="0" collapsed="false">
      <c r="A161" s="5" t="s">
        <v>948</v>
      </c>
      <c r="B161" s="0" t="s">
        <v>86</v>
      </c>
      <c r="C161" s="38" t="n">
        <f aca="false">Val!$C$159*Val!$C$160</f>
        <v>543.271793926139</v>
      </c>
    </row>
    <row r="162" customFormat="false" ht="17.15" hidden="false" customHeight="false" outlineLevel="0" collapsed="false">
      <c r="A162" s="5" t="s">
        <v>949</v>
      </c>
      <c r="B162" s="0" t="s">
        <v>86</v>
      </c>
      <c r="C162" s="38" t="n">
        <f aca="false">(1-tp_yf)*(PL!$H$133+sbc_ab*CF!$H$49*(Seg!$H$55-Seg!$H$48)/Seg!$H$65+IF(internal_ai_reading=2,1,0)*(1-ext_sh)*Thesis!$H$91)+tp_yf*(PL!$I$133+sbc_ab*CF!$I$49*(Seg!$I$55-Seg!$I$48)/Seg!$I$65+IF(internal_ai_reading=2,1,0)*(1-ext_sh)*Thesis!$I$91)</f>
        <v>51.6951811103438</v>
      </c>
    </row>
    <row r="163" customFormat="false" ht="17.15" hidden="false" customHeight="false" outlineLevel="0" collapsed="false">
      <c r="A163" s="5" t="s">
        <v>950</v>
      </c>
      <c r="B163" s="0" t="s">
        <v>57</v>
      </c>
      <c r="C163" s="30" t="n">
        <f aca="false">m_retail*m_x</f>
        <v>17.72</v>
      </c>
    </row>
    <row r="164" customFormat="false" ht="17.15" hidden="false" customHeight="false" outlineLevel="0" collapsed="false">
      <c r="A164" s="5" t="s">
        <v>951</v>
      </c>
      <c r="B164" s="0" t="s">
        <v>86</v>
      </c>
      <c r="C164" s="38" t="n">
        <f aca="false">Val!$C$162*Val!$C$163</f>
        <v>916.038609275292</v>
      </c>
    </row>
    <row r="165" customFormat="false" ht="17.15" hidden="false" customHeight="false" outlineLevel="0" collapsed="false">
      <c r="A165" s="0" t="s">
        <v>952</v>
      </c>
      <c r="B165" s="0" t="s">
        <v>86</v>
      </c>
      <c r="C165" s="38" t="n">
        <f aca="false">(1-tp_yf)*(PL!$H$134+sbc_ab*CF!$H$49*Seg!$H$63/Seg!$H$65)+tp_yf*(PL!$I$134+sbc_ab*CF!$I$49*Seg!$I$63/Seg!$I$65)</f>
        <v>97.2337130506861</v>
      </c>
    </row>
    <row r="166" customFormat="false" ht="17.15" hidden="false" customHeight="false" outlineLevel="0" collapsed="false">
      <c r="A166" s="0" t="s">
        <v>953</v>
      </c>
      <c r="B166" s="0" t="s">
        <v>57</v>
      </c>
      <c r="C166" s="30" t="n">
        <f aca="false">m_cloud*m_x</f>
        <v>13.82</v>
      </c>
    </row>
    <row r="167" customFormat="false" ht="17.15" hidden="false" customHeight="false" outlineLevel="0" collapsed="false">
      <c r="A167" s="0" t="s">
        <v>954</v>
      </c>
      <c r="B167" s="0" t="s">
        <v>86</v>
      </c>
      <c r="C167" s="38" t="n">
        <f aca="false">Val!$C$165*Val!$C$166</f>
        <v>1343.76991436048</v>
      </c>
    </row>
    <row r="168" customFormat="false" ht="17.15" hidden="false" customHeight="false" outlineLevel="0" collapsed="false">
      <c r="A168" s="0" t="s">
        <v>955</v>
      </c>
      <c r="B168" s="0" t="s">
        <v>86</v>
      </c>
      <c r="H168" s="38" t="n">
        <f aca="false">Thesis!$H$113-tax*Thesis!$H$114-ext_sh*Thesis!$H$98</f>
        <v>-115.41576008619</v>
      </c>
      <c r="I168" s="38" t="n">
        <f aca="false">Thesis!$I$113-tax*Thesis!$I$114-ext_sh*Thesis!$I$98</f>
        <v>-88.5401912683161</v>
      </c>
      <c r="J168" s="38" t="n">
        <f aca="false">Thesis!$J$113-tax*Thesis!$J$114-ext_sh*Thesis!$J$98</f>
        <v>-61.2977422866746</v>
      </c>
      <c r="K168" s="38" t="n">
        <f aca="false">Thesis!$K$113-tax*Thesis!$K$114-ext_sh*Thesis!$K$98</f>
        <v>9.91264760007891</v>
      </c>
      <c r="L168" s="38" t="n">
        <f aca="false">Thesis!$L$113-tax*Thesis!$L$114-ext_sh*Thesis!$L$98</f>
        <v>46.750156871371</v>
      </c>
      <c r="M168" s="38" t="n">
        <f aca="false">Thesis!$M$113-tax*Thesis!$M$114-ext_sh*Thesis!$M$98</f>
        <v>55.5634749071557</v>
      </c>
    </row>
    <row r="169" customFormat="false" ht="17.15" hidden="false" customHeight="false" outlineLevel="0" collapsed="false">
      <c r="A169" s="5" t="s">
        <v>956</v>
      </c>
      <c r="B169" s="0" t="s">
        <v>86</v>
      </c>
      <c r="H169" s="38" t="n">
        <f aca="false">Val!$H$168*Val!$H$146</f>
        <v>-109.385439014374</v>
      </c>
      <c r="I169" s="38" t="n">
        <f aca="false">Val!$I$168*Val!$I$146</f>
        <v>-75.3743621992344</v>
      </c>
      <c r="J169" s="38" t="n">
        <f aca="false">Val!$J$168*Val!$J$146</f>
        <v>-46.8723221240472</v>
      </c>
      <c r="K169" s="38" t="n">
        <f aca="false">Val!$K$168*Val!$K$146</f>
        <v>6.80848451526782</v>
      </c>
      <c r="L169" s="38" t="n">
        <f aca="false">Val!$L$168*Val!$L$146</f>
        <v>28.8424836961783</v>
      </c>
      <c r="M169" s="38" t="n">
        <f aca="false">Val!$M$168*Val!$M$146</f>
        <v>30.7912824848632</v>
      </c>
    </row>
    <row r="170" customFormat="false" ht="17.15" hidden="false" customHeight="false" outlineLevel="0" collapsed="false">
      <c r="A170" s="5" t="s">
        <v>957</v>
      </c>
      <c r="B170" s="0" t="s">
        <v>86</v>
      </c>
      <c r="C170" s="38" t="n">
        <f aca="false">Thesis!$M$114*(1-tax)*(1+tg)*(1-tg/ronic)/(wacc-tg)</f>
        <v>356.180381489473</v>
      </c>
    </row>
    <row r="171" customFormat="false" ht="17.15" hidden="false" customHeight="false" outlineLevel="0" collapsed="false">
      <c r="A171" s="0" t="s">
        <v>958</v>
      </c>
      <c r="B171" s="0" t="s">
        <v>86</v>
      </c>
      <c r="C171" s="38" t="n">
        <f aca="false">(SUM(Val!$I$169:$M$169)+Val!$C$170/(1+wacc)^6)*(1+wacc)^tp_yf</f>
        <v>143.3703803388</v>
      </c>
    </row>
    <row r="172" customFormat="false" ht="17.15" hidden="false" customHeight="false" outlineLevel="0" collapsed="false">
      <c r="A172" s="5" t="s">
        <v>959</v>
      </c>
      <c r="B172" s="0" t="s">
        <v>86</v>
      </c>
      <c r="C172" s="38" t="n">
        <f aca="false">(1-tp_yf)*(PL!$H$135)+tp_yf*(PL!$I$135)</f>
        <v>74.6707041238437</v>
      </c>
    </row>
    <row r="173" customFormat="false" ht="17.15" hidden="false" customHeight="false" outlineLevel="0" collapsed="false">
      <c r="A173" s="5" t="s">
        <v>960</v>
      </c>
      <c r="B173" s="0" t="s">
        <v>86</v>
      </c>
      <c r="C173" s="38" t="n">
        <f aca="false">Val!$C$172*m_ai</f>
        <v>448.024224743062</v>
      </c>
    </row>
    <row r="174" customFormat="false" ht="17.15" hidden="false" customHeight="false" outlineLevel="0" collapsed="false">
      <c r="A174" s="0" t="s">
        <v>961</v>
      </c>
      <c r="B174" s="0" t="s">
        <v>86</v>
      </c>
      <c r="C174" s="38" t="n">
        <f aca="false">IF(ai_leg=1,Val!$C$171,Val!$C$173)</f>
        <v>143.3703803388</v>
      </c>
    </row>
    <row r="175" customFormat="false" ht="17.15" hidden="false" customHeight="false" outlineLevel="0" collapsed="false">
      <c r="A175" s="5" t="s">
        <v>962</v>
      </c>
      <c r="B175" s="0" t="s">
        <v>86</v>
      </c>
      <c r="C175" s="38" t="n">
        <f aca="false">Val!$C$161+Val!$C$164+Val!$C$167+Val!$C$174</f>
        <v>2946.45069790071</v>
      </c>
    </row>
    <row r="176" customFormat="false" ht="17.15" hidden="false" customHeight="false" outlineLevel="0" collapsed="false">
      <c r="A176" s="5" t="s">
        <v>963</v>
      </c>
      <c r="B176" s="0" t="s">
        <v>86</v>
      </c>
      <c r="C176" s="38" t="n">
        <f aca="false">CF!$H$68+fin_debt</f>
        <v>143.411303169235</v>
      </c>
    </row>
    <row r="177" customFormat="false" ht="15" hidden="false" customHeight="false" outlineLevel="0" collapsed="false">
      <c r="A177" s="5" t="s">
        <v>964</v>
      </c>
      <c r="B177" s="0" t="s">
        <v>86</v>
      </c>
      <c r="C177" s="38" t="n">
        <f aca="false">Val!$C$175-Val!$C$176+Val!$C$154</f>
        <v>2981.98339473148</v>
      </c>
    </row>
    <row r="178" customFormat="false" ht="15" hidden="false" customHeight="false" outlineLevel="0" collapsed="false">
      <c r="A178" s="3" t="s">
        <v>965</v>
      </c>
      <c r="B178" s="8" t="s">
        <v>27</v>
      </c>
      <c r="C178" s="30" t="n">
        <f aca="false">Val!$C$177/sh_val</f>
        <v>270.344379564487</v>
      </c>
    </row>
    <row r="179" customFormat="false" ht="17.15" hidden="false" customHeight="false" outlineLevel="0" collapsed="false">
      <c r="A179" s="47" t="s">
        <v>966</v>
      </c>
      <c r="B179" s="14" t="s">
        <v>27</v>
      </c>
      <c r="C179" s="44" t="n">
        <f aca="false">w_dcf*Val!$C$157+(1-w_dcf)*Val!$C$178</f>
        <v>204.176675218744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 customFormat="false" ht="17.15" hidden="false" customHeight="false" outlineLevel="0" collapsed="false">
      <c r="A180" s="5" t="s">
        <v>967</v>
      </c>
      <c r="B180" s="0" t="s">
        <v>27</v>
      </c>
      <c r="C180" s="30" t="n">
        <f aca="false">v022_wdcf*Val!$C$157+(1-v022_wdcf)*Val!$C$178</f>
        <v>210.793445653318</v>
      </c>
    </row>
    <row r="181" customFormat="false" ht="17.15" hidden="false" customHeight="false" outlineLevel="0" collapsed="false">
      <c r="A181" s="5" t="s">
        <v>968</v>
      </c>
      <c r="B181" s="0" t="s">
        <v>27</v>
      </c>
      <c r="C181" s="30" t="n">
        <f aca="false">(Val!$C$177-Val!$C$174+Val!$C$173)/sh_val</f>
        <v>297.964068759578</v>
      </c>
    </row>
    <row r="184" customFormat="false" ht="19.4" hidden="false" customHeight="false" outlineLevel="0" collapsed="false">
      <c r="A184" s="31" t="s">
        <v>970</v>
      </c>
    </row>
    <row r="185" customFormat="false" ht="17.15" hidden="false" customHeight="false" outlineLevel="0" collapsed="false">
      <c r="A185" s="6" t="s">
        <v>16</v>
      </c>
      <c r="B185" s="6" t="s">
        <v>17</v>
      </c>
      <c r="C185" s="20" t="s">
        <v>504</v>
      </c>
      <c r="D185" s="20" t="s">
        <v>505</v>
      </c>
      <c r="E185" s="20" t="s">
        <v>587</v>
      </c>
      <c r="F185" s="20" t="s">
        <v>588</v>
      </c>
      <c r="G185" s="20" t="s">
        <v>589</v>
      </c>
      <c r="H185" s="20" t="s">
        <v>590</v>
      </c>
      <c r="I185" s="20" t="s">
        <v>591</v>
      </c>
      <c r="J185" s="20" t="s">
        <v>592</v>
      </c>
      <c r="K185" s="20" t="s">
        <v>593</v>
      </c>
      <c r="L185" s="20" t="s">
        <v>594</v>
      </c>
      <c r="M185" s="20" t="s">
        <v>595</v>
      </c>
      <c r="N185" s="20" t="s">
        <v>596</v>
      </c>
      <c r="O185" s="20" t="s">
        <v>597</v>
      </c>
      <c r="P185" s="6" t="s">
        <v>23</v>
      </c>
      <c r="R185" s="20" t="n">
        <v>2023</v>
      </c>
      <c r="S185" s="20" t="n">
        <v>2024</v>
      </c>
      <c r="T185" s="20" t="n">
        <v>2025</v>
      </c>
      <c r="U185" s="20" t="n">
        <v>2026</v>
      </c>
      <c r="V185" s="20" t="n">
        <v>2027</v>
      </c>
      <c r="W185" s="20" t="n">
        <v>2028</v>
      </c>
      <c r="X185" s="20" t="n">
        <v>2029</v>
      </c>
      <c r="Y185" s="20" t="n">
        <v>2030</v>
      </c>
      <c r="Z185" s="20" t="n">
        <v>2031</v>
      </c>
      <c r="AA185" s="20" t="n">
        <v>2032</v>
      </c>
    </row>
    <row r="186" customFormat="false" ht="17.15" hidden="false" customHeight="false" outlineLevel="0" collapsed="false">
      <c r="A186" s="1" t="s">
        <v>926</v>
      </c>
    </row>
    <row r="187" customFormat="false" ht="17.15" hidden="false" customHeight="false" outlineLevel="0" collapsed="false">
      <c r="A187" s="0" t="s">
        <v>927</v>
      </c>
      <c r="B187" s="0" t="s">
        <v>86</v>
      </c>
      <c r="H187" s="38" t="n">
        <f aca="false">PL!$H$190*(1-tax)</f>
        <v>113.991957712294</v>
      </c>
      <c r="I187" s="38" t="n">
        <f aca="false">PL!$I$190*(1-tax)</f>
        <v>129.931783236855</v>
      </c>
      <c r="J187" s="38" t="n">
        <f aca="false">PL!$J$190*(1-tax)</f>
        <v>148.104755339314</v>
      </c>
      <c r="K187" s="38" t="n">
        <f aca="false">PL!$K$190*(1-tax)</f>
        <v>160.224436352926</v>
      </c>
      <c r="L187" s="38" t="n">
        <f aca="false">PL!$L$190*(1-tax)</f>
        <v>170.864670601067</v>
      </c>
      <c r="M187" s="38" t="n">
        <f aca="false">PL!$M$190*(1-tax)</f>
        <v>181.450000990334</v>
      </c>
    </row>
    <row r="188" customFormat="false" ht="15" hidden="false" customHeight="false" outlineLevel="0" collapsed="false">
      <c r="A188" s="5" t="s">
        <v>928</v>
      </c>
      <c r="B188" s="0" t="s">
        <v>86</v>
      </c>
      <c r="H188" s="38" t="n">
        <f aca="false">PL!$H$201</f>
        <v>81.5618233196153</v>
      </c>
      <c r="I188" s="38" t="n">
        <f aca="false">PL!$I$201</f>
        <v>118.756208740204</v>
      </c>
      <c r="J188" s="38" t="n">
        <f aca="false">PL!$J$201</f>
        <v>152.469489406791</v>
      </c>
      <c r="K188" s="38" t="n">
        <f aca="false">PL!$K$201</f>
        <v>186.391502623819</v>
      </c>
      <c r="L188" s="38" t="n">
        <f aca="false">PL!$L$201</f>
        <v>211.926422215482</v>
      </c>
      <c r="M188" s="38" t="n">
        <f aca="false">PL!$M$201</f>
        <v>229.012482097906</v>
      </c>
    </row>
    <row r="189" customFormat="false" ht="15" hidden="false" customHeight="false" outlineLevel="0" collapsed="false">
      <c r="A189" s="5" t="s">
        <v>929</v>
      </c>
      <c r="B189" s="0" t="s">
        <v>86</v>
      </c>
      <c r="H189" s="38" t="n">
        <f aca="false">CF!$H$86</f>
        <v>273.372679834898</v>
      </c>
      <c r="I189" s="38" t="n">
        <f aca="false">CF!$I$86</f>
        <v>286.981812228425</v>
      </c>
      <c r="J189" s="38" t="n">
        <f aca="false">CF!$J$86</f>
        <v>299.316513378366</v>
      </c>
      <c r="K189" s="38" t="n">
        <f aca="false">CF!$K$86</f>
        <v>251.057145512292</v>
      </c>
      <c r="L189" s="38" t="n">
        <f aca="false">CF!$L$86</f>
        <v>234.696330860396</v>
      </c>
      <c r="M189" s="38" t="n">
        <f aca="false">CF!$M$86</f>
        <v>242.291696043352</v>
      </c>
    </row>
    <row r="190" customFormat="false" ht="15" hidden="false" customHeight="false" outlineLevel="0" collapsed="false">
      <c r="A190" s="5" t="s">
        <v>930</v>
      </c>
      <c r="B190" s="0" t="s">
        <v>86</v>
      </c>
      <c r="H190" s="38" t="n">
        <f aca="false">CF!$H$87</f>
        <v>1.6</v>
      </c>
      <c r="I190" s="38" t="n">
        <f aca="false">CF!$I$87</f>
        <v>1.6</v>
      </c>
      <c r="J190" s="38" t="n">
        <f aca="false">CF!$J$87</f>
        <v>1.6</v>
      </c>
      <c r="K190" s="38" t="n">
        <f aca="false">CF!$K$87</f>
        <v>1.6</v>
      </c>
      <c r="L190" s="38" t="n">
        <f aca="false">CF!$L$87</f>
        <v>1.6</v>
      </c>
      <c r="M190" s="38" t="n">
        <f aca="false">CF!$M$87</f>
        <v>1.6</v>
      </c>
    </row>
    <row r="191" customFormat="false" ht="15" hidden="false" customHeight="false" outlineLevel="0" collapsed="false">
      <c r="A191" s="5" t="s">
        <v>931</v>
      </c>
      <c r="B191" s="0" t="s">
        <v>86</v>
      </c>
      <c r="H191" s="38" t="n">
        <f aca="false">CF!$H$81</f>
        <v>11.2120102974955</v>
      </c>
      <c r="I191" s="38" t="n">
        <f aca="false">CF!$I$81</f>
        <v>12.6449184745984</v>
      </c>
      <c r="J191" s="38" t="n">
        <f aca="false">CF!$J$81</f>
        <v>14.0125411741132</v>
      </c>
      <c r="K191" s="38" t="n">
        <f aca="false">CF!$K$81</f>
        <v>15.2132574586644</v>
      </c>
      <c r="L191" s="38" t="n">
        <f aca="false">CF!$L$81</f>
        <v>16.3540915184104</v>
      </c>
      <c r="M191" s="38" t="n">
        <f aca="false">CF!$M$81</f>
        <v>17.4394166742486</v>
      </c>
    </row>
    <row r="192" customFormat="false" ht="17.15" hidden="false" customHeight="false" outlineLevel="0" collapsed="false">
      <c r="A192" s="1" t="s">
        <v>932</v>
      </c>
      <c r="B192" s="8" t="s">
        <v>86</v>
      </c>
      <c r="H192" s="38" t="n">
        <f aca="false">Val!$H$187+Val!$H$188-Val!$H$189-Val!$H$190+Val!$H$191</f>
        <v>-68.2068885054938</v>
      </c>
      <c r="I192" s="38" t="n">
        <f aca="false">Val!$I$187+Val!$I$188-Val!$I$189-Val!$I$190+Val!$I$191</f>
        <v>-27.2489017767681</v>
      </c>
      <c r="J192" s="38" t="n">
        <f aca="false">Val!$J$187+Val!$J$188-Val!$J$189-Val!$J$190+Val!$J$191</f>
        <v>13.6702725418518</v>
      </c>
      <c r="K192" s="38" t="n">
        <f aca="false">Val!$K$187+Val!$K$188-Val!$K$189-Val!$K$190+Val!$K$191</f>
        <v>109.172050923117</v>
      </c>
      <c r="L192" s="38" t="n">
        <f aca="false">Val!$L$187+Val!$L$188-Val!$L$189-Val!$L$190+Val!$L$191</f>
        <v>162.848853474564</v>
      </c>
      <c r="M192" s="38" t="n">
        <f aca="false">Val!$M$187+Val!$M$188-Val!$M$189-Val!$M$190+Val!$M$191</f>
        <v>184.010203719136</v>
      </c>
    </row>
    <row r="193" customFormat="false" ht="15" hidden="false" customHeight="false" outlineLevel="0" collapsed="false">
      <c r="A193" s="5" t="s">
        <v>933</v>
      </c>
      <c r="B193" s="0" t="s">
        <v>57</v>
      </c>
      <c r="H193" s="40" t="n">
        <f aca="false">1/(1+wacc)^(2027-2026-0.5)</f>
        <v>0.947751320380232</v>
      </c>
      <c r="I193" s="40" t="n">
        <f aca="false">1/(1+wacc)^(2028-2026-0.5)</f>
        <v>0.851301099754987</v>
      </c>
      <c r="J193" s="40" t="n">
        <f aca="false">1/(1+wacc)^(2029-2026-0.5)</f>
        <v>0.764666370660713</v>
      </c>
      <c r="K193" s="40" t="n">
        <f aca="false">1/(1+wacc)^(2030-2026-0.5)</f>
        <v>0.686848235703811</v>
      </c>
      <c r="L193" s="40" t="n">
        <f aca="false">1/(1+wacc)^(2031-2026-0.5)</f>
        <v>0.616949452715975</v>
      </c>
      <c r="M193" s="40" t="n">
        <f aca="false">1/(1+wacc)^(2032-2026-0.5)</f>
        <v>0.554164089562688</v>
      </c>
    </row>
    <row r="194" customFormat="false" ht="15" hidden="false" customHeight="false" outlineLevel="0" collapsed="false">
      <c r="A194" s="5" t="s">
        <v>934</v>
      </c>
      <c r="B194" s="0" t="s">
        <v>86</v>
      </c>
      <c r="H194" s="38" t="n">
        <f aca="false">Val!$H$192*Val!$H$193</f>
        <v>-64.643168640109</v>
      </c>
      <c r="I194" s="38" t="n">
        <f aca="false">Val!$I$192*Val!$I$193</f>
        <v>-23.1970200496783</v>
      </c>
      <c r="J194" s="38" t="n">
        <f aca="false">Val!$J$192*Val!$J$193</f>
        <v>10.4531976905206</v>
      </c>
      <c r="K194" s="38" t="n">
        <f aca="false">Val!$K$192*Val!$K$193</f>
        <v>74.9846305647093</v>
      </c>
      <c r="L194" s="38" t="n">
        <f aca="false">Val!$L$192*Val!$L$193</f>
        <v>100.469511026556</v>
      </c>
      <c r="M194" s="38" t="n">
        <f aca="false">Val!$M$192*Val!$M$193</f>
        <v>101.97184701426</v>
      </c>
    </row>
    <row r="195" customFormat="false" ht="15" hidden="false" customHeight="false" outlineLevel="0" collapsed="false">
      <c r="A195" s="5" t="s">
        <v>935</v>
      </c>
      <c r="B195" s="0" t="s">
        <v>86</v>
      </c>
      <c r="C195" s="38" t="n">
        <f aca="false">SUM(Val!$H$194:$M$194)</f>
        <v>200.038997606258</v>
      </c>
    </row>
    <row r="196" customFormat="false" ht="17.15" hidden="false" customHeight="false" outlineLevel="0" collapsed="false">
      <c r="A196" s="5" t="s">
        <v>936</v>
      </c>
      <c r="B196" s="0" t="s">
        <v>86</v>
      </c>
      <c r="C196" s="38" t="n">
        <f aca="false">Val!$M$187*(1+tg)*(1-tg/ronic)/(wacc-tg)</f>
        <v>1649.58298616664</v>
      </c>
    </row>
    <row r="197" customFormat="false" ht="15" hidden="false" customHeight="false" outlineLevel="0" collapsed="false">
      <c r="A197" s="5" t="s">
        <v>937</v>
      </c>
      <c r="B197" s="0" t="s">
        <v>86</v>
      </c>
      <c r="C197" s="38" t="n">
        <f aca="false">Val!$C$196/(1+wacc)^6</f>
        <v>866.377063793912</v>
      </c>
    </row>
    <row r="198" customFormat="false" ht="17.15" hidden="false" customHeight="false" outlineLevel="0" collapsed="false">
      <c r="A198" s="5" t="s">
        <v>938</v>
      </c>
      <c r="B198" s="0" t="s">
        <v>86</v>
      </c>
      <c r="C198" s="38" t="n">
        <f aca="false">Val!$C$195+Val!$C$197</f>
        <v>1066.41606140017</v>
      </c>
    </row>
    <row r="199" customFormat="false" ht="17.15" hidden="false" customHeight="false" outlineLevel="0" collapsed="false">
      <c r="A199" s="5" t="s">
        <v>939</v>
      </c>
      <c r="B199" s="0" t="s">
        <v>52</v>
      </c>
      <c r="C199" s="13" t="n">
        <f aca="false">Val!$C$197/Val!$C$198</f>
        <v>0.81241936909351</v>
      </c>
    </row>
    <row r="200" customFormat="false" ht="17.15" hidden="false" customHeight="false" outlineLevel="0" collapsed="false">
      <c r="A200" s="5" t="s">
        <v>940</v>
      </c>
      <c r="B200" s="0" t="s">
        <v>86</v>
      </c>
      <c r="C200" s="38" t="n">
        <f aca="false">CF!$G$99+fin_debt</f>
        <v>89.7682788151387</v>
      </c>
    </row>
    <row r="201" customFormat="false" ht="17.15" hidden="false" customHeight="false" outlineLevel="0" collapsed="false">
      <c r="A201" s="5" t="s">
        <v>941</v>
      </c>
      <c r="B201" s="0" t="s">
        <v>86</v>
      </c>
      <c r="C201" s="38" t="n">
        <f aca="false">(ant_val*ant_sh+oai_val*oai_sh)*(1-liq_disc)</f>
        <v>178.944</v>
      </c>
    </row>
    <row r="202" customFormat="false" ht="15" hidden="false" customHeight="false" outlineLevel="0" collapsed="false">
      <c r="A202" s="5" t="s">
        <v>942</v>
      </c>
      <c r="B202" s="0" t="s">
        <v>86</v>
      </c>
      <c r="C202" s="38" t="n">
        <f aca="false">Val!$C$198-Val!$C$200+Val!$C$201</f>
        <v>1155.59178258503</v>
      </c>
    </row>
    <row r="203" customFormat="false" ht="17.15" hidden="false" customHeight="false" outlineLevel="0" collapsed="false">
      <c r="A203" s="5" t="s">
        <v>943</v>
      </c>
      <c r="B203" s="0" t="s">
        <v>27</v>
      </c>
      <c r="C203" s="30" t="n">
        <f aca="false">Val!$C$202/sh_out</f>
        <v>107.135002984804</v>
      </c>
    </row>
    <row r="204" customFormat="false" ht="17.15" hidden="false" customHeight="false" outlineLevel="0" collapsed="false">
      <c r="A204" s="1" t="s">
        <v>944</v>
      </c>
      <c r="B204" s="8" t="s">
        <v>27</v>
      </c>
      <c r="C204" s="30" t="n">
        <f aca="false">Val!$C$203*(1+ke)^tp_yf-dps*tp_yf</f>
        <v>117.352344636521</v>
      </c>
    </row>
    <row r="205" customFormat="false" ht="17.15" hidden="false" customHeight="false" outlineLevel="0" collapsed="false">
      <c r="A205" s="3" t="s">
        <v>945</v>
      </c>
    </row>
    <row r="206" customFormat="false" ht="17.15" hidden="false" customHeight="false" outlineLevel="0" collapsed="false">
      <c r="A206" s="5" t="s">
        <v>946</v>
      </c>
      <c r="B206" s="0" t="s">
        <v>86</v>
      </c>
      <c r="C206" s="38" t="n">
        <f aca="false">(1-tp_yf)*(PL!$H$202+sbc_ab*CF!$H$80*Seg!$H$83/Seg!$H$100)+tp_yf*(PL!$I$202+sbc_ab*CF!$I$80*Seg!$I$83/Seg!$I$100)</f>
        <v>59.634664536349</v>
      </c>
    </row>
    <row r="207" customFormat="false" ht="15" hidden="false" customHeight="false" outlineLevel="0" collapsed="false">
      <c r="A207" s="5" t="s">
        <v>947</v>
      </c>
      <c r="B207" s="0" t="s">
        <v>57</v>
      </c>
      <c r="C207" s="30" t="n">
        <f aca="false">m_ads*m_x</f>
        <v>9.11</v>
      </c>
    </row>
    <row r="208" customFormat="false" ht="17.15" hidden="false" customHeight="false" outlineLevel="0" collapsed="false">
      <c r="A208" s="5" t="s">
        <v>948</v>
      </c>
      <c r="B208" s="0" t="s">
        <v>86</v>
      </c>
      <c r="C208" s="38" t="n">
        <f aca="false">Val!$C$206*Val!$C$207</f>
        <v>543.271793926139</v>
      </c>
    </row>
    <row r="209" customFormat="false" ht="17.15" hidden="false" customHeight="false" outlineLevel="0" collapsed="false">
      <c r="A209" s="5" t="s">
        <v>949</v>
      </c>
      <c r="B209" s="0" t="s">
        <v>86</v>
      </c>
      <c r="C209" s="38" t="n">
        <f aca="false">(1-tp_yf)*(PL!$H$203+sbc_ab*CF!$H$80*(Seg!$H$90-Seg!$H$83)/Seg!$H$100+IF(internal_ai_reading=2,1,0)*(1-ext_sh)*Thesis!$H$154)+tp_yf*(PL!$I$203+sbc_ab*CF!$I$80*(Seg!$I$90-Seg!$I$83)/Seg!$I$100+IF(internal_ai_reading=2,1,0)*(1-ext_sh)*Thesis!$I$154)</f>
        <v>51.6951811103438</v>
      </c>
    </row>
    <row r="210" customFormat="false" ht="17.15" hidden="false" customHeight="false" outlineLevel="0" collapsed="false">
      <c r="A210" s="5" t="s">
        <v>950</v>
      </c>
      <c r="B210" s="0" t="s">
        <v>57</v>
      </c>
      <c r="C210" s="30" t="n">
        <f aca="false">m_retail*m_x</f>
        <v>17.72</v>
      </c>
    </row>
    <row r="211" customFormat="false" ht="17.15" hidden="false" customHeight="false" outlineLevel="0" collapsed="false">
      <c r="A211" s="5" t="s">
        <v>951</v>
      </c>
      <c r="B211" s="0" t="s">
        <v>86</v>
      </c>
      <c r="C211" s="38" t="n">
        <f aca="false">Val!$C$209*Val!$C$210</f>
        <v>916.038609275292</v>
      </c>
    </row>
    <row r="212" customFormat="false" ht="17.15" hidden="false" customHeight="false" outlineLevel="0" collapsed="false">
      <c r="A212" s="0" t="s">
        <v>952</v>
      </c>
      <c r="B212" s="0" t="s">
        <v>86</v>
      </c>
      <c r="C212" s="38" t="n">
        <f aca="false">(1-tp_yf)*(PL!$H$204+sbc_ab*CF!$H$80*Seg!$H$98/Seg!$H$100)+tp_yf*(PL!$I$204+sbc_ab*CF!$I$80*Seg!$I$98/Seg!$I$100)</f>
        <v>97.2337130506861</v>
      </c>
    </row>
    <row r="213" customFormat="false" ht="17.15" hidden="false" customHeight="false" outlineLevel="0" collapsed="false">
      <c r="A213" s="0" t="s">
        <v>953</v>
      </c>
      <c r="B213" s="0" t="s">
        <v>57</v>
      </c>
      <c r="C213" s="30" t="n">
        <f aca="false">m_cloud*m_x</f>
        <v>13.82</v>
      </c>
    </row>
    <row r="214" customFormat="false" ht="17.15" hidden="false" customHeight="false" outlineLevel="0" collapsed="false">
      <c r="A214" s="0" t="s">
        <v>954</v>
      </c>
      <c r="B214" s="0" t="s">
        <v>86</v>
      </c>
      <c r="C214" s="38" t="n">
        <f aca="false">Val!$C$212*Val!$C$213</f>
        <v>1343.76991436048</v>
      </c>
    </row>
    <row r="215" customFormat="false" ht="17.15" hidden="false" customHeight="false" outlineLevel="0" collapsed="false">
      <c r="A215" s="0" t="s">
        <v>955</v>
      </c>
      <c r="B215" s="0" t="s">
        <v>86</v>
      </c>
      <c r="H215" s="38" t="n">
        <f aca="false">Thesis!$H$176-tax*Thesis!$H$177-ext_sh*Thesis!$H$161</f>
        <v>-120.988775928576</v>
      </c>
      <c r="I215" s="38" t="n">
        <f aca="false">Thesis!$I$176-tax*Thesis!$I$177-ext_sh*Thesis!$I$161</f>
        <v>-99.8653499757391</v>
      </c>
      <c r="J215" s="38" t="n">
        <f aca="false">Thesis!$J$176-tax*Thesis!$J$177-ext_sh*Thesis!$J$161</f>
        <v>-78.4006334337983</v>
      </c>
      <c r="K215" s="38" t="n">
        <f aca="false">Thesis!$K$176-tax*Thesis!$K$177-ext_sh*Thesis!$K$161</f>
        <v>-12.1193028060955</v>
      </c>
      <c r="L215" s="38" t="n">
        <f aca="false">Thesis!$L$176-tax*Thesis!$L$177-ext_sh*Thesis!$L$161</f>
        <v>21.4788044686952</v>
      </c>
      <c r="M215" s="38" t="n">
        <f aca="false">Thesis!$M$176-tax*Thesis!$M$177-ext_sh*Thesis!$M$161</f>
        <v>28.746539743072</v>
      </c>
    </row>
    <row r="216" customFormat="false" ht="17.15" hidden="false" customHeight="false" outlineLevel="0" collapsed="false">
      <c r="A216" s="5" t="s">
        <v>956</v>
      </c>
      <c r="B216" s="0" t="s">
        <v>86</v>
      </c>
      <c r="H216" s="38" t="n">
        <f aca="false">Val!$H$215*Val!$H$193</f>
        <v>-114.667272137496</v>
      </c>
      <c r="I216" s="38" t="n">
        <f aca="false">Val!$I$215*Val!$I$193</f>
        <v>-85.0154822617633</v>
      </c>
      <c r="J216" s="38" t="n">
        <f aca="false">Val!$J$215*Val!$J$193</f>
        <v>-59.9503278253235</v>
      </c>
      <c r="K216" s="38" t="n">
        <f aca="false">Val!$K$215*Val!$K$193</f>
        <v>-8.32412175032694</v>
      </c>
      <c r="L216" s="38" t="n">
        <f aca="false">Val!$L$215*Val!$L$193</f>
        <v>13.2513366619549</v>
      </c>
      <c r="M216" s="38" t="n">
        <f aca="false">Val!$M$215*Val!$M$193</f>
        <v>15.9303000247971</v>
      </c>
    </row>
    <row r="217" customFormat="false" ht="17.15" hidden="false" customHeight="false" outlineLevel="0" collapsed="false">
      <c r="A217" s="5" t="s">
        <v>957</v>
      </c>
      <c r="B217" s="0" t="s">
        <v>86</v>
      </c>
      <c r="C217" s="38" t="n">
        <f aca="false">Thesis!$M$177*(1-tax)*(1+tg)*(1-tg/ronic)/(wacc-tg)</f>
        <v>112.384516257359</v>
      </c>
    </row>
    <row r="218" customFormat="false" ht="17.15" hidden="false" customHeight="false" outlineLevel="0" collapsed="false">
      <c r="A218" s="0" t="s">
        <v>958</v>
      </c>
      <c r="B218" s="0" t="s">
        <v>86</v>
      </c>
      <c r="C218" s="38" t="n">
        <f aca="false">(SUM(Val!$I$216:$M$216)+Val!$C$217/(1+wacc)^6)*(1+wacc)^tp_yf</f>
        <v>-71.0848665672217</v>
      </c>
    </row>
    <row r="219" customFormat="false" ht="17.15" hidden="false" customHeight="false" outlineLevel="0" collapsed="false">
      <c r="A219" s="5" t="s">
        <v>959</v>
      </c>
      <c r="B219" s="0" t="s">
        <v>86</v>
      </c>
      <c r="C219" s="38" t="n">
        <f aca="false">(1-tp_yf)*(PL!$H$205)+tp_yf*(PL!$I$205)</f>
        <v>62.206266041067</v>
      </c>
    </row>
    <row r="220" customFormat="false" ht="17.15" hidden="false" customHeight="false" outlineLevel="0" collapsed="false">
      <c r="A220" s="5" t="s">
        <v>960</v>
      </c>
      <c r="B220" s="0" t="s">
        <v>86</v>
      </c>
      <c r="C220" s="38" t="n">
        <f aca="false">Val!$C$219*m_ai</f>
        <v>373.237596246402</v>
      </c>
    </row>
    <row r="221" customFormat="false" ht="17.15" hidden="false" customHeight="false" outlineLevel="0" collapsed="false">
      <c r="A221" s="0" t="s">
        <v>961</v>
      </c>
      <c r="B221" s="0" t="s">
        <v>86</v>
      </c>
      <c r="C221" s="38" t="n">
        <f aca="false">IF(ai_leg=1,Val!$C$218,Val!$C$220)</f>
        <v>-71.0848665672217</v>
      </c>
    </row>
    <row r="222" customFormat="false" ht="17.15" hidden="false" customHeight="false" outlineLevel="0" collapsed="false">
      <c r="A222" s="5" t="s">
        <v>962</v>
      </c>
      <c r="B222" s="0" t="s">
        <v>86</v>
      </c>
      <c r="C222" s="38" t="n">
        <f aca="false">Val!$C$208+Val!$C$211+Val!$C$214+Val!$C$221</f>
        <v>2731.99545099469</v>
      </c>
    </row>
    <row r="223" customFormat="false" ht="17.15" hidden="false" customHeight="false" outlineLevel="0" collapsed="false">
      <c r="A223" s="5" t="s">
        <v>963</v>
      </c>
      <c r="B223" s="0" t="s">
        <v>86</v>
      </c>
      <c r="C223" s="38" t="n">
        <f aca="false">CF!$H$99+fin_debt</f>
        <v>149.970970415957</v>
      </c>
    </row>
    <row r="224" customFormat="false" ht="15" hidden="false" customHeight="false" outlineLevel="0" collapsed="false">
      <c r="A224" s="5" t="s">
        <v>964</v>
      </c>
      <c r="B224" s="0" t="s">
        <v>86</v>
      </c>
      <c r="C224" s="38" t="n">
        <f aca="false">Val!$C$222-Val!$C$223+Val!$C$201</f>
        <v>2760.96848057873</v>
      </c>
    </row>
    <row r="225" customFormat="false" ht="15" hidden="false" customHeight="false" outlineLevel="0" collapsed="false">
      <c r="A225" s="3" t="s">
        <v>965</v>
      </c>
      <c r="B225" s="8" t="s">
        <v>27</v>
      </c>
      <c r="C225" s="30" t="n">
        <f aca="false">Val!$C$224/sh_val</f>
        <v>250.307333098472</v>
      </c>
    </row>
    <row r="226" customFormat="false" ht="17.15" hidden="false" customHeight="false" outlineLevel="0" collapsed="false">
      <c r="A226" s="47" t="s">
        <v>966</v>
      </c>
      <c r="B226" s="14" t="s">
        <v>27</v>
      </c>
      <c r="C226" s="44" t="n">
        <f aca="false">w_dcf*Val!$C$204+(1-w_dcf)*Val!$C$225</f>
        <v>183.829838867496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 customFormat="false" ht="17.15" hidden="false" customHeight="false" outlineLevel="0" collapsed="false">
      <c r="A227" s="5" t="s">
        <v>967</v>
      </c>
      <c r="B227" s="0" t="s">
        <v>27</v>
      </c>
      <c r="C227" s="30" t="n">
        <f aca="false">v022_wdcf*Val!$C$204+(1-v022_wdcf)*Val!$C$225</f>
        <v>190.477588290594</v>
      </c>
    </row>
    <row r="228" customFormat="false" ht="17.15" hidden="false" customHeight="false" outlineLevel="0" collapsed="false">
      <c r="A228" s="5" t="s">
        <v>968</v>
      </c>
      <c r="B228" s="0" t="s">
        <v>27</v>
      </c>
      <c r="C228" s="30" t="n">
        <f aca="false">(Val!$C$224-Val!$C$221+Val!$C$220)/sh_val</f>
        <v>290.589274556677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3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971</v>
      </c>
    </row>
    <row r="3" customFormat="false" ht="17.15" hidden="false" customHeight="false" outlineLevel="0" collapsed="false">
      <c r="A3" s="6" t="s">
        <v>16</v>
      </c>
      <c r="B3" s="6" t="s">
        <v>972</v>
      </c>
      <c r="C3" s="6" t="s">
        <v>973</v>
      </c>
      <c r="D3" s="6" t="s">
        <v>974</v>
      </c>
      <c r="E3" s="6" t="s">
        <v>975</v>
      </c>
      <c r="F3" s="6" t="s">
        <v>976</v>
      </c>
      <c r="G3" s="6" t="s">
        <v>22</v>
      </c>
      <c r="H3" s="6" t="s">
        <v>23</v>
      </c>
    </row>
    <row r="4" customFormat="false" ht="17.15" hidden="false" customHeight="false" outlineLevel="0" collapsed="false">
      <c r="A4" s="1" t="s">
        <v>977</v>
      </c>
    </row>
    <row r="5" customFormat="false" ht="17.15" hidden="false" customHeight="false" outlineLevel="0" collapsed="false">
      <c r="A5" s="0" t="s">
        <v>978</v>
      </c>
      <c r="B5" s="46" t="n">
        <f aca="false">c_rev26</f>
        <v>828.285</v>
      </c>
      <c r="C5" s="46" t="n">
        <f aca="false">PL!$G$27</f>
        <v>820.713174060996</v>
      </c>
      <c r="D5" s="46" t="n">
        <f aca="false">PL!$G$97</f>
        <v>817.905975084504</v>
      </c>
      <c r="E5" s="46" t="n">
        <f aca="false">PL!$G$167</f>
        <v>817.079958748117</v>
      </c>
      <c r="F5" s="13" t="n">
        <f aca="false">D5/B5-1</f>
        <v>-0.0125307411283506</v>
      </c>
      <c r="G5" s="8" t="s">
        <v>979</v>
      </c>
      <c r="H5" s="8" t="s">
        <v>980</v>
      </c>
    </row>
    <row r="6" customFormat="false" ht="17.15" hidden="false" customHeight="false" outlineLevel="0" collapsed="false">
      <c r="A6" s="0" t="s">
        <v>981</v>
      </c>
      <c r="B6" s="46" t="n">
        <f aca="false">c_sprev26</f>
        <v>828.74</v>
      </c>
      <c r="C6" s="46" t="n">
        <f aca="false">PL!$G$27</f>
        <v>820.713174060996</v>
      </c>
      <c r="D6" s="46" t="n">
        <f aca="false">PL!$G$97</f>
        <v>817.905975084504</v>
      </c>
      <c r="E6" s="46" t="n">
        <f aca="false">PL!$G$167</f>
        <v>817.079958748117</v>
      </c>
      <c r="F6" s="13" t="n">
        <f aca="false">D6/B6-1</f>
        <v>-0.0130728876553514</v>
      </c>
      <c r="G6" s="8" t="s">
        <v>982</v>
      </c>
    </row>
    <row r="7" customFormat="false" ht="17.15" hidden="false" customHeight="false" outlineLevel="0" collapsed="false">
      <c r="A7" s="0" t="s">
        <v>983</v>
      </c>
      <c r="B7" s="46" t="n">
        <f aca="false">c_ebitda26</f>
        <v>216.957</v>
      </c>
      <c r="C7" s="46" t="n">
        <f aca="false">PL!$G$66</f>
        <v>166.306832695314</v>
      </c>
      <c r="D7" s="46" t="n">
        <f aca="false">PL!$G$136</f>
        <v>163.534117568206</v>
      </c>
      <c r="E7" s="46" t="n">
        <f aca="false">PL!$G$206</f>
        <v>162.70810123182</v>
      </c>
      <c r="F7" s="13" t="n">
        <f aca="false">D7/B7-1</f>
        <v>-0.246237191848124</v>
      </c>
      <c r="G7" s="8" t="s">
        <v>979</v>
      </c>
      <c r="H7" s="5" t="s">
        <v>984</v>
      </c>
    </row>
    <row r="8" customFormat="false" ht="17.15" hidden="false" customHeight="false" outlineLevel="0" collapsed="false">
      <c r="A8" s="0" t="s">
        <v>985</v>
      </c>
      <c r="B8" s="46" t="n">
        <f aca="false">c_ebit26</f>
        <v>109.867</v>
      </c>
      <c r="C8" s="46" t="n">
        <f aca="false">PL!$G$47</f>
        <v>110.450971825837</v>
      </c>
      <c r="D8" s="46" t="n">
        <f aca="false">PL!$G$117</f>
        <v>107.678256698729</v>
      </c>
      <c r="E8" s="46" t="n">
        <f aca="false">PL!$G$187</f>
        <v>106.852240362343</v>
      </c>
      <c r="F8" s="13" t="n">
        <f aca="false">D8/B8-1</f>
        <v>-0.0199217535863414</v>
      </c>
      <c r="G8" s="8" t="s">
        <v>979</v>
      </c>
    </row>
    <row r="9" customFormat="false" ht="17.15" hidden="false" customHeight="false" outlineLevel="0" collapsed="false">
      <c r="A9" s="0" t="s">
        <v>986</v>
      </c>
      <c r="B9" s="46" t="n">
        <f aca="false">c_ni26</f>
        <v>140.133</v>
      </c>
      <c r="C9" s="46" t="n">
        <f aca="false">PL!$G$73</f>
        <v>141.230018397843</v>
      </c>
      <c r="D9" s="46" t="n">
        <f aca="false">PL!$G$143</f>
        <v>138.938603713529</v>
      </c>
      <c r="E9" s="46" t="n">
        <f aca="false">PL!$G$213</f>
        <v>138.255971031875</v>
      </c>
      <c r="F9" s="13" t="n">
        <f aca="false">D9/B9-1</f>
        <v>-0.00852330490656139</v>
      </c>
      <c r="G9" s="8" t="s">
        <v>979</v>
      </c>
      <c r="H9" s="5" t="s">
        <v>987</v>
      </c>
    </row>
    <row r="10" customFormat="false" ht="17.15" hidden="false" customHeight="false" outlineLevel="0" collapsed="false">
      <c r="A10" s="0" t="s">
        <v>988</v>
      </c>
      <c r="B10" s="30" t="n">
        <f aca="false">c_eps26</f>
        <v>12.88</v>
      </c>
      <c r="C10" s="30" t="n">
        <f aca="false">PL!$G$77</f>
        <v>12.9274623638939</v>
      </c>
      <c r="D10" s="30" t="n">
        <f aca="false">PL!$G$147</f>
        <v>12.7177181648378</v>
      </c>
      <c r="E10" s="30" t="n">
        <f aca="false">PL!$G$217</f>
        <v>12.6552335146157</v>
      </c>
      <c r="F10" s="13" t="n">
        <f aca="false">D10/B10-1</f>
        <v>-0.012599521363526</v>
      </c>
      <c r="G10" s="8" t="s">
        <v>979</v>
      </c>
    </row>
    <row r="11" customFormat="false" ht="17.15" hidden="false" customHeight="false" outlineLevel="0" collapsed="false">
      <c r="A11" s="0" t="s">
        <v>989</v>
      </c>
      <c r="B11" s="30" t="n">
        <f aca="false">c_speps26</f>
        <v>7.92</v>
      </c>
      <c r="C11" s="30" t="n">
        <f aca="false">PL!$G$78</f>
        <v>7.51939424599695</v>
      </c>
      <c r="D11" s="30" t="n">
        <f aca="false">PL!$G$148</f>
        <v>7.30965004694081</v>
      </c>
      <c r="E11" s="30" t="n">
        <f aca="false">PL!$G$218</f>
        <v>7.24716539671875</v>
      </c>
      <c r="F11" s="13" t="n">
        <f aca="false">D11/B11-1</f>
        <v>-0.0770643880125244</v>
      </c>
      <c r="G11" s="8" t="s">
        <v>990</v>
      </c>
      <c r="H11" s="5" t="s">
        <v>991</v>
      </c>
    </row>
    <row r="12" customFormat="false" ht="17.15" hidden="false" customHeight="false" outlineLevel="0" collapsed="false">
      <c r="A12" s="0" t="s">
        <v>992</v>
      </c>
      <c r="B12" s="46" t="n">
        <f aca="false">c_capex26</f>
        <v>220.5</v>
      </c>
      <c r="C12" s="46" t="n">
        <f aca="false">CF!$G$24</f>
        <v>220</v>
      </c>
      <c r="D12" s="46" t="n">
        <f aca="false">CF!$G$55</f>
        <v>220</v>
      </c>
      <c r="E12" s="46" t="n">
        <f aca="false">CF!$G$86</f>
        <v>220</v>
      </c>
      <c r="F12" s="13" t="n">
        <f aca="false">D12/B12-1</f>
        <v>-0.00226757369614516</v>
      </c>
      <c r="G12" s="8" t="s">
        <v>979</v>
      </c>
    </row>
    <row r="13" customFormat="false" ht="17.15" hidden="false" customHeight="false" outlineLevel="0" collapsed="false">
      <c r="A13" s="0" t="s">
        <v>993</v>
      </c>
      <c r="B13" s="46" t="n">
        <f aca="false">c_fcf26</f>
        <v>-34.027</v>
      </c>
      <c r="C13" s="46" t="n">
        <f aca="false">CF!$G$26</f>
        <v>-56.5232238471532</v>
      </c>
      <c r="D13" s="46" t="n">
        <f aca="false">CF!$G$57</f>
        <v>-58.9181793268317</v>
      </c>
      <c r="E13" s="46" t="n">
        <f aca="false">CF!$G$88</f>
        <v>-59.6312788151387</v>
      </c>
      <c r="G13" s="8" t="s">
        <v>979</v>
      </c>
      <c r="H13" s="5" t="s">
        <v>994</v>
      </c>
    </row>
    <row r="14" customFormat="false" ht="17.15" hidden="false" customHeight="false" outlineLevel="0" collapsed="false">
      <c r="A14" s="0" t="s">
        <v>995</v>
      </c>
      <c r="B14" s="46" t="n">
        <f aca="false">c_rev27</f>
        <v>947.853</v>
      </c>
      <c r="C14" s="46" t="n">
        <f aca="false">PL!$H$27</f>
        <v>965.197840607213</v>
      </c>
      <c r="D14" s="46" t="n">
        <f aca="false">PL!$H$97</f>
        <v>942.279857350364</v>
      </c>
      <c r="E14" s="46" t="n">
        <f aca="false">PL!$H$167</f>
        <v>935.536256798453</v>
      </c>
      <c r="F14" s="13" t="n">
        <f aca="false">D14/B14-1</f>
        <v>-0.00587975419145803</v>
      </c>
      <c r="G14" s="8" t="s">
        <v>979</v>
      </c>
      <c r="H14" s="8" t="s">
        <v>980</v>
      </c>
    </row>
    <row r="15" customFormat="false" ht="17.15" hidden="false" customHeight="false" outlineLevel="0" collapsed="false">
      <c r="A15" s="0" t="s">
        <v>996</v>
      </c>
      <c r="B15" s="46" t="n">
        <f aca="false">c_sprev27</f>
        <v>949.92</v>
      </c>
      <c r="C15" s="46" t="n">
        <f aca="false">PL!$H$27</f>
        <v>965.197840607213</v>
      </c>
      <c r="D15" s="46" t="n">
        <f aca="false">PL!$H$97</f>
        <v>942.279857350364</v>
      </c>
      <c r="E15" s="46" t="n">
        <f aca="false">PL!$H$167</f>
        <v>935.536256798453</v>
      </c>
      <c r="F15" s="13" t="n">
        <f aca="false">D15/B15-1</f>
        <v>-0.00804293272026713</v>
      </c>
      <c r="G15" s="8" t="s">
        <v>982</v>
      </c>
    </row>
    <row r="16" customFormat="false" ht="17.15" hidden="false" customHeight="false" outlineLevel="0" collapsed="false">
      <c r="A16" s="0" t="s">
        <v>997</v>
      </c>
      <c r="B16" s="46" t="n">
        <f aca="false">c_ebitda27</f>
        <v>273.452</v>
      </c>
      <c r="C16" s="46" t="n">
        <f aca="false">PL!$H$66</f>
        <v>233.717113077792</v>
      </c>
      <c r="D16" s="46" t="n">
        <f aca="false">PL!$H$136</f>
        <v>211.077280189882</v>
      </c>
      <c r="E16" s="46" t="n">
        <f aca="false">PL!$H$206</f>
        <v>204.33367963797</v>
      </c>
      <c r="F16" s="13" t="n">
        <f aca="false">D16/B16-1</f>
        <v>-0.228101165140933</v>
      </c>
      <c r="G16" s="8" t="s">
        <v>979</v>
      </c>
      <c r="H16" s="5" t="s">
        <v>984</v>
      </c>
    </row>
    <row r="17" customFormat="false" ht="17.15" hidden="false" customHeight="false" outlineLevel="0" collapsed="false">
      <c r="A17" s="0" t="s">
        <v>998</v>
      </c>
      <c r="B17" s="46" t="n">
        <f aca="false">c_ebit27</f>
        <v>140.372</v>
      </c>
      <c r="C17" s="46" t="n">
        <f aca="false">PL!$H$47</f>
        <v>152.155289758177</v>
      </c>
      <c r="D17" s="46" t="n">
        <f aca="false">PL!$H$117</f>
        <v>129.515456870266</v>
      </c>
      <c r="E17" s="46" t="n">
        <f aca="false">PL!$H$187</f>
        <v>122.771856318355</v>
      </c>
      <c r="F17" s="13" t="n">
        <f aca="false">D17/B17-1</f>
        <v>-0.0773412299442458</v>
      </c>
      <c r="G17" s="8" t="s">
        <v>979</v>
      </c>
    </row>
    <row r="18" customFormat="false" ht="17.15" hidden="false" customHeight="false" outlineLevel="0" collapsed="false">
      <c r="A18" s="0" t="s">
        <v>999</v>
      </c>
      <c r="B18" s="46" t="n">
        <f aca="false">c_ni27</f>
        <v>115.541</v>
      </c>
      <c r="C18" s="46" t="n">
        <f aca="false">PL!$H$73</f>
        <v>123.092928694359</v>
      </c>
      <c r="D18" s="46" t="n">
        <f aca="false">PL!$H$143</f>
        <v>104.29965948309</v>
      </c>
      <c r="E18" s="46" t="n">
        <f aca="false">PL!$H$213</f>
        <v>98.7018228515433</v>
      </c>
      <c r="F18" s="13" t="n">
        <f aca="false">D18/B18-1</f>
        <v>-0.0972930865832078</v>
      </c>
      <c r="G18" s="8" t="s">
        <v>979</v>
      </c>
      <c r="H18" s="5" t="s">
        <v>987</v>
      </c>
    </row>
    <row r="19" customFormat="false" ht="17.15" hidden="false" customHeight="false" outlineLevel="0" collapsed="false">
      <c r="A19" s="0" t="s">
        <v>1000</v>
      </c>
      <c r="B19" s="30" t="n">
        <f aca="false">c_eps27</f>
        <v>10.51</v>
      </c>
      <c r="C19" s="30" t="n">
        <f aca="false">PL!$H$77</f>
        <v>11.1778644571673</v>
      </c>
      <c r="D19" s="30" t="n">
        <f aca="false">PL!$H$147</f>
        <v>9.47127888658407</v>
      </c>
      <c r="E19" s="30" t="n">
        <f aca="false">PL!$H$217</f>
        <v>8.96294863736109</v>
      </c>
      <c r="F19" s="13" t="n">
        <f aca="false">D19/B19-1</f>
        <v>-0.0988316949016108</v>
      </c>
      <c r="G19" s="8" t="s">
        <v>979</v>
      </c>
    </row>
    <row r="20" customFormat="false" ht="17.15" hidden="false" customHeight="false" outlineLevel="0" collapsed="false">
      <c r="A20" s="0" t="s">
        <v>1001</v>
      </c>
      <c r="B20" s="30" t="n">
        <f aca="false">c_speps27</f>
        <v>10.43</v>
      </c>
      <c r="C20" s="30" t="n">
        <f aca="false">PL!$H$78</f>
        <v>11.1778644571673</v>
      </c>
      <c r="D20" s="30" t="n">
        <f aca="false">PL!$H$148</f>
        <v>9.47127888658407</v>
      </c>
      <c r="E20" s="30" t="n">
        <f aca="false">PL!$H$218</f>
        <v>8.96294863736109</v>
      </c>
      <c r="F20" s="13" t="n">
        <f aca="false">D20/B20-1</f>
        <v>-0.0919195698385359</v>
      </c>
      <c r="G20" s="8" t="s">
        <v>990</v>
      </c>
      <c r="H20" s="5" t="s">
        <v>991</v>
      </c>
    </row>
    <row r="21" customFormat="false" ht="17.15" hidden="false" customHeight="false" outlineLevel="0" collapsed="false">
      <c r="A21" s="0" t="s">
        <v>1002</v>
      </c>
      <c r="B21" s="46" t="n">
        <f aca="false">c_capex27</f>
        <v>275.063</v>
      </c>
      <c r="C21" s="46" t="n">
        <f aca="false">CF!$H$24</f>
        <v>278.765463512648</v>
      </c>
      <c r="D21" s="46" t="n">
        <f aca="false">CF!$H$55</f>
        <v>273.372679834898</v>
      </c>
      <c r="E21" s="46" t="n">
        <f aca="false">CF!$H$86</f>
        <v>273.372679834898</v>
      </c>
      <c r="F21" s="13" t="n">
        <f aca="false">D21/B21-1</f>
        <v>-0.00614521097022069</v>
      </c>
      <c r="G21" s="8" t="s">
        <v>979</v>
      </c>
    </row>
    <row r="22" customFormat="false" ht="17.15" hidden="false" customHeight="false" outlineLevel="0" collapsed="false">
      <c r="A22" s="0" t="s">
        <v>1003</v>
      </c>
      <c r="B22" s="46" t="n">
        <f aca="false">c_fcf27</f>
        <v>-5.631</v>
      </c>
      <c r="C22" s="46" t="n">
        <f aca="false">CF!$H$26</f>
        <v>-40.1103308567079</v>
      </c>
      <c r="D22" s="46" t="n">
        <f aca="false">CF!$H$57</f>
        <v>-54.3561238424036</v>
      </c>
      <c r="E22" s="46" t="n">
        <f aca="false">CF!$H$88</f>
        <v>-60.2026916008185</v>
      </c>
      <c r="G22" s="8" t="s">
        <v>979</v>
      </c>
      <c r="H22" s="5" t="s">
        <v>994</v>
      </c>
    </row>
    <row r="23" customFormat="false" ht="17.15" hidden="false" customHeight="false" outlineLevel="0" collapsed="false">
      <c r="A23" s="0" t="s">
        <v>1004</v>
      </c>
      <c r="B23" s="46" t="n">
        <f aca="false">c_rev28</f>
        <v>1097.389</v>
      </c>
      <c r="C23" s="46" t="n">
        <f aca="false">PL!$I$27</f>
        <v>1115.37544263598</v>
      </c>
      <c r="D23" s="46" t="n">
        <f aca="false">PL!$I$97</f>
        <v>1068.80284981042</v>
      </c>
      <c r="E23" s="46" t="n">
        <f aca="false">PL!$I$167</f>
        <v>1055.09889692929</v>
      </c>
      <c r="F23" s="13" t="n">
        <f aca="false">D23/B23-1</f>
        <v>-0.0260492406881963</v>
      </c>
      <c r="G23" s="8" t="s">
        <v>979</v>
      </c>
      <c r="H23" s="8" t="s">
        <v>980</v>
      </c>
    </row>
    <row r="24" customFormat="false" ht="17.15" hidden="false" customHeight="false" outlineLevel="0" collapsed="false">
      <c r="A24" s="0" t="s">
        <v>1005</v>
      </c>
      <c r="B24" s="46" t="n">
        <f aca="false">c_ebitda28</f>
        <v>355.29</v>
      </c>
      <c r="C24" s="46" t="n">
        <f aca="false">PL!$I$66</f>
        <v>310.114240592329</v>
      </c>
      <c r="D24" s="46" t="n">
        <f aca="false">PL!$I$136</f>
        <v>264.10159582283</v>
      </c>
      <c r="E24" s="46" t="n">
        <f aca="false">PL!$I$206</f>
        <v>250.397642941699</v>
      </c>
      <c r="F24" s="13" t="n">
        <f aca="false">D24/B24-1</f>
        <v>-0.256659078997918</v>
      </c>
      <c r="G24" s="8" t="s">
        <v>979</v>
      </c>
      <c r="H24" s="5" t="s">
        <v>984</v>
      </c>
    </row>
    <row r="25" customFormat="false" ht="17.15" hidden="false" customHeight="false" outlineLevel="0" collapsed="false">
      <c r="A25" s="0" t="s">
        <v>1006</v>
      </c>
      <c r="B25" s="46" t="n">
        <f aca="false">c_ebit28</f>
        <v>182.749</v>
      </c>
      <c r="C25" s="46" t="n">
        <f aca="false">PL!$I$47</f>
        <v>190.6051296225</v>
      </c>
      <c r="D25" s="46" t="n">
        <f aca="false">PL!$I$117</f>
        <v>145.345387082626</v>
      </c>
      <c r="E25" s="46" t="n">
        <f aca="false">PL!$I$187</f>
        <v>131.641434201495</v>
      </c>
      <c r="F25" s="13" t="n">
        <f aca="false">D25/B25-1</f>
        <v>-0.204672052472924</v>
      </c>
      <c r="G25" s="8" t="s">
        <v>979</v>
      </c>
    </row>
    <row r="26" customFormat="false" ht="17.15" hidden="false" customHeight="false" outlineLevel="0" collapsed="false">
      <c r="A26" s="0" t="s">
        <v>1007</v>
      </c>
      <c r="B26" s="46" t="n">
        <f aca="false">c_ni28</f>
        <v>147.701</v>
      </c>
      <c r="C26" s="46" t="n">
        <f aca="false">PL!$I$73</f>
        <v>153.472354661954</v>
      </c>
      <c r="D26" s="46" t="n">
        <f aca="false">PL!$I$143</f>
        <v>115.373462770871</v>
      </c>
      <c r="E26" s="46" t="n">
        <f aca="false">PL!$I$213</f>
        <v>103.705154097981</v>
      </c>
      <c r="F26" s="13" t="n">
        <f aca="false">D26/B26-1</f>
        <v>-0.218871485156692</v>
      </c>
      <c r="G26" s="8" t="s">
        <v>979</v>
      </c>
      <c r="H26" s="5" t="s">
        <v>987</v>
      </c>
    </row>
    <row r="27" customFormat="false" ht="17.15" hidden="false" customHeight="false" outlineLevel="0" collapsed="false">
      <c r="A27" s="0" t="s">
        <v>1008</v>
      </c>
      <c r="B27" s="30" t="n">
        <f aca="false">c_eps28</f>
        <v>13.81</v>
      </c>
      <c r="C27" s="30" t="n">
        <f aca="false">PL!$I$77</f>
        <v>13.8259619879103</v>
      </c>
      <c r="D27" s="30" t="n">
        <f aca="false">PL!$I$147</f>
        <v>10.3937227925981</v>
      </c>
      <c r="E27" s="30" t="n">
        <f aca="false">PL!$I$217</f>
        <v>9.34255242038401</v>
      </c>
      <c r="F27" s="13" t="n">
        <f aca="false">D27/B27-1</f>
        <v>-0.247377060637356</v>
      </c>
      <c r="G27" s="8" t="s">
        <v>979</v>
      </c>
    </row>
    <row r="28" customFormat="false" ht="17.15" hidden="false" customHeight="false" outlineLevel="0" collapsed="false">
      <c r="A28" s="0" t="s">
        <v>1009</v>
      </c>
      <c r="B28" s="46" t="n">
        <f aca="false">c_capex28</f>
        <v>292.927</v>
      </c>
      <c r="C28" s="46" t="n">
        <f aca="false">CF!$I$24</f>
        <v>292.539583072925</v>
      </c>
      <c r="D28" s="46" t="n">
        <f aca="false">CF!$I$55</f>
        <v>286.981812228425</v>
      </c>
      <c r="E28" s="46" t="n">
        <f aca="false">CF!$I$86</f>
        <v>286.981812228425</v>
      </c>
      <c r="F28" s="13" t="n">
        <f aca="false">D28/B28-1</f>
        <v>-0.0202957998804311</v>
      </c>
      <c r="G28" s="8" t="s">
        <v>979</v>
      </c>
    </row>
    <row r="29" customFormat="false" ht="17.15" hidden="false" customHeight="false" outlineLevel="0" collapsed="false">
      <c r="A29" s="0" t="s">
        <v>1010</v>
      </c>
      <c r="B29" s="46" t="n">
        <f aca="false">c_fcf28</f>
        <v>41.402</v>
      </c>
      <c r="C29" s="46" t="n">
        <f aca="false">CF!$I$26</f>
        <v>19.9814175287687</v>
      </c>
      <c r="D29" s="46" t="n">
        <f aca="false">CF!$I$57</f>
        <v>-15.0303903946055</v>
      </c>
      <c r="E29" s="46" t="n">
        <f aca="false">CF!$I$88</f>
        <v>-27.2041559990619</v>
      </c>
      <c r="G29" s="8" t="s">
        <v>979</v>
      </c>
      <c r="H29" s="5" t="s">
        <v>994</v>
      </c>
    </row>
    <row r="30" customFormat="false" ht="17.15" hidden="false" customHeight="false" outlineLevel="0" collapsed="false">
      <c r="A30" s="1" t="s">
        <v>1011</v>
      </c>
    </row>
    <row r="31" customFormat="false" ht="15" hidden="false" customHeight="false" outlineLevel="0" collapsed="false">
      <c r="A31" s="0" t="s">
        <v>1012</v>
      </c>
      <c r="B31" s="53" t="s">
        <v>1013</v>
      </c>
      <c r="C31" s="46" t="n">
        <f aca="false">PL!$G$22</f>
        <v>470.959773480586</v>
      </c>
      <c r="D31" s="46" t="n">
        <f aca="false">PL!$G$92</f>
        <v>470.959773480586</v>
      </c>
      <c r="E31" s="46" t="n">
        <f aca="false">PL!$G$162</f>
        <v>470.959773480586</v>
      </c>
      <c r="G31" s="5" t="s">
        <v>1014</v>
      </c>
    </row>
    <row r="32" customFormat="false" ht="15" hidden="false" customHeight="false" outlineLevel="0" collapsed="false">
      <c r="A32" s="0" t="s">
        <v>1015</v>
      </c>
      <c r="B32" s="53" t="s">
        <v>1013</v>
      </c>
      <c r="C32" s="46" t="n">
        <f aca="false">PL!$H$22</f>
        <v>521.386990416437</v>
      </c>
      <c r="D32" s="46" t="n">
        <f aca="false">PL!$H$92</f>
        <v>521.386990416437</v>
      </c>
      <c r="E32" s="46" t="n">
        <f aca="false">PL!$H$162</f>
        <v>521.386990416437</v>
      </c>
      <c r="G32" s="5" t="s">
        <v>1014</v>
      </c>
    </row>
    <row r="33" customFormat="false" ht="15" hidden="false" customHeight="false" outlineLevel="0" collapsed="false">
      <c r="A33" s="0" t="s">
        <v>1016</v>
      </c>
      <c r="B33" s="53" t="s">
        <v>1013</v>
      </c>
      <c r="C33" s="46" t="n">
        <f aca="false">PL!$G$23</f>
        <v>180.394468164951</v>
      </c>
      <c r="D33" s="46" t="n">
        <f aca="false">PL!$G$93</f>
        <v>180.394468164951</v>
      </c>
      <c r="E33" s="46" t="n">
        <f aca="false">PL!$G$163</f>
        <v>180.394468164951</v>
      </c>
      <c r="G33" s="5" t="s">
        <v>1014</v>
      </c>
    </row>
    <row r="34" customFormat="false" ht="15" hidden="false" customHeight="false" outlineLevel="0" collapsed="false">
      <c r="A34" s="0" t="s">
        <v>1017</v>
      </c>
      <c r="B34" s="53" t="s">
        <v>1013</v>
      </c>
      <c r="C34" s="46" t="n">
        <f aca="false">PL!$H$23</f>
        <v>199.709899104949</v>
      </c>
      <c r="D34" s="46" t="n">
        <f aca="false">PL!$H$93</f>
        <v>199.709899104949</v>
      </c>
      <c r="E34" s="46" t="n">
        <f aca="false">PL!$H$163</f>
        <v>199.709899104949</v>
      </c>
      <c r="G34" s="5" t="s">
        <v>1014</v>
      </c>
    </row>
    <row r="35" customFormat="false" ht="15" hidden="false" customHeight="false" outlineLevel="0" collapsed="false">
      <c r="A35" s="0" t="s">
        <v>1018</v>
      </c>
      <c r="B35" s="53" t="s">
        <v>1013</v>
      </c>
      <c r="C35" s="46" t="n">
        <f aca="false">PL!$G$24</f>
        <v>169.358932415459</v>
      </c>
      <c r="D35" s="46" t="n">
        <f aca="false">PL!$G$94</f>
        <v>166.551733438967</v>
      </c>
      <c r="E35" s="46" t="n">
        <f aca="false">PL!$G$164</f>
        <v>165.72571710258</v>
      </c>
      <c r="G35" s="5" t="s">
        <v>1014</v>
      </c>
    </row>
    <row r="36" customFormat="false" ht="15" hidden="false" customHeight="false" outlineLevel="0" collapsed="false">
      <c r="A36" s="0" t="s">
        <v>1019</v>
      </c>
      <c r="B36" s="53" t="s">
        <v>1013</v>
      </c>
      <c r="C36" s="46" t="n">
        <f aca="false">PL!$H$24</f>
        <v>244.100951085827</v>
      </c>
      <c r="D36" s="46" t="n">
        <f aca="false">PL!$H$94</f>
        <v>221.182967828978</v>
      </c>
      <c r="E36" s="46" t="n">
        <f aca="false">PL!$H$164</f>
        <v>214.439367277066</v>
      </c>
      <c r="G36" s="5" t="s">
        <v>1014</v>
      </c>
    </row>
    <row r="37" customFormat="false" ht="15" hidden="false" customHeight="false" outlineLevel="0" collapsed="false">
      <c r="A37" s="0" t="s">
        <v>1020</v>
      </c>
      <c r="B37" s="53" t="s">
        <v>1013</v>
      </c>
      <c r="C37" s="46" t="n">
        <f aca="false">PL!$G$18</f>
        <v>83.2092219944148</v>
      </c>
      <c r="D37" s="46" t="n">
        <f aca="false">PL!$G$88</f>
        <v>83.2092219944148</v>
      </c>
      <c r="E37" s="46" t="n">
        <f aca="false">PL!$G$158</f>
        <v>83.2092219944148</v>
      </c>
      <c r="G37" s="5" t="s">
        <v>1014</v>
      </c>
    </row>
    <row r="38" customFormat="false" ht="15" hidden="false" customHeight="false" outlineLevel="0" collapsed="false">
      <c r="A38" s="0" t="s">
        <v>1021</v>
      </c>
      <c r="B38" s="53" t="s">
        <v>1013</v>
      </c>
      <c r="C38" s="46" t="n">
        <f aca="false">PL!$H$18</f>
        <v>99.8969223878976</v>
      </c>
      <c r="D38" s="46" t="n">
        <f aca="false">PL!$H$88</f>
        <v>99.8969223878976</v>
      </c>
      <c r="E38" s="46" t="n">
        <f aca="false">PL!$H$158</f>
        <v>99.8969223878976</v>
      </c>
      <c r="G38" s="5" t="s">
        <v>1014</v>
      </c>
    </row>
    <row r="39" customFormat="false" ht="17.15" hidden="false" customHeight="false" outlineLevel="0" collapsed="false">
      <c r="A39" s="0" t="s">
        <v>1022</v>
      </c>
      <c r="B39" s="53" t="s">
        <v>1013</v>
      </c>
      <c r="C39" s="46" t="n">
        <f aca="false">PL!$G$25</f>
        <v>26.2809855967821</v>
      </c>
      <c r="D39" s="46" t="n">
        <f aca="false">PL!$G$95</f>
        <v>23.4737866202905</v>
      </c>
      <c r="E39" s="46" t="n">
        <f aca="false">PL!$G$165</f>
        <v>22.6477702839038</v>
      </c>
      <c r="G39" s="5" t="s">
        <v>1014</v>
      </c>
      <c r="H39" s="5" t="s">
        <v>1023</v>
      </c>
    </row>
    <row r="40" customFormat="false" ht="17.15" hidden="false" customHeight="false" outlineLevel="0" collapsed="false">
      <c r="A40" s="0" t="s">
        <v>1024</v>
      </c>
      <c r="B40" s="53" t="s">
        <v>1013</v>
      </c>
      <c r="C40" s="46" t="n">
        <f aca="false">PL!$H$25</f>
        <v>83.0838740066237</v>
      </c>
      <c r="D40" s="46" t="n">
        <f aca="false">PL!$H$95</f>
        <v>60.1658907497746</v>
      </c>
      <c r="E40" s="46" t="n">
        <f aca="false">PL!$H$165</f>
        <v>53.4222901978634</v>
      </c>
      <c r="G40" s="5" t="s">
        <v>1014</v>
      </c>
      <c r="H40" s="5" t="s">
        <v>1023</v>
      </c>
    </row>
    <row r="41" customFormat="false" ht="17.15" hidden="false" customHeight="false" outlineLevel="0" collapsed="false">
      <c r="A41" s="1" t="s">
        <v>1025</v>
      </c>
    </row>
    <row r="42" customFormat="false" ht="17.15" hidden="false" customHeight="false" outlineLevel="0" collapsed="false">
      <c r="A42" s="0" t="s">
        <v>1026</v>
      </c>
      <c r="B42" s="46" t="n">
        <f aca="false">capex_g26</f>
        <v>220</v>
      </c>
      <c r="C42" s="46" t="n">
        <f aca="false">CF!$G$24</f>
        <v>220</v>
      </c>
      <c r="D42" s="46" t="n">
        <f aca="false">CF!$G$55</f>
        <v>220</v>
      </c>
      <c r="E42" s="46" t="n">
        <f aca="false">CF!$G$86</f>
        <v>220</v>
      </c>
      <c r="F42" s="13" t="n">
        <f aca="false">D42/B42-1</f>
        <v>0</v>
      </c>
      <c r="G42" s="8" t="s">
        <v>1027</v>
      </c>
      <c r="H42" s="8" t="s">
        <v>1028</v>
      </c>
    </row>
    <row r="43" customFormat="false" ht="17.15" hidden="false" customHeight="false" outlineLevel="0" collapsed="false">
      <c r="A43" s="0" t="s">
        <v>1029</v>
      </c>
      <c r="B43" s="46" t="n">
        <f aca="false">(g26q3_lo+g26q3_hi)/2</f>
        <v>199.5</v>
      </c>
      <c r="C43" s="46" t="n">
        <f aca="false">PL!$F$27*Q!$J$8/Q!$O$8</f>
        <v>200.785132274766</v>
      </c>
      <c r="D43" s="46" t="n">
        <f aca="false">PL!$F$97*Q!$J$8/Q!$O$8</f>
        <v>199.5</v>
      </c>
      <c r="E43" s="46" t="n">
        <f aca="false">PL!$F$167*Q!$J$8/Q!$O$8</f>
        <v>199.121850726556</v>
      </c>
      <c r="F43" s="13" t="n">
        <f aca="false">D43/B43-1</f>
        <v>0</v>
      </c>
      <c r="G43" s="8" t="s">
        <v>1030</v>
      </c>
      <c r="H43" s="5" t="s">
        <v>1031</v>
      </c>
    </row>
    <row r="44" customFormat="false" ht="17.15" hidden="false" customHeight="false" outlineLevel="0" collapsed="false">
      <c r="A44" s="0" t="s">
        <v>1032</v>
      </c>
      <c r="B44" s="46" t="n">
        <f aca="false">(g26q3_oilo+g26q3_oihi)/2</f>
        <v>24.5</v>
      </c>
      <c r="C44" s="46" t="n">
        <f aca="false">PL!$F$47*Q!$J$25/Q!$O$25</f>
        <v>24.3001425776489</v>
      </c>
      <c r="D44" s="46" t="n">
        <f aca="false">PL!$F$117*Q!$J$25/Q!$O$25</f>
        <v>23.1608175241224</v>
      </c>
      <c r="E44" s="46" t="n">
        <f aca="false">PL!$F$187*Q!$J$25/Q!$O$25</f>
        <v>22.8214025234731</v>
      </c>
      <c r="F44" s="13" t="n">
        <f aca="false">D44/B44-1</f>
        <v>-0.0546605092194955</v>
      </c>
      <c r="G44" s="8" t="s">
        <v>1030</v>
      </c>
      <c r="H44" s="5" t="s">
        <v>1033</v>
      </c>
    </row>
    <row r="45" customFormat="false" ht="17.15" hidden="false" customHeight="false" outlineLevel="0" collapsed="false">
      <c r="A45" s="0" t="s">
        <v>1034</v>
      </c>
      <c r="B45" s="46" t="n">
        <f aca="false">ai_rr</f>
        <v>25</v>
      </c>
      <c r="C45" s="46" t="n">
        <f aca="false">mw_open*rpm_open/1000</f>
        <v>20.1153797604382</v>
      </c>
      <c r="D45" s="46" t="n">
        <f aca="false">mw_open*rpm_open/1000</f>
        <v>20.1153797604382</v>
      </c>
      <c r="E45" s="46" t="n">
        <f aca="false">mw_open*rpm_open/1000</f>
        <v>20.1153797604382</v>
      </c>
      <c r="F45" s="13" t="n">
        <f aca="false">D45/B45-1</f>
        <v>-0.195384809582471</v>
      </c>
      <c r="G45" s="8" t="s">
        <v>1035</v>
      </c>
      <c r="H45" s="8" t="s">
        <v>1036</v>
      </c>
    </row>
    <row r="46" customFormat="false" ht="17.15" hidden="false" customHeight="false" outlineLevel="0" collapsed="false">
      <c r="A46" s="5" t="s">
        <v>1037</v>
      </c>
      <c r="C46" s="36" t="n">
        <f aca="false">ai_rr*1000/(mw_open*he_open)</f>
        <v>1.23282411092991</v>
      </c>
      <c r="D46" s="36" t="n">
        <f aca="false">ai_rr*1000/(mw_open*he_open)</f>
        <v>1.23282411092991</v>
      </c>
      <c r="E46" s="36" t="n">
        <f aca="false">ai_rr*1000/(mw_open*he_open)</f>
        <v>1.23282411092991</v>
      </c>
      <c r="H46" s="5" t="s">
        <v>1038</v>
      </c>
    </row>
    <row r="47" customFormat="false" ht="17.15" hidden="false" customHeight="false" outlineLevel="0" collapsed="false">
      <c r="A47" s="5" t="s">
        <v>1039</v>
      </c>
      <c r="C47" s="32" t="n">
        <f aca="false">ai_rr*1000/rpm_open</f>
        <v>2585.08666598831</v>
      </c>
      <c r="D47" s="32" t="n">
        <f aca="false">ai_rr*1000/rpm_open</f>
        <v>2585.08666598831</v>
      </c>
      <c r="E47" s="32" t="n">
        <f aca="false">ai_rr*1000/rpm_open</f>
        <v>2585.08666598831</v>
      </c>
      <c r="H47" s="5" t="s">
        <v>1040</v>
      </c>
    </row>
    <row r="48" customFormat="false" ht="17.15" hidden="false" customHeight="false" outlineLevel="0" collapsed="false">
      <c r="A48" s="5" t="s">
        <v>1041</v>
      </c>
      <c r="C48" s="30" t="n">
        <f aca="false">Sens!C16-Sens!C4</f>
        <v>-3.40363756632149</v>
      </c>
      <c r="D48" s="30" t="n">
        <f aca="false">Sens!C16-Sens!C4</f>
        <v>-3.40363756632149</v>
      </c>
      <c r="E48" s="30" t="n">
        <f aca="false">Sens!C16-Sens!C4</f>
        <v>-3.40363756632149</v>
      </c>
      <c r="G48" s="8" t="s">
        <v>1042</v>
      </c>
      <c r="H48" s="5" t="s">
        <v>1043</v>
      </c>
    </row>
    <row r="49" customFormat="false" ht="17.15" hidden="false" customHeight="false" outlineLevel="0" collapsed="false">
      <c r="A49" s="5" t="s">
        <v>1044</v>
      </c>
      <c r="C49" s="13" t="n">
        <f aca="false">Thesis!$I$64</f>
        <v>0.313283832077501</v>
      </c>
      <c r="D49" s="13" t="n">
        <f aca="false">Thesis!$I$127</f>
        <v>0.219285125475351</v>
      </c>
      <c r="E49" s="13" t="n">
        <f aca="false">Thesis!$I$190</f>
        <v>0.18967957363228</v>
      </c>
      <c r="G49" s="8" t="s">
        <v>1045</v>
      </c>
      <c r="H49" s="5" t="s">
        <v>221</v>
      </c>
    </row>
    <row r="50" customFormat="false" ht="17.15" hidden="false" customHeight="false" outlineLevel="0" collapsed="false">
      <c r="A50" s="1" t="s">
        <v>1046</v>
      </c>
    </row>
    <row r="51" customFormat="false" ht="17.15" hidden="false" customHeight="false" outlineLevel="0" collapsed="false">
      <c r="A51" s="0" t="s">
        <v>1047</v>
      </c>
      <c r="B51" s="30" t="n">
        <f aca="false">v022_tp2</f>
        <v>220.09</v>
      </c>
      <c r="G51" s="8" t="s">
        <v>497</v>
      </c>
      <c r="H51" s="5" t="s">
        <v>1048</v>
      </c>
    </row>
    <row r="52" customFormat="false" ht="17.15" hidden="false" customHeight="false" outlineLevel="0" collapsed="false">
      <c r="A52" s="0" t="s">
        <v>1049</v>
      </c>
      <c r="B52" s="30" t="n">
        <f aca="false">Val!B19</f>
        <v>215.578882385843</v>
      </c>
      <c r="G52" s="8" t="s">
        <v>1050</v>
      </c>
    </row>
    <row r="53" customFormat="false" ht="15" hidden="false" customHeight="false" outlineLevel="0" collapsed="false">
      <c r="A53" s="5" t="s">
        <v>1051</v>
      </c>
      <c r="B53" s="30" t="n">
        <f aca="false">B52-B51</f>
        <v>-4.51111761415672</v>
      </c>
    </row>
    <row r="54" customFormat="false" ht="17.15" hidden="false" customHeight="false" outlineLevel="0" collapsed="false">
      <c r="A54" s="5" t="s">
        <v>1052</v>
      </c>
      <c r="B54" s="30" t="n">
        <f aca="false">Val!$C$179-Val!$C$180</f>
        <v>-6.61677043457434</v>
      </c>
      <c r="H54" s="5" t="s">
        <v>1053</v>
      </c>
    </row>
    <row r="55" customFormat="false" ht="17.15" hidden="false" customHeight="false" outlineLevel="0" collapsed="false">
      <c r="A55" s="5" t="s">
        <v>1054</v>
      </c>
      <c r="B55" s="30" t="n">
        <f aca="false">Val!B19-Val!$C$179</f>
        <v>11.4022071670993</v>
      </c>
      <c r="H55" s="5" t="s">
        <v>1053</v>
      </c>
    </row>
    <row r="56" customFormat="false" ht="17.15" hidden="false" customHeight="false" outlineLevel="0" collapsed="false">
      <c r="A56" s="5" t="s">
        <v>1055</v>
      </c>
      <c r="B56" s="30" t="n">
        <f aca="false">B53-B54-B55</f>
        <v>-9.29655434668169</v>
      </c>
      <c r="H56" s="5" t="s">
        <v>1056</v>
      </c>
    </row>
    <row r="57" customFormat="false" ht="17.15" hidden="false" customHeight="false" outlineLevel="0" collapsed="false">
      <c r="A57" s="5" t="s">
        <v>1057</v>
      </c>
      <c r="B57" s="30" t="n">
        <f aca="false">Val!B19-Val!B33</f>
        <v>21.3147582731494</v>
      </c>
      <c r="G57" s="8" t="s">
        <v>1050</v>
      </c>
      <c r="H57" s="8" t="s">
        <v>1058</v>
      </c>
    </row>
    <row r="58" customFormat="false" ht="17.15" hidden="false" customHeight="false" outlineLevel="0" collapsed="false">
      <c r="A58" s="5" t="s">
        <v>1059</v>
      </c>
      <c r="B58" s="30" t="n">
        <f aca="false">v022_tp2-v022_tp</f>
        <v>18.38</v>
      </c>
      <c r="G58" s="8" t="s">
        <v>497</v>
      </c>
    </row>
    <row r="59" customFormat="false" ht="17.15" hidden="false" customHeight="false" outlineLevel="0" collapsed="false">
      <c r="A59" s="0" t="s">
        <v>1060</v>
      </c>
      <c r="B59" s="13" t="n">
        <f aca="false">v022_tp2/v022_px-1</f>
        <v>-0.15323945829486</v>
      </c>
      <c r="H59" s="8" t="s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6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7" min="3" style="0" width="14"/>
  </cols>
  <sheetData>
    <row r="1" customFormat="false" ht="17.15" hidden="false" customHeight="false" outlineLevel="0" collapsed="false">
      <c r="A1" s="0" t="s">
        <v>1062</v>
      </c>
    </row>
    <row r="3" customFormat="false" ht="17.15" hidden="false" customHeight="false" outlineLevel="0" collapsed="false">
      <c r="A3" s="6" t="s">
        <v>1063</v>
      </c>
      <c r="B3" s="6" t="s">
        <v>1064</v>
      </c>
      <c r="C3" s="6" t="s">
        <v>1065</v>
      </c>
      <c r="D3" s="6" t="s">
        <v>1066</v>
      </c>
      <c r="E3" s="20" t="s">
        <v>1067</v>
      </c>
      <c r="F3" s="20" t="s">
        <v>842</v>
      </c>
      <c r="G3" s="6" t="s">
        <v>1068</v>
      </c>
      <c r="H3" s="6" t="s">
        <v>1069</v>
      </c>
    </row>
    <row r="4" customFormat="false" ht="17.15" hidden="false" customHeight="false" outlineLevel="0" collapsed="false">
      <c r="A4" s="5" t="s">
        <v>1070</v>
      </c>
      <c r="B4" s="5" t="s">
        <v>1071</v>
      </c>
      <c r="C4" s="30" t="n">
        <f aca="false">Val!$C$179</f>
        <v>204.176675218744</v>
      </c>
      <c r="D4" s="54" t="n">
        <f aca="false">C4/C$4-1</f>
        <v>0</v>
      </c>
      <c r="E4" s="13" t="n">
        <f aca="false">PL!$I$123</f>
        <v>0.34117504540738</v>
      </c>
      <c r="F4" s="30" t="n">
        <f aca="false">PL!$I$146</f>
        <v>12.298289435537</v>
      </c>
      <c r="G4" s="46" t="n">
        <f aca="false">CF!$G$71</f>
        <v>19.0072988716234</v>
      </c>
      <c r="H4" s="8" t="s">
        <v>1072</v>
      </c>
    </row>
    <row r="5" customFormat="false" ht="17.15" hidden="false" customHeight="false" outlineLevel="0" collapsed="false">
      <c r="A5" s="5" t="s">
        <v>1073</v>
      </c>
      <c r="B5" s="0" t="s">
        <v>1074</v>
      </c>
      <c r="C5" s="30" t="n">
        <f aca="false">Sens!$C$547</f>
        <v>183.829838867496</v>
      </c>
      <c r="D5" s="54" t="n">
        <f aca="false">C5/C$4-1</f>
        <v>-0.0996530888234373</v>
      </c>
      <c r="E5" s="13" t="n">
        <f aca="false">Sens!$I$445</f>
        <v>0.307305807032411</v>
      </c>
      <c r="F5" s="30" t="n">
        <f aca="false">Sens!$I$468</f>
        <v>11.2471190633229</v>
      </c>
      <c r="G5" s="46" t="n">
        <f aca="false">Sens!$G$500</f>
        <v>-43.2235641042111</v>
      </c>
      <c r="H5" s="5" t="s">
        <v>1075</v>
      </c>
    </row>
    <row r="6" customFormat="false" ht="17.15" hidden="false" customHeight="false" outlineLevel="0" collapsed="false">
      <c r="A6" s="5" t="s">
        <v>1076</v>
      </c>
      <c r="B6" s="5" t="s">
        <v>1077</v>
      </c>
      <c r="C6" s="30" t="n">
        <f aca="false">Sens!$C$793</f>
        <v>268.301684830979</v>
      </c>
      <c r="D6" s="54" t="n">
        <f aca="false">C6/C$4-1</f>
        <v>0.314066283739486</v>
      </c>
      <c r="E6" s="13" t="n">
        <f aca="false">Sens!$I$691</f>
        <v>0.429142521184792</v>
      </c>
      <c r="F6" s="30" t="n">
        <f aca="false">Sens!$I$714</f>
        <v>15.5890314976343</v>
      </c>
      <c r="G6" s="46" t="n">
        <f aca="false">Sens!$G$746</f>
        <v>213.539973097251</v>
      </c>
      <c r="H6" s="5" t="s">
        <v>1075</v>
      </c>
    </row>
    <row r="7" customFormat="false" ht="17.15" hidden="false" customHeight="false" outlineLevel="0" collapsed="false">
      <c r="A7" s="5" t="s">
        <v>1078</v>
      </c>
      <c r="B7" s="0" t="s">
        <v>1079</v>
      </c>
      <c r="C7" s="30" t="n">
        <f aca="false">Sens!$C$1039</f>
        <v>210.751007771558</v>
      </c>
      <c r="D7" s="54" t="n">
        <f aca="false">C7/C$4-1</f>
        <v>0.032199234049487</v>
      </c>
      <c r="E7" s="13" t="n">
        <f aca="false">Sens!$I$937</f>
        <v>0.363796898536629</v>
      </c>
      <c r="F7" s="30" t="n">
        <f aca="false">Sens!$I$960</f>
        <v>14.2299585461095</v>
      </c>
      <c r="G7" s="46" t="n">
        <f aca="false">Sens!$G$992</f>
        <v>-266.247908094434</v>
      </c>
      <c r="H7" s="5" t="s">
        <v>1075</v>
      </c>
    </row>
    <row r="8" customFormat="false" ht="17.15" hidden="false" customHeight="false" outlineLevel="0" collapsed="false">
      <c r="A8" s="5" t="s">
        <v>1080</v>
      </c>
      <c r="B8" s="0" t="s">
        <v>1081</v>
      </c>
      <c r="C8" s="30" t="n">
        <f aca="false">Sens!$C$1285</f>
        <v>199.586373526072</v>
      </c>
      <c r="D8" s="54" t="n">
        <f aca="false">C8/C$4-1</f>
        <v>-0.0224820082301481</v>
      </c>
      <c r="E8" s="13" t="n">
        <f aca="false">Sens!$I$1183</f>
        <v>0.31855319227813</v>
      </c>
      <c r="F8" s="30" t="n">
        <f aca="false">Sens!$I$1206</f>
        <v>11.0748858240399</v>
      </c>
      <c r="G8" s="46" t="n">
        <f aca="false">Sens!$G$1238</f>
        <v>186.109553852637</v>
      </c>
      <c r="H8" s="5" t="s">
        <v>1075</v>
      </c>
    </row>
    <row r="9" customFormat="false" ht="17.15" hidden="false" customHeight="false" outlineLevel="0" collapsed="false">
      <c r="A9" s="0" t="s">
        <v>1082</v>
      </c>
      <c r="B9" s="5" t="s">
        <v>1083</v>
      </c>
      <c r="C9" s="30" t="n">
        <f aca="false">Sens!$C$1531</f>
        <v>203.288625391608</v>
      </c>
      <c r="D9" s="54" t="n">
        <f aca="false">C9/C$4-1</f>
        <v>-0.00434941859144733</v>
      </c>
      <c r="E9" s="13" t="n">
        <f aca="false">Sens!$I$1429</f>
        <v>0.32679830973183</v>
      </c>
      <c r="F9" s="30" t="n">
        <f aca="false">Sens!$I$1452</f>
        <v>11.4445112544046</v>
      </c>
      <c r="G9" s="46" t="n">
        <f aca="false">Sens!$G$1484</f>
        <v>141.891707450027</v>
      </c>
      <c r="H9" s="5" t="s">
        <v>1075</v>
      </c>
    </row>
    <row r="10" customFormat="false" ht="17.15" hidden="false" customHeight="false" outlineLevel="0" collapsed="false">
      <c r="A10" s="0" t="s">
        <v>1084</v>
      </c>
      <c r="B10" s="0" t="s">
        <v>1085</v>
      </c>
      <c r="C10" s="30" t="n">
        <f aca="false">Sens!$C$1777</f>
        <v>205.064723138515</v>
      </c>
      <c r="D10" s="54" t="n">
        <f aca="false">C10/C$4-1</f>
        <v>0.00434940924970562</v>
      </c>
      <c r="E10" s="13" t="n">
        <f aca="false">Sens!$I$1675</f>
        <v>0.353605642671068</v>
      </c>
      <c r="F10" s="30" t="n">
        <f aca="false">Sens!$I$1698</f>
        <v>13.0958546145352</v>
      </c>
      <c r="G10" s="46" t="n">
        <f aca="false">Sens!$G$1730</f>
        <v>-106.79534516066</v>
      </c>
      <c r="H10" s="5" t="s">
        <v>1075</v>
      </c>
    </row>
    <row r="11" customFormat="false" ht="17.15" hidden="false" customHeight="false" outlineLevel="0" collapsed="false">
      <c r="A11" s="0" t="s">
        <v>1086</v>
      </c>
      <c r="B11" s="0" t="s">
        <v>1087</v>
      </c>
      <c r="C11" s="30" t="n">
        <f aca="false">Sens!$C$2023</f>
        <v>187.941641824215</v>
      </c>
      <c r="D11" s="54" t="n">
        <f aca="false">C11/C$4-1</f>
        <v>-0.0795146329870233</v>
      </c>
      <c r="E11" s="13" t="n">
        <f aca="false">Sens!$I$1921</f>
        <v>0.313081109061601</v>
      </c>
      <c r="F11" s="30" t="n">
        <f aca="false">Sens!$I$1944</f>
        <v>11.5896497869036</v>
      </c>
      <c r="G11" s="46" t="n">
        <f aca="false">Sens!$G$1976</f>
        <v>-13.8888081544625</v>
      </c>
      <c r="H11" s="5" t="s">
        <v>1075</v>
      </c>
    </row>
    <row r="12" customFormat="false" ht="17.15" hidden="false" customHeight="false" outlineLevel="0" collapsed="false">
      <c r="A12" s="0" t="s">
        <v>1088</v>
      </c>
      <c r="B12" s="0" t="s">
        <v>1089</v>
      </c>
      <c r="C12" s="30" t="n">
        <f aca="false">Sens!$C$2269</f>
        <v>215.088262163985</v>
      </c>
      <c r="D12" s="54" t="n">
        <f aca="false">C12/C$4-1</f>
        <v>0.0534418876864891</v>
      </c>
      <c r="E12" s="13" t="n">
        <f aca="false">Sens!$I$2167</f>
        <v>0.361242142797222</v>
      </c>
      <c r="F12" s="30" t="n">
        <f aca="false">Sens!$I$2190</f>
        <v>12.8044606131323</v>
      </c>
      <c r="G12" s="46" t="n">
        <f aca="false">Sens!$G$2222</f>
        <v>19.0256661486273</v>
      </c>
      <c r="H12" s="5" t="s">
        <v>1075</v>
      </c>
    </row>
    <row r="13" customFormat="false" ht="17.15" hidden="false" customHeight="false" outlineLevel="0" collapsed="false">
      <c r="A13" s="5" t="s">
        <v>1090</v>
      </c>
      <c r="B13" s="0" t="s">
        <v>1091</v>
      </c>
      <c r="C13" s="30" t="n">
        <f aca="false">Sens!$C$2515</f>
        <v>198.293672409189</v>
      </c>
      <c r="D13" s="54" t="n">
        <f aca="false">C13/C$4-1</f>
        <v>-0.0288132951682749</v>
      </c>
      <c r="E13" s="13" t="n">
        <f aca="false">Sens!$I$2413</f>
        <v>0.324831987089785</v>
      </c>
      <c r="F13" s="30" t="n">
        <f aca="false">Sens!$I$2436</f>
        <v>11.5751604227215</v>
      </c>
      <c r="G13" s="46" t="n">
        <f aca="false">Sens!$G$2468</f>
        <v>51.2307097021498</v>
      </c>
      <c r="H13" s="5" t="s">
        <v>1075</v>
      </c>
    </row>
    <row r="14" customFormat="false" ht="17.15" hidden="false" customHeight="false" outlineLevel="0" collapsed="false">
      <c r="A14" s="5" t="s">
        <v>1092</v>
      </c>
      <c r="B14" s="0" t="s">
        <v>1093</v>
      </c>
      <c r="C14" s="30" t="n">
        <f aca="false">Sens!$C$2761</f>
        <v>182.985994357075</v>
      </c>
      <c r="D14" s="54" t="n">
        <f aca="false">C14/C$4-1</f>
        <v>-0.103786002191319</v>
      </c>
      <c r="E14" s="13" t="n">
        <f aca="false">Sens!$I$2659</f>
        <v>0.34117504540738</v>
      </c>
      <c r="F14" s="30" t="n">
        <f aca="false">Sens!$I$2682</f>
        <v>10.3937227925981</v>
      </c>
      <c r="G14" s="46" t="n">
        <f aca="false">Sens!$G$2714</f>
        <v>19.0072988716234</v>
      </c>
      <c r="H14" s="5" t="s">
        <v>1075</v>
      </c>
    </row>
    <row r="15" customFormat="false" ht="17.15" hidden="false" customHeight="false" outlineLevel="0" collapsed="false">
      <c r="A15" s="5" t="s">
        <v>1094</v>
      </c>
      <c r="B15" s="5" t="s">
        <v>1095</v>
      </c>
      <c r="C15" s="30" t="n">
        <f aca="false">Sens!$C$3007</f>
        <v>201.66678791154</v>
      </c>
      <c r="D15" s="54" t="n">
        <f aca="false">C15/C$4-1</f>
        <v>-0.0122927229788368</v>
      </c>
      <c r="E15" s="13" t="n">
        <f aca="false">Sens!$I$2905</f>
        <v>0.349577506658632</v>
      </c>
      <c r="F15" s="30" t="n">
        <f aca="false">Sens!$I$2928</f>
        <v>12.4898962052224</v>
      </c>
      <c r="G15" s="46" t="n">
        <f aca="false">Sens!$G$2960</f>
        <v>11.3978695681528</v>
      </c>
      <c r="H15" s="5" t="s">
        <v>1075</v>
      </c>
    </row>
    <row r="16" customFormat="false" ht="17.15" hidden="false" customHeight="false" outlineLevel="0" collapsed="false">
      <c r="A16" s="5" t="s">
        <v>1096</v>
      </c>
      <c r="B16" s="5" t="s">
        <v>1097</v>
      </c>
      <c r="C16" s="30" t="n">
        <f aca="false">Sens!$C$3253</f>
        <v>200.773037652423</v>
      </c>
      <c r="D16" s="54" t="n">
        <f aca="false">C16/C$4-1</f>
        <v>-0.0166700606848212</v>
      </c>
      <c r="E16" s="13" t="n">
        <f aca="false">Sens!$I$3151</f>
        <v>0.341308511211233</v>
      </c>
      <c r="F16" s="30" t="n">
        <f aca="false">Sens!$I$3174</f>
        <v>12.2144122212192</v>
      </c>
      <c r="G16" s="46" t="n">
        <f aca="false">Sens!$G$3206</f>
        <v>17.8960286080534</v>
      </c>
      <c r="H16" s="5" t="s">
        <v>1075</v>
      </c>
    </row>
    <row r="17" customFormat="false" ht="17.15" hidden="false" customHeight="false" outlineLevel="0" collapsed="false">
      <c r="A17" s="0" t="s">
        <v>1098</v>
      </c>
      <c r="B17" s="0" t="s">
        <v>1099</v>
      </c>
      <c r="C17" s="30" t="n">
        <f aca="false">Sens!$C$3499</f>
        <v>200.271774496401</v>
      </c>
      <c r="D17" s="54" t="n">
        <f aca="false">C17/C$4-1</f>
        <v>-0.0191251068133007</v>
      </c>
      <c r="E17" s="13" t="n">
        <f aca="false">Sens!$I$3397</f>
        <v>0.340909770620288</v>
      </c>
      <c r="F17" s="30" t="n">
        <f aca="false">Sens!$I$3420</f>
        <v>12.2000915728836</v>
      </c>
      <c r="G17" s="46" t="n">
        <f aca="false">Sens!$G$3452</f>
        <v>10.6741024497398</v>
      </c>
      <c r="H17" s="5" t="s">
        <v>1100</v>
      </c>
    </row>
    <row r="18" customFormat="false" ht="17.15" hidden="false" customHeight="false" outlineLevel="0" collapsed="false">
      <c r="A18" s="0" t="s">
        <v>1101</v>
      </c>
      <c r="B18" s="0" t="s">
        <v>1102</v>
      </c>
      <c r="C18" s="30" t="n">
        <f aca="false">Sens!$C$3745</f>
        <v>208.36013611466</v>
      </c>
      <c r="D18" s="54" t="n">
        <f aca="false">C18/C$4-1</f>
        <v>0.0204894162931901</v>
      </c>
      <c r="E18" s="13" t="n">
        <f aca="false">Sens!$I$3643</f>
        <v>0.341435898021761</v>
      </c>
      <c r="F18" s="30" t="n">
        <f aca="false">Sens!$I$3666</f>
        <v>12.3973539953458</v>
      </c>
      <c r="G18" s="46" t="n">
        <f aca="false">Sens!$G$3698</f>
        <v>27.6227328218875</v>
      </c>
      <c r="H18" s="5" t="s">
        <v>1100</v>
      </c>
    </row>
    <row r="19" customFormat="false" ht="17.15" hidden="false" customHeight="false" outlineLevel="0" collapsed="false">
      <c r="A19" s="5" t="s">
        <v>1103</v>
      </c>
      <c r="B19" s="0" t="s">
        <v>1104</v>
      </c>
      <c r="C19" s="30" t="n">
        <f aca="false">Sens!$C$3991</f>
        <v>205.569395603181</v>
      </c>
      <c r="D19" s="54" t="n">
        <f aca="false">C19/C$4-1</f>
        <v>0.00682115321422039</v>
      </c>
      <c r="E19" s="13" t="n">
        <f aca="false">Sens!$I$3889</f>
        <v>0.34117504540738</v>
      </c>
      <c r="F19" s="30" t="n">
        <f aca="false">Sens!$I$3912</f>
        <v>12.1507315671055</v>
      </c>
      <c r="G19" s="46" t="n">
        <f aca="false">Sens!$G$3944</f>
        <v>10.901053526523</v>
      </c>
      <c r="H19" s="5" t="s">
        <v>1100</v>
      </c>
    </row>
    <row r="20" customFormat="false" ht="17.15" hidden="false" customHeight="false" outlineLevel="0" collapsed="false">
      <c r="A20" s="5" t="s">
        <v>1105</v>
      </c>
      <c r="B20" s="0" t="s">
        <v>1106</v>
      </c>
      <c r="C20" s="30" t="n">
        <f aca="false">Sens!$C$4237</f>
        <v>202.783954834307</v>
      </c>
      <c r="D20" s="54" t="n">
        <f aca="false">C20/C$4-1</f>
        <v>-0.00682115321422083</v>
      </c>
      <c r="E20" s="13" t="n">
        <f aca="false">Sens!$I$4135</f>
        <v>0.34117504540738</v>
      </c>
      <c r="F20" s="30" t="n">
        <f aca="false">Sens!$I$4158</f>
        <v>12.4458473039685</v>
      </c>
      <c r="G20" s="46" t="n">
        <f aca="false">Sens!$G$4190</f>
        <v>27.1135442167236</v>
      </c>
      <c r="H20" s="5" t="s">
        <v>1100</v>
      </c>
    </row>
    <row r="21" customFormat="false" ht="17.15" hidden="false" customHeight="false" outlineLevel="0" collapsed="false">
      <c r="A21" s="5" t="s">
        <v>1107</v>
      </c>
      <c r="B21" s="0" t="s">
        <v>1108</v>
      </c>
      <c r="C21" s="30" t="n">
        <f aca="false">Sens!$C$4483</f>
        <v>200.996088352195</v>
      </c>
      <c r="D21" s="54" t="n">
        <f aca="false">C21/C$4-1</f>
        <v>-0.0155776210144548</v>
      </c>
      <c r="E21" s="13" t="n">
        <f aca="false">Sens!$I$4381</f>
        <v>0.34117504540738</v>
      </c>
      <c r="F21" s="30" t="n">
        <f aca="false">Sens!$I$4404</f>
        <v>12.2144965011644</v>
      </c>
      <c r="G21" s="46" t="n">
        <f aca="false">Sens!$G$4436</f>
        <v>11.4183172776152</v>
      </c>
      <c r="H21" s="5" t="s">
        <v>1100</v>
      </c>
    </row>
    <row r="22" customFormat="false" ht="17.15" hidden="false" customHeight="false" outlineLevel="0" collapsed="false">
      <c r="A22" s="5" t="s">
        <v>1109</v>
      </c>
      <c r="B22" s="0" t="s">
        <v>1110</v>
      </c>
      <c r="C22" s="30" t="n">
        <f aca="false">Sens!$C$4729</f>
        <v>207.613245119011</v>
      </c>
      <c r="D22" s="54" t="n">
        <f aca="false">C22/C$4-1</f>
        <v>0.0168313540054734</v>
      </c>
      <c r="E22" s="13" t="n">
        <f aca="false">Sens!$I$4627</f>
        <v>0.34117504540738</v>
      </c>
      <c r="F22" s="30" t="n">
        <f aca="false">Sens!$I$4650</f>
        <v>12.3827792974489</v>
      </c>
      <c r="G22" s="46" t="n">
        <f aca="false">Sens!$G$4682</f>
        <v>26.8465879511451</v>
      </c>
      <c r="H22" s="5" t="s">
        <v>1100</v>
      </c>
    </row>
    <row r="23" customFormat="false" ht="17.15" hidden="false" customHeight="false" outlineLevel="0" collapsed="false">
      <c r="A23" s="5" t="s">
        <v>1111</v>
      </c>
      <c r="B23" s="0" t="s">
        <v>1112</v>
      </c>
      <c r="C23" s="30" t="n">
        <f aca="false">Sens!$C$4975</f>
        <v>199.676415896365</v>
      </c>
      <c r="D23" s="54" t="n">
        <f aca="false">C23/C$4-1</f>
        <v>-0.0220410059942341</v>
      </c>
      <c r="E23" s="13" t="n">
        <f aca="false">Sens!$I$4873</f>
        <v>0.34117504540738</v>
      </c>
      <c r="F23" s="30" t="n">
        <f aca="false">Sens!$I$4896</f>
        <v>12.0760134184382</v>
      </c>
      <c r="G23" s="46" t="n">
        <f aca="false">Sens!$G$4928</f>
        <v>5.58883673091469</v>
      </c>
      <c r="H23" s="5" t="s">
        <v>1100</v>
      </c>
    </row>
    <row r="24" customFormat="false" ht="17.15" hidden="false" customHeight="false" outlineLevel="0" collapsed="false">
      <c r="A24" s="5" t="s">
        <v>1113</v>
      </c>
      <c r="B24" s="0" t="s">
        <v>1114</v>
      </c>
      <c r="C24" s="30" t="n">
        <f aca="false">Sens!$C$5221</f>
        <v>208.676934541123</v>
      </c>
      <c r="D24" s="54" t="n">
        <f aca="false">C24/C$4-1</f>
        <v>0.0220410059942338</v>
      </c>
      <c r="E24" s="13" t="n">
        <f aca="false">Sens!$I$5119</f>
        <v>0.34117504540738</v>
      </c>
      <c r="F24" s="30" t="n">
        <f aca="false">Sens!$I$5142</f>
        <v>12.5205654526358</v>
      </c>
      <c r="G24" s="46" t="n">
        <f aca="false">Sens!$G$5174</f>
        <v>32.425761012332</v>
      </c>
      <c r="H24" s="5" t="s">
        <v>1100</v>
      </c>
    </row>
    <row r="25" customFormat="false" ht="15" hidden="false" customHeight="false" outlineLevel="0" collapsed="false">
      <c r="A25" s="0" t="s">
        <v>1115</v>
      </c>
      <c r="C25" s="30" t="n">
        <f aca="false">Sens!$C$5467</f>
        <v>216.78718558454</v>
      </c>
      <c r="D25" s="54" t="n">
        <f aca="false">C25/C$4-1</f>
        <v>0.061762737356192</v>
      </c>
      <c r="E25" s="13" t="n">
        <f aca="false">Sens!$I$5365</f>
        <v>0.34117504540738</v>
      </c>
      <c r="F25" s="30" t="n">
        <f aca="false">Sens!$I$5388</f>
        <v>12.298289435537</v>
      </c>
      <c r="G25" s="46" t="n">
        <f aca="false">Sens!$G$5420</f>
        <v>19.0072988716234</v>
      </c>
      <c r="H25" s="5" t="s">
        <v>1116</v>
      </c>
    </row>
    <row r="26" customFormat="false" ht="15" hidden="false" customHeight="false" outlineLevel="0" collapsed="false">
      <c r="A26" s="0" t="s">
        <v>1117</v>
      </c>
      <c r="C26" s="30" t="n">
        <f aca="false">Sens!$C$5713</f>
        <v>194.31972739167</v>
      </c>
      <c r="D26" s="54" t="n">
        <f aca="false">C26/C$4-1</f>
        <v>-0.0482765615441305</v>
      </c>
      <c r="E26" s="13" t="n">
        <f aca="false">Sens!$I$5611</f>
        <v>0.34117504540738</v>
      </c>
      <c r="F26" s="30" t="n">
        <f aca="false">Sens!$I$5634</f>
        <v>12.298289435537</v>
      </c>
      <c r="G26" s="46" t="n">
        <f aca="false">Sens!$G$5666</f>
        <v>19.0072988716234</v>
      </c>
      <c r="H26" s="5" t="s">
        <v>1116</v>
      </c>
    </row>
    <row r="27" customFormat="false" ht="17.15" hidden="false" customHeight="false" outlineLevel="0" collapsed="false">
      <c r="A27" s="5" t="s">
        <v>1118</v>
      </c>
      <c r="C27" s="30" t="n">
        <f aca="false">Sens!$C$5959</f>
        <v>203.817035097296</v>
      </c>
      <c r="D27" s="54" t="n">
        <f aca="false">C27/C$4-1</f>
        <v>-0.00176141628842952</v>
      </c>
      <c r="E27" s="13" t="n">
        <f aca="false">Sens!$I$5857</f>
        <v>0.34117504540738</v>
      </c>
      <c r="F27" s="30" t="n">
        <f aca="false">Sens!$I$5880</f>
        <v>12.298289435537</v>
      </c>
      <c r="G27" s="46" t="n">
        <f aca="false">Sens!$G$5912</f>
        <v>21.5970192320221</v>
      </c>
      <c r="H27" s="5" t="s">
        <v>1116</v>
      </c>
    </row>
    <row r="28" customFormat="false" ht="17.15" hidden="false" customHeight="false" outlineLevel="0" collapsed="false">
      <c r="A28" s="5" t="s">
        <v>1119</v>
      </c>
      <c r="C28" s="30" t="n">
        <f aca="false">Sens!$C$6205</f>
        <v>204.545773612336</v>
      </c>
      <c r="D28" s="54" t="n">
        <f aca="false">C28/C$4-1</f>
        <v>0.00180774024847086</v>
      </c>
      <c r="E28" s="13" t="n">
        <f aca="false">Sens!$I$6103</f>
        <v>0.34117504540738</v>
      </c>
      <c r="F28" s="30" t="n">
        <f aca="false">Sens!$I$6126</f>
        <v>12.298289435537</v>
      </c>
      <c r="G28" s="46" t="n">
        <f aca="false">Sens!$G$6158</f>
        <v>16.4175622698255</v>
      </c>
      <c r="H28" s="5" t="s">
        <v>1116</v>
      </c>
    </row>
    <row r="29" customFormat="false" ht="17.15" hidden="false" customHeight="false" outlineLevel="0" collapsed="false">
      <c r="A29" s="0" t="s">
        <v>1120</v>
      </c>
      <c r="B29" s="5" t="s">
        <v>1121</v>
      </c>
      <c r="C29" s="30" t="n">
        <f aca="false">Sens!$C$6451</f>
        <v>210.766140561949</v>
      </c>
      <c r="D29" s="54" t="n">
        <f aca="false">C29/C$4-1</f>
        <v>0.0322733502058696</v>
      </c>
      <c r="E29" s="13" t="n">
        <f aca="false">Sens!$I$6349</f>
        <v>0.34117504540738</v>
      </c>
      <c r="F29" s="30" t="n">
        <f aca="false">Sens!$I$6372</f>
        <v>12.298289435537</v>
      </c>
      <c r="G29" s="46" t="n">
        <f aca="false">Sens!$G$6404</f>
        <v>19.0072988716234</v>
      </c>
      <c r="H29" s="5" t="s">
        <v>1116</v>
      </c>
    </row>
    <row r="30" customFormat="false" ht="17.15" hidden="false" customHeight="false" outlineLevel="0" collapsed="false">
      <c r="A30" s="5" t="s">
        <v>1122</v>
      </c>
      <c r="B30" s="5" t="s">
        <v>1123</v>
      </c>
      <c r="C30" s="30" t="n">
        <f aca="false">Sens!$C$6697</f>
        <v>178.764159151097</v>
      </c>
      <c r="D30" s="54" t="n">
        <f aca="false">C30/C$4-1</f>
        <v>-0.124463365075474</v>
      </c>
      <c r="E30" s="13" t="n">
        <f aca="false">Sens!$I$6595</f>
        <v>0.34117504540738</v>
      </c>
      <c r="F30" s="30" t="n">
        <f aca="false">Sens!$I$6618</f>
        <v>12.298289435537</v>
      </c>
      <c r="G30" s="46" t="n">
        <f aca="false">Sens!$G$6650</f>
        <v>19.0072988716234</v>
      </c>
      <c r="H30" s="5" t="s">
        <v>1116</v>
      </c>
    </row>
    <row r="31" customFormat="false" ht="17.15" hidden="false" customHeight="false" outlineLevel="0" collapsed="false">
      <c r="A31" s="5" t="s">
        <v>1124</v>
      </c>
      <c r="C31" s="30" t="n">
        <f aca="false">Sens!$C$6943</f>
        <v>229.589191286391</v>
      </c>
      <c r="D31" s="54" t="n">
        <f aca="false">C31/C$4-1</f>
        <v>0.124463365075474</v>
      </c>
      <c r="E31" s="13" t="n">
        <f aca="false">Sens!$I$6841</f>
        <v>0.34117504540738</v>
      </c>
      <c r="F31" s="30" t="n">
        <f aca="false">Sens!$I$6864</f>
        <v>12.298289435537</v>
      </c>
      <c r="G31" s="46" t="n">
        <f aca="false">Sens!$G$6896</f>
        <v>19.0072988716234</v>
      </c>
      <c r="H31" s="5" t="s">
        <v>1116</v>
      </c>
    </row>
    <row r="32" customFormat="false" ht="17.15" hidden="false" customHeight="false" outlineLevel="0" collapsed="false">
      <c r="A32" s="0" t="s">
        <v>1125</v>
      </c>
      <c r="B32" s="5" t="s">
        <v>1126</v>
      </c>
      <c r="C32" s="30" t="n">
        <f aca="false">Sens!$C$7189</f>
        <v>217.98651981629</v>
      </c>
      <c r="D32" s="54" t="n">
        <f aca="false">C32/C$4-1</f>
        <v>0.0676367395186075</v>
      </c>
      <c r="E32" s="13" t="n">
        <f aca="false">Sens!$I$7087</f>
        <v>0.34117504540738</v>
      </c>
      <c r="F32" s="30" t="n">
        <f aca="false">Sens!$I$7110</f>
        <v>12.298289435537</v>
      </c>
      <c r="G32" s="46" t="n">
        <f aca="false">Sens!$G$7142</f>
        <v>19.0072988716234</v>
      </c>
      <c r="H32" s="5" t="s">
        <v>1116</v>
      </c>
    </row>
    <row r="33" customFormat="false" ht="17.15" hidden="false" customHeight="false" outlineLevel="0" collapsed="false">
      <c r="A33" s="0" t="s">
        <v>1127</v>
      </c>
      <c r="C33" s="30" t="n">
        <f aca="false">Sens!$C$7435</f>
        <v>231.525699956373</v>
      </c>
      <c r="D33" s="54" t="n">
        <f aca="false">C33/C$4-1</f>
        <v>0.133947840556856</v>
      </c>
      <c r="E33" s="13" t="n">
        <f aca="false">Sens!$I$7333</f>
        <v>0.34117504540738</v>
      </c>
      <c r="F33" s="30" t="n">
        <f aca="false">Sens!$I$7356</f>
        <v>12.298289435537</v>
      </c>
      <c r="G33" s="46" t="n">
        <f aca="false">Sens!$G$7388</f>
        <v>19.0072988716234</v>
      </c>
      <c r="H33" s="5" t="s">
        <v>1116</v>
      </c>
    </row>
    <row r="34" customFormat="false" ht="17.15" hidden="false" customHeight="false" outlineLevel="0" collapsed="false">
      <c r="A34" s="5" t="s">
        <v>1128</v>
      </c>
      <c r="B34" s="0" t="s">
        <v>1129</v>
      </c>
      <c r="C34" s="30" t="n">
        <f aca="false">Sens!$C$7681</f>
        <v>187.010927020172</v>
      </c>
      <c r="D34" s="54" t="n">
        <f aca="false">C34/C$4-1</f>
        <v>-0.0840730126503511</v>
      </c>
      <c r="E34" s="13" t="n">
        <f aca="false">Sens!$I$7579</f>
        <v>0.34117504540738</v>
      </c>
      <c r="F34" s="30" t="n">
        <f aca="false">Sens!$I$7602</f>
        <v>12.298289435537</v>
      </c>
      <c r="G34" s="46" t="n">
        <f aca="false">Sens!$G$7634</f>
        <v>19.0072988716234</v>
      </c>
      <c r="H34" s="5" t="s">
        <v>1116</v>
      </c>
    </row>
    <row r="35" customFormat="false" ht="17.15" hidden="false" customHeight="false" outlineLevel="0" collapsed="false">
      <c r="A35" s="0" t="s">
        <v>1130</v>
      </c>
      <c r="B35" s="5" t="s">
        <v>1131</v>
      </c>
      <c r="C35" s="30" t="n">
        <f aca="false">Sens!$C$7927</f>
        <v>201.950872065164</v>
      </c>
      <c r="D35" s="54" t="n">
        <f aca="false">C35/C$4-1</f>
        <v>-0.010901358596401</v>
      </c>
      <c r="E35" s="13" t="n">
        <f aca="false">Sens!$I$7825</f>
        <v>0.34117504540738</v>
      </c>
      <c r="F35" s="30" t="n">
        <f aca="false">Sens!$I$7848</f>
        <v>12.298289435537</v>
      </c>
      <c r="G35" s="46" t="n">
        <f aca="false">Sens!$G$7880</f>
        <v>19.0072988716234</v>
      </c>
      <c r="H35" s="5" t="s">
        <v>1116</v>
      </c>
    </row>
    <row r="36" customFormat="false" ht="17.15" hidden="false" customHeight="false" outlineLevel="0" collapsed="false">
      <c r="A36" s="0" t="s">
        <v>1132</v>
      </c>
      <c r="C36" s="30" t="n">
        <f aca="false">Sens!$C$8173</f>
        <v>206.402478372324</v>
      </c>
      <c r="D36" s="54" t="n">
        <f aca="false">C36/C$4-1</f>
        <v>0.0109013585964008</v>
      </c>
      <c r="E36" s="13" t="n">
        <f aca="false">Sens!$I$8071</f>
        <v>0.34117504540738</v>
      </c>
      <c r="F36" s="30" t="n">
        <f aca="false">Sens!$I$8094</f>
        <v>12.298289435537</v>
      </c>
      <c r="G36" s="46" t="n">
        <f aca="false">Sens!$G$8126</f>
        <v>19.0072988716234</v>
      </c>
      <c r="H36" s="5" t="s">
        <v>1116</v>
      </c>
    </row>
    <row r="37" customFormat="false" ht="17.15" hidden="false" customHeight="false" outlineLevel="0" collapsed="false">
      <c r="A37" s="0" t="s">
        <v>1133</v>
      </c>
      <c r="B37" s="5" t="s">
        <v>1134</v>
      </c>
      <c r="C37" s="30" t="n">
        <f aca="false">Sens!$C$8419</f>
        <v>230.643756957041</v>
      </c>
      <c r="D37" s="54" t="n">
        <f aca="false">C37/C$4-1</f>
        <v>0.129628331492527</v>
      </c>
      <c r="E37" s="13" t="n">
        <f aca="false">Sens!$I$8317</f>
        <v>0.34117504540738</v>
      </c>
      <c r="F37" s="30" t="n">
        <f aca="false">Sens!$I$8340</f>
        <v>12.298289435537</v>
      </c>
      <c r="G37" s="46" t="n">
        <f aca="false">Sens!$G$8372</f>
        <v>19.0072988716234</v>
      </c>
      <c r="H37" s="5" t="s">
        <v>1116</v>
      </c>
    </row>
    <row r="38" customFormat="false" ht="17.15" hidden="false" customHeight="false" outlineLevel="0" collapsed="false">
      <c r="A38" s="0" t="s">
        <v>1135</v>
      </c>
      <c r="C38" s="30" t="n">
        <f aca="false">Sens!$C$8665</f>
        <v>177.709593480447</v>
      </c>
      <c r="D38" s="54" t="n">
        <f aca="false">C38/C$4-1</f>
        <v>-0.129628331492527</v>
      </c>
      <c r="E38" s="13" t="n">
        <f aca="false">Sens!$I$8563</f>
        <v>0.34117504540738</v>
      </c>
      <c r="F38" s="30" t="n">
        <f aca="false">Sens!$I$8586</f>
        <v>12.298289435537</v>
      </c>
      <c r="G38" s="46" t="n">
        <f aca="false">Sens!$G$8618</f>
        <v>19.0072988716234</v>
      </c>
      <c r="H38" s="5" t="s">
        <v>1116</v>
      </c>
    </row>
    <row r="40" customFormat="false" ht="17.15" hidden="false" customHeight="false" outlineLevel="0" collapsed="false">
      <c r="A40" s="24" t="s">
        <v>1136</v>
      </c>
      <c r="B40" s="25"/>
      <c r="C40" s="55" t="n">
        <f aca="false">Sens!$C$301-C4</f>
        <v>0</v>
      </c>
      <c r="D40" s="25"/>
      <c r="E40" s="25"/>
      <c r="F40" s="25"/>
      <c r="G40" s="25"/>
      <c r="H40" s="25"/>
    </row>
    <row r="41" customFormat="false" ht="17.15" hidden="false" customHeight="false" outlineLevel="0" collapsed="false">
      <c r="A41" s="5" t="s">
        <v>1137</v>
      </c>
    </row>
    <row r="43" customFormat="false" ht="17.15" hidden="false" customHeight="false" outlineLevel="0" collapsed="false">
      <c r="A43" s="1" t="s">
        <v>1138</v>
      </c>
    </row>
    <row r="44" customFormat="false" ht="17.15" hidden="false" customHeight="false" outlineLevel="0" collapsed="false">
      <c r="A44" s="20" t="s">
        <v>1139</v>
      </c>
      <c r="B44" s="20" t="s">
        <v>1140</v>
      </c>
      <c r="C44" s="20" t="s">
        <v>1141</v>
      </c>
      <c r="D44" s="20" t="s">
        <v>1142</v>
      </c>
    </row>
    <row r="45" customFormat="false" ht="15" hidden="false" customHeight="false" outlineLevel="0" collapsed="false">
      <c r="A45" s="0" t="s">
        <v>1115</v>
      </c>
      <c r="B45" s="30" t="n">
        <f aca="false">Sens!$C$8911</f>
        <v>215.231396408848</v>
      </c>
      <c r="C45" s="30" t="n">
        <f aca="false">Sens!$C$9157</f>
        <v>216.78718558454</v>
      </c>
      <c r="D45" s="30" t="n">
        <f aca="false">Sens!$C$9403</f>
        <v>218.723358344373</v>
      </c>
    </row>
    <row r="46" customFormat="false" ht="17.15" hidden="false" customHeight="false" outlineLevel="0" collapsed="false">
      <c r="A46" s="0" t="s">
        <v>1143</v>
      </c>
      <c r="B46" s="30" t="n">
        <f aca="false">Sens!$C$9649</f>
        <v>203.817035097296</v>
      </c>
      <c r="C46" s="30" t="n">
        <f aca="false">Sens!$C$9895</f>
        <v>204.176675218744</v>
      </c>
      <c r="D46" s="30" t="n">
        <f aca="false">Sens!$C$10141</f>
        <v>204.545773612336</v>
      </c>
    </row>
    <row r="47" customFormat="false" ht="15" hidden="false" customHeight="false" outlineLevel="0" collapsed="false">
      <c r="A47" s="0" t="s">
        <v>1117</v>
      </c>
      <c r="B47" s="30" t="n">
        <f aca="false">Sens!$C$10387</f>
        <v>194.673609252084</v>
      </c>
      <c r="C47" s="30" t="n">
        <f aca="false">Sens!$C$10633</f>
        <v>194.31972739167</v>
      </c>
      <c r="D47" s="30" t="n">
        <f aca="false">Sens!$C$10879</f>
        <v>193.808862318062</v>
      </c>
    </row>
    <row r="50" customFormat="false" ht="17.15" hidden="false" customHeight="false" outlineLevel="0" collapsed="false">
      <c r="A50" s="3" t="s">
        <v>1144</v>
      </c>
    </row>
    <row r="51" customFormat="false" ht="15" hidden="false" customHeight="false" outlineLevel="0" collapsed="false">
      <c r="A51" s="6" t="s">
        <v>1145</v>
      </c>
      <c r="B51" s="6" t="s">
        <v>1146</v>
      </c>
      <c r="C51" s="20" t="s">
        <v>1147</v>
      </c>
      <c r="D51" s="6" t="s">
        <v>1148</v>
      </c>
    </row>
    <row r="52" customFormat="false" ht="17.15" hidden="false" customHeight="false" outlineLevel="0" collapsed="false">
      <c r="A52" s="0" t="s">
        <v>1149</v>
      </c>
      <c r="B52" s="30" t="n">
        <f aca="false">Sens!$C$11125</f>
        <v>248.445349730798</v>
      </c>
      <c r="C52" s="30" t="n">
        <f aca="false">Sens!$C$11103</f>
        <v>169.647893244738</v>
      </c>
      <c r="D52" s="30" t="n">
        <f aca="false">Sens!$C$11124</f>
        <v>327.242806216858</v>
      </c>
    </row>
    <row r="53" customFormat="false" ht="17.15" hidden="false" customHeight="false" outlineLevel="0" collapsed="false">
      <c r="A53" s="0" t="s">
        <v>1150</v>
      </c>
      <c r="B53" s="30" t="n">
        <f aca="false">Sens!$C$11371</f>
        <v>182.985994357075</v>
      </c>
      <c r="C53" s="30" t="n">
        <f aca="false">Sens!$C$11349</f>
        <v>103.447749264271</v>
      </c>
      <c r="D53" s="30" t="n">
        <f aca="false">Sens!$C$11370</f>
        <v>262.524239449879</v>
      </c>
    </row>
    <row r="54" customFormat="false" ht="17.15" hidden="false" customHeight="false" outlineLevel="0" collapsed="false">
      <c r="A54" s="0" t="s">
        <v>1151</v>
      </c>
      <c r="B54" s="30" t="n">
        <f aca="false">Sens!$C$11617</f>
        <v>162.639158005828</v>
      </c>
      <c r="C54" s="30" t="n">
        <f aca="false">Sens!$C$11595</f>
        <v>82.791123027792</v>
      </c>
      <c r="D54" s="30" t="n">
        <f aca="false">Sens!$C$11616</f>
        <v>242.487192983863</v>
      </c>
    </row>
    <row r="60" customFormat="false" ht="19.4" hidden="false" customHeight="false" outlineLevel="0" collapsed="false">
      <c r="A60" s="31" t="s">
        <v>1152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20" t="s">
        <v>504</v>
      </c>
      <c r="D61" s="20" t="s">
        <v>505</v>
      </c>
      <c r="E61" s="20" t="s">
        <v>587</v>
      </c>
      <c r="F61" s="20" t="s">
        <v>588</v>
      </c>
      <c r="G61" s="20" t="s">
        <v>589</v>
      </c>
      <c r="H61" s="20" t="s">
        <v>590</v>
      </c>
      <c r="I61" s="20" t="s">
        <v>591</v>
      </c>
      <c r="J61" s="20" t="s">
        <v>592</v>
      </c>
      <c r="K61" s="20" t="s">
        <v>593</v>
      </c>
      <c r="L61" s="20" t="s">
        <v>594</v>
      </c>
      <c r="M61" s="20" t="s">
        <v>595</v>
      </c>
      <c r="N61" s="20" t="s">
        <v>596</v>
      </c>
      <c r="O61" s="20" t="s">
        <v>597</v>
      </c>
      <c r="P61" s="6" t="s">
        <v>23</v>
      </c>
      <c r="R61" s="20" t="n">
        <v>2023</v>
      </c>
      <c r="S61" s="20" t="n">
        <v>2024</v>
      </c>
      <c r="T61" s="20" t="n">
        <v>2025</v>
      </c>
      <c r="U61" s="20" t="n">
        <v>2026</v>
      </c>
      <c r="V61" s="20" t="n">
        <v>2027</v>
      </c>
      <c r="W61" s="20" t="n">
        <v>2028</v>
      </c>
      <c r="X61" s="20" t="n">
        <v>2029</v>
      </c>
      <c r="Y61" s="20" t="n">
        <v>2030</v>
      </c>
      <c r="Z61" s="20" t="n">
        <v>2031</v>
      </c>
      <c r="AA61" s="20" t="n">
        <v>2032</v>
      </c>
    </row>
    <row r="62" customFormat="false" ht="17.15" hidden="false" customHeight="false" outlineLevel="0" collapsed="false">
      <c r="A62" s="1" t="s">
        <v>677</v>
      </c>
    </row>
    <row r="63" customFormat="false" ht="17.15" hidden="false" customHeight="false" outlineLevel="0" collapsed="false">
      <c r="A63" s="0" t="s">
        <v>526</v>
      </c>
      <c r="B63" s="0" t="s">
        <v>86</v>
      </c>
      <c r="C63" s="38" t="n">
        <f aca="false">Q!$D$10</f>
        <v>247.029</v>
      </c>
      <c r="D63" s="38" t="n">
        <f aca="false">Q!$E$10</f>
        <v>269.287</v>
      </c>
      <c r="E63" s="38" t="n">
        <f aca="false">Q!$P$10</f>
        <v>134.686</v>
      </c>
      <c r="F63" s="38" t="n">
        <f aca="false">Sens!$O$63*(1+Sens!$F$64)*Sens!$F$75</f>
        <v>158.293876822267</v>
      </c>
      <c r="G63" s="38" t="n">
        <f aca="false">Sens!$E$63+Sens!$F$63</f>
        <v>292.979876822267</v>
      </c>
      <c r="H63" s="38" t="n">
        <f aca="false">Sens!$G$63*(1+Sens!$H$64)</f>
        <v>318.184543087396</v>
      </c>
      <c r="I63" s="38" t="n">
        <f aca="false">Sens!$H$63*(1+Sens!$I$64)</f>
        <v>341.736278761793</v>
      </c>
      <c r="J63" s="38" t="n">
        <f aca="false">Sens!$I$63*(1+Sens!$J$64)</f>
        <v>362.927192787048</v>
      </c>
      <c r="K63" s="38" t="n">
        <f aca="false">Sens!$J$63*(1+Sens!$K$64)</f>
        <v>381.0735524264</v>
      </c>
      <c r="L63" s="38" t="n">
        <f aca="false">Sens!$K$63*(1+Sens!$L$64)</f>
        <v>400.12723004772</v>
      </c>
      <c r="M63" s="38" t="n">
        <f aca="false">Sens!$L$63*(1+Sens!$M$64)</f>
        <v>420.133591550106</v>
      </c>
      <c r="N63" s="38" t="n">
        <f aca="false">Q!$N$10</f>
        <v>118.892</v>
      </c>
      <c r="O63" s="38" t="n">
        <f aca="false">Q!$O$10</f>
        <v>150.395</v>
      </c>
      <c r="P63" s="8" t="s">
        <v>678</v>
      </c>
    </row>
    <row r="64" customFormat="false" ht="17.15" hidden="false" customHeight="false" outlineLevel="0" collapsed="false">
      <c r="A64" s="0" t="s">
        <v>679</v>
      </c>
      <c r="B64" s="0" t="s">
        <v>52</v>
      </c>
      <c r="E64" s="13" t="n">
        <f aca="false">Sens!$E$63/Sens!$N$63-1</f>
        <v>0.132843252699929</v>
      </c>
      <c r="F64" s="13" t="n">
        <f aca="false">Sens!$O$63/(Q!$F$10+Q!$G$10)-1</f>
        <v>0.0980382135842941</v>
      </c>
      <c r="G64" s="13" t="n">
        <f aca="false">Sens!$G$63/Sens!$D$63-1</f>
        <v>0.0879837378791657</v>
      </c>
      <c r="H64" s="13" t="n">
        <f aca="false">Sens!$F$64+(g_os-Sens!$F$64)*1/4</f>
        <v>0.0860286601882206</v>
      </c>
      <c r="I64" s="13" t="n">
        <f aca="false">Sens!$F$64+(g_os-Sens!$F$64)*2/4</f>
        <v>0.074019106792147</v>
      </c>
      <c r="J64" s="13" t="n">
        <f aca="false">Sens!$F$64+(g_os-Sens!$F$64)*3/4</f>
        <v>0.0620095533960735</v>
      </c>
      <c r="K64" s="13" t="n">
        <f aca="false">Sens!$F$64+(g_os-Sens!$F$64)*4/4</f>
        <v>0.05</v>
      </c>
      <c r="L64" s="13" t="n">
        <f aca="false">g_os</f>
        <v>0.05</v>
      </c>
      <c r="M64" s="13" t="n">
        <f aca="false">g_os</f>
        <v>0.05</v>
      </c>
      <c r="P64" s="8" t="s">
        <v>680</v>
      </c>
    </row>
    <row r="65" customFormat="false" ht="17.15" hidden="false" customHeight="false" outlineLevel="0" collapsed="false">
      <c r="A65" s="0" t="s">
        <v>527</v>
      </c>
      <c r="B65" s="0" t="s">
        <v>86</v>
      </c>
      <c r="C65" s="38" t="n">
        <f aca="false">Q!$D$11</f>
        <v>21.215</v>
      </c>
      <c r="D65" s="38" t="n">
        <f aca="false">Q!$E$11</f>
        <v>22.561</v>
      </c>
      <c r="E65" s="38" t="n">
        <f aca="false">Q!$P$11</f>
        <v>11.579</v>
      </c>
      <c r="F65" s="38" t="n">
        <f aca="false">Sens!$O$65*(1+Sens!$F$66)*Sens!$F$75</f>
        <v>11.5938724610325</v>
      </c>
      <c r="G65" s="38" t="n">
        <f aca="false">Sens!$E$65+Sens!$F$65</f>
        <v>23.1728724610325</v>
      </c>
      <c r="H65" s="38" t="n">
        <f aca="false">Sens!$G$65*(1+Sens!$H$66)</f>
        <v>24.353392759506</v>
      </c>
      <c r="I65" s="38" t="n">
        <f aca="false">Sens!$H$65*(1+Sens!$I$66)</f>
        <v>25.4240338872015</v>
      </c>
      <c r="J65" s="38" t="n">
        <f aca="false">Sens!$I$65*(1+Sens!$J$66)</f>
        <v>26.3642491017174</v>
      </c>
      <c r="K65" s="38" t="n">
        <f aca="false">Sens!$J$65*(1+Sens!$K$66)</f>
        <v>27.155176574769</v>
      </c>
      <c r="L65" s="38" t="n">
        <f aca="false">Sens!$K$65*(1+Sens!$L$66)</f>
        <v>27.969831872012</v>
      </c>
      <c r="M65" s="38" t="n">
        <f aca="false">Sens!$L$65*(1+Sens!$M$66)</f>
        <v>28.8089268281724</v>
      </c>
      <c r="N65" s="38" t="n">
        <f aca="false">Q!$N$11</f>
        <v>11.128</v>
      </c>
      <c r="O65" s="38" t="n">
        <f aca="false">Q!$O$11</f>
        <v>11.433</v>
      </c>
      <c r="P65" s="8" t="s">
        <v>678</v>
      </c>
    </row>
    <row r="66" customFormat="false" ht="17.15" hidden="false" customHeight="false" outlineLevel="0" collapsed="false">
      <c r="A66" s="0" t="s">
        <v>681</v>
      </c>
      <c r="B66" s="0" t="s">
        <v>52</v>
      </c>
      <c r="E66" s="13" t="n">
        <f aca="false">Sens!$E$65/Sens!$N$65-1</f>
        <v>0.0405283968368082</v>
      </c>
      <c r="F66" s="13" t="n">
        <f aca="false">Sens!$O$65/(Q!$F$11+Q!$G$11)-1</f>
        <v>0.0579254187100955</v>
      </c>
      <c r="G66" s="13" t="n">
        <f aca="false">Sens!$G$65/Sens!$D$65-1</f>
        <v>0.0271208040881397</v>
      </c>
      <c r="H66" s="13" t="n">
        <f aca="false">Sens!$F$66+(g_ps-Sens!$F$66)*1/4</f>
        <v>0.0509440640325716</v>
      </c>
      <c r="I66" s="13" t="n">
        <f aca="false">Sens!$F$66+(g_ps-Sens!$F$66)*2/4</f>
        <v>0.0439627093550477</v>
      </c>
      <c r="J66" s="13" t="n">
        <f aca="false">Sens!$F$66+(g_ps-Sens!$F$66)*3/4</f>
        <v>0.0369813546775239</v>
      </c>
      <c r="K66" s="13" t="n">
        <f aca="false">Sens!$F$66+(g_ps-Sens!$F$66)*4/4</f>
        <v>0.03</v>
      </c>
      <c r="L66" s="13" t="n">
        <f aca="false">g_ps</f>
        <v>0.03</v>
      </c>
      <c r="M66" s="13" t="n">
        <f aca="false">g_ps</f>
        <v>0.03</v>
      </c>
      <c r="P66" s="8" t="s">
        <v>682</v>
      </c>
    </row>
    <row r="67" customFormat="false" ht="17.15" hidden="false" customHeight="false" outlineLevel="0" collapsed="false">
      <c r="A67" s="0" t="s">
        <v>528</v>
      </c>
      <c r="B67" s="0" t="s">
        <v>86</v>
      </c>
      <c r="C67" s="38" t="n">
        <f aca="false">Q!$D$12</f>
        <v>156.146</v>
      </c>
      <c r="D67" s="38" t="n">
        <f aca="false">Q!$E$12</f>
        <v>172.162</v>
      </c>
      <c r="E67" s="38" t="n">
        <f aca="false">Q!$P$12</f>
        <v>88.358</v>
      </c>
      <c r="F67" s="38" t="n">
        <f aca="false">Sens!$O$67*(1+Sens!$F$68)*Sens!$F$75</f>
        <v>102.004388260171</v>
      </c>
      <c r="G67" s="38" t="n">
        <f aca="false">Sens!$E$67+Sens!$F$67</f>
        <v>190.362388260171</v>
      </c>
      <c r="H67" s="38" t="n">
        <f aca="false">Sens!$G$67*(1+Sens!$H$68)</f>
        <v>210.343106588311</v>
      </c>
      <c r="I67" s="38" t="n">
        <f aca="false">Sens!$H$67*(1+Sens!$I$68)</f>
        <v>229.969728494648</v>
      </c>
      <c r="J67" s="38" t="n">
        <f aca="false">Sens!$I$67*(1+Sens!$J$68)</f>
        <v>248.747636972598</v>
      </c>
      <c r="K67" s="38" t="n">
        <f aca="false">Sens!$J$67*(1+Sens!$K$68)</f>
        <v>266.15997156068</v>
      </c>
      <c r="L67" s="38" t="n">
        <f aca="false">Sens!$K$67*(1+Sens!$L$68)</f>
        <v>284.791169569927</v>
      </c>
      <c r="M67" s="38" t="n">
        <f aca="false">Sens!$L$67*(1+Sens!$M$68)</f>
        <v>304.726551439822</v>
      </c>
      <c r="N67" s="38" t="n">
        <f aca="false">Q!$N$12</f>
        <v>76.86</v>
      </c>
      <c r="O67" s="38" t="n">
        <f aca="false">Q!$O$12</f>
        <v>95.302</v>
      </c>
      <c r="P67" s="8" t="s">
        <v>678</v>
      </c>
    </row>
    <row r="68" customFormat="false" ht="17.15" hidden="false" customHeight="false" outlineLevel="0" collapsed="false">
      <c r="A68" s="0" t="s">
        <v>683</v>
      </c>
      <c r="B68" s="0" t="s">
        <v>52</v>
      </c>
      <c r="E68" s="13" t="n">
        <f aca="false">Sens!$E$67/Sens!$N$67-1</f>
        <v>0.1495966692688</v>
      </c>
      <c r="F68" s="13" t="n">
        <f aca="false">Sens!$O$67/(Q!$F$12+Q!$G$12)-1</f>
        <v>0.11661530890813</v>
      </c>
      <c r="G68" s="13" t="n">
        <f aca="false">Sens!$G$67/Sens!$D$67-1</f>
        <v>0.105716640490767</v>
      </c>
      <c r="H68" s="13" t="n">
        <f aca="false">Sens!$F$68+(g_sp-Sens!$F$68)*1/4</f>
        <v>0.104961481681098</v>
      </c>
      <c r="I68" s="13" t="n">
        <f aca="false">Sens!$F$68+(g_sp-Sens!$F$68)*2/4</f>
        <v>0.0933076544540651</v>
      </c>
      <c r="J68" s="13" t="n">
        <f aca="false">Sens!$F$68+(g_sp-Sens!$F$68)*3/4</f>
        <v>0.0816538272270325</v>
      </c>
      <c r="K68" s="13" t="n">
        <f aca="false">Sens!$F$68+(g_sp-Sens!$F$68)*4/4</f>
        <v>0.07</v>
      </c>
      <c r="L68" s="13" t="n">
        <f aca="false">g_sp</f>
        <v>0.07</v>
      </c>
      <c r="M68" s="13" t="n">
        <f aca="false">g_sp</f>
        <v>0.07</v>
      </c>
      <c r="P68" s="8" t="s">
        <v>684</v>
      </c>
    </row>
    <row r="69" customFormat="false" ht="17.15" hidden="false" customHeight="false" outlineLevel="0" collapsed="false">
      <c r="A69" s="0" t="s">
        <v>529</v>
      </c>
      <c r="B69" s="0" t="s">
        <v>86</v>
      </c>
      <c r="C69" s="38" t="n">
        <f aca="false">Q!$D$13</f>
        <v>56.214</v>
      </c>
      <c r="D69" s="38" t="n">
        <f aca="false">Q!$E$13</f>
        <v>68.635</v>
      </c>
      <c r="E69" s="38" t="n">
        <f aca="false">Q!$P$13</f>
        <v>37.052</v>
      </c>
      <c r="F69" s="38" t="n">
        <f aca="false">Sens!$O$69*(1+Sens!$F$70)*Sens!$F$75</f>
        <v>46.1572219944148</v>
      </c>
      <c r="G69" s="38" t="n">
        <f aca="false">Sens!$E$69+Sens!$F$69</f>
        <v>83.2092219944148</v>
      </c>
      <c r="H69" s="38" t="n">
        <f aca="false">Sens!$G$69*(1+Sens!$H$70)</f>
        <v>99.8969223878976</v>
      </c>
      <c r="I69" s="38" t="n">
        <f aca="false">Sens!$H$69*(1+Sens!$I$70)</f>
        <v>116.583111095496</v>
      </c>
      <c r="J69" s="38" t="n">
        <f aca="false">Sens!$I$69*(1+Sens!$J$70)</f>
        <v>132.148941941952</v>
      </c>
      <c r="K69" s="38" t="n">
        <f aca="false">Sens!$J$69*(1+Sens!$K$70)</f>
        <v>145.363836136147</v>
      </c>
      <c r="L69" s="38" t="n">
        <f aca="false">Sens!$K$69*(1+Sens!$L$70)</f>
        <v>159.900219749762</v>
      </c>
      <c r="M69" s="38" t="n">
        <f aca="false">Sens!$L$69*(1+Sens!$M$70)</f>
        <v>175.890241724738</v>
      </c>
      <c r="N69" s="38" t="n">
        <f aca="false">Q!$N$13</f>
        <v>29.615</v>
      </c>
      <c r="O69" s="38" t="n">
        <f aca="false">Q!$O$13</f>
        <v>39.02</v>
      </c>
      <c r="P69" s="8" t="s">
        <v>678</v>
      </c>
    </row>
    <row r="70" customFormat="false" ht="17.15" hidden="false" customHeight="false" outlineLevel="0" collapsed="false">
      <c r="A70" s="0" t="s">
        <v>685</v>
      </c>
      <c r="B70" s="0" t="s">
        <v>52</v>
      </c>
      <c r="E70" s="13" t="n">
        <f aca="false">Sens!$E$69/Sens!$N$69-1</f>
        <v>0.25112274185379</v>
      </c>
      <c r="F70" s="13" t="n">
        <f aca="false">Sens!$O$69/(Q!$F$13+Q!$G$13)-1</f>
        <v>0.234068123596572</v>
      </c>
      <c r="G70" s="13" t="n">
        <f aca="false">Sens!$G$69/Sens!$D$69-1</f>
        <v>0.212343876949294</v>
      </c>
      <c r="H70" s="13" t="n">
        <f aca="false">Sens!$F$70+(g_ad-Sens!$F$70)*1/4</f>
        <v>0.200551092697429</v>
      </c>
      <c r="I70" s="13" t="n">
        <f aca="false">Sens!$F$70+(g_ad-Sens!$F$70)*2/4</f>
        <v>0.167034061798286</v>
      </c>
      <c r="J70" s="13" t="n">
        <f aca="false">Sens!$F$70+(g_ad-Sens!$F$70)*3/4</f>
        <v>0.133517030899143</v>
      </c>
      <c r="K70" s="13" t="n">
        <f aca="false">Sens!$F$70+(g_ad-Sens!$F$70)*4/4</f>
        <v>0.1</v>
      </c>
      <c r="L70" s="13" t="n">
        <f aca="false">g_ad</f>
        <v>0.1</v>
      </c>
      <c r="M70" s="13" t="n">
        <f aca="false">g_ad</f>
        <v>0.1</v>
      </c>
      <c r="P70" s="8" t="s">
        <v>686</v>
      </c>
    </row>
    <row r="71" customFormat="false" ht="17.15" hidden="false" customHeight="false" outlineLevel="0" collapsed="false">
      <c r="A71" s="0" t="s">
        <v>530</v>
      </c>
      <c r="B71" s="0" t="s">
        <v>86</v>
      </c>
      <c r="C71" s="38" t="n">
        <f aca="false">Q!$D$14</f>
        <v>44.374</v>
      </c>
      <c r="D71" s="38" t="n">
        <f aca="false">Q!$E$14</f>
        <v>49.619</v>
      </c>
      <c r="E71" s="38" t="n">
        <f aca="false">Q!$P$14</f>
        <v>27.157</v>
      </c>
      <c r="F71" s="38" t="n">
        <f aca="false">Sens!$O$71*(1+Sens!$F$72)*Sens!$F$75</f>
        <v>27.7764165988154</v>
      </c>
      <c r="G71" s="38" t="n">
        <f aca="false">Sens!$E$71+Sens!$F$71</f>
        <v>54.9334165988154</v>
      </c>
      <c r="H71" s="38" t="n">
        <f aca="false">Sens!$G$71*(1+Sens!$H$72)</f>
        <v>61.1564112561829</v>
      </c>
      <c r="I71" s="38" t="n">
        <f aca="false">Sens!$H$71*(1+Sens!$I$72)</f>
        <v>67.2020282103945</v>
      </c>
      <c r="J71" s="38" t="n">
        <f aca="false">Sens!$I$71*(1+Sens!$J$72)</f>
        <v>72.8757274028885</v>
      </c>
      <c r="K71" s="38" t="n">
        <f aca="false">Sens!$J$71*(1+Sens!$K$72)</f>
        <v>77.9770283210907</v>
      </c>
      <c r="L71" s="38" t="n">
        <f aca="false">Sens!$K$71*(1+Sens!$L$72)</f>
        <v>83.4354203035671</v>
      </c>
      <c r="M71" s="38" t="n">
        <f aca="false">Sens!$L$71*(1+Sens!$M$72)</f>
        <v>89.2758997248168</v>
      </c>
      <c r="N71" s="38" t="n">
        <f aca="false">Q!$N$14</f>
        <v>23.923</v>
      </c>
      <c r="O71" s="38" t="n">
        <f aca="false">Q!$O$14</f>
        <v>25.696</v>
      </c>
      <c r="P71" s="8" t="s">
        <v>678</v>
      </c>
    </row>
    <row r="72" customFormat="false" ht="17.15" hidden="false" customHeight="false" outlineLevel="0" collapsed="false">
      <c r="A72" s="0" t="s">
        <v>687</v>
      </c>
      <c r="B72" s="0" t="s">
        <v>52</v>
      </c>
      <c r="E72" s="13" t="n">
        <f aca="false">Sens!$E$71/Sens!$N$71-1</f>
        <v>0.135183714417088</v>
      </c>
      <c r="F72" s="13" t="n">
        <f aca="false">Sens!$O$71/(Q!$F$14+Q!$G$14)-1</f>
        <v>0.127709997366804</v>
      </c>
      <c r="G72" s="13" t="n">
        <f aca="false">Sens!$G$71/Sens!$D$71-1</f>
        <v>0.107104468022641</v>
      </c>
      <c r="H72" s="13" t="n">
        <f aca="false">Sens!$F$72+(g_sub-Sens!$F$72)*1/4</f>
        <v>0.113282498025103</v>
      </c>
      <c r="I72" s="13" t="n">
        <f aca="false">Sens!$F$72+(g_sub-Sens!$F$72)*2/4</f>
        <v>0.0988549986834021</v>
      </c>
      <c r="J72" s="13" t="n">
        <f aca="false">Sens!$F$72+(g_sub-Sens!$F$72)*3/4</f>
        <v>0.084427499341701</v>
      </c>
      <c r="K72" s="13" t="n">
        <f aca="false">Sens!$F$72+(g_sub-Sens!$F$72)*4/4</f>
        <v>0.07</v>
      </c>
      <c r="L72" s="13" t="n">
        <f aca="false">g_sub</f>
        <v>0.07</v>
      </c>
      <c r="M72" s="13" t="n">
        <f aca="false">g_sub</f>
        <v>0.07</v>
      </c>
      <c r="P72" s="8" t="s">
        <v>688</v>
      </c>
    </row>
    <row r="73" customFormat="false" ht="17.15" hidden="false" customHeight="false" outlineLevel="0" collapsed="false">
      <c r="A73" s="0" t="s">
        <v>531</v>
      </c>
      <c r="B73" s="0" t="s">
        <v>86</v>
      </c>
      <c r="C73" s="38" t="n">
        <f aca="false">Q!$D$15</f>
        <v>5.425</v>
      </c>
      <c r="D73" s="38" t="n">
        <f aca="false">Q!$E$15</f>
        <v>5.935</v>
      </c>
      <c r="E73" s="38" t="n">
        <f aca="false">Q!$P$15</f>
        <v>3.474</v>
      </c>
      <c r="F73" s="38" t="n">
        <f aca="false">Sens!$O$73*(1+Sens!$F$74)*Sens!$F$75</f>
        <v>3.22246550883619</v>
      </c>
      <c r="G73" s="38" t="n">
        <f aca="false">Sens!$E$73+Sens!$F$73</f>
        <v>6.69646550883619</v>
      </c>
      <c r="H73" s="38" t="n">
        <f aca="false">Sens!$G$73*(1+Sens!$H$74)</f>
        <v>7.16251344209196</v>
      </c>
      <c r="I73" s="38" t="n">
        <f aca="false">Sens!$H$73*(1+Sens!$I$74)</f>
        <v>7.61421070299826</v>
      </c>
      <c r="J73" s="38" t="n">
        <f aca="false">Sens!$I$73*(1+Sens!$J$74)</f>
        <v>8.04465753523932</v>
      </c>
      <c r="K73" s="38" t="n">
        <f aca="false">Sens!$J$73*(1+Sens!$K$74)</f>
        <v>8.44689041200128</v>
      </c>
      <c r="L73" s="38" t="n">
        <f aca="false">Sens!$K$73*(1+Sens!$L$74)</f>
        <v>8.86923493260135</v>
      </c>
      <c r="M73" s="38" t="n">
        <f aca="false">Sens!$L$73*(1+Sens!$M$74)</f>
        <v>9.31269667923142</v>
      </c>
      <c r="N73" s="38" t="n">
        <f aca="false">Q!$N$15</f>
        <v>2.811</v>
      </c>
      <c r="O73" s="38" t="n">
        <f aca="false">Q!$O$15</f>
        <v>3.124</v>
      </c>
      <c r="P73" s="8" t="s">
        <v>678</v>
      </c>
    </row>
    <row r="74" customFormat="false" ht="17.15" hidden="false" customHeight="false" outlineLevel="0" collapsed="false">
      <c r="A74" s="0" t="s">
        <v>689</v>
      </c>
      <c r="B74" s="0" t="s">
        <v>52</v>
      </c>
      <c r="E74" s="13" t="n">
        <f aca="false">Sens!$E$73/Sens!$N$73-1</f>
        <v>0.235859124866596</v>
      </c>
      <c r="F74" s="13" t="n">
        <f aca="false">Sens!$O$73/(Q!$F$15+Q!$G$15)-1</f>
        <v>0.0761281433000345</v>
      </c>
      <c r="G74" s="13" t="n">
        <f aca="false">Sens!$G$73/Sens!$D$73-1</f>
        <v>0.128300843948811</v>
      </c>
      <c r="H74" s="13" t="n">
        <f aca="false">Sens!$F$74+(g_ot-Sens!$F$74)*1/4</f>
        <v>0.0695961074750259</v>
      </c>
      <c r="I74" s="13" t="n">
        <f aca="false">Sens!$F$74+(g_ot-Sens!$F$74)*2/4</f>
        <v>0.0630640716500172</v>
      </c>
      <c r="J74" s="13" t="n">
        <f aca="false">Sens!$F$74+(g_ot-Sens!$F$74)*3/4</f>
        <v>0.0565320358250086</v>
      </c>
      <c r="K74" s="13" t="n">
        <f aca="false">Sens!$F$74+(g_ot-Sens!$F$74)*4/4</f>
        <v>0.05</v>
      </c>
      <c r="L74" s="13" t="n">
        <f aca="false">g_ot</f>
        <v>0.05</v>
      </c>
      <c r="M74" s="13" t="n">
        <f aca="false">g_ot</f>
        <v>0.05</v>
      </c>
      <c r="P74" s="8" t="s">
        <v>690</v>
      </c>
    </row>
    <row r="75" customFormat="false" ht="17.15" hidden="false" customHeight="false" outlineLevel="0" collapsed="false">
      <c r="A75" s="0" t="s">
        <v>691</v>
      </c>
      <c r="B75" s="0" t="s">
        <v>57</v>
      </c>
      <c r="F75" s="40" t="n">
        <f aca="false">(g26q3_mid*Q!$O$8/Q!$J$8-Thesis!$F$89-Thesis!$F$93)/(Sens!$O$63*(1+Sens!$F$64)+Sens!$O$65*(1+Sens!$F$66)+Sens!$O$67*(1+Sens!$F$68)+Sens!$O$69*(1+Sens!$F$70)+Sens!$O$71*(1+Sens!$F$72)+Sens!$O$73*(1+Sens!$F$74))</f>
        <v>0.958546670622329</v>
      </c>
      <c r="P75" s="8" t="s">
        <v>692</v>
      </c>
    </row>
    <row r="76" customFormat="false" ht="17.15" hidden="false" customHeight="false" outlineLevel="0" collapsed="false">
      <c r="A76" s="3" t="s">
        <v>693</v>
      </c>
      <c r="B76" s="8" t="s">
        <v>86</v>
      </c>
      <c r="C76" s="38" t="n">
        <f aca="false">Sens!$C$63+Sens!$C$65+Sens!$C$67+Sens!$C$69+Sens!$C$71+Sens!$C$73</f>
        <v>530.403</v>
      </c>
      <c r="D76" s="38" t="n">
        <f aca="false">Sens!$D$63+Sens!$D$65+Sens!$D$67+Sens!$D$69+Sens!$D$71+Sens!$D$73</f>
        <v>588.199</v>
      </c>
      <c r="E76" s="38" t="n">
        <f aca="false">Sens!$E$63+Sens!$E$65+Sens!$E$67+Sens!$E$69+Sens!$E$71+Sens!$E$73</f>
        <v>302.306</v>
      </c>
      <c r="F76" s="38" t="n">
        <f aca="false">Sens!$F$63+Sens!$F$65+Sens!$F$67+Sens!$F$69+Sens!$F$71+Sens!$F$73</f>
        <v>349.048241645537</v>
      </c>
      <c r="G76" s="38" t="n">
        <f aca="false">Sens!$G$63+Sens!$G$65+Sens!$G$67+Sens!$G$69+Sens!$G$71+Sens!$G$73</f>
        <v>651.354241645537</v>
      </c>
      <c r="H76" s="38" t="n">
        <f aca="false">Sens!$H$63+Sens!$H$65+Sens!$H$67+Sens!$H$69+Sens!$H$71+Sens!$H$73</f>
        <v>721.096889521386</v>
      </c>
      <c r="I76" s="38" t="n">
        <f aca="false">Sens!$I$63+Sens!$I$65+Sens!$I$67+Sens!$I$69+Sens!$I$71+Sens!$I$73</f>
        <v>788.529391152531</v>
      </c>
      <c r="J76" s="38" t="n">
        <f aca="false">Sens!$J$63+Sens!$J$65+Sens!$J$67+Sens!$J$69+Sens!$J$71+Sens!$J$73</f>
        <v>851.108405741443</v>
      </c>
      <c r="K76" s="38" t="n">
        <f aca="false">Sens!$K$63+Sens!$K$65+Sens!$K$67+Sens!$K$69+Sens!$K$71+Sens!$K$73</f>
        <v>906.176455431088</v>
      </c>
      <c r="L76" s="38" t="n">
        <f aca="false">Sens!$L$63+Sens!$L$65+Sens!$L$67+Sens!$L$69+Sens!$L$71+Sens!$L$73</f>
        <v>965.093106475589</v>
      </c>
      <c r="M76" s="38" t="n">
        <f aca="false">Sens!$M$63+Sens!$M$65+Sens!$M$67+Sens!$M$69+Sens!$M$71+Sens!$M$73</f>
        <v>1028.14790794689</v>
      </c>
      <c r="N76" s="38" t="n">
        <f aca="false">Sens!$N$63+Sens!$N$65+Sens!$N$67+Sens!$N$69+Sens!$N$71+Sens!$N$73</f>
        <v>263.229</v>
      </c>
      <c r="O76" s="38" t="n">
        <f aca="false">Sens!$O$63+Sens!$O$65+Sens!$O$67+Sens!$O$69+Sens!$O$71+Sens!$O$73</f>
        <v>324.97</v>
      </c>
    </row>
    <row r="77" customFormat="false" ht="17.15" hidden="false" customHeight="false" outlineLevel="0" collapsed="false">
      <c r="A77" s="5" t="s">
        <v>694</v>
      </c>
      <c r="B77" s="0" t="s">
        <v>52</v>
      </c>
      <c r="C77" s="13" t="n">
        <f aca="false">Q!$D$5/(Q!$D$5+Q!$D$6)</f>
        <v>0.730570905519011</v>
      </c>
      <c r="D77" s="13" t="n">
        <f aca="false">Q!$E$5/(Q!$E$5+Q!$E$6)</f>
        <v>0.724763217890544</v>
      </c>
      <c r="E77" s="13" t="n">
        <f aca="false">Q!$P$5/(Q!$P$5+Q!$P$6)</f>
        <v>0.728797972914861</v>
      </c>
      <c r="F77" s="13" t="n">
        <f aca="false">Sens!$O$77</f>
        <v>0.718066283041511</v>
      </c>
      <c r="G77" s="13" t="n">
        <f aca="false">Sens!$G$78/Sens!$G$76</f>
        <v>0.723047066202847</v>
      </c>
      <c r="H77" s="13" t="n">
        <f aca="false">Sens!$G$77</f>
        <v>0.723047066202847</v>
      </c>
      <c r="I77" s="13" t="n">
        <f aca="false">Sens!$G$77</f>
        <v>0.723047066202847</v>
      </c>
      <c r="J77" s="13" t="n">
        <f aca="false">Sens!$G$77</f>
        <v>0.723047066202847</v>
      </c>
      <c r="K77" s="13" t="n">
        <f aca="false">Sens!$G$77</f>
        <v>0.723047066202847</v>
      </c>
      <c r="L77" s="13" t="n">
        <f aca="false">Sens!$G$77</f>
        <v>0.723047066202847</v>
      </c>
      <c r="M77" s="13" t="n">
        <f aca="false">Sens!$G$77</f>
        <v>0.723047066202847</v>
      </c>
      <c r="N77" s="13" t="n">
        <f aca="false">Q!$N$5/(Q!$N$5+Q!$N$6)</f>
        <v>0.733030935041352</v>
      </c>
      <c r="O77" s="13" t="n">
        <f aca="false">Q!$O$5/(Q!$O$5+Q!$O$6)</f>
        <v>0.718066283041511</v>
      </c>
      <c r="P77" s="8" t="s">
        <v>695</v>
      </c>
    </row>
    <row r="78" customFormat="false" ht="17.15" hidden="false" customHeight="false" outlineLevel="0" collapsed="false">
      <c r="A78" s="1" t="s">
        <v>519</v>
      </c>
      <c r="B78" s="8" t="s">
        <v>86</v>
      </c>
      <c r="C78" s="38" t="n">
        <f aca="false">Q!$D$5</f>
        <v>387.497</v>
      </c>
      <c r="D78" s="38" t="n">
        <f aca="false">Q!$E$5</f>
        <v>426.305</v>
      </c>
      <c r="E78" s="38" t="n">
        <f aca="false">Q!$P$5</f>
        <v>220.32</v>
      </c>
      <c r="F78" s="38" t="n">
        <f aca="false">Sens!$F$76*Sens!$F$77</f>
        <v>250.639773480586</v>
      </c>
      <c r="G78" s="38" t="n">
        <f aca="false">Sens!$E$78+Sens!$F$78</f>
        <v>470.959773480586</v>
      </c>
      <c r="H78" s="38" t="n">
        <f aca="false">Sens!$H$76*Sens!$H$77</f>
        <v>521.386990416437</v>
      </c>
      <c r="I78" s="38" t="n">
        <f aca="false">Sens!$I$76*Sens!$I$77</f>
        <v>570.143862887555</v>
      </c>
      <c r="J78" s="38" t="n">
        <f aca="false">Sens!$J$76*Sens!$J$77</f>
        <v>615.391435791933</v>
      </c>
      <c r="K78" s="38" t="n">
        <f aca="false">Sens!$K$76*Sens!$K$77</f>
        <v>655.208227561543</v>
      </c>
      <c r="L78" s="38" t="n">
        <f aca="false">Sens!$L$76*Sens!$L$77</f>
        <v>697.807739249767</v>
      </c>
      <c r="M78" s="38" t="n">
        <f aca="false">Sens!$M$76*Sens!$M$77</f>
        <v>743.399328463592</v>
      </c>
      <c r="N78" s="38" t="n">
        <f aca="false">Q!$N$5</f>
        <v>192.955</v>
      </c>
      <c r="O78" s="38" t="n">
        <f aca="false">Q!$O$5</f>
        <v>233.35</v>
      </c>
      <c r="P78" s="5" t="s">
        <v>696</v>
      </c>
    </row>
    <row r="79" customFormat="false" ht="17.15" hidden="false" customHeight="false" outlineLevel="0" collapsed="false">
      <c r="A79" s="1" t="s">
        <v>522</v>
      </c>
      <c r="B79" s="8" t="s">
        <v>86</v>
      </c>
      <c r="C79" s="38" t="n">
        <f aca="false">Q!$D$6</f>
        <v>142.906</v>
      </c>
      <c r="D79" s="38" t="n">
        <f aca="false">Q!$E$6</f>
        <v>161.894</v>
      </c>
      <c r="E79" s="38" t="n">
        <f aca="false">Q!$P$6</f>
        <v>81.986</v>
      </c>
      <c r="F79" s="38" t="n">
        <f aca="false">Sens!$F$76*(1-Sens!$F$77)</f>
        <v>98.408468164951</v>
      </c>
      <c r="G79" s="38" t="n">
        <f aca="false">Sens!$E$79+Sens!$F$79</f>
        <v>180.394468164951</v>
      </c>
      <c r="H79" s="38" t="n">
        <f aca="false">Sens!$H$76*(1-Sens!$H$77)</f>
        <v>199.709899104949</v>
      </c>
      <c r="I79" s="38" t="n">
        <f aca="false">Sens!$I$76*(1-Sens!$I$77)</f>
        <v>218.385528264976</v>
      </c>
      <c r="J79" s="38" t="n">
        <f aca="false">Sens!$J$76*(1-Sens!$J$77)</f>
        <v>235.71696994951</v>
      </c>
      <c r="K79" s="38" t="n">
        <f aca="false">Sens!$K$76*(1-Sens!$K$77)</f>
        <v>250.968227869545</v>
      </c>
      <c r="L79" s="38" t="n">
        <f aca="false">Sens!$L$76*(1-Sens!$L$77)</f>
        <v>267.285367225822</v>
      </c>
      <c r="M79" s="38" t="n">
        <f aca="false">Sens!$M$76*(1-Sens!$M$77)</f>
        <v>284.748579483295</v>
      </c>
      <c r="N79" s="38" t="n">
        <f aca="false">Q!$N$6</f>
        <v>70.274</v>
      </c>
      <c r="O79" s="38" t="n">
        <f aca="false">Q!$O$6</f>
        <v>91.62</v>
      </c>
      <c r="P79" s="5" t="s">
        <v>697</v>
      </c>
    </row>
    <row r="80" customFormat="false" ht="17.15" hidden="false" customHeight="false" outlineLevel="0" collapsed="false">
      <c r="A80" s="5" t="s">
        <v>698</v>
      </c>
      <c r="B80" s="0" t="s">
        <v>86</v>
      </c>
      <c r="C80" s="38" t="n">
        <f aca="false">Sens!$C$69*Sens!$C$77</f>
        <v>41.0683128828457</v>
      </c>
      <c r="D80" s="38" t="n">
        <f aca="false">Sens!$D$69*Sens!$D$77</f>
        <v>49.7441234599175</v>
      </c>
      <c r="E80" s="38" t="n">
        <f aca="false">Sens!$E$69*Sens!$E$77</f>
        <v>27.0034224924414</v>
      </c>
      <c r="F80" s="38" t="n">
        <f aca="false">Sens!$F$69*Sens!$F$77</f>
        <v>33.1439448330513</v>
      </c>
      <c r="G80" s="38" t="n">
        <f aca="false">Sens!$G$69*Sens!$G$77</f>
        <v>60.164183844083</v>
      </c>
      <c r="H80" s="38" t="n">
        <f aca="false">Sens!$H$69*Sens!$H$77</f>
        <v>72.2301766552629</v>
      </c>
      <c r="I80" s="38" t="n">
        <f aca="false">Sens!$I$69*Sens!$I$77</f>
        <v>84.2950764463991</v>
      </c>
      <c r="J80" s="38" t="n">
        <f aca="false">Sens!$J$69*Sens!$J$77</f>
        <v>95.5499047729386</v>
      </c>
      <c r="K80" s="38" t="n">
        <f aca="false">Sens!$K$69*Sens!$K$77</f>
        <v>105.104895250232</v>
      </c>
      <c r="L80" s="38" t="n">
        <f aca="false">Sens!$L$69*Sens!$L$77</f>
        <v>115.615384775256</v>
      </c>
      <c r="M80" s="38" t="n">
        <f aca="false">Sens!$M$69*Sens!$M$77</f>
        <v>127.176923252781</v>
      </c>
      <c r="N80" s="38" t="n">
        <f aca="false">Sens!$N$69*Sens!$N$77</f>
        <v>21.7087111412496</v>
      </c>
      <c r="O80" s="38" t="n">
        <f aca="false">Sens!$O$69*Sens!$O$77</f>
        <v>28.0189463642798</v>
      </c>
      <c r="P80" s="5" t="s">
        <v>699</v>
      </c>
    </row>
    <row r="81" customFormat="false" ht="15" hidden="false" customHeight="false" outlineLevel="0" collapsed="false">
      <c r="A81" s="5" t="s">
        <v>700</v>
      </c>
      <c r="B81" s="0" t="s">
        <v>86</v>
      </c>
      <c r="C81" s="38" t="n">
        <f aca="false">Sens!$C$69-Sens!$C$80</f>
        <v>15.1456871171543</v>
      </c>
      <c r="D81" s="38" t="n">
        <f aca="false">Sens!$D$69-Sens!$D$80</f>
        <v>18.8908765400825</v>
      </c>
      <c r="E81" s="38" t="n">
        <f aca="false">Sens!$E$69-Sens!$E$80</f>
        <v>10.0485775075586</v>
      </c>
      <c r="F81" s="38" t="n">
        <f aca="false">Sens!$F$69-Sens!$F$80</f>
        <v>13.0132771613635</v>
      </c>
      <c r="G81" s="38" t="n">
        <f aca="false">Sens!$G$69-Sens!$G$80</f>
        <v>23.0450381503318</v>
      </c>
      <c r="H81" s="38" t="n">
        <f aca="false">Sens!$H$69-Sens!$H$80</f>
        <v>27.6667457326347</v>
      </c>
      <c r="I81" s="38" t="n">
        <f aca="false">Sens!$I$69-Sens!$I$80</f>
        <v>32.2880346490971</v>
      </c>
      <c r="J81" s="38" t="n">
        <f aca="false">Sens!$J$69-Sens!$J$80</f>
        <v>36.5990371690132</v>
      </c>
      <c r="K81" s="38" t="n">
        <f aca="false">Sens!$K$69-Sens!$K$80</f>
        <v>40.2589408859145</v>
      </c>
      <c r="L81" s="38" t="n">
        <f aca="false">Sens!$L$69-Sens!$L$80</f>
        <v>44.2848349745059</v>
      </c>
      <c r="M81" s="38" t="n">
        <f aca="false">Sens!$M$69-Sens!$M$80</f>
        <v>48.7133184719565</v>
      </c>
      <c r="N81" s="38" t="n">
        <f aca="false">Sens!$N$69-Sens!$N$80</f>
        <v>7.90628885875037</v>
      </c>
      <c r="O81" s="38" t="n">
        <f aca="false">Sens!$O$69-Sens!$O$80</f>
        <v>11.0010536357202</v>
      </c>
    </row>
    <row r="82" customFormat="false" ht="19.4" hidden="false" customHeight="false" outlineLevel="0" collapsed="false">
      <c r="A82" s="31" t="s">
        <v>1153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20" t="s">
        <v>504</v>
      </c>
      <c r="D83" s="20" t="s">
        <v>505</v>
      </c>
      <c r="E83" s="20" t="s">
        <v>587</v>
      </c>
      <c r="F83" s="20" t="s">
        <v>588</v>
      </c>
      <c r="G83" s="20" t="s">
        <v>589</v>
      </c>
      <c r="H83" s="20" t="s">
        <v>590</v>
      </c>
      <c r="I83" s="20" t="s">
        <v>591</v>
      </c>
      <c r="J83" s="20" t="s">
        <v>592</v>
      </c>
      <c r="K83" s="20" t="s">
        <v>593</v>
      </c>
      <c r="L83" s="20" t="s">
        <v>594</v>
      </c>
      <c r="M83" s="20" t="s">
        <v>595</v>
      </c>
      <c r="N83" s="20" t="s">
        <v>596</v>
      </c>
      <c r="O83" s="20" t="s">
        <v>597</v>
      </c>
      <c r="P83" s="6" t="s">
        <v>23</v>
      </c>
      <c r="R83" s="20" t="n">
        <v>2023</v>
      </c>
      <c r="S83" s="20" t="n">
        <v>2024</v>
      </c>
      <c r="T83" s="20" t="n">
        <v>2025</v>
      </c>
      <c r="U83" s="20" t="n">
        <v>2026</v>
      </c>
      <c r="V83" s="20" t="n">
        <v>2027</v>
      </c>
      <c r="W83" s="20" t="n">
        <v>2028</v>
      </c>
      <c r="X83" s="20" t="n">
        <v>2029</v>
      </c>
      <c r="Y83" s="20" t="n">
        <v>2030</v>
      </c>
      <c r="Z83" s="20" t="n">
        <v>2031</v>
      </c>
      <c r="AA83" s="20" t="n">
        <v>2032</v>
      </c>
    </row>
    <row r="84" customFormat="false" ht="17.15" hidden="false" customHeight="false" outlineLevel="0" collapsed="false">
      <c r="A84" s="1" t="s">
        <v>598</v>
      </c>
    </row>
    <row r="85" customFormat="false" ht="17.15" hidden="false" customHeight="false" outlineLevel="0" collapsed="false">
      <c r="A85" s="5" t="s">
        <v>599</v>
      </c>
      <c r="B85" s="0" t="s">
        <v>144</v>
      </c>
      <c r="H85" s="32" t="n">
        <f aca="false">pace_B</f>
        <v>3634.3</v>
      </c>
      <c r="I85" s="32" t="n">
        <f aca="false">pace_B</f>
        <v>3634.3</v>
      </c>
      <c r="J85" s="32" t="n">
        <f aca="false">pace_B</f>
        <v>3634.3</v>
      </c>
      <c r="K85" s="32" t="n">
        <f aca="false">pace_B+(Sens!$J$86*tg-pace_B)*1/3</f>
        <v>2570.86716666667</v>
      </c>
      <c r="L85" s="32" t="n">
        <f aca="false">pace_B+(Sens!$J$86*tg-pace_B)*2/3</f>
        <v>1507.43433333333</v>
      </c>
      <c r="M85" s="32" t="n">
        <f aca="false">pace_B+(Sens!$J$86*tg-pace_B)*3/3</f>
        <v>444.0015</v>
      </c>
      <c r="P85" s="5" t="s">
        <v>600</v>
      </c>
    </row>
    <row r="86" customFormat="false" ht="17.15" hidden="false" customHeight="false" outlineLevel="0" collapsed="false">
      <c r="A86" s="15" t="s">
        <v>601</v>
      </c>
      <c r="B86" s="14" t="s">
        <v>129</v>
      </c>
      <c r="C86" s="33" t="n">
        <f aca="false">mw_ye24</f>
        <v>360</v>
      </c>
      <c r="D86" s="33" t="n">
        <f aca="false">mw_ye25</f>
        <v>1440</v>
      </c>
      <c r="E86" s="33" t="n">
        <f aca="false">mw_open</f>
        <v>2080</v>
      </c>
      <c r="F86" s="33" t="n">
        <f aca="false">Sens!$E$86+pace_B*0.5</f>
        <v>3897.15</v>
      </c>
      <c r="G86" s="33" t="n">
        <f aca="false">Sens!$F$86</f>
        <v>3897.15</v>
      </c>
      <c r="H86" s="33" t="n">
        <f aca="false">Sens!$G$86+Sens!$H$85</f>
        <v>7531.45</v>
      </c>
      <c r="I86" s="33" t="n">
        <f aca="false">Sens!$H$86+Sens!$I$85</f>
        <v>11165.75</v>
      </c>
      <c r="J86" s="33" t="n">
        <f aca="false">Sens!$I$86+Sens!$J$85</f>
        <v>14800.05</v>
      </c>
      <c r="K86" s="33" t="n">
        <f aca="false">Sens!$J$86+Sens!$K$85</f>
        <v>17370.9171666667</v>
      </c>
      <c r="L86" s="33" t="n">
        <f aca="false">Sens!$K$86+Sens!$L$85</f>
        <v>18878.3515</v>
      </c>
      <c r="M86" s="33" t="n">
        <f aca="false">Sens!$L$86+Sens!$M$85</f>
        <v>19322.353</v>
      </c>
      <c r="N86" s="33" t="n">
        <f aca="false">(mw_ye24+mw_ye25)/2</f>
        <v>900</v>
      </c>
      <c r="O86" s="33" t="n">
        <f aca="false">mw_ye25</f>
        <v>1440</v>
      </c>
      <c r="P86" s="5" t="s">
        <v>602</v>
      </c>
    </row>
    <row r="87" customFormat="false" ht="17.15" hidden="false" customHeight="false" outlineLevel="0" collapsed="false">
      <c r="A87" s="5" t="s">
        <v>603</v>
      </c>
      <c r="B87" s="0" t="s">
        <v>129</v>
      </c>
      <c r="C87" s="32" t="n">
        <f aca="false">(mw_ye23+mw_ye24)/2</f>
        <v>240</v>
      </c>
      <c r="D87" s="32" t="n">
        <f aca="false">(Sens!$C$86+Sens!$D$86)/2</f>
        <v>900</v>
      </c>
      <c r="E87" s="32" t="n">
        <f aca="false">(Sens!$D$86+Sens!$E$86)/2</f>
        <v>1760</v>
      </c>
      <c r="F87" s="32" t="n">
        <f aca="false">(Sens!$E$86+Sens!$F$86)/2</f>
        <v>2988.575</v>
      </c>
      <c r="G87" s="32" t="n">
        <f aca="false">(Sens!$E$87+Sens!$F$87)/2</f>
        <v>2374.2875</v>
      </c>
      <c r="H87" s="32" t="n">
        <f aca="false">(Sens!$G$86+Sens!$H$86)/2</f>
        <v>5714.3</v>
      </c>
      <c r="I87" s="32" t="n">
        <f aca="false">(Sens!$H$86+Sens!$I$86)/2</f>
        <v>9348.6</v>
      </c>
      <c r="J87" s="32" t="n">
        <f aca="false">(Sens!$I$86+Sens!$J$86)/2</f>
        <v>12982.9</v>
      </c>
      <c r="K87" s="32" t="n">
        <f aca="false">(Sens!$J$86+Sens!$K$86)/2</f>
        <v>16085.4835833333</v>
      </c>
      <c r="L87" s="32" t="n">
        <f aca="false">(Sens!$K$86+Sens!$L$86)/2</f>
        <v>18124.6343333333</v>
      </c>
      <c r="M87" s="32" t="n">
        <f aca="false">(Sens!$L$86+Sens!$M$86)/2</f>
        <v>19100.35225</v>
      </c>
      <c r="N87" s="32" t="n">
        <f aca="false">(Sens!$C$86+Sens!$N$86)/2</f>
        <v>630</v>
      </c>
      <c r="O87" s="32" t="n">
        <f aca="false">(Sens!$N$86+Sens!$O$86)/2</f>
        <v>1170</v>
      </c>
    </row>
    <row r="88" customFormat="false" ht="15" hidden="false" customHeight="false" outlineLevel="0" collapsed="false">
      <c r="A88" s="5" t="s">
        <v>604</v>
      </c>
      <c r="B88" s="5" t="s">
        <v>123</v>
      </c>
      <c r="C88" s="34" t="n">
        <v>1</v>
      </c>
      <c r="D88" s="34" t="n">
        <v>1</v>
      </c>
      <c r="E88" s="34" t="n">
        <v>0.5</v>
      </c>
      <c r="F88" s="34" t="n">
        <v>0.5</v>
      </c>
      <c r="G88" s="34" t="n">
        <v>1</v>
      </c>
      <c r="H88" s="34" t="n">
        <v>1</v>
      </c>
      <c r="I88" s="34" t="n">
        <v>1</v>
      </c>
      <c r="J88" s="34" t="n">
        <v>1</v>
      </c>
      <c r="K88" s="34" t="n">
        <v>1</v>
      </c>
      <c r="L88" s="34" t="n">
        <v>1</v>
      </c>
      <c r="M88" s="34" t="n">
        <v>1</v>
      </c>
      <c r="N88" s="34" t="n">
        <v>0.5</v>
      </c>
      <c r="O88" s="34" t="n">
        <v>0.5</v>
      </c>
    </row>
    <row r="89" customFormat="false" ht="17.15" hidden="false" customHeight="false" outlineLevel="0" collapsed="false">
      <c r="A89" s="5" t="s">
        <v>605</v>
      </c>
      <c r="B89" s="0" t="s">
        <v>129</v>
      </c>
      <c r="C89" s="32" t="n">
        <f aca="false">Sens!$C$86-mw_ye23</f>
        <v>240</v>
      </c>
      <c r="D89" s="32" t="n">
        <f aca="false">Sens!$D$86-Sens!$C$86</f>
        <v>1080</v>
      </c>
      <c r="E89" s="32" t="n">
        <f aca="false">Sens!$E$86-Sens!$D$86</f>
        <v>640</v>
      </c>
      <c r="F89" s="32" t="n">
        <f aca="false">Sens!$F$86-Sens!$E$86</f>
        <v>1817.15</v>
      </c>
      <c r="G89" s="32" t="n">
        <f aca="false">Sens!$E$89+Sens!$F$89</f>
        <v>2457.15</v>
      </c>
      <c r="H89" s="32" t="n">
        <f aca="false">Sens!$H$86-Sens!$G$86</f>
        <v>3634.3</v>
      </c>
      <c r="I89" s="32" t="n">
        <f aca="false">Sens!$I$86-Sens!$H$86</f>
        <v>3634.3</v>
      </c>
      <c r="J89" s="32" t="n">
        <f aca="false">Sens!$J$86-Sens!$I$86</f>
        <v>3634.3</v>
      </c>
      <c r="K89" s="32" t="n">
        <f aca="false">Sens!$K$86-Sens!$J$86</f>
        <v>2570.86716666667</v>
      </c>
      <c r="L89" s="32" t="n">
        <f aca="false">Sens!$L$86-Sens!$K$86</f>
        <v>1507.43433333333</v>
      </c>
      <c r="M89" s="32" t="n">
        <f aca="false">Sens!$M$86-Sens!$L$86</f>
        <v>444.001499999999</v>
      </c>
      <c r="N89" s="32" t="n">
        <f aca="false">Sens!$N$86-Sens!$C$86</f>
        <v>540</v>
      </c>
      <c r="O89" s="32" t="n">
        <f aca="false">Sens!$O$86-Sens!$N$86</f>
        <v>540</v>
      </c>
    </row>
    <row r="90" customFormat="false" ht="17.15" hidden="false" customHeight="false" outlineLevel="0" collapsed="false">
      <c r="A90" s="5" t="s">
        <v>606</v>
      </c>
      <c r="B90" s="0" t="s">
        <v>129</v>
      </c>
      <c r="C90" s="32" t="n">
        <f aca="false">Sens!$C$89/ext_sh</f>
        <v>300</v>
      </c>
      <c r="D90" s="32" t="n">
        <f aca="false">Sens!$D$89/ext_sh</f>
        <v>1350</v>
      </c>
      <c r="E90" s="32" t="n">
        <f aca="false">Sens!$E$89/ext_sh</f>
        <v>800</v>
      </c>
      <c r="F90" s="32" t="n">
        <f aca="false">Sens!$F$89/ext_sh</f>
        <v>2271.4375</v>
      </c>
      <c r="G90" s="32" t="n">
        <f aca="false">Sens!$G$89/ext_sh</f>
        <v>3071.4375</v>
      </c>
      <c r="H90" s="32" t="n">
        <f aca="false">Sens!$H$89/ext_sh</f>
        <v>4542.875</v>
      </c>
      <c r="I90" s="32" t="n">
        <f aca="false">Sens!$I$89/ext_sh</f>
        <v>4542.875</v>
      </c>
      <c r="J90" s="32" t="n">
        <f aca="false">Sens!$J$89/ext_sh</f>
        <v>4542.875</v>
      </c>
      <c r="K90" s="32" t="n">
        <f aca="false">Sens!$K$89/ext_sh</f>
        <v>3213.58395833333</v>
      </c>
      <c r="L90" s="32" t="n">
        <f aca="false">Sens!$L$89/ext_sh</f>
        <v>1884.29291666667</v>
      </c>
      <c r="M90" s="32" t="n">
        <f aca="false">Sens!$M$89/ext_sh</f>
        <v>555.001874999998</v>
      </c>
      <c r="N90" s="32" t="n">
        <f aca="false">Sens!$N$89/ext_sh</f>
        <v>675</v>
      </c>
      <c r="O90" s="32" t="n">
        <f aca="false">Sens!$O$89/ext_sh</f>
        <v>675</v>
      </c>
      <c r="P90" s="8" t="s">
        <v>607</v>
      </c>
      <c r="R90" s="32" t="n">
        <f aca="false">mw_ye23/ext_sh</f>
        <v>150</v>
      </c>
      <c r="S90" s="32" t="n">
        <f aca="false">Sens!$C$90</f>
        <v>300</v>
      </c>
      <c r="T90" s="32" t="n">
        <f aca="false">Sens!$D$90</f>
        <v>1350</v>
      </c>
      <c r="U90" s="32" t="n">
        <f aca="false">Sens!$G$90</f>
        <v>3071.4375</v>
      </c>
      <c r="V90" s="32" t="n">
        <f aca="false">Sens!$H$90</f>
        <v>4542.875</v>
      </c>
      <c r="W90" s="32" t="n">
        <f aca="false">Sens!$I$90</f>
        <v>4542.875</v>
      </c>
      <c r="X90" s="32" t="n">
        <f aca="false">Sens!$J$90</f>
        <v>4542.875</v>
      </c>
      <c r="Y90" s="32" t="n">
        <f aca="false">Sens!$K$90</f>
        <v>3213.58395833333</v>
      </c>
      <c r="Z90" s="32" t="n">
        <f aca="false">Sens!$L$90</f>
        <v>1884.29291666667</v>
      </c>
      <c r="AA90" s="32" t="n">
        <f aca="false">Sens!$M$90</f>
        <v>555.001874999998</v>
      </c>
    </row>
    <row r="91" customFormat="false" ht="17.15" hidden="false" customHeight="false" outlineLevel="0" collapsed="false">
      <c r="A91" s="1" t="s">
        <v>608</v>
      </c>
    </row>
    <row r="92" customFormat="false" ht="17.15" hidden="false" customHeight="false" outlineLevel="0" collapsed="false">
      <c r="A92" s="0" t="s">
        <v>609</v>
      </c>
      <c r="B92" s="0" t="s">
        <v>52</v>
      </c>
      <c r="F92" s="35" t="n">
        <f aca="false">na_vr26</f>
        <v>0</v>
      </c>
      <c r="G92" s="35" t="n">
        <f aca="false">na_vr26</f>
        <v>0</v>
      </c>
      <c r="H92" s="35" t="n">
        <f aca="false">na_vr27</f>
        <v>0.5</v>
      </c>
      <c r="I92" s="35" t="n">
        <f aca="false">na_vr28</f>
        <v>1</v>
      </c>
      <c r="J92" s="35" t="n">
        <f aca="false">na_vr28</f>
        <v>1</v>
      </c>
      <c r="K92" s="35" t="n">
        <f aca="false">na_vr28</f>
        <v>1</v>
      </c>
      <c r="L92" s="35" t="n">
        <f aca="false">na_vr28</f>
        <v>1</v>
      </c>
      <c r="M92" s="35" t="n">
        <f aca="false">na_vr28</f>
        <v>1</v>
      </c>
    </row>
    <row r="93" customFormat="false" ht="17.15" hidden="false" customHeight="false" outlineLevel="0" collapsed="false">
      <c r="A93" s="5" t="s">
        <v>610</v>
      </c>
      <c r="B93" s="0" t="s">
        <v>173</v>
      </c>
      <c r="F93" s="36" t="n">
        <f aca="false">cust_sh*tk_he_gb300*cf_chip+(1-cust_sh)*((1-Sens!$F$92)*tk_he_gb300+Sens!$F$92*tk_he_vr200)</f>
        <v>10.8864110021101</v>
      </c>
      <c r="G93" s="36" t="n">
        <f aca="false">cust_sh*tk_he_gb300*cf_chip+(1-cust_sh)*((1-Sens!$G$92)*tk_he_gb300+Sens!$G$92*tk_he_vr200)</f>
        <v>10.8864110021101</v>
      </c>
      <c r="H93" s="36" t="n">
        <f aca="false">cust_sh*tk_he_gb300*cf_chip+(1-cust_sh)*((1-Sens!$H$92)*tk_he_gb300+Sens!$H$92*tk_he_vr200)</f>
        <v>11.2211760027286</v>
      </c>
      <c r="I93" s="36" t="n">
        <f aca="false">cust_sh*tk_he_gb300*cf_chip+(1-cust_sh)*((1-Sens!$I$92)*tk_he_gb300+Sens!$I$92*tk_he_vr200)</f>
        <v>11.5559410033471</v>
      </c>
      <c r="J93" s="36" t="n">
        <f aca="false">cust_sh*tk_he_gb300*cf_chip+(1-cust_sh)*((1-Sens!$J$92)*tk_he_gb300+Sens!$J$92*tk_he_vr200)</f>
        <v>11.5559410033471</v>
      </c>
      <c r="K93" s="36" t="n">
        <f aca="false">cust_sh*tk_he_gb300*cf_chip+(1-cust_sh)*((1-Sens!$K$92)*tk_he_gb300+Sens!$K$92*tk_he_vr200)</f>
        <v>11.5559410033471</v>
      </c>
      <c r="L93" s="36" t="n">
        <f aca="false">cust_sh*tk_he_gb300*cf_chip+(1-cust_sh)*((1-Sens!$L$92)*tk_he_gb300+Sens!$L$92*tk_he_vr200)</f>
        <v>11.5559410033471</v>
      </c>
      <c r="M93" s="36" t="n">
        <f aca="false">cust_sh*tk_he_gb300*cf_chip+(1-cust_sh)*((1-Sens!$M$92)*tk_he_gb300+Sens!$M$92*tk_he_vr200)</f>
        <v>11.5559410033471</v>
      </c>
    </row>
    <row r="94" customFormat="false" ht="17.15" hidden="false" customHeight="false" outlineLevel="0" collapsed="false">
      <c r="A94" s="5" t="s">
        <v>611</v>
      </c>
      <c r="B94" s="0" t="s">
        <v>173</v>
      </c>
      <c r="F94" s="36" t="n">
        <f aca="false">cust_sh*tk_ox_gb300+(1-cust_sh)*((1-Sens!$F$92)*tk_ox_gb300+Sens!$F$92*tk_ox_vr200)</f>
        <v>1.98263481314457</v>
      </c>
      <c r="G94" s="36" t="n">
        <f aca="false">cust_sh*tk_ox_gb300+(1-cust_sh)*((1-Sens!$G$92)*tk_ox_gb300+Sens!$G$92*tk_ox_vr200)</f>
        <v>1.98263481314457</v>
      </c>
      <c r="H94" s="36" t="n">
        <f aca="false">cust_sh*tk_ox_gb300+(1-cust_sh)*((1-Sens!$H$92)*tk_ox_gb300+Sens!$H$92*tk_ox_vr200)</f>
        <v>2.01034999693694</v>
      </c>
      <c r="I94" s="36" t="n">
        <f aca="false">cust_sh*tk_ox_gb300+(1-cust_sh)*((1-Sens!$I$92)*tk_ox_gb300+Sens!$I$92*tk_ox_vr200)</f>
        <v>2.0380651807293</v>
      </c>
      <c r="J94" s="36" t="n">
        <f aca="false">cust_sh*tk_ox_gb300+(1-cust_sh)*((1-Sens!$J$92)*tk_ox_gb300+Sens!$J$92*tk_ox_vr200)</f>
        <v>2.0380651807293</v>
      </c>
      <c r="K94" s="36" t="n">
        <f aca="false">cust_sh*tk_ox_gb300+(1-cust_sh)*((1-Sens!$K$92)*tk_ox_gb300+Sens!$K$92*tk_ox_vr200)</f>
        <v>2.0380651807293</v>
      </c>
      <c r="L94" s="36" t="n">
        <f aca="false">cust_sh*tk_ox_gb300+(1-cust_sh)*((1-Sens!$L$92)*tk_ox_gb300+Sens!$L$92*tk_ox_vr200)</f>
        <v>2.0380651807293</v>
      </c>
      <c r="M94" s="36" t="n">
        <f aca="false">cust_sh*tk_ox_gb300+(1-cust_sh)*((1-Sens!$M$92)*tk_ox_gb300+Sens!$M$92*tk_ox_vr200)</f>
        <v>2.0380651807293</v>
      </c>
    </row>
    <row r="95" customFormat="false" ht="17.15" hidden="false" customHeight="false" outlineLevel="0" collapsed="false">
      <c r="A95" s="5" t="s">
        <v>612</v>
      </c>
      <c r="B95" s="0" t="s">
        <v>192</v>
      </c>
      <c r="F95" s="36" t="n">
        <f aca="false">cust_sh*tk_cx_gb300*cf_cx+(1-cust_sh)*((1-Sens!$F$92)*tk_cx_gb300+Sens!$F$92*tk_cx_vr200)</f>
        <v>32.237224</v>
      </c>
      <c r="G95" s="36" t="n">
        <f aca="false">cust_sh*tk_cx_gb300*cf_cx+(1-cust_sh)*((1-Sens!$G$92)*tk_cx_gb300+Sens!$G$92*tk_cx_vr200)</f>
        <v>32.237224</v>
      </c>
      <c r="H95" s="36" t="n">
        <f aca="false">cust_sh*tk_cx_gb300*cf_cx+(1-cust_sh)*((1-Sens!$H$92)*tk_cx_gb300+Sens!$H$92*tk_cx_vr200)</f>
        <v>33.574506</v>
      </c>
      <c r="I95" s="36" t="n">
        <f aca="false">cust_sh*tk_cx_gb300*cf_cx+(1-cust_sh)*((1-Sens!$I$92)*tk_cx_gb300+Sens!$I$92*tk_cx_vr200)</f>
        <v>34.911788</v>
      </c>
      <c r="J95" s="36" t="n">
        <f aca="false">cust_sh*tk_cx_gb300*cf_cx+(1-cust_sh)*((1-Sens!$J$92)*tk_cx_gb300+Sens!$J$92*tk_cx_vr200)</f>
        <v>34.911788</v>
      </c>
      <c r="K95" s="36" t="n">
        <f aca="false">cust_sh*tk_cx_gb300*cf_cx+(1-cust_sh)*((1-Sens!$K$92)*tk_cx_gb300+Sens!$K$92*tk_cx_vr200)</f>
        <v>34.911788</v>
      </c>
      <c r="L95" s="36" t="n">
        <f aca="false">cust_sh*tk_cx_gb300*cf_cx+(1-cust_sh)*((1-Sens!$L$92)*tk_cx_gb300+Sens!$L$92*tk_cx_vr200)</f>
        <v>34.911788</v>
      </c>
      <c r="M95" s="36" t="n">
        <f aca="false">cust_sh*tk_cx_gb300*cf_cx+(1-cust_sh)*((1-Sens!$M$92)*tk_cx_gb300+Sens!$M$92*tk_cx_vr200)</f>
        <v>34.911788</v>
      </c>
    </row>
    <row r="96" customFormat="false" ht="17.15" hidden="false" customHeight="false" outlineLevel="0" collapsed="false">
      <c r="A96" s="5" t="s">
        <v>613</v>
      </c>
      <c r="B96" s="0" t="s">
        <v>129</v>
      </c>
      <c r="F96" s="32" t="n">
        <f aca="false">Sens!$F$86-mw_open</f>
        <v>1817.15</v>
      </c>
      <c r="G96" s="32" t="n">
        <f aca="false">Sens!$F$96</f>
        <v>1817.15</v>
      </c>
      <c r="H96" s="32" t="n">
        <f aca="false">Sens!$H$86-mw_open</f>
        <v>5451.45</v>
      </c>
      <c r="I96" s="32" t="n">
        <f aca="false">Sens!$I$86-mw_open</f>
        <v>9085.75</v>
      </c>
      <c r="J96" s="32" t="n">
        <f aca="false">Sens!$J$86-mw_open</f>
        <v>12720.05</v>
      </c>
      <c r="K96" s="32" t="n">
        <f aca="false">Sens!$K$86-mw_open</f>
        <v>15290.9171666667</v>
      </c>
      <c r="L96" s="32" t="n">
        <f aca="false">Sens!$L$86-mw_open</f>
        <v>16798.3515</v>
      </c>
      <c r="M96" s="32" t="n">
        <f aca="false">Sens!$M$86-mw_open</f>
        <v>17242.353</v>
      </c>
    </row>
    <row r="97" customFormat="false" ht="17.15" hidden="false" customHeight="false" outlineLevel="0" collapsed="false">
      <c r="A97" s="0" t="s">
        <v>614</v>
      </c>
      <c r="B97" s="0" t="s">
        <v>615</v>
      </c>
      <c r="F97" s="32" t="n">
        <f aca="false">Sens!$F$89*Sens!$F$93</f>
        <v>19782.2417524844</v>
      </c>
      <c r="G97" s="32" t="n">
        <f aca="false">Sens!$F$97</f>
        <v>19782.2417524844</v>
      </c>
      <c r="H97" s="32" t="n">
        <f aca="false">Sens!$G$97+Sens!$H$89*Sens!$H$93</f>
        <v>60563.3616992009</v>
      </c>
      <c r="I97" s="32" t="n">
        <f aca="false">Sens!$H$97+Sens!$I$89*Sens!$I$93</f>
        <v>102561.118087665</v>
      </c>
      <c r="J97" s="32" t="n">
        <f aca="false">Sens!$I$97+Sens!$J$89*Sens!$J$93</f>
        <v>144558.87447613</v>
      </c>
      <c r="K97" s="32" t="n">
        <f aca="false">Sens!$J$97+Sens!$K$89*Sens!$K$93</f>
        <v>174267.663781572</v>
      </c>
      <c r="L97" s="32" t="n">
        <f aca="false">Sens!$K$97+Sens!$L$89*Sens!$L$93</f>
        <v>191687.486003992</v>
      </c>
      <c r="M97" s="32" t="n">
        <f aca="false">Sens!$L$97+Sens!$M$89*Sens!$M$93</f>
        <v>196818.341143389</v>
      </c>
    </row>
    <row r="98" customFormat="false" ht="17.15" hidden="false" customHeight="false" outlineLevel="0" collapsed="false">
      <c r="A98" s="0" t="s">
        <v>616</v>
      </c>
      <c r="B98" s="0" t="s">
        <v>615</v>
      </c>
      <c r="F98" s="32" t="n">
        <f aca="false">Sens!$F$89*Sens!$F$94</f>
        <v>3602.74485070566</v>
      </c>
      <c r="G98" s="32" t="n">
        <f aca="false">Sens!$F$98</f>
        <v>3602.74485070566</v>
      </c>
      <c r="H98" s="32" t="n">
        <f aca="false">Sens!$G$98+Sens!$H$89*Sens!$H$94</f>
        <v>10908.9598445736</v>
      </c>
      <c r="I98" s="32" t="n">
        <f aca="false">Sens!$H$98+Sens!$I$89*Sens!$I$94</f>
        <v>18315.9001308981</v>
      </c>
      <c r="J98" s="32" t="n">
        <f aca="false">Sens!$I$98+Sens!$J$89*Sens!$J$94</f>
        <v>25722.8404172225</v>
      </c>
      <c r="K98" s="32" t="n">
        <f aca="false">Sens!$J$98+Sens!$K$89*Sens!$K$94</f>
        <v>30962.4352738861</v>
      </c>
      <c r="L98" s="32" t="n">
        <f aca="false">Sens!$K$98+Sens!$L$89*Sens!$L$94</f>
        <v>34034.6847008886</v>
      </c>
      <c r="M98" s="32" t="n">
        <f aca="false">Sens!$L$98+Sens!$M$89*Sens!$M$94</f>
        <v>34939.5886982302</v>
      </c>
    </row>
    <row r="99" customFormat="false" ht="17.15" hidden="false" customHeight="false" outlineLevel="0" collapsed="false">
      <c r="A99" s="5" t="s">
        <v>617</v>
      </c>
      <c r="B99" s="0" t="s">
        <v>173</v>
      </c>
      <c r="F99" s="36" t="n">
        <f aca="false">IF(Sens!$F$96&gt;0,Sens!$F$97/Sens!$F$96,Sens!$F$93)</f>
        <v>10.8864110021101</v>
      </c>
      <c r="G99" s="36" t="n">
        <f aca="false">IF(Sens!$G$96&gt;0,Sens!$G$97/Sens!$G$96,Sens!$G$93)</f>
        <v>10.8864110021101</v>
      </c>
      <c r="H99" s="36" t="n">
        <f aca="false">IF(Sens!$H$96&gt;0,Sens!$H$97/Sens!$H$96,Sens!$H$93)</f>
        <v>11.1095876691891</v>
      </c>
      <c r="I99" s="36" t="n">
        <f aca="false">IF(Sens!$I$96&gt;0,Sens!$I$97/Sens!$I$96,Sens!$I$93)</f>
        <v>11.2881290028523</v>
      </c>
      <c r="J99" s="36" t="n">
        <f aca="false">IF(Sens!$J$96&gt;0,Sens!$J$97/Sens!$J$96,Sens!$J$93)</f>
        <v>11.3646467172794</v>
      </c>
      <c r="K99" s="36" t="n">
        <f aca="false">IF(Sens!$K$96&gt;0,Sens!$K$97/Sens!$K$96,Sens!$K$93)</f>
        <v>11.3968090914432</v>
      </c>
      <c r="L99" s="36" t="n">
        <f aca="false">IF(Sens!$L$96&gt;0,Sens!$L$97/Sens!$L$96,Sens!$L$93)</f>
        <v>11.4110891181192</v>
      </c>
      <c r="M99" s="36" t="n">
        <f aca="false">IF(Sens!$M$96&gt;0,Sens!$M$97/Sens!$M$96,Sens!$M$93)</f>
        <v>11.4148191458201</v>
      </c>
    </row>
    <row r="100" customFormat="false" ht="17.15" hidden="false" customHeight="false" outlineLevel="0" collapsed="false">
      <c r="A100" s="5" t="s">
        <v>618</v>
      </c>
      <c r="B100" s="0" t="s">
        <v>173</v>
      </c>
      <c r="F100" s="36" t="n">
        <f aca="false">IF(Sens!$F$96&gt;0,Sens!$F$98/Sens!$F$96,Sens!$F$94)</f>
        <v>1.98263481314457</v>
      </c>
      <c r="G100" s="36" t="n">
        <f aca="false">IF(Sens!$G$96&gt;0,Sens!$G$98/Sens!$G$96,Sens!$G$94)</f>
        <v>1.98263481314457</v>
      </c>
      <c r="H100" s="36" t="n">
        <f aca="false">IF(Sens!$H$96&gt;0,Sens!$H$98/Sens!$H$96,Sens!$H$94)</f>
        <v>2.00111160233948</v>
      </c>
      <c r="I100" s="36" t="n">
        <f aca="false">IF(Sens!$I$96&gt;0,Sens!$I$98/Sens!$I$96,Sens!$I$94)</f>
        <v>2.01589303369541</v>
      </c>
      <c r="J100" s="36" t="n">
        <f aca="false">IF(Sens!$J$96&gt;0,Sens!$J$98/Sens!$J$96,Sens!$J$94)</f>
        <v>2.02222793284795</v>
      </c>
      <c r="K100" s="36" t="n">
        <f aca="false">IF(Sens!$K$96&gt;0,Sens!$K$98/Sens!$K$96,Sens!$K$94)</f>
        <v>2.02489065478573</v>
      </c>
      <c r="L100" s="36" t="n">
        <f aca="false">IF(Sens!$L$96&gt;0,Sens!$L$98/Sens!$L$96,Sens!$L$94)</f>
        <v>2.0260728977417</v>
      </c>
      <c r="M100" s="36" t="n">
        <f aca="false">IF(Sens!$M$96&gt;0,Sens!$M$98/Sens!$M$96,Sens!$M$94)</f>
        <v>2.02638170661685</v>
      </c>
    </row>
    <row r="101" customFormat="false" ht="17.15" hidden="false" customHeight="false" outlineLevel="0" collapsed="false">
      <c r="A101" s="15" t="s">
        <v>619</v>
      </c>
      <c r="B101" s="14" t="s">
        <v>173</v>
      </c>
      <c r="C101" s="14"/>
      <c r="D101" s="14"/>
      <c r="E101" s="14"/>
      <c r="F101" s="37" t="n">
        <f aca="false">Sens!$F$99*k_B</f>
        <v>10.7987645808025</v>
      </c>
      <c r="G101" s="37" t="n">
        <f aca="false">Sens!$G$99*k_B</f>
        <v>10.7987645808025</v>
      </c>
      <c r="H101" s="37" t="n">
        <f aca="false">Sens!$H$99*k_B</f>
        <v>11.0201444540452</v>
      </c>
      <c r="I101" s="37" t="n">
        <f aca="false">Sens!$I$99*k_B</f>
        <v>11.1972483526393</v>
      </c>
      <c r="J101" s="37" t="n">
        <f aca="false">Sens!$J$99*k_B</f>
        <v>11.2731500234653</v>
      </c>
      <c r="K101" s="37" t="n">
        <f aca="false">Sens!$K$99*k_B</f>
        <v>11.3050534585724</v>
      </c>
      <c r="L101" s="37" t="n">
        <f aca="false">Sens!$L$99*k_B</f>
        <v>11.3192185168503</v>
      </c>
      <c r="M101" s="37" t="n">
        <f aca="false">Sens!$M$99*k_B</f>
        <v>11.3229185141234</v>
      </c>
      <c r="N101" s="14"/>
      <c r="O101" s="14"/>
      <c r="P101" s="5" t="s">
        <v>620</v>
      </c>
    </row>
    <row r="102" customFormat="false" ht="17.15" hidden="false" customHeight="false" outlineLevel="0" collapsed="false">
      <c r="A102" s="5" t="s">
        <v>621</v>
      </c>
      <c r="B102" s="0" t="s">
        <v>129</v>
      </c>
      <c r="F102" s="32" t="n">
        <f aca="false">Sens!$F$96/2</f>
        <v>908.575</v>
      </c>
      <c r="H102" s="32" t="n">
        <f aca="false">(Sens!$G$96+Sens!$H$96)/2</f>
        <v>3634.3</v>
      </c>
      <c r="I102" s="32" t="n">
        <f aca="false">(Sens!$H$96+Sens!$I$96)/2</f>
        <v>7268.6</v>
      </c>
      <c r="J102" s="32" t="n">
        <f aca="false">(Sens!$I$96+Sens!$J$96)/2</f>
        <v>10902.9</v>
      </c>
      <c r="K102" s="32" t="n">
        <f aca="false">(Sens!$J$96+Sens!$K$96)/2</f>
        <v>14005.4835833333</v>
      </c>
      <c r="L102" s="32" t="n">
        <f aca="false">(Sens!$K$96+Sens!$L$96)/2</f>
        <v>16044.6343333333</v>
      </c>
      <c r="M102" s="32" t="n">
        <f aca="false">(Sens!$L$96+Sens!$M$96)/2</f>
        <v>17020.35225</v>
      </c>
    </row>
    <row r="103" customFormat="false" ht="17.15" hidden="false" customHeight="false" outlineLevel="0" collapsed="false">
      <c r="A103" s="1" t="s">
        <v>622</v>
      </c>
    </row>
    <row r="104" customFormat="false" ht="17.15" hidden="false" customHeight="false" outlineLevel="0" collapsed="false">
      <c r="A104" s="1" t="s">
        <v>623</v>
      </c>
      <c r="B104" s="8" t="s">
        <v>86</v>
      </c>
      <c r="C104" s="38" t="n">
        <f aca="false">Sens!$C$87*rpm_open*Sens!$C$88/1000</f>
        <v>2.32100535697364</v>
      </c>
      <c r="D104" s="38" t="n">
        <f aca="false">Sens!$D$87*rpm_open*Sens!$D$88/1000</f>
        <v>8.70377008865116</v>
      </c>
      <c r="E104" s="38" t="n">
        <f aca="false">Sens!$E$87*rpm_open*Sens!$E$88/1000</f>
        <v>8.51035297557002</v>
      </c>
      <c r="F104" s="38" t="n">
        <f aca="false">(mw_open*rpm_open+Sens!$F$102*Sens!$F$101)*Sens!$F$88/1000</f>
        <v>14.9634336447205</v>
      </c>
      <c r="G104" s="38" t="n">
        <f aca="false">Sens!$E$104+Sens!$F$104</f>
        <v>23.4737866202905</v>
      </c>
      <c r="H104" s="38" t="n">
        <f aca="false">(mw_open*rpm_open+Sens!$H$102*Sens!$H$101)/1000</f>
        <v>60.1658907497746</v>
      </c>
      <c r="I104" s="38" t="n">
        <f aca="false">(mw_open*rpm_open+Sens!$I$102*Sens!$I$101)/1000</f>
        <v>101.503699136432</v>
      </c>
      <c r="J104" s="38" t="n">
        <f aca="false">(mw_open*rpm_open+Sens!$J$102*Sens!$J$101)/1000</f>
        <v>143.025407151278</v>
      </c>
      <c r="K104" s="38" t="n">
        <f aca="false">(mw_open*rpm_open+Sens!$K$102*Sens!$K$101)/1000</f>
        <v>178.44812038318</v>
      </c>
      <c r="L104" s="38" t="n">
        <f aca="false">(mw_open*rpm_open+Sens!$L$102*Sens!$L$101)/1000</f>
        <v>201.728101802396</v>
      </c>
      <c r="M104" s="38" t="n">
        <f aca="false">(mw_open*rpm_open+Sens!$M$102*Sens!$M$101)/1000</f>
        <v>212.835441368865</v>
      </c>
      <c r="N104" s="38" t="n">
        <f aca="false">Sens!$N$87*rpm_open*Sens!$N$88/1000</f>
        <v>3.04631953102791</v>
      </c>
      <c r="O104" s="38" t="n">
        <f aca="false">Sens!$O$87*rpm_open*Sens!$O$88/1000</f>
        <v>5.65745055762326</v>
      </c>
      <c r="P104" s="5" t="s">
        <v>624</v>
      </c>
    </row>
    <row r="105" customFormat="false" ht="17.15" hidden="false" customHeight="false" outlineLevel="0" collapsed="false">
      <c r="A105" s="5" t="s">
        <v>625</v>
      </c>
      <c r="B105" s="0" t="s">
        <v>173</v>
      </c>
      <c r="C105" s="36" t="n">
        <f aca="false">Sens!$C$104*1000/(Sens!$C$87*Sens!$C$88)</f>
        <v>9.67085565405685</v>
      </c>
      <c r="D105" s="36" t="n">
        <f aca="false">Sens!$D$104*1000/(Sens!$D$87*Sens!$D$88)</f>
        <v>9.67085565405685</v>
      </c>
      <c r="E105" s="36" t="n">
        <f aca="false">Sens!$E$104*1000/(Sens!$E$87*Sens!$E$88)</f>
        <v>9.67085565405685</v>
      </c>
      <c r="F105" s="36" t="n">
        <f aca="false">Sens!$F$104*1000/(Sens!$F$87*Sens!$F$88)</f>
        <v>10.0137581588017</v>
      </c>
      <c r="G105" s="36" t="n">
        <f aca="false">Sens!$G$104*1000/(Sens!$G$87*Sens!$G$88)</f>
        <v>9.88666562928478</v>
      </c>
      <c r="H105" s="36" t="n">
        <f aca="false">Sens!$H$104*1000/(Sens!$H$87*Sens!$H$88)</f>
        <v>10.5290045586992</v>
      </c>
      <c r="I105" s="36" t="n">
        <f aca="false">Sens!$I$104*1000/(Sens!$I$87*Sens!$I$88)</f>
        <v>10.8576363451674</v>
      </c>
      <c r="J105" s="36" t="n">
        <f aca="false">Sens!$J$104*1000/(Sens!$J$87*Sens!$J$88)</f>
        <v>11.0164452588619</v>
      </c>
      <c r="K105" s="36" t="n">
        <f aca="false">Sens!$K$104*1000/(Sens!$K$87*Sens!$K$88)</f>
        <v>11.0937367508227</v>
      </c>
      <c r="L105" s="36" t="n">
        <f aca="false">Sens!$L$104*1000/(Sens!$L$87*Sens!$L$88)</f>
        <v>11.1300508519168</v>
      </c>
      <c r="M105" s="36" t="n">
        <f aca="false">Sens!$M$104*1000/(Sens!$M$87*Sens!$M$88)</f>
        <v>11.1430113216297</v>
      </c>
      <c r="N105" s="36" t="n">
        <f aca="false">Sens!$N$104*1000/(Sens!$N$87*Sens!$N$88)</f>
        <v>9.67085565405685</v>
      </c>
      <c r="O105" s="36" t="n">
        <f aca="false">Sens!$O$104*1000/(Sens!$O$87*Sens!$O$88)</f>
        <v>9.67085565405685</v>
      </c>
    </row>
    <row r="106" customFormat="false" ht="17.15" hidden="false" customHeight="false" outlineLevel="0" collapsed="false">
      <c r="A106" s="0" t="s">
        <v>626</v>
      </c>
      <c r="B106" s="0" t="s">
        <v>86</v>
      </c>
      <c r="C106" s="38" t="n">
        <f aca="false">Sens!$C$87/ext_sh*(ox_open+rent_mw)*Sens!$C$88/1000</f>
        <v>0.642569210675032</v>
      </c>
      <c r="D106" s="38" t="n">
        <f aca="false">Sens!$D$87/ext_sh*(ox_open+rent_mw)*Sens!$D$88/1000</f>
        <v>2.40963454003137</v>
      </c>
      <c r="E106" s="38" t="n">
        <f aca="false">Sens!$E$87/ext_sh*(ox_open+rent_mw)*Sens!$E$88/1000</f>
        <v>2.35608710580845</v>
      </c>
      <c r="F106" s="38" t="n">
        <f aca="false">((mw_open*ox_open+Sens!$F$102*Sens!$F$100)/ext_sh+Sens!$F$87/ext_sh*rent_mw)*Sens!$F$88/1000</f>
        <v>4.05421991106232</v>
      </c>
      <c r="G106" s="38" t="n">
        <f aca="false">Sens!$E$106+Sens!$F$106</f>
        <v>6.41030701687077</v>
      </c>
      <c r="H106" s="38" t="n">
        <f aca="false">((mw_open*ox_open+Sens!$H$102*Sens!$H$100)/ext_sh+Sens!$H$87/ext_sh*rent_mw)*Sens!$H$88/1000</f>
        <v>15.8108975546616</v>
      </c>
      <c r="I106" s="38" t="n">
        <f aca="false">((mw_open*ox_open+Sens!$I$102*Sens!$I$100)/ext_sh+Sens!$I$87/ext_sh*rent_mw)*Sens!$I$88/1000</f>
        <v>26.1871623400817</v>
      </c>
      <c r="J106" s="38" t="n">
        <f aca="false">((mw_open*ox_open+Sens!$J$102*Sens!$J$100)/ext_sh+Sens!$J$87/ext_sh*rent_mw)*Sens!$J$88/1000</f>
        <v>36.5826128954935</v>
      </c>
      <c r="K106" s="38" t="n">
        <f aca="false">((mw_open*ox_open+Sens!$K$102*Sens!$K$100)/ext_sh+Sens!$K$87/ext_sh*rent_mw)*Sens!$K$88/1000</f>
        <v>45.4546361137628</v>
      </c>
      <c r="L106" s="38" t="n">
        <f aca="false">((mw_open*ox_open+Sens!$L$102*Sens!$L$100)/ext_sh+Sens!$L$87/ext_sh*rent_mw)*Sens!$L$88/1000</f>
        <v>51.2855695554452</v>
      </c>
      <c r="M106" s="38" t="n">
        <f aca="false">((mw_open*ox_open+Sens!$M$102*Sens!$M$100)/ext_sh+Sens!$M$87/ext_sh*rent_mw)*Sens!$M$88/1000</f>
        <v>54.0722927838398</v>
      </c>
      <c r="N106" s="38" t="n">
        <f aca="false">Sens!$N$87/ext_sh*(ox_open+rent_mw)*Sens!$N$88/1000</f>
        <v>0.84337208901098</v>
      </c>
      <c r="O106" s="38" t="n">
        <f aca="false">Sens!$O$87/ext_sh*(ox_open+rent_mw)*Sens!$O$88/1000</f>
        <v>1.56626245102039</v>
      </c>
    </row>
    <row r="107" customFormat="false" ht="17.15" hidden="false" customHeight="false" outlineLevel="0" collapsed="false">
      <c r="A107" s="0" t="s">
        <v>627</v>
      </c>
      <c r="B107" s="0" t="s">
        <v>86</v>
      </c>
      <c r="C107" s="38" t="n">
        <f aca="false">Q!$D$7</f>
        <v>107.556</v>
      </c>
      <c r="D107" s="38" t="n">
        <f aca="false">Q!$E$7</f>
        <v>128.725</v>
      </c>
      <c r="E107" s="38" t="n">
        <f aca="false">Q!$P$7</f>
        <v>79.819</v>
      </c>
      <c r="N107" s="38" t="n">
        <f aca="false">Q!$N$7</f>
        <v>60.14</v>
      </c>
      <c r="O107" s="38" t="n">
        <f aca="false">Q!$O$7</f>
        <v>68.585</v>
      </c>
    </row>
    <row r="108" customFormat="false" ht="17.15" hidden="false" customHeight="false" outlineLevel="0" collapsed="false">
      <c r="A108" s="1" t="s">
        <v>628</v>
      </c>
      <c r="B108" s="8" t="s">
        <v>86</v>
      </c>
      <c r="C108" s="38" t="n">
        <f aca="false">Sens!$C$107-Sens!$C$104</f>
        <v>105.234994643026</v>
      </c>
      <c r="D108" s="38" t="n">
        <f aca="false">Sens!$D$107-Sens!$D$104</f>
        <v>120.021229911349</v>
      </c>
      <c r="E108" s="38" t="n">
        <f aca="false">Sens!$E$107-Sens!$E$104</f>
        <v>71.30864702443</v>
      </c>
      <c r="F108" s="38" t="n">
        <f aca="false">Sens!$O$108*(1+Sens!$F$109)</f>
        <v>71.7692997942464</v>
      </c>
      <c r="G108" s="38" t="n">
        <f aca="false">Sens!$E$108+Sens!$F$108</f>
        <v>143.077946818676</v>
      </c>
      <c r="H108" s="38" t="n">
        <f aca="false">Sens!$G$108*(1+Sens!$H$109)</f>
        <v>161.017077079203</v>
      </c>
      <c r="I108" s="38" t="n">
        <f aca="false">Sens!$H$108*(1+Sens!$I$109)</f>
        <v>178.769759521457</v>
      </c>
      <c r="J108" s="38" t="n">
        <f aca="false">Sens!$I$108*(1+Sens!$J$109)</f>
        <v>195.775538045907</v>
      </c>
      <c r="K108" s="38" t="n">
        <f aca="false">Sens!$J$108*(1+Sens!$K$109)</f>
        <v>211.43758108958</v>
      </c>
      <c r="L108" s="38" t="n">
        <f aca="false">Sens!$K$108*(1+Sens!$L$109)</f>
        <v>228.352587576746</v>
      </c>
      <c r="M108" s="38" t="n">
        <f aca="false">Sens!$L$108*(1+Sens!$M$109)</f>
        <v>246.620794582886</v>
      </c>
      <c r="N108" s="38" t="n">
        <f aca="false">Sens!$N$107-Sens!$N$104</f>
        <v>57.0936804689721</v>
      </c>
      <c r="O108" s="38" t="n">
        <f aca="false">Sens!$O$107-Sens!$O$104</f>
        <v>62.9275494423768</v>
      </c>
      <c r="P108" s="5" t="s">
        <v>629</v>
      </c>
    </row>
    <row r="109" customFormat="false" ht="17.15" hidden="false" customHeight="false" outlineLevel="0" collapsed="false">
      <c r="A109" s="0" t="s">
        <v>630</v>
      </c>
      <c r="B109" s="0" t="s">
        <v>52</v>
      </c>
      <c r="D109" s="13" t="n">
        <f aca="false">Sens!$D$108/Sens!$C$108-1</f>
        <v>0.140506827776062</v>
      </c>
      <c r="E109" s="13" t="n">
        <f aca="false">Sens!$E$108/Sens!$N$108-1</f>
        <v>0.248976181579029</v>
      </c>
      <c r="F109" s="13" t="n">
        <f aca="false">Sens!$D$109</f>
        <v>0.140506827776062</v>
      </c>
      <c r="G109" s="13" t="n">
        <f aca="false">Sens!$G$108/Sens!$D$108-1</f>
        <v>0.19210532106993</v>
      </c>
      <c r="H109" s="13" t="n">
        <f aca="false">Sens!$F$109+(g_awso_lt-Sens!$F$109)*1/4</f>
        <v>0.125380120832046</v>
      </c>
      <c r="I109" s="13" t="n">
        <f aca="false">Sens!$F$109+(g_awso_lt-Sens!$F$109)*2/4</f>
        <v>0.110253413888031</v>
      </c>
      <c r="J109" s="13" t="n">
        <f aca="false">Sens!$F$109+(g_awso_lt-Sens!$F$109)*3/4</f>
        <v>0.0951267069440154</v>
      </c>
      <c r="K109" s="13" t="n">
        <f aca="false">Sens!$F$109+(g_awso_lt-Sens!$F$109)*4/4</f>
        <v>0.08</v>
      </c>
      <c r="L109" s="13" t="n">
        <f aca="false">g_awso_lt</f>
        <v>0.08</v>
      </c>
      <c r="M109" s="13" t="n">
        <f aca="false">g_awso_lt</f>
        <v>0.08</v>
      </c>
      <c r="P109" s="5" t="s">
        <v>631</v>
      </c>
    </row>
    <row r="110" customFormat="false" ht="17.15" hidden="false" customHeight="false" outlineLevel="0" collapsed="false">
      <c r="A110" s="1" t="s">
        <v>632</v>
      </c>
    </row>
    <row r="111" customFormat="false" ht="17.15" hidden="false" customHeight="false" outlineLevel="0" collapsed="false">
      <c r="A111" s="0" t="s">
        <v>633</v>
      </c>
      <c r="B111" s="0" t="s">
        <v>86</v>
      </c>
      <c r="F111" s="38" t="n">
        <f aca="false">cx_rt*Sens!$F$76+cx_awso*Sens!$F$108</f>
        <v>34.9734495387866</v>
      </c>
    </row>
    <row r="112" customFormat="false" ht="17.15" hidden="false" customHeight="false" outlineLevel="0" collapsed="false">
      <c r="A112" s="0" t="s">
        <v>634</v>
      </c>
      <c r="B112" s="0" t="s">
        <v>52</v>
      </c>
      <c r="C112" s="13" t="n">
        <f aca="false">tk_cx_h100/(tk_cx_h100+tk_fac*(1-colo_sh))</f>
        <v>0.730756458006641</v>
      </c>
      <c r="D112" s="13" t="n">
        <f aca="false">tk_cx_h100/(tk_cx_h100+tk_fac*(1-colo_sh))</f>
        <v>0.730756458006641</v>
      </c>
      <c r="E112" s="13" t="n">
        <f aca="false">Sens!$F$112</f>
        <v>0.760792334328868</v>
      </c>
      <c r="F112" s="13" t="n">
        <f aca="false">Sens!$F$95/(Sens!$F$95+tk_fac*(1-colo_sh))</f>
        <v>0.760792334328868</v>
      </c>
      <c r="G112" s="13" t="n">
        <f aca="false">Sens!$G$95/(Sens!$G$95+tk_fac*(1-colo_sh))</f>
        <v>0.760792334328868</v>
      </c>
      <c r="H112" s="13" t="n">
        <f aca="false">Sens!$H$95/(Sens!$H$95+tk_fac*(1-colo_sh))</f>
        <v>0.768110668862996</v>
      </c>
      <c r="I112" s="13" t="n">
        <f aca="false">Sens!$I$95/(Sens!$I$95+tk_fac*(1-colo_sh))</f>
        <v>0.77499450139483</v>
      </c>
      <c r="J112" s="13" t="n">
        <f aca="false">Sens!$J$95/(Sens!$J$95+tk_fac*(1-colo_sh))</f>
        <v>0.77499450139483</v>
      </c>
      <c r="K112" s="13" t="n">
        <f aca="false">Sens!$K$95/(Sens!$K$95+tk_fac*(1-colo_sh))</f>
        <v>0.77499450139483</v>
      </c>
      <c r="L112" s="13" t="n">
        <f aca="false">Sens!$L$95/(Sens!$L$95+tk_fac*(1-colo_sh))</f>
        <v>0.77499450139483</v>
      </c>
      <c r="M112" s="13" t="n">
        <f aca="false">Sens!$M$95/(Sens!$M$95+tk_fac*(1-colo_sh))</f>
        <v>0.77499450139483</v>
      </c>
    </row>
    <row r="113" customFormat="false" ht="17.15" hidden="false" customHeight="false" outlineLevel="0" collapsed="false">
      <c r="A113" s="1" t="s">
        <v>635</v>
      </c>
      <c r="B113" s="8" t="s">
        <v>86</v>
      </c>
      <c r="C113" s="38" t="n">
        <f aca="false">Q!$D$46-cx_rt*Q!$D$16-cx_awso*Sens!$C$108</f>
        <v>25.2781053077374</v>
      </c>
      <c r="D113" s="38" t="n">
        <f aca="false">Q!$E$46-cx_rt*Q!$E$16-cx_awso*Sens!$D$108</f>
        <v>69.5686316310026</v>
      </c>
      <c r="E113" s="38" t="n">
        <f aca="false">Q!$P$46-cx_rt*Q!$P$16-cx_awso*Sens!$E$108</f>
        <v>64.1899206485108</v>
      </c>
      <c r="F113" s="38" t="n">
        <f aca="false">capex_g26-Q!$P$46-Sens!$F$111</f>
        <v>88.7165504612134</v>
      </c>
      <c r="G113" s="38" t="n">
        <f aca="false">Sens!$E$113+Sens!$F$113</f>
        <v>152.906471109724</v>
      </c>
      <c r="H113" s="38" t="n">
        <f aca="false">Sens!$H$90*(Sens!$H$95+tk_fac*(1-colo_sh))/1000+Sens!$H$114</f>
        <v>198.57136494475</v>
      </c>
      <c r="I113" s="38" t="n">
        <f aca="false">Sens!$I$90*(Sens!$I$95+tk_fac*(1-colo_sh))/1000+Sens!$I$114</f>
        <v>204.6464699105</v>
      </c>
      <c r="J113" s="38" t="n">
        <f aca="false">Sens!$J$90*(Sens!$J$95+tk_fac*(1-colo_sh))/1000+Sens!$J$114</f>
        <v>209.8832381105</v>
      </c>
      <c r="K113" s="38" t="n">
        <f aca="false">Sens!$K$90*(Sens!$K$95+tk_fac*(1-colo_sh))/1000+Sens!$K$114</f>
        <v>155.238385275201</v>
      </c>
      <c r="L113" s="38" t="n">
        <f aca="false">Sens!$L$90*(Sens!$L$95+tk_fac*(1-colo_sh))/1000+Sens!$L$114</f>
        <v>132.014141639902</v>
      </c>
      <c r="M113" s="38" t="n">
        <f aca="false">Sens!$M$90*(Sens!$M$95+tk_fac*(1-colo_sh))/1000+Sens!$M$114</f>
        <v>132.230981659852</v>
      </c>
      <c r="P113" s="5" t="s">
        <v>636</v>
      </c>
      <c r="R113" s="38" t="n">
        <f aca="false">Q!$C$46-cx_rt*Q!$C$16-cx_awso*(Q!$C$7-mw_ye23/2*rpm_open/1000)</f>
        <v>1.50429979529945</v>
      </c>
      <c r="S113" s="38" t="n">
        <f aca="false">Sens!$C$113</f>
        <v>25.2781053077374</v>
      </c>
      <c r="T113" s="38" t="n">
        <f aca="false">Sens!$D$113</f>
        <v>69.5686316310026</v>
      </c>
      <c r="U113" s="38" t="n">
        <f aca="false">Sens!$G$113</f>
        <v>152.906471109724</v>
      </c>
      <c r="V113" s="38" t="n">
        <f aca="false">Sens!$H$113</f>
        <v>198.57136494475</v>
      </c>
      <c r="W113" s="38" t="n">
        <f aca="false">Sens!$I$113</f>
        <v>204.6464699105</v>
      </c>
      <c r="X113" s="38" t="n">
        <f aca="false">Sens!$J$113</f>
        <v>209.8832381105</v>
      </c>
      <c r="Y113" s="38" t="n">
        <f aca="false">Sens!$K$113</f>
        <v>155.238385275201</v>
      </c>
      <c r="Z113" s="38" t="n">
        <f aca="false">Sens!$L$113</f>
        <v>132.014141639902</v>
      </c>
      <c r="AA113" s="38" t="n">
        <f aca="false">Sens!$M$113</f>
        <v>132.230981659852</v>
      </c>
    </row>
    <row r="114" customFormat="false" ht="17.15" hidden="false" customHeight="false" outlineLevel="0" collapsed="false">
      <c r="A114" s="0" t="s">
        <v>637</v>
      </c>
      <c r="B114" s="0" t="s">
        <v>86</v>
      </c>
      <c r="H114" s="38" t="n">
        <f aca="false">SUMPRODUCT(--(Sens!$R$83:$AA$83=2027-tk_life),Sens!$R$90:$AA$90)*Sens!$H$95/1000</f>
        <v>0</v>
      </c>
      <c r="I114" s="38" t="n">
        <f aca="false">SUMPRODUCT(--(Sens!$R$83:$AA$83=2028-tk_life),Sens!$R$90:$AA$90)*Sens!$I$95/1000</f>
        <v>0</v>
      </c>
      <c r="J114" s="38" t="n">
        <f aca="false">SUMPRODUCT(--(Sens!$R$83:$AA$83=2029-tk_life),Sens!$R$90:$AA$90)*Sens!$J$95/1000</f>
        <v>5.2367682</v>
      </c>
      <c r="K114" s="38" t="n">
        <f aca="false">SUMPRODUCT(--(Sens!$R$83:$AA$83=2030-tk_life),Sens!$R$90:$AA$90)*Sens!$K$95/1000</f>
        <v>10.4735364</v>
      </c>
      <c r="L114" s="38" t="n">
        <f aca="false">SUMPRODUCT(--(Sens!$R$83:$AA$83=2031-tk_life),Sens!$R$90:$AA$90)*Sens!$L$95/1000</f>
        <v>47.1309138</v>
      </c>
      <c r="M114" s="38" t="n">
        <f aca="false">SUMPRODUCT(--(Sens!$R$83:$AA$83=2032-tk_life),Sens!$R$90:$AA$90)*Sens!$M$95/1000</f>
        <v>107.22937485525</v>
      </c>
    </row>
    <row r="115" customFormat="false" ht="17.15" hidden="false" customHeight="false" outlineLevel="0" collapsed="false">
      <c r="A115" s="0" t="s">
        <v>638</v>
      </c>
      <c r="B115" s="0" t="s">
        <v>86</v>
      </c>
      <c r="C115" s="38" t="n">
        <f aca="false">MIN(Sens!$C$113,Sens!$C$90*(tk_cx_h100+tk_fac*(1-colo_sh))/1000)</f>
        <v>11.2938642</v>
      </c>
      <c r="D115" s="38" t="n">
        <f aca="false">MIN(Sens!$D$113,Sens!$D$90*(tk_cx_h100+tk_fac*(1-colo_sh))/1000)</f>
        <v>50.8223889</v>
      </c>
      <c r="E115" s="38" t="n">
        <f aca="false">MIN(Sens!$E$113,Sens!$E$90*(Sens!$F$95+tk_fac*(1-colo_sh))/1000)</f>
        <v>33.8985792</v>
      </c>
      <c r="F115" s="38" t="n">
        <f aca="false">Sens!$F$113</f>
        <v>88.7165504612134</v>
      </c>
      <c r="G115" s="38" t="n">
        <f aca="false">Sens!$E$115+Sens!$F$115</f>
        <v>122.615129661213</v>
      </c>
      <c r="H115" s="38" t="n">
        <f aca="false">Sens!$H$113</f>
        <v>198.57136494475</v>
      </c>
      <c r="I115" s="38" t="n">
        <f aca="false">Sens!$I$113</f>
        <v>204.6464699105</v>
      </c>
      <c r="J115" s="38" t="n">
        <f aca="false">Sens!$J$113</f>
        <v>209.8832381105</v>
      </c>
      <c r="K115" s="38" t="n">
        <f aca="false">Sens!$K$113</f>
        <v>155.238385275201</v>
      </c>
      <c r="L115" s="38" t="n">
        <f aca="false">Sens!$L$113</f>
        <v>132.014141639902</v>
      </c>
      <c r="M115" s="38" t="n">
        <f aca="false">Sens!$M$113</f>
        <v>132.230981659852</v>
      </c>
      <c r="P115" s="5" t="s">
        <v>639</v>
      </c>
      <c r="R115" s="38" t="n">
        <f aca="false">MIN(Sens!$R$113,Sens!$R$90*(tk_cx_h100+tk_fac*(1-colo_sh))/1000)</f>
        <v>1.50429979529945</v>
      </c>
      <c r="S115" s="38" t="n">
        <f aca="false">Sens!$C$115</f>
        <v>11.2938642</v>
      </c>
      <c r="T115" s="38" t="n">
        <f aca="false">Sens!$D$115</f>
        <v>50.8223889</v>
      </c>
      <c r="U115" s="38" t="n">
        <f aca="false">Sens!$G$115</f>
        <v>122.615129661213</v>
      </c>
      <c r="V115" s="38" t="n">
        <f aca="false">Sens!$H$115</f>
        <v>198.57136494475</v>
      </c>
      <c r="W115" s="38" t="n">
        <f aca="false">Sens!$I$115</f>
        <v>204.6464699105</v>
      </c>
      <c r="X115" s="38" t="n">
        <f aca="false">Sens!$J$115</f>
        <v>209.8832381105</v>
      </c>
      <c r="Y115" s="38" t="n">
        <f aca="false">Sens!$K$115</f>
        <v>155.238385275201</v>
      </c>
      <c r="Z115" s="38" t="n">
        <f aca="false">Sens!$L$115</f>
        <v>132.014141639902</v>
      </c>
      <c r="AA115" s="38" t="n">
        <f aca="false">Sens!$M$115</f>
        <v>132.230981659852</v>
      </c>
    </row>
    <row r="116" customFormat="false" ht="17.15" hidden="false" customHeight="false" outlineLevel="0" collapsed="false">
      <c r="A116" s="5" t="s">
        <v>640</v>
      </c>
      <c r="B116" s="0" t="s">
        <v>86</v>
      </c>
      <c r="C116" s="38" t="n">
        <f aca="false">Sens!$C$113-Sens!$C$115</f>
        <v>13.9842411077374</v>
      </c>
      <c r="D116" s="38" t="n">
        <f aca="false">Sens!$D$113-Sens!$D$115</f>
        <v>18.7462427310026</v>
      </c>
      <c r="E116" s="38" t="n">
        <f aca="false">Sens!$E$113-Sens!$E$115</f>
        <v>30.2913414485108</v>
      </c>
      <c r="F116" s="38" t="n">
        <f aca="false">Sens!$F$113-Sens!$F$115</f>
        <v>0</v>
      </c>
      <c r="G116" s="38" t="n">
        <f aca="false">Sens!$G$113-Sens!$G$115</f>
        <v>30.2913414485108</v>
      </c>
      <c r="H116" s="38" t="n">
        <f aca="false">Sens!$H$113-Sens!$H$115</f>
        <v>0</v>
      </c>
      <c r="I116" s="38" t="n">
        <f aca="false">Sens!$I$113-Sens!$I$115</f>
        <v>0</v>
      </c>
      <c r="J116" s="38" t="n">
        <f aca="false">Sens!$J$113-Sens!$J$115</f>
        <v>0</v>
      </c>
      <c r="K116" s="38" t="n">
        <f aca="false">Sens!$K$113-Sens!$K$115</f>
        <v>0</v>
      </c>
      <c r="L116" s="38" t="n">
        <f aca="false">Sens!$L$113-Sens!$L$115</f>
        <v>0</v>
      </c>
      <c r="M116" s="38" t="n">
        <f aca="false">Sens!$M$113-Sens!$M$115</f>
        <v>0</v>
      </c>
      <c r="P116" s="5" t="s">
        <v>641</v>
      </c>
      <c r="R116" s="38" t="n">
        <f aca="false">Sens!$R$113-Sens!$R$115</f>
        <v>0</v>
      </c>
      <c r="S116" s="38" t="n">
        <f aca="false">Sens!$S$113-Sens!$S$115</f>
        <v>13.9842411077374</v>
      </c>
      <c r="T116" s="38" t="n">
        <f aca="false">Sens!$T$113-Sens!$T$115</f>
        <v>18.7462427310026</v>
      </c>
      <c r="U116" s="38" t="n">
        <f aca="false">Sens!$U$113-Sens!$U$115</f>
        <v>30.2913414485108</v>
      </c>
      <c r="V116" s="38" t="n">
        <f aca="false">Sens!$V$113-Sens!$V$115</f>
        <v>0</v>
      </c>
      <c r="W116" s="38" t="n">
        <f aca="false">Sens!$W$113-Sens!$W$115</f>
        <v>0</v>
      </c>
      <c r="X116" s="38" t="n">
        <f aca="false">Sens!$X$113-Sens!$X$115</f>
        <v>0</v>
      </c>
      <c r="Y116" s="38" t="n">
        <f aca="false">Sens!$Y$113-Sens!$Y$115</f>
        <v>0</v>
      </c>
      <c r="Z116" s="38" t="n">
        <f aca="false">Sens!$Z$113-Sens!$Z$115</f>
        <v>0</v>
      </c>
      <c r="AA116" s="38" t="n">
        <f aca="false">Sens!$AA$113-Sens!$AA$115</f>
        <v>0</v>
      </c>
    </row>
    <row r="117" customFormat="false" ht="17.15" hidden="false" customHeight="false" outlineLevel="0" collapsed="false">
      <c r="A117" s="5" t="s">
        <v>642</v>
      </c>
      <c r="B117" s="0" t="s">
        <v>86</v>
      </c>
      <c r="R117" s="38" t="n">
        <f aca="false">Sens!$R$116*Sens!$C$112</f>
        <v>0</v>
      </c>
      <c r="S117" s="38" t="n">
        <f aca="false">Sens!$S$116*Sens!$C$112</f>
        <v>10.219074499801</v>
      </c>
      <c r="T117" s="38" t="n">
        <f aca="false">Sens!$T$116*Sens!$C$112</f>
        <v>13.6989379390402</v>
      </c>
      <c r="U117" s="38" t="n">
        <f aca="false">Sens!$U$116*Sens!$E$112</f>
        <v>23.0454203705653</v>
      </c>
      <c r="V117" s="38" t="n">
        <f aca="false">Sens!$V$116*Sens!$E$112</f>
        <v>0</v>
      </c>
      <c r="W117" s="38" t="n">
        <f aca="false">Sens!$W$116*Sens!$E$112</f>
        <v>0</v>
      </c>
      <c r="X117" s="38" t="n">
        <f aca="false">Sens!$X$116*Sens!$E$112</f>
        <v>0</v>
      </c>
      <c r="Y117" s="38" t="n">
        <f aca="false">Sens!$Y$116*Sens!$E$112</f>
        <v>0</v>
      </c>
      <c r="Z117" s="38" t="n">
        <f aca="false">Sens!$Z$116*Sens!$E$112</f>
        <v>0</v>
      </c>
      <c r="AA117" s="38" t="n">
        <f aca="false">Sens!$AA$116*Sens!$E$112</f>
        <v>0</v>
      </c>
    </row>
    <row r="118" customFormat="false" ht="17.15" hidden="false" customHeight="false" outlineLevel="0" collapsed="false">
      <c r="A118" s="5" t="s">
        <v>643</v>
      </c>
      <c r="B118" s="0" t="s">
        <v>86</v>
      </c>
      <c r="R118" s="38" t="n">
        <f aca="false">SUMPRODUCT(--(Sens!$R$83:$AA$83=2023-cip_lag),Sens!$R$117:$AA$117)</f>
        <v>0</v>
      </c>
      <c r="S118" s="38" t="n">
        <f aca="false">SUMPRODUCT(--(Sens!$R$83:$AA$83=2024-cip_lag),Sens!$R$117:$AA$117)</f>
        <v>0</v>
      </c>
      <c r="T118" s="38" t="n">
        <f aca="false">SUMPRODUCT(--(Sens!$R$83:$AA$83=2025-cip_lag),Sens!$R$117:$AA$117)</f>
        <v>10.219074499801</v>
      </c>
      <c r="U118" s="38" t="n">
        <f aca="false">SUMPRODUCT(--(Sens!$R$83:$AA$83=2026-cip_lag),Sens!$R$117:$AA$117)</f>
        <v>13.6989379390402</v>
      </c>
      <c r="V118" s="38" t="n">
        <f aca="false">SUMPRODUCT(--(Sens!$R$83:$AA$83=2027-cip_lag),Sens!$R$117:$AA$117)</f>
        <v>23.0454203705653</v>
      </c>
      <c r="W118" s="38" t="n">
        <f aca="false">SUMPRODUCT(--(Sens!$R$83:$AA$83=2028-cip_lag),Sens!$R$117:$AA$117)</f>
        <v>0</v>
      </c>
      <c r="X118" s="38" t="n">
        <f aca="false">SUMPRODUCT(--(Sens!$R$83:$AA$83=2029-cip_lag),Sens!$R$117:$AA$117)</f>
        <v>0</v>
      </c>
      <c r="Y118" s="38" t="n">
        <f aca="false">SUMPRODUCT(--(Sens!$R$83:$AA$83=2030-cip_lag),Sens!$R$117:$AA$117)</f>
        <v>0</v>
      </c>
      <c r="Z118" s="38" t="n">
        <f aca="false">SUMPRODUCT(--(Sens!$R$83:$AA$83=2031-cip_lag),Sens!$R$117:$AA$117)</f>
        <v>0</v>
      </c>
      <c r="AA118" s="38" t="n">
        <f aca="false">SUMPRODUCT(--(Sens!$R$83:$AA$83=2032-cip_lag),Sens!$R$117:$AA$117)</f>
        <v>0</v>
      </c>
    </row>
    <row r="119" customFormat="false" ht="15" hidden="false" customHeight="false" outlineLevel="0" collapsed="false">
      <c r="A119" s="5" t="s">
        <v>644</v>
      </c>
      <c r="B119" s="0" t="s">
        <v>86</v>
      </c>
      <c r="R119" s="38" t="n">
        <f aca="false">SUMPRODUCT(--(Sens!$R$83:$AA$83=2023-cip_lag),Sens!$R$116:$AA$116)-Sens!$R$118</f>
        <v>0</v>
      </c>
      <c r="S119" s="38" t="n">
        <f aca="false">SUMPRODUCT(--(Sens!$R$83:$AA$83=2024-cip_lag),Sens!$R$116:$AA$116)-Sens!$S$118</f>
        <v>0</v>
      </c>
      <c r="T119" s="38" t="n">
        <f aca="false">SUMPRODUCT(--(Sens!$R$83:$AA$83=2025-cip_lag),Sens!$R$116:$AA$116)-Sens!$T$118</f>
        <v>3.76516660793636</v>
      </c>
      <c r="U119" s="38" t="n">
        <f aca="false">SUMPRODUCT(--(Sens!$R$83:$AA$83=2026-cip_lag),Sens!$R$116:$AA$116)-Sens!$U$118</f>
        <v>5.04730479196242</v>
      </c>
      <c r="V119" s="38" t="n">
        <f aca="false">SUMPRODUCT(--(Sens!$R$83:$AA$83=2027-cip_lag),Sens!$R$116:$AA$116)-Sens!$V$118</f>
        <v>7.24592107794548</v>
      </c>
      <c r="W119" s="38" t="n">
        <f aca="false">SUMPRODUCT(--(Sens!$R$83:$AA$83=2028-cip_lag),Sens!$R$116:$AA$116)-Sens!$W$118</f>
        <v>0</v>
      </c>
      <c r="X119" s="38" t="n">
        <f aca="false">SUMPRODUCT(--(Sens!$R$83:$AA$83=2029-cip_lag),Sens!$R$116:$AA$116)-Sens!$X$118</f>
        <v>0</v>
      </c>
      <c r="Y119" s="38" t="n">
        <f aca="false">SUMPRODUCT(--(Sens!$R$83:$AA$83=2030-cip_lag),Sens!$R$116:$AA$116)-Sens!$Y$118</f>
        <v>0</v>
      </c>
      <c r="Z119" s="38" t="n">
        <f aca="false">SUMPRODUCT(--(Sens!$R$83:$AA$83=2031-cip_lag),Sens!$R$116:$AA$116)-Sens!$Z$118</f>
        <v>0</v>
      </c>
      <c r="AA119" s="38" t="n">
        <f aca="false">SUMPRODUCT(--(Sens!$R$83:$AA$83=2032-cip_lag),Sens!$R$116:$AA$116)-Sens!$AA$118</f>
        <v>0</v>
      </c>
    </row>
    <row r="120" customFormat="false" ht="17.15" hidden="false" customHeight="false" outlineLevel="0" collapsed="false">
      <c r="A120" s="5" t="s">
        <v>645</v>
      </c>
      <c r="B120" s="0" t="s">
        <v>86</v>
      </c>
      <c r="C120" s="38" t="n">
        <f aca="false">Sens!$C$115*Sens!$C$112</f>
        <v>8.2530642</v>
      </c>
      <c r="D120" s="38" t="n">
        <f aca="false">Sens!$D$115*Sens!$D$112</f>
        <v>37.1387889</v>
      </c>
      <c r="E120" s="38" t="n">
        <f aca="false">Sens!$E$115*Sens!$E$112</f>
        <v>25.7897792</v>
      </c>
      <c r="F120" s="38" t="n">
        <f aca="false">Sens!$F$115*Sens!$F$112</f>
        <v>67.4948715189913</v>
      </c>
      <c r="G120" s="38" t="n">
        <f aca="false">Sens!$E$120+Sens!$F$120</f>
        <v>93.2846507189913</v>
      </c>
      <c r="H120" s="38" t="n">
        <f aca="false">(Sens!$H$115-Sens!$H$114)*Sens!$H$112+Sens!$H$114</f>
        <v>152.52478394475</v>
      </c>
      <c r="I120" s="38" t="n">
        <f aca="false">(Sens!$I$115-Sens!$I$114)*Sens!$I$112+Sens!$I$114</f>
        <v>158.5998889105</v>
      </c>
      <c r="J120" s="38" t="n">
        <f aca="false">(Sens!$J$115-Sens!$J$114)*Sens!$J$112+Sens!$J$114</f>
        <v>163.8366571105</v>
      </c>
      <c r="K120" s="38" t="n">
        <f aca="false">(Sens!$K$115-Sens!$K$114)*Sens!$K$112+Sens!$K$114</f>
        <v>122.665498273534</v>
      </c>
      <c r="L120" s="38" t="n">
        <f aca="false">(Sens!$L$115-Sens!$L$114)*Sens!$L$112+Sens!$L$114</f>
        <v>112.914948636568</v>
      </c>
      <c r="M120" s="38" t="n">
        <f aca="false">(Sens!$M$115-Sens!$M$114)*Sens!$M$112+Sens!$M$114</f>
        <v>126.605482654852</v>
      </c>
      <c r="R120" s="38" t="n">
        <f aca="false">Sens!$R$115*Sens!$C$112</f>
        <v>1.09927679019314</v>
      </c>
      <c r="S120" s="38" t="n">
        <f aca="false">Sens!$C$120</f>
        <v>8.2530642</v>
      </c>
      <c r="T120" s="38" t="n">
        <f aca="false">Sens!$D$120</f>
        <v>37.1387889</v>
      </c>
      <c r="U120" s="38" t="n">
        <f aca="false">Sens!$G$120</f>
        <v>93.2846507189913</v>
      </c>
      <c r="V120" s="38" t="n">
        <f aca="false">Sens!$H$120</f>
        <v>152.52478394475</v>
      </c>
      <c r="W120" s="38" t="n">
        <f aca="false">Sens!$I$120</f>
        <v>158.5998889105</v>
      </c>
      <c r="X120" s="38" t="n">
        <f aca="false">Sens!$J$120</f>
        <v>163.8366571105</v>
      </c>
      <c r="Y120" s="38" t="n">
        <f aca="false">Sens!$K$120</f>
        <v>122.665498273534</v>
      </c>
      <c r="Z120" s="38" t="n">
        <f aca="false">Sens!$L$120</f>
        <v>112.914948636568</v>
      </c>
      <c r="AA120" s="38" t="n">
        <f aca="false">Sens!$M$120</f>
        <v>126.605482654852</v>
      </c>
    </row>
    <row r="121" customFormat="false" ht="15" hidden="false" customHeight="false" outlineLevel="0" collapsed="false">
      <c r="A121" s="5" t="s">
        <v>646</v>
      </c>
      <c r="B121" s="0" t="s">
        <v>86</v>
      </c>
      <c r="C121" s="38" t="n">
        <f aca="false">Sens!$C$115-Sens!$C$120</f>
        <v>3.0408</v>
      </c>
      <c r="D121" s="38" t="n">
        <f aca="false">Sens!$D$115-Sens!$D$120</f>
        <v>13.6836</v>
      </c>
      <c r="E121" s="38" t="n">
        <f aca="false">Sens!$E$115-Sens!$E$120</f>
        <v>8.1088</v>
      </c>
      <c r="F121" s="38" t="n">
        <f aca="false">Sens!$F$115-Sens!$F$120</f>
        <v>21.2216789422221</v>
      </c>
      <c r="G121" s="38" t="n">
        <f aca="false">Sens!$G$115-Sens!$G$120</f>
        <v>29.3304789422221</v>
      </c>
      <c r="H121" s="38" t="n">
        <f aca="false">Sens!$H$115-Sens!$H$120</f>
        <v>46.046581</v>
      </c>
      <c r="I121" s="38" t="n">
        <f aca="false">Sens!$I$115-Sens!$I$120</f>
        <v>46.046581</v>
      </c>
      <c r="J121" s="38" t="n">
        <f aca="false">Sens!$J$115-Sens!$J$120</f>
        <v>46.046581</v>
      </c>
      <c r="K121" s="38" t="n">
        <f aca="false">Sens!$K$115-Sens!$K$120</f>
        <v>32.5728870016667</v>
      </c>
      <c r="L121" s="38" t="n">
        <f aca="false">Sens!$L$115-Sens!$L$120</f>
        <v>19.0991930033334</v>
      </c>
      <c r="M121" s="38" t="n">
        <f aca="false">Sens!$M$115-Sens!$M$120</f>
        <v>5.62549900499998</v>
      </c>
      <c r="R121" s="38" t="n">
        <f aca="false">Sens!$R$115-Sens!$R$120</f>
        <v>0.405023005106309</v>
      </c>
      <c r="S121" s="38" t="n">
        <f aca="false">Sens!$S$115-Sens!$S$120</f>
        <v>3.0408</v>
      </c>
      <c r="T121" s="38" t="n">
        <f aca="false">Sens!$T$115-Sens!$T$120</f>
        <v>13.6836</v>
      </c>
      <c r="U121" s="38" t="n">
        <f aca="false">Sens!$U$115-Sens!$U$120</f>
        <v>29.3304789422221</v>
      </c>
      <c r="V121" s="38" t="n">
        <f aca="false">Sens!$V$115-Sens!$V$120</f>
        <v>46.046581</v>
      </c>
      <c r="W121" s="38" t="n">
        <f aca="false">Sens!$W$115-Sens!$W$120</f>
        <v>46.046581</v>
      </c>
      <c r="X121" s="38" t="n">
        <f aca="false">Sens!$X$115-Sens!$X$120</f>
        <v>46.046581</v>
      </c>
      <c r="Y121" s="38" t="n">
        <f aca="false">Sens!$Y$115-Sens!$Y$120</f>
        <v>32.5728870016667</v>
      </c>
      <c r="Z121" s="38" t="n">
        <f aca="false">Sens!$Z$115-Sens!$Z$120</f>
        <v>19.0991930033334</v>
      </c>
      <c r="AA121" s="38" t="n">
        <f aca="false">Sens!$AA$115-Sens!$AA$120</f>
        <v>5.62549900499998</v>
      </c>
    </row>
    <row r="122" customFormat="false" ht="17.15" hidden="false" customHeight="false" outlineLevel="0" collapsed="false">
      <c r="A122" s="0" t="s">
        <v>647</v>
      </c>
      <c r="B122" s="0" t="s">
        <v>52</v>
      </c>
      <c r="C122" s="13" t="n">
        <f aca="false">Sens!$C$113/Sens!$C$238</f>
        <v>0.325505489553393</v>
      </c>
      <c r="D122" s="13" t="n">
        <f aca="false">Sens!$D$113/Sens!$D$238</f>
        <v>0.54214956071542</v>
      </c>
      <c r="E122" s="13" t="n">
        <f aca="false">Sens!$E$113/Sens!$E$238</f>
        <v>0.666492790452817</v>
      </c>
      <c r="F122" s="13" t="n">
        <f aca="false">Sens!$F$113/Sens!$F$238</f>
        <v>0.71724917504417</v>
      </c>
      <c r="G122" s="13" t="n">
        <f aca="false">Sens!$G$113/Sens!$G$238</f>
        <v>0.69502941413511</v>
      </c>
      <c r="H122" s="13" t="n">
        <f aca="false">Sens!$H$113/Sens!$H$238</f>
        <v>0.726376041178204</v>
      </c>
      <c r="I122" s="13" t="n">
        <f aca="false">Sens!$I$113/Sens!$I$238</f>
        <v>0.713099092661699</v>
      </c>
      <c r="J122" s="13" t="n">
        <f aca="false">Sens!$J$113/Sens!$J$238</f>
        <v>0.701208348786245</v>
      </c>
      <c r="K122" s="13" t="n">
        <f aca="false">Sens!$K$113/Sens!$K$238</f>
        <v>0.618338844562383</v>
      </c>
      <c r="L122" s="13" t="n">
        <f aca="false">Sens!$L$113/Sens!$L$238</f>
        <v>0.562489158462506</v>
      </c>
      <c r="M122" s="13" t="n">
        <f aca="false">Sens!$M$113/Sens!$M$238</f>
        <v>0.545751190895923</v>
      </c>
    </row>
    <row r="123" customFormat="false" ht="17.15" hidden="false" customHeight="false" outlineLevel="0" collapsed="false">
      <c r="A123" s="0" t="s">
        <v>648</v>
      </c>
      <c r="B123" s="0" t="s">
        <v>86</v>
      </c>
      <c r="C123" s="38" t="n">
        <f aca="false">Sens!$S$123</f>
        <v>0.183212798365523</v>
      </c>
      <c r="D123" s="38" t="n">
        <f aca="false">Sens!$T$123</f>
        <v>1.55872349836552</v>
      </c>
      <c r="E123" s="38" t="n">
        <f aca="false">Sens!$G$123/2</f>
        <v>4.72585036583285</v>
      </c>
      <c r="F123" s="38" t="n">
        <f aca="false">Sens!$G$123/2</f>
        <v>4.72585036583285</v>
      </c>
      <c r="G123" s="38" t="n">
        <f aca="false">Sens!$U$123</f>
        <v>9.4517007316657</v>
      </c>
      <c r="H123" s="38" t="n">
        <f aca="false">Sens!$V$123</f>
        <v>27.2822988413376</v>
      </c>
      <c r="I123" s="38" t="n">
        <f aca="false">Sens!$W$123</f>
        <v>56.5439995605568</v>
      </c>
      <c r="J123" s="38" t="n">
        <f aca="false">Sens!$X$123</f>
        <v>82.9773143789735</v>
      </c>
      <c r="K123" s="38" t="n">
        <f aca="false">Sens!$Y$123</f>
        <v>110.100211099025</v>
      </c>
      <c r="L123" s="38" t="n">
        <f aca="false">Sens!$Z$123</f>
        <v>129.16895011128</v>
      </c>
      <c r="M123" s="38" t="n">
        <f aca="false">Sens!$AA$123</f>
        <v>140.095130984075</v>
      </c>
      <c r="N123" s="38" t="n">
        <f aca="false">Sens!$D$123/2</f>
        <v>0.779361749182762</v>
      </c>
      <c r="O123" s="38" t="n">
        <f aca="false">Sens!$D$123/2</f>
        <v>0.779361749182762</v>
      </c>
      <c r="R123" s="38" t="n">
        <f aca="false">(SUMPRODUCT(--(Sens!$R$83:$AA$83&lt;Sens!R$83),--(Sens!$R$83:$AA$83&gt;=Sens!R$83-tk_life),Sens!$R$120:$AA$120)+SUMPRODUCT(--(Sens!$R$83:$AA$83&lt;Sens!R$83),--(Sens!$R$83:$AA$83&gt;=Sens!R$83-tk_life),Sens!$R$118:$AA$118))/tk_life</f>
        <v>0</v>
      </c>
      <c r="S123" s="38" t="n">
        <f aca="false">(SUMPRODUCT(--(Sens!$R$83:$AA$83&lt;Sens!S$83),--(Sens!$R$83:$AA$83&gt;=Sens!S$83-tk_life),Sens!$R$120:$AA$120)+SUMPRODUCT(--(Sens!$R$83:$AA$83&lt;Sens!S$83),--(Sens!$R$83:$AA$83&gt;=Sens!S$83-tk_life),Sens!$R$118:$AA$118))/tk_life</f>
        <v>0.183212798365523</v>
      </c>
      <c r="T123" s="38" t="n">
        <f aca="false">(SUMPRODUCT(--(Sens!$R$83:$AA$83&lt;Sens!T$83),--(Sens!$R$83:$AA$83&gt;=Sens!T$83-tk_life),Sens!$R$120:$AA$120)+SUMPRODUCT(--(Sens!$R$83:$AA$83&lt;Sens!T$83),--(Sens!$R$83:$AA$83&gt;=Sens!T$83-tk_life),Sens!$R$118:$AA$118))/tk_life</f>
        <v>1.55872349836552</v>
      </c>
      <c r="U123" s="38" t="n">
        <f aca="false">(SUMPRODUCT(--(Sens!$R$83:$AA$83&lt;Sens!U$83),--(Sens!$R$83:$AA$83&gt;=Sens!U$83-tk_life),Sens!$R$120:$AA$120)+SUMPRODUCT(--(Sens!$R$83:$AA$83&lt;Sens!U$83),--(Sens!$R$83:$AA$83&gt;=Sens!U$83-tk_life),Sens!$R$118:$AA$118))/tk_life</f>
        <v>9.4517007316657</v>
      </c>
      <c r="V123" s="38" t="n">
        <f aca="false">(SUMPRODUCT(--(Sens!$R$83:$AA$83&lt;Sens!V$83),--(Sens!$R$83:$AA$83&gt;=Sens!V$83-tk_life),Sens!$R$120:$AA$120)+SUMPRODUCT(--(Sens!$R$83:$AA$83&lt;Sens!V$83),--(Sens!$R$83:$AA$83&gt;=Sens!V$83-tk_life),Sens!$R$118:$AA$118))/tk_life</f>
        <v>27.2822988413376</v>
      </c>
      <c r="W123" s="38" t="n">
        <f aca="false">(SUMPRODUCT(--(Sens!$R$83:$AA$83&lt;Sens!W$83),--(Sens!$R$83:$AA$83&gt;=Sens!W$83-tk_life),Sens!$R$120:$AA$120)+SUMPRODUCT(--(Sens!$R$83:$AA$83&lt;Sens!W$83),--(Sens!$R$83:$AA$83&gt;=Sens!W$83-tk_life),Sens!$R$118:$AA$118))/tk_life</f>
        <v>56.5439995605568</v>
      </c>
      <c r="X123" s="38" t="n">
        <f aca="false">(SUMPRODUCT(--(Sens!$R$83:$AA$83&lt;Sens!X$83),--(Sens!$R$83:$AA$83&gt;=Sens!X$83-tk_life),Sens!$R$120:$AA$120)+SUMPRODUCT(--(Sens!$R$83:$AA$83&lt;Sens!X$83),--(Sens!$R$83:$AA$83&gt;=Sens!X$83-tk_life),Sens!$R$118:$AA$118))/tk_life</f>
        <v>82.9773143789735</v>
      </c>
      <c r="Y123" s="38" t="n">
        <f aca="false">(SUMPRODUCT(--(Sens!$R$83:$AA$83&lt;Sens!Y$83),--(Sens!$R$83:$AA$83&gt;=Sens!Y$83-tk_life),Sens!$R$120:$AA$120)+SUMPRODUCT(--(Sens!$R$83:$AA$83&lt;Sens!Y$83),--(Sens!$R$83:$AA$83&gt;=Sens!Y$83-tk_life),Sens!$R$118:$AA$118))/tk_life</f>
        <v>110.100211099025</v>
      </c>
      <c r="Z123" s="38" t="n">
        <f aca="false">(SUMPRODUCT(--(Sens!$R$83:$AA$83&lt;Sens!Z$83),--(Sens!$R$83:$AA$83&gt;=Sens!Z$83-tk_life),Sens!$R$120:$AA$120)+SUMPRODUCT(--(Sens!$R$83:$AA$83&lt;Sens!Z$83),--(Sens!$R$83:$AA$83&gt;=Sens!Z$83-tk_life),Sens!$R$118:$AA$118))/tk_life</f>
        <v>129.16895011128</v>
      </c>
      <c r="AA123" s="38" t="n">
        <f aca="false">(SUMPRODUCT(--(Sens!$R$83:$AA$83&lt;Sens!AA$83),--(Sens!$R$83:$AA$83&gt;=Sens!AA$83-tk_life),Sens!$R$120:$AA$120)+SUMPRODUCT(--(Sens!$R$83:$AA$83&lt;Sens!AA$83),--(Sens!$R$83:$AA$83&gt;=Sens!AA$83-tk_life),Sens!$R$118:$AA$118))/tk_life</f>
        <v>140.095130984075</v>
      </c>
    </row>
    <row r="124" customFormat="false" ht="17.15" hidden="false" customHeight="false" outlineLevel="0" collapsed="false">
      <c r="A124" s="0" t="s">
        <v>649</v>
      </c>
      <c r="B124" s="0" t="s">
        <v>86</v>
      </c>
      <c r="C124" s="38" t="n">
        <f aca="false">Sens!$S$124</f>
        <v>0.0202511502553155</v>
      </c>
      <c r="D124" s="38" t="n">
        <f aca="false">Sens!$T$124</f>
        <v>0.172291150255315</v>
      </c>
      <c r="E124" s="38" t="n">
        <f aca="false">Sens!$G$124/2</f>
        <v>0.522364740326067</v>
      </c>
      <c r="F124" s="38" t="n">
        <f aca="false">Sens!$G$124/2</f>
        <v>0.522364740326067</v>
      </c>
      <c r="G124" s="38" t="n">
        <f aca="false">Sens!$U$124</f>
        <v>1.04472948065213</v>
      </c>
      <c r="H124" s="38" t="n">
        <f aca="false">Sens!$V$124</f>
        <v>2.76361866736136</v>
      </c>
      <c r="I124" s="38" t="n">
        <f aca="false">Sens!$W$124</f>
        <v>5.42824377125863</v>
      </c>
      <c r="J124" s="38" t="n">
        <f aca="false">Sens!$X$124</f>
        <v>7.73057282125864</v>
      </c>
      <c r="K124" s="38" t="n">
        <f aca="false">Sens!$Y$124</f>
        <v>10.0329018712586</v>
      </c>
      <c r="L124" s="38" t="n">
        <f aca="false">Sens!$Z$124</f>
        <v>11.661546221342</v>
      </c>
      <c r="M124" s="38" t="n">
        <f aca="false">Sens!$AA$124</f>
        <v>12.6165058715086</v>
      </c>
      <c r="N124" s="38" t="n">
        <f aca="false">Sens!$D$124/2</f>
        <v>0.0861455751276577</v>
      </c>
      <c r="O124" s="38" t="n">
        <f aca="false">Sens!$D$124/2</f>
        <v>0.0861455751276577</v>
      </c>
      <c r="R124" s="38" t="n">
        <f aca="false">(SUMPRODUCT(--(Sens!$R$83:$AA$83&lt;Sens!R$83),Sens!$R$121:$AA$121)+SUMPRODUCT(--(Sens!$R$83:$AA$83&lt;Sens!R$83),Sens!$R$119:$AA$119))/fac_life</f>
        <v>0</v>
      </c>
      <c r="S124" s="38" t="n">
        <f aca="false">(SUMPRODUCT(--(Sens!$R$83:$AA$83&lt;Sens!S$83),Sens!$R$121:$AA$121)+SUMPRODUCT(--(Sens!$R$83:$AA$83&lt;Sens!S$83),Sens!$R$119:$AA$119))/fac_life</f>
        <v>0.0202511502553155</v>
      </c>
      <c r="T124" s="38" t="n">
        <f aca="false">(SUMPRODUCT(--(Sens!$R$83:$AA$83&lt;Sens!T$83),Sens!$R$121:$AA$121)+SUMPRODUCT(--(Sens!$R$83:$AA$83&lt;Sens!T$83),Sens!$R$119:$AA$119))/fac_life</f>
        <v>0.172291150255315</v>
      </c>
      <c r="U124" s="38" t="n">
        <f aca="false">(SUMPRODUCT(--(Sens!$R$83:$AA$83&lt;Sens!U$83),Sens!$R$121:$AA$121)+SUMPRODUCT(--(Sens!$R$83:$AA$83&lt;Sens!U$83),Sens!$R$119:$AA$119))/fac_life</f>
        <v>1.04472948065213</v>
      </c>
      <c r="V124" s="38" t="n">
        <f aca="false">(SUMPRODUCT(--(Sens!$R$83:$AA$83&lt;Sens!V$83),Sens!$R$121:$AA$121)+SUMPRODUCT(--(Sens!$R$83:$AA$83&lt;Sens!V$83),Sens!$R$119:$AA$119))/fac_life</f>
        <v>2.76361866736136</v>
      </c>
      <c r="W124" s="38" t="n">
        <f aca="false">(SUMPRODUCT(--(Sens!$R$83:$AA$83&lt;Sens!W$83),Sens!$R$121:$AA$121)+SUMPRODUCT(--(Sens!$R$83:$AA$83&lt;Sens!W$83),Sens!$R$119:$AA$119))/fac_life</f>
        <v>5.42824377125863</v>
      </c>
      <c r="X124" s="38" t="n">
        <f aca="false">(SUMPRODUCT(--(Sens!$R$83:$AA$83&lt;Sens!X$83),Sens!$R$121:$AA$121)+SUMPRODUCT(--(Sens!$R$83:$AA$83&lt;Sens!X$83),Sens!$R$119:$AA$119))/fac_life</f>
        <v>7.73057282125864</v>
      </c>
      <c r="Y124" s="38" t="n">
        <f aca="false">(SUMPRODUCT(--(Sens!$R$83:$AA$83&lt;Sens!Y$83),Sens!$R$121:$AA$121)+SUMPRODUCT(--(Sens!$R$83:$AA$83&lt;Sens!Y$83),Sens!$R$119:$AA$119))/fac_life</f>
        <v>10.0329018712586</v>
      </c>
      <c r="Z124" s="38" t="n">
        <f aca="false">(SUMPRODUCT(--(Sens!$R$83:$AA$83&lt;Sens!Z$83),Sens!$R$121:$AA$121)+SUMPRODUCT(--(Sens!$R$83:$AA$83&lt;Sens!Z$83),Sens!$R$119:$AA$119))/fac_life</f>
        <v>11.661546221342</v>
      </c>
      <c r="AA124" s="38" t="n">
        <f aca="false">(SUMPRODUCT(--(Sens!$R$83:$AA$83&lt;Sens!AA$83),Sens!$R$121:$AA$121)+SUMPRODUCT(--(Sens!$R$83:$AA$83&lt;Sens!AA$83),Sens!$R$119:$AA$119))/fac_life</f>
        <v>12.6165058715086</v>
      </c>
    </row>
    <row r="125" customFormat="false" ht="17.15" hidden="false" customHeight="false" outlineLevel="0" collapsed="false">
      <c r="A125" s="1" t="s">
        <v>650</v>
      </c>
      <c r="B125" s="8" t="s">
        <v>86</v>
      </c>
      <c r="C125" s="38" t="n">
        <f aca="false">Sens!$C$123+Sens!$C$124</f>
        <v>0.203463948620839</v>
      </c>
      <c r="D125" s="38" t="n">
        <f aca="false">Sens!$D$123+Sens!$D$124</f>
        <v>1.73101464862084</v>
      </c>
      <c r="E125" s="38" t="n">
        <f aca="false">Sens!$E$123+Sens!$E$124</f>
        <v>5.24821510615892</v>
      </c>
      <c r="F125" s="38" t="n">
        <f aca="false">Sens!$F$123+Sens!$F$124</f>
        <v>5.24821510615892</v>
      </c>
      <c r="G125" s="38" t="n">
        <f aca="false">Sens!$G$123+Sens!$G$124</f>
        <v>10.4964302123178</v>
      </c>
      <c r="H125" s="38" t="n">
        <f aca="false">Sens!$H$123+Sens!$H$124</f>
        <v>30.045917508699</v>
      </c>
      <c r="I125" s="38" t="n">
        <f aca="false">Sens!$I$123+Sens!$I$124</f>
        <v>61.9722433318155</v>
      </c>
      <c r="J125" s="38" t="n">
        <f aca="false">Sens!$J$123+Sens!$J$124</f>
        <v>90.7078872002321</v>
      </c>
      <c r="K125" s="38" t="n">
        <f aca="false">Sens!$K$123+Sens!$K$124</f>
        <v>120.133112970283</v>
      </c>
      <c r="L125" s="38" t="n">
        <f aca="false">Sens!$L$123+Sens!$L$124</f>
        <v>140.830496332622</v>
      </c>
      <c r="M125" s="38" t="n">
        <f aca="false">Sens!$M$123+Sens!$M$124</f>
        <v>152.711636855584</v>
      </c>
      <c r="N125" s="38" t="n">
        <f aca="false">Sens!$N$123+Sens!$N$124</f>
        <v>0.865507324310419</v>
      </c>
      <c r="O125" s="38" t="n">
        <f aca="false">Sens!$O$123+Sens!$O$124</f>
        <v>0.865507324310419</v>
      </c>
      <c r="R125" s="38" t="n">
        <f aca="false">Sens!$R$123+Sens!$R$124</f>
        <v>0</v>
      </c>
      <c r="S125" s="38" t="n">
        <f aca="false">Sens!$S$123+Sens!$S$124</f>
        <v>0.203463948620839</v>
      </c>
      <c r="T125" s="38" t="n">
        <f aca="false">Sens!$T$123+Sens!$T$124</f>
        <v>1.73101464862084</v>
      </c>
      <c r="U125" s="38" t="n">
        <f aca="false">Sens!$U$123+Sens!$U$124</f>
        <v>10.4964302123178</v>
      </c>
      <c r="V125" s="38" t="n">
        <f aca="false">Sens!$V$123+Sens!$V$124</f>
        <v>30.045917508699</v>
      </c>
      <c r="W125" s="38" t="n">
        <f aca="false">Sens!$W$123+Sens!$W$124</f>
        <v>61.9722433318155</v>
      </c>
      <c r="X125" s="38" t="n">
        <f aca="false">Sens!$X$123+Sens!$X$124</f>
        <v>90.7078872002321</v>
      </c>
      <c r="Y125" s="38" t="n">
        <f aca="false">Sens!$Y$123+Sens!$Y$124</f>
        <v>120.133112970283</v>
      </c>
      <c r="Z125" s="38" t="n">
        <f aca="false">Sens!$Z$123+Sens!$Z$124</f>
        <v>140.830496332622</v>
      </c>
      <c r="AA125" s="38" t="n">
        <f aca="false">Sens!$AA$123+Sens!$AA$124</f>
        <v>152.711636855584</v>
      </c>
    </row>
    <row r="126" customFormat="false" ht="17.15" hidden="false" customHeight="false" outlineLevel="0" collapsed="false">
      <c r="A126" s="0" t="s">
        <v>651</v>
      </c>
      <c r="B126" s="0" t="s">
        <v>86</v>
      </c>
      <c r="C126" s="38" t="n">
        <f aca="false">Sens!$S$126</f>
        <v>26.578941154416</v>
      </c>
      <c r="D126" s="38" t="n">
        <f aca="false">Sens!$T$126</f>
        <v>94.4165581367978</v>
      </c>
      <c r="G126" s="38" t="n">
        <f aca="false">Sens!$U$126</f>
        <v>236.826599034204</v>
      </c>
      <c r="H126" s="38" t="n">
        <f aca="false">Sens!$V$126</f>
        <v>405.352046470255</v>
      </c>
      <c r="I126" s="38" t="n">
        <f aca="false">Sens!$W$126</f>
        <v>548.02627304894</v>
      </c>
      <c r="J126" s="38" t="n">
        <f aca="false">Sens!$X$126</f>
        <v>667.201623959208</v>
      </c>
      <c r="K126" s="38" t="n">
        <f aca="false">Sens!$Y$126</f>
        <v>702.306896264125</v>
      </c>
      <c r="L126" s="38" t="n">
        <f aca="false">Sens!$Z$126</f>
        <v>693.490541571405</v>
      </c>
      <c r="M126" s="38" t="n">
        <f aca="false">Sens!$AA$126</f>
        <v>673.009886375674</v>
      </c>
      <c r="R126" s="38" t="n">
        <f aca="false">SUM(Sens!$R$113:$R$113)-SUM(Sens!$R$125:$R$125)</f>
        <v>1.50429979529945</v>
      </c>
      <c r="S126" s="38" t="n">
        <f aca="false">SUM(Sens!$R$113:$S$113)-SUM(Sens!$R$125:$S$125)</f>
        <v>26.578941154416</v>
      </c>
      <c r="T126" s="38" t="n">
        <f aca="false">SUM(Sens!$R$113:$T$113)-SUM(Sens!$R$125:$T$125)</f>
        <v>94.4165581367978</v>
      </c>
      <c r="U126" s="38" t="n">
        <f aca="false">SUM(Sens!$R$113:$U$113)-SUM(Sens!$R$125:$U$125)</f>
        <v>236.826599034204</v>
      </c>
      <c r="V126" s="38" t="n">
        <f aca="false">SUM(Sens!$R$113:$V$113)-SUM(Sens!$R$125:$V$125)</f>
        <v>405.352046470255</v>
      </c>
      <c r="W126" s="38" t="n">
        <f aca="false">SUM(Sens!$R$113:$W$113)-SUM(Sens!$R$125:$W$125)</f>
        <v>548.02627304894</v>
      </c>
      <c r="X126" s="38" t="n">
        <f aca="false">SUM(Sens!$R$113:$X$113)-SUM(Sens!$R$125:$X$125)</f>
        <v>667.201623959208</v>
      </c>
      <c r="Y126" s="38" t="n">
        <f aca="false">SUM(Sens!$R$113:$Y$113)-SUM(Sens!$R$125:$Y$125)</f>
        <v>702.306896264125</v>
      </c>
      <c r="Z126" s="38" t="n">
        <f aca="false">SUM(Sens!$R$113:$Z$113)-SUM(Sens!$R$125:$Z$125)</f>
        <v>693.490541571405</v>
      </c>
      <c r="AA126" s="38" t="n">
        <f aca="false">SUM(Sens!$R$113:$AA$113)-SUM(Sens!$R$125:$AA$125)</f>
        <v>673.009886375674</v>
      </c>
    </row>
    <row r="127" customFormat="false" ht="17.15" hidden="false" customHeight="false" outlineLevel="0" collapsed="false">
      <c r="A127" s="1" t="s">
        <v>652</v>
      </c>
    </row>
    <row r="128" customFormat="false" ht="17.15" hidden="false" customHeight="false" outlineLevel="0" collapsed="false">
      <c r="A128" s="0" t="s">
        <v>653</v>
      </c>
      <c r="B128" s="0" t="s">
        <v>86</v>
      </c>
      <c r="C128" s="38" t="n">
        <f aca="false">Sens!$C$104-ext_sh*Sens!$C$106</f>
        <v>1.80694998843362</v>
      </c>
      <c r="D128" s="38" t="n">
        <f aca="false">Sens!$D$104-ext_sh*Sens!$D$106</f>
        <v>6.77606245662607</v>
      </c>
      <c r="E128" s="38" t="n">
        <f aca="false">Sens!$E$104-ext_sh*Sens!$E$106</f>
        <v>6.62548329092326</v>
      </c>
      <c r="F128" s="38" t="n">
        <f aca="false">Sens!$F$104-ext_sh*Sens!$F$106</f>
        <v>11.7200577158706</v>
      </c>
      <c r="G128" s="38" t="n">
        <f aca="false">Sens!$G$104-ext_sh*Sens!$G$106</f>
        <v>18.3455410067939</v>
      </c>
      <c r="H128" s="38" t="n">
        <f aca="false">Sens!$H$104-ext_sh*Sens!$H$106</f>
        <v>47.5171727060453</v>
      </c>
      <c r="I128" s="38" t="n">
        <f aca="false">Sens!$I$104-ext_sh*Sens!$I$106</f>
        <v>80.5539692643667</v>
      </c>
      <c r="J128" s="38" t="n">
        <f aca="false">Sens!$J$104-ext_sh*Sens!$J$106</f>
        <v>113.759316834883</v>
      </c>
      <c r="K128" s="38" t="n">
        <f aca="false">Sens!$K$104-ext_sh*Sens!$K$106</f>
        <v>142.084411492169</v>
      </c>
      <c r="L128" s="38" t="n">
        <f aca="false">Sens!$L$104-ext_sh*Sens!$L$106</f>
        <v>160.69964615804</v>
      </c>
      <c r="M128" s="38" t="n">
        <f aca="false">Sens!$M$104-ext_sh*Sens!$M$106</f>
        <v>169.577607141793</v>
      </c>
      <c r="N128" s="38" t="n">
        <f aca="false">Sens!$N$104-ext_sh*Sens!$N$106</f>
        <v>2.37162185981912</v>
      </c>
      <c r="O128" s="38" t="n">
        <f aca="false">Sens!$O$104-ext_sh*Sens!$O$106</f>
        <v>4.40444059680694</v>
      </c>
    </row>
    <row r="129" customFormat="false" ht="17.15" hidden="false" customHeight="false" outlineLevel="0" collapsed="false">
      <c r="A129" s="1" t="s">
        <v>654</v>
      </c>
      <c r="B129" s="8" t="s">
        <v>86</v>
      </c>
      <c r="C129" s="38" t="n">
        <f aca="false">Sens!$C$128-ext_sh*Sens!$C$125</f>
        <v>1.64417882953695</v>
      </c>
      <c r="D129" s="38" t="n">
        <f aca="false">Sens!$D$128-ext_sh*Sens!$D$125</f>
        <v>5.39125073772939</v>
      </c>
      <c r="E129" s="38" t="n">
        <f aca="false">Sens!$E$128-ext_sh*Sens!$E$125</f>
        <v>2.42691120599613</v>
      </c>
      <c r="F129" s="38" t="n">
        <f aca="false">Sens!$F$128-ext_sh*Sens!$F$125</f>
        <v>7.52148563094346</v>
      </c>
      <c r="G129" s="38" t="n">
        <f aca="false">Sens!$G$128-ext_sh*Sens!$G$125</f>
        <v>9.94839683693959</v>
      </c>
      <c r="H129" s="38" t="n">
        <f aca="false">Sens!$H$128-ext_sh*Sens!$H$125</f>
        <v>23.4804386990861</v>
      </c>
      <c r="I129" s="38" t="n">
        <f aca="false">Sens!$I$128-ext_sh*Sens!$I$125</f>
        <v>30.9761745989143</v>
      </c>
      <c r="J129" s="38" t="n">
        <f aca="false">Sens!$J$128-ext_sh*Sens!$J$125</f>
        <v>41.1930070746977</v>
      </c>
      <c r="K129" s="38" t="n">
        <f aca="false">Sens!$K$128-ext_sh*Sens!$K$125</f>
        <v>45.9779211159428</v>
      </c>
      <c r="L129" s="38" t="n">
        <f aca="false">Sens!$L$128-ext_sh*Sens!$L$125</f>
        <v>48.0352490919424</v>
      </c>
      <c r="M129" s="38" t="n">
        <f aca="false">Sens!$M$128-ext_sh*Sens!$M$125</f>
        <v>47.4082976573265</v>
      </c>
      <c r="N129" s="38" t="n">
        <f aca="false">Sens!$N$128-ext_sh*Sens!$N$125</f>
        <v>1.67921600037079</v>
      </c>
      <c r="O129" s="38" t="n">
        <f aca="false">Sens!$O$128-ext_sh*Sens!$O$125</f>
        <v>3.71203473735861</v>
      </c>
    </row>
    <row r="130" customFormat="false" ht="17.15" hidden="false" customHeight="false" outlineLevel="0" collapsed="false">
      <c r="A130" s="0" t="s">
        <v>655</v>
      </c>
      <c r="B130" s="0" t="s">
        <v>52</v>
      </c>
      <c r="C130" s="13" t="n">
        <f aca="false">Sens!$C$129/Sens!$C$104</f>
        <v>0.708390794789371</v>
      </c>
      <c r="D130" s="13" t="n">
        <f aca="false">Sens!$D$129/Sens!$D$104</f>
        <v>0.619415573115729</v>
      </c>
      <c r="E130" s="13" t="n">
        <f aca="false">Sens!$E$129/Sens!$E$104</f>
        <v>0.285171627189009</v>
      </c>
      <c r="F130" s="13" t="n">
        <f aca="false">Sens!$F$129/Sens!$F$104</f>
        <v>0.502657732812366</v>
      </c>
      <c r="G130" s="13" t="n">
        <f aca="false">Sens!$G$129/Sens!$G$104</f>
        <v>0.423808778611812</v>
      </c>
      <c r="H130" s="13" t="n">
        <f aca="false">Sens!$H$129/Sens!$H$104</f>
        <v>0.390261631739809</v>
      </c>
      <c r="I130" s="13" t="n">
        <f aca="false">Sens!$I$129/Sens!$I$104</f>
        <v>0.305172864264572</v>
      </c>
      <c r="J130" s="13" t="n">
        <f aca="false">Sens!$J$129/Sens!$J$104</f>
        <v>0.288011814789856</v>
      </c>
      <c r="K130" s="13" t="n">
        <f aca="false">Sens!$K$129/Sens!$K$104</f>
        <v>0.25765427518774</v>
      </c>
      <c r="L130" s="13" t="n">
        <f aca="false">Sens!$L$129/Sens!$L$104</f>
        <v>0.238118778012374</v>
      </c>
      <c r="M130" s="13" t="n">
        <f aca="false">Sens!$M$129/Sens!$M$104</f>
        <v>0.222746255757109</v>
      </c>
      <c r="N130" s="13" t="n">
        <f aca="false">Sens!$N$129/Sens!$N$104</f>
        <v>0.551227795793364</v>
      </c>
      <c r="O130" s="13" t="n">
        <f aca="false">Sens!$O$129/Sens!$O$104</f>
        <v>0.656132068597002</v>
      </c>
    </row>
    <row r="131" customFormat="false" ht="17.15" hidden="false" customHeight="false" outlineLevel="0" collapsed="false">
      <c r="A131" s="5" t="s">
        <v>656</v>
      </c>
      <c r="B131" s="0" t="s">
        <v>86</v>
      </c>
      <c r="C131" s="39" t="n">
        <v>0</v>
      </c>
      <c r="D131" s="39" t="n">
        <v>0</v>
      </c>
      <c r="E131" s="39" t="n">
        <v>0</v>
      </c>
      <c r="F131" s="38" t="n">
        <f aca="false">IF(internal_ai_reading=2,1,0)*(1-ext_sh)/ext_sh*(mw_open*he_open+Sens!$F$102*Sens!$F$99)*Sens!$F$88/1000</f>
        <v>3.77122048175818</v>
      </c>
      <c r="G131" s="38" t="n">
        <f aca="false">Sens!$E$131+Sens!$F$131</f>
        <v>3.77122048175818</v>
      </c>
      <c r="H131" s="38" t="n">
        <f aca="false">IF(internal_ai_reading=2,1,0)*(1-ext_sh)/ext_sh*(mw_open*he_open+Sens!$H$102*Sens!$H$99)*Sens!$H$88/1000</f>
        <v>15.1635543609893</v>
      </c>
      <c r="I131" s="38" t="n">
        <f aca="false">IF(internal_ai_reading=2,1,0)*(1-ext_sh)/ext_sh*(mw_open*he_open+Sens!$I$102*Sens!$I$99)*Sens!$I$88/1000</f>
        <v>25.5818843619889</v>
      </c>
      <c r="J131" s="38" t="n">
        <f aca="false">IF(internal_ai_reading=2,1,0)*(1-ext_sh)/ext_sh*(mw_open*he_open+Sens!$J$102*Sens!$J$99)*Sens!$J$88/1000</f>
        <v>36.0465624179122</v>
      </c>
      <c r="K131" s="38" t="n">
        <f aca="false">IF(internal_ai_reading=2,1,0)*(1-ext_sh)/ext_sh*(mw_open*he_open+Sens!$K$102*Sens!$K$99)*Sens!$K$88/1000</f>
        <v>44.9741164026038</v>
      </c>
      <c r="L131" s="38" t="n">
        <f aca="false">IF(internal_ai_reading=2,1,0)*(1-ext_sh)/ext_sh*(mw_open*he_open+Sens!$L$102*Sens!$L$99)*Sens!$L$88/1000</f>
        <v>50.8413488057813</v>
      </c>
      <c r="M131" s="38" t="n">
        <f aca="false">IF(internal_ai_reading=2,1,0)*(1-ext_sh)/ext_sh*(mw_open*he_open+Sens!$M$102*Sens!$M$99)*Sens!$M$88/1000</f>
        <v>53.6407214274315</v>
      </c>
      <c r="N131" s="39" t="n">
        <v>0</v>
      </c>
      <c r="O131" s="39" t="n">
        <v>0</v>
      </c>
      <c r="P131" s="8" t="s">
        <v>657</v>
      </c>
    </row>
    <row r="132" customFormat="false" ht="17.15" hidden="false" customHeight="false" outlineLevel="0" collapsed="false">
      <c r="A132" s="5" t="s">
        <v>658</v>
      </c>
      <c r="B132" s="0" t="s">
        <v>86</v>
      </c>
      <c r="C132" s="38" t="n">
        <f aca="false">(1-ext_sh)*(Sens!$C$106+Sens!$C$125)</f>
        <v>0.169206631859174</v>
      </c>
      <c r="D132" s="38" t="n">
        <f aca="false">(1-ext_sh)*(Sens!$D$106+Sens!$D$125)</f>
        <v>0.828129837730442</v>
      </c>
      <c r="E132" s="38" t="n">
        <f aca="false">(1-ext_sh)*(Sens!$E$106+Sens!$E$125)</f>
        <v>1.52086044239347</v>
      </c>
      <c r="F132" s="38" t="n">
        <f aca="false">(1-ext_sh)*(Sens!$F$106+Sens!$F$125)</f>
        <v>1.86048700344425</v>
      </c>
      <c r="G132" s="38" t="n">
        <f aca="false">(1-ext_sh)*(Sens!$G$106+Sens!$G$125)</f>
        <v>3.38134744583772</v>
      </c>
      <c r="H132" s="38" t="n">
        <f aca="false">(1-ext_sh)*(Sens!$H$106+Sens!$H$125)</f>
        <v>9.17136301267211</v>
      </c>
      <c r="I132" s="38" t="n">
        <f aca="false">(1-ext_sh)*(Sens!$I$106+Sens!$I$125)</f>
        <v>17.6318811343794</v>
      </c>
      <c r="J132" s="38" t="n">
        <f aca="false">(1-ext_sh)*(Sens!$J$106+Sens!$J$125)</f>
        <v>25.4581000191451</v>
      </c>
      <c r="K132" s="38" t="n">
        <f aca="false">(1-ext_sh)*(Sens!$K$106+Sens!$K$125)</f>
        <v>33.1175498168092</v>
      </c>
      <c r="L132" s="38" t="n">
        <f aca="false">(1-ext_sh)*(Sens!$L$106+Sens!$L$125)</f>
        <v>38.4232131776135</v>
      </c>
      <c r="M132" s="38" t="n">
        <f aca="false">(1-ext_sh)*(Sens!$M$106+Sens!$M$125)</f>
        <v>41.3567859278847</v>
      </c>
      <c r="N132" s="38" t="n">
        <f aca="false">(1-ext_sh)*(Sens!$N$106+Sens!$N$125)</f>
        <v>0.34177588266428</v>
      </c>
      <c r="O132" s="38" t="n">
        <f aca="false">(1-ext_sh)*(Sens!$O$106+Sens!$O$125)</f>
        <v>0.486353955066162</v>
      </c>
    </row>
    <row r="133" customFormat="false" ht="17.15" hidden="false" customHeight="false" outlineLevel="0" collapsed="false">
      <c r="A133" s="0" t="s">
        <v>659</v>
      </c>
      <c r="B133" s="0" t="s">
        <v>86</v>
      </c>
      <c r="C133" s="38" t="n">
        <f aca="false">Q!$D$24</f>
        <v>39.834</v>
      </c>
      <c r="D133" s="38" t="n">
        <f aca="false">Q!$E$24</f>
        <v>45.606</v>
      </c>
      <c r="E133" s="38" t="n">
        <f aca="false">Q!$P$24</f>
        <v>30.782</v>
      </c>
      <c r="N133" s="38" t="n">
        <f aca="false">Q!$N$24</f>
        <v>21.707</v>
      </c>
      <c r="O133" s="38" t="n">
        <f aca="false">Q!$O$24</f>
        <v>23.899</v>
      </c>
    </row>
    <row r="134" customFormat="false" ht="17.15" hidden="false" customHeight="false" outlineLevel="0" collapsed="false">
      <c r="A134" s="0" t="s">
        <v>660</v>
      </c>
      <c r="B134" s="0" t="s">
        <v>86</v>
      </c>
      <c r="C134" s="38" t="n">
        <f aca="false">Sens!$C$133-Sens!$C$129</f>
        <v>38.1898211704631</v>
      </c>
      <c r="D134" s="38" t="n">
        <f aca="false">Sens!$D$133-Sens!$D$129</f>
        <v>40.2147492622706</v>
      </c>
      <c r="E134" s="38" t="n">
        <f aca="false">Sens!$E$133-Sens!$E$129</f>
        <v>28.3550887940039</v>
      </c>
      <c r="F134" s="38" t="n">
        <f aca="false">Sens!$F$108*Sens!$F$135</f>
        <v>25.9529793149447</v>
      </c>
      <c r="G134" s="38" t="n">
        <f aca="false">Sens!$E$134+Sens!$F$134</f>
        <v>54.3080681089486</v>
      </c>
      <c r="H134" s="38" t="n">
        <f aca="false">Sens!$H$108*Sens!$H$135</f>
        <v>58.2264684589333</v>
      </c>
      <c r="I134" s="38" t="n">
        <f aca="false">Sens!$I$108*Sens!$I$135</f>
        <v>64.6461353851744</v>
      </c>
      <c r="J134" s="38" t="n">
        <f aca="false">Sens!$J$108*Sens!$J$135</f>
        <v>70.7957093610231</v>
      </c>
      <c r="K134" s="38" t="n">
        <f aca="false">Sens!$K$108*Sens!$K$135</f>
        <v>76.4593661099049</v>
      </c>
      <c r="L134" s="38" t="n">
        <f aca="false">Sens!$L$108*Sens!$L$135</f>
        <v>82.5761153986973</v>
      </c>
      <c r="M134" s="38" t="n">
        <f aca="false">Sens!$M$108*Sens!$M$135</f>
        <v>89.1822046305931</v>
      </c>
      <c r="N134" s="38" t="n">
        <f aca="false">Sens!$N$133-Sens!$N$129</f>
        <v>20.0277839996292</v>
      </c>
      <c r="O134" s="38" t="n">
        <f aca="false">Sens!$O$133-Sens!$O$129</f>
        <v>20.1869652626414</v>
      </c>
      <c r="P134" s="5" t="s">
        <v>661</v>
      </c>
    </row>
    <row r="135" customFormat="false" ht="17.15" hidden="false" customHeight="false" outlineLevel="0" collapsed="false">
      <c r="A135" s="0" t="s">
        <v>662</v>
      </c>
      <c r="B135" s="0" t="s">
        <v>52</v>
      </c>
      <c r="C135" s="13" t="n">
        <f aca="false">Sens!$C$134/Sens!$C$108</f>
        <v>0.362900395443635</v>
      </c>
      <c r="D135" s="13" t="n">
        <f aca="false">Sens!$D$134/Sens!$D$108</f>
        <v>0.335063632425483</v>
      </c>
      <c r="E135" s="13" t="n">
        <f aca="false">Sens!$E$134/Sens!$E$108</f>
        <v>0.397638855555478</v>
      </c>
      <c r="F135" s="13" t="n">
        <f aca="false">(Sens!$O$134+Sens!$E$134)/(Sens!$O$108+Sens!$E$108)</f>
        <v>0.361616727338133</v>
      </c>
      <c r="G135" s="13" t="n">
        <f aca="false">Sens!$G$134/Sens!$G$108</f>
        <v>0.379569803149143</v>
      </c>
      <c r="H135" s="13" t="n">
        <f aca="false">Sens!$F$135</f>
        <v>0.361616727338133</v>
      </c>
      <c r="I135" s="13" t="n">
        <f aca="false">Sens!$F$135</f>
        <v>0.361616727338133</v>
      </c>
      <c r="J135" s="13" t="n">
        <f aca="false">Sens!$F$135</f>
        <v>0.361616727338133</v>
      </c>
      <c r="K135" s="13" t="n">
        <f aca="false">Sens!$F$135</f>
        <v>0.361616727338133</v>
      </c>
      <c r="L135" s="13" t="n">
        <f aca="false">Sens!$F$135</f>
        <v>0.361616727338133</v>
      </c>
      <c r="M135" s="13" t="n">
        <f aca="false">Sens!$F$135</f>
        <v>0.361616727338133</v>
      </c>
      <c r="N135" s="13" t="n">
        <f aca="false">Sens!$N$134/Sens!$N$108</f>
        <v>0.35078810535806</v>
      </c>
      <c r="O135" s="13" t="n">
        <f aca="false">Sens!$O$134/Sens!$O$108</f>
        <v>0.320796939361619</v>
      </c>
      <c r="P135" s="8" t="s">
        <v>663</v>
      </c>
    </row>
    <row r="136" customFormat="false" ht="17.15" hidden="false" customHeight="false" outlineLevel="0" collapsed="false">
      <c r="A136" s="0" t="s">
        <v>664</v>
      </c>
      <c r="B136" s="0" t="s">
        <v>52</v>
      </c>
      <c r="D136" s="13" t="n">
        <f aca="false">(Q!$E$31-ext_sh*Sens!$D$125)/Sens!$D$108</f>
        <v>0.167180325480118</v>
      </c>
    </row>
    <row r="137" customFormat="false" ht="17.15" hidden="false" customHeight="false" outlineLevel="0" collapsed="false">
      <c r="A137" s="0" t="s">
        <v>665</v>
      </c>
      <c r="B137" s="0" t="s">
        <v>86</v>
      </c>
      <c r="C137" s="38" t="n">
        <f aca="false">Q!$D$31</f>
        <v>13.32</v>
      </c>
      <c r="D137" s="38" t="n">
        <f aca="false">Q!$E$31</f>
        <v>21.45</v>
      </c>
      <c r="E137" s="38" t="n">
        <f aca="false">Q!$P$31</f>
        <v>15.353</v>
      </c>
      <c r="F137" s="38" t="n">
        <f aca="false">ext_sh*Sens!$F$125+Sens!$D$136*Sens!$F$108</f>
        <v>16.1969869840094</v>
      </c>
      <c r="G137" s="38" t="n">
        <f aca="false">Sens!$E$137+Sens!$F$137</f>
        <v>31.5499869840094</v>
      </c>
      <c r="H137" s="38" t="n">
        <f aca="false">ext_sh*Sens!$H$125+Sens!$D$136*Sens!$H$108</f>
        <v>50.9556213609176</v>
      </c>
      <c r="I137" s="38" t="n">
        <f aca="false">ext_sh*Sens!$I$125+Sens!$D$136*Sens!$I$108</f>
        <v>79.464581248252</v>
      </c>
      <c r="J137" s="38" t="n">
        <f aca="false">ext_sh*Sens!$J$125+Sens!$D$136*Sens!$J$108</f>
        <v>105.296127931746</v>
      </c>
      <c r="K137" s="38" t="n">
        <f aca="false">ext_sh*Sens!$K$125+Sens!$D$136*Sens!$K$108</f>
        <v>131.454694001511</v>
      </c>
      <c r="L137" s="38" t="n">
        <f aca="false">ext_sh*Sens!$L$125+Sens!$D$136*Sens!$L$108</f>
        <v>150.840456981405</v>
      </c>
      <c r="M137" s="38" t="n">
        <f aca="false">ext_sh*Sens!$M$125+Sens!$D$136*Sens!$M$108</f>
        <v>163.399454192999</v>
      </c>
      <c r="N137" s="38" t="n">
        <f aca="false">Q!$N$31</f>
        <v>9.234</v>
      </c>
      <c r="O137" s="38" t="n">
        <f aca="false">Q!$O$31</f>
        <v>12.216</v>
      </c>
    </row>
    <row r="138" customFormat="false" ht="17.15" hidden="false" customHeight="false" outlineLevel="0" collapsed="false">
      <c r="A138" s="1" t="s">
        <v>666</v>
      </c>
    </row>
    <row r="139" customFormat="false" ht="17.15" hidden="false" customHeight="false" outlineLevel="0" collapsed="false">
      <c r="A139" s="15" t="s">
        <v>667</v>
      </c>
      <c r="B139" s="14" t="s">
        <v>52</v>
      </c>
      <c r="C139" s="14"/>
      <c r="D139" s="14"/>
      <c r="E139" s="14"/>
      <c r="F139" s="14"/>
      <c r="G139" s="17" t="n">
        <f aca="false">Sens!$G$129*(1-tax)/(ext_sh*(Sens!$D$126+Sens!$G$126)/2)</f>
        <v>0.0620504069546486</v>
      </c>
      <c r="H139" s="17" t="n">
        <f aca="false">Sens!$H$129*(1-tax)/(ext_sh*(Sens!$G$126+Sens!$H$126)/2)</f>
        <v>0.0755420551527686</v>
      </c>
      <c r="I139" s="17" t="n">
        <f aca="false">Sens!$I$129*(1-tax)/(ext_sh*(Sens!$H$126+Sens!$I$126)/2)</f>
        <v>0.067127575356291</v>
      </c>
      <c r="J139" s="17" t="n">
        <f aca="false">Sens!$J$129*(1-tax)/(ext_sh*(Sens!$I$126+Sens!$J$126)/2)</f>
        <v>0.0700332392906535</v>
      </c>
      <c r="K139" s="17" t="n">
        <f aca="false">Sens!$K$129*(1-tax)/(ext_sh*(Sens!$J$126+Sens!$K$126)/2)</f>
        <v>0.0693622290093833</v>
      </c>
      <c r="L139" s="17" t="n">
        <f aca="false">Sens!$L$129*(1-tax)/(ext_sh*(Sens!$K$126+Sens!$L$126)/2)</f>
        <v>0.0711010638813626</v>
      </c>
      <c r="M139" s="17" t="n">
        <f aca="false">Sens!$M$129*(1-tax)/(ext_sh*(Sens!$L$126+Sens!$M$126)/2)</f>
        <v>0.071677531066401</v>
      </c>
      <c r="N139" s="14"/>
      <c r="O139" s="14"/>
      <c r="P139" s="8" t="s">
        <v>668</v>
      </c>
    </row>
    <row r="140" customFormat="false" ht="17.15" hidden="false" customHeight="false" outlineLevel="0" collapsed="false">
      <c r="A140" s="5" t="s">
        <v>669</v>
      </c>
      <c r="B140" s="0" t="s">
        <v>57</v>
      </c>
      <c r="H140" s="36" t="n">
        <f aca="false">Sens!$H$104*1000/(mw_open*he_open+Sens!$H$102*Sens!$H$99)</f>
        <v>0.991949006767191</v>
      </c>
      <c r="I140" s="36" t="n">
        <f aca="false">Sens!$I$104*1000/(mw_open*he_open+Sens!$I$102*Sens!$I$99)</f>
        <v>0.991949006767191</v>
      </c>
      <c r="J140" s="36" t="n">
        <f aca="false">Sens!$J$104*1000/(mw_open*he_open+Sens!$J$102*Sens!$J$99)</f>
        <v>0.991949006767191</v>
      </c>
      <c r="K140" s="36" t="n">
        <f aca="false">Sens!$K$104*1000/(mw_open*he_open+Sens!$K$102*Sens!$K$99)</f>
        <v>0.991949006767191</v>
      </c>
      <c r="L140" s="36" t="n">
        <f aca="false">Sens!$L$104*1000/(mw_open*he_open+Sens!$L$102*Sens!$L$99)</f>
        <v>0.991949006767191</v>
      </c>
      <c r="M140" s="36" t="n">
        <f aca="false">Sens!$M$104*1000/(mw_open*he_open+Sens!$M$102*Sens!$M$99)</f>
        <v>0.991949006767191</v>
      </c>
    </row>
    <row r="141" customFormat="false" ht="17.15" hidden="false" customHeight="false" outlineLevel="0" collapsed="false">
      <c r="A141" s="5" t="s">
        <v>670</v>
      </c>
      <c r="B141" s="0" t="s">
        <v>57</v>
      </c>
      <c r="H141" s="36" t="n">
        <f aca="false">Sens!$H$140*(Sens!$H$104+wacc*ext_sh*(Sens!$G$126+Sens!$H$126)/2/(1-tax)-Sens!$H$129)/Sens!$H$104</f>
        <v>1.18542857552197</v>
      </c>
      <c r="I141" s="36" t="n">
        <f aca="false">Sens!$I$140*(Sens!$I$104+wacc*ext_sh*(Sens!$H$126+Sens!$I$126)/2/(1-tax)-Sens!$I$129)/Sens!$I$104</f>
        <v>1.20015476648903</v>
      </c>
      <c r="J141" s="36" t="n">
        <f aca="false">Sens!$J$140*(Sens!$J$104+wacc*ext_sh*(Sens!$I$126+Sens!$J$126)/2/(1-tax)-Sens!$J$129)/Sens!$J$104</f>
        <v>1.16844056931249</v>
      </c>
      <c r="K141" s="36" t="n">
        <f aca="false">Sens!$K$140*(Sens!$K$104+wacc*ext_sh*(Sens!$J$126+Sens!$K$126)/2/(1-tax)-Sens!$K$129)/Sens!$K$104</f>
        <v>1.15383758356873</v>
      </c>
      <c r="L141" s="36" t="n">
        <f aca="false">Sens!$L$140*(Sens!$L$104+wacc*ext_sh*(Sens!$K$126+Sens!$L$126)/2/(1-tax)-Sens!$L$129)/Sens!$L$104</f>
        <v>1.13212765595665</v>
      </c>
      <c r="M141" s="36" t="n">
        <f aca="false">Sens!$M$140*(Sens!$M$104+wacc*ext_sh*(Sens!$L$126+Sens!$M$126)/2/(1-tax)-Sens!$M$129)/Sens!$M$104</f>
        <v>1.12024635139935</v>
      </c>
    </row>
    <row r="142" customFormat="false" ht="17.15" hidden="false" customHeight="false" outlineLevel="0" collapsed="false">
      <c r="A142" s="5" t="s">
        <v>671</v>
      </c>
      <c r="B142" s="0" t="s">
        <v>52</v>
      </c>
      <c r="C142" s="13" t="n">
        <f aca="false">Sens!$C$105/tk_pq</f>
        <v>0.195316432429398</v>
      </c>
      <c r="D142" s="13" t="n">
        <f aca="false">Sens!$D$105/tk_pq</f>
        <v>0.195316432429398</v>
      </c>
      <c r="E142" s="13" t="n">
        <f aca="false">Sens!$E$105/tk_pq</f>
        <v>0.195316432429398</v>
      </c>
      <c r="F142" s="13" t="n">
        <f aca="false">Sens!$F$105/tk_pq</f>
        <v>0.202241827274866</v>
      </c>
      <c r="G142" s="13" t="n">
        <f aca="false">Sens!$G$105/tk_pq</f>
        <v>0.199675016194063</v>
      </c>
      <c r="H142" s="13" t="n">
        <f aca="false">Sens!$H$105/tk_pq</f>
        <v>0.212647947710325</v>
      </c>
      <c r="I142" s="13" t="n">
        <f aca="false">Sens!$I$105/tk_pq</f>
        <v>0.219285125475351</v>
      </c>
      <c r="J142" s="13" t="n">
        <f aca="false">Sens!$J$105/tk_pq</f>
        <v>0.222492493217189</v>
      </c>
      <c r="K142" s="13" t="n">
        <f aca="false">Sens!$K$105/tk_pq</f>
        <v>0.224053502812094</v>
      </c>
      <c r="L142" s="13" t="n">
        <f aca="false">Sens!$L$105/tk_pq</f>
        <v>0.224786916785614</v>
      </c>
      <c r="M142" s="13" t="n">
        <f aca="false">Sens!$M$105/tk_pq</f>
        <v>0.225048671566937</v>
      </c>
      <c r="N142" s="13" t="n">
        <f aca="false">Sens!$N$105/tk_pq</f>
        <v>0.195316432429398</v>
      </c>
      <c r="O142" s="13" t="n">
        <f aca="false">Sens!$O$105/tk_pq</f>
        <v>0.195316432429398</v>
      </c>
      <c r="P142" s="5" t="s">
        <v>672</v>
      </c>
    </row>
    <row r="145" customFormat="false" ht="17.15" hidden="false" customHeight="false" outlineLevel="0" collapsed="false">
      <c r="A145" s="1" t="s">
        <v>701</v>
      </c>
    </row>
    <row r="146" customFormat="false" ht="17.15" hidden="false" customHeight="false" outlineLevel="0" collapsed="false">
      <c r="A146" s="0" t="s">
        <v>702</v>
      </c>
      <c r="B146" s="0" t="s">
        <v>86</v>
      </c>
      <c r="C146" s="38" t="n">
        <f aca="false">Sens!$C$104</f>
        <v>2.32100535697364</v>
      </c>
      <c r="D146" s="38" t="n">
        <f aca="false">Sens!$D$104</f>
        <v>8.70377008865116</v>
      </c>
      <c r="E146" s="38" t="n">
        <f aca="false">Sens!$E$104</f>
        <v>8.51035297557002</v>
      </c>
      <c r="F146" s="38" t="n">
        <f aca="false">Sens!$F$104</f>
        <v>14.9634336447205</v>
      </c>
      <c r="G146" s="38" t="n">
        <f aca="false">Sens!$G$104</f>
        <v>23.4737866202905</v>
      </c>
      <c r="H146" s="38" t="n">
        <f aca="false">Sens!$H$104</f>
        <v>60.1658907497746</v>
      </c>
      <c r="I146" s="38" t="n">
        <f aca="false">Sens!$I$104</f>
        <v>101.503699136432</v>
      </c>
      <c r="J146" s="38" t="n">
        <f aca="false">Sens!$J$104</f>
        <v>143.025407151278</v>
      </c>
      <c r="K146" s="38" t="n">
        <f aca="false">Sens!$K$104</f>
        <v>178.44812038318</v>
      </c>
      <c r="L146" s="38" t="n">
        <f aca="false">Sens!$L$104</f>
        <v>201.728101802396</v>
      </c>
      <c r="M146" s="38" t="n">
        <f aca="false">Sens!$M$104</f>
        <v>212.835441368865</v>
      </c>
      <c r="N146" s="38" t="n">
        <f aca="false">Sens!$N$104</f>
        <v>3.04631953102791</v>
      </c>
      <c r="O146" s="38" t="n">
        <f aca="false">Sens!$O$104</f>
        <v>5.65745055762326</v>
      </c>
      <c r="P146" s="8" t="s">
        <v>703</v>
      </c>
    </row>
    <row r="147" customFormat="false" ht="17.15" hidden="false" customHeight="false" outlineLevel="0" collapsed="false">
      <c r="A147" s="0" t="s">
        <v>704</v>
      </c>
      <c r="B147" s="0" t="s">
        <v>86</v>
      </c>
      <c r="C147" s="38" t="n">
        <f aca="false">Sens!$C$108</f>
        <v>105.234994643026</v>
      </c>
      <c r="D147" s="38" t="n">
        <f aca="false">Sens!$D$108</f>
        <v>120.021229911349</v>
      </c>
      <c r="E147" s="38" t="n">
        <f aca="false">Sens!$E$108</f>
        <v>71.30864702443</v>
      </c>
      <c r="F147" s="38" t="n">
        <f aca="false">Sens!$F$108</f>
        <v>71.7692997942464</v>
      </c>
      <c r="G147" s="38" t="n">
        <f aca="false">Sens!$G$108</f>
        <v>143.077946818676</v>
      </c>
      <c r="H147" s="38" t="n">
        <f aca="false">Sens!$H$108</f>
        <v>161.017077079203</v>
      </c>
      <c r="I147" s="38" t="n">
        <f aca="false">Sens!$I$108</f>
        <v>178.769759521457</v>
      </c>
      <c r="J147" s="38" t="n">
        <f aca="false">Sens!$J$108</f>
        <v>195.775538045907</v>
      </c>
      <c r="K147" s="38" t="n">
        <f aca="false">Sens!$K$108</f>
        <v>211.43758108958</v>
      </c>
      <c r="L147" s="38" t="n">
        <f aca="false">Sens!$L$108</f>
        <v>228.352587576746</v>
      </c>
      <c r="M147" s="38" t="n">
        <f aca="false">Sens!$M$108</f>
        <v>246.620794582886</v>
      </c>
      <c r="N147" s="38" t="n">
        <f aca="false">Sens!$N$108</f>
        <v>57.0936804689721</v>
      </c>
      <c r="O147" s="38" t="n">
        <f aca="false">Sens!$O$108</f>
        <v>62.9275494423768</v>
      </c>
      <c r="P147" s="8" t="s">
        <v>703</v>
      </c>
    </row>
    <row r="148" customFormat="false" ht="17.15" hidden="false" customHeight="false" outlineLevel="0" collapsed="false">
      <c r="A148" s="1" t="s">
        <v>523</v>
      </c>
      <c r="B148" s="8" t="s">
        <v>86</v>
      </c>
      <c r="C148" s="38" t="n">
        <f aca="false">Q!$D$7</f>
        <v>107.556</v>
      </c>
      <c r="D148" s="38" t="n">
        <f aca="false">Q!$E$7</f>
        <v>128.725</v>
      </c>
      <c r="E148" s="38" t="n">
        <f aca="false">Q!$P$7</f>
        <v>79.819</v>
      </c>
      <c r="F148" s="38" t="n">
        <f aca="false">Sens!$F$146+Sens!$F$147</f>
        <v>86.7327334389669</v>
      </c>
      <c r="G148" s="38" t="n">
        <f aca="false">Sens!$G$146+Sens!$G$147</f>
        <v>166.551733438967</v>
      </c>
      <c r="H148" s="38" t="n">
        <f aca="false">Sens!$H$146+Sens!$H$147</f>
        <v>221.182967828978</v>
      </c>
      <c r="I148" s="38" t="n">
        <f aca="false">Sens!$I$146+Sens!$I$147</f>
        <v>280.27345865789</v>
      </c>
      <c r="J148" s="38" t="n">
        <f aca="false">Sens!$J$146+Sens!$J$147</f>
        <v>338.800945197185</v>
      </c>
      <c r="K148" s="38" t="n">
        <f aca="false">Sens!$K$146+Sens!$K$147</f>
        <v>389.88570147276</v>
      </c>
      <c r="L148" s="38" t="n">
        <f aca="false">Sens!$L$146+Sens!$L$147</f>
        <v>430.080689379143</v>
      </c>
      <c r="M148" s="38" t="n">
        <f aca="false">Sens!$M$146+Sens!$M$147</f>
        <v>459.456235951751</v>
      </c>
      <c r="N148" s="38" t="n">
        <f aca="false">Q!$N$7</f>
        <v>60.14</v>
      </c>
      <c r="O148" s="38" t="n">
        <f aca="false">Q!$O$7</f>
        <v>68.585</v>
      </c>
      <c r="P148" s="5" t="s">
        <v>705</v>
      </c>
    </row>
    <row r="149" customFormat="false" ht="15" hidden="false" customHeight="false" outlineLevel="0" collapsed="false">
      <c r="A149" s="3" t="s">
        <v>706</v>
      </c>
      <c r="B149" s="8" t="s">
        <v>86</v>
      </c>
      <c r="C149" s="38" t="n">
        <f aca="false">Q!$D$8</f>
        <v>637.959</v>
      </c>
      <c r="D149" s="38" t="n">
        <f aca="false">Q!$E$8</f>
        <v>716.924</v>
      </c>
      <c r="E149" s="38" t="n">
        <f aca="false">Q!$P$8</f>
        <v>382.125</v>
      </c>
      <c r="F149" s="38" t="n">
        <f aca="false">Sens!$F$76+Sens!$F$148</f>
        <v>435.780975084504</v>
      </c>
      <c r="G149" s="38" t="n">
        <f aca="false">Sens!$G$76+Sens!$G$148</f>
        <v>817.905975084504</v>
      </c>
      <c r="H149" s="38" t="n">
        <f aca="false">Sens!$H$76+Sens!$H$148</f>
        <v>942.279857350364</v>
      </c>
      <c r="I149" s="38" t="n">
        <f aca="false">Sens!$I$76+Sens!$I$148</f>
        <v>1068.80284981042</v>
      </c>
      <c r="J149" s="38" t="n">
        <f aca="false">Sens!$J$76+Sens!$J$148</f>
        <v>1189.90935093863</v>
      </c>
      <c r="K149" s="38" t="n">
        <f aca="false">Sens!$K$76+Sens!$K$148</f>
        <v>1296.06215690385</v>
      </c>
      <c r="L149" s="38" t="n">
        <f aca="false">Sens!$L$76+Sens!$L$148</f>
        <v>1395.17379585473</v>
      </c>
      <c r="M149" s="38" t="n">
        <f aca="false">Sens!$M$76+Sens!$M$148</f>
        <v>1487.60414389864</v>
      </c>
      <c r="N149" s="38" t="n">
        <f aca="false">Q!$N$8</f>
        <v>323.369</v>
      </c>
      <c r="O149" s="38" t="n">
        <f aca="false">Q!$O$8</f>
        <v>393.555</v>
      </c>
    </row>
    <row r="150" customFormat="false" ht="17.15" hidden="false" customHeight="false" outlineLevel="0" collapsed="false">
      <c r="A150" s="24" t="s">
        <v>714</v>
      </c>
      <c r="B150" s="25" t="s">
        <v>86</v>
      </c>
      <c r="C150" s="41" t="n">
        <f aca="false">Sens!$C$76-(Sens!$C$78+Sens!$C$79)</f>
        <v>0</v>
      </c>
      <c r="D150" s="41" t="n">
        <f aca="false">Sens!$D$76-(Sens!$D$78+Sens!$D$79)</f>
        <v>0</v>
      </c>
      <c r="E150" s="41" t="n">
        <f aca="false">Sens!$E$76-(Sens!$E$78+Sens!$E$79)</f>
        <v>0</v>
      </c>
      <c r="F150" s="41" t="n">
        <f aca="false">Sens!$F$76-(Sens!$F$78+Sens!$F$79)</f>
        <v>0</v>
      </c>
      <c r="G150" s="41" t="n">
        <f aca="false">Sens!$G$76-(Sens!$G$78+Sens!$G$79)</f>
        <v>0</v>
      </c>
      <c r="H150" s="41" t="n">
        <f aca="false">Sens!$H$76-(Sens!$H$78+Sens!$H$79)</f>
        <v>0</v>
      </c>
      <c r="I150" s="41" t="n">
        <f aca="false">Sens!$I$76-(Sens!$I$78+Sens!$I$79)</f>
        <v>0</v>
      </c>
      <c r="J150" s="41" t="n">
        <f aca="false">Sens!$J$76-(Sens!$J$78+Sens!$J$79)</f>
        <v>0</v>
      </c>
      <c r="K150" s="41" t="n">
        <f aca="false">Sens!$K$76-(Sens!$K$78+Sens!$K$79)</f>
        <v>0</v>
      </c>
      <c r="L150" s="41" t="n">
        <f aca="false">Sens!$L$76-(Sens!$L$78+Sens!$L$79)</f>
        <v>0</v>
      </c>
      <c r="M150" s="41" t="n">
        <f aca="false">Sens!$M$76-(Sens!$M$78+Sens!$M$79)</f>
        <v>0</v>
      </c>
      <c r="N150" s="41" t="n">
        <f aca="false">Sens!$N$76-(Sens!$N$78+Sens!$N$79)</f>
        <v>0</v>
      </c>
      <c r="O150" s="41" t="n">
        <f aca="false">Sens!$O$76-(Sens!$O$78+Sens!$O$79)</f>
        <v>0</v>
      </c>
    </row>
    <row r="151" customFormat="false" ht="17.15" hidden="false" customHeight="false" outlineLevel="0" collapsed="false">
      <c r="A151" s="24" t="s">
        <v>715</v>
      </c>
      <c r="B151" s="25" t="s">
        <v>86</v>
      </c>
      <c r="C151" s="41" t="n">
        <f aca="false">Sens!$C$146+Sens!$C$147-Sens!$C$148</f>
        <v>0</v>
      </c>
      <c r="D151" s="41" t="n">
        <f aca="false">Sens!$D$146+Sens!$D$147-Sens!$D$148</f>
        <v>0</v>
      </c>
      <c r="E151" s="41" t="n">
        <f aca="false">Sens!$E$146+Sens!$E$147-Sens!$E$148</f>
        <v>0</v>
      </c>
      <c r="F151" s="41" t="n">
        <f aca="false">Sens!$F$146+Sens!$F$147-Sens!$F$148</f>
        <v>0</v>
      </c>
      <c r="G151" s="41" t="n">
        <f aca="false">Sens!$G$146+Sens!$G$147-Sens!$G$148</f>
        <v>0</v>
      </c>
      <c r="H151" s="41" t="n">
        <f aca="false">Sens!$H$146+Sens!$H$147-Sens!$H$148</f>
        <v>0</v>
      </c>
      <c r="I151" s="41" t="n">
        <f aca="false">Sens!$I$146+Sens!$I$147-Sens!$I$148</f>
        <v>0</v>
      </c>
      <c r="J151" s="41" t="n">
        <f aca="false">Sens!$J$146+Sens!$J$147-Sens!$J$148</f>
        <v>0</v>
      </c>
      <c r="K151" s="41" t="n">
        <f aca="false">Sens!$K$146+Sens!$K$147-Sens!$K$148</f>
        <v>0</v>
      </c>
      <c r="L151" s="41" t="n">
        <f aca="false">Sens!$L$146+Sens!$L$147-Sens!$L$148</f>
        <v>0</v>
      </c>
      <c r="M151" s="41" t="n">
        <f aca="false">Sens!$M$146+Sens!$M$147-Sens!$M$148</f>
        <v>0</v>
      </c>
      <c r="N151" s="41" t="n">
        <f aca="false">Sens!$N$146+Sens!$N$147-Sens!$N$148</f>
        <v>0</v>
      </c>
      <c r="O151" s="41" t="n">
        <f aca="false">Sens!$O$146+Sens!$O$147-Sens!$O$148</f>
        <v>0</v>
      </c>
    </row>
    <row r="152" customFormat="false" ht="17.15" hidden="false" customHeight="false" outlineLevel="0" collapsed="false">
      <c r="A152" s="24" t="s">
        <v>716</v>
      </c>
      <c r="B152" s="25" t="s">
        <v>86</v>
      </c>
      <c r="C152" s="41" t="n">
        <f aca="false">Sens!$C$78+Sens!$C$79+Sens!$C$148-Sens!$C$149</f>
        <v>0</v>
      </c>
      <c r="D152" s="41" t="n">
        <f aca="false">Sens!$D$78+Sens!$D$79+Sens!$D$148-Sens!$D$149</f>
        <v>0</v>
      </c>
      <c r="E152" s="41" t="n">
        <f aca="false">Sens!$E$78+Sens!$E$79+Sens!$E$148-Sens!$E$149</f>
        <v>0</v>
      </c>
      <c r="F152" s="41" t="n">
        <f aca="false">Sens!$F$78+Sens!$F$79+Sens!$F$148-Sens!$F$149</f>
        <v>0</v>
      </c>
      <c r="G152" s="41" t="n">
        <f aca="false">Sens!$G$78+Sens!$G$79+Sens!$G$148-Sens!$G$149</f>
        <v>0</v>
      </c>
      <c r="H152" s="41" t="n">
        <f aca="false">Sens!$H$78+Sens!$H$79+Sens!$H$148-Sens!$H$149</f>
        <v>0</v>
      </c>
      <c r="I152" s="41" t="n">
        <f aca="false">Sens!$I$78+Sens!$I$79+Sens!$I$148-Sens!$I$149</f>
        <v>0</v>
      </c>
      <c r="J152" s="41" t="n">
        <f aca="false">Sens!$J$78+Sens!$J$79+Sens!$J$148-Sens!$J$149</f>
        <v>0</v>
      </c>
      <c r="K152" s="41" t="n">
        <f aca="false">Sens!$K$78+Sens!$K$79+Sens!$K$148-Sens!$K$149</f>
        <v>0</v>
      </c>
      <c r="L152" s="41" t="n">
        <f aca="false">Sens!$L$78+Sens!$L$79+Sens!$L$148-Sens!$L$149</f>
        <v>0</v>
      </c>
      <c r="M152" s="41" t="n">
        <f aca="false">Sens!$M$78+Sens!$M$79+Sens!$M$148-Sens!$M$149</f>
        <v>0</v>
      </c>
      <c r="N152" s="41" t="n">
        <f aca="false">Sens!$N$78+Sens!$N$79+Sens!$N$148-Sens!$N$149</f>
        <v>0</v>
      </c>
      <c r="O152" s="41" t="n">
        <f aca="false">Sens!$O$78+Sens!$O$79+Sens!$O$148-Sens!$O$149</f>
        <v>0</v>
      </c>
    </row>
    <row r="153" customFormat="false" ht="15" hidden="false" customHeight="false" outlineLevel="0" collapsed="false">
      <c r="A153" s="5" t="s">
        <v>710</v>
      </c>
      <c r="B153" s="0" t="s">
        <v>52</v>
      </c>
      <c r="G153" s="13" t="n">
        <f aca="false">Sens!$G$149/Sens!$D$149-1</f>
        <v>0.140854504918937</v>
      </c>
      <c r="H153" s="13" t="n">
        <f aca="false">Sens!$H$149/Sens!$G$149-1</f>
        <v>0.152063789793209</v>
      </c>
      <c r="I153" s="13" t="n">
        <f aca="false">Sens!$I$149/Sens!$H$149-1</f>
        <v>0.134273264437417</v>
      </c>
      <c r="J153" s="13" t="n">
        <f aca="false">Sens!$J$149/Sens!$I$149-1</f>
        <v>0.113310421234083</v>
      </c>
      <c r="K153" s="13" t="n">
        <f aca="false">Sens!$K$149/Sens!$J$149-1</f>
        <v>0.0892108343223652</v>
      </c>
      <c r="L153" s="13" t="n">
        <f aca="false">Sens!$L$149/Sens!$K$149-1</f>
        <v>0.076471362444261</v>
      </c>
      <c r="M153" s="13" t="n">
        <f aca="false">Sens!$M$149/Sens!$L$149-1</f>
        <v>0.066250060256672</v>
      </c>
    </row>
    <row r="154" customFormat="false" ht="17.15" hidden="false" customHeight="false" outlineLevel="0" collapsed="false">
      <c r="A154" s="0" t="s">
        <v>711</v>
      </c>
      <c r="B154" s="0" t="s">
        <v>52</v>
      </c>
      <c r="C154" s="13" t="n">
        <f aca="false">Sens!$C$148/Sens!$C$149</f>
        <v>0.168593906504964</v>
      </c>
      <c r="D154" s="13" t="n">
        <f aca="false">Sens!$D$148/Sens!$D$149</f>
        <v>0.179551807444025</v>
      </c>
      <c r="E154" s="13" t="n">
        <f aca="false">Sens!$E$148/Sens!$E$149</f>
        <v>0.208881910369643</v>
      </c>
      <c r="F154" s="13" t="n">
        <f aca="false">Sens!$F$148/Sens!$F$149</f>
        <v>0.199028269699356</v>
      </c>
      <c r="G154" s="13" t="n">
        <f aca="false">Sens!$G$148/Sens!$G$149</f>
        <v>0.203631882529968</v>
      </c>
      <c r="H154" s="13" t="n">
        <f aca="false">Sens!$H$148/Sens!$H$149</f>
        <v>0.234731715958496</v>
      </c>
      <c r="I154" s="13" t="n">
        <f aca="false">Sens!$I$148/Sens!$I$149</f>
        <v>0.262231204480418</v>
      </c>
      <c r="J154" s="13" t="n">
        <f aca="false">Sens!$J$148/Sens!$J$149</f>
        <v>0.284728366013706</v>
      </c>
      <c r="K154" s="13" t="n">
        <f aca="false">Sens!$K$148/Sens!$K$149</f>
        <v>0.300823304959505</v>
      </c>
      <c r="L154" s="13" t="n">
        <f aca="false">Sens!$L$148/Sens!$L$149</f>
        <v>0.308263164529735</v>
      </c>
      <c r="M154" s="13" t="n">
        <f aca="false">Sens!$M$148/Sens!$M$149</f>
        <v>0.308856517936036</v>
      </c>
      <c r="N154" s="13" t="n">
        <f aca="false">Sens!$N$148/Sens!$N$149</f>
        <v>0.185979484737251</v>
      </c>
      <c r="O154" s="13" t="n">
        <f aca="false">Sens!$O$148/Sens!$O$149</f>
        <v>0.174270432341096</v>
      </c>
    </row>
    <row r="155" customFormat="false" ht="17.15" hidden="false" customHeight="false" outlineLevel="0" collapsed="false">
      <c r="A155" s="0" t="s">
        <v>712</v>
      </c>
      <c r="B155" s="0" t="s">
        <v>52</v>
      </c>
      <c r="C155" s="13" t="n">
        <f aca="false">Sens!$C$146/Sens!$C$148</f>
        <v>0.0215795060896058</v>
      </c>
      <c r="D155" s="13" t="n">
        <f aca="false">Sens!$D$146/Sens!$D$148</f>
        <v>0.0676152269462122</v>
      </c>
      <c r="E155" s="13" t="n">
        <f aca="false">Sens!$E$146/Sens!$E$148</f>
        <v>0.106620641395783</v>
      </c>
      <c r="F155" s="13" t="n">
        <f aca="false">Sens!$F$146/Sens!$F$148</f>
        <v>0.172523487401099</v>
      </c>
      <c r="G155" s="13" t="n">
        <f aca="false">Sens!$G$146/Sens!$G$148</f>
        <v>0.140939911795589</v>
      </c>
      <c r="H155" s="13" t="n">
        <f aca="false">Sens!$H$146/Sens!$H$148</f>
        <v>0.272018642937714</v>
      </c>
      <c r="I155" s="13" t="n">
        <f aca="false">Sens!$I$146/Sens!$I$148</f>
        <v>0.362159512436497</v>
      </c>
      <c r="J155" s="13" t="n">
        <f aca="false">Sens!$J$146/Sens!$J$148</f>
        <v>0.422151735934609</v>
      </c>
      <c r="K155" s="13" t="n">
        <f aca="false">Sens!$K$146/Sens!$K$148</f>
        <v>0.45769342068485</v>
      </c>
      <c r="L155" s="13" t="n">
        <f aca="false">Sens!$L$146/Sens!$L$148</f>
        <v>0.469047103913472</v>
      </c>
      <c r="M155" s="13" t="n">
        <f aca="false">Sens!$M$146/Sens!$M$148</f>
        <v>0.463233328258093</v>
      </c>
      <c r="N155" s="13" t="n">
        <f aca="false">Sens!$N$146/Sens!$N$148</f>
        <v>0.0506537999838362</v>
      </c>
      <c r="O155" s="13" t="n">
        <f aca="false">Sens!$O$146/Sens!$O$148</f>
        <v>0.0824881615167056</v>
      </c>
    </row>
    <row r="158" customFormat="false" ht="19.4" hidden="false" customHeight="false" outlineLevel="0" collapsed="false">
      <c r="A158" s="31" t="s">
        <v>1154</v>
      </c>
    </row>
    <row r="159" customFormat="false" ht="17.15" hidden="false" customHeight="false" outlineLevel="0" collapsed="false">
      <c r="A159" s="6" t="s">
        <v>16</v>
      </c>
      <c r="B159" s="6" t="s">
        <v>17</v>
      </c>
      <c r="C159" s="20" t="s">
        <v>504</v>
      </c>
      <c r="D159" s="20" t="s">
        <v>505</v>
      </c>
      <c r="E159" s="20" t="s">
        <v>587</v>
      </c>
      <c r="F159" s="20" t="s">
        <v>588</v>
      </c>
      <c r="G159" s="20" t="s">
        <v>589</v>
      </c>
      <c r="H159" s="20" t="s">
        <v>590</v>
      </c>
      <c r="I159" s="20" t="s">
        <v>591</v>
      </c>
      <c r="J159" s="20" t="s">
        <v>592</v>
      </c>
      <c r="K159" s="20" t="s">
        <v>593</v>
      </c>
      <c r="L159" s="20" t="s">
        <v>594</v>
      </c>
      <c r="M159" s="20" t="s">
        <v>595</v>
      </c>
      <c r="N159" s="20" t="s">
        <v>596</v>
      </c>
      <c r="O159" s="20" t="s">
        <v>597</v>
      </c>
      <c r="P159" s="6" t="s">
        <v>23</v>
      </c>
      <c r="R159" s="20" t="n">
        <v>2023</v>
      </c>
      <c r="S159" s="20" t="n">
        <v>2024</v>
      </c>
      <c r="T159" s="20" t="n">
        <v>2025</v>
      </c>
      <c r="U159" s="20" t="n">
        <v>2026</v>
      </c>
      <c r="V159" s="20" t="n">
        <v>2027</v>
      </c>
      <c r="W159" s="20" t="n">
        <v>2028</v>
      </c>
      <c r="X159" s="20" t="n">
        <v>2029</v>
      </c>
      <c r="Y159" s="20" t="n">
        <v>2030</v>
      </c>
      <c r="Z159" s="20" t="n">
        <v>2031</v>
      </c>
      <c r="AA159" s="20" t="n">
        <v>2032</v>
      </c>
    </row>
    <row r="160" customFormat="false" ht="17.15" hidden="false" customHeight="false" outlineLevel="0" collapsed="false">
      <c r="A160" s="1" t="s">
        <v>727</v>
      </c>
    </row>
    <row r="161" customFormat="false" ht="15" hidden="false" customHeight="false" outlineLevel="0" collapsed="false">
      <c r="A161" s="0" t="s">
        <v>526</v>
      </c>
      <c r="B161" s="0" t="s">
        <v>86</v>
      </c>
      <c r="C161" s="38" t="n">
        <f aca="false">Sens!$C$63</f>
        <v>247.029</v>
      </c>
      <c r="D161" s="38" t="n">
        <f aca="false">Sens!$D$63</f>
        <v>269.287</v>
      </c>
      <c r="E161" s="38" t="n">
        <f aca="false">Sens!$E$63</f>
        <v>134.686</v>
      </c>
      <c r="F161" s="38" t="n">
        <f aca="false">Sens!$F$63</f>
        <v>158.293876822267</v>
      </c>
      <c r="G161" s="38" t="n">
        <f aca="false">Sens!$G$63</f>
        <v>292.979876822267</v>
      </c>
      <c r="H161" s="38" t="n">
        <f aca="false">Sens!$H$63</f>
        <v>318.184543087396</v>
      </c>
      <c r="I161" s="38" t="n">
        <f aca="false">Sens!$I$63</f>
        <v>341.736278761793</v>
      </c>
      <c r="J161" s="38" t="n">
        <f aca="false">Sens!$J$63</f>
        <v>362.927192787048</v>
      </c>
      <c r="K161" s="38" t="n">
        <f aca="false">Sens!$K$63</f>
        <v>381.0735524264</v>
      </c>
      <c r="L161" s="38" t="n">
        <f aca="false">Sens!$L$63</f>
        <v>400.12723004772</v>
      </c>
      <c r="M161" s="38" t="n">
        <f aca="false">Sens!$M$63</f>
        <v>420.133591550106</v>
      </c>
      <c r="N161" s="38" t="n">
        <f aca="false">Sens!$N$63</f>
        <v>118.892</v>
      </c>
      <c r="O161" s="38" t="n">
        <f aca="false">Sens!$O$63</f>
        <v>150.395</v>
      </c>
    </row>
    <row r="162" customFormat="false" ht="15" hidden="false" customHeight="false" outlineLevel="0" collapsed="false">
      <c r="A162" s="0" t="s">
        <v>527</v>
      </c>
      <c r="B162" s="0" t="s">
        <v>86</v>
      </c>
      <c r="C162" s="38" t="n">
        <f aca="false">Sens!$C$65</f>
        <v>21.215</v>
      </c>
      <c r="D162" s="38" t="n">
        <f aca="false">Sens!$D$65</f>
        <v>22.561</v>
      </c>
      <c r="E162" s="38" t="n">
        <f aca="false">Sens!$E$65</f>
        <v>11.579</v>
      </c>
      <c r="F162" s="38" t="n">
        <f aca="false">Sens!$F$65</f>
        <v>11.5938724610325</v>
      </c>
      <c r="G162" s="38" t="n">
        <f aca="false">Sens!$G$65</f>
        <v>23.1728724610325</v>
      </c>
      <c r="H162" s="38" t="n">
        <f aca="false">Sens!$H$65</f>
        <v>24.353392759506</v>
      </c>
      <c r="I162" s="38" t="n">
        <f aca="false">Sens!$I$65</f>
        <v>25.4240338872015</v>
      </c>
      <c r="J162" s="38" t="n">
        <f aca="false">Sens!$J$65</f>
        <v>26.3642491017174</v>
      </c>
      <c r="K162" s="38" t="n">
        <f aca="false">Sens!$K$65</f>
        <v>27.155176574769</v>
      </c>
      <c r="L162" s="38" t="n">
        <f aca="false">Sens!$L$65</f>
        <v>27.969831872012</v>
      </c>
      <c r="M162" s="38" t="n">
        <f aca="false">Sens!$M$65</f>
        <v>28.8089268281724</v>
      </c>
      <c r="N162" s="38" t="n">
        <f aca="false">Sens!$N$65</f>
        <v>11.128</v>
      </c>
      <c r="O162" s="38" t="n">
        <f aca="false">Sens!$O$65</f>
        <v>11.433</v>
      </c>
    </row>
    <row r="163" customFormat="false" ht="15" hidden="false" customHeight="false" outlineLevel="0" collapsed="false">
      <c r="A163" s="0" t="s">
        <v>528</v>
      </c>
      <c r="B163" s="0" t="s">
        <v>86</v>
      </c>
      <c r="C163" s="38" t="n">
        <f aca="false">Sens!$C$67</f>
        <v>156.146</v>
      </c>
      <c r="D163" s="38" t="n">
        <f aca="false">Sens!$D$67</f>
        <v>172.162</v>
      </c>
      <c r="E163" s="38" t="n">
        <f aca="false">Sens!$E$67</f>
        <v>88.358</v>
      </c>
      <c r="F163" s="38" t="n">
        <f aca="false">Sens!$F$67</f>
        <v>102.004388260171</v>
      </c>
      <c r="G163" s="38" t="n">
        <f aca="false">Sens!$G$67</f>
        <v>190.362388260171</v>
      </c>
      <c r="H163" s="38" t="n">
        <f aca="false">Sens!$H$67</f>
        <v>210.343106588311</v>
      </c>
      <c r="I163" s="38" t="n">
        <f aca="false">Sens!$I$67</f>
        <v>229.969728494648</v>
      </c>
      <c r="J163" s="38" t="n">
        <f aca="false">Sens!$J$67</f>
        <v>248.747636972598</v>
      </c>
      <c r="K163" s="38" t="n">
        <f aca="false">Sens!$K$67</f>
        <v>266.15997156068</v>
      </c>
      <c r="L163" s="38" t="n">
        <f aca="false">Sens!$L$67</f>
        <v>284.791169569927</v>
      </c>
      <c r="M163" s="38" t="n">
        <f aca="false">Sens!$M$67</f>
        <v>304.726551439822</v>
      </c>
      <c r="N163" s="38" t="n">
        <f aca="false">Sens!$N$67</f>
        <v>76.86</v>
      </c>
      <c r="O163" s="38" t="n">
        <f aca="false">Sens!$O$67</f>
        <v>95.302</v>
      </c>
    </row>
    <row r="164" customFormat="false" ht="15" hidden="false" customHeight="false" outlineLevel="0" collapsed="false">
      <c r="A164" s="0" t="s">
        <v>529</v>
      </c>
      <c r="B164" s="0" t="s">
        <v>86</v>
      </c>
      <c r="C164" s="38" t="n">
        <f aca="false">Sens!$C$69</f>
        <v>56.214</v>
      </c>
      <c r="D164" s="38" t="n">
        <f aca="false">Sens!$D$69</f>
        <v>68.635</v>
      </c>
      <c r="E164" s="38" t="n">
        <f aca="false">Sens!$E$69</f>
        <v>37.052</v>
      </c>
      <c r="F164" s="38" t="n">
        <f aca="false">Sens!$F$69</f>
        <v>46.1572219944148</v>
      </c>
      <c r="G164" s="38" t="n">
        <f aca="false">Sens!$G$69</f>
        <v>83.2092219944148</v>
      </c>
      <c r="H164" s="38" t="n">
        <f aca="false">Sens!$H$69</f>
        <v>99.8969223878976</v>
      </c>
      <c r="I164" s="38" t="n">
        <f aca="false">Sens!$I$69</f>
        <v>116.583111095496</v>
      </c>
      <c r="J164" s="38" t="n">
        <f aca="false">Sens!$J$69</f>
        <v>132.148941941952</v>
      </c>
      <c r="K164" s="38" t="n">
        <f aca="false">Sens!$K$69</f>
        <v>145.363836136147</v>
      </c>
      <c r="L164" s="38" t="n">
        <f aca="false">Sens!$L$69</f>
        <v>159.900219749762</v>
      </c>
      <c r="M164" s="38" t="n">
        <f aca="false">Sens!$M$69</f>
        <v>175.890241724738</v>
      </c>
      <c r="N164" s="38" t="n">
        <f aca="false">Sens!$N$69</f>
        <v>29.615</v>
      </c>
      <c r="O164" s="38" t="n">
        <f aca="false">Sens!$O$69</f>
        <v>39.02</v>
      </c>
    </row>
    <row r="165" customFormat="false" ht="15" hidden="false" customHeight="false" outlineLevel="0" collapsed="false">
      <c r="A165" s="0" t="s">
        <v>530</v>
      </c>
      <c r="B165" s="0" t="s">
        <v>86</v>
      </c>
      <c r="C165" s="38" t="n">
        <f aca="false">Sens!$C$71</f>
        <v>44.374</v>
      </c>
      <c r="D165" s="38" t="n">
        <f aca="false">Sens!$D$71</f>
        <v>49.619</v>
      </c>
      <c r="E165" s="38" t="n">
        <f aca="false">Sens!$E$71</f>
        <v>27.157</v>
      </c>
      <c r="F165" s="38" t="n">
        <f aca="false">Sens!$F$71</f>
        <v>27.7764165988154</v>
      </c>
      <c r="G165" s="38" t="n">
        <f aca="false">Sens!$G$71</f>
        <v>54.9334165988154</v>
      </c>
      <c r="H165" s="38" t="n">
        <f aca="false">Sens!$H$71</f>
        <v>61.1564112561829</v>
      </c>
      <c r="I165" s="38" t="n">
        <f aca="false">Sens!$I$71</f>
        <v>67.2020282103945</v>
      </c>
      <c r="J165" s="38" t="n">
        <f aca="false">Sens!$J$71</f>
        <v>72.8757274028885</v>
      </c>
      <c r="K165" s="38" t="n">
        <f aca="false">Sens!$K$71</f>
        <v>77.9770283210907</v>
      </c>
      <c r="L165" s="38" t="n">
        <f aca="false">Sens!$L$71</f>
        <v>83.4354203035671</v>
      </c>
      <c r="M165" s="38" t="n">
        <f aca="false">Sens!$M$71</f>
        <v>89.2758997248168</v>
      </c>
      <c r="N165" s="38" t="n">
        <f aca="false">Sens!$N$71</f>
        <v>23.923</v>
      </c>
      <c r="O165" s="38" t="n">
        <f aca="false">Sens!$O$71</f>
        <v>25.696</v>
      </c>
    </row>
    <row r="166" customFormat="false" ht="15" hidden="false" customHeight="false" outlineLevel="0" collapsed="false">
      <c r="A166" s="0" t="s">
        <v>531</v>
      </c>
      <c r="B166" s="0" t="s">
        <v>86</v>
      </c>
      <c r="C166" s="38" t="n">
        <f aca="false">Sens!$C$73</f>
        <v>5.425</v>
      </c>
      <c r="D166" s="38" t="n">
        <f aca="false">Sens!$D$73</f>
        <v>5.935</v>
      </c>
      <c r="E166" s="38" t="n">
        <f aca="false">Sens!$E$73</f>
        <v>3.474</v>
      </c>
      <c r="F166" s="38" t="n">
        <f aca="false">Sens!$F$73</f>
        <v>3.22246550883619</v>
      </c>
      <c r="G166" s="38" t="n">
        <f aca="false">Sens!$G$73</f>
        <v>6.69646550883619</v>
      </c>
      <c r="H166" s="38" t="n">
        <f aca="false">Sens!$H$73</f>
        <v>7.16251344209196</v>
      </c>
      <c r="I166" s="38" t="n">
        <f aca="false">Sens!$I$73</f>
        <v>7.61421070299826</v>
      </c>
      <c r="J166" s="38" t="n">
        <f aca="false">Sens!$J$73</f>
        <v>8.04465753523932</v>
      </c>
      <c r="K166" s="38" t="n">
        <f aca="false">Sens!$K$73</f>
        <v>8.44689041200128</v>
      </c>
      <c r="L166" s="38" t="n">
        <f aca="false">Sens!$L$73</f>
        <v>8.86923493260135</v>
      </c>
      <c r="M166" s="38" t="n">
        <f aca="false">Sens!$M$73</f>
        <v>9.31269667923142</v>
      </c>
      <c r="N166" s="38" t="n">
        <f aca="false">Sens!$N$73</f>
        <v>2.811</v>
      </c>
      <c r="O166" s="38" t="n">
        <f aca="false">Sens!$O$73</f>
        <v>3.124</v>
      </c>
    </row>
    <row r="167" customFormat="false" ht="17.15" hidden="false" customHeight="false" outlineLevel="0" collapsed="false">
      <c r="A167" s="0" t="s">
        <v>728</v>
      </c>
      <c r="B167" s="0" t="s">
        <v>86</v>
      </c>
      <c r="C167" s="38" t="n">
        <f aca="false">Sens!$C$148</f>
        <v>107.556</v>
      </c>
      <c r="D167" s="38" t="n">
        <f aca="false">Sens!$D$148</f>
        <v>128.725</v>
      </c>
      <c r="E167" s="38" t="n">
        <f aca="false">Sens!$E$148</f>
        <v>79.819</v>
      </c>
      <c r="F167" s="38" t="n">
        <f aca="false">Sens!$F$148</f>
        <v>86.7327334389669</v>
      </c>
      <c r="G167" s="38" t="n">
        <f aca="false">Sens!$G$148</f>
        <v>166.551733438967</v>
      </c>
      <c r="H167" s="38" t="n">
        <f aca="false">Sens!$H$148</f>
        <v>221.182967828978</v>
      </c>
      <c r="I167" s="38" t="n">
        <f aca="false">Sens!$I$148</f>
        <v>280.27345865789</v>
      </c>
      <c r="J167" s="38" t="n">
        <f aca="false">Sens!$J$148</f>
        <v>338.800945197185</v>
      </c>
      <c r="K167" s="38" t="n">
        <f aca="false">Sens!$K$148</f>
        <v>389.88570147276</v>
      </c>
      <c r="L167" s="38" t="n">
        <f aca="false">Sens!$L$148</f>
        <v>430.080689379143</v>
      </c>
      <c r="M167" s="38" t="n">
        <f aca="false">Sens!$M$148</f>
        <v>459.456235951751</v>
      </c>
      <c r="N167" s="38" t="n">
        <f aca="false">Sens!$N$148</f>
        <v>60.14</v>
      </c>
      <c r="O167" s="38" t="n">
        <f aca="false">Sens!$O$148</f>
        <v>68.585</v>
      </c>
    </row>
    <row r="168" customFormat="false" ht="15" hidden="false" customHeight="false" outlineLevel="0" collapsed="false">
      <c r="A168" s="1" t="s">
        <v>519</v>
      </c>
      <c r="B168" s="8" t="s">
        <v>86</v>
      </c>
      <c r="C168" s="38" t="n">
        <f aca="false">Sens!$C$78</f>
        <v>387.497</v>
      </c>
      <c r="D168" s="38" t="n">
        <f aca="false">Sens!$D$78</f>
        <v>426.305</v>
      </c>
      <c r="E168" s="38" t="n">
        <f aca="false">Sens!$E$78</f>
        <v>220.32</v>
      </c>
      <c r="F168" s="38" t="n">
        <f aca="false">Sens!$F$78</f>
        <v>250.639773480586</v>
      </c>
      <c r="G168" s="38" t="n">
        <f aca="false">Sens!$G$78</f>
        <v>470.959773480586</v>
      </c>
      <c r="H168" s="38" t="n">
        <f aca="false">Sens!$H$78</f>
        <v>521.386990416437</v>
      </c>
      <c r="I168" s="38" t="n">
        <f aca="false">Sens!$I$78</f>
        <v>570.143862887555</v>
      </c>
      <c r="J168" s="38" t="n">
        <f aca="false">Sens!$J$78</f>
        <v>615.391435791933</v>
      </c>
      <c r="K168" s="38" t="n">
        <f aca="false">Sens!$K$78</f>
        <v>655.208227561543</v>
      </c>
      <c r="L168" s="38" t="n">
        <f aca="false">Sens!$L$78</f>
        <v>697.807739249767</v>
      </c>
      <c r="M168" s="38" t="n">
        <f aca="false">Sens!$M$78</f>
        <v>743.399328463592</v>
      </c>
      <c r="N168" s="38" t="n">
        <f aca="false">Sens!$N$78</f>
        <v>192.955</v>
      </c>
      <c r="O168" s="38" t="n">
        <f aca="false">Sens!$O$78</f>
        <v>233.35</v>
      </c>
    </row>
    <row r="169" customFormat="false" ht="15" hidden="false" customHeight="false" outlineLevel="0" collapsed="false">
      <c r="A169" s="1" t="s">
        <v>522</v>
      </c>
      <c r="B169" s="8" t="s">
        <v>86</v>
      </c>
      <c r="C169" s="38" t="n">
        <f aca="false">Sens!$C$79</f>
        <v>142.906</v>
      </c>
      <c r="D169" s="38" t="n">
        <f aca="false">Sens!$D$79</f>
        <v>161.894</v>
      </c>
      <c r="E169" s="38" t="n">
        <f aca="false">Sens!$E$79</f>
        <v>81.986</v>
      </c>
      <c r="F169" s="38" t="n">
        <f aca="false">Sens!$F$79</f>
        <v>98.408468164951</v>
      </c>
      <c r="G169" s="38" t="n">
        <f aca="false">Sens!$G$79</f>
        <v>180.394468164951</v>
      </c>
      <c r="H169" s="38" t="n">
        <f aca="false">Sens!$H$79</f>
        <v>199.709899104949</v>
      </c>
      <c r="I169" s="38" t="n">
        <f aca="false">Sens!$I$79</f>
        <v>218.385528264976</v>
      </c>
      <c r="J169" s="38" t="n">
        <f aca="false">Sens!$J$79</f>
        <v>235.71696994951</v>
      </c>
      <c r="K169" s="38" t="n">
        <f aca="false">Sens!$K$79</f>
        <v>250.968227869545</v>
      </c>
      <c r="L169" s="38" t="n">
        <f aca="false">Sens!$L$79</f>
        <v>267.285367225822</v>
      </c>
      <c r="M169" s="38" t="n">
        <f aca="false">Sens!$M$79</f>
        <v>284.748579483295</v>
      </c>
      <c r="N169" s="38" t="n">
        <f aca="false">Sens!$N$79</f>
        <v>70.274</v>
      </c>
      <c r="O169" s="38" t="n">
        <f aca="false">Sens!$O$79</f>
        <v>91.62</v>
      </c>
    </row>
    <row r="170" customFormat="false" ht="15" hidden="false" customHeight="false" outlineLevel="0" collapsed="false">
      <c r="A170" s="1" t="s">
        <v>523</v>
      </c>
      <c r="B170" s="8" t="s">
        <v>86</v>
      </c>
      <c r="C170" s="38" t="n">
        <f aca="false">Sens!$C$148</f>
        <v>107.556</v>
      </c>
      <c r="D170" s="38" t="n">
        <f aca="false">Sens!$D$148</f>
        <v>128.725</v>
      </c>
      <c r="E170" s="38" t="n">
        <f aca="false">Sens!$E$148</f>
        <v>79.819</v>
      </c>
      <c r="F170" s="38" t="n">
        <f aca="false">Sens!$F$148</f>
        <v>86.7327334389669</v>
      </c>
      <c r="G170" s="38" t="n">
        <f aca="false">Sens!$G$148</f>
        <v>166.551733438967</v>
      </c>
      <c r="H170" s="38" t="n">
        <f aca="false">Sens!$H$148</f>
        <v>221.182967828978</v>
      </c>
      <c r="I170" s="38" t="n">
        <f aca="false">Sens!$I$148</f>
        <v>280.27345865789</v>
      </c>
      <c r="J170" s="38" t="n">
        <f aca="false">Sens!$J$148</f>
        <v>338.800945197185</v>
      </c>
      <c r="K170" s="38" t="n">
        <f aca="false">Sens!$K$148</f>
        <v>389.88570147276</v>
      </c>
      <c r="L170" s="38" t="n">
        <f aca="false">Sens!$L$148</f>
        <v>430.080689379143</v>
      </c>
      <c r="M170" s="38" t="n">
        <f aca="false">Sens!$M$148</f>
        <v>459.456235951751</v>
      </c>
      <c r="N170" s="38" t="n">
        <f aca="false">Sens!$N$148</f>
        <v>60.14</v>
      </c>
      <c r="O170" s="38" t="n">
        <f aca="false">Sens!$O$148</f>
        <v>68.585</v>
      </c>
    </row>
    <row r="171" customFormat="false" ht="17.15" hidden="false" customHeight="false" outlineLevel="0" collapsed="false">
      <c r="A171" s="0" t="s">
        <v>702</v>
      </c>
      <c r="B171" s="0" t="s">
        <v>86</v>
      </c>
      <c r="C171" s="38" t="n">
        <f aca="false">Sens!$C$146</f>
        <v>2.32100535697364</v>
      </c>
      <c r="D171" s="38" t="n">
        <f aca="false">Sens!$D$146</f>
        <v>8.70377008865116</v>
      </c>
      <c r="E171" s="38" t="n">
        <f aca="false">Sens!$E$146</f>
        <v>8.51035297557002</v>
      </c>
      <c r="F171" s="38" t="n">
        <f aca="false">Sens!$F$146</f>
        <v>14.9634336447205</v>
      </c>
      <c r="G171" s="38" t="n">
        <f aca="false">Sens!$G$146</f>
        <v>23.4737866202905</v>
      </c>
      <c r="H171" s="38" t="n">
        <f aca="false">Sens!$H$146</f>
        <v>60.1658907497746</v>
      </c>
      <c r="I171" s="38" t="n">
        <f aca="false">Sens!$I$146</f>
        <v>101.503699136432</v>
      </c>
      <c r="J171" s="38" t="n">
        <f aca="false">Sens!$J$146</f>
        <v>143.025407151278</v>
      </c>
      <c r="K171" s="38" t="n">
        <f aca="false">Sens!$K$146</f>
        <v>178.44812038318</v>
      </c>
      <c r="L171" s="38" t="n">
        <f aca="false">Sens!$L$146</f>
        <v>201.728101802396</v>
      </c>
      <c r="M171" s="38" t="n">
        <f aca="false">Sens!$M$146</f>
        <v>212.835441368865</v>
      </c>
      <c r="N171" s="38" t="n">
        <f aca="false">Sens!$N$146</f>
        <v>3.04631953102791</v>
      </c>
      <c r="O171" s="38" t="n">
        <f aca="false">Sens!$O$146</f>
        <v>5.65745055762326</v>
      </c>
    </row>
    <row r="172" customFormat="false" ht="17.15" hidden="false" customHeight="false" outlineLevel="0" collapsed="false">
      <c r="A172" s="0" t="s">
        <v>704</v>
      </c>
      <c r="B172" s="0" t="s">
        <v>86</v>
      </c>
      <c r="C172" s="38" t="n">
        <f aca="false">Sens!$C$147</f>
        <v>105.234994643026</v>
      </c>
      <c r="D172" s="38" t="n">
        <f aca="false">Sens!$D$147</f>
        <v>120.021229911349</v>
      </c>
      <c r="E172" s="38" t="n">
        <f aca="false">Sens!$E$147</f>
        <v>71.30864702443</v>
      </c>
      <c r="F172" s="38" t="n">
        <f aca="false">Sens!$F$147</f>
        <v>71.7692997942464</v>
      </c>
      <c r="G172" s="38" t="n">
        <f aca="false">Sens!$G$147</f>
        <v>143.077946818676</v>
      </c>
      <c r="H172" s="38" t="n">
        <f aca="false">Sens!$H$147</f>
        <v>161.017077079203</v>
      </c>
      <c r="I172" s="38" t="n">
        <f aca="false">Sens!$I$147</f>
        <v>178.769759521457</v>
      </c>
      <c r="J172" s="38" t="n">
        <f aca="false">Sens!$J$147</f>
        <v>195.775538045907</v>
      </c>
      <c r="K172" s="38" t="n">
        <f aca="false">Sens!$K$147</f>
        <v>211.43758108958</v>
      </c>
      <c r="L172" s="38" t="n">
        <f aca="false">Sens!$L$147</f>
        <v>228.352587576746</v>
      </c>
      <c r="M172" s="38" t="n">
        <f aca="false">Sens!$M$147</f>
        <v>246.620794582886</v>
      </c>
      <c r="N172" s="38" t="n">
        <f aca="false">Sens!$N$147</f>
        <v>57.0936804689721</v>
      </c>
      <c r="O172" s="38" t="n">
        <f aca="false">Sens!$O$147</f>
        <v>62.9275494423768</v>
      </c>
    </row>
    <row r="173" customFormat="false" ht="15" hidden="false" customHeight="false" outlineLevel="0" collapsed="false">
      <c r="A173" s="3" t="s">
        <v>524</v>
      </c>
      <c r="B173" s="8" t="s">
        <v>86</v>
      </c>
      <c r="C173" s="38" t="n">
        <f aca="false">Sens!$C$149</f>
        <v>637.959</v>
      </c>
      <c r="D173" s="38" t="n">
        <f aca="false">Sens!$D$149</f>
        <v>716.924</v>
      </c>
      <c r="E173" s="38" t="n">
        <f aca="false">Sens!$E$149</f>
        <v>382.125</v>
      </c>
      <c r="F173" s="38" t="n">
        <f aca="false">Sens!$F$149</f>
        <v>435.780975084504</v>
      </c>
      <c r="G173" s="38" t="n">
        <f aca="false">Sens!$G$149</f>
        <v>817.905975084504</v>
      </c>
      <c r="H173" s="38" t="n">
        <f aca="false">Sens!$H$149</f>
        <v>942.279857350364</v>
      </c>
      <c r="I173" s="38" t="n">
        <f aca="false">Sens!$I$149</f>
        <v>1068.80284981042</v>
      </c>
      <c r="J173" s="38" t="n">
        <f aca="false">Sens!$J$149</f>
        <v>1189.90935093863</v>
      </c>
      <c r="K173" s="38" t="n">
        <f aca="false">Sens!$K$149</f>
        <v>1296.06215690385</v>
      </c>
      <c r="L173" s="38" t="n">
        <f aca="false">Sens!$L$149</f>
        <v>1395.17379585473</v>
      </c>
      <c r="M173" s="38" t="n">
        <f aca="false">Sens!$M$149</f>
        <v>1487.60414389864</v>
      </c>
      <c r="N173" s="38" t="n">
        <f aca="false">Sens!$N$149</f>
        <v>323.369</v>
      </c>
      <c r="O173" s="38" t="n">
        <f aca="false">Sens!$O$149</f>
        <v>393.555</v>
      </c>
    </row>
    <row r="174" customFormat="false" ht="17.15" hidden="false" customHeight="false" outlineLevel="0" collapsed="false">
      <c r="A174" s="24" t="s">
        <v>714</v>
      </c>
      <c r="B174" s="25" t="s">
        <v>86</v>
      </c>
      <c r="C174" s="41" t="n">
        <f aca="false">Sens!$C$161+Sens!$C$162+Sens!$C$163+Sens!$C$164+Sens!$C$165+Sens!$C$166-(Sens!$C$168+Sens!$C$169)</f>
        <v>0</v>
      </c>
      <c r="D174" s="41" t="n">
        <f aca="false">Sens!$D$161+Sens!$D$162+Sens!$D$163+Sens!$D$164+Sens!$D$165+Sens!$D$166-(Sens!$D$168+Sens!$D$169)</f>
        <v>0</v>
      </c>
      <c r="E174" s="41" t="n">
        <f aca="false">Sens!$E$161+Sens!$E$162+Sens!$E$163+Sens!$E$164+Sens!$E$165+Sens!$E$166-(Sens!$E$168+Sens!$E$169)</f>
        <v>0</v>
      </c>
      <c r="F174" s="41" t="n">
        <f aca="false">Sens!$F$161+Sens!$F$162+Sens!$F$163+Sens!$F$164+Sens!$F$165+Sens!$F$166-(Sens!$F$168+Sens!$F$169)</f>
        <v>0</v>
      </c>
      <c r="G174" s="41" t="n">
        <f aca="false">Sens!$G$161+Sens!$G$162+Sens!$G$163+Sens!$G$164+Sens!$G$165+Sens!$G$166-(Sens!$G$168+Sens!$G$169)</f>
        <v>0</v>
      </c>
      <c r="H174" s="41" t="n">
        <f aca="false">Sens!$H$161+Sens!$H$162+Sens!$H$163+Sens!$H$164+Sens!$H$165+Sens!$H$166-(Sens!$H$168+Sens!$H$169)</f>
        <v>0</v>
      </c>
      <c r="I174" s="41" t="n">
        <f aca="false">Sens!$I$161+Sens!$I$162+Sens!$I$163+Sens!$I$164+Sens!$I$165+Sens!$I$166-(Sens!$I$168+Sens!$I$169)</f>
        <v>0</v>
      </c>
      <c r="J174" s="41" t="n">
        <f aca="false">Sens!$J$161+Sens!$J$162+Sens!$J$163+Sens!$J$164+Sens!$J$165+Sens!$J$166-(Sens!$J$168+Sens!$J$169)</f>
        <v>0</v>
      </c>
      <c r="K174" s="41" t="n">
        <f aca="false">Sens!$K$161+Sens!$K$162+Sens!$K$163+Sens!$K$164+Sens!$K$165+Sens!$K$166-(Sens!$K$168+Sens!$K$169)</f>
        <v>0</v>
      </c>
      <c r="L174" s="41" t="n">
        <f aca="false">Sens!$L$161+Sens!$L$162+Sens!$L$163+Sens!$L$164+Sens!$L$165+Sens!$L$166-(Sens!$L$168+Sens!$L$169)</f>
        <v>0</v>
      </c>
      <c r="M174" s="41" t="n">
        <f aca="false">Sens!$M$161+Sens!$M$162+Sens!$M$163+Sens!$M$164+Sens!$M$165+Sens!$M$166-(Sens!$M$168+Sens!$M$169)</f>
        <v>0</v>
      </c>
      <c r="N174" s="41" t="n">
        <f aca="false">Sens!$N$161+Sens!$N$162+Sens!$N$163+Sens!$N$164+Sens!$N$165+Sens!$N$166-(Sens!$N$168+Sens!$N$169)</f>
        <v>0</v>
      </c>
      <c r="O174" s="41" t="n">
        <f aca="false">Sens!$O$161+Sens!$O$162+Sens!$O$163+Sens!$O$164+Sens!$O$165+Sens!$O$166-(Sens!$O$168+Sens!$O$169)</f>
        <v>0</v>
      </c>
    </row>
    <row r="175" customFormat="false" ht="17.15" hidden="false" customHeight="false" outlineLevel="0" collapsed="false">
      <c r="A175" s="24" t="s">
        <v>715</v>
      </c>
      <c r="B175" s="25" t="s">
        <v>86</v>
      </c>
      <c r="C175" s="41" t="n">
        <f aca="false">Sens!$C$171+Sens!$C$172-Sens!$C$170</f>
        <v>0</v>
      </c>
      <c r="D175" s="41" t="n">
        <f aca="false">Sens!$D$171+Sens!$D$172-Sens!$D$170</f>
        <v>0</v>
      </c>
      <c r="E175" s="41" t="n">
        <f aca="false">Sens!$E$171+Sens!$E$172-Sens!$E$170</f>
        <v>0</v>
      </c>
      <c r="F175" s="41" t="n">
        <f aca="false">Sens!$F$171+Sens!$F$172-Sens!$F$170</f>
        <v>0</v>
      </c>
      <c r="G175" s="41" t="n">
        <f aca="false">Sens!$G$171+Sens!$G$172-Sens!$G$170</f>
        <v>0</v>
      </c>
      <c r="H175" s="41" t="n">
        <f aca="false">Sens!$H$171+Sens!$H$172-Sens!$H$170</f>
        <v>0</v>
      </c>
      <c r="I175" s="41" t="n">
        <f aca="false">Sens!$I$171+Sens!$I$172-Sens!$I$170</f>
        <v>0</v>
      </c>
      <c r="J175" s="41" t="n">
        <f aca="false">Sens!$J$171+Sens!$J$172-Sens!$J$170</f>
        <v>0</v>
      </c>
      <c r="K175" s="41" t="n">
        <f aca="false">Sens!$K$171+Sens!$K$172-Sens!$K$170</f>
        <v>0</v>
      </c>
      <c r="L175" s="41" t="n">
        <f aca="false">Sens!$L$171+Sens!$L$172-Sens!$L$170</f>
        <v>0</v>
      </c>
      <c r="M175" s="41" t="n">
        <f aca="false">Sens!$M$171+Sens!$M$172-Sens!$M$170</f>
        <v>0</v>
      </c>
      <c r="N175" s="41" t="n">
        <f aca="false">Sens!$N$171+Sens!$N$172-Sens!$N$170</f>
        <v>0</v>
      </c>
      <c r="O175" s="41" t="n">
        <f aca="false">Sens!$O$171+Sens!$O$172-Sens!$O$170</f>
        <v>0</v>
      </c>
    </row>
    <row r="176" customFormat="false" ht="17.15" hidden="false" customHeight="false" outlineLevel="0" collapsed="false">
      <c r="A176" s="24" t="s">
        <v>774</v>
      </c>
      <c r="B176" s="25" t="s">
        <v>86</v>
      </c>
      <c r="C176" s="41" t="n">
        <f aca="false">Sens!$C$161+Sens!$C$162+Sens!$C$163+Sens!$C$164+Sens!$C$165+Sens!$C$166+Sens!$C$167-Sens!$C$173</f>
        <v>0</v>
      </c>
      <c r="D176" s="41" t="n">
        <f aca="false">Sens!$D$161+Sens!$D$162+Sens!$D$163+Sens!$D$164+Sens!$D$165+Sens!$D$166+Sens!$D$167-Sens!$D$173</f>
        <v>0</v>
      </c>
      <c r="E176" s="41" t="n">
        <f aca="false">Sens!$E$161+Sens!$E$162+Sens!$E$163+Sens!$E$164+Sens!$E$165+Sens!$E$166+Sens!$E$167-Sens!$E$173</f>
        <v>0</v>
      </c>
      <c r="F176" s="41" t="n">
        <f aca="false">Sens!$F$161+Sens!$F$162+Sens!$F$163+Sens!$F$164+Sens!$F$165+Sens!$F$166+Sens!$F$167-Sens!$F$173</f>
        <v>0</v>
      </c>
      <c r="G176" s="41" t="n">
        <f aca="false">Sens!$G$161+Sens!$G$162+Sens!$G$163+Sens!$G$164+Sens!$G$165+Sens!$G$166+Sens!$G$167-Sens!$G$173</f>
        <v>0</v>
      </c>
      <c r="H176" s="41" t="n">
        <f aca="false">Sens!$H$161+Sens!$H$162+Sens!$H$163+Sens!$H$164+Sens!$H$165+Sens!$H$166+Sens!$H$167-Sens!$H$173</f>
        <v>0</v>
      </c>
      <c r="I176" s="41" t="n">
        <f aca="false">Sens!$I$161+Sens!$I$162+Sens!$I$163+Sens!$I$164+Sens!$I$165+Sens!$I$166+Sens!$I$167-Sens!$I$173</f>
        <v>0</v>
      </c>
      <c r="J176" s="41" t="n">
        <f aca="false">Sens!$J$161+Sens!$J$162+Sens!$J$163+Sens!$J$164+Sens!$J$165+Sens!$J$166+Sens!$J$167-Sens!$J$173</f>
        <v>0</v>
      </c>
      <c r="K176" s="41" t="n">
        <f aca="false">Sens!$K$161+Sens!$K$162+Sens!$K$163+Sens!$K$164+Sens!$K$165+Sens!$K$166+Sens!$K$167-Sens!$K$173</f>
        <v>0</v>
      </c>
      <c r="L176" s="41" t="n">
        <f aca="false">Sens!$L$161+Sens!$L$162+Sens!$L$163+Sens!$L$164+Sens!$L$165+Sens!$L$166+Sens!$L$167-Sens!$L$173</f>
        <v>0</v>
      </c>
      <c r="M176" s="41" t="n">
        <f aca="false">Sens!$M$161+Sens!$M$162+Sens!$M$163+Sens!$M$164+Sens!$M$165+Sens!$M$166+Sens!$M$167-Sens!$M$173</f>
        <v>0</v>
      </c>
      <c r="N176" s="41" t="n">
        <f aca="false">Sens!$N$161+Sens!$N$162+Sens!$N$163+Sens!$N$164+Sens!$N$165+Sens!$N$166+Sens!$N$167-Sens!$N$173</f>
        <v>0</v>
      </c>
      <c r="O176" s="41" t="n">
        <f aca="false">Sens!$O$161+Sens!$O$162+Sens!$O$163+Sens!$O$164+Sens!$O$165+Sens!$O$166+Sens!$O$167-Sens!$O$173</f>
        <v>0</v>
      </c>
    </row>
    <row r="177" customFormat="false" ht="17.15" hidden="false" customHeight="false" outlineLevel="0" collapsed="false">
      <c r="A177" s="24" t="s">
        <v>716</v>
      </c>
      <c r="B177" s="25" t="s">
        <v>86</v>
      </c>
      <c r="C177" s="41" t="n">
        <f aca="false">Sens!$C$168+Sens!$C$169+Sens!$C$170-Sens!$C$173</f>
        <v>0</v>
      </c>
      <c r="D177" s="41" t="n">
        <f aca="false">Sens!$D$168+Sens!$D$169+Sens!$D$170-Sens!$D$173</f>
        <v>0</v>
      </c>
      <c r="E177" s="41" t="n">
        <f aca="false">Sens!$E$168+Sens!$E$169+Sens!$E$170-Sens!$E$173</f>
        <v>0</v>
      </c>
      <c r="F177" s="41" t="n">
        <f aca="false">Sens!$F$168+Sens!$F$169+Sens!$F$170-Sens!$F$173</f>
        <v>0</v>
      </c>
      <c r="G177" s="41" t="n">
        <f aca="false">Sens!$G$168+Sens!$G$169+Sens!$G$170-Sens!$G$173</f>
        <v>0</v>
      </c>
      <c r="H177" s="41" t="n">
        <f aca="false">Sens!$H$168+Sens!$H$169+Sens!$H$170-Sens!$H$173</f>
        <v>0</v>
      </c>
      <c r="I177" s="41" t="n">
        <f aca="false">Sens!$I$168+Sens!$I$169+Sens!$I$170-Sens!$I$173</f>
        <v>0</v>
      </c>
      <c r="J177" s="41" t="n">
        <f aca="false">Sens!$J$168+Sens!$J$169+Sens!$J$170-Sens!$J$173</f>
        <v>0</v>
      </c>
      <c r="K177" s="41" t="n">
        <f aca="false">Sens!$K$168+Sens!$K$169+Sens!$K$170-Sens!$K$173</f>
        <v>0</v>
      </c>
      <c r="L177" s="41" t="n">
        <f aca="false">Sens!$L$168+Sens!$L$169+Sens!$L$170-Sens!$L$173</f>
        <v>0</v>
      </c>
      <c r="M177" s="41" t="n">
        <f aca="false">Sens!$M$168+Sens!$M$169+Sens!$M$170-Sens!$M$173</f>
        <v>0</v>
      </c>
      <c r="N177" s="41" t="n">
        <f aca="false">Sens!$N$168+Sens!$N$169+Sens!$N$170-Sens!$N$173</f>
        <v>0</v>
      </c>
      <c r="O177" s="41" t="n">
        <f aca="false">Sens!$O$168+Sens!$O$169+Sens!$O$170-Sens!$O$173</f>
        <v>0</v>
      </c>
    </row>
    <row r="178" customFormat="false" ht="17.15" hidden="false" customHeight="false" outlineLevel="0" collapsed="false">
      <c r="A178" s="1" t="s">
        <v>730</v>
      </c>
    </row>
    <row r="179" customFormat="false" ht="17.15" hidden="false" customHeight="false" outlineLevel="0" collapsed="false">
      <c r="A179" s="0" t="s">
        <v>731</v>
      </c>
      <c r="B179" s="0" t="s">
        <v>86</v>
      </c>
      <c r="C179" s="38" t="n">
        <f aca="false">Sens!$C$80*m_ad</f>
        <v>20.5341564414228</v>
      </c>
      <c r="D179" s="38" t="n">
        <f aca="false">Sens!$D$80*m_ad</f>
        <v>24.8720617299587</v>
      </c>
      <c r="E179" s="38" t="n">
        <f aca="false">Sens!$E$80*m_ad</f>
        <v>13.5017112462207</v>
      </c>
      <c r="F179" s="38" t="n">
        <f aca="false">Sens!$F$80*m_ad</f>
        <v>16.5719724165257</v>
      </c>
      <c r="G179" s="38" t="n">
        <f aca="false">Sens!$G$80*m_ad</f>
        <v>30.0820919220415</v>
      </c>
      <c r="H179" s="38" t="n">
        <f aca="false">Sens!$H$80*m_ad</f>
        <v>36.1150883276314</v>
      </c>
      <c r="I179" s="38" t="n">
        <f aca="false">Sens!$I$80*m_ad</f>
        <v>42.1475382231996</v>
      </c>
      <c r="J179" s="38" t="n">
        <f aca="false">Sens!$J$80*m_ad</f>
        <v>47.7749523864693</v>
      </c>
      <c r="K179" s="38" t="n">
        <f aca="false">Sens!$K$80*m_ad</f>
        <v>52.5524476251162</v>
      </c>
      <c r="L179" s="38" t="n">
        <f aca="false">Sens!$L$80*m_ad</f>
        <v>57.8076923876279</v>
      </c>
      <c r="M179" s="38" t="n">
        <f aca="false">Sens!$M$80*m_ad</f>
        <v>63.5884616263907</v>
      </c>
      <c r="N179" s="38" t="n">
        <f aca="false">Sens!$N$80*m_ad</f>
        <v>10.8543555706248</v>
      </c>
      <c r="O179" s="38" t="n">
        <f aca="false">Sens!$O$80*m_ad</f>
        <v>14.0094731821399</v>
      </c>
    </row>
    <row r="180" customFormat="false" ht="17.15" hidden="false" customHeight="false" outlineLevel="0" collapsed="false">
      <c r="A180" s="0" t="s">
        <v>732</v>
      </c>
      <c r="B180" s="0" t="s">
        <v>86</v>
      </c>
      <c r="C180" s="38" t="n">
        <f aca="false">Sens!$C$78-Sens!$C$80</f>
        <v>346.428687117154</v>
      </c>
      <c r="D180" s="38" t="n">
        <f aca="false">Sens!$D$78-Sens!$D$80</f>
        <v>376.560876540083</v>
      </c>
      <c r="E180" s="38" t="n">
        <f aca="false">Sens!$E$78-Sens!$E$80</f>
        <v>193.316577507559</v>
      </c>
      <c r="F180" s="38" t="n">
        <f aca="false">Sens!$F$78-Sens!$F$80</f>
        <v>217.495828647535</v>
      </c>
      <c r="G180" s="38" t="n">
        <f aca="false">Sens!$G$78-Sens!$G$80</f>
        <v>410.795589636503</v>
      </c>
      <c r="H180" s="38" t="n">
        <f aca="false">Sens!$H$78-Sens!$H$80</f>
        <v>449.156813761174</v>
      </c>
      <c r="I180" s="38" t="n">
        <f aca="false">Sens!$I$78-Sens!$I$80</f>
        <v>485.848786441156</v>
      </c>
      <c r="J180" s="38" t="n">
        <f aca="false">Sens!$J$78-Sens!$J$80</f>
        <v>519.841531018994</v>
      </c>
      <c r="K180" s="38" t="n">
        <f aca="false">Sens!$K$78-Sens!$K$80</f>
        <v>550.103332311311</v>
      </c>
      <c r="L180" s="38" t="n">
        <f aca="false">Sens!$L$78-Sens!$L$80</f>
        <v>582.192354474511</v>
      </c>
      <c r="M180" s="38" t="n">
        <f aca="false">Sens!$M$78-Sens!$M$80</f>
        <v>616.22240521081</v>
      </c>
      <c r="N180" s="38" t="n">
        <f aca="false">Sens!$N$78-Sens!$N$80</f>
        <v>171.24628885875</v>
      </c>
      <c r="O180" s="38" t="n">
        <f aca="false">Sens!$O$78-Sens!$O$80</f>
        <v>205.33105363572</v>
      </c>
    </row>
    <row r="181" customFormat="false" ht="17.15" hidden="false" customHeight="false" outlineLevel="0" collapsed="false">
      <c r="A181" s="0" t="s">
        <v>733</v>
      </c>
      <c r="B181" s="0" t="s">
        <v>86</v>
      </c>
      <c r="C181" s="38" t="n">
        <f aca="false">Sens!$C$132*Sens!$C$77</f>
        <v>0.123617442257179</v>
      </c>
      <c r="D181" s="38" t="n">
        <f aca="false">Sens!$D$132*Sens!$D$77</f>
        <v>0.600198046024689</v>
      </c>
      <c r="E181" s="38" t="n">
        <f aca="false">Sens!$E$132*Sens!$E$77</f>
        <v>1.10840000750276</v>
      </c>
      <c r="F181" s="38" t="n">
        <f aca="false">Sens!$F$132*Sens!$F$77</f>
        <v>1.33595298721025</v>
      </c>
      <c r="G181" s="38" t="n">
        <f aca="false">Sens!$G$132*Sens!$G$77</f>
        <v>2.44487335052545</v>
      </c>
      <c r="H181" s="38" t="n">
        <f aca="false">Sens!$H$132*Sens!$H$77</f>
        <v>6.63132711939388</v>
      </c>
      <c r="I181" s="38" t="n">
        <f aca="false">Sens!$I$132*Sens!$I$77</f>
        <v>12.7486799258504</v>
      </c>
      <c r="J181" s="38" t="n">
        <f aca="false">Sens!$J$132*Sens!$J$77</f>
        <v>18.4074045299415</v>
      </c>
      <c r="K181" s="38" t="n">
        <f aca="false">Sens!$K$132*Sens!$K$77</f>
        <v>23.9455472348705</v>
      </c>
      <c r="L181" s="38" t="n">
        <f aca="false">Sens!$L$132*Sens!$L$77</f>
        <v>27.78179156216</v>
      </c>
      <c r="M181" s="38" t="n">
        <f aca="false">Sens!$M$132*Sens!$M$77</f>
        <v>29.9029027327362</v>
      </c>
      <c r="N181" s="38" t="n">
        <f aca="false">Sens!$N$132*Sens!$N$77</f>
        <v>0.25053229484398</v>
      </c>
      <c r="O181" s="38" t="n">
        <f aca="false">Sens!$O$132*Sens!$O$77</f>
        <v>0.349234376756897</v>
      </c>
    </row>
    <row r="182" customFormat="false" ht="17.15" hidden="false" customHeight="false" outlineLevel="0" collapsed="false">
      <c r="A182" s="0" t="s">
        <v>734</v>
      </c>
      <c r="B182" s="0" t="s">
        <v>52</v>
      </c>
      <c r="C182" s="28" t="n">
        <f aca="false">(Sens!$C$183-Sens!$C$179+Sens!$C$181)/Sens!$C$180</f>
        <v>0.0131526665379575</v>
      </c>
      <c r="D182" s="28" t="n">
        <f aca="false">(Sens!$D$183-Sens!$D$179+Sens!$D$181)/Sens!$D$180</f>
        <v>0.0141999252954702</v>
      </c>
      <c r="E182" s="28" t="n">
        <f aca="false">(Sens!$E$183-Sens!$E$179+Sens!$E$181)/Sens!$E$180</f>
        <v>0.0258471819939326</v>
      </c>
      <c r="F182" s="28" t="n">
        <f aca="false">Sens!$O$182+(Sens!$E$182-Sens!$N$182)</f>
        <v>0.0224302350712874</v>
      </c>
      <c r="G182" s="28" t="n">
        <f aca="false">(Sens!$G$183-Sens!$G$179+Sens!$G$181)/Sens!$G$180</f>
        <v>0.0240199351461372</v>
      </c>
      <c r="H182" s="28" t="n">
        <f aca="false">Sens!$G$182+step_na</f>
        <v>0.0270199351461372</v>
      </c>
      <c r="I182" s="28" t="n">
        <f aca="false">Sens!$H$182+step_na</f>
        <v>0.0300199351461372</v>
      </c>
      <c r="J182" s="28" t="n">
        <f aca="false">Sens!$I$182+step_na</f>
        <v>0.0330199351461372</v>
      </c>
      <c r="K182" s="28" t="n">
        <f aca="false">Sens!$J$182+step_na</f>
        <v>0.0360199351461372</v>
      </c>
      <c r="L182" s="28" t="n">
        <f aca="false">Sens!$K$182</f>
        <v>0.0360199351461372</v>
      </c>
      <c r="M182" s="28" t="n">
        <f aca="false">Sens!$L$182</f>
        <v>0.0360199351461372</v>
      </c>
      <c r="N182" s="28" t="n">
        <f aca="false">(Sens!$N$183-Sens!$N$179+Sens!$N$181)/Sens!$N$180</f>
        <v>0.0160831323269779</v>
      </c>
      <c r="O182" s="28" t="n">
        <f aca="false">(Sens!$O$183-Sens!$O$179+Sens!$O$181)/Sens!$O$180</f>
        <v>0.0126661854043327</v>
      </c>
      <c r="P182" s="8" t="s">
        <v>735</v>
      </c>
    </row>
    <row r="183" customFormat="false" ht="17.15" hidden="false" customHeight="false" outlineLevel="0" collapsed="false">
      <c r="A183" s="1" t="s">
        <v>736</v>
      </c>
      <c r="B183" s="8" t="s">
        <v>86</v>
      </c>
      <c r="C183" s="38" t="n">
        <f aca="false">Q!$D$22</f>
        <v>24.967</v>
      </c>
      <c r="D183" s="38" t="n">
        <f aca="false">Q!$E$22</f>
        <v>29.619</v>
      </c>
      <c r="E183" s="38" t="n">
        <f aca="false">Q!$P$22</f>
        <v>17.39</v>
      </c>
      <c r="F183" s="38" t="n">
        <f aca="false">Sens!$F$179+Sens!$F$180*Sens!$F$182-Sens!$F$181</f>
        <v>20.1145019929041</v>
      </c>
      <c r="G183" s="38" t="n">
        <f aca="false">Sens!$E$183+Sens!$F$183</f>
        <v>37.5045019929041</v>
      </c>
      <c r="H183" s="38" t="n">
        <f aca="false">Sens!$H$179+Sens!$H$180*Sens!$H$182-Sens!$H$181</f>
        <v>41.6199491865101</v>
      </c>
      <c r="I183" s="38" t="n">
        <f aca="false">Sens!$I$179+Sens!$I$180*Sens!$I$182-Sens!$I$181</f>
        <v>43.9840073571422</v>
      </c>
      <c r="J183" s="38" t="n">
        <f aca="false">Sens!$J$179+Sens!$J$180*Sens!$J$182-Sens!$J$181</f>
        <v>46.5326814970436</v>
      </c>
      <c r="K183" s="38" t="n">
        <f aca="false">Sens!$K$179+Sens!$K$180*Sens!$K$182-Sens!$K$181</f>
        <v>48.4215867437731</v>
      </c>
      <c r="L183" s="38" t="n">
        <f aca="false">Sens!$L$179+Sens!$L$180*Sens!$L$182-Sens!$L$181</f>
        <v>50.9964316762167</v>
      </c>
      <c r="M183" s="38" t="n">
        <f aca="false">Sens!$M$179+Sens!$M$180*Sens!$M$182-Sens!$M$181</f>
        <v>55.8818499649445</v>
      </c>
      <c r="N183" s="38" t="n">
        <f aca="false">Q!$N$22</f>
        <v>13.358</v>
      </c>
      <c r="O183" s="38" t="n">
        <f aca="false">Q!$O$22</f>
        <v>16.261</v>
      </c>
    </row>
    <row r="184" customFormat="false" ht="17.15" hidden="false" customHeight="false" outlineLevel="0" collapsed="false">
      <c r="A184" s="0" t="s">
        <v>737</v>
      </c>
      <c r="B184" s="0" t="s">
        <v>86</v>
      </c>
      <c r="C184" s="38" t="n">
        <f aca="false">Sens!$C$81*m_ad</f>
        <v>7.57284355857716</v>
      </c>
      <c r="D184" s="38" t="n">
        <f aca="false">Sens!$D$81*m_ad</f>
        <v>9.44543827004127</v>
      </c>
      <c r="E184" s="38" t="n">
        <f aca="false">Sens!$E$81*m_ad</f>
        <v>5.02428875377928</v>
      </c>
      <c r="F184" s="38" t="n">
        <f aca="false">Sens!$F$81*m_ad</f>
        <v>6.50663858068173</v>
      </c>
      <c r="G184" s="38" t="n">
        <f aca="false">Sens!$G$81*m_ad</f>
        <v>11.5225190751659</v>
      </c>
      <c r="H184" s="38" t="n">
        <f aca="false">Sens!$H$81*m_ad</f>
        <v>13.8333728663174</v>
      </c>
      <c r="I184" s="38" t="n">
        <f aca="false">Sens!$I$81*m_ad</f>
        <v>16.1440173245485</v>
      </c>
      <c r="J184" s="38" t="n">
        <f aca="false">Sens!$J$81*m_ad</f>
        <v>18.2995185845066</v>
      </c>
      <c r="K184" s="38" t="n">
        <f aca="false">Sens!$K$81*m_ad</f>
        <v>20.1294704429572</v>
      </c>
      <c r="L184" s="38" t="n">
        <f aca="false">Sens!$L$81*m_ad</f>
        <v>22.142417487253</v>
      </c>
      <c r="M184" s="38" t="n">
        <f aca="false">Sens!$M$81*m_ad</f>
        <v>24.3566592359783</v>
      </c>
      <c r="N184" s="38" t="n">
        <f aca="false">Sens!$N$81*m_ad</f>
        <v>3.95314442937518</v>
      </c>
      <c r="O184" s="38" t="n">
        <f aca="false">Sens!$O$81*m_ad</f>
        <v>5.50052681786011</v>
      </c>
    </row>
    <row r="185" customFormat="false" ht="17.15" hidden="false" customHeight="false" outlineLevel="0" collapsed="false">
      <c r="A185" s="0" t="s">
        <v>738</v>
      </c>
      <c r="B185" s="0" t="s">
        <v>86</v>
      </c>
      <c r="C185" s="38" t="n">
        <f aca="false">Sens!$C$79-Sens!$C$81</f>
        <v>127.760312882846</v>
      </c>
      <c r="D185" s="38" t="n">
        <f aca="false">Sens!$D$79-Sens!$D$81</f>
        <v>143.003123459917</v>
      </c>
      <c r="E185" s="38" t="n">
        <f aca="false">Sens!$E$79-Sens!$E$81</f>
        <v>71.9374224924414</v>
      </c>
      <c r="F185" s="38" t="n">
        <f aca="false">Sens!$F$79-Sens!$F$81</f>
        <v>85.3951910035875</v>
      </c>
      <c r="G185" s="38" t="n">
        <f aca="false">Sens!$G$79-Sens!$G$81</f>
        <v>157.349430014619</v>
      </c>
      <c r="H185" s="38" t="n">
        <f aca="false">Sens!$H$79-Sens!$H$81</f>
        <v>172.043153372315</v>
      </c>
      <c r="I185" s="38" t="n">
        <f aca="false">Sens!$I$79-Sens!$I$81</f>
        <v>186.097493615879</v>
      </c>
      <c r="J185" s="38" t="n">
        <f aca="false">Sens!$J$79-Sens!$J$81</f>
        <v>199.117932780497</v>
      </c>
      <c r="K185" s="38" t="n">
        <f aca="false">Sens!$K$79-Sens!$K$81</f>
        <v>210.70928698363</v>
      </c>
      <c r="L185" s="38" t="n">
        <f aca="false">Sens!$L$79-Sens!$L$81</f>
        <v>223.000532251316</v>
      </c>
      <c r="M185" s="38" t="n">
        <f aca="false">Sens!$M$79-Sens!$M$81</f>
        <v>236.035261011339</v>
      </c>
      <c r="N185" s="38" t="n">
        <f aca="false">Sens!$N$79-Sens!$N$81</f>
        <v>62.3677111412496</v>
      </c>
      <c r="O185" s="38" t="n">
        <f aca="false">Sens!$O$79-Sens!$O$81</f>
        <v>80.6189463642798</v>
      </c>
    </row>
    <row r="186" customFormat="false" ht="17.15" hidden="false" customHeight="false" outlineLevel="0" collapsed="false">
      <c r="A186" s="0" t="s">
        <v>739</v>
      </c>
      <c r="B186" s="0" t="s">
        <v>86</v>
      </c>
      <c r="C186" s="38" t="n">
        <f aca="false">Sens!$C$132*(1-Sens!$C$77)</f>
        <v>0.0455891896019953</v>
      </c>
      <c r="D186" s="38" t="n">
        <f aca="false">Sens!$D$132*(1-Sens!$D$77)</f>
        <v>0.227931791705753</v>
      </c>
      <c r="E186" s="38" t="n">
        <f aca="false">Sens!$E$132*(1-Sens!$E$77)</f>
        <v>0.412460434890711</v>
      </c>
      <c r="F186" s="38" t="n">
        <f aca="false">Sens!$F$132*(1-Sens!$F$77)</f>
        <v>0.524534016233997</v>
      </c>
      <c r="G186" s="38" t="n">
        <f aca="false">Sens!$G$132*(1-Sens!$G$77)</f>
        <v>0.936474095312266</v>
      </c>
      <c r="H186" s="38" t="n">
        <f aca="false">Sens!$H$132*(1-Sens!$H$77)</f>
        <v>2.54003589327823</v>
      </c>
      <c r="I186" s="38" t="n">
        <f aca="false">Sens!$I$132*(1-Sens!$I$77)</f>
        <v>4.88320120852905</v>
      </c>
      <c r="J186" s="38" t="n">
        <f aca="false">Sens!$J$132*(1-Sens!$J$77)</f>
        <v>7.05069548920359</v>
      </c>
      <c r="K186" s="38" t="n">
        <f aca="false">Sens!$K$132*(1-Sens!$K$77)</f>
        <v>9.17200258193867</v>
      </c>
      <c r="L186" s="38" t="n">
        <f aca="false">Sens!$L$132*(1-Sens!$L$77)</f>
        <v>10.6414216154535</v>
      </c>
      <c r="M186" s="38" t="n">
        <f aca="false">Sens!$M$132*(1-Sens!$M$77)</f>
        <v>11.4538831951485</v>
      </c>
      <c r="N186" s="38" t="n">
        <f aca="false">Sens!$N$132*(1-Sens!$N$77)</f>
        <v>0.0912435878202994</v>
      </c>
      <c r="O186" s="38" t="n">
        <f aca="false">Sens!$O$132*(1-Sens!$O$77)</f>
        <v>0.137119578309265</v>
      </c>
    </row>
    <row r="187" customFormat="false" ht="17.15" hidden="false" customHeight="false" outlineLevel="0" collapsed="false">
      <c r="A187" s="0" t="s">
        <v>740</v>
      </c>
      <c r="B187" s="0" t="s">
        <v>52</v>
      </c>
      <c r="C187" s="28" t="n">
        <f aca="false">(Sens!$C$188-Sens!$C$184+Sens!$C$186)/Sens!$C$185</f>
        <v>-0.0292364215826579</v>
      </c>
      <c r="D187" s="28" t="n">
        <f aca="false">(Sens!$D$188-Sens!$D$184+Sens!$D$186)/Sens!$D$185</f>
        <v>-0.0312406216748665</v>
      </c>
      <c r="E187" s="28" t="n">
        <f aca="false">(Sens!$E$188-Sens!$E$184+Sens!$E$186)/Sens!$E$185</f>
        <v>-0.0204459413185552</v>
      </c>
      <c r="F187" s="28" t="n">
        <f aca="false">Sens!$O$187+(Sens!$E$187-Sens!$N$187)</f>
        <v>-0.0375409290246314</v>
      </c>
      <c r="G187" s="28" t="n">
        <f aca="false">(Sens!$G$188-Sens!$G$184+Sens!$G$186)/Sens!$G$185</f>
        <v>-0.0296712560031684</v>
      </c>
      <c r="H187" s="28" t="n">
        <f aca="false">Sens!$G$187+step_in</f>
        <v>-0.0296712560031684</v>
      </c>
      <c r="I187" s="28" t="n">
        <f aca="false">Sens!$H$187+step_in</f>
        <v>-0.0296712560031684</v>
      </c>
      <c r="J187" s="28" t="n">
        <f aca="false">Sens!$I$187+step_in</f>
        <v>-0.0296712560031684</v>
      </c>
      <c r="K187" s="28" t="n">
        <f aca="false">Sens!$J$187+step_in</f>
        <v>-0.0296712560031684</v>
      </c>
      <c r="L187" s="28" t="n">
        <f aca="false">Sens!$K$187</f>
        <v>-0.0296712560031684</v>
      </c>
      <c r="M187" s="28" t="n">
        <f aca="false">Sens!$L$187</f>
        <v>-0.0296712560031684</v>
      </c>
      <c r="N187" s="28" t="n">
        <f aca="false">(Sens!$N$188-Sens!$N$184+Sens!$N$186)/Sens!$N$185</f>
        <v>-0.0216602600421776</v>
      </c>
      <c r="O187" s="28" t="n">
        <f aca="false">(Sens!$O$188-Sens!$O$184+Sens!$O$186)/Sens!$O$185</f>
        <v>-0.0387552477482538</v>
      </c>
      <c r="P187" s="8" t="s">
        <v>735</v>
      </c>
    </row>
    <row r="188" customFormat="false" ht="17.15" hidden="false" customHeight="false" outlineLevel="0" collapsed="false">
      <c r="A188" s="1" t="s">
        <v>741</v>
      </c>
      <c r="B188" s="8" t="s">
        <v>86</v>
      </c>
      <c r="C188" s="38" t="n">
        <f aca="false">Q!$D$23</f>
        <v>3.792</v>
      </c>
      <c r="D188" s="38" t="n">
        <f aca="false">Q!$E$23</f>
        <v>4.75</v>
      </c>
      <c r="E188" s="38" t="n">
        <f aca="false">Q!$P$23</f>
        <v>3.141</v>
      </c>
      <c r="F188" s="38" t="n">
        <f aca="false">Sens!$F$184+Sens!$F$185*Sens!$F$187-Sens!$F$186</f>
        <v>2.77628975993721</v>
      </c>
      <c r="G188" s="38" t="n">
        <f aca="false">Sens!$E$188+Sens!$F$188</f>
        <v>5.91728975993721</v>
      </c>
      <c r="H188" s="38" t="n">
        <f aca="false">Sens!$H$184+Sens!$H$185*Sens!$H$187-Sens!$H$186</f>
        <v>6.18860052573681</v>
      </c>
      <c r="I188" s="38" t="n">
        <f aca="false">Sens!$I$184+Sens!$I$185*Sens!$I$187-Sens!$I$186</f>
        <v>5.73906974139474</v>
      </c>
      <c r="J188" s="38" t="n">
        <f aca="false">Sens!$J$184+Sens!$J$185*Sens!$J$187-Sens!$J$186</f>
        <v>5.34074393695119</v>
      </c>
      <c r="K188" s="38" t="n">
        <f aca="false">Sens!$K$184+Sens!$K$185*Sens!$K$187-Sens!$K$186</f>
        <v>4.7054586646822</v>
      </c>
      <c r="L188" s="38" t="n">
        <f aca="false">Sens!$L$184+Sens!$L$185*Sens!$L$187-Sens!$L$186</f>
        <v>4.88428999052786</v>
      </c>
      <c r="M188" s="38" t="n">
        <f aca="false">Sens!$M$184+Sens!$M$185*Sens!$M$187-Sens!$M$186</f>
        <v>5.89931338558769</v>
      </c>
      <c r="N188" s="38" t="n">
        <f aca="false">Q!$N$23</f>
        <v>2.511</v>
      </c>
      <c r="O188" s="38" t="n">
        <f aca="false">Q!$O$23</f>
        <v>2.239</v>
      </c>
    </row>
    <row r="189" customFormat="false" ht="17.15" hidden="false" customHeight="false" outlineLevel="0" collapsed="false">
      <c r="A189" s="0" t="s">
        <v>742</v>
      </c>
      <c r="B189" s="0" t="s">
        <v>86</v>
      </c>
      <c r="C189" s="38" t="n">
        <f aca="false">Sens!$C$129</f>
        <v>1.64417882953695</v>
      </c>
      <c r="D189" s="38" t="n">
        <f aca="false">Sens!$D$129</f>
        <v>5.39125073772939</v>
      </c>
      <c r="E189" s="38" t="n">
        <f aca="false">Sens!$E$129</f>
        <v>2.42691120599613</v>
      </c>
      <c r="F189" s="38" t="n">
        <f aca="false">Sens!$F$129</f>
        <v>7.52148563094346</v>
      </c>
      <c r="G189" s="38" t="n">
        <f aca="false">Sens!$G$129</f>
        <v>9.94839683693959</v>
      </c>
      <c r="H189" s="38" t="n">
        <f aca="false">Sens!$H$129</f>
        <v>23.4804386990861</v>
      </c>
      <c r="I189" s="38" t="n">
        <f aca="false">Sens!$I$129</f>
        <v>30.9761745989143</v>
      </c>
      <c r="J189" s="38" t="n">
        <f aca="false">Sens!$J$129</f>
        <v>41.1930070746977</v>
      </c>
      <c r="K189" s="38" t="n">
        <f aca="false">Sens!$K$129</f>
        <v>45.9779211159428</v>
      </c>
      <c r="L189" s="38" t="n">
        <f aca="false">Sens!$L$129</f>
        <v>48.0352490919424</v>
      </c>
      <c r="M189" s="38" t="n">
        <f aca="false">Sens!$M$129</f>
        <v>47.4082976573265</v>
      </c>
      <c r="N189" s="38" t="n">
        <f aca="false">Sens!$N$129</f>
        <v>1.67921600037079</v>
      </c>
      <c r="O189" s="38" t="n">
        <f aca="false">Sens!$O$129</f>
        <v>3.71203473735861</v>
      </c>
    </row>
    <row r="190" customFormat="false" ht="17.15" hidden="false" customHeight="false" outlineLevel="0" collapsed="false">
      <c r="A190" s="0" t="s">
        <v>660</v>
      </c>
      <c r="B190" s="0" t="s">
        <v>86</v>
      </c>
      <c r="C190" s="38" t="n">
        <f aca="false">Sens!$C$134</f>
        <v>38.1898211704631</v>
      </c>
      <c r="D190" s="38" t="n">
        <f aca="false">Sens!$D$134</f>
        <v>40.2147492622706</v>
      </c>
      <c r="E190" s="38" t="n">
        <f aca="false">Sens!$E$134</f>
        <v>28.3550887940039</v>
      </c>
      <c r="F190" s="38" t="n">
        <f aca="false">Sens!$F$134</f>
        <v>25.9529793149447</v>
      </c>
      <c r="G190" s="38" t="n">
        <f aca="false">Sens!$G$134</f>
        <v>54.3080681089486</v>
      </c>
      <c r="H190" s="38" t="n">
        <f aca="false">Sens!$H$134</f>
        <v>58.2264684589333</v>
      </c>
      <c r="I190" s="38" t="n">
        <f aca="false">Sens!$I$134</f>
        <v>64.6461353851744</v>
      </c>
      <c r="J190" s="38" t="n">
        <f aca="false">Sens!$J$134</f>
        <v>70.7957093610231</v>
      </c>
      <c r="K190" s="38" t="n">
        <f aca="false">Sens!$K$134</f>
        <v>76.4593661099049</v>
      </c>
      <c r="L190" s="38" t="n">
        <f aca="false">Sens!$L$134</f>
        <v>82.5761153986973</v>
      </c>
      <c r="M190" s="38" t="n">
        <f aca="false">Sens!$M$134</f>
        <v>89.1822046305931</v>
      </c>
      <c r="N190" s="38" t="n">
        <f aca="false">Sens!$N$134</f>
        <v>20.0277839996292</v>
      </c>
      <c r="O190" s="38" t="n">
        <f aca="false">Sens!$O$134</f>
        <v>20.1869652626414</v>
      </c>
    </row>
    <row r="191" customFormat="false" ht="17.15" hidden="false" customHeight="false" outlineLevel="0" collapsed="false">
      <c r="A191" s="1" t="s">
        <v>743</v>
      </c>
      <c r="B191" s="8" t="s">
        <v>86</v>
      </c>
      <c r="C191" s="38" t="n">
        <f aca="false">Q!$D$24</f>
        <v>39.834</v>
      </c>
      <c r="D191" s="38" t="n">
        <f aca="false">Q!$E$24</f>
        <v>45.606</v>
      </c>
      <c r="E191" s="38" t="n">
        <f aca="false">Q!$P$24</f>
        <v>30.782</v>
      </c>
      <c r="F191" s="38" t="n">
        <f aca="false">Sens!$F$189+Sens!$F$190</f>
        <v>33.4744649458882</v>
      </c>
      <c r="G191" s="38" t="n">
        <f aca="false">Sens!$G$189+Sens!$G$190</f>
        <v>64.2564649458882</v>
      </c>
      <c r="H191" s="38" t="n">
        <f aca="false">Sens!$H$189+Sens!$H$190</f>
        <v>81.7069071580194</v>
      </c>
      <c r="I191" s="38" t="n">
        <f aca="false">Sens!$I$189+Sens!$I$190</f>
        <v>95.6223099840887</v>
      </c>
      <c r="J191" s="38" t="n">
        <f aca="false">Sens!$J$189+Sens!$J$190</f>
        <v>111.988716435721</v>
      </c>
      <c r="K191" s="38" t="n">
        <f aca="false">Sens!$K$189+Sens!$K$190</f>
        <v>122.437287225848</v>
      </c>
      <c r="L191" s="38" t="n">
        <f aca="false">Sens!$L$189+Sens!$L$190</f>
        <v>130.61136449064</v>
      </c>
      <c r="M191" s="38" t="n">
        <f aca="false">Sens!$M$189+Sens!$M$190</f>
        <v>136.59050228792</v>
      </c>
      <c r="N191" s="38" t="n">
        <f aca="false">Q!$N$24</f>
        <v>21.707</v>
      </c>
      <c r="O191" s="38" t="n">
        <f aca="false">Q!$O$24</f>
        <v>23.899</v>
      </c>
    </row>
    <row r="192" customFormat="false" ht="17.15" hidden="false" customHeight="false" outlineLevel="0" collapsed="false">
      <c r="A192" s="5" t="s">
        <v>744</v>
      </c>
      <c r="B192" s="0" t="s">
        <v>86</v>
      </c>
      <c r="C192" s="38" t="n">
        <f aca="false">Q!$D$26</f>
        <v>0</v>
      </c>
      <c r="D192" s="38" t="n">
        <f aca="false">Q!$E$26</f>
        <v>0</v>
      </c>
      <c r="E192" s="38" t="n">
        <f aca="false">Q!$P$26</f>
        <v>0</v>
      </c>
      <c r="F192" s="39" t="n">
        <v>0</v>
      </c>
      <c r="G192" s="38" t="n">
        <f aca="false">Sens!$E$192+Sens!$F$192</f>
        <v>0</v>
      </c>
      <c r="H192" s="39" t="n">
        <v>0</v>
      </c>
      <c r="I192" s="39" t="n">
        <v>0</v>
      </c>
      <c r="J192" s="39" t="n">
        <v>0</v>
      </c>
      <c r="K192" s="39" t="n">
        <v>0</v>
      </c>
      <c r="L192" s="39" t="n">
        <v>0</v>
      </c>
      <c r="M192" s="39" t="n">
        <v>0</v>
      </c>
      <c r="N192" s="38" t="n">
        <f aca="false">Q!$N$26</f>
        <v>0</v>
      </c>
      <c r="O192" s="38" t="n">
        <f aca="false">Q!$O$26</f>
        <v>0</v>
      </c>
    </row>
    <row r="193" customFormat="false" ht="15" hidden="false" customHeight="false" outlineLevel="0" collapsed="false">
      <c r="A193" s="3" t="s">
        <v>541</v>
      </c>
      <c r="B193" s="8" t="s">
        <v>86</v>
      </c>
      <c r="C193" s="38" t="n">
        <f aca="false">Q!$D$25</f>
        <v>68.593</v>
      </c>
      <c r="D193" s="38" t="n">
        <f aca="false">Q!$E$25</f>
        <v>79.975</v>
      </c>
      <c r="E193" s="38" t="n">
        <f aca="false">Q!$P$25</f>
        <v>51.313</v>
      </c>
      <c r="F193" s="38" t="n">
        <f aca="false">Sens!$F$183+Sens!$F$188+Sens!$F$191+Sens!$F$192</f>
        <v>56.3652566987294</v>
      </c>
      <c r="G193" s="38" t="n">
        <f aca="false">Sens!$G$183+Sens!$G$188+Sens!$G$191+Sens!$G$192</f>
        <v>107.678256698729</v>
      </c>
      <c r="H193" s="38" t="n">
        <f aca="false">Sens!$H$183+Sens!$H$188+Sens!$H$191+Sens!$H$192</f>
        <v>129.515456870266</v>
      </c>
      <c r="I193" s="38" t="n">
        <f aca="false">Sens!$I$183+Sens!$I$188+Sens!$I$191+Sens!$I$192</f>
        <v>145.345387082626</v>
      </c>
      <c r="J193" s="38" t="n">
        <f aca="false">Sens!$J$183+Sens!$J$188+Sens!$J$191+Sens!$J$192</f>
        <v>163.862141869716</v>
      </c>
      <c r="K193" s="38" t="n">
        <f aca="false">Sens!$K$183+Sens!$K$188+Sens!$K$191+Sens!$K$192</f>
        <v>175.564332634303</v>
      </c>
      <c r="L193" s="38" t="n">
        <f aca="false">Sens!$L$183+Sens!$L$188+Sens!$L$191+Sens!$L$192</f>
        <v>186.492086157384</v>
      </c>
      <c r="M193" s="38" t="n">
        <f aca="false">Sens!$M$183+Sens!$M$188+Sens!$M$191+Sens!$M$192</f>
        <v>198.371665638452</v>
      </c>
      <c r="N193" s="38" t="n">
        <f aca="false">Q!$N$25</f>
        <v>37.576</v>
      </c>
      <c r="O193" s="38" t="n">
        <f aca="false">Q!$O$25</f>
        <v>42.399</v>
      </c>
    </row>
    <row r="194" customFormat="false" ht="17.15" hidden="false" customHeight="false" outlineLevel="0" collapsed="false">
      <c r="A194" s="24" t="s">
        <v>775</v>
      </c>
      <c r="B194" s="25" t="s">
        <v>86</v>
      </c>
      <c r="C194" s="41" t="n">
        <f aca="false">Sens!$C$183+Sens!$C$188+Sens!$C$191+Sens!$C$192-Sens!$C$193</f>
        <v>0</v>
      </c>
      <c r="D194" s="41" t="n">
        <f aca="false">Sens!$D$183+Sens!$D$188+Sens!$D$191+Sens!$D$192-Sens!$D$193</f>
        <v>0</v>
      </c>
      <c r="E194" s="41" t="n">
        <f aca="false">Sens!$E$183+Sens!$E$188+Sens!$E$191+Sens!$E$192-Sens!$E$193</f>
        <v>0</v>
      </c>
      <c r="F194" s="41" t="n">
        <f aca="false">Sens!$F$183+Sens!$F$188+Sens!$F$191+Sens!$F$192-Sens!$F$193</f>
        <v>0</v>
      </c>
      <c r="G194" s="41" t="n">
        <f aca="false">Sens!$G$183+Sens!$G$188+Sens!$G$191+Sens!$G$192-Sens!$G$193</f>
        <v>0</v>
      </c>
      <c r="H194" s="41" t="n">
        <f aca="false">Sens!$H$183+Sens!$H$188+Sens!$H$191+Sens!$H$192-Sens!$H$193</f>
        <v>0</v>
      </c>
      <c r="I194" s="41" t="n">
        <f aca="false">Sens!$I$183+Sens!$I$188+Sens!$I$191+Sens!$I$192-Sens!$I$193</f>
        <v>0</v>
      </c>
      <c r="J194" s="41" t="n">
        <f aca="false">Sens!$J$183+Sens!$J$188+Sens!$J$191+Sens!$J$192-Sens!$J$193</f>
        <v>0</v>
      </c>
      <c r="K194" s="41" t="n">
        <f aca="false">Sens!$K$183+Sens!$K$188+Sens!$K$191+Sens!$K$192-Sens!$K$193</f>
        <v>0</v>
      </c>
      <c r="L194" s="41" t="n">
        <f aca="false">Sens!$L$183+Sens!$L$188+Sens!$L$191+Sens!$L$192-Sens!$L$193</f>
        <v>0</v>
      </c>
      <c r="M194" s="41" t="n">
        <f aca="false">Sens!$M$183+Sens!$M$188+Sens!$M$191+Sens!$M$192-Sens!$M$193</f>
        <v>0</v>
      </c>
      <c r="N194" s="41" t="n">
        <f aca="false">Sens!$N$183+Sens!$N$188+Sens!$N$191+Sens!$N$192-Sens!$N$193</f>
        <v>0</v>
      </c>
      <c r="O194" s="41" t="n">
        <f aca="false">Sens!$O$183+Sens!$O$188+Sens!$O$191+Sens!$O$192-Sens!$O$193</f>
        <v>0</v>
      </c>
    </row>
    <row r="195" customFormat="false" ht="17.15" hidden="false" customHeight="false" outlineLevel="0" collapsed="false">
      <c r="A195" s="5" t="s">
        <v>746</v>
      </c>
      <c r="B195" s="0" t="s">
        <v>86</v>
      </c>
      <c r="C195" s="38" t="n">
        <f aca="false">Sens!$C$131</f>
        <v>0</v>
      </c>
      <c r="D195" s="38" t="n">
        <f aca="false">Sens!$D$131</f>
        <v>0</v>
      </c>
      <c r="E195" s="38" t="n">
        <f aca="false">Sens!$E$131</f>
        <v>0</v>
      </c>
      <c r="F195" s="38" t="n">
        <f aca="false">Sens!$F$131</f>
        <v>3.77122048175818</v>
      </c>
      <c r="G195" s="38" t="n">
        <f aca="false">Sens!$G$131</f>
        <v>3.77122048175818</v>
      </c>
      <c r="H195" s="38" t="n">
        <f aca="false">Sens!$H$131</f>
        <v>15.1635543609893</v>
      </c>
      <c r="I195" s="38" t="n">
        <f aca="false">Sens!$I$131</f>
        <v>25.5818843619889</v>
      </c>
      <c r="J195" s="38" t="n">
        <f aca="false">Sens!$J$131</f>
        <v>36.0465624179122</v>
      </c>
      <c r="K195" s="38" t="n">
        <f aca="false">Sens!$K$131</f>
        <v>44.9741164026038</v>
      </c>
      <c r="L195" s="38" t="n">
        <f aca="false">Sens!$L$131</f>
        <v>50.8413488057813</v>
      </c>
      <c r="M195" s="38" t="n">
        <f aca="false">Sens!$M$131</f>
        <v>53.6407214274315</v>
      </c>
      <c r="N195" s="38" t="n">
        <f aca="false">Sens!$N$131</f>
        <v>0</v>
      </c>
      <c r="O195" s="38" t="n">
        <f aca="false">Sens!$O$131</f>
        <v>0</v>
      </c>
      <c r="P195" s="5" t="s">
        <v>747</v>
      </c>
    </row>
    <row r="196" customFormat="false" ht="17.15" hidden="false" customHeight="false" outlineLevel="0" collapsed="false">
      <c r="A196" s="5" t="s">
        <v>748</v>
      </c>
      <c r="B196" s="0" t="s">
        <v>86</v>
      </c>
      <c r="C196" s="38" t="n">
        <f aca="false">Sens!$C$193+Sens!$C$195</f>
        <v>68.593</v>
      </c>
      <c r="D196" s="38" t="n">
        <f aca="false">Sens!$D$193+Sens!$D$195</f>
        <v>79.975</v>
      </c>
      <c r="E196" s="38" t="n">
        <f aca="false">Sens!$E$193+Sens!$E$195</f>
        <v>51.313</v>
      </c>
      <c r="F196" s="38" t="n">
        <f aca="false">Sens!$F$193+Sens!$F$195</f>
        <v>60.1364771804876</v>
      </c>
      <c r="G196" s="38" t="n">
        <f aca="false">Sens!$G$193+Sens!$G$195</f>
        <v>111.449477180488</v>
      </c>
      <c r="H196" s="38" t="n">
        <f aca="false">Sens!$H$193+Sens!$H$195</f>
        <v>144.679011231256</v>
      </c>
      <c r="I196" s="38" t="n">
        <f aca="false">Sens!$I$193+Sens!$I$195</f>
        <v>170.927271444615</v>
      </c>
      <c r="J196" s="38" t="n">
        <f aca="false">Sens!$J$193+Sens!$J$195</f>
        <v>199.908704287628</v>
      </c>
      <c r="K196" s="38" t="n">
        <f aca="false">Sens!$K$193+Sens!$K$195</f>
        <v>220.538449036907</v>
      </c>
      <c r="L196" s="38" t="n">
        <f aca="false">Sens!$L$193+Sens!$L$195</f>
        <v>237.333434963166</v>
      </c>
      <c r="M196" s="38" t="n">
        <f aca="false">Sens!$M$193+Sens!$M$195</f>
        <v>252.012387065883</v>
      </c>
      <c r="N196" s="38" t="n">
        <f aca="false">Sens!$N$193+Sens!$N$195</f>
        <v>37.576</v>
      </c>
      <c r="O196" s="38" t="n">
        <f aca="false">Sens!$O$193+Sens!$O$195</f>
        <v>42.399</v>
      </c>
    </row>
    <row r="197" customFormat="false" ht="17.15" hidden="false" customHeight="false" outlineLevel="0" collapsed="false">
      <c r="A197" s="0" t="s">
        <v>749</v>
      </c>
      <c r="B197" s="0" t="s">
        <v>52</v>
      </c>
      <c r="C197" s="13" t="n">
        <f aca="false">Sens!$C$183/Sens!$C$168</f>
        <v>0.0644314665661928</v>
      </c>
      <c r="D197" s="13" t="n">
        <f aca="false">Sens!$D$183/Sens!$D$168</f>
        <v>0.0694784250712518</v>
      </c>
      <c r="E197" s="13" t="n">
        <f aca="false">Sens!$E$183/Sens!$E$168</f>
        <v>0.0789306463326071</v>
      </c>
      <c r="F197" s="13" t="n">
        <f aca="false">Sens!$F$183/Sens!$F$168</f>
        <v>0.0802526339438384</v>
      </c>
      <c r="G197" s="13" t="n">
        <f aca="false">Sens!$G$183/Sens!$G$168</f>
        <v>0.0796341940538369</v>
      </c>
      <c r="H197" s="13" t="n">
        <f aca="false">Sens!$H$183/Sens!$H$168</f>
        <v>0.0798254462645258</v>
      </c>
      <c r="I197" s="13" t="n">
        <f aca="false">Sens!$I$183/Sens!$I$168</f>
        <v>0.0771454543672196</v>
      </c>
      <c r="J197" s="13" t="n">
        <f aca="false">Sens!$J$183/Sens!$J$168</f>
        <v>0.0756147693819656</v>
      </c>
      <c r="K197" s="13" t="n">
        <f aca="false">Sens!$K$183/Sens!$K$168</f>
        <v>0.0739025926520816</v>
      </c>
      <c r="L197" s="13" t="n">
        <f aca="false">Sens!$L$183/Sens!$L$168</f>
        <v>0.0730809201558074</v>
      </c>
      <c r="M197" s="13" t="n">
        <f aca="false">Sens!$M$183/Sens!$M$168</f>
        <v>0.0751707027775199</v>
      </c>
      <c r="N197" s="13" t="n">
        <f aca="false">Sens!$N$183/Sens!$N$168</f>
        <v>0.069228576611127</v>
      </c>
      <c r="O197" s="13" t="n">
        <f aca="false">Sens!$O$183/Sens!$O$168</f>
        <v>0.069685022498393</v>
      </c>
    </row>
    <row r="198" customFormat="false" ht="17.15" hidden="false" customHeight="false" outlineLevel="0" collapsed="false">
      <c r="A198" s="0" t="s">
        <v>750</v>
      </c>
      <c r="B198" s="0" t="s">
        <v>52</v>
      </c>
      <c r="C198" s="13" t="n">
        <f aca="false">Sens!$C$188/Sens!$C$169</f>
        <v>0.026534925055631</v>
      </c>
      <c r="D198" s="13" t="n">
        <f aca="false">Sens!$D$188/Sens!$D$169</f>
        <v>0.0293401855535103</v>
      </c>
      <c r="E198" s="13" t="n">
        <f aca="false">Sens!$E$188/Sens!$E$169</f>
        <v>0.03831141902276</v>
      </c>
      <c r="F198" s="13" t="n">
        <f aca="false">Sens!$F$188/Sens!$F$169</f>
        <v>0.0282118989524726</v>
      </c>
      <c r="G198" s="13" t="n">
        <f aca="false">Sens!$G$188/Sens!$G$169</f>
        <v>0.0328019468674976</v>
      </c>
      <c r="H198" s="13" t="n">
        <f aca="false">Sens!$H$188/Sens!$H$169</f>
        <v>0.0309879507899839</v>
      </c>
      <c r="I198" s="13" t="n">
        <f aca="false">Sens!$I$188/Sens!$I$169</f>
        <v>0.0262795332043765</v>
      </c>
      <c r="J198" s="13" t="n">
        <f aca="false">Sens!$J$188/Sens!$J$169</f>
        <v>0.0226574435353346</v>
      </c>
      <c r="K198" s="13" t="n">
        <f aca="false">Sens!$K$188/Sens!$K$169</f>
        <v>0.0187492205871101</v>
      </c>
      <c r="L198" s="13" t="n">
        <f aca="false">Sens!$L$188/Sens!$L$169</f>
        <v>0.018273690180732</v>
      </c>
      <c r="M198" s="13" t="n">
        <f aca="false">Sens!$M$188/Sens!$M$169</f>
        <v>0.0207176218272716</v>
      </c>
      <c r="N198" s="13" t="n">
        <f aca="false">Sens!$N$188/Sens!$N$169</f>
        <v>0.0357315650169337</v>
      </c>
      <c r="O198" s="13" t="n">
        <f aca="false">Sens!$O$188/Sens!$O$169</f>
        <v>0.0244378956559703</v>
      </c>
    </row>
    <row r="199" customFormat="false" ht="17.15" hidden="false" customHeight="false" outlineLevel="0" collapsed="false">
      <c r="A199" s="14" t="s">
        <v>751</v>
      </c>
      <c r="B199" s="14" t="s">
        <v>52</v>
      </c>
      <c r="C199" s="17" t="n">
        <f aca="false">Sens!$C$191/Sens!$C$170</f>
        <v>0.370355907620217</v>
      </c>
      <c r="D199" s="17" t="n">
        <f aca="false">Sens!$D$191/Sens!$D$170</f>
        <v>0.35429015342785</v>
      </c>
      <c r="E199" s="17" t="n">
        <f aca="false">Sens!$E$191/Sens!$E$170</f>
        <v>0.385647527531039</v>
      </c>
      <c r="F199" s="17" t="n">
        <f aca="false">Sens!$F$191/Sens!$F$170</f>
        <v>0.385949613469105</v>
      </c>
      <c r="G199" s="17" t="n">
        <f aca="false">Sens!$G$191/Sens!$G$170</f>
        <v>0.385804840448779</v>
      </c>
      <c r="H199" s="17" t="n">
        <f aca="false">Sens!$H$191/Sens!$H$170</f>
        <v>0.369408675360557</v>
      </c>
      <c r="I199" s="17" t="n">
        <f aca="false">Sens!$I$191/Sens!$I$170</f>
        <v>0.34117504540738</v>
      </c>
      <c r="J199" s="17" t="n">
        <f aca="false">Sens!$J$191/Sens!$J$170</f>
        <v>0.330544285732563</v>
      </c>
      <c r="K199" s="17" t="n">
        <f aca="false">Sens!$K$191/Sens!$K$170</f>
        <v>0.314033796990635</v>
      </c>
      <c r="L199" s="17" t="n">
        <f aca="false">Sens!$L$191/Sens!$L$170</f>
        <v>0.303690371867633</v>
      </c>
      <c r="M199" s="17" t="n">
        <f aca="false">Sens!$M$191/Sens!$M$170</f>
        <v>0.297287296590884</v>
      </c>
      <c r="N199" s="17" t="n">
        <f aca="false">Sens!$N$191/Sens!$N$170</f>
        <v>0.360941137346192</v>
      </c>
      <c r="O199" s="17" t="n">
        <f aca="false">Sens!$O$191/Sens!$O$170</f>
        <v>0.348458117664212</v>
      </c>
    </row>
    <row r="200" customFormat="false" ht="17.15" hidden="false" customHeight="false" outlineLevel="0" collapsed="false">
      <c r="A200" s="0" t="s">
        <v>752</v>
      </c>
      <c r="B200" s="0" t="s">
        <v>52</v>
      </c>
      <c r="C200" s="13" t="n">
        <f aca="false">Sens!$C$189/Sens!$C$171</f>
        <v>0.708390794789371</v>
      </c>
      <c r="D200" s="13" t="n">
        <f aca="false">Sens!$D$189/Sens!$D$171</f>
        <v>0.619415573115729</v>
      </c>
      <c r="E200" s="13" t="n">
        <f aca="false">Sens!$E$189/Sens!$E$171</f>
        <v>0.285171627189009</v>
      </c>
      <c r="F200" s="13" t="n">
        <f aca="false">Sens!$F$189/Sens!$F$171</f>
        <v>0.502657732812366</v>
      </c>
      <c r="G200" s="13" t="n">
        <f aca="false">Sens!$G$189/Sens!$G$171</f>
        <v>0.423808778611812</v>
      </c>
      <c r="H200" s="13" t="n">
        <f aca="false">Sens!$H$189/Sens!$H$171</f>
        <v>0.390261631739809</v>
      </c>
      <c r="I200" s="13" t="n">
        <f aca="false">Sens!$I$189/Sens!$I$171</f>
        <v>0.305172864264572</v>
      </c>
      <c r="J200" s="13" t="n">
        <f aca="false">Sens!$J$189/Sens!$J$171</f>
        <v>0.288011814789856</v>
      </c>
      <c r="K200" s="13" t="n">
        <f aca="false">Sens!$K$189/Sens!$K$171</f>
        <v>0.25765427518774</v>
      </c>
      <c r="L200" s="13" t="n">
        <f aca="false">Sens!$L$189/Sens!$L$171</f>
        <v>0.238118778012374</v>
      </c>
      <c r="M200" s="13" t="n">
        <f aca="false">Sens!$M$189/Sens!$M$171</f>
        <v>0.222746255757109</v>
      </c>
      <c r="N200" s="13" t="n">
        <f aca="false">Sens!$N$189/Sens!$N$171</f>
        <v>0.551227795793364</v>
      </c>
      <c r="O200" s="13" t="n">
        <f aca="false">Sens!$O$189/Sens!$O$171</f>
        <v>0.656132068597002</v>
      </c>
    </row>
    <row r="201" customFormat="false" ht="15" hidden="false" customHeight="false" outlineLevel="0" collapsed="false">
      <c r="A201" s="5" t="s">
        <v>753</v>
      </c>
      <c r="B201" s="0" t="s">
        <v>52</v>
      </c>
      <c r="C201" s="13" t="n">
        <f aca="false">Sens!$C$193/Sens!$C$173</f>
        <v>0.107519448742004</v>
      </c>
      <c r="D201" s="13" t="n">
        <f aca="false">Sens!$D$193/Sens!$D$173</f>
        <v>0.111552967957552</v>
      </c>
      <c r="E201" s="13" t="n">
        <f aca="false">Sens!$E$193/Sens!$E$173</f>
        <v>0.13428328426562</v>
      </c>
      <c r="F201" s="13" t="n">
        <f aca="false">Sens!$F$193/Sens!$F$173</f>
        <v>0.129343087287827</v>
      </c>
      <c r="G201" s="13" t="n">
        <f aca="false">Sens!$G$193/Sens!$G$173</f>
        <v>0.131651143259596</v>
      </c>
      <c r="H201" s="13" t="n">
        <f aca="false">Sens!$H$193/Sens!$H$173</f>
        <v>0.137449034763893</v>
      </c>
      <c r="I201" s="13" t="n">
        <f aca="false">Sens!$I$193/Sens!$I$173</f>
        <v>0.13598895915033</v>
      </c>
      <c r="J201" s="13" t="n">
        <f aca="false">Sens!$J$193/Sens!$J$173</f>
        <v>0.137709769017663</v>
      </c>
      <c r="K201" s="13" t="n">
        <f aca="false">Sens!$K$193/Sens!$K$173</f>
        <v>0.135459809314784</v>
      </c>
      <c r="L201" s="13" t="n">
        <f aca="false">Sens!$L$193/Sens!$L$173</f>
        <v>0.133669430082102</v>
      </c>
      <c r="M201" s="13" t="n">
        <f aca="false">Sens!$M$193/Sens!$M$173</f>
        <v>0.133349766772341</v>
      </c>
      <c r="N201" s="13" t="n">
        <f aca="false">Sens!$N$193/Sens!$N$173</f>
        <v>0.116201614873411</v>
      </c>
      <c r="O201" s="13" t="n">
        <f aca="false">Sens!$O$193/Sens!$O$173</f>
        <v>0.107733353660861</v>
      </c>
    </row>
    <row r="202" customFormat="false" ht="17.15" hidden="false" customHeight="false" outlineLevel="0" collapsed="false">
      <c r="A202" s="1" t="s">
        <v>754</v>
      </c>
    </row>
    <row r="203" customFormat="false" ht="17.15" hidden="false" customHeight="false" outlineLevel="0" collapsed="false">
      <c r="A203" s="5" t="s">
        <v>755</v>
      </c>
      <c r="B203" s="0" t="s">
        <v>52</v>
      </c>
      <c r="D203" s="28" t="n">
        <f aca="false">(Q!$E$29+Q!$E$30-(1-ext_sh)*Sens!$D$125)/Sens!$D$76</f>
        <v>0.0341105596409988</v>
      </c>
    </row>
    <row r="204" customFormat="false" ht="17.15" hidden="false" customHeight="false" outlineLevel="0" collapsed="false">
      <c r="A204" s="0" t="s">
        <v>545</v>
      </c>
      <c r="B204" s="0" t="s">
        <v>86</v>
      </c>
      <c r="C204" s="38" t="n">
        <f aca="false">Q!$D$29</f>
        <v>14.285</v>
      </c>
      <c r="D204" s="38" t="n">
        <f aca="false">Q!$E$29</f>
        <v>15.503</v>
      </c>
      <c r="E204" s="38" t="n">
        <f aca="false">Q!$P$29</f>
        <v>8.78</v>
      </c>
      <c r="F204" s="38" t="n">
        <f aca="false">(Sens!$D$203*Sens!$F$76+(1-ext_sh)*Sens!$F$125)*Sens!$F$77</f>
        <v>9.30317620449232</v>
      </c>
      <c r="G204" s="38" t="n">
        <f aca="false">Sens!$E$204+Sens!$F$204</f>
        <v>18.0831762044923</v>
      </c>
      <c r="H204" s="38" t="n">
        <f aca="false">(Sens!$D$203*Sens!$H$76+(1-ext_sh)*Sens!$H$125)*Sens!$H$77</f>
        <v>22.1297245338482</v>
      </c>
      <c r="I204" s="38" t="n">
        <f aca="false">(Sens!$D$203*Sens!$I$76+(1-ext_sh)*Sens!$I$125)*Sens!$I$77</f>
        <v>28.409695984391</v>
      </c>
      <c r="J204" s="38" t="n">
        <f aca="false">(Sens!$D$203*Sens!$J$76+(1-ext_sh)*Sens!$J$125)*Sens!$J$77</f>
        <v>34.1085606174579</v>
      </c>
      <c r="K204" s="38" t="n">
        <f aca="false">(Sens!$D$203*Sens!$K$76+(1-ext_sh)*Sens!$K$125)*Sens!$K$77</f>
        <v>39.7218983009068</v>
      </c>
      <c r="L204" s="38" t="n">
        <f aca="false">(Sens!$D$203*Sens!$L$76+(1-ext_sh)*Sens!$L$125)*Sens!$L$77</f>
        <v>44.1680279486684</v>
      </c>
      <c r="M204" s="38" t="n">
        <f aca="false">(Sens!$D$203*Sens!$M$76+(1-ext_sh)*Sens!$M$125)*Sens!$M$77</f>
        <v>47.4413073313286</v>
      </c>
      <c r="N204" s="38" t="n">
        <f aca="false">Q!$N$29</f>
        <v>7.272</v>
      </c>
      <c r="O204" s="38" t="n">
        <f aca="false">Q!$O$29</f>
        <v>8.231</v>
      </c>
    </row>
    <row r="205" customFormat="false" ht="17.15" hidden="false" customHeight="false" outlineLevel="0" collapsed="false">
      <c r="A205" s="0" t="s">
        <v>547</v>
      </c>
      <c r="B205" s="0" t="s">
        <v>86</v>
      </c>
      <c r="C205" s="38" t="n">
        <f aca="false">Q!$D$30</f>
        <v>4.462</v>
      </c>
      <c r="D205" s="38" t="n">
        <f aca="false">Q!$E$30</f>
        <v>4.907</v>
      </c>
      <c r="E205" s="38" t="n">
        <f aca="false">Q!$P$30</f>
        <v>2.57</v>
      </c>
      <c r="F205" s="38" t="n">
        <f aca="false">(Sens!$D$203*Sens!$F$76+(1-ext_sh)*Sens!$F$125)*(1-Sens!$F$77)</f>
        <v>3.6526976809753</v>
      </c>
      <c r="G205" s="38" t="n">
        <f aca="false">Sens!$E$205+Sens!$F$205</f>
        <v>6.2226976809753</v>
      </c>
      <c r="H205" s="38" t="n">
        <f aca="false">(Sens!$D$203*Sens!$H$76+(1-ext_sh)*Sens!$H$125)*(1-Sens!$H$77)</f>
        <v>8.4764774248495</v>
      </c>
      <c r="I205" s="38" t="n">
        <f aca="false">(Sens!$D$203*Sens!$I$76+(1-ext_sh)*Sens!$I$125)*(1-Sens!$I$77)</f>
        <v>10.881931507561</v>
      </c>
      <c r="J205" s="38" t="n">
        <f aca="false">(Sens!$D$203*Sens!$J$76+(1-ext_sh)*Sens!$J$125)*(1-Sens!$J$77)</f>
        <v>13.0648008575874</v>
      </c>
      <c r="K205" s="38" t="n">
        <f aca="false">(Sens!$D$203*Sens!$K$76+(1-ext_sh)*Sens!$K$125)*(1-Sens!$K$77)</f>
        <v>15.2149103214008</v>
      </c>
      <c r="L205" s="38" t="n">
        <f aca="false">(Sens!$D$203*Sens!$L$76+(1-ext_sh)*Sens!$L$125)*(1-Sens!$L$77)</f>
        <v>16.9179372854085</v>
      </c>
      <c r="M205" s="38" t="n">
        <f aca="false">(Sens!$D$203*Sens!$M$76+(1-ext_sh)*Sens!$M$125)*(1-Sens!$M$77)</f>
        <v>18.1717205735785</v>
      </c>
      <c r="N205" s="38" t="n">
        <f aca="false">Q!$N$30</f>
        <v>2.316</v>
      </c>
      <c r="O205" s="38" t="n">
        <f aca="false">Q!$O$30</f>
        <v>2.591</v>
      </c>
    </row>
    <row r="206" customFormat="false" ht="17.15" hidden="false" customHeight="false" outlineLevel="0" collapsed="false">
      <c r="A206" s="0" t="s">
        <v>548</v>
      </c>
      <c r="B206" s="0" t="s">
        <v>86</v>
      </c>
      <c r="C206" s="38" t="n">
        <f aca="false">Sens!$C$137</f>
        <v>13.32</v>
      </c>
      <c r="D206" s="38" t="n">
        <f aca="false">Sens!$D$137</f>
        <v>21.45</v>
      </c>
      <c r="E206" s="38" t="n">
        <f aca="false">Sens!$E$137</f>
        <v>15.353</v>
      </c>
      <c r="F206" s="38" t="n">
        <f aca="false">Sens!$F$137</f>
        <v>16.1969869840094</v>
      </c>
      <c r="G206" s="38" t="n">
        <f aca="false">Sens!$G$137</f>
        <v>31.5499869840094</v>
      </c>
      <c r="H206" s="38" t="n">
        <f aca="false">Sens!$H$137</f>
        <v>50.9556213609176</v>
      </c>
      <c r="I206" s="38" t="n">
        <f aca="false">Sens!$I$137</f>
        <v>79.464581248252</v>
      </c>
      <c r="J206" s="38" t="n">
        <f aca="false">Sens!$J$137</f>
        <v>105.296127931746</v>
      </c>
      <c r="K206" s="38" t="n">
        <f aca="false">Sens!$K$137</f>
        <v>131.454694001511</v>
      </c>
      <c r="L206" s="38" t="n">
        <f aca="false">Sens!$L$137</f>
        <v>150.840456981405</v>
      </c>
      <c r="M206" s="38" t="n">
        <f aca="false">Sens!$M$137</f>
        <v>163.399454192999</v>
      </c>
      <c r="N206" s="38" t="n">
        <f aca="false">Sens!$N$137</f>
        <v>9.234</v>
      </c>
      <c r="O206" s="38" t="n">
        <f aca="false">Sens!$O$137</f>
        <v>12.216</v>
      </c>
    </row>
    <row r="207" customFormat="false" ht="17.15" hidden="false" customHeight="false" outlineLevel="0" collapsed="false">
      <c r="A207" s="5" t="s">
        <v>756</v>
      </c>
      <c r="B207" s="0" t="s">
        <v>86</v>
      </c>
      <c r="C207" s="38" t="n">
        <f aca="false">Sens!$C$204+Sens!$C$205+Sens!$C$206</f>
        <v>32.067</v>
      </c>
      <c r="D207" s="38" t="n">
        <f aca="false">Sens!$D$204+Sens!$D$205+Sens!$D$206</f>
        <v>41.86</v>
      </c>
      <c r="E207" s="38" t="n">
        <f aca="false">Sens!$E$204+Sens!$E$205+Sens!$E$206</f>
        <v>26.703</v>
      </c>
      <c r="F207" s="38" t="n">
        <f aca="false">Sens!$F$204+Sens!$F$205+Sens!$F$206</f>
        <v>29.152860869477</v>
      </c>
      <c r="G207" s="38" t="n">
        <f aca="false">Sens!$G$204+Sens!$G$205+Sens!$G$206</f>
        <v>55.855860869477</v>
      </c>
      <c r="H207" s="38" t="n">
        <f aca="false">Sens!$H$204+Sens!$H$205+Sens!$H$206</f>
        <v>81.5618233196153</v>
      </c>
      <c r="I207" s="38" t="n">
        <f aca="false">Sens!$I$204+Sens!$I$205+Sens!$I$206</f>
        <v>118.756208740204</v>
      </c>
      <c r="J207" s="38" t="n">
        <f aca="false">Sens!$J$204+Sens!$J$205+Sens!$J$206</f>
        <v>152.469489406791</v>
      </c>
      <c r="K207" s="38" t="n">
        <f aca="false">Sens!$K$204+Sens!$K$205+Sens!$K$206</f>
        <v>186.391502623819</v>
      </c>
      <c r="L207" s="38" t="n">
        <f aca="false">Sens!$L$204+Sens!$L$205+Sens!$L$206</f>
        <v>211.926422215482</v>
      </c>
      <c r="M207" s="38" t="n">
        <f aca="false">Sens!$M$204+Sens!$M$205+Sens!$M$206</f>
        <v>229.012482097906</v>
      </c>
      <c r="N207" s="38" t="n">
        <f aca="false">Sens!$N$204+Sens!$N$205+Sens!$N$206</f>
        <v>18.822</v>
      </c>
      <c r="O207" s="38" t="n">
        <f aca="false">Sens!$O$204+Sens!$O$205+Sens!$O$206</f>
        <v>23.038</v>
      </c>
    </row>
    <row r="208" customFormat="false" ht="17.15" hidden="false" customHeight="false" outlineLevel="0" collapsed="false">
      <c r="A208" s="0" t="s">
        <v>757</v>
      </c>
      <c r="B208" s="0" t="s">
        <v>86</v>
      </c>
      <c r="C208" s="38" t="n">
        <f aca="false">Sens!$C$179+Sens!$C$184</f>
        <v>28.107</v>
      </c>
      <c r="D208" s="38" t="n">
        <f aca="false">Sens!$D$179+Sens!$D$184</f>
        <v>34.3175</v>
      </c>
      <c r="E208" s="38" t="n">
        <f aca="false">Sens!$E$179+Sens!$E$184</f>
        <v>18.526</v>
      </c>
      <c r="F208" s="38" t="n">
        <f aca="false">Sens!$F$179+Sens!$F$184</f>
        <v>23.0786109972074</v>
      </c>
      <c r="G208" s="38" t="n">
        <f aca="false">Sens!$G$179+Sens!$G$184</f>
        <v>41.6046109972074</v>
      </c>
      <c r="H208" s="38" t="n">
        <f aca="false">Sens!$H$179+Sens!$H$184</f>
        <v>49.9484611939488</v>
      </c>
      <c r="I208" s="38" t="n">
        <f aca="false">Sens!$I$179+Sens!$I$184</f>
        <v>58.2915555477481</v>
      </c>
      <c r="J208" s="38" t="n">
        <f aca="false">Sens!$J$179+Sens!$J$184</f>
        <v>66.0744709709759</v>
      </c>
      <c r="K208" s="38" t="n">
        <f aca="false">Sens!$K$179+Sens!$K$184</f>
        <v>72.6819180680735</v>
      </c>
      <c r="L208" s="38" t="n">
        <f aca="false">Sens!$L$179+Sens!$L$184</f>
        <v>79.9501098748808</v>
      </c>
      <c r="M208" s="38" t="n">
        <f aca="false">Sens!$M$179+Sens!$M$184</f>
        <v>87.9451208623689</v>
      </c>
      <c r="N208" s="38" t="n">
        <f aca="false">Sens!$N$179+Sens!$N$184</f>
        <v>14.8075</v>
      </c>
      <c r="O208" s="38" t="n">
        <f aca="false">Sens!$O$179+Sens!$O$184</f>
        <v>19.51</v>
      </c>
    </row>
    <row r="209" customFormat="false" ht="17.15" hidden="false" customHeight="false" outlineLevel="0" collapsed="false">
      <c r="A209" s="0" t="s">
        <v>758</v>
      </c>
      <c r="B209" s="0" t="s">
        <v>86</v>
      </c>
      <c r="C209" s="38" t="n">
        <f aca="false">Sens!$C$183+Sens!$C$188+Sens!$C$204+Sens!$C$205-Sens!$C$208</f>
        <v>19.399</v>
      </c>
      <c r="D209" s="38" t="n">
        <f aca="false">Sens!$D$183+Sens!$D$188+Sens!$D$204+Sens!$D$205-Sens!$D$208</f>
        <v>20.4615</v>
      </c>
      <c r="E209" s="38" t="n">
        <f aca="false">Sens!$E$183+Sens!$E$188+Sens!$E$204+Sens!$E$205-Sens!$E$208</f>
        <v>13.355</v>
      </c>
      <c r="F209" s="38" t="n">
        <f aca="false">Sens!$F$183+Sens!$F$188+Sens!$F$204+Sens!$F$205-Sens!$F$208</f>
        <v>12.7680546411015</v>
      </c>
      <c r="G209" s="38" t="n">
        <f aca="false">Sens!$G$183+Sens!$G$188+Sens!$G$204+Sens!$G$205-Sens!$G$208</f>
        <v>26.1230546411015</v>
      </c>
      <c r="H209" s="38" t="n">
        <f aca="false">Sens!$H$183+Sens!$H$188+Sens!$H$204+Sens!$H$205-Sens!$H$208</f>
        <v>28.4662904769959</v>
      </c>
      <c r="I209" s="38" t="n">
        <f aca="false">Sens!$I$183+Sens!$I$188+Sens!$I$204+Sens!$I$205-Sens!$I$208</f>
        <v>30.7231490427408</v>
      </c>
      <c r="J209" s="38" t="n">
        <f aca="false">Sens!$J$183+Sens!$J$188+Sens!$J$204+Sens!$J$205-Sens!$J$208</f>
        <v>32.9723159380642</v>
      </c>
      <c r="K209" s="38" t="n">
        <f aca="false">Sens!$K$183+Sens!$K$188+Sens!$K$204+Sens!$K$205-Sens!$K$208</f>
        <v>35.3819359626894</v>
      </c>
      <c r="L209" s="38" t="n">
        <f aca="false">Sens!$L$183+Sens!$L$188+Sens!$L$204+Sens!$L$205-Sens!$L$208</f>
        <v>37.0165770259405</v>
      </c>
      <c r="M209" s="38" t="n">
        <f aca="false">Sens!$M$183+Sens!$M$188+Sens!$M$204+Sens!$M$205-Sens!$M$208</f>
        <v>39.4490703930704</v>
      </c>
      <c r="N209" s="38" t="n">
        <f aca="false">Sens!$N$183+Sens!$N$188+Sens!$N$204+Sens!$N$205-Sens!$N$208</f>
        <v>10.6495</v>
      </c>
      <c r="O209" s="38" t="n">
        <f aca="false">Sens!$O$183+Sens!$O$188+Sens!$O$204+Sens!$O$205-Sens!$O$208</f>
        <v>9.81200000000001</v>
      </c>
    </row>
    <row r="210" customFormat="false" ht="17.15" hidden="false" customHeight="false" outlineLevel="0" collapsed="false">
      <c r="A210" s="0" t="s">
        <v>759</v>
      </c>
      <c r="B210" s="0" t="s">
        <v>86</v>
      </c>
      <c r="C210" s="38" t="n">
        <f aca="false">Sens!$C$190+Sens!$C$206-ext_sh*Sens!$C$125</f>
        <v>51.3470500115664</v>
      </c>
      <c r="D210" s="38" t="n">
        <f aca="false">Sens!$D$190+Sens!$D$206-ext_sh*Sens!$D$125</f>
        <v>60.2799375433739</v>
      </c>
      <c r="E210" s="38" t="n">
        <f aca="false">Sens!$E$190+Sens!$E$206-ext_sh*Sens!$E$125</f>
        <v>39.5095167090767</v>
      </c>
      <c r="F210" s="38" t="n">
        <f aca="false">Sens!$F$190+Sens!$F$206-ext_sh*Sens!$F$125</f>
        <v>37.951394214027</v>
      </c>
      <c r="G210" s="38" t="n">
        <f aca="false">Sens!$G$190+Sens!$G$206-ext_sh*Sens!$G$125</f>
        <v>77.4609109231037</v>
      </c>
      <c r="H210" s="38" t="n">
        <f aca="false">Sens!$H$190+Sens!$H$206-ext_sh*Sens!$H$125</f>
        <v>85.1453558128916</v>
      </c>
      <c r="I210" s="38" t="n">
        <f aca="false">Sens!$I$190+Sens!$I$206-ext_sh*Sens!$I$125</f>
        <v>94.532921967974</v>
      </c>
      <c r="J210" s="38" t="n">
        <f aca="false">Sens!$J$190+Sens!$J$206-ext_sh*Sens!$J$125</f>
        <v>103.525527532583</v>
      </c>
      <c r="K210" s="38" t="n">
        <f aca="false">Sens!$K$190+Sens!$K$206-ext_sh*Sens!$K$125</f>
        <v>111.80756973519</v>
      </c>
      <c r="L210" s="38" t="n">
        <f aca="false">Sens!$L$190+Sens!$L$206-ext_sh*Sens!$L$125</f>
        <v>120.752175314005</v>
      </c>
      <c r="M210" s="38" t="n">
        <f aca="false">Sens!$M$190+Sens!$M$206-ext_sh*Sens!$M$125</f>
        <v>130.412349339125</v>
      </c>
      <c r="N210" s="38" t="n">
        <f aca="false">Sens!$N$190+Sens!$N$206-ext_sh*Sens!$N$125</f>
        <v>28.5693781401809</v>
      </c>
      <c r="O210" s="38" t="n">
        <f aca="false">Sens!$O$190+Sens!$O$206-ext_sh*Sens!$O$125</f>
        <v>31.7105594031931</v>
      </c>
    </row>
    <row r="211" customFormat="false" ht="17.15" hidden="false" customHeight="false" outlineLevel="0" collapsed="false">
      <c r="A211" s="0" t="s">
        <v>760</v>
      </c>
      <c r="B211" s="0" t="s">
        <v>86</v>
      </c>
      <c r="C211" s="38" t="n">
        <f aca="false">Sens!$C$128</f>
        <v>1.80694998843362</v>
      </c>
      <c r="D211" s="38" t="n">
        <f aca="false">Sens!$D$128</f>
        <v>6.77606245662607</v>
      </c>
      <c r="E211" s="38" t="n">
        <f aca="false">Sens!$E$128</f>
        <v>6.62548329092326</v>
      </c>
      <c r="F211" s="38" t="n">
        <f aca="false">Sens!$F$128</f>
        <v>11.7200577158706</v>
      </c>
      <c r="G211" s="38" t="n">
        <f aca="false">Sens!$G$128</f>
        <v>18.3455410067939</v>
      </c>
      <c r="H211" s="38" t="n">
        <f aca="false">Sens!$H$128</f>
        <v>47.5171727060453</v>
      </c>
      <c r="I211" s="38" t="n">
        <f aca="false">Sens!$I$128</f>
        <v>80.5539692643667</v>
      </c>
      <c r="J211" s="38" t="n">
        <f aca="false">Sens!$J$128</f>
        <v>113.759316834883</v>
      </c>
      <c r="K211" s="38" t="n">
        <f aca="false">Sens!$K$128</f>
        <v>142.084411492169</v>
      </c>
      <c r="L211" s="38" t="n">
        <f aca="false">Sens!$L$128</f>
        <v>160.69964615804</v>
      </c>
      <c r="M211" s="38" t="n">
        <f aca="false">Sens!$M$128</f>
        <v>169.577607141793</v>
      </c>
      <c r="N211" s="38" t="n">
        <f aca="false">Sens!$N$128</f>
        <v>2.37162185981912</v>
      </c>
      <c r="O211" s="38" t="n">
        <f aca="false">Sens!$O$128</f>
        <v>4.40444059680694</v>
      </c>
    </row>
    <row r="212" customFormat="false" ht="17.15" hidden="false" customHeight="false" outlineLevel="0" collapsed="false">
      <c r="A212" s="0" t="s">
        <v>761</v>
      </c>
      <c r="B212" s="0" t="s">
        <v>86</v>
      </c>
      <c r="C212" s="38" t="n">
        <f aca="false">Sens!$C$193+Sens!$C$207</f>
        <v>100.66</v>
      </c>
      <c r="D212" s="38" t="n">
        <f aca="false">Sens!$D$193+Sens!$D$207</f>
        <v>121.835</v>
      </c>
      <c r="E212" s="38" t="n">
        <f aca="false">Sens!$E$193+Sens!$E$207</f>
        <v>78.016</v>
      </c>
      <c r="F212" s="38" t="n">
        <f aca="false">Sens!$F$193+Sens!$F$207</f>
        <v>85.5181175682064</v>
      </c>
      <c r="G212" s="38" t="n">
        <f aca="false">Sens!$G$193+Sens!$G$207</f>
        <v>163.534117568206</v>
      </c>
      <c r="H212" s="38" t="n">
        <f aca="false">Sens!$H$193+Sens!$H$207</f>
        <v>211.077280189882</v>
      </c>
      <c r="I212" s="38" t="n">
        <f aca="false">Sens!$I$193+Sens!$I$207</f>
        <v>264.10159582283</v>
      </c>
      <c r="J212" s="38" t="n">
        <f aca="false">Sens!$J$193+Sens!$J$207</f>
        <v>316.331631276507</v>
      </c>
      <c r="K212" s="38" t="n">
        <f aca="false">Sens!$K$193+Sens!$K$207</f>
        <v>361.955835258122</v>
      </c>
      <c r="L212" s="38" t="n">
        <f aca="false">Sens!$L$193+Sens!$L$207</f>
        <v>398.418508372866</v>
      </c>
      <c r="M212" s="38" t="n">
        <f aca="false">Sens!$M$193+Sens!$M$207</f>
        <v>427.384147736358</v>
      </c>
      <c r="N212" s="38" t="n">
        <f aca="false">Sens!$N$193+Sens!$N$207</f>
        <v>56.398</v>
      </c>
      <c r="O212" s="38" t="n">
        <f aca="false">Sens!$O$193+Sens!$O$207</f>
        <v>65.437</v>
      </c>
    </row>
    <row r="213" customFormat="false" ht="17.15" hidden="false" customHeight="false" outlineLevel="0" collapsed="false">
      <c r="A213" s="1" t="s">
        <v>762</v>
      </c>
    </row>
    <row r="214" customFormat="false" ht="15" hidden="false" customHeight="false" outlineLevel="0" collapsed="false">
      <c r="A214" s="5" t="s">
        <v>551</v>
      </c>
      <c r="B214" s="0" t="s">
        <v>86</v>
      </c>
      <c r="C214" s="38" t="n">
        <f aca="false">Q!$D$34</f>
        <v>2.406</v>
      </c>
      <c r="D214" s="38" t="n">
        <f aca="false">Q!$E$34</f>
        <v>2.274</v>
      </c>
      <c r="E214" s="38" t="n">
        <f aca="false">Q!$P$34</f>
        <v>2.114</v>
      </c>
      <c r="F214" s="38" t="n">
        <f aca="false">Sens!$F$252</f>
        <v>3.24888962733561</v>
      </c>
      <c r="G214" s="38" t="n">
        <f aca="false">Sens!$E$214+Sens!$F$214</f>
        <v>5.36288962733561</v>
      </c>
      <c r="H214" s="38" t="n">
        <f aca="false">Sens!$H$252</f>
        <v>7.42354172302123</v>
      </c>
      <c r="I214" s="38" t="n">
        <f aca="false">Sens!$I$252</f>
        <v>7.84418947693382</v>
      </c>
      <c r="J214" s="38" t="n">
        <f aca="false">Sens!$J$252</f>
        <v>8.79561318891235</v>
      </c>
      <c r="K214" s="38" t="n">
        <f aca="false">Sens!$K$252</f>
        <v>8.79561318891235</v>
      </c>
      <c r="L214" s="38" t="n">
        <f aca="false">Sens!$L$252</f>
        <v>8.79561318891235</v>
      </c>
      <c r="M214" s="38" t="n">
        <f aca="false">Sens!$M$252</f>
        <v>8.79561318891235</v>
      </c>
      <c r="N214" s="38" t="n">
        <f aca="false">Q!$N$34</f>
        <v>1.057</v>
      </c>
      <c r="O214" s="38" t="n">
        <f aca="false">Q!$O$34</f>
        <v>1.217</v>
      </c>
    </row>
    <row r="215" customFormat="false" ht="15" hidden="false" customHeight="false" outlineLevel="0" collapsed="false">
      <c r="A215" s="5" t="s">
        <v>763</v>
      </c>
      <c r="B215" s="0" t="s">
        <v>86</v>
      </c>
      <c r="F215" s="38" t="n">
        <f aca="false">Sens!$F$253</f>
        <v>2.59</v>
      </c>
      <c r="H215" s="38" t="n">
        <f aca="false">Sens!$H$253</f>
        <v>4.1153774832261</v>
      </c>
      <c r="I215" s="38" t="n">
        <f aca="false">Sens!$I$253</f>
        <v>2.10589651022864</v>
      </c>
      <c r="J215" s="38" t="n">
        <f aca="false">Sens!$J$253</f>
        <v>2.10589651022864</v>
      </c>
      <c r="K215" s="38" t="n">
        <f aca="false">Sens!$K$253</f>
        <v>3.172800358404</v>
      </c>
      <c r="L215" s="38" t="n">
        <f aca="false">Sens!$L$253</f>
        <v>8.31037272592208</v>
      </c>
      <c r="M215" s="38" t="n">
        <f aca="false">Sens!$M$253</f>
        <v>15.9256588704093</v>
      </c>
    </row>
    <row r="216" customFormat="false" ht="17.15" hidden="false" customHeight="false" outlineLevel="0" collapsed="false">
      <c r="A216" s="5" t="s">
        <v>764</v>
      </c>
      <c r="B216" s="0" t="s">
        <v>86</v>
      </c>
      <c r="C216" s="38" t="n">
        <f aca="false">Q!$D$39</f>
        <v>2.427</v>
      </c>
      <c r="D216" s="38" t="n">
        <f aca="false">Q!$E$39</f>
        <v>19.61</v>
      </c>
      <c r="E216" s="38" t="n">
        <f aca="false">Q!$P$39</f>
        <v>71.492</v>
      </c>
      <c r="F216" s="39" t="n">
        <v>0</v>
      </c>
      <c r="G216" s="38" t="n">
        <f aca="false">Sens!$E$216+Sens!$F$216</f>
        <v>71.492</v>
      </c>
      <c r="H216" s="39" t="n">
        <v>0</v>
      </c>
      <c r="I216" s="39" t="n">
        <v>0</v>
      </c>
      <c r="J216" s="39" t="n">
        <v>0</v>
      </c>
      <c r="K216" s="39" t="n">
        <v>0</v>
      </c>
      <c r="L216" s="39" t="n">
        <v>0</v>
      </c>
      <c r="M216" s="39" t="n">
        <v>0</v>
      </c>
      <c r="N216" s="38" t="n">
        <f aca="false">Q!$N$39</f>
        <v>6.017</v>
      </c>
      <c r="O216" s="38" t="n">
        <f aca="false">Q!$O$39</f>
        <v>13.593</v>
      </c>
      <c r="P216" s="5" t="s">
        <v>765</v>
      </c>
    </row>
    <row r="217" customFormat="false" ht="15" hidden="false" customHeight="false" outlineLevel="0" collapsed="false">
      <c r="A217" s="5" t="s">
        <v>554</v>
      </c>
      <c r="B217" s="0" t="s">
        <v>86</v>
      </c>
      <c r="C217" s="38" t="n">
        <f aca="false">Q!$D$36</f>
        <v>68.614</v>
      </c>
      <c r="D217" s="38" t="n">
        <f aca="false">Q!$E$36</f>
        <v>97.311</v>
      </c>
      <c r="E217" s="38" t="n">
        <f aca="false">Q!$P$36</f>
        <v>120.691</v>
      </c>
      <c r="F217" s="38" t="n">
        <f aca="false">Sens!$F$193-Sens!$F$214+Sens!$F$215+Sens!$F$216</f>
        <v>55.7063670713938</v>
      </c>
      <c r="G217" s="38" t="n">
        <f aca="false">Sens!$E$217+Sens!$F$217</f>
        <v>176.397367071394</v>
      </c>
      <c r="H217" s="38" t="n">
        <f aca="false">Sens!$H$193-Sens!$H$214+Sens!$H$215+Sens!$H$216</f>
        <v>126.207292630471</v>
      </c>
      <c r="I217" s="38" t="n">
        <f aca="false">Sens!$I$193-Sens!$I$214+Sens!$I$215+Sens!$I$216</f>
        <v>139.60709411592</v>
      </c>
      <c r="J217" s="38" t="n">
        <f aca="false">Sens!$J$193-Sens!$J$214+Sens!$J$215+Sens!$J$216</f>
        <v>157.172425191032</v>
      </c>
      <c r="K217" s="38" t="n">
        <f aca="false">Sens!$K$193-Sens!$K$214+Sens!$K$215+Sens!$K$216</f>
        <v>169.941519803795</v>
      </c>
      <c r="L217" s="38" t="n">
        <f aca="false">Sens!$L$193-Sens!$L$214+Sens!$L$215+Sens!$L$216</f>
        <v>186.006845694394</v>
      </c>
      <c r="M217" s="38" t="n">
        <f aca="false">Sens!$M$193-Sens!$M$214+Sens!$M$215+Sens!$M$216</f>
        <v>205.501711319949</v>
      </c>
      <c r="N217" s="38" t="n">
        <f aca="false">Q!$N$36</f>
        <v>42.536</v>
      </c>
      <c r="O217" s="38" t="n">
        <f aca="false">Q!$O$36</f>
        <v>54.775</v>
      </c>
    </row>
    <row r="218" customFormat="false" ht="15" hidden="false" customHeight="false" outlineLevel="0" collapsed="false">
      <c r="A218" s="5" t="s">
        <v>555</v>
      </c>
      <c r="B218" s="0" t="s">
        <v>86</v>
      </c>
      <c r="C218" s="38" t="n">
        <f aca="false">Q!$D$37</f>
        <v>9.265</v>
      </c>
      <c r="D218" s="38" t="n">
        <f aca="false">Q!$E$37</f>
        <v>19.087</v>
      </c>
      <c r="E218" s="38" t="n">
        <f aca="false">Q!$P$37</f>
        <v>27.759</v>
      </c>
      <c r="F218" s="38" t="n">
        <f aca="false">Sens!$F$217*tax</f>
        <v>9.669763357865</v>
      </c>
      <c r="G218" s="38" t="n">
        <f aca="false">Sens!$E$218+Sens!$F$218</f>
        <v>37.428763357865</v>
      </c>
      <c r="H218" s="38" t="n">
        <f aca="false">Sens!$H$217*tax</f>
        <v>21.9076331473816</v>
      </c>
      <c r="I218" s="38" t="n">
        <f aca="false">Sens!$I$217*tax</f>
        <v>24.2336313450491</v>
      </c>
      <c r="J218" s="38" t="n">
        <f aca="false">Sens!$J$217*tax</f>
        <v>27.2827010246639</v>
      </c>
      <c r="K218" s="38" t="n">
        <f aca="false">Sens!$K$217*tax</f>
        <v>29.4992182683994</v>
      </c>
      <c r="L218" s="38" t="n">
        <f aca="false">Sens!$L$217*tax</f>
        <v>32.2879102581316</v>
      </c>
      <c r="M218" s="38" t="n">
        <f aca="false">Sens!$M$217*tax</f>
        <v>35.671917279284</v>
      </c>
      <c r="N218" s="38" t="n">
        <f aca="false">Q!$N$37</f>
        <v>7.231</v>
      </c>
      <c r="O218" s="38" t="n">
        <f aca="false">Q!$O$37</f>
        <v>11.856</v>
      </c>
    </row>
    <row r="219" customFormat="false" ht="15" hidden="false" customHeight="false" outlineLevel="0" collapsed="false">
      <c r="A219" s="3" t="s">
        <v>556</v>
      </c>
      <c r="B219" s="8" t="s">
        <v>86</v>
      </c>
      <c r="C219" s="38" t="n">
        <f aca="false">Q!$D$38</f>
        <v>59.248</v>
      </c>
      <c r="D219" s="38" t="n">
        <f aca="false">Q!$E$38</f>
        <v>77.67</v>
      </c>
      <c r="E219" s="38" t="n">
        <f aca="false">Q!$P$38</f>
        <v>92.902</v>
      </c>
      <c r="F219" s="38" t="n">
        <f aca="false">Sens!$F$217-Sens!$F$218</f>
        <v>46.0366037135288</v>
      </c>
      <c r="G219" s="38" t="n">
        <f aca="false">Sens!$E$219+Sens!$F$219</f>
        <v>138.938603713529</v>
      </c>
      <c r="H219" s="38" t="n">
        <f aca="false">Sens!$H$217-Sens!$H$218</f>
        <v>104.29965948309</v>
      </c>
      <c r="I219" s="38" t="n">
        <f aca="false">Sens!$I$217-Sens!$I$218</f>
        <v>115.373462770871</v>
      </c>
      <c r="J219" s="38" t="n">
        <f aca="false">Sens!$J$217-Sens!$J$218</f>
        <v>129.889724166368</v>
      </c>
      <c r="K219" s="38" t="n">
        <f aca="false">Sens!$K$217-Sens!$K$218</f>
        <v>140.442301535395</v>
      </c>
      <c r="L219" s="38" t="n">
        <f aca="false">Sens!$L$217-Sens!$L$218</f>
        <v>153.718935436262</v>
      </c>
      <c r="M219" s="38" t="n">
        <f aca="false">Sens!$M$217-Sens!$M$218</f>
        <v>169.829794040665</v>
      </c>
      <c r="N219" s="38" t="n">
        <f aca="false">Q!$N$38</f>
        <v>35.291</v>
      </c>
      <c r="O219" s="38" t="n">
        <f aca="false">Q!$O$38</f>
        <v>42.379</v>
      </c>
    </row>
    <row r="220" customFormat="false" ht="17.15" hidden="false" customHeight="false" outlineLevel="0" collapsed="false">
      <c r="A220" s="5" t="s">
        <v>559</v>
      </c>
      <c r="B220" s="5" t="s">
        <v>33</v>
      </c>
      <c r="C220" s="22" t="n">
        <f aca="false">Q!$D$41</f>
        <v>10.721</v>
      </c>
      <c r="D220" s="22" t="n">
        <f aca="false">Q!$E$41</f>
        <v>10.827</v>
      </c>
      <c r="E220" s="22" t="n">
        <f aca="false">(Q!$L$41+Q!$M$41)/2</f>
        <v>10.8885</v>
      </c>
      <c r="F220" s="22" t="n">
        <f aca="false">Sens!$G$220</f>
        <v>10.924806</v>
      </c>
      <c r="G220" s="22" t="n">
        <f aca="false">Q!$M$41*(1+sh_g*0.25)</f>
        <v>10.924806</v>
      </c>
      <c r="H220" s="22" t="n">
        <f aca="false">Sens!$G$220*(1+sh_g)</f>
        <v>11.012204448</v>
      </c>
      <c r="I220" s="22" t="n">
        <f aca="false">Sens!$H$220*(1+sh_g)</f>
        <v>11.100302083584</v>
      </c>
      <c r="J220" s="22" t="n">
        <f aca="false">Sens!$I$220*(1+sh_g)</f>
        <v>11.1891045002527</v>
      </c>
      <c r="K220" s="22" t="n">
        <f aca="false">Sens!$J$220*(1+sh_g)</f>
        <v>11.2786173362547</v>
      </c>
      <c r="L220" s="22" t="n">
        <f aca="false">Sens!$K$220*(1+sh_g)</f>
        <v>11.3688462749447</v>
      </c>
      <c r="M220" s="22" t="n">
        <f aca="false">Sens!$L$220*(1+sh_g)</f>
        <v>11.4597970451443</v>
      </c>
      <c r="P220" s="5" t="s">
        <v>766</v>
      </c>
    </row>
    <row r="221" customFormat="false" ht="17.15" hidden="false" customHeight="false" outlineLevel="0" collapsed="false">
      <c r="A221" s="5" t="s">
        <v>767</v>
      </c>
      <c r="B221" s="0" t="s">
        <v>86</v>
      </c>
      <c r="C221" s="38" t="n">
        <f aca="false">Sens!$C$219+Sens!$C$195*(1-tax)</f>
        <v>59.248</v>
      </c>
      <c r="D221" s="38" t="n">
        <f aca="false">Sens!$D$219+Sens!$D$195*(1-tax)</f>
        <v>77.67</v>
      </c>
      <c r="E221" s="38" t="n">
        <f aca="false">Sens!$E$219+Sens!$E$195*(1-tax)</f>
        <v>92.902</v>
      </c>
      <c r="F221" s="38" t="n">
        <f aca="false">Sens!$F$219+Sens!$F$195*(1-tax)</f>
        <v>49.1531986731775</v>
      </c>
      <c r="G221" s="38" t="n">
        <f aca="false">Sens!$G$219+Sens!$G$195*(1-tax)</f>
        <v>142.055198673178</v>
      </c>
      <c r="H221" s="38" t="n">
        <f aca="false">Sens!$H$219+Sens!$H$195*(1-tax)</f>
        <v>116.831055438434</v>
      </c>
      <c r="I221" s="38" t="n">
        <f aca="false">Sens!$I$219+Sens!$I$195*(1-tax)</f>
        <v>136.514727845811</v>
      </c>
      <c r="J221" s="38" t="n">
        <f aca="false">Sens!$J$219+Sens!$J$195*(1-tax)</f>
        <v>159.679161110652</v>
      </c>
      <c r="K221" s="38" t="n">
        <f aca="false">Sens!$K$219+Sens!$K$195*(1-tax)</f>
        <v>177.609607232054</v>
      </c>
      <c r="L221" s="38" t="n">
        <f aca="false">Sens!$L$219+Sens!$L$195*(1-tax)</f>
        <v>195.735012776818</v>
      </c>
      <c r="M221" s="38" t="n">
        <f aca="false">Sens!$M$219+Sens!$M$195*(1-tax)</f>
        <v>214.159316231505</v>
      </c>
      <c r="N221" s="38" t="n">
        <f aca="false">Sens!$N$219+Sens!$N$195*(1-tax)</f>
        <v>35.291</v>
      </c>
      <c r="O221" s="38" t="n">
        <f aca="false">Sens!$O$219+Sens!$O$195*(1-tax)</f>
        <v>42.379</v>
      </c>
    </row>
    <row r="222" customFormat="false" ht="17.15" hidden="false" customHeight="false" outlineLevel="0" collapsed="false">
      <c r="A222" s="43" t="s">
        <v>768</v>
      </c>
      <c r="B222" s="14" t="s">
        <v>27</v>
      </c>
      <c r="C222" s="44" t="n">
        <f aca="false">Sens!$C$221/Sens!$C$220</f>
        <v>5.52635015390355</v>
      </c>
      <c r="D222" s="44" t="n">
        <f aca="false">Sens!$D$221/Sens!$D$220</f>
        <v>7.1737323358271</v>
      </c>
      <c r="E222" s="44" t="n">
        <f aca="false">Sens!$E$221/Sens!$E$220</f>
        <v>8.53212104513937</v>
      </c>
      <c r="F222" s="14"/>
      <c r="G222" s="44" t="n">
        <f aca="false">Sens!$G$221/Sens!$G$220</f>
        <v>13.0029950804781</v>
      </c>
      <c r="H222" s="44" t="n">
        <f aca="false">Sens!$H$221/Sens!$H$220</f>
        <v>10.6092341447268</v>
      </c>
      <c r="I222" s="44" t="n">
        <f aca="false">Sens!$I$221/Sens!$I$220</f>
        <v>12.298289435537</v>
      </c>
      <c r="J222" s="44" t="n">
        <f aca="false">Sens!$J$221/Sens!$J$220</f>
        <v>14.2709509154236</v>
      </c>
      <c r="K222" s="44" t="n">
        <f aca="false">Sens!$K$221/Sens!$K$220</f>
        <v>15.7474628260624</v>
      </c>
      <c r="L222" s="44" t="n">
        <f aca="false">Sens!$L$221/Sens!$L$220</f>
        <v>17.2167877059072</v>
      </c>
      <c r="M222" s="44" t="n">
        <f aca="false">Sens!$M$221/Sens!$M$220</f>
        <v>18.6878803688978</v>
      </c>
      <c r="N222" s="14"/>
      <c r="O222" s="14"/>
    </row>
    <row r="223" customFormat="false" ht="17.15" hidden="false" customHeight="false" outlineLevel="0" collapsed="false">
      <c r="A223" s="0" t="s">
        <v>769</v>
      </c>
      <c r="B223" s="0" t="s">
        <v>27</v>
      </c>
      <c r="C223" s="30" t="n">
        <f aca="false">Sens!$C$219/Sens!$C$220</f>
        <v>5.52635015390355</v>
      </c>
      <c r="D223" s="30" t="n">
        <f aca="false">Sens!$D$219/Sens!$D$220</f>
        <v>7.1737323358271</v>
      </c>
      <c r="E223" s="30" t="n">
        <f aca="false">Sens!$E$219/Sens!$E$220</f>
        <v>8.53212104513937</v>
      </c>
      <c r="G223" s="30" t="n">
        <f aca="false">Sens!$G$219/Sens!$G$220</f>
        <v>12.7177181648378</v>
      </c>
      <c r="H223" s="30" t="n">
        <f aca="false">Sens!$H$219/Sens!$H$220</f>
        <v>9.47127888658407</v>
      </c>
      <c r="I223" s="30" t="n">
        <f aca="false">Sens!$I$219/Sens!$I$220</f>
        <v>10.3937227925981</v>
      </c>
      <c r="J223" s="30" t="n">
        <f aca="false">Sens!$J$219/Sens!$J$220</f>
        <v>11.6085897815536</v>
      </c>
      <c r="K223" s="30" t="n">
        <f aca="false">Sens!$K$219/Sens!$K$220</f>
        <v>12.4520849806606</v>
      </c>
      <c r="L223" s="30" t="n">
        <f aca="false">Sens!$L$219/Sens!$L$220</f>
        <v>13.5210672849924</v>
      </c>
      <c r="M223" s="30" t="n">
        <f aca="false">Sens!$M$219/Sens!$M$220</f>
        <v>14.8196162088773</v>
      </c>
    </row>
    <row r="224" customFormat="false" ht="17.15" hidden="false" customHeight="false" outlineLevel="0" collapsed="false">
      <c r="A224" s="0" t="s">
        <v>770</v>
      </c>
      <c r="B224" s="0" t="s">
        <v>27</v>
      </c>
      <c r="C224" s="30" t="n">
        <f aca="false">(Sens!$C$219-Sens!$C$216*(1-tax))/Sens!$C$220</f>
        <v>5.33926775917445</v>
      </c>
      <c r="D224" s="30" t="n">
        <f aca="false">(Sens!$D$219-Sens!$D$216*(1-tax))/Sens!$D$220</f>
        <v>5.67691812755503</v>
      </c>
      <c r="E224" s="30" t="n">
        <f aca="false">(Sens!$E$219-Sens!$E$216*(1-tax))/Sens!$E$220</f>
        <v>3.10602057006846</v>
      </c>
      <c r="G224" s="30" t="n">
        <f aca="false">(Sens!$G$219-Sens!$G$216*(1-tax))/Sens!$G$220</f>
        <v>7.30965004694081</v>
      </c>
      <c r="H224" s="30" t="n">
        <f aca="false">(Sens!$H$219-Sens!$H$216*(1-tax))/Sens!$H$220</f>
        <v>9.47127888658407</v>
      </c>
      <c r="I224" s="30" t="n">
        <f aca="false">(Sens!$I$219-Sens!$I$216*(1-tax))/Sens!$I$220</f>
        <v>10.3937227925981</v>
      </c>
      <c r="J224" s="30" t="n">
        <f aca="false">(Sens!$J$219-Sens!$J$216*(1-tax))/Sens!$J$220</f>
        <v>11.6085897815536</v>
      </c>
      <c r="K224" s="30" t="n">
        <f aca="false">(Sens!$K$219-Sens!$K$216*(1-tax))/Sens!$K$220</f>
        <v>12.4520849806606</v>
      </c>
      <c r="L224" s="30" t="n">
        <f aca="false">(Sens!$L$219-Sens!$L$216*(1-tax))/Sens!$L$220</f>
        <v>13.5210672849924</v>
      </c>
      <c r="M224" s="30" t="n">
        <f aca="false">(Sens!$M$219-Sens!$M$216*(1-tax))/Sens!$M$220</f>
        <v>14.8196162088773</v>
      </c>
      <c r="P224" s="5" t="s">
        <v>771</v>
      </c>
    </row>
    <row r="225" customFormat="false" ht="17.15" hidden="false" customHeight="false" outlineLevel="0" collapsed="false">
      <c r="A225" s="0" t="s">
        <v>772</v>
      </c>
      <c r="B225" s="0" t="s">
        <v>52</v>
      </c>
      <c r="H225" s="13" t="n">
        <f aca="false">Sens!$H$222/Sens!$G$222-1</f>
        <v>-0.184093043251635</v>
      </c>
      <c r="I225" s="13" t="n">
        <f aca="false">Sens!$I$222/Sens!$H$222-1</f>
        <v>0.159206147000695</v>
      </c>
      <c r="J225" s="13" t="n">
        <f aca="false">Sens!$J$222/Sens!$I$222-1</f>
        <v>0.160401289157047</v>
      </c>
      <c r="K225" s="13" t="n">
        <f aca="false">Sens!$K$222/Sens!$J$222-1</f>
        <v>0.103462755873053</v>
      </c>
      <c r="L225" s="13" t="n">
        <f aca="false">Sens!$L$222/Sens!$K$222-1</f>
        <v>0.093305499182575</v>
      </c>
      <c r="M225" s="13" t="n">
        <f aca="false">Sens!$M$222/Sens!$L$222-1</f>
        <v>0.0854452461236912</v>
      </c>
    </row>
    <row r="228" customFormat="false" ht="19.4" hidden="false" customHeight="false" outlineLevel="0" collapsed="false">
      <c r="A228" s="31" t="s">
        <v>1155</v>
      </c>
    </row>
    <row r="229" customFormat="false" ht="17.15" hidden="false" customHeight="false" outlineLevel="0" collapsed="false">
      <c r="A229" s="6" t="s">
        <v>16</v>
      </c>
      <c r="B229" s="6" t="s">
        <v>17</v>
      </c>
      <c r="C229" s="20" t="s">
        <v>504</v>
      </c>
      <c r="D229" s="20" t="s">
        <v>505</v>
      </c>
      <c r="E229" s="20" t="s">
        <v>587</v>
      </c>
      <c r="F229" s="20" t="s">
        <v>588</v>
      </c>
      <c r="G229" s="20" t="s">
        <v>589</v>
      </c>
      <c r="H229" s="20" t="s">
        <v>590</v>
      </c>
      <c r="I229" s="20" t="s">
        <v>591</v>
      </c>
      <c r="J229" s="20" t="s">
        <v>592</v>
      </c>
      <c r="K229" s="20" t="s">
        <v>593</v>
      </c>
      <c r="L229" s="20" t="s">
        <v>594</v>
      </c>
      <c r="M229" s="20" t="s">
        <v>595</v>
      </c>
      <c r="N229" s="20" t="s">
        <v>596</v>
      </c>
      <c r="O229" s="20" t="s">
        <v>597</v>
      </c>
      <c r="P229" s="6" t="s">
        <v>23</v>
      </c>
      <c r="R229" s="20" t="n">
        <v>2023</v>
      </c>
      <c r="S229" s="20" t="n">
        <v>2024</v>
      </c>
      <c r="T229" s="20" t="n">
        <v>2025</v>
      </c>
      <c r="U229" s="20" t="n">
        <v>2026</v>
      </c>
      <c r="V229" s="20" t="n">
        <v>2027</v>
      </c>
      <c r="W229" s="20" t="n">
        <v>2028</v>
      </c>
      <c r="X229" s="20" t="n">
        <v>2029</v>
      </c>
      <c r="Y229" s="20" t="n">
        <v>2030</v>
      </c>
      <c r="Z229" s="20" t="n">
        <v>2031</v>
      </c>
      <c r="AA229" s="20" t="n">
        <v>2032</v>
      </c>
    </row>
    <row r="230" customFormat="false" ht="15" hidden="false" customHeight="false" outlineLevel="0" collapsed="false">
      <c r="A230" s="5" t="s">
        <v>556</v>
      </c>
      <c r="B230" s="0" t="s">
        <v>86</v>
      </c>
      <c r="C230" s="38" t="n">
        <f aca="false">Sens!$C$219</f>
        <v>59.248</v>
      </c>
      <c r="D230" s="38" t="n">
        <f aca="false">Sens!$D$219</f>
        <v>77.67</v>
      </c>
      <c r="E230" s="38" t="n">
        <f aca="false">Sens!$E$219</f>
        <v>92.902</v>
      </c>
      <c r="F230" s="38" t="n">
        <f aca="false">Sens!$F$219</f>
        <v>46.0366037135288</v>
      </c>
      <c r="G230" s="38" t="n">
        <f aca="false">Sens!$G$219</f>
        <v>138.938603713529</v>
      </c>
      <c r="H230" s="38" t="n">
        <f aca="false">Sens!$H$219</f>
        <v>104.29965948309</v>
      </c>
      <c r="I230" s="38" t="n">
        <f aca="false">Sens!$I$219</f>
        <v>115.373462770871</v>
      </c>
      <c r="J230" s="38" t="n">
        <f aca="false">Sens!$J$219</f>
        <v>129.889724166368</v>
      </c>
      <c r="K230" s="38" t="n">
        <f aca="false">Sens!$K$219</f>
        <v>140.442301535395</v>
      </c>
      <c r="L230" s="38" t="n">
        <f aca="false">Sens!$L$219</f>
        <v>153.718935436262</v>
      </c>
      <c r="M230" s="38" t="n">
        <f aca="false">Sens!$M$219</f>
        <v>169.829794040665</v>
      </c>
    </row>
    <row r="231" customFormat="false" ht="17.15" hidden="false" customHeight="false" outlineLevel="0" collapsed="false">
      <c r="A231" s="5" t="s">
        <v>795</v>
      </c>
      <c r="B231" s="0" t="s">
        <v>86</v>
      </c>
      <c r="C231" s="38" t="n">
        <f aca="false">Sens!$C$207</f>
        <v>32.067</v>
      </c>
      <c r="D231" s="38" t="n">
        <f aca="false">Sens!$D$207</f>
        <v>41.86</v>
      </c>
      <c r="E231" s="38" t="n">
        <f aca="false">Sens!$E$207</f>
        <v>26.703</v>
      </c>
      <c r="F231" s="38" t="n">
        <f aca="false">Sens!$F$207</f>
        <v>29.152860869477</v>
      </c>
      <c r="G231" s="38" t="n">
        <f aca="false">Sens!$G$207</f>
        <v>55.855860869477</v>
      </c>
      <c r="H231" s="38" t="n">
        <f aca="false">Sens!$H$207</f>
        <v>81.5618233196153</v>
      </c>
      <c r="I231" s="38" t="n">
        <f aca="false">Sens!$I$207</f>
        <v>118.756208740204</v>
      </c>
      <c r="J231" s="38" t="n">
        <f aca="false">Sens!$J$207</f>
        <v>152.469489406791</v>
      </c>
      <c r="K231" s="38" t="n">
        <f aca="false">Sens!$K$207</f>
        <v>186.391502623819</v>
      </c>
      <c r="L231" s="38" t="n">
        <f aca="false">Sens!$L$207</f>
        <v>211.926422215482</v>
      </c>
      <c r="M231" s="38" t="n">
        <f aca="false">Sens!$M$207</f>
        <v>229.012482097906</v>
      </c>
    </row>
    <row r="232" customFormat="false" ht="15" hidden="false" customHeight="false" outlineLevel="0" collapsed="false">
      <c r="A232" s="5" t="s">
        <v>796</v>
      </c>
      <c r="B232" s="0" t="s">
        <v>86</v>
      </c>
      <c r="C232" s="38" t="n">
        <f aca="false">Q!$D$48</f>
        <v>22.011</v>
      </c>
      <c r="D232" s="38" t="n">
        <f aca="false">Q!$E$48</f>
        <v>19.467</v>
      </c>
      <c r="E232" s="38" t="n">
        <f aca="false">Q!$P$48</f>
        <v>10.07</v>
      </c>
      <c r="F232" s="38" t="n">
        <f aca="false">sbc_r*Sens!$F$149</f>
        <v>10.8507035798037</v>
      </c>
      <c r="G232" s="38" t="n">
        <f aca="false">Sens!$E$232+Sens!$F$232</f>
        <v>20.9207035798037</v>
      </c>
      <c r="H232" s="38" t="n">
        <f aca="false">sbc_r*Sens!$H$149</f>
        <v>23.46224366345</v>
      </c>
      <c r="I232" s="38" t="n">
        <f aca="false">sbc_r*Sens!$I$149</f>
        <v>26.6125957111676</v>
      </c>
      <c r="J232" s="38" t="n">
        <f aca="false">sbc_r*Sens!$J$149</f>
        <v>29.6280801413323</v>
      </c>
      <c r="K232" s="38" t="n">
        <f aca="false">sbc_r*Sens!$K$149</f>
        <v>32.2712258901105</v>
      </c>
      <c r="L232" s="38" t="n">
        <f aca="false">sbc_r*Sens!$L$149</f>
        <v>34.7390505016737</v>
      </c>
      <c r="M232" s="38" t="n">
        <f aca="false">sbc_r*Sens!$M$149</f>
        <v>37.0405146906692</v>
      </c>
    </row>
    <row r="233" customFormat="false" ht="17.15" hidden="false" customHeight="false" outlineLevel="0" collapsed="false">
      <c r="A233" s="5" t="s">
        <v>797</v>
      </c>
      <c r="B233" s="0" t="s">
        <v>86</v>
      </c>
      <c r="C233" s="38" t="n">
        <f aca="false">Q!$D$44-Sens!$C$230-Sens!$C$231-Sens!$C$232</f>
        <v>2.551</v>
      </c>
      <c r="D233" s="38" t="n">
        <f aca="false">Q!$E$44-Sens!$D$230-Sens!$D$231-Sens!$D$232</f>
        <v>0.51700000000001</v>
      </c>
      <c r="E233" s="38" t="n">
        <f aca="false">Q!$P$44-Sens!$E$230-Sens!$E$231-Sens!$E$232</f>
        <v>-58.256</v>
      </c>
      <c r="F233" s="38" t="n">
        <f aca="false">oth_r*Sens!$F$149</f>
        <v>5.22265251035878</v>
      </c>
      <c r="G233" s="38" t="n">
        <f aca="false">Sens!$E$233+Sens!$F$233</f>
        <v>-53.0333474896412</v>
      </c>
      <c r="H233" s="38" t="n">
        <f aca="false">oth_r*Sens!$H$149</f>
        <v>11.2928295263397</v>
      </c>
      <c r="I233" s="38" t="n">
        <f aca="false">oth_r*Sens!$I$149</f>
        <v>12.8091546115766</v>
      </c>
      <c r="J233" s="38" t="n">
        <f aca="false">oth_r*Sens!$J$149</f>
        <v>14.2605653162668</v>
      </c>
      <c r="K233" s="38" t="n">
        <f aca="false">oth_r*Sens!$K$149</f>
        <v>15.5327622460396</v>
      </c>
      <c r="L233" s="38" t="n">
        <f aca="false">oth_r*Sens!$L$149</f>
        <v>16.720573737517</v>
      </c>
      <c r="M233" s="38" t="n">
        <f aca="false">oth_r*Sens!$M$149</f>
        <v>17.8283127551536</v>
      </c>
      <c r="P233" s="8" t="s">
        <v>798</v>
      </c>
    </row>
    <row r="234" customFormat="false" ht="15" hidden="false" customHeight="false" outlineLevel="0" collapsed="false">
      <c r="A234" s="3" t="s">
        <v>562</v>
      </c>
      <c r="B234" s="8" t="s">
        <v>86</v>
      </c>
      <c r="C234" s="38" t="n">
        <f aca="false">Q!$D$44</f>
        <v>115.877</v>
      </c>
      <c r="D234" s="38" t="n">
        <f aca="false">Q!$E$44</f>
        <v>139.514</v>
      </c>
      <c r="E234" s="38" t="n">
        <f aca="false">Q!$P$44</f>
        <v>71.419</v>
      </c>
      <c r="F234" s="38" t="n">
        <f aca="false">Sens!$F$230+Sens!$F$231+Sens!$F$232+Sens!$F$233</f>
        <v>91.2628206731683</v>
      </c>
      <c r="G234" s="38" t="n">
        <f aca="false">Sens!$E$234+Sens!$F$234</f>
        <v>162.681820673168</v>
      </c>
      <c r="H234" s="38" t="n">
        <f aca="false">Sens!$H$230+Sens!$H$231+Sens!$H$232+Sens!$H$233</f>
        <v>220.616555992495</v>
      </c>
      <c r="I234" s="38" t="n">
        <f aca="false">Sens!$I$230+Sens!$I$231+Sens!$I$232+Sens!$I$233</f>
        <v>273.55142183382</v>
      </c>
      <c r="J234" s="38" t="n">
        <f aca="false">Sens!$J$230+Sens!$J$231+Sens!$J$232+Sens!$J$233</f>
        <v>326.247859030758</v>
      </c>
      <c r="K234" s="38" t="n">
        <f aca="false">Sens!$K$230+Sens!$K$231+Sens!$K$232+Sens!$K$233</f>
        <v>374.637792295364</v>
      </c>
      <c r="L234" s="38" t="n">
        <f aca="false">Sens!$L$230+Sens!$L$231+Sens!$L$232+Sens!$L$233</f>
        <v>417.104981890935</v>
      </c>
      <c r="M234" s="38" t="n">
        <f aca="false">Sens!$M$230+Sens!$M$231+Sens!$M$232+Sens!$M$233</f>
        <v>453.711103584394</v>
      </c>
    </row>
    <row r="235" customFormat="false" ht="17.15" hidden="false" customHeight="false" outlineLevel="0" collapsed="false">
      <c r="A235" s="5" t="s">
        <v>799</v>
      </c>
      <c r="B235" s="0" t="s">
        <v>86</v>
      </c>
      <c r="C235" s="38" t="n">
        <f aca="false">Sens!$C$113</f>
        <v>25.2781053077374</v>
      </c>
      <c r="D235" s="38" t="n">
        <f aca="false">Sens!$D$113</f>
        <v>69.5686316310026</v>
      </c>
      <c r="E235" s="38" t="n">
        <f aca="false">Sens!$E$113</f>
        <v>64.1899206485108</v>
      </c>
      <c r="F235" s="38" t="n">
        <f aca="false">Sens!$F$113</f>
        <v>88.7165504612134</v>
      </c>
      <c r="G235" s="38" t="n">
        <f aca="false">Sens!$G$113</f>
        <v>152.906471109724</v>
      </c>
      <c r="H235" s="38" t="n">
        <f aca="false">Sens!$H$113</f>
        <v>198.57136494475</v>
      </c>
      <c r="I235" s="38" t="n">
        <f aca="false">Sens!$I$113</f>
        <v>204.6464699105</v>
      </c>
      <c r="J235" s="38" t="n">
        <f aca="false">Sens!$J$113</f>
        <v>209.8832381105</v>
      </c>
      <c r="K235" s="38" t="n">
        <f aca="false">Sens!$K$113</f>
        <v>155.238385275201</v>
      </c>
      <c r="L235" s="38" t="n">
        <f aca="false">Sens!$L$113</f>
        <v>132.014141639902</v>
      </c>
      <c r="M235" s="38" t="n">
        <f aca="false">Sens!$M$113</f>
        <v>132.230981659852</v>
      </c>
    </row>
    <row r="236" customFormat="false" ht="17.15" hidden="false" customHeight="false" outlineLevel="0" collapsed="false">
      <c r="A236" s="5" t="s">
        <v>800</v>
      </c>
      <c r="B236" s="0" t="s">
        <v>86</v>
      </c>
      <c r="C236" s="38" t="n">
        <f aca="false">cx_awso*Sens!$C$147</f>
        <v>21.0469989286053</v>
      </c>
      <c r="D236" s="38" t="n">
        <f aca="false">cx_awso*Sens!$D$147</f>
        <v>24.0042459822698</v>
      </c>
      <c r="E236" s="38" t="n">
        <f aca="false">cx_awso*Sens!$E$147</f>
        <v>14.261729404886</v>
      </c>
      <c r="F236" s="38" t="n">
        <f aca="false">cx_awso*Sens!$F$147</f>
        <v>14.3538599588493</v>
      </c>
      <c r="G236" s="38" t="n">
        <f aca="false">Sens!$E$236+Sens!$F$236</f>
        <v>28.6155893637353</v>
      </c>
      <c r="H236" s="38" t="n">
        <f aca="false">cx_awso*Sens!$H$147</f>
        <v>32.2034154158406</v>
      </c>
      <c r="I236" s="38" t="n">
        <f aca="false">cx_awso*Sens!$I$147</f>
        <v>35.7539519042915</v>
      </c>
      <c r="J236" s="38" t="n">
        <f aca="false">cx_awso*Sens!$J$147</f>
        <v>39.1551076091815</v>
      </c>
      <c r="K236" s="38" t="n">
        <f aca="false">cx_awso*Sens!$K$147</f>
        <v>42.287516217916</v>
      </c>
      <c r="L236" s="38" t="n">
        <f aca="false">cx_awso*Sens!$L$147</f>
        <v>45.6705175153492</v>
      </c>
      <c r="M236" s="38" t="n">
        <f aca="false">cx_awso*Sens!$M$147</f>
        <v>49.3241589165772</v>
      </c>
    </row>
    <row r="237" customFormat="false" ht="17.15" hidden="false" customHeight="false" outlineLevel="0" collapsed="false">
      <c r="A237" s="5" t="s">
        <v>801</v>
      </c>
      <c r="B237" s="0" t="s">
        <v>86</v>
      </c>
      <c r="C237" s="38" t="n">
        <f aca="false">Q!$D$46-Sens!$C$235-Sens!$C$236</f>
        <v>31.3328957636573</v>
      </c>
      <c r="D237" s="38" t="n">
        <f aca="false">Q!$E$46-Sens!$D$235-Sens!$D$236</f>
        <v>34.7471223867276</v>
      </c>
      <c r="E237" s="38" t="n">
        <f aca="false">Q!$P$46-Sens!$E$235-Sens!$E$236</f>
        <v>17.8583499466032</v>
      </c>
      <c r="F237" s="38" t="n">
        <f aca="false">cx_rt*Sens!$F$76</f>
        <v>20.6195895799373</v>
      </c>
      <c r="G237" s="38" t="n">
        <f aca="false">Sens!$E$237+Sens!$F$237</f>
        <v>38.4779395265405</v>
      </c>
      <c r="H237" s="38" t="n">
        <f aca="false">cx_rt*Sens!$H$76</f>
        <v>42.5978994743075</v>
      </c>
      <c r="I237" s="38" t="n">
        <f aca="false">cx_rt*Sens!$I$76</f>
        <v>46.5813904136335</v>
      </c>
      <c r="J237" s="38" t="n">
        <f aca="false">cx_rt*Sens!$J$76</f>
        <v>50.2781676586844</v>
      </c>
      <c r="K237" s="38" t="n">
        <f aca="false">cx_rt*Sens!$K$76</f>
        <v>53.5312440191755</v>
      </c>
      <c r="L237" s="38" t="n">
        <f aca="false">cx_rt*Sens!$L$76</f>
        <v>57.0116717051447</v>
      </c>
      <c r="M237" s="38" t="n">
        <f aca="false">cx_rt*Sens!$M$76</f>
        <v>60.7365554669226</v>
      </c>
    </row>
    <row r="238" customFormat="false" ht="15" hidden="false" customHeight="false" outlineLevel="0" collapsed="false">
      <c r="A238" s="3" t="s">
        <v>802</v>
      </c>
      <c r="B238" s="8" t="s">
        <v>86</v>
      </c>
      <c r="C238" s="38" t="n">
        <f aca="false">Q!$D$46</f>
        <v>77.658</v>
      </c>
      <c r="D238" s="38" t="n">
        <f aca="false">Q!$E$46</f>
        <v>128.32</v>
      </c>
      <c r="E238" s="38" t="n">
        <f aca="false">Q!$P$46</f>
        <v>96.31</v>
      </c>
      <c r="F238" s="38" t="n">
        <f aca="false">Sens!$F$235+Sens!$F$236+Sens!$F$237</f>
        <v>123.69</v>
      </c>
      <c r="G238" s="38" t="n">
        <f aca="false">Sens!$E$238+Sens!$F$238</f>
        <v>220</v>
      </c>
      <c r="H238" s="38" t="n">
        <f aca="false">Sens!$H$235+Sens!$H$236+Sens!$H$237</f>
        <v>273.372679834898</v>
      </c>
      <c r="I238" s="38" t="n">
        <f aca="false">Sens!$I$235+Sens!$I$236+Sens!$I$237</f>
        <v>286.981812228425</v>
      </c>
      <c r="J238" s="38" t="n">
        <f aca="false">Sens!$J$235+Sens!$J$236+Sens!$J$237</f>
        <v>299.316513378366</v>
      </c>
      <c r="K238" s="38" t="n">
        <f aca="false">Sens!$K$235+Sens!$K$236+Sens!$K$237</f>
        <v>251.057145512292</v>
      </c>
      <c r="L238" s="38" t="n">
        <f aca="false">Sens!$L$235+Sens!$L$236+Sens!$L$237</f>
        <v>234.696330860396</v>
      </c>
      <c r="M238" s="38" t="n">
        <f aca="false">Sens!$M$235+Sens!$M$236+Sens!$M$237</f>
        <v>242.291696043352</v>
      </c>
    </row>
    <row r="239" customFormat="false" ht="17.15" hidden="false" customHeight="false" outlineLevel="0" collapsed="false">
      <c r="A239" s="5" t="s">
        <v>570</v>
      </c>
      <c r="B239" s="0" t="s">
        <v>86</v>
      </c>
      <c r="C239" s="38" t="n">
        <f aca="false">Q!$D$50</f>
        <v>2.043</v>
      </c>
      <c r="D239" s="38" t="n">
        <f aca="false">Q!$E$50</f>
        <v>1.557</v>
      </c>
      <c r="E239" s="38" t="n">
        <f aca="false">lease_pr/2</f>
        <v>0.8</v>
      </c>
      <c r="F239" s="38" t="n">
        <f aca="false">lease_pr/2</f>
        <v>0.8</v>
      </c>
      <c r="G239" s="38" t="n">
        <f aca="false">Sens!$E$239+Sens!$F$239</f>
        <v>1.6</v>
      </c>
      <c r="H239" s="38" t="n">
        <f aca="false">lease_pr</f>
        <v>1.6</v>
      </c>
      <c r="I239" s="38" t="n">
        <f aca="false">lease_pr</f>
        <v>1.6</v>
      </c>
      <c r="J239" s="38" t="n">
        <f aca="false">lease_pr</f>
        <v>1.6</v>
      </c>
      <c r="K239" s="38" t="n">
        <f aca="false">lease_pr</f>
        <v>1.6</v>
      </c>
      <c r="L239" s="38" t="n">
        <f aca="false">lease_pr</f>
        <v>1.6</v>
      </c>
      <c r="M239" s="38" t="n">
        <f aca="false">lease_pr</f>
        <v>1.6</v>
      </c>
      <c r="P239" s="8" t="s">
        <v>803</v>
      </c>
    </row>
    <row r="240" customFormat="false" ht="15" hidden="false" customHeight="false" outlineLevel="0" collapsed="false">
      <c r="A240" s="47" t="s">
        <v>804</v>
      </c>
      <c r="B240" s="14" t="s">
        <v>86</v>
      </c>
      <c r="C240" s="48" t="n">
        <f aca="false">Sens!$C$234-Sens!$C$238-Sens!$C$239</f>
        <v>36.176</v>
      </c>
      <c r="D240" s="48" t="n">
        <f aca="false">Sens!$D$234-Sens!$D$238-Sens!$D$239</f>
        <v>9.63700000000002</v>
      </c>
      <c r="E240" s="48" t="n">
        <f aca="false">Sens!$E$234-Sens!$E$238-Sens!$E$239</f>
        <v>-25.691</v>
      </c>
      <c r="F240" s="48" t="n">
        <f aca="false">Sens!$F$234-Sens!$F$238-Sens!$F$239</f>
        <v>-33.2271793268317</v>
      </c>
      <c r="G240" s="48" t="n">
        <f aca="false">Sens!$G$234-Sens!$G$238-Sens!$G$239</f>
        <v>-58.9181793268317</v>
      </c>
      <c r="H240" s="48" t="n">
        <f aca="false">Sens!$H$234-Sens!$H$238-Sens!$H$239</f>
        <v>-54.3561238424036</v>
      </c>
      <c r="I240" s="48" t="n">
        <f aca="false">Sens!$I$234-Sens!$I$238-Sens!$I$239</f>
        <v>-15.0303903946055</v>
      </c>
      <c r="J240" s="48" t="n">
        <f aca="false">Sens!$J$234-Sens!$J$238-Sens!$J$239</f>
        <v>25.3313456523922</v>
      </c>
      <c r="K240" s="48" t="n">
        <f aca="false">Sens!$K$234-Sens!$K$238-Sens!$K$239</f>
        <v>121.980646783072</v>
      </c>
      <c r="L240" s="48" t="n">
        <f aca="false">Sens!$L$234-Sens!$L$238-Sens!$L$239</f>
        <v>180.80865103054</v>
      </c>
      <c r="M240" s="48" t="n">
        <f aca="false">Sens!$M$234-Sens!$M$238-Sens!$M$239</f>
        <v>209.819407541041</v>
      </c>
      <c r="N240" s="14"/>
      <c r="O240" s="14"/>
    </row>
    <row r="241" customFormat="false" ht="17.15" hidden="false" customHeight="false" outlineLevel="0" collapsed="false">
      <c r="A241" s="5" t="s">
        <v>805</v>
      </c>
      <c r="B241" s="0" t="s">
        <v>86</v>
      </c>
      <c r="C241" s="38" t="n">
        <f aca="false">dps*Sens!$C$220</f>
        <v>0</v>
      </c>
      <c r="D241" s="38" t="n">
        <f aca="false">dps*Sens!$D$220</f>
        <v>0</v>
      </c>
      <c r="E241" s="38" t="n">
        <f aca="false">dps*Sens!$E$220</f>
        <v>0</v>
      </c>
      <c r="F241" s="38" t="n">
        <f aca="false">0</f>
        <v>0</v>
      </c>
      <c r="G241" s="38" t="n">
        <f aca="false">dps*Sens!$G$220</f>
        <v>0</v>
      </c>
      <c r="H241" s="38" t="n">
        <f aca="false">dps*Sens!$H$220</f>
        <v>0</v>
      </c>
      <c r="I241" s="38" t="n">
        <f aca="false">dps*Sens!$I$220</f>
        <v>0</v>
      </c>
      <c r="J241" s="38" t="n">
        <f aca="false">dps*Sens!$J$220</f>
        <v>0</v>
      </c>
      <c r="K241" s="38" t="n">
        <f aca="false">dps*Sens!$K$220</f>
        <v>0</v>
      </c>
      <c r="L241" s="38" t="n">
        <f aca="false">dps*Sens!$L$220</f>
        <v>0</v>
      </c>
      <c r="M241" s="38" t="n">
        <f aca="false">dps*Sens!$M$220</f>
        <v>0</v>
      </c>
      <c r="P241" s="8" t="s">
        <v>806</v>
      </c>
    </row>
    <row r="242" customFormat="false" ht="17.15" hidden="false" customHeight="false" outlineLevel="0" collapsed="false">
      <c r="A242" s="5" t="s">
        <v>807</v>
      </c>
      <c r="B242" s="0" t="s">
        <v>86</v>
      </c>
      <c r="C242" s="38" t="n">
        <f aca="false">0</f>
        <v>0</v>
      </c>
      <c r="D242" s="38" t="n">
        <f aca="false">0</f>
        <v>0</v>
      </c>
      <c r="E242" s="38" t="n">
        <f aca="false">0</f>
        <v>0</v>
      </c>
      <c r="F242" s="38" t="n">
        <f aca="false">0</f>
        <v>0</v>
      </c>
      <c r="G242" s="38" t="n">
        <f aca="false">0</f>
        <v>0</v>
      </c>
      <c r="H242" s="38" t="n">
        <f aca="false">0</f>
        <v>0</v>
      </c>
      <c r="I242" s="38" t="n">
        <f aca="false">0</f>
        <v>0</v>
      </c>
      <c r="J242" s="38" t="n">
        <f aca="false">0</f>
        <v>0</v>
      </c>
      <c r="K242" s="38" t="n">
        <f aca="false">0</f>
        <v>0</v>
      </c>
      <c r="L242" s="38" t="n">
        <f aca="false">0</f>
        <v>0</v>
      </c>
      <c r="M242" s="38" t="n">
        <f aca="false">0</f>
        <v>0</v>
      </c>
      <c r="P242" s="8" t="s">
        <v>808</v>
      </c>
    </row>
    <row r="243" customFormat="false" ht="15" hidden="false" customHeight="false" outlineLevel="0" collapsed="false">
      <c r="A243" s="3" t="s">
        <v>809</v>
      </c>
      <c r="B243" s="8" t="s">
        <v>86</v>
      </c>
      <c r="C243" s="38" t="n">
        <f aca="false">Sens!$C$240-Sens!$C$241</f>
        <v>36.176</v>
      </c>
      <c r="D243" s="38" t="n">
        <f aca="false">Sens!$D$240-Sens!$D$241</f>
        <v>9.63700000000002</v>
      </c>
      <c r="E243" s="38" t="n">
        <f aca="false">Sens!$E$240-Sens!$E$241</f>
        <v>-25.691</v>
      </c>
      <c r="F243" s="38" t="n">
        <f aca="false">Sens!$F$240-Sens!$F$241</f>
        <v>-33.2271793268317</v>
      </c>
      <c r="G243" s="38" t="n">
        <f aca="false">Sens!$G$240-Sens!$G$241</f>
        <v>-58.9181793268317</v>
      </c>
      <c r="H243" s="38" t="n">
        <f aca="false">Sens!$H$240-Sens!$H$241</f>
        <v>-54.3561238424036</v>
      </c>
      <c r="I243" s="38" t="n">
        <f aca="false">Sens!$I$240-Sens!$I$241</f>
        <v>-15.0303903946055</v>
      </c>
      <c r="J243" s="38" t="n">
        <f aca="false">Sens!$J$240-Sens!$J$241</f>
        <v>25.3313456523922</v>
      </c>
      <c r="K243" s="38" t="n">
        <f aca="false">Sens!$K$240-Sens!$K$241</f>
        <v>121.980646783072</v>
      </c>
      <c r="L243" s="38" t="n">
        <f aca="false">Sens!$L$240-Sens!$L$241</f>
        <v>180.80865103054</v>
      </c>
      <c r="M243" s="38" t="n">
        <f aca="false">Sens!$M$240-Sens!$M$241</f>
        <v>209.819407541041</v>
      </c>
    </row>
    <row r="244" customFormat="false" ht="17.15" hidden="false" customHeight="false" outlineLevel="0" collapsed="false">
      <c r="A244" s="5" t="s">
        <v>810</v>
      </c>
      <c r="B244" s="0" t="s">
        <v>86</v>
      </c>
      <c r="E244" s="38" t="n">
        <f aca="false">Q!$P$53</f>
        <v>39.767</v>
      </c>
      <c r="F244" s="38" t="n">
        <f aca="false">inv_2h26</f>
        <v>21.3</v>
      </c>
      <c r="G244" s="38" t="n">
        <f aca="false">Sens!$E$244+Sens!$F$244</f>
        <v>61.067</v>
      </c>
      <c r="H244" s="39" t="n">
        <v>0</v>
      </c>
      <c r="I244" s="39" t="n">
        <v>0</v>
      </c>
      <c r="J244" s="39" t="n">
        <v>0</v>
      </c>
      <c r="K244" s="39" t="n">
        <v>0</v>
      </c>
      <c r="L244" s="39" t="n">
        <v>0</v>
      </c>
      <c r="M244" s="39" t="n">
        <v>0</v>
      </c>
    </row>
    <row r="245" customFormat="false" ht="17.15" hidden="false" customHeight="false" outlineLevel="0" collapsed="false">
      <c r="A245" s="5" t="s">
        <v>811</v>
      </c>
      <c r="B245" s="0" t="s">
        <v>86</v>
      </c>
      <c r="F245" s="38" t="n">
        <f aca="false">iss_2h26</f>
        <v>29.249999</v>
      </c>
      <c r="G245" s="38" t="n">
        <f aca="false">Sens!$F$245</f>
        <v>29.249999</v>
      </c>
      <c r="H245" s="39" t="n">
        <v>0</v>
      </c>
      <c r="I245" s="39" t="n">
        <v>0</v>
      </c>
      <c r="J245" s="39" t="n">
        <v>0</v>
      </c>
      <c r="K245" s="39" t="n">
        <v>0</v>
      </c>
      <c r="L245" s="39" t="n">
        <v>0</v>
      </c>
      <c r="M245" s="39" t="n">
        <v>0</v>
      </c>
    </row>
    <row r="246" customFormat="false" ht="17.15" hidden="false" customHeight="false" outlineLevel="0" collapsed="false">
      <c r="A246" s="5" t="s">
        <v>812</v>
      </c>
      <c r="B246" s="0" t="s">
        <v>86</v>
      </c>
      <c r="F246" s="38" t="n">
        <f aca="false">cash_q2</f>
        <v>122.988</v>
      </c>
      <c r="G246" s="38" t="n">
        <f aca="false">cash_q2</f>
        <v>122.988</v>
      </c>
      <c r="H246" s="38" t="n">
        <f aca="false">Sens!$G$249</f>
        <v>97.7108196731683</v>
      </c>
      <c r="I246" s="38" t="n">
        <f aca="false">Sens!$H$249</f>
        <v>50</v>
      </c>
      <c r="J246" s="38" t="n">
        <f aca="false">Sens!$I$249</f>
        <v>50</v>
      </c>
      <c r="K246" s="38" t="n">
        <f aca="false">Sens!$J$249</f>
        <v>75.3313456523922</v>
      </c>
      <c r="L246" s="38" t="n">
        <f aca="false">Sens!$K$249</f>
        <v>197.311992435464</v>
      </c>
      <c r="M246" s="38" t="n">
        <f aca="false">Sens!$L$249</f>
        <v>378.120643466004</v>
      </c>
    </row>
    <row r="247" customFormat="false" ht="15" hidden="false" customHeight="false" outlineLevel="0" collapsed="false">
      <c r="A247" s="5" t="s">
        <v>813</v>
      </c>
      <c r="B247" s="0" t="s">
        <v>86</v>
      </c>
      <c r="F247" s="38" t="n">
        <f aca="false">Sens!$F$246+Sens!$F$243-Sens!$F$242-Sens!$F$244+Sens!$F$245</f>
        <v>97.7108196731683</v>
      </c>
      <c r="H247" s="38" t="n">
        <f aca="false">Sens!$H$246+Sens!$H$243-Sens!$H$242-Sens!$H$244+Sens!$H$245</f>
        <v>43.3546958307647</v>
      </c>
      <c r="I247" s="38" t="n">
        <f aca="false">Sens!$I$246+Sens!$I$243-Sens!$I$242-Sens!$I$244+Sens!$I$245</f>
        <v>34.9696096053945</v>
      </c>
      <c r="J247" s="38" t="n">
        <f aca="false">Sens!$J$246+Sens!$J$243-Sens!$J$242-Sens!$J$244+Sens!$J$245</f>
        <v>75.3313456523922</v>
      </c>
      <c r="K247" s="38" t="n">
        <f aca="false">Sens!$K$246+Sens!$K$243-Sens!$K$242-Sens!$K$244+Sens!$K$245</f>
        <v>197.311992435464</v>
      </c>
      <c r="L247" s="38" t="n">
        <f aca="false">Sens!$L$246+Sens!$L$243-Sens!$L$242-Sens!$L$244+Sens!$L$245</f>
        <v>378.120643466004</v>
      </c>
      <c r="M247" s="38" t="n">
        <f aca="false">Sens!$M$246+Sens!$M$243-Sens!$M$242-Sens!$M$244+Sens!$M$245</f>
        <v>587.940051007045</v>
      </c>
    </row>
    <row r="248" customFormat="false" ht="17.15" hidden="false" customHeight="false" outlineLevel="0" collapsed="false">
      <c r="A248" s="5" t="s">
        <v>814</v>
      </c>
      <c r="B248" s="0" t="s">
        <v>86</v>
      </c>
      <c r="F248" s="38" t="n">
        <f aca="false">MAX(0,min_cash-Sens!$F$247)</f>
        <v>0</v>
      </c>
      <c r="G248" s="38" t="n">
        <f aca="false">Sens!$F$248</f>
        <v>0</v>
      </c>
      <c r="H248" s="38" t="n">
        <f aca="false">MAX(0,min_cash-Sens!$H$247)</f>
        <v>6.64530416923528</v>
      </c>
      <c r="I248" s="38" t="n">
        <f aca="false">MAX(0,min_cash-Sens!$I$247)</f>
        <v>15.0303903946055</v>
      </c>
      <c r="J248" s="38" t="n">
        <f aca="false">MAX(0,min_cash-Sens!$J$247)</f>
        <v>0</v>
      </c>
      <c r="K248" s="38" t="n">
        <f aca="false">MAX(0,min_cash-Sens!$K$247)</f>
        <v>0</v>
      </c>
      <c r="L248" s="38" t="n">
        <f aca="false">MAX(0,min_cash-Sens!$L$247)</f>
        <v>0</v>
      </c>
      <c r="M248" s="38" t="n">
        <f aca="false">MAX(0,min_cash-Sens!$M$247)</f>
        <v>0</v>
      </c>
      <c r="P248" s="5" t="s">
        <v>815</v>
      </c>
    </row>
    <row r="249" customFormat="false" ht="15" hidden="false" customHeight="false" outlineLevel="0" collapsed="false">
      <c r="A249" s="5" t="s">
        <v>816</v>
      </c>
      <c r="B249" s="0" t="s">
        <v>86</v>
      </c>
      <c r="D249" s="38" t="n">
        <f aca="false">Q!$E$61</f>
        <v>123.029</v>
      </c>
      <c r="E249" s="38" t="n">
        <f aca="false">Q!$M$61</f>
        <v>122.988</v>
      </c>
      <c r="F249" s="38" t="n">
        <f aca="false">Sens!$F$247+Sens!$F$248</f>
        <v>97.7108196731683</v>
      </c>
      <c r="G249" s="38" t="n">
        <f aca="false">Sens!$F$249</f>
        <v>97.7108196731683</v>
      </c>
      <c r="H249" s="38" t="n">
        <f aca="false">Sens!$H$247+Sens!$H$248</f>
        <v>50</v>
      </c>
      <c r="I249" s="38" t="n">
        <f aca="false">Sens!$I$247+Sens!$I$248</f>
        <v>50</v>
      </c>
      <c r="J249" s="38" t="n">
        <f aca="false">Sens!$J$247+Sens!$J$248</f>
        <v>75.3313456523922</v>
      </c>
      <c r="K249" s="38" t="n">
        <f aca="false">Sens!$K$247+Sens!$K$248</f>
        <v>197.311992435464</v>
      </c>
      <c r="L249" s="38" t="n">
        <f aca="false">Sens!$L$247+Sens!$L$248</f>
        <v>378.120643466004</v>
      </c>
      <c r="M249" s="38" t="n">
        <f aca="false">Sens!$M$247+Sens!$M$248</f>
        <v>587.940051007045</v>
      </c>
    </row>
    <row r="250" customFormat="false" ht="15" hidden="false" customHeight="false" outlineLevel="0" collapsed="false">
      <c r="A250" s="5" t="s">
        <v>817</v>
      </c>
      <c r="B250" s="0" t="s">
        <v>86</v>
      </c>
      <c r="D250" s="38" t="n">
        <f aca="false">Q!$E$62</f>
        <v>68.836</v>
      </c>
      <c r="E250" s="38" t="n">
        <f aca="false">Q!$M$62</f>
        <v>132.995</v>
      </c>
      <c r="F250" s="38" t="n">
        <f aca="false">debt_q2+Sens!$F$245+Sens!$F$248</f>
        <v>162.244999</v>
      </c>
      <c r="G250" s="38" t="n">
        <f aca="false">Sens!$F$250</f>
        <v>162.244999</v>
      </c>
      <c r="H250" s="38" t="n">
        <f aca="false">Sens!$G$250+Sens!$H$248</f>
        <v>168.890303169235</v>
      </c>
      <c r="I250" s="38" t="n">
        <f aca="false">Sens!$H$250+Sens!$I$248</f>
        <v>183.920693563841</v>
      </c>
      <c r="J250" s="38" t="n">
        <f aca="false">Sens!$I$250+Sens!$J$248</f>
        <v>183.920693563841</v>
      </c>
      <c r="K250" s="38" t="n">
        <f aca="false">Sens!$J$250+Sens!$K$248</f>
        <v>183.920693563841</v>
      </c>
      <c r="L250" s="38" t="n">
        <f aca="false">Sens!$K$250+Sens!$L$248</f>
        <v>183.920693563841</v>
      </c>
      <c r="M250" s="38" t="n">
        <f aca="false">Sens!$L$250+Sens!$M$248</f>
        <v>183.920693563841</v>
      </c>
    </row>
    <row r="251" customFormat="false" ht="15" hidden="false" customHeight="false" outlineLevel="0" collapsed="false">
      <c r="A251" s="5" t="s">
        <v>818</v>
      </c>
      <c r="B251" s="0" t="s">
        <v>86</v>
      </c>
      <c r="D251" s="38" t="n">
        <f aca="false">Sens!$D$250-Sens!$D$249</f>
        <v>-54.193</v>
      </c>
      <c r="E251" s="38" t="n">
        <f aca="false">Sens!$E$250-Sens!$E$249</f>
        <v>10.007</v>
      </c>
      <c r="F251" s="38" t="n">
        <f aca="false">Sens!$F$250-Sens!$F$249</f>
        <v>64.5341793268317</v>
      </c>
      <c r="G251" s="38" t="n">
        <f aca="false">Sens!$G$250-Sens!$G$249</f>
        <v>64.5341793268317</v>
      </c>
      <c r="H251" s="38" t="n">
        <f aca="false">Sens!$H$250-Sens!$H$249</f>
        <v>118.890303169235</v>
      </c>
      <c r="I251" s="38" t="n">
        <f aca="false">Sens!$I$250-Sens!$I$249</f>
        <v>133.920693563841</v>
      </c>
      <c r="J251" s="38" t="n">
        <f aca="false">Sens!$J$250-Sens!$J$249</f>
        <v>108.589347911449</v>
      </c>
      <c r="K251" s="38" t="n">
        <f aca="false">Sens!$K$250-Sens!$K$249</f>
        <v>-13.3912988716235</v>
      </c>
      <c r="L251" s="38" t="n">
        <f aca="false">Sens!$L$250-Sens!$L$249</f>
        <v>-194.199949902163</v>
      </c>
      <c r="M251" s="38" t="n">
        <f aca="false">Sens!$M$250-Sens!$M$249</f>
        <v>-404.019357443204</v>
      </c>
    </row>
    <row r="252" customFormat="false" ht="17.15" hidden="false" customHeight="false" outlineLevel="0" collapsed="false">
      <c r="A252" s="5" t="s">
        <v>819</v>
      </c>
      <c r="B252" s="0" t="s">
        <v>86</v>
      </c>
      <c r="F252" s="38" t="n">
        <f aca="false">debt_q2*kd_book*0.5+iss_2h26*kd_new*iss_t</f>
        <v>3.24888962733561</v>
      </c>
      <c r="H252" s="38" t="n">
        <f aca="false">debt_q2*kd_book+(Sens!$G$250-debt_q2)*kd_new</f>
        <v>7.42354172302123</v>
      </c>
      <c r="I252" s="38" t="n">
        <f aca="false">debt_q2*kd_book+(Sens!$H$250-debt_q2)*kd_new</f>
        <v>7.84418947693382</v>
      </c>
      <c r="J252" s="38" t="n">
        <f aca="false">debt_q2*kd_book+(Sens!$I$250-debt_q2)*kd_new</f>
        <v>8.79561318891235</v>
      </c>
      <c r="K252" s="38" t="n">
        <f aca="false">debt_q2*kd_book+(Sens!$J$250-debt_q2)*kd_new</f>
        <v>8.79561318891235</v>
      </c>
      <c r="L252" s="38" t="n">
        <f aca="false">debt_q2*kd_book+(Sens!$K$250-debt_q2)*kd_new</f>
        <v>8.79561318891235</v>
      </c>
      <c r="M252" s="38" t="n">
        <f aca="false">debt_q2*kd_book+(Sens!$L$250-debt_q2)*kd_new</f>
        <v>8.79561318891235</v>
      </c>
    </row>
    <row r="253" customFormat="false" ht="17.15" hidden="false" customHeight="false" outlineLevel="0" collapsed="false">
      <c r="A253" s="5" t="s">
        <v>820</v>
      </c>
      <c r="B253" s="0" t="s">
        <v>86</v>
      </c>
      <c r="F253" s="38" t="n">
        <f aca="false">cash_q2*y_cash*0.5</f>
        <v>2.59</v>
      </c>
      <c r="H253" s="38" t="n">
        <f aca="false">Sens!$G$249*y_cash</f>
        <v>4.1153774832261</v>
      </c>
      <c r="I253" s="38" t="n">
        <f aca="false">Sens!$H$249*y_cash</f>
        <v>2.10589651022864</v>
      </c>
      <c r="J253" s="38" t="n">
        <f aca="false">Sens!$I$249*y_cash</f>
        <v>2.10589651022864</v>
      </c>
      <c r="K253" s="38" t="n">
        <f aca="false">Sens!$J$249*y_cash</f>
        <v>3.172800358404</v>
      </c>
      <c r="L253" s="38" t="n">
        <f aca="false">Sens!$K$249*y_cash</f>
        <v>8.31037272592208</v>
      </c>
      <c r="M253" s="38" t="n">
        <f aca="false">Sens!$L$249*y_cash</f>
        <v>15.9256588704093</v>
      </c>
    </row>
    <row r="254" customFormat="false" ht="17.15" hidden="false" customHeight="false" outlineLevel="0" collapsed="false">
      <c r="A254" s="47" t="s">
        <v>821</v>
      </c>
      <c r="B254" s="14" t="s">
        <v>86</v>
      </c>
      <c r="C254" s="14"/>
      <c r="D254" s="14"/>
      <c r="E254" s="14"/>
      <c r="F254" s="14"/>
      <c r="G254" s="48" t="n">
        <f aca="false">SUM(Sens!$G$243:$K$243)</f>
        <v>19.0072988716234</v>
      </c>
      <c r="H254" s="14"/>
      <c r="I254" s="14"/>
      <c r="J254" s="14"/>
      <c r="K254" s="14"/>
      <c r="L254" s="14"/>
      <c r="M254" s="14"/>
      <c r="N254" s="14"/>
      <c r="O254" s="14"/>
    </row>
    <row r="255" customFormat="false" ht="17.15" hidden="false" customHeight="false" outlineLevel="0" collapsed="false">
      <c r="A255" s="0" t="s">
        <v>787</v>
      </c>
      <c r="B255" s="0" t="s">
        <v>86</v>
      </c>
      <c r="G255" s="38" t="n">
        <f aca="false">SUM(Sens!$G$248:$K$248)</f>
        <v>21.6756945638408</v>
      </c>
    </row>
    <row r="256" customFormat="false" ht="17.15" hidden="false" customHeight="false" outlineLevel="0" collapsed="false">
      <c r="A256" s="24" t="s">
        <v>824</v>
      </c>
      <c r="B256" s="25" t="s">
        <v>86</v>
      </c>
      <c r="C256" s="25"/>
      <c r="D256" s="25"/>
      <c r="E256" s="25"/>
      <c r="F256" s="25"/>
      <c r="G256" s="41" t="n">
        <f aca="false">Sens!$G$254-(Sens!$G$243+Sens!$H$243+Sens!$I$243+Sens!$J$243+Sens!$K$243)</f>
        <v>0</v>
      </c>
      <c r="H256" s="25"/>
      <c r="I256" s="25"/>
      <c r="J256" s="25"/>
      <c r="K256" s="25"/>
      <c r="L256" s="25"/>
      <c r="M256" s="25"/>
      <c r="N256" s="25"/>
      <c r="O256" s="25"/>
    </row>
    <row r="259" customFormat="false" ht="19.4" hidden="false" customHeight="false" outlineLevel="0" collapsed="false">
      <c r="A259" s="31" t="s">
        <v>1156</v>
      </c>
    </row>
    <row r="260" customFormat="false" ht="17.15" hidden="false" customHeight="false" outlineLevel="0" collapsed="false">
      <c r="A260" s="6" t="s">
        <v>16</v>
      </c>
      <c r="B260" s="6" t="s">
        <v>17</v>
      </c>
      <c r="C260" s="20" t="s">
        <v>504</v>
      </c>
      <c r="D260" s="20" t="s">
        <v>505</v>
      </c>
      <c r="E260" s="20" t="s">
        <v>587</v>
      </c>
      <c r="F260" s="20" t="s">
        <v>588</v>
      </c>
      <c r="G260" s="20" t="s">
        <v>589</v>
      </c>
      <c r="H260" s="20" t="s">
        <v>590</v>
      </c>
      <c r="I260" s="20" t="s">
        <v>591</v>
      </c>
      <c r="J260" s="20" t="s">
        <v>592</v>
      </c>
      <c r="K260" s="20" t="s">
        <v>593</v>
      </c>
      <c r="L260" s="20" t="s">
        <v>594</v>
      </c>
      <c r="M260" s="20" t="s">
        <v>595</v>
      </c>
      <c r="N260" s="20" t="s">
        <v>596</v>
      </c>
      <c r="O260" s="20" t="s">
        <v>597</v>
      </c>
      <c r="P260" s="6" t="s">
        <v>23</v>
      </c>
      <c r="R260" s="20" t="n">
        <v>2023</v>
      </c>
      <c r="S260" s="20" t="n">
        <v>2024</v>
      </c>
      <c r="T260" s="20" t="n">
        <v>2025</v>
      </c>
      <c r="U260" s="20" t="n">
        <v>2026</v>
      </c>
      <c r="V260" s="20" t="n">
        <v>2027</v>
      </c>
      <c r="W260" s="20" t="n">
        <v>2028</v>
      </c>
      <c r="X260" s="20" t="n">
        <v>2029</v>
      </c>
      <c r="Y260" s="20" t="n">
        <v>2030</v>
      </c>
      <c r="Z260" s="20" t="n">
        <v>2031</v>
      </c>
      <c r="AA260" s="20" t="n">
        <v>2032</v>
      </c>
    </row>
    <row r="261" customFormat="false" ht="17.15" hidden="false" customHeight="false" outlineLevel="0" collapsed="false">
      <c r="A261" s="1" t="s">
        <v>926</v>
      </c>
    </row>
    <row r="262" customFormat="false" ht="17.15" hidden="false" customHeight="false" outlineLevel="0" collapsed="false">
      <c r="A262" s="0" t="s">
        <v>927</v>
      </c>
      <c r="B262" s="0" t="s">
        <v>86</v>
      </c>
      <c r="H262" s="38" t="n">
        <f aca="false">Sens!$H$196*(1-tax)</f>
        <v>119.56497355468</v>
      </c>
      <c r="I262" s="38" t="n">
        <f aca="false">Sens!$I$196*(1-tax)</f>
        <v>141.256941944278</v>
      </c>
      <c r="J262" s="38" t="n">
        <f aca="false">Sens!$J$196*(1-tax)</f>
        <v>165.207646486437</v>
      </c>
      <c r="K262" s="38" t="n">
        <f aca="false">Sens!$K$196*(1-tax)</f>
        <v>182.2563867591</v>
      </c>
      <c r="L262" s="38" t="n">
        <f aca="false">Sens!$L$196*(1-tax)</f>
        <v>196.136023003742</v>
      </c>
      <c r="M262" s="38" t="n">
        <f aca="false">Sens!$M$196*(1-tax)</f>
        <v>208.266936154417</v>
      </c>
    </row>
    <row r="263" customFormat="false" ht="15" hidden="false" customHeight="false" outlineLevel="0" collapsed="false">
      <c r="A263" s="5" t="s">
        <v>928</v>
      </c>
      <c r="B263" s="0" t="s">
        <v>86</v>
      </c>
      <c r="H263" s="38" t="n">
        <f aca="false">Sens!$H$207</f>
        <v>81.5618233196153</v>
      </c>
      <c r="I263" s="38" t="n">
        <f aca="false">Sens!$I$207</f>
        <v>118.756208740204</v>
      </c>
      <c r="J263" s="38" t="n">
        <f aca="false">Sens!$J$207</f>
        <v>152.469489406791</v>
      </c>
      <c r="K263" s="38" t="n">
        <f aca="false">Sens!$K$207</f>
        <v>186.391502623819</v>
      </c>
      <c r="L263" s="38" t="n">
        <f aca="false">Sens!$L$207</f>
        <v>211.926422215482</v>
      </c>
      <c r="M263" s="38" t="n">
        <f aca="false">Sens!$M$207</f>
        <v>229.012482097906</v>
      </c>
    </row>
    <row r="264" customFormat="false" ht="15" hidden="false" customHeight="false" outlineLevel="0" collapsed="false">
      <c r="A264" s="5" t="s">
        <v>929</v>
      </c>
      <c r="B264" s="0" t="s">
        <v>86</v>
      </c>
      <c r="H264" s="38" t="n">
        <f aca="false">Sens!$H$238</f>
        <v>273.372679834898</v>
      </c>
      <c r="I264" s="38" t="n">
        <f aca="false">Sens!$I$238</f>
        <v>286.981812228425</v>
      </c>
      <c r="J264" s="38" t="n">
        <f aca="false">Sens!$J$238</f>
        <v>299.316513378366</v>
      </c>
      <c r="K264" s="38" t="n">
        <f aca="false">Sens!$K$238</f>
        <v>251.057145512292</v>
      </c>
      <c r="L264" s="38" t="n">
        <f aca="false">Sens!$L$238</f>
        <v>234.696330860396</v>
      </c>
      <c r="M264" s="38" t="n">
        <f aca="false">Sens!$M$238</f>
        <v>242.291696043352</v>
      </c>
    </row>
    <row r="265" customFormat="false" ht="15" hidden="false" customHeight="false" outlineLevel="0" collapsed="false">
      <c r="A265" s="5" t="s">
        <v>930</v>
      </c>
      <c r="B265" s="0" t="s">
        <v>86</v>
      </c>
      <c r="H265" s="38" t="n">
        <f aca="false">Sens!$H$239</f>
        <v>1.6</v>
      </c>
      <c r="I265" s="38" t="n">
        <f aca="false">Sens!$I$239</f>
        <v>1.6</v>
      </c>
      <c r="J265" s="38" t="n">
        <f aca="false">Sens!$J$239</f>
        <v>1.6</v>
      </c>
      <c r="K265" s="38" t="n">
        <f aca="false">Sens!$K$239</f>
        <v>1.6</v>
      </c>
      <c r="L265" s="38" t="n">
        <f aca="false">Sens!$L$239</f>
        <v>1.6</v>
      </c>
      <c r="M265" s="38" t="n">
        <f aca="false">Sens!$M$239</f>
        <v>1.6</v>
      </c>
    </row>
    <row r="266" customFormat="false" ht="15" hidden="false" customHeight="false" outlineLevel="0" collapsed="false">
      <c r="A266" s="5" t="s">
        <v>931</v>
      </c>
      <c r="B266" s="0" t="s">
        <v>86</v>
      </c>
      <c r="H266" s="38" t="n">
        <f aca="false">Sens!$H$233</f>
        <v>11.2928295263397</v>
      </c>
      <c r="I266" s="38" t="n">
        <f aca="false">Sens!$I$233</f>
        <v>12.8091546115766</v>
      </c>
      <c r="J266" s="38" t="n">
        <f aca="false">Sens!$J$233</f>
        <v>14.2605653162668</v>
      </c>
      <c r="K266" s="38" t="n">
        <f aca="false">Sens!$K$233</f>
        <v>15.5327622460396</v>
      </c>
      <c r="L266" s="38" t="n">
        <f aca="false">Sens!$L$233</f>
        <v>16.720573737517</v>
      </c>
      <c r="M266" s="38" t="n">
        <f aca="false">Sens!$M$233</f>
        <v>17.8283127551536</v>
      </c>
    </row>
    <row r="267" customFormat="false" ht="17.15" hidden="false" customHeight="false" outlineLevel="0" collapsed="false">
      <c r="A267" s="1" t="s">
        <v>932</v>
      </c>
      <c r="B267" s="8" t="s">
        <v>86</v>
      </c>
      <c r="H267" s="38" t="n">
        <f aca="false">Sens!$H$262+Sens!$H$263-Sens!$H$264-Sens!$H$265+Sens!$H$266</f>
        <v>-62.5530534342631</v>
      </c>
      <c r="I267" s="38" t="n">
        <f aca="false">Sens!$I$262+Sens!$I$263-Sens!$I$264-Sens!$I$265+Sens!$I$266</f>
        <v>-15.7595069323669</v>
      </c>
      <c r="J267" s="38" t="n">
        <f aca="false">Sens!$J$262+Sens!$J$263-Sens!$J$264-Sens!$J$265+Sens!$J$266</f>
        <v>31.0211878311291</v>
      </c>
      <c r="K267" s="38" t="n">
        <f aca="false">Sens!$K$262+Sens!$K$263-Sens!$K$264-Sens!$K$265+Sens!$K$266</f>
        <v>131.523506116666</v>
      </c>
      <c r="L267" s="38" t="n">
        <f aca="false">Sens!$L$262+Sens!$L$263-Sens!$L$264-Sens!$L$265+Sens!$L$266</f>
        <v>188.486688096346</v>
      </c>
      <c r="M267" s="38" t="n">
        <f aca="false">Sens!$M$262+Sens!$M$263-Sens!$M$264-Sens!$M$265+Sens!$M$266</f>
        <v>211.216034964125</v>
      </c>
    </row>
    <row r="268" customFormat="false" ht="15" hidden="false" customHeight="false" outlineLevel="0" collapsed="false">
      <c r="A268" s="5" t="s">
        <v>933</v>
      </c>
      <c r="B268" s="0" t="s">
        <v>57</v>
      </c>
      <c r="H268" s="40" t="n">
        <f aca="false">1/(1+wacc)^(2027-2026-0.5)</f>
        <v>0.947751320380232</v>
      </c>
      <c r="I268" s="40" t="n">
        <f aca="false">1/(1+wacc)^(2028-2026-0.5)</f>
        <v>0.851301099754987</v>
      </c>
      <c r="J268" s="40" t="n">
        <f aca="false">1/(1+wacc)^(2029-2026-0.5)</f>
        <v>0.764666370660713</v>
      </c>
      <c r="K268" s="40" t="n">
        <f aca="false">1/(1+wacc)^(2030-2026-0.5)</f>
        <v>0.686848235703811</v>
      </c>
      <c r="L268" s="40" t="n">
        <f aca="false">1/(1+wacc)^(2031-2026-0.5)</f>
        <v>0.616949452715975</v>
      </c>
      <c r="M268" s="40" t="n">
        <f aca="false">1/(1+wacc)^(2032-2026-0.5)</f>
        <v>0.554164089562688</v>
      </c>
    </row>
    <row r="269" customFormat="false" ht="15" hidden="false" customHeight="false" outlineLevel="0" collapsed="false">
      <c r="A269" s="5" t="s">
        <v>934</v>
      </c>
      <c r="B269" s="0" t="s">
        <v>86</v>
      </c>
      <c r="H269" s="38" t="n">
        <f aca="false">Sens!$H$267*Sens!$H$268</f>
        <v>-59.2847389861381</v>
      </c>
      <c r="I269" s="38" t="n">
        <f aca="false">Sens!$I$267*Sens!$I$268</f>
        <v>-13.4160855831203</v>
      </c>
      <c r="J269" s="38" t="n">
        <f aca="false">Sens!$J$267*Sens!$J$268</f>
        <v>23.7208591124138</v>
      </c>
      <c r="K269" s="38" t="n">
        <f aca="false">Sens!$K$267*Sens!$K$268</f>
        <v>90.3366881298116</v>
      </c>
      <c r="L269" s="38" t="n">
        <f aca="false">Sens!$L$267*Sens!$L$268</f>
        <v>116.286759065287</v>
      </c>
      <c r="M269" s="38" t="n">
        <f aca="false">Sens!$M$267*Sens!$M$268</f>
        <v>117.048341716935</v>
      </c>
    </row>
    <row r="270" customFormat="false" ht="15" hidden="false" customHeight="false" outlineLevel="0" collapsed="false">
      <c r="A270" s="5" t="s">
        <v>935</v>
      </c>
      <c r="B270" s="0" t="s">
        <v>86</v>
      </c>
      <c r="C270" s="38" t="n">
        <f aca="false">SUM(Sens!$H$269:$M$269)</f>
        <v>274.691823455189</v>
      </c>
    </row>
    <row r="271" customFormat="false" ht="17.15" hidden="false" customHeight="false" outlineLevel="0" collapsed="false">
      <c r="A271" s="5" t="s">
        <v>936</v>
      </c>
      <c r="B271" s="0" t="s">
        <v>86</v>
      </c>
      <c r="C271" s="38" t="n">
        <f aca="false">Sens!$M$262*(1+tg)*(1-tg/ronic)/(wacc-tg)</f>
        <v>1893.37885139876</v>
      </c>
    </row>
    <row r="272" customFormat="false" ht="15" hidden="false" customHeight="false" outlineLevel="0" collapsed="false">
      <c r="A272" s="5" t="s">
        <v>937</v>
      </c>
      <c r="B272" s="0" t="s">
        <v>86</v>
      </c>
      <c r="C272" s="38" t="n">
        <f aca="false">Sens!$C$271/(1+wacc)^6</f>
        <v>994.421028636041</v>
      </c>
    </row>
    <row r="273" customFormat="false" ht="17.15" hidden="false" customHeight="false" outlineLevel="0" collapsed="false">
      <c r="A273" s="5" t="s">
        <v>938</v>
      </c>
      <c r="B273" s="0" t="s">
        <v>86</v>
      </c>
      <c r="C273" s="38" t="n">
        <f aca="false">Sens!$C$270+Sens!$C$272</f>
        <v>1269.11285209123</v>
      </c>
    </row>
    <row r="274" customFormat="false" ht="17.15" hidden="false" customHeight="false" outlineLevel="0" collapsed="false">
      <c r="A274" s="5" t="s">
        <v>939</v>
      </c>
      <c r="B274" s="0" t="s">
        <v>52</v>
      </c>
      <c r="C274" s="13" t="n">
        <f aca="false">Sens!$C$272/Sens!$C$273</f>
        <v>0.783556030495984</v>
      </c>
    </row>
    <row r="275" customFormat="false" ht="17.15" hidden="false" customHeight="false" outlineLevel="0" collapsed="false">
      <c r="A275" s="5" t="s">
        <v>940</v>
      </c>
      <c r="B275" s="0" t="s">
        <v>86</v>
      </c>
      <c r="C275" s="38" t="n">
        <f aca="false">Sens!$G$251+fin_debt</f>
        <v>89.0551793268317</v>
      </c>
    </row>
    <row r="276" customFormat="false" ht="17.15" hidden="false" customHeight="false" outlineLevel="0" collapsed="false">
      <c r="A276" s="5" t="s">
        <v>941</v>
      </c>
      <c r="B276" s="0" t="s">
        <v>86</v>
      </c>
      <c r="C276" s="38" t="n">
        <f aca="false">(ant_val*ant_sh+oai_val*oai_sh)*(1-liq_disc)</f>
        <v>178.944</v>
      </c>
    </row>
    <row r="277" customFormat="false" ht="15" hidden="false" customHeight="false" outlineLevel="0" collapsed="false">
      <c r="A277" s="5" t="s">
        <v>942</v>
      </c>
      <c r="B277" s="0" t="s">
        <v>86</v>
      </c>
      <c r="C277" s="38" t="n">
        <f aca="false">Sens!$C$273-Sens!$C$275+Sens!$C$276</f>
        <v>1359.0016727644</v>
      </c>
    </row>
    <row r="278" customFormat="false" ht="17.15" hidden="false" customHeight="false" outlineLevel="0" collapsed="false">
      <c r="A278" s="5" t="s">
        <v>943</v>
      </c>
      <c r="B278" s="0" t="s">
        <v>27</v>
      </c>
      <c r="C278" s="30" t="n">
        <f aca="false">Sens!$C$277/sh_out</f>
        <v>125.993149537868</v>
      </c>
    </row>
    <row r="279" customFormat="false" ht="17.15" hidden="false" customHeight="false" outlineLevel="0" collapsed="false">
      <c r="A279" s="1" t="s">
        <v>944</v>
      </c>
      <c r="B279" s="8" t="s">
        <v>27</v>
      </c>
      <c r="C279" s="30" t="n">
        <f aca="false">Sens!$C$278*(1+ke)^tp_yf-dps*tp_yf</f>
        <v>138.008970873001</v>
      </c>
    </row>
    <row r="280" customFormat="false" ht="17.15" hidden="false" customHeight="false" outlineLevel="0" collapsed="false">
      <c r="A280" s="3" t="s">
        <v>945</v>
      </c>
    </row>
    <row r="281" customFormat="false" ht="17.15" hidden="false" customHeight="false" outlineLevel="0" collapsed="false">
      <c r="A281" s="5" t="s">
        <v>946</v>
      </c>
      <c r="B281" s="0" t="s">
        <v>86</v>
      </c>
      <c r="C281" s="38" t="n">
        <f aca="false">(1-tp_yf)*(Sens!$H$208+sbc_ab*Sens!$H$232*Sens!$H$69/Sens!$H$149)+tp_yf*(Sens!$I$208+sbc_ab*Sens!$I$232*Sens!$I$69/Sens!$I$149)</f>
        <v>59.634664536349</v>
      </c>
    </row>
    <row r="282" customFormat="false" ht="15" hidden="false" customHeight="false" outlineLevel="0" collapsed="false">
      <c r="A282" s="5" t="s">
        <v>947</v>
      </c>
      <c r="B282" s="0" t="s">
        <v>57</v>
      </c>
      <c r="C282" s="30" t="n">
        <f aca="false">m_ads*m_x</f>
        <v>9.11</v>
      </c>
    </row>
    <row r="283" customFormat="false" ht="17.15" hidden="false" customHeight="false" outlineLevel="0" collapsed="false">
      <c r="A283" s="5" t="s">
        <v>948</v>
      </c>
      <c r="B283" s="0" t="s">
        <v>86</v>
      </c>
      <c r="C283" s="38" t="n">
        <f aca="false">Sens!$C$281*Sens!$C$282</f>
        <v>543.271793926139</v>
      </c>
    </row>
    <row r="284" customFormat="false" ht="17.15" hidden="false" customHeight="false" outlineLevel="0" collapsed="false">
      <c r="A284" s="5" t="s">
        <v>949</v>
      </c>
      <c r="B284" s="0" t="s">
        <v>86</v>
      </c>
      <c r="C284" s="38" t="n">
        <f aca="false">(1-tp_yf)*(Sens!$H$209+sbc_ab*Sens!$H$232*(Sens!$H$76-Sens!$H$69)/Sens!$H$149+IF(internal_ai_reading=2,1,0)*(1-ext_sh)*Sens!$H$106)+tp_yf*(Sens!$I$209+sbc_ab*Sens!$I$232*(Sens!$I$76-Sens!$I$69)/Sens!$I$149+IF(internal_ai_reading=2,1,0)*(1-ext_sh)*Sens!$I$106)</f>
        <v>51.6951811103438</v>
      </c>
    </row>
    <row r="285" customFormat="false" ht="17.15" hidden="false" customHeight="false" outlineLevel="0" collapsed="false">
      <c r="A285" s="5" t="s">
        <v>950</v>
      </c>
      <c r="B285" s="0" t="s">
        <v>57</v>
      </c>
      <c r="C285" s="30" t="n">
        <f aca="false">m_retail*m_x</f>
        <v>17.72</v>
      </c>
    </row>
    <row r="286" customFormat="false" ht="17.15" hidden="false" customHeight="false" outlineLevel="0" collapsed="false">
      <c r="A286" s="5" t="s">
        <v>951</v>
      </c>
      <c r="B286" s="0" t="s">
        <v>86</v>
      </c>
      <c r="C286" s="38" t="n">
        <f aca="false">Sens!$C$284*Sens!$C$285</f>
        <v>916.038609275292</v>
      </c>
    </row>
    <row r="287" customFormat="false" ht="17.15" hidden="false" customHeight="false" outlineLevel="0" collapsed="false">
      <c r="A287" s="0" t="s">
        <v>952</v>
      </c>
      <c r="B287" s="0" t="s">
        <v>86</v>
      </c>
      <c r="C287" s="38" t="n">
        <f aca="false">(1-tp_yf)*(Sens!$H$210+sbc_ab*Sens!$H$232*Sens!$H$147/Sens!$H$149)+tp_yf*(Sens!$I$210+sbc_ab*Sens!$I$232*Sens!$I$147/Sens!$I$149)</f>
        <v>97.2337130506861</v>
      </c>
    </row>
    <row r="288" customFormat="false" ht="17.15" hidden="false" customHeight="false" outlineLevel="0" collapsed="false">
      <c r="A288" s="0" t="s">
        <v>953</v>
      </c>
      <c r="B288" s="0" t="s">
        <v>57</v>
      </c>
      <c r="C288" s="30" t="n">
        <f aca="false">m_cloud*m_x</f>
        <v>13.82</v>
      </c>
    </row>
    <row r="289" customFormat="false" ht="17.15" hidden="false" customHeight="false" outlineLevel="0" collapsed="false">
      <c r="A289" s="0" t="s">
        <v>954</v>
      </c>
      <c r="B289" s="0" t="s">
        <v>86</v>
      </c>
      <c r="C289" s="38" t="n">
        <f aca="false">Sens!$C$287*Sens!$C$288</f>
        <v>1343.76991436048</v>
      </c>
    </row>
    <row r="290" customFormat="false" ht="17.15" hidden="false" customHeight="false" outlineLevel="0" collapsed="false">
      <c r="A290" s="0" t="s">
        <v>955</v>
      </c>
      <c r="B290" s="0" t="s">
        <v>86</v>
      </c>
      <c r="H290" s="38" t="n">
        <f aca="false">Sens!$H$128-tax*Sens!$H$129-ext_sh*Sens!$H$113</f>
        <v>-115.41576008619</v>
      </c>
      <c r="I290" s="38" t="n">
        <f aca="false">Sens!$I$128-tax*Sens!$I$129-ext_sh*Sens!$I$113</f>
        <v>-88.5401912683161</v>
      </c>
      <c r="J290" s="38" t="n">
        <f aca="false">Sens!$J$128-tax*Sens!$J$129-ext_sh*Sens!$J$113</f>
        <v>-61.2977422866746</v>
      </c>
      <c r="K290" s="38" t="n">
        <f aca="false">Sens!$K$128-tax*Sens!$K$129-ext_sh*Sens!$K$113</f>
        <v>9.91264760007891</v>
      </c>
      <c r="L290" s="38" t="n">
        <f aca="false">Sens!$L$128-tax*Sens!$L$129-ext_sh*Sens!$L$113</f>
        <v>46.750156871371</v>
      </c>
      <c r="M290" s="38" t="n">
        <f aca="false">Sens!$M$128-tax*Sens!$M$129-ext_sh*Sens!$M$113</f>
        <v>55.5634749071557</v>
      </c>
    </row>
    <row r="291" customFormat="false" ht="17.15" hidden="false" customHeight="false" outlineLevel="0" collapsed="false">
      <c r="A291" s="5" t="s">
        <v>956</v>
      </c>
      <c r="B291" s="0" t="s">
        <v>86</v>
      </c>
      <c r="H291" s="38" t="n">
        <f aca="false">Sens!$H$290*Sens!$H$268</f>
        <v>-109.385439014374</v>
      </c>
      <c r="I291" s="38" t="n">
        <f aca="false">Sens!$I$290*Sens!$I$268</f>
        <v>-75.3743621992344</v>
      </c>
      <c r="J291" s="38" t="n">
        <f aca="false">Sens!$J$290*Sens!$J$268</f>
        <v>-46.8723221240472</v>
      </c>
      <c r="K291" s="38" t="n">
        <f aca="false">Sens!$K$290*Sens!$K$268</f>
        <v>6.80848451526782</v>
      </c>
      <c r="L291" s="38" t="n">
        <f aca="false">Sens!$L$290*Sens!$L$268</f>
        <v>28.8424836961783</v>
      </c>
      <c r="M291" s="38" t="n">
        <f aca="false">Sens!$M$290*Sens!$M$268</f>
        <v>30.7912824848632</v>
      </c>
    </row>
    <row r="292" customFormat="false" ht="17.15" hidden="false" customHeight="false" outlineLevel="0" collapsed="false">
      <c r="A292" s="5" t="s">
        <v>957</v>
      </c>
      <c r="B292" s="0" t="s">
        <v>86</v>
      </c>
      <c r="C292" s="38" t="n">
        <f aca="false">Sens!$M$129*(1-tax)*(1+tg)*(1-tg/ronic)/(wacc-tg)</f>
        <v>356.180381489473</v>
      </c>
    </row>
    <row r="293" customFormat="false" ht="17.15" hidden="false" customHeight="false" outlineLevel="0" collapsed="false">
      <c r="A293" s="0" t="s">
        <v>958</v>
      </c>
      <c r="B293" s="0" t="s">
        <v>86</v>
      </c>
      <c r="C293" s="38" t="n">
        <f aca="false">(SUM(Sens!$I$291:$M$291)+Sens!$C$292/(1+wacc)^6)*(1+wacc)^tp_yf</f>
        <v>143.3703803388</v>
      </c>
    </row>
    <row r="294" customFormat="false" ht="17.15" hidden="false" customHeight="false" outlineLevel="0" collapsed="false">
      <c r="A294" s="5" t="s">
        <v>959</v>
      </c>
      <c r="B294" s="0" t="s">
        <v>86</v>
      </c>
      <c r="C294" s="38" t="n">
        <f aca="false">(1-tp_yf)*(Sens!$H$211)+tp_yf*(Sens!$I$211)</f>
        <v>74.6707041238437</v>
      </c>
    </row>
    <row r="295" customFormat="false" ht="17.15" hidden="false" customHeight="false" outlineLevel="0" collapsed="false">
      <c r="A295" s="5" t="s">
        <v>960</v>
      </c>
      <c r="B295" s="0" t="s">
        <v>86</v>
      </c>
      <c r="C295" s="38" t="n">
        <f aca="false">Sens!$C$294*m_ai</f>
        <v>448.024224743062</v>
      </c>
    </row>
    <row r="296" customFormat="false" ht="17.15" hidden="false" customHeight="false" outlineLevel="0" collapsed="false">
      <c r="A296" s="0" t="s">
        <v>961</v>
      </c>
      <c r="B296" s="0" t="s">
        <v>86</v>
      </c>
      <c r="C296" s="38" t="n">
        <f aca="false">IF(ai_leg=1,Sens!$C$293,Sens!$C$295)</f>
        <v>143.3703803388</v>
      </c>
    </row>
    <row r="297" customFormat="false" ht="17.15" hidden="false" customHeight="false" outlineLevel="0" collapsed="false">
      <c r="A297" s="5" t="s">
        <v>962</v>
      </c>
      <c r="B297" s="0" t="s">
        <v>86</v>
      </c>
      <c r="C297" s="38" t="n">
        <f aca="false">Sens!$C$283+Sens!$C$286+Sens!$C$289+Sens!$C$296</f>
        <v>2946.45069790071</v>
      </c>
    </row>
    <row r="298" customFormat="false" ht="17.15" hidden="false" customHeight="false" outlineLevel="0" collapsed="false">
      <c r="A298" s="5" t="s">
        <v>963</v>
      </c>
      <c r="B298" s="0" t="s">
        <v>86</v>
      </c>
      <c r="C298" s="38" t="n">
        <f aca="false">Sens!$H$251+fin_debt</f>
        <v>143.411303169235</v>
      </c>
    </row>
    <row r="299" customFormat="false" ht="15" hidden="false" customHeight="false" outlineLevel="0" collapsed="false">
      <c r="A299" s="5" t="s">
        <v>964</v>
      </c>
      <c r="B299" s="0" t="s">
        <v>86</v>
      </c>
      <c r="C299" s="38" t="n">
        <f aca="false">Sens!$C$297-Sens!$C$298+Sens!$C$276</f>
        <v>2981.98339473148</v>
      </c>
    </row>
    <row r="300" customFormat="false" ht="15" hidden="false" customHeight="false" outlineLevel="0" collapsed="false">
      <c r="A300" s="3" t="s">
        <v>965</v>
      </c>
      <c r="B300" s="8" t="s">
        <v>27</v>
      </c>
      <c r="C300" s="30" t="n">
        <f aca="false">Sens!$C$299/sh_val</f>
        <v>270.344379564487</v>
      </c>
    </row>
    <row r="301" customFormat="false" ht="17.15" hidden="false" customHeight="false" outlineLevel="0" collapsed="false">
      <c r="A301" s="47" t="s">
        <v>966</v>
      </c>
      <c r="B301" s="14" t="s">
        <v>27</v>
      </c>
      <c r="C301" s="44" t="n">
        <f aca="false">w_dcf*Sens!$C$279+(1-w_dcf)*Sens!$C$300</f>
        <v>204.176675218744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</row>
    <row r="302" customFormat="false" ht="17.15" hidden="false" customHeight="false" outlineLevel="0" collapsed="false">
      <c r="A302" s="5" t="s">
        <v>967</v>
      </c>
      <c r="B302" s="0" t="s">
        <v>27</v>
      </c>
      <c r="C302" s="30" t="n">
        <f aca="false">v022_wdcf*Sens!$C$279+(1-v022_wdcf)*Sens!$C$300</f>
        <v>210.793445653318</v>
      </c>
    </row>
    <row r="303" customFormat="false" ht="17.15" hidden="false" customHeight="false" outlineLevel="0" collapsed="false">
      <c r="A303" s="5" t="s">
        <v>968</v>
      </c>
      <c r="B303" s="0" t="s">
        <v>27</v>
      </c>
      <c r="C303" s="30" t="n">
        <f aca="false">(Sens!$C$299-Sens!$C$296+Sens!$C$295)/sh_val</f>
        <v>297.964068759578</v>
      </c>
    </row>
    <row r="306" customFormat="false" ht="19.4" hidden="false" customHeight="false" outlineLevel="0" collapsed="false">
      <c r="A306" s="31" t="s">
        <v>1157</v>
      </c>
    </row>
    <row r="307" customFormat="false" ht="17.15" hidden="false" customHeight="false" outlineLevel="0" collapsed="false">
      <c r="A307" s="6" t="s">
        <v>16</v>
      </c>
      <c r="B307" s="6" t="s">
        <v>17</v>
      </c>
      <c r="C307" s="20" t="s">
        <v>504</v>
      </c>
      <c r="D307" s="20" t="s">
        <v>505</v>
      </c>
      <c r="E307" s="20" t="s">
        <v>587</v>
      </c>
      <c r="F307" s="20" t="s">
        <v>588</v>
      </c>
      <c r="G307" s="20" t="s">
        <v>589</v>
      </c>
      <c r="H307" s="20" t="s">
        <v>590</v>
      </c>
      <c r="I307" s="20" t="s">
        <v>591</v>
      </c>
      <c r="J307" s="20" t="s">
        <v>592</v>
      </c>
      <c r="K307" s="20" t="s">
        <v>593</v>
      </c>
      <c r="L307" s="20" t="s">
        <v>594</v>
      </c>
      <c r="M307" s="20" t="s">
        <v>595</v>
      </c>
      <c r="N307" s="20" t="s">
        <v>596</v>
      </c>
      <c r="O307" s="20" t="s">
        <v>597</v>
      </c>
      <c r="P307" s="6" t="s">
        <v>23</v>
      </c>
      <c r="R307" s="20" t="n">
        <v>2023</v>
      </c>
      <c r="S307" s="20" t="n">
        <v>2024</v>
      </c>
      <c r="T307" s="20" t="n">
        <v>2025</v>
      </c>
      <c r="U307" s="20" t="n">
        <v>2026</v>
      </c>
      <c r="V307" s="20" t="n">
        <v>2027</v>
      </c>
      <c r="W307" s="20" t="n">
        <v>2028</v>
      </c>
      <c r="X307" s="20" t="n">
        <v>2029</v>
      </c>
      <c r="Y307" s="20" t="n">
        <v>2030</v>
      </c>
      <c r="Z307" s="20" t="n">
        <v>2031</v>
      </c>
      <c r="AA307" s="20" t="n">
        <v>2032</v>
      </c>
    </row>
    <row r="308" customFormat="false" ht="17.15" hidden="false" customHeight="false" outlineLevel="0" collapsed="false">
      <c r="A308" s="1" t="s">
        <v>677</v>
      </c>
    </row>
    <row r="309" customFormat="false" ht="17.15" hidden="false" customHeight="false" outlineLevel="0" collapsed="false">
      <c r="A309" s="0" t="s">
        <v>526</v>
      </c>
      <c r="B309" s="0" t="s">
        <v>86</v>
      </c>
      <c r="C309" s="38" t="n">
        <f aca="false">Q!$D$10</f>
        <v>247.029</v>
      </c>
      <c r="D309" s="38" t="n">
        <f aca="false">Q!$E$10</f>
        <v>269.287</v>
      </c>
      <c r="E309" s="38" t="n">
        <f aca="false">Q!$P$10</f>
        <v>134.686</v>
      </c>
      <c r="F309" s="38" t="n">
        <f aca="false">Sens!$O$309*(1+Sens!$F$310)*Sens!$F$321</f>
        <v>158.293876822267</v>
      </c>
      <c r="G309" s="38" t="n">
        <f aca="false">Sens!$E$309+Sens!$F$309</f>
        <v>292.979876822267</v>
      </c>
      <c r="H309" s="38" t="n">
        <f aca="false">Sens!$G$309*(1+Sens!$H$310)</f>
        <v>318.184543087396</v>
      </c>
      <c r="I309" s="38" t="n">
        <f aca="false">Sens!$H$309*(1+Sens!$I$310)</f>
        <v>341.736278761793</v>
      </c>
      <c r="J309" s="38" t="n">
        <f aca="false">Sens!$I$309*(1+Sens!$J$310)</f>
        <v>362.927192787048</v>
      </c>
      <c r="K309" s="38" t="n">
        <f aca="false">Sens!$J$309*(1+Sens!$K$310)</f>
        <v>381.0735524264</v>
      </c>
      <c r="L309" s="38" t="n">
        <f aca="false">Sens!$K$309*(1+Sens!$L$310)</f>
        <v>400.12723004772</v>
      </c>
      <c r="M309" s="38" t="n">
        <f aca="false">Sens!$L$309*(1+Sens!$M$310)</f>
        <v>420.133591550106</v>
      </c>
      <c r="N309" s="38" t="n">
        <f aca="false">Q!$N$10</f>
        <v>118.892</v>
      </c>
      <c r="O309" s="38" t="n">
        <f aca="false">Q!$O$10</f>
        <v>150.395</v>
      </c>
      <c r="P309" s="8" t="s">
        <v>678</v>
      </c>
    </row>
    <row r="310" customFormat="false" ht="17.15" hidden="false" customHeight="false" outlineLevel="0" collapsed="false">
      <c r="A310" s="0" t="s">
        <v>679</v>
      </c>
      <c r="B310" s="0" t="s">
        <v>52</v>
      </c>
      <c r="E310" s="13" t="n">
        <f aca="false">Sens!$E$309/Sens!$N$309-1</f>
        <v>0.132843252699929</v>
      </c>
      <c r="F310" s="13" t="n">
        <f aca="false">Sens!$O$309/(Q!$F$10+Q!$G$10)-1</f>
        <v>0.0980382135842941</v>
      </c>
      <c r="G310" s="13" t="n">
        <f aca="false">Sens!$G$309/Sens!$D$309-1</f>
        <v>0.0879837378791657</v>
      </c>
      <c r="H310" s="13" t="n">
        <f aca="false">Sens!$F$310+(g_os-Sens!$F$310)*1/4</f>
        <v>0.0860286601882206</v>
      </c>
      <c r="I310" s="13" t="n">
        <f aca="false">Sens!$F$310+(g_os-Sens!$F$310)*2/4</f>
        <v>0.074019106792147</v>
      </c>
      <c r="J310" s="13" t="n">
        <f aca="false">Sens!$F$310+(g_os-Sens!$F$310)*3/4</f>
        <v>0.0620095533960735</v>
      </c>
      <c r="K310" s="13" t="n">
        <f aca="false">Sens!$F$310+(g_os-Sens!$F$310)*4/4</f>
        <v>0.05</v>
      </c>
      <c r="L310" s="13" t="n">
        <f aca="false">g_os</f>
        <v>0.05</v>
      </c>
      <c r="M310" s="13" t="n">
        <f aca="false">g_os</f>
        <v>0.05</v>
      </c>
      <c r="P310" s="8" t="s">
        <v>680</v>
      </c>
    </row>
    <row r="311" customFormat="false" ht="17.15" hidden="false" customHeight="false" outlineLevel="0" collapsed="false">
      <c r="A311" s="0" t="s">
        <v>527</v>
      </c>
      <c r="B311" s="0" t="s">
        <v>86</v>
      </c>
      <c r="C311" s="38" t="n">
        <f aca="false">Q!$D$11</f>
        <v>21.215</v>
      </c>
      <c r="D311" s="38" t="n">
        <f aca="false">Q!$E$11</f>
        <v>22.561</v>
      </c>
      <c r="E311" s="38" t="n">
        <f aca="false">Q!$P$11</f>
        <v>11.579</v>
      </c>
      <c r="F311" s="38" t="n">
        <f aca="false">Sens!$O$311*(1+Sens!$F$312)*Sens!$F$321</f>
        <v>11.5938724610325</v>
      </c>
      <c r="G311" s="38" t="n">
        <f aca="false">Sens!$E$311+Sens!$F$311</f>
        <v>23.1728724610325</v>
      </c>
      <c r="H311" s="38" t="n">
        <f aca="false">Sens!$G$311*(1+Sens!$H$312)</f>
        <v>24.353392759506</v>
      </c>
      <c r="I311" s="38" t="n">
        <f aca="false">Sens!$H$311*(1+Sens!$I$312)</f>
        <v>25.4240338872015</v>
      </c>
      <c r="J311" s="38" t="n">
        <f aca="false">Sens!$I$311*(1+Sens!$J$312)</f>
        <v>26.3642491017174</v>
      </c>
      <c r="K311" s="38" t="n">
        <f aca="false">Sens!$J$311*(1+Sens!$K$312)</f>
        <v>27.155176574769</v>
      </c>
      <c r="L311" s="38" t="n">
        <f aca="false">Sens!$K$311*(1+Sens!$L$312)</f>
        <v>27.969831872012</v>
      </c>
      <c r="M311" s="38" t="n">
        <f aca="false">Sens!$L$311*(1+Sens!$M$312)</f>
        <v>28.8089268281724</v>
      </c>
      <c r="N311" s="38" t="n">
        <f aca="false">Q!$N$11</f>
        <v>11.128</v>
      </c>
      <c r="O311" s="38" t="n">
        <f aca="false">Q!$O$11</f>
        <v>11.433</v>
      </c>
      <c r="P311" s="8" t="s">
        <v>678</v>
      </c>
    </row>
    <row r="312" customFormat="false" ht="17.15" hidden="false" customHeight="false" outlineLevel="0" collapsed="false">
      <c r="A312" s="0" t="s">
        <v>681</v>
      </c>
      <c r="B312" s="0" t="s">
        <v>52</v>
      </c>
      <c r="E312" s="13" t="n">
        <f aca="false">Sens!$E$311/Sens!$N$311-1</f>
        <v>0.0405283968368082</v>
      </c>
      <c r="F312" s="13" t="n">
        <f aca="false">Sens!$O$311/(Q!$F$11+Q!$G$11)-1</f>
        <v>0.0579254187100955</v>
      </c>
      <c r="G312" s="13" t="n">
        <f aca="false">Sens!$G$311/Sens!$D$311-1</f>
        <v>0.0271208040881397</v>
      </c>
      <c r="H312" s="13" t="n">
        <f aca="false">Sens!$F$312+(g_ps-Sens!$F$312)*1/4</f>
        <v>0.0509440640325716</v>
      </c>
      <c r="I312" s="13" t="n">
        <f aca="false">Sens!$F$312+(g_ps-Sens!$F$312)*2/4</f>
        <v>0.0439627093550477</v>
      </c>
      <c r="J312" s="13" t="n">
        <f aca="false">Sens!$F$312+(g_ps-Sens!$F$312)*3/4</f>
        <v>0.0369813546775239</v>
      </c>
      <c r="K312" s="13" t="n">
        <f aca="false">Sens!$F$312+(g_ps-Sens!$F$312)*4/4</f>
        <v>0.03</v>
      </c>
      <c r="L312" s="13" t="n">
        <f aca="false">g_ps</f>
        <v>0.03</v>
      </c>
      <c r="M312" s="13" t="n">
        <f aca="false">g_ps</f>
        <v>0.03</v>
      </c>
      <c r="P312" s="8" t="s">
        <v>682</v>
      </c>
    </row>
    <row r="313" customFormat="false" ht="17.15" hidden="false" customHeight="false" outlineLevel="0" collapsed="false">
      <c r="A313" s="0" t="s">
        <v>528</v>
      </c>
      <c r="B313" s="0" t="s">
        <v>86</v>
      </c>
      <c r="C313" s="38" t="n">
        <f aca="false">Q!$D$12</f>
        <v>156.146</v>
      </c>
      <c r="D313" s="38" t="n">
        <f aca="false">Q!$E$12</f>
        <v>172.162</v>
      </c>
      <c r="E313" s="38" t="n">
        <f aca="false">Q!$P$12</f>
        <v>88.358</v>
      </c>
      <c r="F313" s="38" t="n">
        <f aca="false">Sens!$O$313*(1+Sens!$F$314)*Sens!$F$321</f>
        <v>102.004388260171</v>
      </c>
      <c r="G313" s="38" t="n">
        <f aca="false">Sens!$E$313+Sens!$F$313</f>
        <v>190.362388260171</v>
      </c>
      <c r="H313" s="38" t="n">
        <f aca="false">Sens!$G$313*(1+Sens!$H$314)</f>
        <v>210.343106588311</v>
      </c>
      <c r="I313" s="38" t="n">
        <f aca="false">Sens!$H$313*(1+Sens!$I$314)</f>
        <v>229.969728494648</v>
      </c>
      <c r="J313" s="38" t="n">
        <f aca="false">Sens!$I$313*(1+Sens!$J$314)</f>
        <v>248.747636972598</v>
      </c>
      <c r="K313" s="38" t="n">
        <f aca="false">Sens!$J$313*(1+Sens!$K$314)</f>
        <v>266.15997156068</v>
      </c>
      <c r="L313" s="38" t="n">
        <f aca="false">Sens!$K$313*(1+Sens!$L$314)</f>
        <v>284.791169569927</v>
      </c>
      <c r="M313" s="38" t="n">
        <f aca="false">Sens!$L$313*(1+Sens!$M$314)</f>
        <v>304.726551439822</v>
      </c>
      <c r="N313" s="38" t="n">
        <f aca="false">Q!$N$12</f>
        <v>76.86</v>
      </c>
      <c r="O313" s="38" t="n">
        <f aca="false">Q!$O$12</f>
        <v>95.302</v>
      </c>
      <c r="P313" s="8" t="s">
        <v>678</v>
      </c>
    </row>
    <row r="314" customFormat="false" ht="17.15" hidden="false" customHeight="false" outlineLevel="0" collapsed="false">
      <c r="A314" s="0" t="s">
        <v>683</v>
      </c>
      <c r="B314" s="0" t="s">
        <v>52</v>
      </c>
      <c r="E314" s="13" t="n">
        <f aca="false">Sens!$E$313/Sens!$N$313-1</f>
        <v>0.1495966692688</v>
      </c>
      <c r="F314" s="13" t="n">
        <f aca="false">Sens!$O$313/(Q!$F$12+Q!$G$12)-1</f>
        <v>0.11661530890813</v>
      </c>
      <c r="G314" s="13" t="n">
        <f aca="false">Sens!$G$313/Sens!$D$313-1</f>
        <v>0.105716640490767</v>
      </c>
      <c r="H314" s="13" t="n">
        <f aca="false">Sens!$F$314+(g_sp-Sens!$F$314)*1/4</f>
        <v>0.104961481681098</v>
      </c>
      <c r="I314" s="13" t="n">
        <f aca="false">Sens!$F$314+(g_sp-Sens!$F$314)*2/4</f>
        <v>0.0933076544540651</v>
      </c>
      <c r="J314" s="13" t="n">
        <f aca="false">Sens!$F$314+(g_sp-Sens!$F$314)*3/4</f>
        <v>0.0816538272270325</v>
      </c>
      <c r="K314" s="13" t="n">
        <f aca="false">Sens!$F$314+(g_sp-Sens!$F$314)*4/4</f>
        <v>0.07</v>
      </c>
      <c r="L314" s="13" t="n">
        <f aca="false">g_sp</f>
        <v>0.07</v>
      </c>
      <c r="M314" s="13" t="n">
        <f aca="false">g_sp</f>
        <v>0.07</v>
      </c>
      <c r="P314" s="8" t="s">
        <v>684</v>
      </c>
    </row>
    <row r="315" customFormat="false" ht="17.15" hidden="false" customHeight="false" outlineLevel="0" collapsed="false">
      <c r="A315" s="0" t="s">
        <v>529</v>
      </c>
      <c r="B315" s="0" t="s">
        <v>86</v>
      </c>
      <c r="C315" s="38" t="n">
        <f aca="false">Q!$D$13</f>
        <v>56.214</v>
      </c>
      <c r="D315" s="38" t="n">
        <f aca="false">Q!$E$13</f>
        <v>68.635</v>
      </c>
      <c r="E315" s="38" t="n">
        <f aca="false">Q!$P$13</f>
        <v>37.052</v>
      </c>
      <c r="F315" s="38" t="n">
        <f aca="false">Sens!$O$315*(1+Sens!$F$316)*Sens!$F$321</f>
        <v>46.1572219944148</v>
      </c>
      <c r="G315" s="38" t="n">
        <f aca="false">Sens!$E$315+Sens!$F$315</f>
        <v>83.2092219944148</v>
      </c>
      <c r="H315" s="38" t="n">
        <f aca="false">Sens!$G$315*(1+Sens!$H$316)</f>
        <v>99.8969223878976</v>
      </c>
      <c r="I315" s="38" t="n">
        <f aca="false">Sens!$H$315*(1+Sens!$I$316)</f>
        <v>116.583111095496</v>
      </c>
      <c r="J315" s="38" t="n">
        <f aca="false">Sens!$I$315*(1+Sens!$J$316)</f>
        <v>132.148941941952</v>
      </c>
      <c r="K315" s="38" t="n">
        <f aca="false">Sens!$J$315*(1+Sens!$K$316)</f>
        <v>145.363836136147</v>
      </c>
      <c r="L315" s="38" t="n">
        <f aca="false">Sens!$K$315*(1+Sens!$L$316)</f>
        <v>159.900219749762</v>
      </c>
      <c r="M315" s="38" t="n">
        <f aca="false">Sens!$L$315*(1+Sens!$M$316)</f>
        <v>175.890241724738</v>
      </c>
      <c r="N315" s="38" t="n">
        <f aca="false">Q!$N$13</f>
        <v>29.615</v>
      </c>
      <c r="O315" s="38" t="n">
        <f aca="false">Q!$O$13</f>
        <v>39.02</v>
      </c>
      <c r="P315" s="8" t="s">
        <v>678</v>
      </c>
    </row>
    <row r="316" customFormat="false" ht="17.15" hidden="false" customHeight="false" outlineLevel="0" collapsed="false">
      <c r="A316" s="0" t="s">
        <v>685</v>
      </c>
      <c r="B316" s="0" t="s">
        <v>52</v>
      </c>
      <c r="E316" s="13" t="n">
        <f aca="false">Sens!$E$315/Sens!$N$315-1</f>
        <v>0.25112274185379</v>
      </c>
      <c r="F316" s="13" t="n">
        <f aca="false">Sens!$O$315/(Q!$F$13+Q!$G$13)-1</f>
        <v>0.234068123596572</v>
      </c>
      <c r="G316" s="13" t="n">
        <f aca="false">Sens!$G$315/Sens!$D$315-1</f>
        <v>0.212343876949294</v>
      </c>
      <c r="H316" s="13" t="n">
        <f aca="false">Sens!$F$316+(g_ad-Sens!$F$316)*1/4</f>
        <v>0.200551092697429</v>
      </c>
      <c r="I316" s="13" t="n">
        <f aca="false">Sens!$F$316+(g_ad-Sens!$F$316)*2/4</f>
        <v>0.167034061798286</v>
      </c>
      <c r="J316" s="13" t="n">
        <f aca="false">Sens!$F$316+(g_ad-Sens!$F$316)*3/4</f>
        <v>0.133517030899143</v>
      </c>
      <c r="K316" s="13" t="n">
        <f aca="false">Sens!$F$316+(g_ad-Sens!$F$316)*4/4</f>
        <v>0.1</v>
      </c>
      <c r="L316" s="13" t="n">
        <f aca="false">g_ad</f>
        <v>0.1</v>
      </c>
      <c r="M316" s="13" t="n">
        <f aca="false">g_ad</f>
        <v>0.1</v>
      </c>
      <c r="P316" s="8" t="s">
        <v>686</v>
      </c>
    </row>
    <row r="317" customFormat="false" ht="17.15" hidden="false" customHeight="false" outlineLevel="0" collapsed="false">
      <c r="A317" s="0" t="s">
        <v>530</v>
      </c>
      <c r="B317" s="0" t="s">
        <v>86</v>
      </c>
      <c r="C317" s="38" t="n">
        <f aca="false">Q!$D$14</f>
        <v>44.374</v>
      </c>
      <c r="D317" s="38" t="n">
        <f aca="false">Q!$E$14</f>
        <v>49.619</v>
      </c>
      <c r="E317" s="38" t="n">
        <f aca="false">Q!$P$14</f>
        <v>27.157</v>
      </c>
      <c r="F317" s="38" t="n">
        <f aca="false">Sens!$O$317*(1+Sens!$F$318)*Sens!$F$321</f>
        <v>27.7764165988154</v>
      </c>
      <c r="G317" s="38" t="n">
        <f aca="false">Sens!$E$317+Sens!$F$317</f>
        <v>54.9334165988154</v>
      </c>
      <c r="H317" s="38" t="n">
        <f aca="false">Sens!$G$317*(1+Sens!$H$318)</f>
        <v>61.1564112561829</v>
      </c>
      <c r="I317" s="38" t="n">
        <f aca="false">Sens!$H$317*(1+Sens!$I$318)</f>
        <v>67.2020282103945</v>
      </c>
      <c r="J317" s="38" t="n">
        <f aca="false">Sens!$I$317*(1+Sens!$J$318)</f>
        <v>72.8757274028885</v>
      </c>
      <c r="K317" s="38" t="n">
        <f aca="false">Sens!$J$317*(1+Sens!$K$318)</f>
        <v>77.9770283210907</v>
      </c>
      <c r="L317" s="38" t="n">
        <f aca="false">Sens!$K$317*(1+Sens!$L$318)</f>
        <v>83.4354203035671</v>
      </c>
      <c r="M317" s="38" t="n">
        <f aca="false">Sens!$L$317*(1+Sens!$M$318)</f>
        <v>89.2758997248168</v>
      </c>
      <c r="N317" s="38" t="n">
        <f aca="false">Q!$N$14</f>
        <v>23.923</v>
      </c>
      <c r="O317" s="38" t="n">
        <f aca="false">Q!$O$14</f>
        <v>25.696</v>
      </c>
      <c r="P317" s="8" t="s">
        <v>678</v>
      </c>
    </row>
    <row r="318" customFormat="false" ht="17.15" hidden="false" customHeight="false" outlineLevel="0" collapsed="false">
      <c r="A318" s="0" t="s">
        <v>687</v>
      </c>
      <c r="B318" s="0" t="s">
        <v>52</v>
      </c>
      <c r="E318" s="13" t="n">
        <f aca="false">Sens!$E$317/Sens!$N$317-1</f>
        <v>0.135183714417088</v>
      </c>
      <c r="F318" s="13" t="n">
        <f aca="false">Sens!$O$317/(Q!$F$14+Q!$G$14)-1</f>
        <v>0.127709997366804</v>
      </c>
      <c r="G318" s="13" t="n">
        <f aca="false">Sens!$G$317/Sens!$D$317-1</f>
        <v>0.107104468022641</v>
      </c>
      <c r="H318" s="13" t="n">
        <f aca="false">Sens!$F$318+(g_sub-Sens!$F$318)*1/4</f>
        <v>0.113282498025103</v>
      </c>
      <c r="I318" s="13" t="n">
        <f aca="false">Sens!$F$318+(g_sub-Sens!$F$318)*2/4</f>
        <v>0.0988549986834021</v>
      </c>
      <c r="J318" s="13" t="n">
        <f aca="false">Sens!$F$318+(g_sub-Sens!$F$318)*3/4</f>
        <v>0.084427499341701</v>
      </c>
      <c r="K318" s="13" t="n">
        <f aca="false">Sens!$F$318+(g_sub-Sens!$F$318)*4/4</f>
        <v>0.07</v>
      </c>
      <c r="L318" s="13" t="n">
        <f aca="false">g_sub</f>
        <v>0.07</v>
      </c>
      <c r="M318" s="13" t="n">
        <f aca="false">g_sub</f>
        <v>0.07</v>
      </c>
      <c r="P318" s="8" t="s">
        <v>688</v>
      </c>
    </row>
    <row r="319" customFormat="false" ht="17.15" hidden="false" customHeight="false" outlineLevel="0" collapsed="false">
      <c r="A319" s="0" t="s">
        <v>531</v>
      </c>
      <c r="B319" s="0" t="s">
        <v>86</v>
      </c>
      <c r="C319" s="38" t="n">
        <f aca="false">Q!$D$15</f>
        <v>5.425</v>
      </c>
      <c r="D319" s="38" t="n">
        <f aca="false">Q!$E$15</f>
        <v>5.935</v>
      </c>
      <c r="E319" s="38" t="n">
        <f aca="false">Q!$P$15</f>
        <v>3.474</v>
      </c>
      <c r="F319" s="38" t="n">
        <f aca="false">Sens!$O$319*(1+Sens!$F$320)*Sens!$F$321</f>
        <v>3.22246550883619</v>
      </c>
      <c r="G319" s="38" t="n">
        <f aca="false">Sens!$E$319+Sens!$F$319</f>
        <v>6.69646550883619</v>
      </c>
      <c r="H319" s="38" t="n">
        <f aca="false">Sens!$G$319*(1+Sens!$H$320)</f>
        <v>7.16251344209196</v>
      </c>
      <c r="I319" s="38" t="n">
        <f aca="false">Sens!$H$319*(1+Sens!$I$320)</f>
        <v>7.61421070299826</v>
      </c>
      <c r="J319" s="38" t="n">
        <f aca="false">Sens!$I$319*(1+Sens!$J$320)</f>
        <v>8.04465753523932</v>
      </c>
      <c r="K319" s="38" t="n">
        <f aca="false">Sens!$J$319*(1+Sens!$K$320)</f>
        <v>8.44689041200128</v>
      </c>
      <c r="L319" s="38" t="n">
        <f aca="false">Sens!$K$319*(1+Sens!$L$320)</f>
        <v>8.86923493260135</v>
      </c>
      <c r="M319" s="38" t="n">
        <f aca="false">Sens!$L$319*(1+Sens!$M$320)</f>
        <v>9.31269667923142</v>
      </c>
      <c r="N319" s="38" t="n">
        <f aca="false">Q!$N$15</f>
        <v>2.811</v>
      </c>
      <c r="O319" s="38" t="n">
        <f aca="false">Q!$O$15</f>
        <v>3.124</v>
      </c>
      <c r="P319" s="8" t="s">
        <v>678</v>
      </c>
    </row>
    <row r="320" customFormat="false" ht="17.15" hidden="false" customHeight="false" outlineLevel="0" collapsed="false">
      <c r="A320" s="0" t="s">
        <v>689</v>
      </c>
      <c r="B320" s="0" t="s">
        <v>52</v>
      </c>
      <c r="E320" s="13" t="n">
        <f aca="false">Sens!$E$319/Sens!$N$319-1</f>
        <v>0.235859124866596</v>
      </c>
      <c r="F320" s="13" t="n">
        <f aca="false">Sens!$O$319/(Q!$F$15+Q!$G$15)-1</f>
        <v>0.0761281433000345</v>
      </c>
      <c r="G320" s="13" t="n">
        <f aca="false">Sens!$G$319/Sens!$D$319-1</f>
        <v>0.128300843948811</v>
      </c>
      <c r="H320" s="13" t="n">
        <f aca="false">Sens!$F$320+(g_ot-Sens!$F$320)*1/4</f>
        <v>0.0695961074750259</v>
      </c>
      <c r="I320" s="13" t="n">
        <f aca="false">Sens!$F$320+(g_ot-Sens!$F$320)*2/4</f>
        <v>0.0630640716500172</v>
      </c>
      <c r="J320" s="13" t="n">
        <f aca="false">Sens!$F$320+(g_ot-Sens!$F$320)*3/4</f>
        <v>0.0565320358250086</v>
      </c>
      <c r="K320" s="13" t="n">
        <f aca="false">Sens!$F$320+(g_ot-Sens!$F$320)*4/4</f>
        <v>0.05</v>
      </c>
      <c r="L320" s="13" t="n">
        <f aca="false">g_ot</f>
        <v>0.05</v>
      </c>
      <c r="M320" s="13" t="n">
        <f aca="false">g_ot</f>
        <v>0.05</v>
      </c>
      <c r="P320" s="8" t="s">
        <v>690</v>
      </c>
    </row>
    <row r="321" customFormat="false" ht="17.15" hidden="false" customHeight="false" outlineLevel="0" collapsed="false">
      <c r="A321" s="0" t="s">
        <v>691</v>
      </c>
      <c r="B321" s="0" t="s">
        <v>57</v>
      </c>
      <c r="F321" s="40" t="n">
        <f aca="false">(g26q3_mid*Q!$O$8/Q!$J$8-Thesis!$F$89-Thesis!$F$93)/(Sens!$O$309*(1+Sens!$F$310)+Sens!$O$311*(1+Sens!$F$312)+Sens!$O$313*(1+Sens!$F$314)+Sens!$O$315*(1+Sens!$F$316)+Sens!$O$317*(1+Sens!$F$318)+Sens!$O$319*(1+Sens!$F$320))</f>
        <v>0.958546670622329</v>
      </c>
      <c r="P321" s="8" t="s">
        <v>692</v>
      </c>
    </row>
    <row r="322" customFormat="false" ht="17.15" hidden="false" customHeight="false" outlineLevel="0" collapsed="false">
      <c r="A322" s="3" t="s">
        <v>693</v>
      </c>
      <c r="B322" s="8" t="s">
        <v>86</v>
      </c>
      <c r="C322" s="38" t="n">
        <f aca="false">Sens!$C$309+Sens!$C$311+Sens!$C$313+Sens!$C$315+Sens!$C$317+Sens!$C$319</f>
        <v>530.403</v>
      </c>
      <c r="D322" s="38" t="n">
        <f aca="false">Sens!$D$309+Sens!$D$311+Sens!$D$313+Sens!$D$315+Sens!$D$317+Sens!$D$319</f>
        <v>588.199</v>
      </c>
      <c r="E322" s="38" t="n">
        <f aca="false">Sens!$E$309+Sens!$E$311+Sens!$E$313+Sens!$E$315+Sens!$E$317+Sens!$E$319</f>
        <v>302.306</v>
      </c>
      <c r="F322" s="38" t="n">
        <f aca="false">Sens!$F$309+Sens!$F$311+Sens!$F$313+Sens!$F$315+Sens!$F$317+Sens!$F$319</f>
        <v>349.048241645537</v>
      </c>
      <c r="G322" s="38" t="n">
        <f aca="false">Sens!$G$309+Sens!$G$311+Sens!$G$313+Sens!$G$315+Sens!$G$317+Sens!$G$319</f>
        <v>651.354241645537</v>
      </c>
      <c r="H322" s="38" t="n">
        <f aca="false">Sens!$H$309+Sens!$H$311+Sens!$H$313+Sens!$H$315+Sens!$H$317+Sens!$H$319</f>
        <v>721.096889521386</v>
      </c>
      <c r="I322" s="38" t="n">
        <f aca="false">Sens!$I$309+Sens!$I$311+Sens!$I$313+Sens!$I$315+Sens!$I$317+Sens!$I$319</f>
        <v>788.529391152531</v>
      </c>
      <c r="J322" s="38" t="n">
        <f aca="false">Sens!$J$309+Sens!$J$311+Sens!$J$313+Sens!$J$315+Sens!$J$317+Sens!$J$319</f>
        <v>851.108405741443</v>
      </c>
      <c r="K322" s="38" t="n">
        <f aca="false">Sens!$K$309+Sens!$K$311+Sens!$K$313+Sens!$K$315+Sens!$K$317+Sens!$K$319</f>
        <v>906.176455431088</v>
      </c>
      <c r="L322" s="38" t="n">
        <f aca="false">Sens!$L$309+Sens!$L$311+Sens!$L$313+Sens!$L$315+Sens!$L$317+Sens!$L$319</f>
        <v>965.093106475589</v>
      </c>
      <c r="M322" s="38" t="n">
        <f aca="false">Sens!$M$309+Sens!$M$311+Sens!$M$313+Sens!$M$315+Sens!$M$317+Sens!$M$319</f>
        <v>1028.14790794689</v>
      </c>
      <c r="N322" s="38" t="n">
        <f aca="false">Sens!$N$309+Sens!$N$311+Sens!$N$313+Sens!$N$315+Sens!$N$317+Sens!$N$319</f>
        <v>263.229</v>
      </c>
      <c r="O322" s="38" t="n">
        <f aca="false">Sens!$O$309+Sens!$O$311+Sens!$O$313+Sens!$O$315+Sens!$O$317+Sens!$O$319</f>
        <v>324.97</v>
      </c>
    </row>
    <row r="323" customFormat="false" ht="17.15" hidden="false" customHeight="false" outlineLevel="0" collapsed="false">
      <c r="A323" s="5" t="s">
        <v>694</v>
      </c>
      <c r="B323" s="0" t="s">
        <v>52</v>
      </c>
      <c r="C323" s="13" t="n">
        <f aca="false">Q!$D$5/(Q!$D$5+Q!$D$6)</f>
        <v>0.730570905519011</v>
      </c>
      <c r="D323" s="13" t="n">
        <f aca="false">Q!$E$5/(Q!$E$5+Q!$E$6)</f>
        <v>0.724763217890544</v>
      </c>
      <c r="E323" s="13" t="n">
        <f aca="false">Q!$P$5/(Q!$P$5+Q!$P$6)</f>
        <v>0.728797972914861</v>
      </c>
      <c r="F323" s="13" t="n">
        <f aca="false">Sens!$O$323</f>
        <v>0.718066283041511</v>
      </c>
      <c r="G323" s="13" t="n">
        <f aca="false">Sens!$G$324/Sens!$G$322</f>
        <v>0.723047066202847</v>
      </c>
      <c r="H323" s="13" t="n">
        <f aca="false">Sens!$G$323</f>
        <v>0.723047066202847</v>
      </c>
      <c r="I323" s="13" t="n">
        <f aca="false">Sens!$G$323</f>
        <v>0.723047066202847</v>
      </c>
      <c r="J323" s="13" t="n">
        <f aca="false">Sens!$G$323</f>
        <v>0.723047066202847</v>
      </c>
      <c r="K323" s="13" t="n">
        <f aca="false">Sens!$G$323</f>
        <v>0.723047066202847</v>
      </c>
      <c r="L323" s="13" t="n">
        <f aca="false">Sens!$G$323</f>
        <v>0.723047066202847</v>
      </c>
      <c r="M323" s="13" t="n">
        <f aca="false">Sens!$G$323</f>
        <v>0.723047066202847</v>
      </c>
      <c r="N323" s="13" t="n">
        <f aca="false">Q!$N$5/(Q!$N$5+Q!$N$6)</f>
        <v>0.733030935041352</v>
      </c>
      <c r="O323" s="13" t="n">
        <f aca="false">Q!$O$5/(Q!$O$5+Q!$O$6)</f>
        <v>0.718066283041511</v>
      </c>
      <c r="P323" s="8" t="s">
        <v>695</v>
      </c>
    </row>
    <row r="324" customFormat="false" ht="17.15" hidden="false" customHeight="false" outlineLevel="0" collapsed="false">
      <c r="A324" s="1" t="s">
        <v>519</v>
      </c>
      <c r="B324" s="8" t="s">
        <v>86</v>
      </c>
      <c r="C324" s="38" t="n">
        <f aca="false">Q!$D$5</f>
        <v>387.497</v>
      </c>
      <c r="D324" s="38" t="n">
        <f aca="false">Q!$E$5</f>
        <v>426.305</v>
      </c>
      <c r="E324" s="38" t="n">
        <f aca="false">Q!$P$5</f>
        <v>220.32</v>
      </c>
      <c r="F324" s="38" t="n">
        <f aca="false">Sens!$F$322*Sens!$F$323</f>
        <v>250.639773480586</v>
      </c>
      <c r="G324" s="38" t="n">
        <f aca="false">Sens!$E$324+Sens!$F$324</f>
        <v>470.959773480586</v>
      </c>
      <c r="H324" s="38" t="n">
        <f aca="false">Sens!$H$322*Sens!$H$323</f>
        <v>521.386990416437</v>
      </c>
      <c r="I324" s="38" t="n">
        <f aca="false">Sens!$I$322*Sens!$I$323</f>
        <v>570.143862887555</v>
      </c>
      <c r="J324" s="38" t="n">
        <f aca="false">Sens!$J$322*Sens!$J$323</f>
        <v>615.391435791933</v>
      </c>
      <c r="K324" s="38" t="n">
        <f aca="false">Sens!$K$322*Sens!$K$323</f>
        <v>655.208227561543</v>
      </c>
      <c r="L324" s="38" t="n">
        <f aca="false">Sens!$L$322*Sens!$L$323</f>
        <v>697.807739249767</v>
      </c>
      <c r="M324" s="38" t="n">
        <f aca="false">Sens!$M$322*Sens!$M$323</f>
        <v>743.399328463592</v>
      </c>
      <c r="N324" s="38" t="n">
        <f aca="false">Q!$N$5</f>
        <v>192.955</v>
      </c>
      <c r="O324" s="38" t="n">
        <f aca="false">Q!$O$5</f>
        <v>233.35</v>
      </c>
      <c r="P324" s="5" t="s">
        <v>696</v>
      </c>
    </row>
    <row r="325" customFormat="false" ht="17.15" hidden="false" customHeight="false" outlineLevel="0" collapsed="false">
      <c r="A325" s="1" t="s">
        <v>522</v>
      </c>
      <c r="B325" s="8" t="s">
        <v>86</v>
      </c>
      <c r="C325" s="38" t="n">
        <f aca="false">Q!$D$6</f>
        <v>142.906</v>
      </c>
      <c r="D325" s="38" t="n">
        <f aca="false">Q!$E$6</f>
        <v>161.894</v>
      </c>
      <c r="E325" s="38" t="n">
        <f aca="false">Q!$P$6</f>
        <v>81.986</v>
      </c>
      <c r="F325" s="38" t="n">
        <f aca="false">Sens!$F$322*(1-Sens!$F$323)</f>
        <v>98.408468164951</v>
      </c>
      <c r="G325" s="38" t="n">
        <f aca="false">Sens!$E$325+Sens!$F$325</f>
        <v>180.394468164951</v>
      </c>
      <c r="H325" s="38" t="n">
        <f aca="false">Sens!$H$322*(1-Sens!$H$323)</f>
        <v>199.709899104949</v>
      </c>
      <c r="I325" s="38" t="n">
        <f aca="false">Sens!$I$322*(1-Sens!$I$323)</f>
        <v>218.385528264976</v>
      </c>
      <c r="J325" s="38" t="n">
        <f aca="false">Sens!$J$322*(1-Sens!$J$323)</f>
        <v>235.71696994951</v>
      </c>
      <c r="K325" s="38" t="n">
        <f aca="false">Sens!$K$322*(1-Sens!$K$323)</f>
        <v>250.968227869545</v>
      </c>
      <c r="L325" s="38" t="n">
        <f aca="false">Sens!$L$322*(1-Sens!$L$323)</f>
        <v>267.285367225822</v>
      </c>
      <c r="M325" s="38" t="n">
        <f aca="false">Sens!$M$322*(1-Sens!$M$323)</f>
        <v>284.748579483295</v>
      </c>
      <c r="N325" s="38" t="n">
        <f aca="false">Q!$N$6</f>
        <v>70.274</v>
      </c>
      <c r="O325" s="38" t="n">
        <f aca="false">Q!$O$6</f>
        <v>91.62</v>
      </c>
      <c r="P325" s="5" t="s">
        <v>697</v>
      </c>
    </row>
    <row r="326" customFormat="false" ht="17.15" hidden="false" customHeight="false" outlineLevel="0" collapsed="false">
      <c r="A326" s="5" t="s">
        <v>698</v>
      </c>
      <c r="B326" s="0" t="s">
        <v>86</v>
      </c>
      <c r="C326" s="38" t="n">
        <f aca="false">Sens!$C$315*Sens!$C$323</f>
        <v>41.0683128828457</v>
      </c>
      <c r="D326" s="38" t="n">
        <f aca="false">Sens!$D$315*Sens!$D$323</f>
        <v>49.7441234599175</v>
      </c>
      <c r="E326" s="38" t="n">
        <f aca="false">Sens!$E$315*Sens!$E$323</f>
        <v>27.0034224924414</v>
      </c>
      <c r="F326" s="38" t="n">
        <f aca="false">Sens!$F$315*Sens!$F$323</f>
        <v>33.1439448330513</v>
      </c>
      <c r="G326" s="38" t="n">
        <f aca="false">Sens!$G$315*Sens!$G$323</f>
        <v>60.164183844083</v>
      </c>
      <c r="H326" s="38" t="n">
        <f aca="false">Sens!$H$315*Sens!$H$323</f>
        <v>72.2301766552629</v>
      </c>
      <c r="I326" s="38" t="n">
        <f aca="false">Sens!$I$315*Sens!$I$323</f>
        <v>84.2950764463991</v>
      </c>
      <c r="J326" s="38" t="n">
        <f aca="false">Sens!$J$315*Sens!$J$323</f>
        <v>95.5499047729386</v>
      </c>
      <c r="K326" s="38" t="n">
        <f aca="false">Sens!$K$315*Sens!$K$323</f>
        <v>105.104895250232</v>
      </c>
      <c r="L326" s="38" t="n">
        <f aca="false">Sens!$L$315*Sens!$L$323</f>
        <v>115.615384775256</v>
      </c>
      <c r="M326" s="38" t="n">
        <f aca="false">Sens!$M$315*Sens!$M$323</f>
        <v>127.176923252781</v>
      </c>
      <c r="N326" s="38" t="n">
        <f aca="false">Sens!$N$315*Sens!$N$323</f>
        <v>21.7087111412496</v>
      </c>
      <c r="O326" s="38" t="n">
        <f aca="false">Sens!$O$315*Sens!$O$323</f>
        <v>28.0189463642798</v>
      </c>
      <c r="P326" s="5" t="s">
        <v>699</v>
      </c>
    </row>
    <row r="327" customFormat="false" ht="15" hidden="false" customHeight="false" outlineLevel="0" collapsed="false">
      <c r="A327" s="5" t="s">
        <v>700</v>
      </c>
      <c r="B327" s="0" t="s">
        <v>86</v>
      </c>
      <c r="C327" s="38" t="n">
        <f aca="false">Sens!$C$315-Sens!$C$326</f>
        <v>15.1456871171543</v>
      </c>
      <c r="D327" s="38" t="n">
        <f aca="false">Sens!$D$315-Sens!$D$326</f>
        <v>18.8908765400825</v>
      </c>
      <c r="E327" s="38" t="n">
        <f aca="false">Sens!$E$315-Sens!$E$326</f>
        <v>10.0485775075586</v>
      </c>
      <c r="F327" s="38" t="n">
        <f aca="false">Sens!$F$315-Sens!$F$326</f>
        <v>13.0132771613635</v>
      </c>
      <c r="G327" s="38" t="n">
        <f aca="false">Sens!$G$315-Sens!$G$326</f>
        <v>23.0450381503318</v>
      </c>
      <c r="H327" s="38" t="n">
        <f aca="false">Sens!$H$315-Sens!$H$326</f>
        <v>27.6667457326347</v>
      </c>
      <c r="I327" s="38" t="n">
        <f aca="false">Sens!$I$315-Sens!$I$326</f>
        <v>32.2880346490971</v>
      </c>
      <c r="J327" s="38" t="n">
        <f aca="false">Sens!$J$315-Sens!$J$326</f>
        <v>36.5990371690132</v>
      </c>
      <c r="K327" s="38" t="n">
        <f aca="false">Sens!$K$315-Sens!$K$326</f>
        <v>40.2589408859145</v>
      </c>
      <c r="L327" s="38" t="n">
        <f aca="false">Sens!$L$315-Sens!$L$326</f>
        <v>44.2848349745059</v>
      </c>
      <c r="M327" s="38" t="n">
        <f aca="false">Sens!$M$315-Sens!$M$326</f>
        <v>48.7133184719565</v>
      </c>
      <c r="N327" s="38" t="n">
        <f aca="false">Sens!$N$315-Sens!$N$326</f>
        <v>7.90628885875037</v>
      </c>
      <c r="O327" s="38" t="n">
        <f aca="false">Sens!$O$315-Sens!$O$326</f>
        <v>11.0010536357202</v>
      </c>
    </row>
    <row r="328" customFormat="false" ht="19.4" hidden="false" customHeight="false" outlineLevel="0" collapsed="false">
      <c r="A328" s="31" t="s">
        <v>1158</v>
      </c>
    </row>
    <row r="329" customFormat="false" ht="17.15" hidden="false" customHeight="false" outlineLevel="0" collapsed="false">
      <c r="A329" s="6" t="s">
        <v>16</v>
      </c>
      <c r="B329" s="6" t="s">
        <v>17</v>
      </c>
      <c r="C329" s="20" t="s">
        <v>504</v>
      </c>
      <c r="D329" s="20" t="s">
        <v>505</v>
      </c>
      <c r="E329" s="20" t="s">
        <v>587</v>
      </c>
      <c r="F329" s="20" t="s">
        <v>588</v>
      </c>
      <c r="G329" s="20" t="s">
        <v>589</v>
      </c>
      <c r="H329" s="20" t="s">
        <v>590</v>
      </c>
      <c r="I329" s="20" t="s">
        <v>591</v>
      </c>
      <c r="J329" s="20" t="s">
        <v>592</v>
      </c>
      <c r="K329" s="20" t="s">
        <v>593</v>
      </c>
      <c r="L329" s="20" t="s">
        <v>594</v>
      </c>
      <c r="M329" s="20" t="s">
        <v>595</v>
      </c>
      <c r="N329" s="20" t="s">
        <v>596</v>
      </c>
      <c r="O329" s="20" t="s">
        <v>597</v>
      </c>
      <c r="P329" s="6" t="s">
        <v>23</v>
      </c>
      <c r="R329" s="20" t="n">
        <v>2023</v>
      </c>
      <c r="S329" s="20" t="n">
        <v>2024</v>
      </c>
      <c r="T329" s="20" t="n">
        <v>2025</v>
      </c>
      <c r="U329" s="20" t="n">
        <v>2026</v>
      </c>
      <c r="V329" s="20" t="n">
        <v>2027</v>
      </c>
      <c r="W329" s="20" t="n">
        <v>2028</v>
      </c>
      <c r="X329" s="20" t="n">
        <v>2029</v>
      </c>
      <c r="Y329" s="20" t="n">
        <v>2030</v>
      </c>
      <c r="Z329" s="20" t="n">
        <v>2031</v>
      </c>
      <c r="AA329" s="20" t="n">
        <v>2032</v>
      </c>
    </row>
    <row r="330" customFormat="false" ht="17.15" hidden="false" customHeight="false" outlineLevel="0" collapsed="false">
      <c r="A330" s="1" t="s">
        <v>598</v>
      </c>
    </row>
    <row r="331" customFormat="false" ht="17.15" hidden="false" customHeight="false" outlineLevel="0" collapsed="false">
      <c r="A331" s="5" t="s">
        <v>599</v>
      </c>
      <c r="B331" s="0" t="s">
        <v>144</v>
      </c>
      <c r="H331" s="32" t="n">
        <f aca="false">pace_B</f>
        <v>3634.3</v>
      </c>
      <c r="I331" s="32" t="n">
        <f aca="false">pace_B</f>
        <v>3634.3</v>
      </c>
      <c r="J331" s="32" t="n">
        <f aca="false">pace_B</f>
        <v>3634.3</v>
      </c>
      <c r="K331" s="32" t="n">
        <f aca="false">pace_B+(Sens!$J$332*tg-pace_B)*1/3</f>
        <v>2570.86716666667</v>
      </c>
      <c r="L331" s="32" t="n">
        <f aca="false">pace_B+(Sens!$J$332*tg-pace_B)*2/3</f>
        <v>1507.43433333333</v>
      </c>
      <c r="M331" s="32" t="n">
        <f aca="false">pace_B+(Sens!$J$332*tg-pace_B)*3/3</f>
        <v>444.0015</v>
      </c>
      <c r="P331" s="5" t="s">
        <v>600</v>
      </c>
    </row>
    <row r="332" customFormat="false" ht="17.15" hidden="false" customHeight="false" outlineLevel="0" collapsed="false">
      <c r="A332" s="15" t="s">
        <v>601</v>
      </c>
      <c r="B332" s="14" t="s">
        <v>129</v>
      </c>
      <c r="C332" s="33" t="n">
        <f aca="false">mw_ye24</f>
        <v>360</v>
      </c>
      <c r="D332" s="33" t="n">
        <f aca="false">mw_ye25</f>
        <v>1440</v>
      </c>
      <c r="E332" s="33" t="n">
        <f aca="false">mw_open</f>
        <v>2080</v>
      </c>
      <c r="F332" s="33" t="n">
        <f aca="false">Sens!$E$332+pace_B*0.5</f>
        <v>3897.15</v>
      </c>
      <c r="G332" s="33" t="n">
        <f aca="false">Sens!$F$332</f>
        <v>3897.15</v>
      </c>
      <c r="H332" s="33" t="n">
        <f aca="false">Sens!$G$332+Sens!$H$331</f>
        <v>7531.45</v>
      </c>
      <c r="I332" s="33" t="n">
        <f aca="false">Sens!$H$332+Sens!$I$331</f>
        <v>11165.75</v>
      </c>
      <c r="J332" s="33" t="n">
        <f aca="false">Sens!$I$332+Sens!$J$331</f>
        <v>14800.05</v>
      </c>
      <c r="K332" s="33" t="n">
        <f aca="false">Sens!$J$332+Sens!$K$331</f>
        <v>17370.9171666667</v>
      </c>
      <c r="L332" s="33" t="n">
        <f aca="false">Sens!$K$332+Sens!$L$331</f>
        <v>18878.3515</v>
      </c>
      <c r="M332" s="33" t="n">
        <f aca="false">Sens!$L$332+Sens!$M$331</f>
        <v>19322.353</v>
      </c>
      <c r="N332" s="33" t="n">
        <f aca="false">(mw_ye24+mw_ye25)/2</f>
        <v>900</v>
      </c>
      <c r="O332" s="33" t="n">
        <f aca="false">mw_ye25</f>
        <v>1440</v>
      </c>
      <c r="P332" s="5" t="s">
        <v>602</v>
      </c>
    </row>
    <row r="333" customFormat="false" ht="17.15" hidden="false" customHeight="false" outlineLevel="0" collapsed="false">
      <c r="A333" s="5" t="s">
        <v>603</v>
      </c>
      <c r="B333" s="0" t="s">
        <v>129</v>
      </c>
      <c r="C333" s="32" t="n">
        <f aca="false">(mw_ye23+mw_ye24)/2</f>
        <v>240</v>
      </c>
      <c r="D333" s="32" t="n">
        <f aca="false">(Sens!$C$332+Sens!$D$332)/2</f>
        <v>900</v>
      </c>
      <c r="E333" s="32" t="n">
        <f aca="false">(Sens!$D$332+Sens!$E$332)/2</f>
        <v>1760</v>
      </c>
      <c r="F333" s="32" t="n">
        <f aca="false">(Sens!$E$332+Sens!$F$332)/2</f>
        <v>2988.575</v>
      </c>
      <c r="G333" s="32" t="n">
        <f aca="false">(Sens!$E$333+Sens!$F$333)/2</f>
        <v>2374.2875</v>
      </c>
      <c r="H333" s="32" t="n">
        <f aca="false">(Sens!$G$332+Sens!$H$332)/2</f>
        <v>5714.3</v>
      </c>
      <c r="I333" s="32" t="n">
        <f aca="false">(Sens!$H$332+Sens!$I$332)/2</f>
        <v>9348.6</v>
      </c>
      <c r="J333" s="32" t="n">
        <f aca="false">(Sens!$I$332+Sens!$J$332)/2</f>
        <v>12982.9</v>
      </c>
      <c r="K333" s="32" t="n">
        <f aca="false">(Sens!$J$332+Sens!$K$332)/2</f>
        <v>16085.4835833333</v>
      </c>
      <c r="L333" s="32" t="n">
        <f aca="false">(Sens!$K$332+Sens!$L$332)/2</f>
        <v>18124.6343333333</v>
      </c>
      <c r="M333" s="32" t="n">
        <f aca="false">(Sens!$L$332+Sens!$M$332)/2</f>
        <v>19100.35225</v>
      </c>
      <c r="N333" s="32" t="n">
        <f aca="false">(Sens!$C$332+Sens!$N$332)/2</f>
        <v>630</v>
      </c>
      <c r="O333" s="32" t="n">
        <f aca="false">(Sens!$N$332+Sens!$O$332)/2</f>
        <v>1170</v>
      </c>
    </row>
    <row r="334" customFormat="false" ht="15" hidden="false" customHeight="false" outlineLevel="0" collapsed="false">
      <c r="A334" s="5" t="s">
        <v>604</v>
      </c>
      <c r="B334" s="5" t="s">
        <v>123</v>
      </c>
      <c r="C334" s="34" t="n">
        <v>1</v>
      </c>
      <c r="D334" s="34" t="n">
        <v>1</v>
      </c>
      <c r="E334" s="34" t="n">
        <v>0.5</v>
      </c>
      <c r="F334" s="34" t="n">
        <v>0.5</v>
      </c>
      <c r="G334" s="34" t="n">
        <v>1</v>
      </c>
      <c r="H334" s="34" t="n">
        <v>1</v>
      </c>
      <c r="I334" s="34" t="n">
        <v>1</v>
      </c>
      <c r="J334" s="34" t="n">
        <v>1</v>
      </c>
      <c r="K334" s="34" t="n">
        <v>1</v>
      </c>
      <c r="L334" s="34" t="n">
        <v>1</v>
      </c>
      <c r="M334" s="34" t="n">
        <v>1</v>
      </c>
      <c r="N334" s="34" t="n">
        <v>0.5</v>
      </c>
      <c r="O334" s="34" t="n">
        <v>0.5</v>
      </c>
    </row>
    <row r="335" customFormat="false" ht="17.15" hidden="false" customHeight="false" outlineLevel="0" collapsed="false">
      <c r="A335" s="5" t="s">
        <v>605</v>
      </c>
      <c r="B335" s="0" t="s">
        <v>129</v>
      </c>
      <c r="C335" s="32" t="n">
        <f aca="false">Sens!$C$332-mw_ye23</f>
        <v>240</v>
      </c>
      <c r="D335" s="32" t="n">
        <f aca="false">Sens!$D$332-Sens!$C$332</f>
        <v>1080</v>
      </c>
      <c r="E335" s="32" t="n">
        <f aca="false">Sens!$E$332-Sens!$D$332</f>
        <v>640</v>
      </c>
      <c r="F335" s="32" t="n">
        <f aca="false">Sens!$F$332-Sens!$E$332</f>
        <v>1817.15</v>
      </c>
      <c r="G335" s="32" t="n">
        <f aca="false">Sens!$E$335+Sens!$F$335</f>
        <v>2457.15</v>
      </c>
      <c r="H335" s="32" t="n">
        <f aca="false">Sens!$H$332-Sens!$G$332</f>
        <v>3634.3</v>
      </c>
      <c r="I335" s="32" t="n">
        <f aca="false">Sens!$I$332-Sens!$H$332</f>
        <v>3634.3</v>
      </c>
      <c r="J335" s="32" t="n">
        <f aca="false">Sens!$J$332-Sens!$I$332</f>
        <v>3634.3</v>
      </c>
      <c r="K335" s="32" t="n">
        <f aca="false">Sens!$K$332-Sens!$J$332</f>
        <v>2570.86716666667</v>
      </c>
      <c r="L335" s="32" t="n">
        <f aca="false">Sens!$L$332-Sens!$K$332</f>
        <v>1507.43433333333</v>
      </c>
      <c r="M335" s="32" t="n">
        <f aca="false">Sens!$M$332-Sens!$L$332</f>
        <v>444.001499999999</v>
      </c>
      <c r="N335" s="32" t="n">
        <f aca="false">Sens!$N$332-Sens!$C$332</f>
        <v>540</v>
      </c>
      <c r="O335" s="32" t="n">
        <f aca="false">Sens!$O$332-Sens!$N$332</f>
        <v>540</v>
      </c>
    </row>
    <row r="336" customFormat="false" ht="17.15" hidden="false" customHeight="false" outlineLevel="0" collapsed="false">
      <c r="A336" s="5" t="s">
        <v>606</v>
      </c>
      <c r="B336" s="0" t="s">
        <v>129</v>
      </c>
      <c r="C336" s="32" t="n">
        <f aca="false">Sens!$C$335/ext_sh</f>
        <v>300</v>
      </c>
      <c r="D336" s="32" t="n">
        <f aca="false">Sens!$D$335/ext_sh</f>
        <v>1350</v>
      </c>
      <c r="E336" s="32" t="n">
        <f aca="false">Sens!$E$335/ext_sh</f>
        <v>800</v>
      </c>
      <c r="F336" s="32" t="n">
        <f aca="false">Sens!$F$335/ext_sh</f>
        <v>2271.4375</v>
      </c>
      <c r="G336" s="32" t="n">
        <f aca="false">Sens!$G$335/ext_sh</f>
        <v>3071.4375</v>
      </c>
      <c r="H336" s="32" t="n">
        <f aca="false">Sens!$H$335/ext_sh</f>
        <v>4542.875</v>
      </c>
      <c r="I336" s="32" t="n">
        <f aca="false">Sens!$I$335/ext_sh</f>
        <v>4542.875</v>
      </c>
      <c r="J336" s="32" t="n">
        <f aca="false">Sens!$J$335/ext_sh</f>
        <v>4542.875</v>
      </c>
      <c r="K336" s="32" t="n">
        <f aca="false">Sens!$K$335/ext_sh</f>
        <v>3213.58395833333</v>
      </c>
      <c r="L336" s="32" t="n">
        <f aca="false">Sens!$L$335/ext_sh</f>
        <v>1884.29291666667</v>
      </c>
      <c r="M336" s="32" t="n">
        <f aca="false">Sens!$M$335/ext_sh</f>
        <v>555.001874999998</v>
      </c>
      <c r="N336" s="32" t="n">
        <f aca="false">Sens!$N$335/ext_sh</f>
        <v>675</v>
      </c>
      <c r="O336" s="32" t="n">
        <f aca="false">Sens!$O$335/ext_sh</f>
        <v>675</v>
      </c>
      <c r="P336" s="8" t="s">
        <v>607</v>
      </c>
      <c r="R336" s="32" t="n">
        <f aca="false">mw_ye23/ext_sh</f>
        <v>150</v>
      </c>
      <c r="S336" s="32" t="n">
        <f aca="false">Sens!$C$336</f>
        <v>300</v>
      </c>
      <c r="T336" s="32" t="n">
        <f aca="false">Sens!$D$336</f>
        <v>1350</v>
      </c>
      <c r="U336" s="32" t="n">
        <f aca="false">Sens!$G$336</f>
        <v>3071.4375</v>
      </c>
      <c r="V336" s="32" t="n">
        <f aca="false">Sens!$H$336</f>
        <v>4542.875</v>
      </c>
      <c r="W336" s="32" t="n">
        <f aca="false">Sens!$I$336</f>
        <v>4542.875</v>
      </c>
      <c r="X336" s="32" t="n">
        <f aca="false">Sens!$J$336</f>
        <v>4542.875</v>
      </c>
      <c r="Y336" s="32" t="n">
        <f aca="false">Sens!$K$336</f>
        <v>3213.58395833333</v>
      </c>
      <c r="Z336" s="32" t="n">
        <f aca="false">Sens!$L$336</f>
        <v>1884.29291666667</v>
      </c>
      <c r="AA336" s="32" t="n">
        <f aca="false">Sens!$M$336</f>
        <v>555.001874999998</v>
      </c>
    </row>
    <row r="337" customFormat="false" ht="17.15" hidden="false" customHeight="false" outlineLevel="0" collapsed="false">
      <c r="A337" s="1" t="s">
        <v>608</v>
      </c>
    </row>
    <row r="338" customFormat="false" ht="17.15" hidden="false" customHeight="false" outlineLevel="0" collapsed="false">
      <c r="A338" s="0" t="s">
        <v>609</v>
      </c>
      <c r="B338" s="0" t="s">
        <v>52</v>
      </c>
      <c r="F338" s="35" t="n">
        <f aca="false">na_vr26</f>
        <v>0</v>
      </c>
      <c r="G338" s="35" t="n">
        <f aca="false">na_vr26</f>
        <v>0</v>
      </c>
      <c r="H338" s="35" t="n">
        <f aca="false">na_vr27</f>
        <v>0.5</v>
      </c>
      <c r="I338" s="35" t="n">
        <f aca="false">na_vr28</f>
        <v>1</v>
      </c>
      <c r="J338" s="35" t="n">
        <f aca="false">na_vr28</f>
        <v>1</v>
      </c>
      <c r="K338" s="35" t="n">
        <f aca="false">na_vr28</f>
        <v>1</v>
      </c>
      <c r="L338" s="35" t="n">
        <f aca="false">na_vr28</f>
        <v>1</v>
      </c>
      <c r="M338" s="35" t="n">
        <f aca="false">na_vr28</f>
        <v>1</v>
      </c>
    </row>
    <row r="339" customFormat="false" ht="17.15" hidden="false" customHeight="false" outlineLevel="0" collapsed="false">
      <c r="A339" s="5" t="s">
        <v>610</v>
      </c>
      <c r="B339" s="0" t="s">
        <v>173</v>
      </c>
      <c r="F339" s="36" t="n">
        <f aca="false">cust_sh*tk_he_gb300*cf_chip+(1-cust_sh)*((1-Sens!$F$338)*tk_he_gb300+Sens!$F$338*tk_he_vr200)</f>
        <v>10.8864110021101</v>
      </c>
      <c r="G339" s="36" t="n">
        <f aca="false">cust_sh*tk_he_gb300*cf_chip+(1-cust_sh)*((1-Sens!$G$338)*tk_he_gb300+Sens!$G$338*tk_he_vr200)</f>
        <v>10.8864110021101</v>
      </c>
      <c r="H339" s="36" t="n">
        <f aca="false">cust_sh*tk_he_gb300*cf_chip+(1-cust_sh)*((1-Sens!$H$338)*tk_he_gb300+Sens!$H$338*tk_he_vr200)</f>
        <v>11.2211760027286</v>
      </c>
      <c r="I339" s="36" t="n">
        <f aca="false">cust_sh*tk_he_gb300*cf_chip+(1-cust_sh)*((1-Sens!$I$338)*tk_he_gb300+Sens!$I$338*tk_he_vr200)</f>
        <v>11.5559410033471</v>
      </c>
      <c r="J339" s="36" t="n">
        <f aca="false">cust_sh*tk_he_gb300*cf_chip+(1-cust_sh)*((1-Sens!$J$338)*tk_he_gb300+Sens!$J$338*tk_he_vr200)</f>
        <v>11.5559410033471</v>
      </c>
      <c r="K339" s="36" t="n">
        <f aca="false">cust_sh*tk_he_gb300*cf_chip+(1-cust_sh)*((1-Sens!$K$338)*tk_he_gb300+Sens!$K$338*tk_he_vr200)</f>
        <v>11.5559410033471</v>
      </c>
      <c r="L339" s="36" t="n">
        <f aca="false">cust_sh*tk_he_gb300*cf_chip+(1-cust_sh)*((1-Sens!$L$338)*tk_he_gb300+Sens!$L$338*tk_he_vr200)</f>
        <v>11.5559410033471</v>
      </c>
      <c r="M339" s="36" t="n">
        <f aca="false">cust_sh*tk_he_gb300*cf_chip+(1-cust_sh)*((1-Sens!$M$338)*tk_he_gb300+Sens!$M$338*tk_he_vr200)</f>
        <v>11.5559410033471</v>
      </c>
    </row>
    <row r="340" customFormat="false" ht="17.15" hidden="false" customHeight="false" outlineLevel="0" collapsed="false">
      <c r="A340" s="5" t="s">
        <v>611</v>
      </c>
      <c r="B340" s="0" t="s">
        <v>173</v>
      </c>
      <c r="F340" s="36" t="n">
        <f aca="false">cust_sh*tk_ox_gb300+(1-cust_sh)*((1-Sens!$F$338)*tk_ox_gb300+Sens!$F$338*tk_ox_vr200)</f>
        <v>1.98263481314457</v>
      </c>
      <c r="G340" s="36" t="n">
        <f aca="false">cust_sh*tk_ox_gb300+(1-cust_sh)*((1-Sens!$G$338)*tk_ox_gb300+Sens!$G$338*tk_ox_vr200)</f>
        <v>1.98263481314457</v>
      </c>
      <c r="H340" s="36" t="n">
        <f aca="false">cust_sh*tk_ox_gb300+(1-cust_sh)*((1-Sens!$H$338)*tk_ox_gb300+Sens!$H$338*tk_ox_vr200)</f>
        <v>2.01034999693694</v>
      </c>
      <c r="I340" s="36" t="n">
        <f aca="false">cust_sh*tk_ox_gb300+(1-cust_sh)*((1-Sens!$I$338)*tk_ox_gb300+Sens!$I$338*tk_ox_vr200)</f>
        <v>2.0380651807293</v>
      </c>
      <c r="J340" s="36" t="n">
        <f aca="false">cust_sh*tk_ox_gb300+(1-cust_sh)*((1-Sens!$J$338)*tk_ox_gb300+Sens!$J$338*tk_ox_vr200)</f>
        <v>2.0380651807293</v>
      </c>
      <c r="K340" s="36" t="n">
        <f aca="false">cust_sh*tk_ox_gb300+(1-cust_sh)*((1-Sens!$K$338)*tk_ox_gb300+Sens!$K$338*tk_ox_vr200)</f>
        <v>2.0380651807293</v>
      </c>
      <c r="L340" s="36" t="n">
        <f aca="false">cust_sh*tk_ox_gb300+(1-cust_sh)*((1-Sens!$L$338)*tk_ox_gb300+Sens!$L$338*tk_ox_vr200)</f>
        <v>2.0380651807293</v>
      </c>
      <c r="M340" s="36" t="n">
        <f aca="false">cust_sh*tk_ox_gb300+(1-cust_sh)*((1-Sens!$M$338)*tk_ox_gb300+Sens!$M$338*tk_ox_vr200)</f>
        <v>2.0380651807293</v>
      </c>
    </row>
    <row r="341" customFormat="false" ht="17.15" hidden="false" customHeight="false" outlineLevel="0" collapsed="false">
      <c r="A341" s="5" t="s">
        <v>612</v>
      </c>
      <c r="B341" s="0" t="s">
        <v>192</v>
      </c>
      <c r="F341" s="36" t="n">
        <f aca="false">cust_sh*tk_cx_gb300*cf_cx+(1-cust_sh)*((1-Sens!$F$338)*tk_cx_gb300+Sens!$F$338*tk_cx_vr200)</f>
        <v>32.237224</v>
      </c>
      <c r="G341" s="36" t="n">
        <f aca="false">cust_sh*tk_cx_gb300*cf_cx+(1-cust_sh)*((1-Sens!$G$338)*tk_cx_gb300+Sens!$G$338*tk_cx_vr200)</f>
        <v>32.237224</v>
      </c>
      <c r="H341" s="36" t="n">
        <f aca="false">cust_sh*tk_cx_gb300*cf_cx+(1-cust_sh)*((1-Sens!$H$338)*tk_cx_gb300+Sens!$H$338*tk_cx_vr200)</f>
        <v>33.574506</v>
      </c>
      <c r="I341" s="36" t="n">
        <f aca="false">cust_sh*tk_cx_gb300*cf_cx+(1-cust_sh)*((1-Sens!$I$338)*tk_cx_gb300+Sens!$I$338*tk_cx_vr200)</f>
        <v>34.911788</v>
      </c>
      <c r="J341" s="36" t="n">
        <f aca="false">cust_sh*tk_cx_gb300*cf_cx+(1-cust_sh)*((1-Sens!$J$338)*tk_cx_gb300+Sens!$J$338*tk_cx_vr200)</f>
        <v>34.911788</v>
      </c>
      <c r="K341" s="36" t="n">
        <f aca="false">cust_sh*tk_cx_gb300*cf_cx+(1-cust_sh)*((1-Sens!$K$338)*tk_cx_gb300+Sens!$K$338*tk_cx_vr200)</f>
        <v>34.911788</v>
      </c>
      <c r="L341" s="36" t="n">
        <f aca="false">cust_sh*tk_cx_gb300*cf_cx+(1-cust_sh)*((1-Sens!$L$338)*tk_cx_gb300+Sens!$L$338*tk_cx_vr200)</f>
        <v>34.911788</v>
      </c>
      <c r="M341" s="36" t="n">
        <f aca="false">cust_sh*tk_cx_gb300*cf_cx+(1-cust_sh)*((1-Sens!$M$338)*tk_cx_gb300+Sens!$M$338*tk_cx_vr200)</f>
        <v>34.911788</v>
      </c>
    </row>
    <row r="342" customFormat="false" ht="17.15" hidden="false" customHeight="false" outlineLevel="0" collapsed="false">
      <c r="A342" s="5" t="s">
        <v>613</v>
      </c>
      <c r="B342" s="0" t="s">
        <v>129</v>
      </c>
      <c r="F342" s="32" t="n">
        <f aca="false">Sens!$F$332-mw_open</f>
        <v>1817.15</v>
      </c>
      <c r="G342" s="32" t="n">
        <f aca="false">Sens!$F$342</f>
        <v>1817.15</v>
      </c>
      <c r="H342" s="32" t="n">
        <f aca="false">Sens!$H$332-mw_open</f>
        <v>5451.45</v>
      </c>
      <c r="I342" s="32" t="n">
        <f aca="false">Sens!$I$332-mw_open</f>
        <v>9085.75</v>
      </c>
      <c r="J342" s="32" t="n">
        <f aca="false">Sens!$J$332-mw_open</f>
        <v>12720.05</v>
      </c>
      <c r="K342" s="32" t="n">
        <f aca="false">Sens!$K$332-mw_open</f>
        <v>15290.9171666667</v>
      </c>
      <c r="L342" s="32" t="n">
        <f aca="false">Sens!$L$332-mw_open</f>
        <v>16798.3515</v>
      </c>
      <c r="M342" s="32" t="n">
        <f aca="false">Sens!$M$332-mw_open</f>
        <v>17242.353</v>
      </c>
    </row>
    <row r="343" customFormat="false" ht="17.15" hidden="false" customHeight="false" outlineLevel="0" collapsed="false">
      <c r="A343" s="0" t="s">
        <v>614</v>
      </c>
      <c r="B343" s="0" t="s">
        <v>615</v>
      </c>
      <c r="F343" s="32" t="n">
        <f aca="false">Sens!$F$335*Sens!$F$339</f>
        <v>19782.2417524844</v>
      </c>
      <c r="G343" s="32" t="n">
        <f aca="false">Sens!$F$343</f>
        <v>19782.2417524844</v>
      </c>
      <c r="H343" s="32" t="n">
        <f aca="false">Sens!$G$343+Sens!$H$335*Sens!$H$339</f>
        <v>60563.3616992009</v>
      </c>
      <c r="I343" s="32" t="n">
        <f aca="false">Sens!$H$343+Sens!$I$335*Sens!$I$339</f>
        <v>102561.118087665</v>
      </c>
      <c r="J343" s="32" t="n">
        <f aca="false">Sens!$I$343+Sens!$J$335*Sens!$J$339</f>
        <v>144558.87447613</v>
      </c>
      <c r="K343" s="32" t="n">
        <f aca="false">Sens!$J$343+Sens!$K$335*Sens!$K$339</f>
        <v>174267.663781572</v>
      </c>
      <c r="L343" s="32" t="n">
        <f aca="false">Sens!$K$343+Sens!$L$335*Sens!$L$339</f>
        <v>191687.486003992</v>
      </c>
      <c r="M343" s="32" t="n">
        <f aca="false">Sens!$L$343+Sens!$M$335*Sens!$M$339</f>
        <v>196818.341143389</v>
      </c>
    </row>
    <row r="344" customFormat="false" ht="17.15" hidden="false" customHeight="false" outlineLevel="0" collapsed="false">
      <c r="A344" s="0" t="s">
        <v>616</v>
      </c>
      <c r="B344" s="0" t="s">
        <v>615</v>
      </c>
      <c r="F344" s="32" t="n">
        <f aca="false">Sens!$F$335*Sens!$F$340</f>
        <v>3602.74485070566</v>
      </c>
      <c r="G344" s="32" t="n">
        <f aca="false">Sens!$F$344</f>
        <v>3602.74485070566</v>
      </c>
      <c r="H344" s="32" t="n">
        <f aca="false">Sens!$G$344+Sens!$H$335*Sens!$H$340</f>
        <v>10908.9598445736</v>
      </c>
      <c r="I344" s="32" t="n">
        <f aca="false">Sens!$H$344+Sens!$I$335*Sens!$I$340</f>
        <v>18315.9001308981</v>
      </c>
      <c r="J344" s="32" t="n">
        <f aca="false">Sens!$I$344+Sens!$J$335*Sens!$J$340</f>
        <v>25722.8404172225</v>
      </c>
      <c r="K344" s="32" t="n">
        <f aca="false">Sens!$J$344+Sens!$K$335*Sens!$K$340</f>
        <v>30962.4352738861</v>
      </c>
      <c r="L344" s="32" t="n">
        <f aca="false">Sens!$K$344+Sens!$L$335*Sens!$L$340</f>
        <v>34034.6847008886</v>
      </c>
      <c r="M344" s="32" t="n">
        <f aca="false">Sens!$L$344+Sens!$M$335*Sens!$M$340</f>
        <v>34939.5886982302</v>
      </c>
    </row>
    <row r="345" customFormat="false" ht="17.15" hidden="false" customHeight="false" outlineLevel="0" collapsed="false">
      <c r="A345" s="5" t="s">
        <v>617</v>
      </c>
      <c r="B345" s="0" t="s">
        <v>173</v>
      </c>
      <c r="F345" s="36" t="n">
        <f aca="false">IF(Sens!$F$342&gt;0,Sens!$F$343/Sens!$F$342,Sens!$F$339)</f>
        <v>10.8864110021101</v>
      </c>
      <c r="G345" s="36" t="n">
        <f aca="false">IF(Sens!$G$342&gt;0,Sens!$G$343/Sens!$G$342,Sens!$G$339)</f>
        <v>10.8864110021101</v>
      </c>
      <c r="H345" s="36" t="n">
        <f aca="false">IF(Sens!$H$342&gt;0,Sens!$H$343/Sens!$H$342,Sens!$H$339)</f>
        <v>11.1095876691891</v>
      </c>
      <c r="I345" s="36" t="n">
        <f aca="false">IF(Sens!$I$342&gt;0,Sens!$I$343/Sens!$I$342,Sens!$I$339)</f>
        <v>11.2881290028523</v>
      </c>
      <c r="J345" s="36" t="n">
        <f aca="false">IF(Sens!$J$342&gt;0,Sens!$J$343/Sens!$J$342,Sens!$J$339)</f>
        <v>11.3646467172794</v>
      </c>
      <c r="K345" s="36" t="n">
        <f aca="false">IF(Sens!$K$342&gt;0,Sens!$K$343/Sens!$K$342,Sens!$K$339)</f>
        <v>11.3968090914432</v>
      </c>
      <c r="L345" s="36" t="n">
        <f aca="false">IF(Sens!$L$342&gt;0,Sens!$L$343/Sens!$L$342,Sens!$L$339)</f>
        <v>11.4110891181192</v>
      </c>
      <c r="M345" s="36" t="n">
        <f aca="false">IF(Sens!$M$342&gt;0,Sens!$M$343/Sens!$M$342,Sens!$M$339)</f>
        <v>11.4148191458201</v>
      </c>
    </row>
    <row r="346" customFormat="false" ht="17.15" hidden="false" customHeight="false" outlineLevel="0" collapsed="false">
      <c r="A346" s="5" t="s">
        <v>618</v>
      </c>
      <c r="B346" s="0" t="s">
        <v>173</v>
      </c>
      <c r="F346" s="36" t="n">
        <f aca="false">IF(Sens!$F$342&gt;0,Sens!$F$344/Sens!$F$342,Sens!$F$340)</f>
        <v>1.98263481314457</v>
      </c>
      <c r="G346" s="36" t="n">
        <f aca="false">IF(Sens!$G$342&gt;0,Sens!$G$344/Sens!$G$342,Sens!$G$340)</f>
        <v>1.98263481314457</v>
      </c>
      <c r="H346" s="36" t="n">
        <f aca="false">IF(Sens!$H$342&gt;0,Sens!$H$344/Sens!$H$342,Sens!$H$340)</f>
        <v>2.00111160233948</v>
      </c>
      <c r="I346" s="36" t="n">
        <f aca="false">IF(Sens!$I$342&gt;0,Sens!$I$344/Sens!$I$342,Sens!$I$340)</f>
        <v>2.01589303369541</v>
      </c>
      <c r="J346" s="36" t="n">
        <f aca="false">IF(Sens!$J$342&gt;0,Sens!$J$344/Sens!$J$342,Sens!$J$340)</f>
        <v>2.02222793284795</v>
      </c>
      <c r="K346" s="36" t="n">
        <f aca="false">IF(Sens!$K$342&gt;0,Sens!$K$344/Sens!$K$342,Sens!$K$340)</f>
        <v>2.02489065478573</v>
      </c>
      <c r="L346" s="36" t="n">
        <f aca="false">IF(Sens!$L$342&gt;0,Sens!$L$344/Sens!$L$342,Sens!$L$340)</f>
        <v>2.0260728977417</v>
      </c>
      <c r="M346" s="36" t="n">
        <f aca="false">IF(Sens!$M$342&gt;0,Sens!$M$344/Sens!$M$342,Sens!$M$340)</f>
        <v>2.02638170661685</v>
      </c>
    </row>
    <row r="347" customFormat="false" ht="17.15" hidden="false" customHeight="false" outlineLevel="0" collapsed="false">
      <c r="A347" s="15" t="s">
        <v>619</v>
      </c>
      <c r="B347" s="14" t="s">
        <v>173</v>
      </c>
      <c r="C347" s="14"/>
      <c r="D347" s="14"/>
      <c r="E347" s="14"/>
      <c r="F347" s="37" t="n">
        <f aca="false">Sens!$F$345*k_C</f>
        <v>8.98049677377134</v>
      </c>
      <c r="G347" s="37" t="n">
        <f aca="false">Sens!$G$345*k_C</f>
        <v>8.98049677377134</v>
      </c>
      <c r="H347" s="37" t="n">
        <f aca="false">Sens!$H$345*k_C</f>
        <v>9.16460128151917</v>
      </c>
      <c r="I347" s="37" t="n">
        <f aca="false">Sens!$I$345*k_C</f>
        <v>9.31188488771743</v>
      </c>
      <c r="J347" s="37" t="n">
        <f aca="false">Sens!$J$345*k_C</f>
        <v>9.37500643323097</v>
      </c>
      <c r="K347" s="37" t="n">
        <f aca="false">Sens!$K$345*k_C</f>
        <v>9.40153805116815</v>
      </c>
      <c r="L347" s="37" t="n">
        <f aca="false">Sens!$L$345*k_C</f>
        <v>9.41331803388866</v>
      </c>
      <c r="M347" s="37" t="n">
        <f aca="false">Sens!$M$345*k_C</f>
        <v>9.41639503527393</v>
      </c>
      <c r="N347" s="14"/>
      <c r="O347" s="14"/>
      <c r="P347" s="5" t="s">
        <v>620</v>
      </c>
    </row>
    <row r="348" customFormat="false" ht="17.15" hidden="false" customHeight="false" outlineLevel="0" collapsed="false">
      <c r="A348" s="5" t="s">
        <v>621</v>
      </c>
      <c r="B348" s="0" t="s">
        <v>129</v>
      </c>
      <c r="F348" s="32" t="n">
        <f aca="false">Sens!$F$342/2</f>
        <v>908.575</v>
      </c>
      <c r="H348" s="32" t="n">
        <f aca="false">(Sens!$G$342+Sens!$H$342)/2</f>
        <v>3634.3</v>
      </c>
      <c r="I348" s="32" t="n">
        <f aca="false">(Sens!$H$342+Sens!$I$342)/2</f>
        <v>7268.6</v>
      </c>
      <c r="J348" s="32" t="n">
        <f aca="false">(Sens!$I$342+Sens!$J$342)/2</f>
        <v>10902.9</v>
      </c>
      <c r="K348" s="32" t="n">
        <f aca="false">(Sens!$J$342+Sens!$K$342)/2</f>
        <v>14005.4835833333</v>
      </c>
      <c r="L348" s="32" t="n">
        <f aca="false">(Sens!$K$342+Sens!$L$342)/2</f>
        <v>16044.6343333333</v>
      </c>
      <c r="M348" s="32" t="n">
        <f aca="false">(Sens!$L$342+Sens!$M$342)/2</f>
        <v>17020.35225</v>
      </c>
    </row>
    <row r="349" customFormat="false" ht="17.15" hidden="false" customHeight="false" outlineLevel="0" collapsed="false">
      <c r="A349" s="1" t="s">
        <v>622</v>
      </c>
    </row>
    <row r="350" customFormat="false" ht="17.15" hidden="false" customHeight="false" outlineLevel="0" collapsed="false">
      <c r="A350" s="1" t="s">
        <v>623</v>
      </c>
      <c r="B350" s="8" t="s">
        <v>86</v>
      </c>
      <c r="C350" s="38" t="n">
        <f aca="false">Sens!$C$333*rpm_open*Sens!$C$334/1000</f>
        <v>2.32100535697364</v>
      </c>
      <c r="D350" s="38" t="n">
        <f aca="false">Sens!$D$333*rpm_open*Sens!$D$334/1000</f>
        <v>8.70377008865116</v>
      </c>
      <c r="E350" s="38" t="n">
        <f aca="false">Sens!$E$333*rpm_open*Sens!$E$334/1000</f>
        <v>8.51035297557002</v>
      </c>
      <c r="F350" s="38" t="n">
        <f aca="false">(mw_open*rpm_open+Sens!$F$348*Sens!$F$347)*Sens!$F$334/1000</f>
        <v>14.1374173083338</v>
      </c>
      <c r="G350" s="38" t="n">
        <f aca="false">Sens!$E$350+Sens!$F$350</f>
        <v>22.6477702839038</v>
      </c>
      <c r="H350" s="38" t="n">
        <f aca="false">(mw_open*rpm_open+Sens!$H$348*Sens!$H$347)/1000</f>
        <v>53.4222901978634</v>
      </c>
      <c r="I350" s="38" t="n">
        <f aca="false">(mw_open*rpm_open+Sens!$I$348*Sens!$I$347)/1000</f>
        <v>87.7997462553011</v>
      </c>
      <c r="J350" s="38" t="n">
        <f aca="false">(mw_open*rpm_open+Sens!$J$348*Sens!$J$347)/1000</f>
        <v>122.330137401312</v>
      </c>
      <c r="K350" s="38" t="n">
        <f aca="false">(mw_open*rpm_open+Sens!$K$348*Sens!$K$347)/1000</f>
        <v>151.788466594157</v>
      </c>
      <c r="L350" s="38" t="n">
        <f aca="false">(mw_open*rpm_open+Sens!$L$348*Sens!$L$347)/1000</f>
        <v>171.148625477554</v>
      </c>
      <c r="M350" s="38" t="n">
        <f aca="false">(mw_open*rpm_open+Sens!$M$348*Sens!$M$347)/1000</f>
        <v>180.385740185952</v>
      </c>
      <c r="N350" s="38" t="n">
        <f aca="false">Sens!$N$333*rpm_open*Sens!$N$334/1000</f>
        <v>3.04631953102791</v>
      </c>
      <c r="O350" s="38" t="n">
        <f aca="false">Sens!$O$333*rpm_open*Sens!$O$334/1000</f>
        <v>5.65745055762326</v>
      </c>
      <c r="P350" s="5" t="s">
        <v>624</v>
      </c>
    </row>
    <row r="351" customFormat="false" ht="17.15" hidden="false" customHeight="false" outlineLevel="0" collapsed="false">
      <c r="A351" s="5" t="s">
        <v>625</v>
      </c>
      <c r="B351" s="0" t="s">
        <v>173</v>
      </c>
      <c r="C351" s="36" t="n">
        <f aca="false">Sens!$C$350*1000/(Sens!$C$333*Sens!$C$334)</f>
        <v>9.67085565405685</v>
      </c>
      <c r="D351" s="36" t="n">
        <f aca="false">Sens!$D$350*1000/(Sens!$D$333*Sens!$D$334)</f>
        <v>9.67085565405685</v>
      </c>
      <c r="E351" s="36" t="n">
        <f aca="false">Sens!$E$350*1000/(Sens!$E$333*Sens!$E$334)</f>
        <v>9.67085565405685</v>
      </c>
      <c r="F351" s="36" t="n">
        <f aca="false">Sens!$F$350*1000/(Sens!$F$333*Sens!$F$334)</f>
        <v>9.46097542028142</v>
      </c>
      <c r="G351" s="36" t="n">
        <f aca="false">Sens!$G$350*1000/(Sens!$G$333*Sens!$G$334)</f>
        <v>9.53876490690525</v>
      </c>
      <c r="H351" s="36" t="n">
        <f aca="false">Sens!$H$350*1000/(Sens!$H$333*Sens!$H$334)</f>
        <v>9.34887741243255</v>
      </c>
      <c r="I351" s="36" t="n">
        <f aca="false">Sens!$I$350*1000/(Sens!$I$333*Sens!$I$334)</f>
        <v>9.39175344493305</v>
      </c>
      <c r="J351" s="36" t="n">
        <f aca="false">Sens!$J$350*1000/(Sens!$J$333*Sens!$J$334)</f>
        <v>9.42240465545542</v>
      </c>
      <c r="K351" s="36" t="n">
        <f aca="false">Sens!$K$350*1000/(Sens!$K$333*Sens!$K$334)</f>
        <v>9.43636327797009</v>
      </c>
      <c r="L351" s="36" t="n">
        <f aca="false">Sens!$L$350*1000/(Sens!$L$333*Sens!$L$334)</f>
        <v>9.4428732922237</v>
      </c>
      <c r="M351" s="36" t="n">
        <f aca="false">Sens!$M$350*1000/(Sens!$M$333*Sens!$M$334)</f>
        <v>9.44410541883864</v>
      </c>
      <c r="N351" s="36" t="n">
        <f aca="false">Sens!$N$350*1000/(Sens!$N$333*Sens!$N$334)</f>
        <v>9.67085565405685</v>
      </c>
      <c r="O351" s="36" t="n">
        <f aca="false">Sens!$O$350*1000/(Sens!$O$333*Sens!$O$334)</f>
        <v>9.67085565405685</v>
      </c>
    </row>
    <row r="352" customFormat="false" ht="17.15" hidden="false" customHeight="false" outlineLevel="0" collapsed="false">
      <c r="A352" s="0" t="s">
        <v>626</v>
      </c>
      <c r="B352" s="0" t="s">
        <v>86</v>
      </c>
      <c r="C352" s="38" t="n">
        <f aca="false">Sens!$C$333/ext_sh*(ox_open+rent_mw)*Sens!$C$334/1000</f>
        <v>0.642569210675032</v>
      </c>
      <c r="D352" s="38" t="n">
        <f aca="false">Sens!$D$333/ext_sh*(ox_open+rent_mw)*Sens!$D$334/1000</f>
        <v>2.40963454003137</v>
      </c>
      <c r="E352" s="38" t="n">
        <f aca="false">Sens!$E$333/ext_sh*(ox_open+rent_mw)*Sens!$E$334/1000</f>
        <v>2.35608710580845</v>
      </c>
      <c r="F352" s="38" t="n">
        <f aca="false">((mw_open*ox_open+Sens!$F$348*Sens!$F$346)/ext_sh+Sens!$F$333/ext_sh*rent_mw)*Sens!$F$334/1000</f>
        <v>4.05421991106232</v>
      </c>
      <c r="G352" s="38" t="n">
        <f aca="false">Sens!$E$352+Sens!$F$352</f>
        <v>6.41030701687077</v>
      </c>
      <c r="H352" s="38" t="n">
        <f aca="false">((mw_open*ox_open+Sens!$H$348*Sens!$H$346)/ext_sh+Sens!$H$333/ext_sh*rent_mw)*Sens!$H$334/1000</f>
        <v>15.8108975546616</v>
      </c>
      <c r="I352" s="38" t="n">
        <f aca="false">((mw_open*ox_open+Sens!$I$348*Sens!$I$346)/ext_sh+Sens!$I$333/ext_sh*rent_mw)*Sens!$I$334/1000</f>
        <v>26.1871623400817</v>
      </c>
      <c r="J352" s="38" t="n">
        <f aca="false">((mw_open*ox_open+Sens!$J$348*Sens!$J$346)/ext_sh+Sens!$J$333/ext_sh*rent_mw)*Sens!$J$334/1000</f>
        <v>36.5826128954935</v>
      </c>
      <c r="K352" s="38" t="n">
        <f aca="false">((mw_open*ox_open+Sens!$K$348*Sens!$K$346)/ext_sh+Sens!$K$333/ext_sh*rent_mw)*Sens!$K$334/1000</f>
        <v>45.4546361137628</v>
      </c>
      <c r="L352" s="38" t="n">
        <f aca="false">((mw_open*ox_open+Sens!$L$348*Sens!$L$346)/ext_sh+Sens!$L$333/ext_sh*rent_mw)*Sens!$L$334/1000</f>
        <v>51.2855695554452</v>
      </c>
      <c r="M352" s="38" t="n">
        <f aca="false">((mw_open*ox_open+Sens!$M$348*Sens!$M$346)/ext_sh+Sens!$M$333/ext_sh*rent_mw)*Sens!$M$334/1000</f>
        <v>54.0722927838398</v>
      </c>
      <c r="N352" s="38" t="n">
        <f aca="false">Sens!$N$333/ext_sh*(ox_open+rent_mw)*Sens!$N$334/1000</f>
        <v>0.84337208901098</v>
      </c>
      <c r="O352" s="38" t="n">
        <f aca="false">Sens!$O$333/ext_sh*(ox_open+rent_mw)*Sens!$O$334/1000</f>
        <v>1.56626245102039</v>
      </c>
    </row>
    <row r="353" customFormat="false" ht="17.15" hidden="false" customHeight="false" outlineLevel="0" collapsed="false">
      <c r="A353" s="0" t="s">
        <v>627</v>
      </c>
      <c r="B353" s="0" t="s">
        <v>86</v>
      </c>
      <c r="C353" s="38" t="n">
        <f aca="false">Q!$D$7</f>
        <v>107.556</v>
      </c>
      <c r="D353" s="38" t="n">
        <f aca="false">Q!$E$7</f>
        <v>128.725</v>
      </c>
      <c r="E353" s="38" t="n">
        <f aca="false">Q!$P$7</f>
        <v>79.819</v>
      </c>
      <c r="N353" s="38" t="n">
        <f aca="false">Q!$N$7</f>
        <v>60.14</v>
      </c>
      <c r="O353" s="38" t="n">
        <f aca="false">Q!$O$7</f>
        <v>68.585</v>
      </c>
    </row>
    <row r="354" customFormat="false" ht="17.15" hidden="false" customHeight="false" outlineLevel="0" collapsed="false">
      <c r="A354" s="1" t="s">
        <v>628</v>
      </c>
      <c r="B354" s="8" t="s">
        <v>86</v>
      </c>
      <c r="C354" s="38" t="n">
        <f aca="false">Sens!$C$353-Sens!$C$350</f>
        <v>105.234994643026</v>
      </c>
      <c r="D354" s="38" t="n">
        <f aca="false">Sens!$D$353-Sens!$D$350</f>
        <v>120.021229911349</v>
      </c>
      <c r="E354" s="38" t="n">
        <f aca="false">Sens!$E$353-Sens!$E$350</f>
        <v>71.30864702443</v>
      </c>
      <c r="F354" s="38" t="n">
        <f aca="false">Sens!$O$354*(1+Sens!$F$355)</f>
        <v>71.7692997942464</v>
      </c>
      <c r="G354" s="38" t="n">
        <f aca="false">Sens!$E$354+Sens!$F$354</f>
        <v>143.077946818676</v>
      </c>
      <c r="H354" s="38" t="n">
        <f aca="false">Sens!$G$354*(1+Sens!$H$355)</f>
        <v>161.017077079203</v>
      </c>
      <c r="I354" s="38" t="n">
        <f aca="false">Sens!$H$354*(1+Sens!$I$355)</f>
        <v>178.769759521457</v>
      </c>
      <c r="J354" s="38" t="n">
        <f aca="false">Sens!$I$354*(1+Sens!$J$355)</f>
        <v>195.775538045907</v>
      </c>
      <c r="K354" s="38" t="n">
        <f aca="false">Sens!$J$354*(1+Sens!$K$355)</f>
        <v>211.43758108958</v>
      </c>
      <c r="L354" s="38" t="n">
        <f aca="false">Sens!$K$354*(1+Sens!$L$355)</f>
        <v>228.352587576746</v>
      </c>
      <c r="M354" s="38" t="n">
        <f aca="false">Sens!$L$354*(1+Sens!$M$355)</f>
        <v>246.620794582886</v>
      </c>
      <c r="N354" s="38" t="n">
        <f aca="false">Sens!$N$353-Sens!$N$350</f>
        <v>57.0936804689721</v>
      </c>
      <c r="O354" s="38" t="n">
        <f aca="false">Sens!$O$353-Sens!$O$350</f>
        <v>62.9275494423768</v>
      </c>
      <c r="P354" s="5" t="s">
        <v>629</v>
      </c>
    </row>
    <row r="355" customFormat="false" ht="17.15" hidden="false" customHeight="false" outlineLevel="0" collapsed="false">
      <c r="A355" s="0" t="s">
        <v>630</v>
      </c>
      <c r="B355" s="0" t="s">
        <v>52</v>
      </c>
      <c r="D355" s="13" t="n">
        <f aca="false">Sens!$D$354/Sens!$C$354-1</f>
        <v>0.140506827776062</v>
      </c>
      <c r="E355" s="13" t="n">
        <f aca="false">Sens!$E$354/Sens!$N$354-1</f>
        <v>0.248976181579029</v>
      </c>
      <c r="F355" s="13" t="n">
        <f aca="false">Sens!$D$355</f>
        <v>0.140506827776062</v>
      </c>
      <c r="G355" s="13" t="n">
        <f aca="false">Sens!$G$354/Sens!$D$354-1</f>
        <v>0.19210532106993</v>
      </c>
      <c r="H355" s="13" t="n">
        <f aca="false">Sens!$F$355+(g_awso_lt-Sens!$F$355)*1/4</f>
        <v>0.125380120832046</v>
      </c>
      <c r="I355" s="13" t="n">
        <f aca="false">Sens!$F$355+(g_awso_lt-Sens!$F$355)*2/4</f>
        <v>0.110253413888031</v>
      </c>
      <c r="J355" s="13" t="n">
        <f aca="false">Sens!$F$355+(g_awso_lt-Sens!$F$355)*3/4</f>
        <v>0.0951267069440154</v>
      </c>
      <c r="K355" s="13" t="n">
        <f aca="false">Sens!$F$355+(g_awso_lt-Sens!$F$355)*4/4</f>
        <v>0.08</v>
      </c>
      <c r="L355" s="13" t="n">
        <f aca="false">g_awso_lt</f>
        <v>0.08</v>
      </c>
      <c r="M355" s="13" t="n">
        <f aca="false">g_awso_lt</f>
        <v>0.08</v>
      </c>
      <c r="P355" s="5" t="s">
        <v>631</v>
      </c>
    </row>
    <row r="356" customFormat="false" ht="17.15" hidden="false" customHeight="false" outlineLevel="0" collapsed="false">
      <c r="A356" s="1" t="s">
        <v>632</v>
      </c>
    </row>
    <row r="357" customFormat="false" ht="17.15" hidden="false" customHeight="false" outlineLevel="0" collapsed="false">
      <c r="A357" s="0" t="s">
        <v>633</v>
      </c>
      <c r="B357" s="0" t="s">
        <v>86</v>
      </c>
      <c r="F357" s="38" t="n">
        <f aca="false">cx_rt*Sens!$F$322+cx_awso*Sens!$F$354</f>
        <v>34.9734495387866</v>
      </c>
    </row>
    <row r="358" customFormat="false" ht="17.15" hidden="false" customHeight="false" outlineLevel="0" collapsed="false">
      <c r="A358" s="0" t="s">
        <v>634</v>
      </c>
      <c r="B358" s="0" t="s">
        <v>52</v>
      </c>
      <c r="C358" s="13" t="n">
        <f aca="false">tk_cx_h100/(tk_cx_h100+tk_fac*(1-colo_sh))</f>
        <v>0.730756458006641</v>
      </c>
      <c r="D358" s="13" t="n">
        <f aca="false">tk_cx_h100/(tk_cx_h100+tk_fac*(1-colo_sh))</f>
        <v>0.730756458006641</v>
      </c>
      <c r="E358" s="13" t="n">
        <f aca="false">Sens!$F$358</f>
        <v>0.760792334328868</v>
      </c>
      <c r="F358" s="13" t="n">
        <f aca="false">Sens!$F$341/(Sens!$F$341+tk_fac*(1-colo_sh))</f>
        <v>0.760792334328868</v>
      </c>
      <c r="G358" s="13" t="n">
        <f aca="false">Sens!$G$341/(Sens!$G$341+tk_fac*(1-colo_sh))</f>
        <v>0.760792334328868</v>
      </c>
      <c r="H358" s="13" t="n">
        <f aca="false">Sens!$H$341/(Sens!$H$341+tk_fac*(1-colo_sh))</f>
        <v>0.768110668862996</v>
      </c>
      <c r="I358" s="13" t="n">
        <f aca="false">Sens!$I$341/(Sens!$I$341+tk_fac*(1-colo_sh))</f>
        <v>0.77499450139483</v>
      </c>
      <c r="J358" s="13" t="n">
        <f aca="false">Sens!$J$341/(Sens!$J$341+tk_fac*(1-colo_sh))</f>
        <v>0.77499450139483</v>
      </c>
      <c r="K358" s="13" t="n">
        <f aca="false">Sens!$K$341/(Sens!$K$341+tk_fac*(1-colo_sh))</f>
        <v>0.77499450139483</v>
      </c>
      <c r="L358" s="13" t="n">
        <f aca="false">Sens!$L$341/(Sens!$L$341+tk_fac*(1-colo_sh))</f>
        <v>0.77499450139483</v>
      </c>
      <c r="M358" s="13" t="n">
        <f aca="false">Sens!$M$341/(Sens!$M$341+tk_fac*(1-colo_sh))</f>
        <v>0.77499450139483</v>
      </c>
    </row>
    <row r="359" customFormat="false" ht="17.15" hidden="false" customHeight="false" outlineLevel="0" collapsed="false">
      <c r="A359" s="1" t="s">
        <v>635</v>
      </c>
      <c r="B359" s="8" t="s">
        <v>86</v>
      </c>
      <c r="C359" s="38" t="n">
        <f aca="false">Q!$D$46-cx_rt*Q!$D$16-cx_awso*Sens!$C$354</f>
        <v>25.2781053077374</v>
      </c>
      <c r="D359" s="38" t="n">
        <f aca="false">Q!$E$46-cx_rt*Q!$E$16-cx_awso*Sens!$D$354</f>
        <v>69.5686316310026</v>
      </c>
      <c r="E359" s="38" t="n">
        <f aca="false">Q!$P$46-cx_rt*Q!$P$16-cx_awso*Sens!$E$354</f>
        <v>64.1899206485108</v>
      </c>
      <c r="F359" s="38" t="n">
        <f aca="false">capex_g26-Q!$P$46-Sens!$F$357</f>
        <v>88.7165504612134</v>
      </c>
      <c r="G359" s="38" t="n">
        <f aca="false">Sens!$E$359+Sens!$F$359</f>
        <v>152.906471109724</v>
      </c>
      <c r="H359" s="38" t="n">
        <f aca="false">Sens!$H$336*(Sens!$H$341+tk_fac*(1-colo_sh))/1000+Sens!$H$360</f>
        <v>198.57136494475</v>
      </c>
      <c r="I359" s="38" t="n">
        <f aca="false">Sens!$I$336*(Sens!$I$341+tk_fac*(1-colo_sh))/1000+Sens!$I$360</f>
        <v>204.6464699105</v>
      </c>
      <c r="J359" s="38" t="n">
        <f aca="false">Sens!$J$336*(Sens!$J$341+tk_fac*(1-colo_sh))/1000+Sens!$J$360</f>
        <v>209.8832381105</v>
      </c>
      <c r="K359" s="38" t="n">
        <f aca="false">Sens!$K$336*(Sens!$K$341+tk_fac*(1-colo_sh))/1000+Sens!$K$360</f>
        <v>155.238385275201</v>
      </c>
      <c r="L359" s="38" t="n">
        <f aca="false">Sens!$L$336*(Sens!$L$341+tk_fac*(1-colo_sh))/1000+Sens!$L$360</f>
        <v>132.014141639902</v>
      </c>
      <c r="M359" s="38" t="n">
        <f aca="false">Sens!$M$336*(Sens!$M$341+tk_fac*(1-colo_sh))/1000+Sens!$M$360</f>
        <v>132.230981659852</v>
      </c>
      <c r="P359" s="5" t="s">
        <v>636</v>
      </c>
      <c r="R359" s="38" t="n">
        <f aca="false">Q!$C$46-cx_rt*Q!$C$16-cx_awso*(Q!$C$7-mw_ye23/2*rpm_open/1000)</f>
        <v>1.50429979529945</v>
      </c>
      <c r="S359" s="38" t="n">
        <f aca="false">Sens!$C$359</f>
        <v>25.2781053077374</v>
      </c>
      <c r="T359" s="38" t="n">
        <f aca="false">Sens!$D$359</f>
        <v>69.5686316310026</v>
      </c>
      <c r="U359" s="38" t="n">
        <f aca="false">Sens!$G$359</f>
        <v>152.906471109724</v>
      </c>
      <c r="V359" s="38" t="n">
        <f aca="false">Sens!$H$359</f>
        <v>198.57136494475</v>
      </c>
      <c r="W359" s="38" t="n">
        <f aca="false">Sens!$I$359</f>
        <v>204.6464699105</v>
      </c>
      <c r="X359" s="38" t="n">
        <f aca="false">Sens!$J$359</f>
        <v>209.8832381105</v>
      </c>
      <c r="Y359" s="38" t="n">
        <f aca="false">Sens!$K$359</f>
        <v>155.238385275201</v>
      </c>
      <c r="Z359" s="38" t="n">
        <f aca="false">Sens!$L$359</f>
        <v>132.014141639902</v>
      </c>
      <c r="AA359" s="38" t="n">
        <f aca="false">Sens!$M$359</f>
        <v>132.230981659852</v>
      </c>
    </row>
    <row r="360" customFormat="false" ht="17.15" hidden="false" customHeight="false" outlineLevel="0" collapsed="false">
      <c r="A360" s="0" t="s">
        <v>637</v>
      </c>
      <c r="B360" s="0" t="s">
        <v>86</v>
      </c>
      <c r="H360" s="38" t="n">
        <f aca="false">SUMPRODUCT(--(Sens!$R$329:$AA$329=2027-tk_life),Sens!$R$336:$AA$336)*Sens!$H$341/1000</f>
        <v>0</v>
      </c>
      <c r="I360" s="38" t="n">
        <f aca="false">SUMPRODUCT(--(Sens!$R$329:$AA$329=2028-tk_life),Sens!$R$336:$AA$336)*Sens!$I$341/1000</f>
        <v>0</v>
      </c>
      <c r="J360" s="38" t="n">
        <f aca="false">SUMPRODUCT(--(Sens!$R$329:$AA$329=2029-tk_life),Sens!$R$336:$AA$336)*Sens!$J$341/1000</f>
        <v>5.2367682</v>
      </c>
      <c r="K360" s="38" t="n">
        <f aca="false">SUMPRODUCT(--(Sens!$R$329:$AA$329=2030-tk_life),Sens!$R$336:$AA$336)*Sens!$K$341/1000</f>
        <v>10.4735364</v>
      </c>
      <c r="L360" s="38" t="n">
        <f aca="false">SUMPRODUCT(--(Sens!$R$329:$AA$329=2031-tk_life),Sens!$R$336:$AA$336)*Sens!$L$341/1000</f>
        <v>47.1309138</v>
      </c>
      <c r="M360" s="38" t="n">
        <f aca="false">SUMPRODUCT(--(Sens!$R$329:$AA$329=2032-tk_life),Sens!$R$336:$AA$336)*Sens!$M$341/1000</f>
        <v>107.22937485525</v>
      </c>
    </row>
    <row r="361" customFormat="false" ht="17.15" hidden="false" customHeight="false" outlineLevel="0" collapsed="false">
      <c r="A361" s="0" t="s">
        <v>638</v>
      </c>
      <c r="B361" s="0" t="s">
        <v>86</v>
      </c>
      <c r="C361" s="38" t="n">
        <f aca="false">MIN(Sens!$C$359,Sens!$C$336*(tk_cx_h100+tk_fac*(1-colo_sh))/1000)</f>
        <v>11.2938642</v>
      </c>
      <c r="D361" s="38" t="n">
        <f aca="false">MIN(Sens!$D$359,Sens!$D$336*(tk_cx_h100+tk_fac*(1-colo_sh))/1000)</f>
        <v>50.8223889</v>
      </c>
      <c r="E361" s="38" t="n">
        <f aca="false">MIN(Sens!$E$359,Sens!$E$336*(Sens!$F$341+tk_fac*(1-colo_sh))/1000)</f>
        <v>33.8985792</v>
      </c>
      <c r="F361" s="38" t="n">
        <f aca="false">Sens!$F$359</f>
        <v>88.7165504612134</v>
      </c>
      <c r="G361" s="38" t="n">
        <f aca="false">Sens!$E$361+Sens!$F$361</f>
        <v>122.615129661213</v>
      </c>
      <c r="H361" s="38" t="n">
        <f aca="false">Sens!$H$359</f>
        <v>198.57136494475</v>
      </c>
      <c r="I361" s="38" t="n">
        <f aca="false">Sens!$I$359</f>
        <v>204.6464699105</v>
      </c>
      <c r="J361" s="38" t="n">
        <f aca="false">Sens!$J$359</f>
        <v>209.8832381105</v>
      </c>
      <c r="K361" s="38" t="n">
        <f aca="false">Sens!$K$359</f>
        <v>155.238385275201</v>
      </c>
      <c r="L361" s="38" t="n">
        <f aca="false">Sens!$L$359</f>
        <v>132.014141639902</v>
      </c>
      <c r="M361" s="38" t="n">
        <f aca="false">Sens!$M$359</f>
        <v>132.230981659852</v>
      </c>
      <c r="P361" s="5" t="s">
        <v>639</v>
      </c>
      <c r="R361" s="38" t="n">
        <f aca="false">MIN(Sens!$R$359,Sens!$R$336*(tk_cx_h100+tk_fac*(1-colo_sh))/1000)</f>
        <v>1.50429979529945</v>
      </c>
      <c r="S361" s="38" t="n">
        <f aca="false">Sens!$C$361</f>
        <v>11.2938642</v>
      </c>
      <c r="T361" s="38" t="n">
        <f aca="false">Sens!$D$361</f>
        <v>50.8223889</v>
      </c>
      <c r="U361" s="38" t="n">
        <f aca="false">Sens!$G$361</f>
        <v>122.615129661213</v>
      </c>
      <c r="V361" s="38" t="n">
        <f aca="false">Sens!$H$361</f>
        <v>198.57136494475</v>
      </c>
      <c r="W361" s="38" t="n">
        <f aca="false">Sens!$I$361</f>
        <v>204.6464699105</v>
      </c>
      <c r="X361" s="38" t="n">
        <f aca="false">Sens!$J$361</f>
        <v>209.8832381105</v>
      </c>
      <c r="Y361" s="38" t="n">
        <f aca="false">Sens!$K$361</f>
        <v>155.238385275201</v>
      </c>
      <c r="Z361" s="38" t="n">
        <f aca="false">Sens!$L$361</f>
        <v>132.014141639902</v>
      </c>
      <c r="AA361" s="38" t="n">
        <f aca="false">Sens!$M$361</f>
        <v>132.230981659852</v>
      </c>
    </row>
    <row r="362" customFormat="false" ht="17.15" hidden="false" customHeight="false" outlineLevel="0" collapsed="false">
      <c r="A362" s="5" t="s">
        <v>640</v>
      </c>
      <c r="B362" s="0" t="s">
        <v>86</v>
      </c>
      <c r="C362" s="38" t="n">
        <f aca="false">Sens!$C$359-Sens!$C$361</f>
        <v>13.9842411077374</v>
      </c>
      <c r="D362" s="38" t="n">
        <f aca="false">Sens!$D$359-Sens!$D$361</f>
        <v>18.7462427310026</v>
      </c>
      <c r="E362" s="38" t="n">
        <f aca="false">Sens!$E$359-Sens!$E$361</f>
        <v>30.2913414485108</v>
      </c>
      <c r="F362" s="38" t="n">
        <f aca="false">Sens!$F$359-Sens!$F$361</f>
        <v>0</v>
      </c>
      <c r="G362" s="38" t="n">
        <f aca="false">Sens!$G$359-Sens!$G$361</f>
        <v>30.2913414485108</v>
      </c>
      <c r="H362" s="38" t="n">
        <f aca="false">Sens!$H$359-Sens!$H$361</f>
        <v>0</v>
      </c>
      <c r="I362" s="38" t="n">
        <f aca="false">Sens!$I$359-Sens!$I$361</f>
        <v>0</v>
      </c>
      <c r="J362" s="38" t="n">
        <f aca="false">Sens!$J$359-Sens!$J$361</f>
        <v>0</v>
      </c>
      <c r="K362" s="38" t="n">
        <f aca="false">Sens!$K$359-Sens!$K$361</f>
        <v>0</v>
      </c>
      <c r="L362" s="38" t="n">
        <f aca="false">Sens!$L$359-Sens!$L$361</f>
        <v>0</v>
      </c>
      <c r="M362" s="38" t="n">
        <f aca="false">Sens!$M$359-Sens!$M$361</f>
        <v>0</v>
      </c>
      <c r="P362" s="5" t="s">
        <v>641</v>
      </c>
      <c r="R362" s="38" t="n">
        <f aca="false">Sens!$R$359-Sens!$R$361</f>
        <v>0</v>
      </c>
      <c r="S362" s="38" t="n">
        <f aca="false">Sens!$S$359-Sens!$S$361</f>
        <v>13.9842411077374</v>
      </c>
      <c r="T362" s="38" t="n">
        <f aca="false">Sens!$T$359-Sens!$T$361</f>
        <v>18.7462427310026</v>
      </c>
      <c r="U362" s="38" t="n">
        <f aca="false">Sens!$U$359-Sens!$U$361</f>
        <v>30.2913414485108</v>
      </c>
      <c r="V362" s="38" t="n">
        <f aca="false">Sens!$V$359-Sens!$V$361</f>
        <v>0</v>
      </c>
      <c r="W362" s="38" t="n">
        <f aca="false">Sens!$W$359-Sens!$W$361</f>
        <v>0</v>
      </c>
      <c r="X362" s="38" t="n">
        <f aca="false">Sens!$X$359-Sens!$X$361</f>
        <v>0</v>
      </c>
      <c r="Y362" s="38" t="n">
        <f aca="false">Sens!$Y$359-Sens!$Y$361</f>
        <v>0</v>
      </c>
      <c r="Z362" s="38" t="n">
        <f aca="false">Sens!$Z$359-Sens!$Z$361</f>
        <v>0</v>
      </c>
      <c r="AA362" s="38" t="n">
        <f aca="false">Sens!$AA$359-Sens!$AA$361</f>
        <v>0</v>
      </c>
    </row>
    <row r="363" customFormat="false" ht="17.15" hidden="false" customHeight="false" outlineLevel="0" collapsed="false">
      <c r="A363" s="5" t="s">
        <v>642</v>
      </c>
      <c r="B363" s="0" t="s">
        <v>86</v>
      </c>
      <c r="R363" s="38" t="n">
        <f aca="false">Sens!$R$362*Sens!$C$358</f>
        <v>0</v>
      </c>
      <c r="S363" s="38" t="n">
        <f aca="false">Sens!$S$362*Sens!$C$358</f>
        <v>10.219074499801</v>
      </c>
      <c r="T363" s="38" t="n">
        <f aca="false">Sens!$T$362*Sens!$C$358</f>
        <v>13.6989379390402</v>
      </c>
      <c r="U363" s="38" t="n">
        <f aca="false">Sens!$U$362*Sens!$E$358</f>
        <v>23.0454203705653</v>
      </c>
      <c r="V363" s="38" t="n">
        <f aca="false">Sens!$V$362*Sens!$E$358</f>
        <v>0</v>
      </c>
      <c r="W363" s="38" t="n">
        <f aca="false">Sens!$W$362*Sens!$E$358</f>
        <v>0</v>
      </c>
      <c r="X363" s="38" t="n">
        <f aca="false">Sens!$X$362*Sens!$E$358</f>
        <v>0</v>
      </c>
      <c r="Y363" s="38" t="n">
        <f aca="false">Sens!$Y$362*Sens!$E$358</f>
        <v>0</v>
      </c>
      <c r="Z363" s="38" t="n">
        <f aca="false">Sens!$Z$362*Sens!$E$358</f>
        <v>0</v>
      </c>
      <c r="AA363" s="38" t="n">
        <f aca="false">Sens!$AA$362*Sens!$E$358</f>
        <v>0</v>
      </c>
    </row>
    <row r="364" customFormat="false" ht="17.15" hidden="false" customHeight="false" outlineLevel="0" collapsed="false">
      <c r="A364" s="5" t="s">
        <v>643</v>
      </c>
      <c r="B364" s="0" t="s">
        <v>86</v>
      </c>
      <c r="R364" s="38" t="n">
        <f aca="false">SUMPRODUCT(--(Sens!$R$329:$AA$329=2023-cip_lag),Sens!$R$363:$AA$363)</f>
        <v>0</v>
      </c>
      <c r="S364" s="38" t="n">
        <f aca="false">SUMPRODUCT(--(Sens!$R$329:$AA$329=2024-cip_lag),Sens!$R$363:$AA$363)</f>
        <v>0</v>
      </c>
      <c r="T364" s="38" t="n">
        <f aca="false">SUMPRODUCT(--(Sens!$R$329:$AA$329=2025-cip_lag),Sens!$R$363:$AA$363)</f>
        <v>10.219074499801</v>
      </c>
      <c r="U364" s="38" t="n">
        <f aca="false">SUMPRODUCT(--(Sens!$R$329:$AA$329=2026-cip_lag),Sens!$R$363:$AA$363)</f>
        <v>13.6989379390402</v>
      </c>
      <c r="V364" s="38" t="n">
        <f aca="false">SUMPRODUCT(--(Sens!$R$329:$AA$329=2027-cip_lag),Sens!$R$363:$AA$363)</f>
        <v>23.0454203705653</v>
      </c>
      <c r="W364" s="38" t="n">
        <f aca="false">SUMPRODUCT(--(Sens!$R$329:$AA$329=2028-cip_lag),Sens!$R$363:$AA$363)</f>
        <v>0</v>
      </c>
      <c r="X364" s="38" t="n">
        <f aca="false">SUMPRODUCT(--(Sens!$R$329:$AA$329=2029-cip_lag),Sens!$R$363:$AA$363)</f>
        <v>0</v>
      </c>
      <c r="Y364" s="38" t="n">
        <f aca="false">SUMPRODUCT(--(Sens!$R$329:$AA$329=2030-cip_lag),Sens!$R$363:$AA$363)</f>
        <v>0</v>
      </c>
      <c r="Z364" s="38" t="n">
        <f aca="false">SUMPRODUCT(--(Sens!$R$329:$AA$329=2031-cip_lag),Sens!$R$363:$AA$363)</f>
        <v>0</v>
      </c>
      <c r="AA364" s="38" t="n">
        <f aca="false">SUMPRODUCT(--(Sens!$R$329:$AA$329=2032-cip_lag),Sens!$R$363:$AA$363)</f>
        <v>0</v>
      </c>
    </row>
    <row r="365" customFormat="false" ht="15" hidden="false" customHeight="false" outlineLevel="0" collapsed="false">
      <c r="A365" s="5" t="s">
        <v>644</v>
      </c>
      <c r="B365" s="0" t="s">
        <v>86</v>
      </c>
      <c r="R365" s="38" t="n">
        <f aca="false">SUMPRODUCT(--(Sens!$R$329:$AA$329=2023-cip_lag),Sens!$R$362:$AA$362)-Sens!$R$364</f>
        <v>0</v>
      </c>
      <c r="S365" s="38" t="n">
        <f aca="false">SUMPRODUCT(--(Sens!$R$329:$AA$329=2024-cip_lag),Sens!$R$362:$AA$362)-Sens!$S$364</f>
        <v>0</v>
      </c>
      <c r="T365" s="38" t="n">
        <f aca="false">SUMPRODUCT(--(Sens!$R$329:$AA$329=2025-cip_lag),Sens!$R$362:$AA$362)-Sens!$T$364</f>
        <v>3.76516660793636</v>
      </c>
      <c r="U365" s="38" t="n">
        <f aca="false">SUMPRODUCT(--(Sens!$R$329:$AA$329=2026-cip_lag),Sens!$R$362:$AA$362)-Sens!$U$364</f>
        <v>5.04730479196242</v>
      </c>
      <c r="V365" s="38" t="n">
        <f aca="false">SUMPRODUCT(--(Sens!$R$329:$AA$329=2027-cip_lag),Sens!$R$362:$AA$362)-Sens!$V$364</f>
        <v>7.24592107794548</v>
      </c>
      <c r="W365" s="38" t="n">
        <f aca="false">SUMPRODUCT(--(Sens!$R$329:$AA$329=2028-cip_lag),Sens!$R$362:$AA$362)-Sens!$W$364</f>
        <v>0</v>
      </c>
      <c r="X365" s="38" t="n">
        <f aca="false">SUMPRODUCT(--(Sens!$R$329:$AA$329=2029-cip_lag),Sens!$R$362:$AA$362)-Sens!$X$364</f>
        <v>0</v>
      </c>
      <c r="Y365" s="38" t="n">
        <f aca="false">SUMPRODUCT(--(Sens!$R$329:$AA$329=2030-cip_lag),Sens!$R$362:$AA$362)-Sens!$Y$364</f>
        <v>0</v>
      </c>
      <c r="Z365" s="38" t="n">
        <f aca="false">SUMPRODUCT(--(Sens!$R$329:$AA$329=2031-cip_lag),Sens!$R$362:$AA$362)-Sens!$Z$364</f>
        <v>0</v>
      </c>
      <c r="AA365" s="38" t="n">
        <f aca="false">SUMPRODUCT(--(Sens!$R$329:$AA$329=2032-cip_lag),Sens!$R$362:$AA$362)-Sens!$AA$364</f>
        <v>0</v>
      </c>
    </row>
    <row r="366" customFormat="false" ht="17.15" hidden="false" customHeight="false" outlineLevel="0" collapsed="false">
      <c r="A366" s="5" t="s">
        <v>645</v>
      </c>
      <c r="B366" s="0" t="s">
        <v>86</v>
      </c>
      <c r="C366" s="38" t="n">
        <f aca="false">Sens!$C$361*Sens!$C$358</f>
        <v>8.2530642</v>
      </c>
      <c r="D366" s="38" t="n">
        <f aca="false">Sens!$D$361*Sens!$D$358</f>
        <v>37.1387889</v>
      </c>
      <c r="E366" s="38" t="n">
        <f aca="false">Sens!$E$361*Sens!$E$358</f>
        <v>25.7897792</v>
      </c>
      <c r="F366" s="38" t="n">
        <f aca="false">Sens!$F$361*Sens!$F$358</f>
        <v>67.4948715189913</v>
      </c>
      <c r="G366" s="38" t="n">
        <f aca="false">Sens!$E$366+Sens!$F$366</f>
        <v>93.2846507189913</v>
      </c>
      <c r="H366" s="38" t="n">
        <f aca="false">(Sens!$H$361-Sens!$H$360)*Sens!$H$358+Sens!$H$360</f>
        <v>152.52478394475</v>
      </c>
      <c r="I366" s="38" t="n">
        <f aca="false">(Sens!$I$361-Sens!$I$360)*Sens!$I$358+Sens!$I$360</f>
        <v>158.5998889105</v>
      </c>
      <c r="J366" s="38" t="n">
        <f aca="false">(Sens!$J$361-Sens!$J$360)*Sens!$J$358+Sens!$J$360</f>
        <v>163.8366571105</v>
      </c>
      <c r="K366" s="38" t="n">
        <f aca="false">(Sens!$K$361-Sens!$K$360)*Sens!$K$358+Sens!$K$360</f>
        <v>122.665498273534</v>
      </c>
      <c r="L366" s="38" t="n">
        <f aca="false">(Sens!$L$361-Sens!$L$360)*Sens!$L$358+Sens!$L$360</f>
        <v>112.914948636568</v>
      </c>
      <c r="M366" s="38" t="n">
        <f aca="false">(Sens!$M$361-Sens!$M$360)*Sens!$M$358+Sens!$M$360</f>
        <v>126.605482654852</v>
      </c>
      <c r="R366" s="38" t="n">
        <f aca="false">Sens!$R$361*Sens!$C$358</f>
        <v>1.09927679019314</v>
      </c>
      <c r="S366" s="38" t="n">
        <f aca="false">Sens!$C$366</f>
        <v>8.2530642</v>
      </c>
      <c r="T366" s="38" t="n">
        <f aca="false">Sens!$D$366</f>
        <v>37.1387889</v>
      </c>
      <c r="U366" s="38" t="n">
        <f aca="false">Sens!$G$366</f>
        <v>93.2846507189913</v>
      </c>
      <c r="V366" s="38" t="n">
        <f aca="false">Sens!$H$366</f>
        <v>152.52478394475</v>
      </c>
      <c r="W366" s="38" t="n">
        <f aca="false">Sens!$I$366</f>
        <v>158.5998889105</v>
      </c>
      <c r="X366" s="38" t="n">
        <f aca="false">Sens!$J$366</f>
        <v>163.8366571105</v>
      </c>
      <c r="Y366" s="38" t="n">
        <f aca="false">Sens!$K$366</f>
        <v>122.665498273534</v>
      </c>
      <c r="Z366" s="38" t="n">
        <f aca="false">Sens!$L$366</f>
        <v>112.914948636568</v>
      </c>
      <c r="AA366" s="38" t="n">
        <f aca="false">Sens!$M$366</f>
        <v>126.605482654852</v>
      </c>
    </row>
    <row r="367" customFormat="false" ht="15" hidden="false" customHeight="false" outlineLevel="0" collapsed="false">
      <c r="A367" s="5" t="s">
        <v>646</v>
      </c>
      <c r="B367" s="0" t="s">
        <v>86</v>
      </c>
      <c r="C367" s="38" t="n">
        <f aca="false">Sens!$C$361-Sens!$C$366</f>
        <v>3.0408</v>
      </c>
      <c r="D367" s="38" t="n">
        <f aca="false">Sens!$D$361-Sens!$D$366</f>
        <v>13.6836</v>
      </c>
      <c r="E367" s="38" t="n">
        <f aca="false">Sens!$E$361-Sens!$E$366</f>
        <v>8.1088</v>
      </c>
      <c r="F367" s="38" t="n">
        <f aca="false">Sens!$F$361-Sens!$F$366</f>
        <v>21.2216789422221</v>
      </c>
      <c r="G367" s="38" t="n">
        <f aca="false">Sens!$G$361-Sens!$G$366</f>
        <v>29.3304789422221</v>
      </c>
      <c r="H367" s="38" t="n">
        <f aca="false">Sens!$H$361-Sens!$H$366</f>
        <v>46.046581</v>
      </c>
      <c r="I367" s="38" t="n">
        <f aca="false">Sens!$I$361-Sens!$I$366</f>
        <v>46.046581</v>
      </c>
      <c r="J367" s="38" t="n">
        <f aca="false">Sens!$J$361-Sens!$J$366</f>
        <v>46.046581</v>
      </c>
      <c r="K367" s="38" t="n">
        <f aca="false">Sens!$K$361-Sens!$K$366</f>
        <v>32.5728870016667</v>
      </c>
      <c r="L367" s="38" t="n">
        <f aca="false">Sens!$L$361-Sens!$L$366</f>
        <v>19.0991930033334</v>
      </c>
      <c r="M367" s="38" t="n">
        <f aca="false">Sens!$M$361-Sens!$M$366</f>
        <v>5.62549900499998</v>
      </c>
      <c r="R367" s="38" t="n">
        <f aca="false">Sens!$R$361-Sens!$R$366</f>
        <v>0.405023005106309</v>
      </c>
      <c r="S367" s="38" t="n">
        <f aca="false">Sens!$S$361-Sens!$S$366</f>
        <v>3.0408</v>
      </c>
      <c r="T367" s="38" t="n">
        <f aca="false">Sens!$T$361-Sens!$T$366</f>
        <v>13.6836</v>
      </c>
      <c r="U367" s="38" t="n">
        <f aca="false">Sens!$U$361-Sens!$U$366</f>
        <v>29.3304789422221</v>
      </c>
      <c r="V367" s="38" t="n">
        <f aca="false">Sens!$V$361-Sens!$V$366</f>
        <v>46.046581</v>
      </c>
      <c r="W367" s="38" t="n">
        <f aca="false">Sens!$W$361-Sens!$W$366</f>
        <v>46.046581</v>
      </c>
      <c r="X367" s="38" t="n">
        <f aca="false">Sens!$X$361-Sens!$X$366</f>
        <v>46.046581</v>
      </c>
      <c r="Y367" s="38" t="n">
        <f aca="false">Sens!$Y$361-Sens!$Y$366</f>
        <v>32.5728870016667</v>
      </c>
      <c r="Z367" s="38" t="n">
        <f aca="false">Sens!$Z$361-Sens!$Z$366</f>
        <v>19.0991930033334</v>
      </c>
      <c r="AA367" s="38" t="n">
        <f aca="false">Sens!$AA$361-Sens!$AA$366</f>
        <v>5.62549900499998</v>
      </c>
    </row>
    <row r="368" customFormat="false" ht="17.15" hidden="false" customHeight="false" outlineLevel="0" collapsed="false">
      <c r="A368" s="0" t="s">
        <v>647</v>
      </c>
      <c r="B368" s="0" t="s">
        <v>52</v>
      </c>
      <c r="C368" s="13" t="n">
        <f aca="false">Sens!$C$359/Sens!$C$484</f>
        <v>0.325505489553393</v>
      </c>
      <c r="D368" s="13" t="n">
        <f aca="false">Sens!$D$359/Sens!$D$484</f>
        <v>0.54214956071542</v>
      </c>
      <c r="E368" s="13" t="n">
        <f aca="false">Sens!$E$359/Sens!$E$484</f>
        <v>0.666492790452817</v>
      </c>
      <c r="F368" s="13" t="n">
        <f aca="false">Sens!$F$359/Sens!$F$484</f>
        <v>0.71724917504417</v>
      </c>
      <c r="G368" s="13" t="n">
        <f aca="false">Sens!$G$359/Sens!$G$484</f>
        <v>0.69502941413511</v>
      </c>
      <c r="H368" s="13" t="n">
        <f aca="false">Sens!$H$359/Sens!$H$484</f>
        <v>0.726376041178204</v>
      </c>
      <c r="I368" s="13" t="n">
        <f aca="false">Sens!$I$359/Sens!$I$484</f>
        <v>0.713099092661699</v>
      </c>
      <c r="J368" s="13" t="n">
        <f aca="false">Sens!$J$359/Sens!$J$484</f>
        <v>0.701208348786245</v>
      </c>
      <c r="K368" s="13" t="n">
        <f aca="false">Sens!$K$359/Sens!$K$484</f>
        <v>0.618338844562383</v>
      </c>
      <c r="L368" s="13" t="n">
        <f aca="false">Sens!$L$359/Sens!$L$484</f>
        <v>0.562489158462506</v>
      </c>
      <c r="M368" s="13" t="n">
        <f aca="false">Sens!$M$359/Sens!$M$484</f>
        <v>0.545751190895923</v>
      </c>
    </row>
    <row r="369" customFormat="false" ht="17.15" hidden="false" customHeight="false" outlineLevel="0" collapsed="false">
      <c r="A369" s="0" t="s">
        <v>648</v>
      </c>
      <c r="B369" s="0" t="s">
        <v>86</v>
      </c>
      <c r="C369" s="38" t="n">
        <f aca="false">Sens!$S$369</f>
        <v>0.183212798365523</v>
      </c>
      <c r="D369" s="38" t="n">
        <f aca="false">Sens!$T$369</f>
        <v>1.55872349836552</v>
      </c>
      <c r="E369" s="38" t="n">
        <f aca="false">Sens!$G$369/2</f>
        <v>4.72585036583285</v>
      </c>
      <c r="F369" s="38" t="n">
        <f aca="false">Sens!$G$369/2</f>
        <v>4.72585036583285</v>
      </c>
      <c r="G369" s="38" t="n">
        <f aca="false">Sens!$U$369</f>
        <v>9.4517007316657</v>
      </c>
      <c r="H369" s="38" t="n">
        <f aca="false">Sens!$V$369</f>
        <v>27.2822988413376</v>
      </c>
      <c r="I369" s="38" t="n">
        <f aca="false">Sens!$W$369</f>
        <v>56.5439995605568</v>
      </c>
      <c r="J369" s="38" t="n">
        <f aca="false">Sens!$X$369</f>
        <v>82.9773143789735</v>
      </c>
      <c r="K369" s="38" t="n">
        <f aca="false">Sens!$Y$369</f>
        <v>110.100211099025</v>
      </c>
      <c r="L369" s="38" t="n">
        <f aca="false">Sens!$Z$369</f>
        <v>129.16895011128</v>
      </c>
      <c r="M369" s="38" t="n">
        <f aca="false">Sens!$AA$369</f>
        <v>140.095130984075</v>
      </c>
      <c r="N369" s="38" t="n">
        <f aca="false">Sens!$D$369/2</f>
        <v>0.779361749182762</v>
      </c>
      <c r="O369" s="38" t="n">
        <f aca="false">Sens!$D$369/2</f>
        <v>0.779361749182762</v>
      </c>
      <c r="R369" s="38" t="n">
        <f aca="false">(SUMPRODUCT(--(Sens!$R$329:$AA$329&lt;Sens!R$329),--(Sens!$R$329:$AA$329&gt;=Sens!R$329-tk_life),Sens!$R$366:$AA$366)+SUMPRODUCT(--(Sens!$R$329:$AA$329&lt;Sens!R$329),--(Sens!$R$329:$AA$329&gt;=Sens!R$329-tk_life),Sens!$R$364:$AA$364))/tk_life</f>
        <v>0</v>
      </c>
      <c r="S369" s="38" t="n">
        <f aca="false">(SUMPRODUCT(--(Sens!$R$329:$AA$329&lt;Sens!S$329),--(Sens!$R$329:$AA$329&gt;=Sens!S$329-tk_life),Sens!$R$366:$AA$366)+SUMPRODUCT(--(Sens!$R$329:$AA$329&lt;Sens!S$329),--(Sens!$R$329:$AA$329&gt;=Sens!S$329-tk_life),Sens!$R$364:$AA$364))/tk_life</f>
        <v>0.183212798365523</v>
      </c>
      <c r="T369" s="38" t="n">
        <f aca="false">(SUMPRODUCT(--(Sens!$R$329:$AA$329&lt;Sens!T$329),--(Sens!$R$329:$AA$329&gt;=Sens!T$329-tk_life),Sens!$R$366:$AA$366)+SUMPRODUCT(--(Sens!$R$329:$AA$329&lt;Sens!T$329),--(Sens!$R$329:$AA$329&gt;=Sens!T$329-tk_life),Sens!$R$364:$AA$364))/tk_life</f>
        <v>1.55872349836552</v>
      </c>
      <c r="U369" s="38" t="n">
        <f aca="false">(SUMPRODUCT(--(Sens!$R$329:$AA$329&lt;Sens!U$329),--(Sens!$R$329:$AA$329&gt;=Sens!U$329-tk_life),Sens!$R$366:$AA$366)+SUMPRODUCT(--(Sens!$R$329:$AA$329&lt;Sens!U$329),--(Sens!$R$329:$AA$329&gt;=Sens!U$329-tk_life),Sens!$R$364:$AA$364))/tk_life</f>
        <v>9.4517007316657</v>
      </c>
      <c r="V369" s="38" t="n">
        <f aca="false">(SUMPRODUCT(--(Sens!$R$329:$AA$329&lt;Sens!V$329),--(Sens!$R$329:$AA$329&gt;=Sens!V$329-tk_life),Sens!$R$366:$AA$366)+SUMPRODUCT(--(Sens!$R$329:$AA$329&lt;Sens!V$329),--(Sens!$R$329:$AA$329&gt;=Sens!V$329-tk_life),Sens!$R$364:$AA$364))/tk_life</f>
        <v>27.2822988413376</v>
      </c>
      <c r="W369" s="38" t="n">
        <f aca="false">(SUMPRODUCT(--(Sens!$R$329:$AA$329&lt;Sens!W$329),--(Sens!$R$329:$AA$329&gt;=Sens!W$329-tk_life),Sens!$R$366:$AA$366)+SUMPRODUCT(--(Sens!$R$329:$AA$329&lt;Sens!W$329),--(Sens!$R$329:$AA$329&gt;=Sens!W$329-tk_life),Sens!$R$364:$AA$364))/tk_life</f>
        <v>56.5439995605568</v>
      </c>
      <c r="X369" s="38" t="n">
        <f aca="false">(SUMPRODUCT(--(Sens!$R$329:$AA$329&lt;Sens!X$329),--(Sens!$R$329:$AA$329&gt;=Sens!X$329-tk_life),Sens!$R$366:$AA$366)+SUMPRODUCT(--(Sens!$R$329:$AA$329&lt;Sens!X$329),--(Sens!$R$329:$AA$329&gt;=Sens!X$329-tk_life),Sens!$R$364:$AA$364))/tk_life</f>
        <v>82.9773143789735</v>
      </c>
      <c r="Y369" s="38" t="n">
        <f aca="false">(SUMPRODUCT(--(Sens!$R$329:$AA$329&lt;Sens!Y$329),--(Sens!$R$329:$AA$329&gt;=Sens!Y$329-tk_life),Sens!$R$366:$AA$366)+SUMPRODUCT(--(Sens!$R$329:$AA$329&lt;Sens!Y$329),--(Sens!$R$329:$AA$329&gt;=Sens!Y$329-tk_life),Sens!$R$364:$AA$364))/tk_life</f>
        <v>110.100211099025</v>
      </c>
      <c r="Z369" s="38" t="n">
        <f aca="false">(SUMPRODUCT(--(Sens!$R$329:$AA$329&lt;Sens!Z$329),--(Sens!$R$329:$AA$329&gt;=Sens!Z$329-tk_life),Sens!$R$366:$AA$366)+SUMPRODUCT(--(Sens!$R$329:$AA$329&lt;Sens!Z$329),--(Sens!$R$329:$AA$329&gt;=Sens!Z$329-tk_life),Sens!$R$364:$AA$364))/tk_life</f>
        <v>129.16895011128</v>
      </c>
      <c r="AA369" s="38" t="n">
        <f aca="false">(SUMPRODUCT(--(Sens!$R$329:$AA$329&lt;Sens!AA$329),--(Sens!$R$329:$AA$329&gt;=Sens!AA$329-tk_life),Sens!$R$366:$AA$366)+SUMPRODUCT(--(Sens!$R$329:$AA$329&lt;Sens!AA$329),--(Sens!$R$329:$AA$329&gt;=Sens!AA$329-tk_life),Sens!$R$364:$AA$364))/tk_life</f>
        <v>140.095130984075</v>
      </c>
    </row>
    <row r="370" customFormat="false" ht="17.15" hidden="false" customHeight="false" outlineLevel="0" collapsed="false">
      <c r="A370" s="0" t="s">
        <v>649</v>
      </c>
      <c r="B370" s="0" t="s">
        <v>86</v>
      </c>
      <c r="C370" s="38" t="n">
        <f aca="false">Sens!$S$370</f>
        <v>0.0202511502553155</v>
      </c>
      <c r="D370" s="38" t="n">
        <f aca="false">Sens!$T$370</f>
        <v>0.172291150255315</v>
      </c>
      <c r="E370" s="38" t="n">
        <f aca="false">Sens!$G$370/2</f>
        <v>0.522364740326067</v>
      </c>
      <c r="F370" s="38" t="n">
        <f aca="false">Sens!$G$370/2</f>
        <v>0.522364740326067</v>
      </c>
      <c r="G370" s="38" t="n">
        <f aca="false">Sens!$U$370</f>
        <v>1.04472948065213</v>
      </c>
      <c r="H370" s="38" t="n">
        <f aca="false">Sens!$V$370</f>
        <v>2.76361866736136</v>
      </c>
      <c r="I370" s="38" t="n">
        <f aca="false">Sens!$W$370</f>
        <v>5.42824377125863</v>
      </c>
      <c r="J370" s="38" t="n">
        <f aca="false">Sens!$X$370</f>
        <v>7.73057282125864</v>
      </c>
      <c r="K370" s="38" t="n">
        <f aca="false">Sens!$Y$370</f>
        <v>10.0329018712586</v>
      </c>
      <c r="L370" s="38" t="n">
        <f aca="false">Sens!$Z$370</f>
        <v>11.661546221342</v>
      </c>
      <c r="M370" s="38" t="n">
        <f aca="false">Sens!$AA$370</f>
        <v>12.6165058715086</v>
      </c>
      <c r="N370" s="38" t="n">
        <f aca="false">Sens!$D$370/2</f>
        <v>0.0861455751276577</v>
      </c>
      <c r="O370" s="38" t="n">
        <f aca="false">Sens!$D$370/2</f>
        <v>0.0861455751276577</v>
      </c>
      <c r="R370" s="38" t="n">
        <f aca="false">(SUMPRODUCT(--(Sens!$R$329:$AA$329&lt;Sens!R$329),Sens!$R$367:$AA$367)+SUMPRODUCT(--(Sens!$R$329:$AA$329&lt;Sens!R$329),Sens!$R$365:$AA$365))/fac_life</f>
        <v>0</v>
      </c>
      <c r="S370" s="38" t="n">
        <f aca="false">(SUMPRODUCT(--(Sens!$R$329:$AA$329&lt;Sens!S$329),Sens!$R$367:$AA$367)+SUMPRODUCT(--(Sens!$R$329:$AA$329&lt;Sens!S$329),Sens!$R$365:$AA$365))/fac_life</f>
        <v>0.0202511502553155</v>
      </c>
      <c r="T370" s="38" t="n">
        <f aca="false">(SUMPRODUCT(--(Sens!$R$329:$AA$329&lt;Sens!T$329),Sens!$R$367:$AA$367)+SUMPRODUCT(--(Sens!$R$329:$AA$329&lt;Sens!T$329),Sens!$R$365:$AA$365))/fac_life</f>
        <v>0.172291150255315</v>
      </c>
      <c r="U370" s="38" t="n">
        <f aca="false">(SUMPRODUCT(--(Sens!$R$329:$AA$329&lt;Sens!U$329),Sens!$R$367:$AA$367)+SUMPRODUCT(--(Sens!$R$329:$AA$329&lt;Sens!U$329),Sens!$R$365:$AA$365))/fac_life</f>
        <v>1.04472948065213</v>
      </c>
      <c r="V370" s="38" t="n">
        <f aca="false">(SUMPRODUCT(--(Sens!$R$329:$AA$329&lt;Sens!V$329),Sens!$R$367:$AA$367)+SUMPRODUCT(--(Sens!$R$329:$AA$329&lt;Sens!V$329),Sens!$R$365:$AA$365))/fac_life</f>
        <v>2.76361866736136</v>
      </c>
      <c r="W370" s="38" t="n">
        <f aca="false">(SUMPRODUCT(--(Sens!$R$329:$AA$329&lt;Sens!W$329),Sens!$R$367:$AA$367)+SUMPRODUCT(--(Sens!$R$329:$AA$329&lt;Sens!W$329),Sens!$R$365:$AA$365))/fac_life</f>
        <v>5.42824377125863</v>
      </c>
      <c r="X370" s="38" t="n">
        <f aca="false">(SUMPRODUCT(--(Sens!$R$329:$AA$329&lt;Sens!X$329),Sens!$R$367:$AA$367)+SUMPRODUCT(--(Sens!$R$329:$AA$329&lt;Sens!X$329),Sens!$R$365:$AA$365))/fac_life</f>
        <v>7.73057282125864</v>
      </c>
      <c r="Y370" s="38" t="n">
        <f aca="false">(SUMPRODUCT(--(Sens!$R$329:$AA$329&lt;Sens!Y$329),Sens!$R$367:$AA$367)+SUMPRODUCT(--(Sens!$R$329:$AA$329&lt;Sens!Y$329),Sens!$R$365:$AA$365))/fac_life</f>
        <v>10.0329018712586</v>
      </c>
      <c r="Z370" s="38" t="n">
        <f aca="false">(SUMPRODUCT(--(Sens!$R$329:$AA$329&lt;Sens!Z$329),Sens!$R$367:$AA$367)+SUMPRODUCT(--(Sens!$R$329:$AA$329&lt;Sens!Z$329),Sens!$R$365:$AA$365))/fac_life</f>
        <v>11.661546221342</v>
      </c>
      <c r="AA370" s="38" t="n">
        <f aca="false">(SUMPRODUCT(--(Sens!$R$329:$AA$329&lt;Sens!AA$329),Sens!$R$367:$AA$367)+SUMPRODUCT(--(Sens!$R$329:$AA$329&lt;Sens!AA$329),Sens!$R$365:$AA$365))/fac_life</f>
        <v>12.6165058715086</v>
      </c>
    </row>
    <row r="371" customFormat="false" ht="17.15" hidden="false" customHeight="false" outlineLevel="0" collapsed="false">
      <c r="A371" s="1" t="s">
        <v>650</v>
      </c>
      <c r="B371" s="8" t="s">
        <v>86</v>
      </c>
      <c r="C371" s="38" t="n">
        <f aca="false">Sens!$C$369+Sens!$C$370</f>
        <v>0.203463948620839</v>
      </c>
      <c r="D371" s="38" t="n">
        <f aca="false">Sens!$D$369+Sens!$D$370</f>
        <v>1.73101464862084</v>
      </c>
      <c r="E371" s="38" t="n">
        <f aca="false">Sens!$E$369+Sens!$E$370</f>
        <v>5.24821510615892</v>
      </c>
      <c r="F371" s="38" t="n">
        <f aca="false">Sens!$F$369+Sens!$F$370</f>
        <v>5.24821510615892</v>
      </c>
      <c r="G371" s="38" t="n">
        <f aca="false">Sens!$G$369+Sens!$G$370</f>
        <v>10.4964302123178</v>
      </c>
      <c r="H371" s="38" t="n">
        <f aca="false">Sens!$H$369+Sens!$H$370</f>
        <v>30.045917508699</v>
      </c>
      <c r="I371" s="38" t="n">
        <f aca="false">Sens!$I$369+Sens!$I$370</f>
        <v>61.9722433318155</v>
      </c>
      <c r="J371" s="38" t="n">
        <f aca="false">Sens!$J$369+Sens!$J$370</f>
        <v>90.7078872002321</v>
      </c>
      <c r="K371" s="38" t="n">
        <f aca="false">Sens!$K$369+Sens!$K$370</f>
        <v>120.133112970283</v>
      </c>
      <c r="L371" s="38" t="n">
        <f aca="false">Sens!$L$369+Sens!$L$370</f>
        <v>140.830496332622</v>
      </c>
      <c r="M371" s="38" t="n">
        <f aca="false">Sens!$M$369+Sens!$M$370</f>
        <v>152.711636855584</v>
      </c>
      <c r="N371" s="38" t="n">
        <f aca="false">Sens!$N$369+Sens!$N$370</f>
        <v>0.865507324310419</v>
      </c>
      <c r="O371" s="38" t="n">
        <f aca="false">Sens!$O$369+Sens!$O$370</f>
        <v>0.865507324310419</v>
      </c>
      <c r="R371" s="38" t="n">
        <f aca="false">Sens!$R$369+Sens!$R$370</f>
        <v>0</v>
      </c>
      <c r="S371" s="38" t="n">
        <f aca="false">Sens!$S$369+Sens!$S$370</f>
        <v>0.203463948620839</v>
      </c>
      <c r="T371" s="38" t="n">
        <f aca="false">Sens!$T$369+Sens!$T$370</f>
        <v>1.73101464862084</v>
      </c>
      <c r="U371" s="38" t="n">
        <f aca="false">Sens!$U$369+Sens!$U$370</f>
        <v>10.4964302123178</v>
      </c>
      <c r="V371" s="38" t="n">
        <f aca="false">Sens!$V$369+Sens!$V$370</f>
        <v>30.045917508699</v>
      </c>
      <c r="W371" s="38" t="n">
        <f aca="false">Sens!$W$369+Sens!$W$370</f>
        <v>61.9722433318155</v>
      </c>
      <c r="X371" s="38" t="n">
        <f aca="false">Sens!$X$369+Sens!$X$370</f>
        <v>90.7078872002321</v>
      </c>
      <c r="Y371" s="38" t="n">
        <f aca="false">Sens!$Y$369+Sens!$Y$370</f>
        <v>120.133112970283</v>
      </c>
      <c r="Z371" s="38" t="n">
        <f aca="false">Sens!$Z$369+Sens!$Z$370</f>
        <v>140.830496332622</v>
      </c>
      <c r="AA371" s="38" t="n">
        <f aca="false">Sens!$AA$369+Sens!$AA$370</f>
        <v>152.711636855584</v>
      </c>
    </row>
    <row r="372" customFormat="false" ht="17.15" hidden="false" customHeight="false" outlineLevel="0" collapsed="false">
      <c r="A372" s="0" t="s">
        <v>651</v>
      </c>
      <c r="B372" s="0" t="s">
        <v>86</v>
      </c>
      <c r="C372" s="38" t="n">
        <f aca="false">Sens!$S$372</f>
        <v>26.578941154416</v>
      </c>
      <c r="D372" s="38" t="n">
        <f aca="false">Sens!$T$372</f>
        <v>94.4165581367978</v>
      </c>
      <c r="G372" s="38" t="n">
        <f aca="false">Sens!$U$372</f>
        <v>236.826599034204</v>
      </c>
      <c r="H372" s="38" t="n">
        <f aca="false">Sens!$V$372</f>
        <v>405.352046470255</v>
      </c>
      <c r="I372" s="38" t="n">
        <f aca="false">Sens!$W$372</f>
        <v>548.02627304894</v>
      </c>
      <c r="J372" s="38" t="n">
        <f aca="false">Sens!$X$372</f>
        <v>667.201623959208</v>
      </c>
      <c r="K372" s="38" t="n">
        <f aca="false">Sens!$Y$372</f>
        <v>702.306896264125</v>
      </c>
      <c r="L372" s="38" t="n">
        <f aca="false">Sens!$Z$372</f>
        <v>693.490541571405</v>
      </c>
      <c r="M372" s="38" t="n">
        <f aca="false">Sens!$AA$372</f>
        <v>673.009886375674</v>
      </c>
      <c r="R372" s="38" t="n">
        <f aca="false">SUM(Sens!$R$359:$R$359)-SUM(Sens!$R$371:$R$371)</f>
        <v>1.50429979529945</v>
      </c>
      <c r="S372" s="38" t="n">
        <f aca="false">SUM(Sens!$R$359:$S$359)-SUM(Sens!$R$371:$S$371)</f>
        <v>26.578941154416</v>
      </c>
      <c r="T372" s="38" t="n">
        <f aca="false">SUM(Sens!$R$359:$T$359)-SUM(Sens!$R$371:$T$371)</f>
        <v>94.4165581367978</v>
      </c>
      <c r="U372" s="38" t="n">
        <f aca="false">SUM(Sens!$R$359:$U$359)-SUM(Sens!$R$371:$U$371)</f>
        <v>236.826599034204</v>
      </c>
      <c r="V372" s="38" t="n">
        <f aca="false">SUM(Sens!$R$359:$V$359)-SUM(Sens!$R$371:$V$371)</f>
        <v>405.352046470255</v>
      </c>
      <c r="W372" s="38" t="n">
        <f aca="false">SUM(Sens!$R$359:$W$359)-SUM(Sens!$R$371:$W$371)</f>
        <v>548.02627304894</v>
      </c>
      <c r="X372" s="38" t="n">
        <f aca="false">SUM(Sens!$R$359:$X$359)-SUM(Sens!$R$371:$X$371)</f>
        <v>667.201623959208</v>
      </c>
      <c r="Y372" s="38" t="n">
        <f aca="false">SUM(Sens!$R$359:$Y$359)-SUM(Sens!$R$371:$Y$371)</f>
        <v>702.306896264125</v>
      </c>
      <c r="Z372" s="38" t="n">
        <f aca="false">SUM(Sens!$R$359:$Z$359)-SUM(Sens!$R$371:$Z$371)</f>
        <v>693.490541571405</v>
      </c>
      <c r="AA372" s="38" t="n">
        <f aca="false">SUM(Sens!$R$359:$AA$359)-SUM(Sens!$R$371:$AA$371)</f>
        <v>673.009886375674</v>
      </c>
    </row>
    <row r="373" customFormat="false" ht="17.15" hidden="false" customHeight="false" outlineLevel="0" collapsed="false">
      <c r="A373" s="1" t="s">
        <v>652</v>
      </c>
    </row>
    <row r="374" customFormat="false" ht="17.15" hidden="false" customHeight="false" outlineLevel="0" collapsed="false">
      <c r="A374" s="0" t="s">
        <v>653</v>
      </c>
      <c r="B374" s="0" t="s">
        <v>86</v>
      </c>
      <c r="C374" s="38" t="n">
        <f aca="false">Sens!$C$350-ext_sh*Sens!$C$352</f>
        <v>1.80694998843362</v>
      </c>
      <c r="D374" s="38" t="n">
        <f aca="false">Sens!$D$350-ext_sh*Sens!$D$352</f>
        <v>6.77606245662607</v>
      </c>
      <c r="E374" s="38" t="n">
        <f aca="false">Sens!$E$350-ext_sh*Sens!$E$352</f>
        <v>6.62548329092326</v>
      </c>
      <c r="F374" s="38" t="n">
        <f aca="false">Sens!$F$350-ext_sh*Sens!$F$352</f>
        <v>10.8940413794839</v>
      </c>
      <c r="G374" s="38" t="n">
        <f aca="false">Sens!$G$350-ext_sh*Sens!$G$352</f>
        <v>17.5195246704072</v>
      </c>
      <c r="H374" s="38" t="n">
        <f aca="false">Sens!$H$350-ext_sh*Sens!$H$352</f>
        <v>40.7735721541341</v>
      </c>
      <c r="I374" s="38" t="n">
        <f aca="false">Sens!$I$350-ext_sh*Sens!$I$352</f>
        <v>66.8500163832358</v>
      </c>
      <c r="J374" s="38" t="n">
        <f aca="false">Sens!$J$350-ext_sh*Sens!$J$352</f>
        <v>93.0640470849174</v>
      </c>
      <c r="K374" s="38" t="n">
        <f aca="false">Sens!$K$350-ext_sh*Sens!$K$352</f>
        <v>115.424757703147</v>
      </c>
      <c r="L374" s="38" t="n">
        <f aca="false">Sens!$L$350-ext_sh*Sens!$L$352</f>
        <v>130.120169833198</v>
      </c>
      <c r="M374" s="38" t="n">
        <f aca="false">Sens!$M$350-ext_sh*Sens!$M$352</f>
        <v>137.12790595888</v>
      </c>
      <c r="N374" s="38" t="n">
        <f aca="false">Sens!$N$350-ext_sh*Sens!$N$352</f>
        <v>2.37162185981912</v>
      </c>
      <c r="O374" s="38" t="n">
        <f aca="false">Sens!$O$350-ext_sh*Sens!$O$352</f>
        <v>4.40444059680694</v>
      </c>
    </row>
    <row r="375" customFormat="false" ht="17.15" hidden="false" customHeight="false" outlineLevel="0" collapsed="false">
      <c r="A375" s="1" t="s">
        <v>654</v>
      </c>
      <c r="B375" s="8" t="s">
        <v>86</v>
      </c>
      <c r="C375" s="38" t="n">
        <f aca="false">Sens!$C$374-ext_sh*Sens!$C$371</f>
        <v>1.64417882953695</v>
      </c>
      <c r="D375" s="38" t="n">
        <f aca="false">Sens!$D$374-ext_sh*Sens!$D$371</f>
        <v>5.39125073772939</v>
      </c>
      <c r="E375" s="38" t="n">
        <f aca="false">Sens!$E$374-ext_sh*Sens!$E$371</f>
        <v>2.42691120599613</v>
      </c>
      <c r="F375" s="38" t="n">
        <f aca="false">Sens!$F$374-ext_sh*Sens!$F$371</f>
        <v>6.69546929455678</v>
      </c>
      <c r="G375" s="38" t="n">
        <f aca="false">Sens!$G$374-ext_sh*Sens!$G$371</f>
        <v>9.1223805005529</v>
      </c>
      <c r="H375" s="38" t="n">
        <f aca="false">Sens!$H$374-ext_sh*Sens!$H$371</f>
        <v>16.7368381471749</v>
      </c>
      <c r="I375" s="38" t="n">
        <f aca="false">Sens!$I$374-ext_sh*Sens!$I$371</f>
        <v>17.2722217177834</v>
      </c>
      <c r="J375" s="38" t="n">
        <f aca="false">Sens!$J$374-ext_sh*Sens!$J$371</f>
        <v>20.4977373247316</v>
      </c>
      <c r="K375" s="38" t="n">
        <f aca="false">Sens!$K$374-ext_sh*Sens!$K$371</f>
        <v>19.3182673269205</v>
      </c>
      <c r="L375" s="38" t="n">
        <f aca="false">Sens!$L$374-ext_sh*Sens!$L$371</f>
        <v>17.4557727670999</v>
      </c>
      <c r="M375" s="38" t="n">
        <f aca="false">Sens!$M$374-ext_sh*Sens!$M$371</f>
        <v>14.958596474413</v>
      </c>
      <c r="N375" s="38" t="n">
        <f aca="false">Sens!$N$374-ext_sh*Sens!$N$371</f>
        <v>1.67921600037079</v>
      </c>
      <c r="O375" s="38" t="n">
        <f aca="false">Sens!$O$374-ext_sh*Sens!$O$371</f>
        <v>3.71203473735861</v>
      </c>
    </row>
    <row r="376" customFormat="false" ht="17.15" hidden="false" customHeight="false" outlineLevel="0" collapsed="false">
      <c r="A376" s="0" t="s">
        <v>655</v>
      </c>
      <c r="B376" s="0" t="s">
        <v>52</v>
      </c>
      <c r="C376" s="13" t="n">
        <f aca="false">Sens!$C$375/Sens!$C$350</f>
        <v>0.708390794789371</v>
      </c>
      <c r="D376" s="13" t="n">
        <f aca="false">Sens!$D$375/Sens!$D$350</f>
        <v>0.619415573115729</v>
      </c>
      <c r="E376" s="13" t="n">
        <f aca="false">Sens!$E$375/Sens!$E$350</f>
        <v>0.285171627189009</v>
      </c>
      <c r="F376" s="13" t="n">
        <f aca="false">Sens!$F$375/Sens!$F$350</f>
        <v>0.47359918353757</v>
      </c>
      <c r="G376" s="13" t="n">
        <f aca="false">Sens!$G$375/Sens!$G$350</f>
        <v>0.402793757893083</v>
      </c>
      <c r="H376" s="13" t="n">
        <f aca="false">Sens!$H$375/Sens!$H$350</f>
        <v>0.31329316068603</v>
      </c>
      <c r="I376" s="13" t="n">
        <f aca="false">Sens!$I$375/Sens!$I$350</f>
        <v>0.196722911562407</v>
      </c>
      <c r="J376" s="13" t="n">
        <f aca="false">Sens!$J$375/Sens!$J$350</f>
        <v>0.167560813387199</v>
      </c>
      <c r="K376" s="13" t="n">
        <f aca="false">Sens!$K$375/Sens!$K$350</f>
        <v>0.12727098283806</v>
      </c>
      <c r="L376" s="13" t="n">
        <f aca="false">Sens!$L$375/Sens!$L$350</f>
        <v>0.101991895747882</v>
      </c>
      <c r="M376" s="13" t="n">
        <f aca="false">Sens!$M$375/Sens!$M$350</f>
        <v>0.0829256040915033</v>
      </c>
      <c r="N376" s="13" t="n">
        <f aca="false">Sens!$N$375/Sens!$N$350</f>
        <v>0.551227795793364</v>
      </c>
      <c r="O376" s="13" t="n">
        <f aca="false">Sens!$O$375/Sens!$O$350</f>
        <v>0.656132068597002</v>
      </c>
    </row>
    <row r="377" customFormat="false" ht="17.15" hidden="false" customHeight="false" outlineLevel="0" collapsed="false">
      <c r="A377" s="5" t="s">
        <v>656</v>
      </c>
      <c r="B377" s="0" t="s">
        <v>86</v>
      </c>
      <c r="C377" s="39" t="n">
        <v>0</v>
      </c>
      <c r="D377" s="39" t="n">
        <v>0</v>
      </c>
      <c r="E377" s="39" t="n">
        <v>0</v>
      </c>
      <c r="F377" s="38" t="n">
        <f aca="false">IF(internal_ai_reading=2,1,0)*(1-ext_sh)/ext_sh*(mw_open*he_open+Sens!$F$348*Sens!$F$345)*Sens!$F$334/1000</f>
        <v>3.77122048175818</v>
      </c>
      <c r="G377" s="38" t="n">
        <f aca="false">Sens!$E$377+Sens!$F$377</f>
        <v>3.77122048175818</v>
      </c>
      <c r="H377" s="38" t="n">
        <f aca="false">IF(internal_ai_reading=2,1,0)*(1-ext_sh)/ext_sh*(mw_open*he_open+Sens!$H$348*Sens!$H$345)*Sens!$H$334/1000</f>
        <v>15.1635543609893</v>
      </c>
      <c r="I377" s="38" t="n">
        <f aca="false">IF(internal_ai_reading=2,1,0)*(1-ext_sh)/ext_sh*(mw_open*he_open+Sens!$I$348*Sens!$I$345)*Sens!$I$334/1000</f>
        <v>25.5818843619889</v>
      </c>
      <c r="J377" s="38" t="n">
        <f aca="false">IF(internal_ai_reading=2,1,0)*(1-ext_sh)/ext_sh*(mw_open*he_open+Sens!$J$348*Sens!$J$345)*Sens!$J$334/1000</f>
        <v>36.0465624179122</v>
      </c>
      <c r="K377" s="38" t="n">
        <f aca="false">IF(internal_ai_reading=2,1,0)*(1-ext_sh)/ext_sh*(mw_open*he_open+Sens!$K$348*Sens!$K$345)*Sens!$K$334/1000</f>
        <v>44.9741164026038</v>
      </c>
      <c r="L377" s="38" t="n">
        <f aca="false">IF(internal_ai_reading=2,1,0)*(1-ext_sh)/ext_sh*(mw_open*he_open+Sens!$L$348*Sens!$L$345)*Sens!$L$334/1000</f>
        <v>50.8413488057813</v>
      </c>
      <c r="M377" s="38" t="n">
        <f aca="false">IF(internal_ai_reading=2,1,0)*(1-ext_sh)/ext_sh*(mw_open*he_open+Sens!$M$348*Sens!$M$345)*Sens!$M$334/1000</f>
        <v>53.6407214274315</v>
      </c>
      <c r="N377" s="39" t="n">
        <v>0</v>
      </c>
      <c r="O377" s="39" t="n">
        <v>0</v>
      </c>
      <c r="P377" s="8" t="s">
        <v>657</v>
      </c>
    </row>
    <row r="378" customFormat="false" ht="17.15" hidden="false" customHeight="false" outlineLevel="0" collapsed="false">
      <c r="A378" s="5" t="s">
        <v>658</v>
      </c>
      <c r="B378" s="0" t="s">
        <v>86</v>
      </c>
      <c r="C378" s="38" t="n">
        <f aca="false">(1-ext_sh)*(Sens!$C$352+Sens!$C$371)</f>
        <v>0.169206631859174</v>
      </c>
      <c r="D378" s="38" t="n">
        <f aca="false">(1-ext_sh)*(Sens!$D$352+Sens!$D$371)</f>
        <v>0.828129837730442</v>
      </c>
      <c r="E378" s="38" t="n">
        <f aca="false">(1-ext_sh)*(Sens!$E$352+Sens!$E$371)</f>
        <v>1.52086044239347</v>
      </c>
      <c r="F378" s="38" t="n">
        <f aca="false">(1-ext_sh)*(Sens!$F$352+Sens!$F$371)</f>
        <v>1.86048700344425</v>
      </c>
      <c r="G378" s="38" t="n">
        <f aca="false">(1-ext_sh)*(Sens!$G$352+Sens!$G$371)</f>
        <v>3.38134744583772</v>
      </c>
      <c r="H378" s="38" t="n">
        <f aca="false">(1-ext_sh)*(Sens!$H$352+Sens!$H$371)</f>
        <v>9.17136301267211</v>
      </c>
      <c r="I378" s="38" t="n">
        <f aca="false">(1-ext_sh)*(Sens!$I$352+Sens!$I$371)</f>
        <v>17.6318811343794</v>
      </c>
      <c r="J378" s="38" t="n">
        <f aca="false">(1-ext_sh)*(Sens!$J$352+Sens!$J$371)</f>
        <v>25.4581000191451</v>
      </c>
      <c r="K378" s="38" t="n">
        <f aca="false">(1-ext_sh)*(Sens!$K$352+Sens!$K$371)</f>
        <v>33.1175498168092</v>
      </c>
      <c r="L378" s="38" t="n">
        <f aca="false">(1-ext_sh)*(Sens!$L$352+Sens!$L$371)</f>
        <v>38.4232131776135</v>
      </c>
      <c r="M378" s="38" t="n">
        <f aca="false">(1-ext_sh)*(Sens!$M$352+Sens!$M$371)</f>
        <v>41.3567859278847</v>
      </c>
      <c r="N378" s="38" t="n">
        <f aca="false">(1-ext_sh)*(Sens!$N$352+Sens!$N$371)</f>
        <v>0.34177588266428</v>
      </c>
      <c r="O378" s="38" t="n">
        <f aca="false">(1-ext_sh)*(Sens!$O$352+Sens!$O$371)</f>
        <v>0.486353955066162</v>
      </c>
    </row>
    <row r="379" customFormat="false" ht="17.15" hidden="false" customHeight="false" outlineLevel="0" collapsed="false">
      <c r="A379" s="0" t="s">
        <v>659</v>
      </c>
      <c r="B379" s="0" t="s">
        <v>86</v>
      </c>
      <c r="C379" s="38" t="n">
        <f aca="false">Q!$D$24</f>
        <v>39.834</v>
      </c>
      <c r="D379" s="38" t="n">
        <f aca="false">Q!$E$24</f>
        <v>45.606</v>
      </c>
      <c r="E379" s="38" t="n">
        <f aca="false">Q!$P$24</f>
        <v>30.782</v>
      </c>
      <c r="N379" s="38" t="n">
        <f aca="false">Q!$N$24</f>
        <v>21.707</v>
      </c>
      <c r="O379" s="38" t="n">
        <f aca="false">Q!$O$24</f>
        <v>23.899</v>
      </c>
    </row>
    <row r="380" customFormat="false" ht="17.15" hidden="false" customHeight="false" outlineLevel="0" collapsed="false">
      <c r="A380" s="0" t="s">
        <v>660</v>
      </c>
      <c r="B380" s="0" t="s">
        <v>86</v>
      </c>
      <c r="C380" s="38" t="n">
        <f aca="false">Sens!$C$379-Sens!$C$375</f>
        <v>38.1898211704631</v>
      </c>
      <c r="D380" s="38" t="n">
        <f aca="false">Sens!$D$379-Sens!$D$375</f>
        <v>40.2147492622706</v>
      </c>
      <c r="E380" s="38" t="n">
        <f aca="false">Sens!$E$379-Sens!$E$375</f>
        <v>28.3550887940039</v>
      </c>
      <c r="F380" s="38" t="n">
        <f aca="false">Sens!$F$354*Sens!$F$381</f>
        <v>25.9529793149447</v>
      </c>
      <c r="G380" s="38" t="n">
        <f aca="false">Sens!$E$380+Sens!$F$380</f>
        <v>54.3080681089486</v>
      </c>
      <c r="H380" s="38" t="n">
        <f aca="false">Sens!$H$354*Sens!$H$381</f>
        <v>58.2264684589333</v>
      </c>
      <c r="I380" s="38" t="n">
        <f aca="false">Sens!$I$354*Sens!$I$381</f>
        <v>64.6461353851744</v>
      </c>
      <c r="J380" s="38" t="n">
        <f aca="false">Sens!$J$354*Sens!$J$381</f>
        <v>70.7957093610231</v>
      </c>
      <c r="K380" s="38" t="n">
        <f aca="false">Sens!$K$354*Sens!$K$381</f>
        <v>76.4593661099049</v>
      </c>
      <c r="L380" s="38" t="n">
        <f aca="false">Sens!$L$354*Sens!$L$381</f>
        <v>82.5761153986973</v>
      </c>
      <c r="M380" s="38" t="n">
        <f aca="false">Sens!$M$354*Sens!$M$381</f>
        <v>89.1822046305931</v>
      </c>
      <c r="N380" s="38" t="n">
        <f aca="false">Sens!$N$379-Sens!$N$375</f>
        <v>20.0277839996292</v>
      </c>
      <c r="O380" s="38" t="n">
        <f aca="false">Sens!$O$379-Sens!$O$375</f>
        <v>20.1869652626414</v>
      </c>
      <c r="P380" s="5" t="s">
        <v>661</v>
      </c>
    </row>
    <row r="381" customFormat="false" ht="17.15" hidden="false" customHeight="false" outlineLevel="0" collapsed="false">
      <c r="A381" s="0" t="s">
        <v>662</v>
      </c>
      <c r="B381" s="0" t="s">
        <v>52</v>
      </c>
      <c r="C381" s="13" t="n">
        <f aca="false">Sens!$C$380/Sens!$C$354</f>
        <v>0.362900395443635</v>
      </c>
      <c r="D381" s="13" t="n">
        <f aca="false">Sens!$D$380/Sens!$D$354</f>
        <v>0.335063632425483</v>
      </c>
      <c r="E381" s="13" t="n">
        <f aca="false">Sens!$E$380/Sens!$E$354</f>
        <v>0.397638855555478</v>
      </c>
      <c r="F381" s="13" t="n">
        <f aca="false">(Sens!$O$380+Sens!$E$380)/(Sens!$O$354+Sens!$E$354)</f>
        <v>0.361616727338133</v>
      </c>
      <c r="G381" s="13" t="n">
        <f aca="false">Sens!$G$380/Sens!$G$354</f>
        <v>0.379569803149143</v>
      </c>
      <c r="H381" s="13" t="n">
        <f aca="false">Sens!$F$381</f>
        <v>0.361616727338133</v>
      </c>
      <c r="I381" s="13" t="n">
        <f aca="false">Sens!$F$381</f>
        <v>0.361616727338133</v>
      </c>
      <c r="J381" s="13" t="n">
        <f aca="false">Sens!$F$381</f>
        <v>0.361616727338133</v>
      </c>
      <c r="K381" s="13" t="n">
        <f aca="false">Sens!$F$381</f>
        <v>0.361616727338133</v>
      </c>
      <c r="L381" s="13" t="n">
        <f aca="false">Sens!$F$381</f>
        <v>0.361616727338133</v>
      </c>
      <c r="M381" s="13" t="n">
        <f aca="false">Sens!$F$381</f>
        <v>0.361616727338133</v>
      </c>
      <c r="N381" s="13" t="n">
        <f aca="false">Sens!$N$380/Sens!$N$354</f>
        <v>0.35078810535806</v>
      </c>
      <c r="O381" s="13" t="n">
        <f aca="false">Sens!$O$380/Sens!$O$354</f>
        <v>0.320796939361619</v>
      </c>
      <c r="P381" s="8" t="s">
        <v>663</v>
      </c>
    </row>
    <row r="382" customFormat="false" ht="17.15" hidden="false" customHeight="false" outlineLevel="0" collapsed="false">
      <c r="A382" s="0" t="s">
        <v>664</v>
      </c>
      <c r="B382" s="0" t="s">
        <v>52</v>
      </c>
      <c r="D382" s="13" t="n">
        <f aca="false">(Q!$E$31-ext_sh*Sens!$D$371)/Sens!$D$354</f>
        <v>0.167180325480118</v>
      </c>
    </row>
    <row r="383" customFormat="false" ht="17.15" hidden="false" customHeight="false" outlineLevel="0" collapsed="false">
      <c r="A383" s="0" t="s">
        <v>665</v>
      </c>
      <c r="B383" s="0" t="s">
        <v>86</v>
      </c>
      <c r="C383" s="38" t="n">
        <f aca="false">Q!$D$31</f>
        <v>13.32</v>
      </c>
      <c r="D383" s="38" t="n">
        <f aca="false">Q!$E$31</f>
        <v>21.45</v>
      </c>
      <c r="E383" s="38" t="n">
        <f aca="false">Q!$P$31</f>
        <v>15.353</v>
      </c>
      <c r="F383" s="38" t="n">
        <f aca="false">ext_sh*Sens!$F$371+Sens!$D$382*Sens!$F$354</f>
        <v>16.1969869840094</v>
      </c>
      <c r="G383" s="38" t="n">
        <f aca="false">Sens!$E$383+Sens!$F$383</f>
        <v>31.5499869840094</v>
      </c>
      <c r="H383" s="38" t="n">
        <f aca="false">ext_sh*Sens!$H$371+Sens!$D$382*Sens!$H$354</f>
        <v>50.9556213609176</v>
      </c>
      <c r="I383" s="38" t="n">
        <f aca="false">ext_sh*Sens!$I$371+Sens!$D$382*Sens!$I$354</f>
        <v>79.464581248252</v>
      </c>
      <c r="J383" s="38" t="n">
        <f aca="false">ext_sh*Sens!$J$371+Sens!$D$382*Sens!$J$354</f>
        <v>105.296127931746</v>
      </c>
      <c r="K383" s="38" t="n">
        <f aca="false">ext_sh*Sens!$K$371+Sens!$D$382*Sens!$K$354</f>
        <v>131.454694001511</v>
      </c>
      <c r="L383" s="38" t="n">
        <f aca="false">ext_sh*Sens!$L$371+Sens!$D$382*Sens!$L$354</f>
        <v>150.840456981405</v>
      </c>
      <c r="M383" s="38" t="n">
        <f aca="false">ext_sh*Sens!$M$371+Sens!$D$382*Sens!$M$354</f>
        <v>163.399454192999</v>
      </c>
      <c r="N383" s="38" t="n">
        <f aca="false">Q!$N$31</f>
        <v>9.234</v>
      </c>
      <c r="O383" s="38" t="n">
        <f aca="false">Q!$O$31</f>
        <v>12.216</v>
      </c>
    </row>
    <row r="384" customFormat="false" ht="17.15" hidden="false" customHeight="false" outlineLevel="0" collapsed="false">
      <c r="A384" s="1" t="s">
        <v>666</v>
      </c>
    </row>
    <row r="385" customFormat="false" ht="17.15" hidden="false" customHeight="false" outlineLevel="0" collapsed="false">
      <c r="A385" s="15" t="s">
        <v>667</v>
      </c>
      <c r="B385" s="14" t="s">
        <v>52</v>
      </c>
      <c r="C385" s="14"/>
      <c r="D385" s="14"/>
      <c r="E385" s="14"/>
      <c r="F385" s="14"/>
      <c r="G385" s="17" t="n">
        <f aca="false">Sens!$G$375*(1-tax)/(ext_sh*(Sens!$D$372+Sens!$G$372)/2)</f>
        <v>0.0568983557584531</v>
      </c>
      <c r="H385" s="17" t="n">
        <f aca="false">Sens!$H$375*(1-tax)/(ext_sh*(Sens!$G$372+Sens!$H$372)/2)</f>
        <v>0.0538463172089735</v>
      </c>
      <c r="I385" s="17" t="n">
        <f aca="false">Sens!$I$375*(1-tax)/(ext_sh*(Sens!$H$372+Sens!$I$372)/2)</f>
        <v>0.037430133964047</v>
      </c>
      <c r="J385" s="17" t="n">
        <f aca="false">Sens!$J$375*(1-tax)/(ext_sh*(Sens!$I$372+Sens!$J$372)/2)</f>
        <v>0.0348487047905188</v>
      </c>
      <c r="K385" s="17" t="n">
        <f aca="false">Sens!$K$375*(1-tax)/(ext_sh*(Sens!$J$372+Sens!$K$372)/2)</f>
        <v>0.0291435117089215</v>
      </c>
      <c r="L385" s="17" t="n">
        <f aca="false">Sens!$L$375*(1-tax)/(ext_sh*(Sens!$K$372+Sens!$L$372)/2)</f>
        <v>0.0258377761763353</v>
      </c>
      <c r="M385" s="17" t="n">
        <f aca="false">Sens!$M$375*(1-tax)/(ext_sh*(Sens!$L$372+Sens!$M$372)/2)</f>
        <v>0.0226161941366143</v>
      </c>
      <c r="N385" s="14"/>
      <c r="O385" s="14"/>
      <c r="P385" s="8" t="s">
        <v>668</v>
      </c>
    </row>
    <row r="386" customFormat="false" ht="17.15" hidden="false" customHeight="false" outlineLevel="0" collapsed="false">
      <c r="A386" s="5" t="s">
        <v>669</v>
      </c>
      <c r="B386" s="0" t="s">
        <v>57</v>
      </c>
      <c r="H386" s="36" t="n">
        <f aca="false">Sens!$H$350*1000/(mw_open*he_open+Sens!$H$348*Sens!$H$345)</f>
        <v>0.880767940782091</v>
      </c>
      <c r="I386" s="36" t="n">
        <f aca="false">Sens!$I$350*1000/(mw_open*he_open+Sens!$I$348*Sens!$I$345)</f>
        <v>0.858026572758645</v>
      </c>
      <c r="J386" s="36" t="n">
        <f aca="false">Sens!$J$350*1000/(mw_open*he_open+Sens!$J$348*Sens!$J$345)</f>
        <v>0.848417499448742</v>
      </c>
      <c r="K386" s="36" t="n">
        <f aca="false">Sens!$K$350*1000/(mw_open*he_open+Sens!$K$348*Sens!$K$345)</f>
        <v>0.843754578941374</v>
      </c>
      <c r="L386" s="36" t="n">
        <f aca="false">Sens!$L$350*1000/(mw_open*he_open+Sens!$L$348*Sens!$L$345)</f>
        <v>0.841581849703465</v>
      </c>
      <c r="M386" s="36" t="n">
        <f aca="false">Sens!$M$350*1000/(mw_open*he_open+Sens!$M$348*Sens!$M$345)</f>
        <v>0.840712687048722</v>
      </c>
    </row>
    <row r="387" customFormat="false" ht="17.15" hidden="false" customHeight="false" outlineLevel="0" collapsed="false">
      <c r="A387" s="5" t="s">
        <v>670</v>
      </c>
      <c r="B387" s="0" t="s">
        <v>57</v>
      </c>
      <c r="H387" s="36" t="n">
        <f aca="false">Sens!$H$386*(Sens!$H$350+wacc*ext_sh*(Sens!$G$372+Sens!$H$372)/2/(1-tax)-Sens!$H$375)/Sens!$H$350</f>
        <v>1.18542857552197</v>
      </c>
      <c r="I387" s="36" t="n">
        <f aca="false">Sens!$I$386*(Sens!$I$350+wacc*ext_sh*(Sens!$H$372+Sens!$I$372)/2/(1-tax)-Sens!$I$375)/Sens!$I$350</f>
        <v>1.20015476648903</v>
      </c>
      <c r="J387" s="36" t="n">
        <f aca="false">Sens!$J$386*(Sens!$J$350+wacc*ext_sh*(Sens!$I$372+Sens!$J$372)/2/(1-tax)-Sens!$J$375)/Sens!$J$350</f>
        <v>1.16844056931249</v>
      </c>
      <c r="K387" s="36" t="n">
        <f aca="false">Sens!$K$386*(Sens!$K$350+wacc*ext_sh*(Sens!$J$372+Sens!$K$372)/2/(1-tax)-Sens!$K$375)/Sens!$K$350</f>
        <v>1.15383758356873</v>
      </c>
      <c r="L387" s="36" t="n">
        <f aca="false">Sens!$L$386*(Sens!$L$350+wacc*ext_sh*(Sens!$K$372+Sens!$L$372)/2/(1-tax)-Sens!$L$375)/Sens!$L$350</f>
        <v>1.13212765595665</v>
      </c>
      <c r="M387" s="36" t="n">
        <f aca="false">Sens!$M$386*(Sens!$M$350+wacc*ext_sh*(Sens!$L$372+Sens!$M$372)/2/(1-tax)-Sens!$M$375)/Sens!$M$350</f>
        <v>1.12024635139935</v>
      </c>
    </row>
    <row r="388" customFormat="false" ht="17.15" hidden="false" customHeight="false" outlineLevel="0" collapsed="false">
      <c r="A388" s="5" t="s">
        <v>671</v>
      </c>
      <c r="B388" s="0" t="s">
        <v>52</v>
      </c>
      <c r="C388" s="13" t="n">
        <f aca="false">Sens!$C$351/tk_pq</f>
        <v>0.195316432429398</v>
      </c>
      <c r="D388" s="13" t="n">
        <f aca="false">Sens!$D$351/tk_pq</f>
        <v>0.195316432429398</v>
      </c>
      <c r="E388" s="13" t="n">
        <f aca="false">Sens!$E$351/tk_pq</f>
        <v>0.195316432429398</v>
      </c>
      <c r="F388" s="13" t="n">
        <f aca="false">Sens!$F$351/tk_pq</f>
        <v>0.191077608072499</v>
      </c>
      <c r="G388" s="13" t="n">
        <f aca="false">Sens!$G$351/tk_pq</f>
        <v>0.192648675364927</v>
      </c>
      <c r="H388" s="13" t="n">
        <f aca="false">Sens!$H$351/tk_pq</f>
        <v>0.188813632292207</v>
      </c>
      <c r="I388" s="13" t="n">
        <f aca="false">Sens!$I$351/tk_pq</f>
        <v>0.18967957363228</v>
      </c>
      <c r="J388" s="13" t="n">
        <f aca="false">Sens!$J$351/tk_pq</f>
        <v>0.190298617624149</v>
      </c>
      <c r="K388" s="13" t="n">
        <f aca="false">Sens!$K$351/tk_pq</f>
        <v>0.190580531494929</v>
      </c>
      <c r="L388" s="13" t="n">
        <f aca="false">Sens!$L$351/tk_pq</f>
        <v>0.190712010322094</v>
      </c>
      <c r="M388" s="13" t="n">
        <f aca="false">Sens!$M$351/tk_pq</f>
        <v>0.190736894839384</v>
      </c>
      <c r="N388" s="13" t="n">
        <f aca="false">Sens!$N$351/tk_pq</f>
        <v>0.195316432429398</v>
      </c>
      <c r="O388" s="13" t="n">
        <f aca="false">Sens!$O$351/tk_pq</f>
        <v>0.195316432429398</v>
      </c>
      <c r="P388" s="5" t="s">
        <v>672</v>
      </c>
    </row>
    <row r="391" customFormat="false" ht="17.15" hidden="false" customHeight="false" outlineLevel="0" collapsed="false">
      <c r="A391" s="1" t="s">
        <v>701</v>
      </c>
    </row>
    <row r="392" customFormat="false" ht="17.15" hidden="false" customHeight="false" outlineLevel="0" collapsed="false">
      <c r="A392" s="0" t="s">
        <v>702</v>
      </c>
      <c r="B392" s="0" t="s">
        <v>86</v>
      </c>
      <c r="C392" s="38" t="n">
        <f aca="false">Sens!$C$350</f>
        <v>2.32100535697364</v>
      </c>
      <c r="D392" s="38" t="n">
        <f aca="false">Sens!$D$350</f>
        <v>8.70377008865116</v>
      </c>
      <c r="E392" s="38" t="n">
        <f aca="false">Sens!$E$350</f>
        <v>8.51035297557002</v>
      </c>
      <c r="F392" s="38" t="n">
        <f aca="false">Sens!$F$350</f>
        <v>14.1374173083338</v>
      </c>
      <c r="G392" s="38" t="n">
        <f aca="false">Sens!$G$350</f>
        <v>22.6477702839038</v>
      </c>
      <c r="H392" s="38" t="n">
        <f aca="false">Sens!$H$350</f>
        <v>53.4222901978634</v>
      </c>
      <c r="I392" s="38" t="n">
        <f aca="false">Sens!$I$350</f>
        <v>87.7997462553011</v>
      </c>
      <c r="J392" s="38" t="n">
        <f aca="false">Sens!$J$350</f>
        <v>122.330137401312</v>
      </c>
      <c r="K392" s="38" t="n">
        <f aca="false">Sens!$K$350</f>
        <v>151.788466594157</v>
      </c>
      <c r="L392" s="38" t="n">
        <f aca="false">Sens!$L$350</f>
        <v>171.148625477554</v>
      </c>
      <c r="M392" s="38" t="n">
        <f aca="false">Sens!$M$350</f>
        <v>180.385740185952</v>
      </c>
      <c r="N392" s="38" t="n">
        <f aca="false">Sens!$N$350</f>
        <v>3.04631953102791</v>
      </c>
      <c r="O392" s="38" t="n">
        <f aca="false">Sens!$O$350</f>
        <v>5.65745055762326</v>
      </c>
      <c r="P392" s="8" t="s">
        <v>703</v>
      </c>
    </row>
    <row r="393" customFormat="false" ht="17.15" hidden="false" customHeight="false" outlineLevel="0" collapsed="false">
      <c r="A393" s="0" t="s">
        <v>704</v>
      </c>
      <c r="B393" s="0" t="s">
        <v>86</v>
      </c>
      <c r="C393" s="38" t="n">
        <f aca="false">Sens!$C$354</f>
        <v>105.234994643026</v>
      </c>
      <c r="D393" s="38" t="n">
        <f aca="false">Sens!$D$354</f>
        <v>120.021229911349</v>
      </c>
      <c r="E393" s="38" t="n">
        <f aca="false">Sens!$E$354</f>
        <v>71.30864702443</v>
      </c>
      <c r="F393" s="38" t="n">
        <f aca="false">Sens!$F$354</f>
        <v>71.7692997942464</v>
      </c>
      <c r="G393" s="38" t="n">
        <f aca="false">Sens!$G$354</f>
        <v>143.077946818676</v>
      </c>
      <c r="H393" s="38" t="n">
        <f aca="false">Sens!$H$354</f>
        <v>161.017077079203</v>
      </c>
      <c r="I393" s="38" t="n">
        <f aca="false">Sens!$I$354</f>
        <v>178.769759521457</v>
      </c>
      <c r="J393" s="38" t="n">
        <f aca="false">Sens!$J$354</f>
        <v>195.775538045907</v>
      </c>
      <c r="K393" s="38" t="n">
        <f aca="false">Sens!$K$354</f>
        <v>211.43758108958</v>
      </c>
      <c r="L393" s="38" t="n">
        <f aca="false">Sens!$L$354</f>
        <v>228.352587576746</v>
      </c>
      <c r="M393" s="38" t="n">
        <f aca="false">Sens!$M$354</f>
        <v>246.620794582886</v>
      </c>
      <c r="N393" s="38" t="n">
        <f aca="false">Sens!$N$354</f>
        <v>57.0936804689721</v>
      </c>
      <c r="O393" s="38" t="n">
        <f aca="false">Sens!$O$354</f>
        <v>62.9275494423768</v>
      </c>
      <c r="P393" s="8" t="s">
        <v>703</v>
      </c>
    </row>
    <row r="394" customFormat="false" ht="17.15" hidden="false" customHeight="false" outlineLevel="0" collapsed="false">
      <c r="A394" s="1" t="s">
        <v>523</v>
      </c>
      <c r="B394" s="8" t="s">
        <v>86</v>
      </c>
      <c r="C394" s="38" t="n">
        <f aca="false">Q!$D$7</f>
        <v>107.556</v>
      </c>
      <c r="D394" s="38" t="n">
        <f aca="false">Q!$E$7</f>
        <v>128.725</v>
      </c>
      <c r="E394" s="38" t="n">
        <f aca="false">Q!$P$7</f>
        <v>79.819</v>
      </c>
      <c r="F394" s="38" t="n">
        <f aca="false">Sens!$F$392+Sens!$F$393</f>
        <v>85.9067171025802</v>
      </c>
      <c r="G394" s="38" t="n">
        <f aca="false">Sens!$G$392+Sens!$G$393</f>
        <v>165.72571710258</v>
      </c>
      <c r="H394" s="38" t="n">
        <f aca="false">Sens!$H$392+Sens!$H$393</f>
        <v>214.439367277066</v>
      </c>
      <c r="I394" s="38" t="n">
        <f aca="false">Sens!$I$392+Sens!$I$393</f>
        <v>266.569505776759</v>
      </c>
      <c r="J394" s="38" t="n">
        <f aca="false">Sens!$J$392+Sens!$J$393</f>
        <v>318.105675447219</v>
      </c>
      <c r="K394" s="38" t="n">
        <f aca="false">Sens!$K$392+Sens!$K$393</f>
        <v>363.226047683737</v>
      </c>
      <c r="L394" s="38" t="n">
        <f aca="false">Sens!$L$392+Sens!$L$393</f>
        <v>399.5012130543</v>
      </c>
      <c r="M394" s="38" t="n">
        <f aca="false">Sens!$M$392+Sens!$M$393</f>
        <v>427.006534768838</v>
      </c>
      <c r="N394" s="38" t="n">
        <f aca="false">Q!$N$7</f>
        <v>60.14</v>
      </c>
      <c r="O394" s="38" t="n">
        <f aca="false">Q!$O$7</f>
        <v>68.585</v>
      </c>
      <c r="P394" s="5" t="s">
        <v>705</v>
      </c>
    </row>
    <row r="395" customFormat="false" ht="15" hidden="false" customHeight="false" outlineLevel="0" collapsed="false">
      <c r="A395" s="3" t="s">
        <v>706</v>
      </c>
      <c r="B395" s="8" t="s">
        <v>86</v>
      </c>
      <c r="C395" s="38" t="n">
        <f aca="false">Q!$D$8</f>
        <v>637.959</v>
      </c>
      <c r="D395" s="38" t="n">
        <f aca="false">Q!$E$8</f>
        <v>716.924</v>
      </c>
      <c r="E395" s="38" t="n">
        <f aca="false">Q!$P$8</f>
        <v>382.125</v>
      </c>
      <c r="F395" s="38" t="n">
        <f aca="false">Sens!$F$322+Sens!$F$394</f>
        <v>434.954958748117</v>
      </c>
      <c r="G395" s="38" t="n">
        <f aca="false">Sens!$G$322+Sens!$G$394</f>
        <v>817.079958748117</v>
      </c>
      <c r="H395" s="38" t="n">
        <f aca="false">Sens!$H$322+Sens!$H$394</f>
        <v>935.536256798453</v>
      </c>
      <c r="I395" s="38" t="n">
        <f aca="false">Sens!$I$322+Sens!$I$394</f>
        <v>1055.09889692929</v>
      </c>
      <c r="J395" s="38" t="n">
        <f aca="false">Sens!$J$322+Sens!$J$394</f>
        <v>1169.21408118866</v>
      </c>
      <c r="K395" s="38" t="n">
        <f aca="false">Sens!$K$322+Sens!$K$394</f>
        <v>1269.40250311482</v>
      </c>
      <c r="L395" s="38" t="n">
        <f aca="false">Sens!$L$322+Sens!$L$394</f>
        <v>1364.59431952989</v>
      </c>
      <c r="M395" s="38" t="n">
        <f aca="false">Sens!$M$322+Sens!$M$394</f>
        <v>1455.15444271572</v>
      </c>
      <c r="N395" s="38" t="n">
        <f aca="false">Q!$N$8</f>
        <v>323.369</v>
      </c>
      <c r="O395" s="38" t="n">
        <f aca="false">Q!$O$8</f>
        <v>393.555</v>
      </c>
    </row>
    <row r="396" customFormat="false" ht="17.15" hidden="false" customHeight="false" outlineLevel="0" collapsed="false">
      <c r="A396" s="24" t="s">
        <v>714</v>
      </c>
      <c r="B396" s="25" t="s">
        <v>86</v>
      </c>
      <c r="C396" s="41" t="n">
        <f aca="false">Sens!$C$322-(Sens!$C$324+Sens!$C$325)</f>
        <v>0</v>
      </c>
      <c r="D396" s="41" t="n">
        <f aca="false">Sens!$D$322-(Sens!$D$324+Sens!$D$325)</f>
        <v>0</v>
      </c>
      <c r="E396" s="41" t="n">
        <f aca="false">Sens!$E$322-(Sens!$E$324+Sens!$E$325)</f>
        <v>0</v>
      </c>
      <c r="F396" s="41" t="n">
        <f aca="false">Sens!$F$322-(Sens!$F$324+Sens!$F$325)</f>
        <v>0</v>
      </c>
      <c r="G396" s="41" t="n">
        <f aca="false">Sens!$G$322-(Sens!$G$324+Sens!$G$325)</f>
        <v>0</v>
      </c>
      <c r="H396" s="41" t="n">
        <f aca="false">Sens!$H$322-(Sens!$H$324+Sens!$H$325)</f>
        <v>0</v>
      </c>
      <c r="I396" s="41" t="n">
        <f aca="false">Sens!$I$322-(Sens!$I$324+Sens!$I$325)</f>
        <v>0</v>
      </c>
      <c r="J396" s="41" t="n">
        <f aca="false">Sens!$J$322-(Sens!$J$324+Sens!$J$325)</f>
        <v>0</v>
      </c>
      <c r="K396" s="41" t="n">
        <f aca="false">Sens!$K$322-(Sens!$K$324+Sens!$K$325)</f>
        <v>0</v>
      </c>
      <c r="L396" s="41" t="n">
        <f aca="false">Sens!$L$322-(Sens!$L$324+Sens!$L$325)</f>
        <v>0</v>
      </c>
      <c r="M396" s="41" t="n">
        <f aca="false">Sens!$M$322-(Sens!$M$324+Sens!$M$325)</f>
        <v>0</v>
      </c>
      <c r="N396" s="41" t="n">
        <f aca="false">Sens!$N$322-(Sens!$N$324+Sens!$N$325)</f>
        <v>0</v>
      </c>
      <c r="O396" s="41" t="n">
        <f aca="false">Sens!$O$322-(Sens!$O$324+Sens!$O$325)</f>
        <v>0</v>
      </c>
    </row>
    <row r="397" customFormat="false" ht="17.15" hidden="false" customHeight="false" outlineLevel="0" collapsed="false">
      <c r="A397" s="24" t="s">
        <v>715</v>
      </c>
      <c r="B397" s="25" t="s">
        <v>86</v>
      </c>
      <c r="C397" s="41" t="n">
        <f aca="false">Sens!$C$392+Sens!$C$393-Sens!$C$394</f>
        <v>0</v>
      </c>
      <c r="D397" s="41" t="n">
        <f aca="false">Sens!$D$392+Sens!$D$393-Sens!$D$394</f>
        <v>0</v>
      </c>
      <c r="E397" s="41" t="n">
        <f aca="false">Sens!$E$392+Sens!$E$393-Sens!$E$394</f>
        <v>0</v>
      </c>
      <c r="F397" s="41" t="n">
        <f aca="false">Sens!$F$392+Sens!$F$393-Sens!$F$394</f>
        <v>0</v>
      </c>
      <c r="G397" s="41" t="n">
        <f aca="false">Sens!$G$392+Sens!$G$393-Sens!$G$394</f>
        <v>0</v>
      </c>
      <c r="H397" s="41" t="n">
        <f aca="false">Sens!$H$392+Sens!$H$393-Sens!$H$394</f>
        <v>0</v>
      </c>
      <c r="I397" s="41" t="n">
        <f aca="false">Sens!$I$392+Sens!$I$393-Sens!$I$394</f>
        <v>0</v>
      </c>
      <c r="J397" s="41" t="n">
        <f aca="false">Sens!$J$392+Sens!$J$393-Sens!$J$394</f>
        <v>0</v>
      </c>
      <c r="K397" s="41" t="n">
        <f aca="false">Sens!$K$392+Sens!$K$393-Sens!$K$394</f>
        <v>0</v>
      </c>
      <c r="L397" s="41" t="n">
        <f aca="false">Sens!$L$392+Sens!$L$393-Sens!$L$394</f>
        <v>0</v>
      </c>
      <c r="M397" s="41" t="n">
        <f aca="false">Sens!$M$392+Sens!$M$393-Sens!$M$394</f>
        <v>0</v>
      </c>
      <c r="N397" s="41" t="n">
        <f aca="false">Sens!$N$392+Sens!$N$393-Sens!$N$394</f>
        <v>0</v>
      </c>
      <c r="O397" s="41" t="n">
        <f aca="false">Sens!$O$392+Sens!$O$393-Sens!$O$394</f>
        <v>0</v>
      </c>
    </row>
    <row r="398" customFormat="false" ht="17.15" hidden="false" customHeight="false" outlineLevel="0" collapsed="false">
      <c r="A398" s="24" t="s">
        <v>716</v>
      </c>
      <c r="B398" s="25" t="s">
        <v>86</v>
      </c>
      <c r="C398" s="41" t="n">
        <f aca="false">Sens!$C$324+Sens!$C$325+Sens!$C$394-Sens!$C$395</f>
        <v>0</v>
      </c>
      <c r="D398" s="41" t="n">
        <f aca="false">Sens!$D$324+Sens!$D$325+Sens!$D$394-Sens!$D$395</f>
        <v>0</v>
      </c>
      <c r="E398" s="41" t="n">
        <f aca="false">Sens!$E$324+Sens!$E$325+Sens!$E$394-Sens!$E$395</f>
        <v>0</v>
      </c>
      <c r="F398" s="41" t="n">
        <f aca="false">Sens!$F$324+Sens!$F$325+Sens!$F$394-Sens!$F$395</f>
        <v>0</v>
      </c>
      <c r="G398" s="41" t="n">
        <f aca="false">Sens!$G$324+Sens!$G$325+Sens!$G$394-Sens!$G$395</f>
        <v>0</v>
      </c>
      <c r="H398" s="41" t="n">
        <f aca="false">Sens!$H$324+Sens!$H$325+Sens!$H$394-Sens!$H$395</f>
        <v>0</v>
      </c>
      <c r="I398" s="41" t="n">
        <f aca="false">Sens!$I$324+Sens!$I$325+Sens!$I$394-Sens!$I$395</f>
        <v>0</v>
      </c>
      <c r="J398" s="41" t="n">
        <f aca="false">Sens!$J$324+Sens!$J$325+Sens!$J$394-Sens!$J$395</f>
        <v>0</v>
      </c>
      <c r="K398" s="41" t="n">
        <f aca="false">Sens!$K$324+Sens!$K$325+Sens!$K$394-Sens!$K$395</f>
        <v>0</v>
      </c>
      <c r="L398" s="41" t="n">
        <f aca="false">Sens!$L$324+Sens!$L$325+Sens!$L$394-Sens!$L$395</f>
        <v>0</v>
      </c>
      <c r="M398" s="41" t="n">
        <f aca="false">Sens!$M$324+Sens!$M$325+Sens!$M$394-Sens!$M$395</f>
        <v>0</v>
      </c>
      <c r="N398" s="41" t="n">
        <f aca="false">Sens!$N$324+Sens!$N$325+Sens!$N$394-Sens!$N$395</f>
        <v>0</v>
      </c>
      <c r="O398" s="41" t="n">
        <f aca="false">Sens!$O$324+Sens!$O$325+Sens!$O$394-Sens!$O$395</f>
        <v>0</v>
      </c>
    </row>
    <row r="399" customFormat="false" ht="15" hidden="false" customHeight="false" outlineLevel="0" collapsed="false">
      <c r="A399" s="5" t="s">
        <v>710</v>
      </c>
      <c r="B399" s="0" t="s">
        <v>52</v>
      </c>
      <c r="G399" s="13" t="n">
        <f aca="false">Sens!$G$395/Sens!$D$395-1</f>
        <v>0.139702337692862</v>
      </c>
      <c r="H399" s="13" t="n">
        <f aca="false">Sens!$H$395/Sens!$G$395-1</f>
        <v>0.144975160364754</v>
      </c>
      <c r="I399" s="13" t="n">
        <f aca="false">Sens!$I$395/Sens!$H$395-1</f>
        <v>0.127801182756934</v>
      </c>
      <c r="J399" s="13" t="n">
        <f aca="false">Sens!$J$395/Sens!$I$395-1</f>
        <v>0.108155912769398</v>
      </c>
      <c r="K399" s="13" t="n">
        <f aca="false">Sens!$K$395/Sens!$J$395-1</f>
        <v>0.0856886891272366</v>
      </c>
      <c r="L399" s="13" t="n">
        <f aca="false">Sens!$L$395/Sens!$K$395-1</f>
        <v>0.0749894664469983</v>
      </c>
      <c r="M399" s="13" t="n">
        <f aca="false">Sens!$M$395/Sens!$L$395-1</f>
        <v>0.0663641361317064</v>
      </c>
    </row>
    <row r="400" customFormat="false" ht="17.15" hidden="false" customHeight="false" outlineLevel="0" collapsed="false">
      <c r="A400" s="0" t="s">
        <v>711</v>
      </c>
      <c r="B400" s="0" t="s">
        <v>52</v>
      </c>
      <c r="C400" s="13" t="n">
        <f aca="false">Sens!$C$394/Sens!$C$395</f>
        <v>0.168593906504964</v>
      </c>
      <c r="D400" s="13" t="n">
        <f aca="false">Sens!$D$394/Sens!$D$395</f>
        <v>0.179551807444025</v>
      </c>
      <c r="E400" s="13" t="n">
        <f aca="false">Sens!$E$394/Sens!$E$395</f>
        <v>0.208881910369643</v>
      </c>
      <c r="F400" s="13" t="n">
        <f aca="false">Sens!$F$394/Sens!$F$395</f>
        <v>0.197507156487734</v>
      </c>
      <c r="G400" s="13" t="n">
        <f aca="false">Sens!$G$394/Sens!$G$395</f>
        <v>0.202826804559612</v>
      </c>
      <c r="H400" s="13" t="n">
        <f aca="false">Sens!$H$394/Sens!$H$395</f>
        <v>0.229215453403068</v>
      </c>
      <c r="I400" s="13" t="n">
        <f aca="false">Sens!$I$394/Sens!$I$395</f>
        <v>0.252648833727881</v>
      </c>
      <c r="J400" s="13" t="n">
        <f aca="false">Sens!$J$394/Sens!$J$395</f>
        <v>0.272067947662606</v>
      </c>
      <c r="K400" s="13" t="n">
        <f aca="false">Sens!$K$394/Sens!$K$395</f>
        <v>0.286139381947383</v>
      </c>
      <c r="L400" s="13" t="n">
        <f aca="false">Sens!$L$394/Sens!$L$395</f>
        <v>0.292761890722168</v>
      </c>
      <c r="M400" s="13" t="n">
        <f aca="false">Sens!$M$394/Sens!$M$395</f>
        <v>0.293444133649432</v>
      </c>
      <c r="N400" s="13" t="n">
        <f aca="false">Sens!$N$394/Sens!$N$395</f>
        <v>0.185979484737251</v>
      </c>
      <c r="O400" s="13" t="n">
        <f aca="false">Sens!$O$394/Sens!$O$395</f>
        <v>0.174270432341096</v>
      </c>
    </row>
    <row r="401" customFormat="false" ht="17.15" hidden="false" customHeight="false" outlineLevel="0" collapsed="false">
      <c r="A401" s="0" t="s">
        <v>712</v>
      </c>
      <c r="B401" s="0" t="s">
        <v>52</v>
      </c>
      <c r="C401" s="13" t="n">
        <f aca="false">Sens!$C$392/Sens!$C$394</f>
        <v>0.0215795060896058</v>
      </c>
      <c r="D401" s="13" t="n">
        <f aca="false">Sens!$D$392/Sens!$D$394</f>
        <v>0.0676152269462122</v>
      </c>
      <c r="E401" s="13" t="n">
        <f aca="false">Sens!$E$392/Sens!$E$394</f>
        <v>0.106620641395783</v>
      </c>
      <c r="F401" s="13" t="n">
        <f aca="false">Sens!$F$392/Sens!$F$394</f>
        <v>0.16456707676831</v>
      </c>
      <c r="G401" s="13" t="n">
        <f aca="false">Sens!$G$392/Sens!$G$394</f>
        <v>0.136658152276302</v>
      </c>
      <c r="H401" s="13" t="n">
        <f aca="false">Sens!$H$392/Sens!$H$394</f>
        <v>0.249125386239547</v>
      </c>
      <c r="I401" s="13" t="n">
        <f aca="false">Sens!$I$392/Sens!$I$394</f>
        <v>0.329369055171787</v>
      </c>
      <c r="J401" s="13" t="n">
        <f aca="false">Sens!$J$392/Sens!$J$394</f>
        <v>0.384558173095561</v>
      </c>
      <c r="K401" s="13" t="n">
        <f aca="false">Sens!$K$392/Sens!$K$394</f>
        <v>0.417889816994403</v>
      </c>
      <c r="L401" s="13" t="n">
        <f aca="false">Sens!$L$392/Sens!$L$394</f>
        <v>0.428405771709863</v>
      </c>
      <c r="M401" s="13" t="n">
        <f aca="false">Sens!$M$392/Sens!$M$394</f>
        <v>0.422442575225704</v>
      </c>
      <c r="N401" s="13" t="n">
        <f aca="false">Sens!$N$392/Sens!$N$394</f>
        <v>0.0506537999838362</v>
      </c>
      <c r="O401" s="13" t="n">
        <f aca="false">Sens!$O$392/Sens!$O$394</f>
        <v>0.0824881615167056</v>
      </c>
    </row>
    <row r="404" customFormat="false" ht="19.4" hidden="false" customHeight="false" outlineLevel="0" collapsed="false">
      <c r="A404" s="31" t="s">
        <v>1159</v>
      </c>
    </row>
    <row r="405" customFormat="false" ht="17.15" hidden="false" customHeight="false" outlineLevel="0" collapsed="false">
      <c r="A405" s="6" t="s">
        <v>16</v>
      </c>
      <c r="B405" s="6" t="s">
        <v>17</v>
      </c>
      <c r="C405" s="20" t="s">
        <v>504</v>
      </c>
      <c r="D405" s="20" t="s">
        <v>505</v>
      </c>
      <c r="E405" s="20" t="s">
        <v>587</v>
      </c>
      <c r="F405" s="20" t="s">
        <v>588</v>
      </c>
      <c r="G405" s="20" t="s">
        <v>589</v>
      </c>
      <c r="H405" s="20" t="s">
        <v>590</v>
      </c>
      <c r="I405" s="20" t="s">
        <v>591</v>
      </c>
      <c r="J405" s="20" t="s">
        <v>592</v>
      </c>
      <c r="K405" s="20" t="s">
        <v>593</v>
      </c>
      <c r="L405" s="20" t="s">
        <v>594</v>
      </c>
      <c r="M405" s="20" t="s">
        <v>595</v>
      </c>
      <c r="N405" s="20" t="s">
        <v>596</v>
      </c>
      <c r="O405" s="20" t="s">
        <v>597</v>
      </c>
      <c r="P405" s="6" t="s">
        <v>23</v>
      </c>
      <c r="R405" s="20" t="n">
        <v>2023</v>
      </c>
      <c r="S405" s="20" t="n">
        <v>2024</v>
      </c>
      <c r="T405" s="20" t="n">
        <v>2025</v>
      </c>
      <c r="U405" s="20" t="n">
        <v>2026</v>
      </c>
      <c r="V405" s="20" t="n">
        <v>2027</v>
      </c>
      <c r="W405" s="20" t="n">
        <v>2028</v>
      </c>
      <c r="X405" s="20" t="n">
        <v>2029</v>
      </c>
      <c r="Y405" s="20" t="n">
        <v>2030</v>
      </c>
      <c r="Z405" s="20" t="n">
        <v>2031</v>
      </c>
      <c r="AA405" s="20" t="n">
        <v>2032</v>
      </c>
    </row>
    <row r="406" customFormat="false" ht="17.15" hidden="false" customHeight="false" outlineLevel="0" collapsed="false">
      <c r="A406" s="1" t="s">
        <v>727</v>
      </c>
    </row>
    <row r="407" customFormat="false" ht="15" hidden="false" customHeight="false" outlineLevel="0" collapsed="false">
      <c r="A407" s="0" t="s">
        <v>526</v>
      </c>
      <c r="B407" s="0" t="s">
        <v>86</v>
      </c>
      <c r="C407" s="38" t="n">
        <f aca="false">Sens!$C$309</f>
        <v>247.029</v>
      </c>
      <c r="D407" s="38" t="n">
        <f aca="false">Sens!$D$309</f>
        <v>269.287</v>
      </c>
      <c r="E407" s="38" t="n">
        <f aca="false">Sens!$E$309</f>
        <v>134.686</v>
      </c>
      <c r="F407" s="38" t="n">
        <f aca="false">Sens!$F$309</f>
        <v>158.293876822267</v>
      </c>
      <c r="G407" s="38" t="n">
        <f aca="false">Sens!$G$309</f>
        <v>292.979876822267</v>
      </c>
      <c r="H407" s="38" t="n">
        <f aca="false">Sens!$H$309</f>
        <v>318.184543087396</v>
      </c>
      <c r="I407" s="38" t="n">
        <f aca="false">Sens!$I$309</f>
        <v>341.736278761793</v>
      </c>
      <c r="J407" s="38" t="n">
        <f aca="false">Sens!$J$309</f>
        <v>362.927192787048</v>
      </c>
      <c r="K407" s="38" t="n">
        <f aca="false">Sens!$K$309</f>
        <v>381.0735524264</v>
      </c>
      <c r="L407" s="38" t="n">
        <f aca="false">Sens!$L$309</f>
        <v>400.12723004772</v>
      </c>
      <c r="M407" s="38" t="n">
        <f aca="false">Sens!$M$309</f>
        <v>420.133591550106</v>
      </c>
      <c r="N407" s="38" t="n">
        <f aca="false">Sens!$N$309</f>
        <v>118.892</v>
      </c>
      <c r="O407" s="38" t="n">
        <f aca="false">Sens!$O$309</f>
        <v>150.395</v>
      </c>
    </row>
    <row r="408" customFormat="false" ht="15" hidden="false" customHeight="false" outlineLevel="0" collapsed="false">
      <c r="A408" s="0" t="s">
        <v>527</v>
      </c>
      <c r="B408" s="0" t="s">
        <v>86</v>
      </c>
      <c r="C408" s="38" t="n">
        <f aca="false">Sens!$C$311</f>
        <v>21.215</v>
      </c>
      <c r="D408" s="38" t="n">
        <f aca="false">Sens!$D$311</f>
        <v>22.561</v>
      </c>
      <c r="E408" s="38" t="n">
        <f aca="false">Sens!$E$311</f>
        <v>11.579</v>
      </c>
      <c r="F408" s="38" t="n">
        <f aca="false">Sens!$F$311</f>
        <v>11.5938724610325</v>
      </c>
      <c r="G408" s="38" t="n">
        <f aca="false">Sens!$G$311</f>
        <v>23.1728724610325</v>
      </c>
      <c r="H408" s="38" t="n">
        <f aca="false">Sens!$H$311</f>
        <v>24.353392759506</v>
      </c>
      <c r="I408" s="38" t="n">
        <f aca="false">Sens!$I$311</f>
        <v>25.4240338872015</v>
      </c>
      <c r="J408" s="38" t="n">
        <f aca="false">Sens!$J$311</f>
        <v>26.3642491017174</v>
      </c>
      <c r="K408" s="38" t="n">
        <f aca="false">Sens!$K$311</f>
        <v>27.155176574769</v>
      </c>
      <c r="L408" s="38" t="n">
        <f aca="false">Sens!$L$311</f>
        <v>27.969831872012</v>
      </c>
      <c r="M408" s="38" t="n">
        <f aca="false">Sens!$M$311</f>
        <v>28.8089268281724</v>
      </c>
      <c r="N408" s="38" t="n">
        <f aca="false">Sens!$N$311</f>
        <v>11.128</v>
      </c>
      <c r="O408" s="38" t="n">
        <f aca="false">Sens!$O$311</f>
        <v>11.433</v>
      </c>
    </row>
    <row r="409" customFormat="false" ht="15" hidden="false" customHeight="false" outlineLevel="0" collapsed="false">
      <c r="A409" s="0" t="s">
        <v>528</v>
      </c>
      <c r="B409" s="0" t="s">
        <v>86</v>
      </c>
      <c r="C409" s="38" t="n">
        <f aca="false">Sens!$C$313</f>
        <v>156.146</v>
      </c>
      <c r="D409" s="38" t="n">
        <f aca="false">Sens!$D$313</f>
        <v>172.162</v>
      </c>
      <c r="E409" s="38" t="n">
        <f aca="false">Sens!$E$313</f>
        <v>88.358</v>
      </c>
      <c r="F409" s="38" t="n">
        <f aca="false">Sens!$F$313</f>
        <v>102.004388260171</v>
      </c>
      <c r="G409" s="38" t="n">
        <f aca="false">Sens!$G$313</f>
        <v>190.362388260171</v>
      </c>
      <c r="H409" s="38" t="n">
        <f aca="false">Sens!$H$313</f>
        <v>210.343106588311</v>
      </c>
      <c r="I409" s="38" t="n">
        <f aca="false">Sens!$I$313</f>
        <v>229.969728494648</v>
      </c>
      <c r="J409" s="38" t="n">
        <f aca="false">Sens!$J$313</f>
        <v>248.747636972598</v>
      </c>
      <c r="K409" s="38" t="n">
        <f aca="false">Sens!$K$313</f>
        <v>266.15997156068</v>
      </c>
      <c r="L409" s="38" t="n">
        <f aca="false">Sens!$L$313</f>
        <v>284.791169569927</v>
      </c>
      <c r="M409" s="38" t="n">
        <f aca="false">Sens!$M$313</f>
        <v>304.726551439822</v>
      </c>
      <c r="N409" s="38" t="n">
        <f aca="false">Sens!$N$313</f>
        <v>76.86</v>
      </c>
      <c r="O409" s="38" t="n">
        <f aca="false">Sens!$O$313</f>
        <v>95.302</v>
      </c>
    </row>
    <row r="410" customFormat="false" ht="15" hidden="false" customHeight="false" outlineLevel="0" collapsed="false">
      <c r="A410" s="0" t="s">
        <v>529</v>
      </c>
      <c r="B410" s="0" t="s">
        <v>86</v>
      </c>
      <c r="C410" s="38" t="n">
        <f aca="false">Sens!$C$315</f>
        <v>56.214</v>
      </c>
      <c r="D410" s="38" t="n">
        <f aca="false">Sens!$D$315</f>
        <v>68.635</v>
      </c>
      <c r="E410" s="38" t="n">
        <f aca="false">Sens!$E$315</f>
        <v>37.052</v>
      </c>
      <c r="F410" s="38" t="n">
        <f aca="false">Sens!$F$315</f>
        <v>46.1572219944148</v>
      </c>
      <c r="G410" s="38" t="n">
        <f aca="false">Sens!$G$315</f>
        <v>83.2092219944148</v>
      </c>
      <c r="H410" s="38" t="n">
        <f aca="false">Sens!$H$315</f>
        <v>99.8969223878976</v>
      </c>
      <c r="I410" s="38" t="n">
        <f aca="false">Sens!$I$315</f>
        <v>116.583111095496</v>
      </c>
      <c r="J410" s="38" t="n">
        <f aca="false">Sens!$J$315</f>
        <v>132.148941941952</v>
      </c>
      <c r="K410" s="38" t="n">
        <f aca="false">Sens!$K$315</f>
        <v>145.363836136147</v>
      </c>
      <c r="L410" s="38" t="n">
        <f aca="false">Sens!$L$315</f>
        <v>159.900219749762</v>
      </c>
      <c r="M410" s="38" t="n">
        <f aca="false">Sens!$M$315</f>
        <v>175.890241724738</v>
      </c>
      <c r="N410" s="38" t="n">
        <f aca="false">Sens!$N$315</f>
        <v>29.615</v>
      </c>
      <c r="O410" s="38" t="n">
        <f aca="false">Sens!$O$315</f>
        <v>39.02</v>
      </c>
    </row>
    <row r="411" customFormat="false" ht="15" hidden="false" customHeight="false" outlineLevel="0" collapsed="false">
      <c r="A411" s="0" t="s">
        <v>530</v>
      </c>
      <c r="B411" s="0" t="s">
        <v>86</v>
      </c>
      <c r="C411" s="38" t="n">
        <f aca="false">Sens!$C$317</f>
        <v>44.374</v>
      </c>
      <c r="D411" s="38" t="n">
        <f aca="false">Sens!$D$317</f>
        <v>49.619</v>
      </c>
      <c r="E411" s="38" t="n">
        <f aca="false">Sens!$E$317</f>
        <v>27.157</v>
      </c>
      <c r="F411" s="38" t="n">
        <f aca="false">Sens!$F$317</f>
        <v>27.7764165988154</v>
      </c>
      <c r="G411" s="38" t="n">
        <f aca="false">Sens!$G$317</f>
        <v>54.9334165988154</v>
      </c>
      <c r="H411" s="38" t="n">
        <f aca="false">Sens!$H$317</f>
        <v>61.1564112561829</v>
      </c>
      <c r="I411" s="38" t="n">
        <f aca="false">Sens!$I$317</f>
        <v>67.2020282103945</v>
      </c>
      <c r="J411" s="38" t="n">
        <f aca="false">Sens!$J$317</f>
        <v>72.8757274028885</v>
      </c>
      <c r="K411" s="38" t="n">
        <f aca="false">Sens!$K$317</f>
        <v>77.9770283210907</v>
      </c>
      <c r="L411" s="38" t="n">
        <f aca="false">Sens!$L$317</f>
        <v>83.4354203035671</v>
      </c>
      <c r="M411" s="38" t="n">
        <f aca="false">Sens!$M$317</f>
        <v>89.2758997248168</v>
      </c>
      <c r="N411" s="38" t="n">
        <f aca="false">Sens!$N$317</f>
        <v>23.923</v>
      </c>
      <c r="O411" s="38" t="n">
        <f aca="false">Sens!$O$317</f>
        <v>25.696</v>
      </c>
    </row>
    <row r="412" customFormat="false" ht="15" hidden="false" customHeight="false" outlineLevel="0" collapsed="false">
      <c r="A412" s="0" t="s">
        <v>531</v>
      </c>
      <c r="B412" s="0" t="s">
        <v>86</v>
      </c>
      <c r="C412" s="38" t="n">
        <f aca="false">Sens!$C$319</f>
        <v>5.425</v>
      </c>
      <c r="D412" s="38" t="n">
        <f aca="false">Sens!$D$319</f>
        <v>5.935</v>
      </c>
      <c r="E412" s="38" t="n">
        <f aca="false">Sens!$E$319</f>
        <v>3.474</v>
      </c>
      <c r="F412" s="38" t="n">
        <f aca="false">Sens!$F$319</f>
        <v>3.22246550883619</v>
      </c>
      <c r="G412" s="38" t="n">
        <f aca="false">Sens!$G$319</f>
        <v>6.69646550883619</v>
      </c>
      <c r="H412" s="38" t="n">
        <f aca="false">Sens!$H$319</f>
        <v>7.16251344209196</v>
      </c>
      <c r="I412" s="38" t="n">
        <f aca="false">Sens!$I$319</f>
        <v>7.61421070299826</v>
      </c>
      <c r="J412" s="38" t="n">
        <f aca="false">Sens!$J$319</f>
        <v>8.04465753523932</v>
      </c>
      <c r="K412" s="38" t="n">
        <f aca="false">Sens!$K$319</f>
        <v>8.44689041200128</v>
      </c>
      <c r="L412" s="38" t="n">
        <f aca="false">Sens!$L$319</f>
        <v>8.86923493260135</v>
      </c>
      <c r="M412" s="38" t="n">
        <f aca="false">Sens!$M$319</f>
        <v>9.31269667923142</v>
      </c>
      <c r="N412" s="38" t="n">
        <f aca="false">Sens!$N$319</f>
        <v>2.811</v>
      </c>
      <c r="O412" s="38" t="n">
        <f aca="false">Sens!$O$319</f>
        <v>3.124</v>
      </c>
    </row>
    <row r="413" customFormat="false" ht="17.15" hidden="false" customHeight="false" outlineLevel="0" collapsed="false">
      <c r="A413" s="0" t="s">
        <v>728</v>
      </c>
      <c r="B413" s="0" t="s">
        <v>86</v>
      </c>
      <c r="C413" s="38" t="n">
        <f aca="false">Sens!$C$394</f>
        <v>107.556</v>
      </c>
      <c r="D413" s="38" t="n">
        <f aca="false">Sens!$D$394</f>
        <v>128.725</v>
      </c>
      <c r="E413" s="38" t="n">
        <f aca="false">Sens!$E$394</f>
        <v>79.819</v>
      </c>
      <c r="F413" s="38" t="n">
        <f aca="false">Sens!$F$394</f>
        <v>85.9067171025802</v>
      </c>
      <c r="G413" s="38" t="n">
        <f aca="false">Sens!$G$394</f>
        <v>165.72571710258</v>
      </c>
      <c r="H413" s="38" t="n">
        <f aca="false">Sens!$H$394</f>
        <v>214.439367277066</v>
      </c>
      <c r="I413" s="38" t="n">
        <f aca="false">Sens!$I$394</f>
        <v>266.569505776759</v>
      </c>
      <c r="J413" s="38" t="n">
        <f aca="false">Sens!$J$394</f>
        <v>318.105675447219</v>
      </c>
      <c r="K413" s="38" t="n">
        <f aca="false">Sens!$K$394</f>
        <v>363.226047683737</v>
      </c>
      <c r="L413" s="38" t="n">
        <f aca="false">Sens!$L$394</f>
        <v>399.5012130543</v>
      </c>
      <c r="M413" s="38" t="n">
        <f aca="false">Sens!$M$394</f>
        <v>427.006534768838</v>
      </c>
      <c r="N413" s="38" t="n">
        <f aca="false">Sens!$N$394</f>
        <v>60.14</v>
      </c>
      <c r="O413" s="38" t="n">
        <f aca="false">Sens!$O$394</f>
        <v>68.585</v>
      </c>
    </row>
    <row r="414" customFormat="false" ht="15" hidden="false" customHeight="false" outlineLevel="0" collapsed="false">
      <c r="A414" s="1" t="s">
        <v>519</v>
      </c>
      <c r="B414" s="8" t="s">
        <v>86</v>
      </c>
      <c r="C414" s="38" t="n">
        <f aca="false">Sens!$C$324</f>
        <v>387.497</v>
      </c>
      <c r="D414" s="38" t="n">
        <f aca="false">Sens!$D$324</f>
        <v>426.305</v>
      </c>
      <c r="E414" s="38" t="n">
        <f aca="false">Sens!$E$324</f>
        <v>220.32</v>
      </c>
      <c r="F414" s="38" t="n">
        <f aca="false">Sens!$F$324</f>
        <v>250.639773480586</v>
      </c>
      <c r="G414" s="38" t="n">
        <f aca="false">Sens!$G$324</f>
        <v>470.959773480586</v>
      </c>
      <c r="H414" s="38" t="n">
        <f aca="false">Sens!$H$324</f>
        <v>521.386990416437</v>
      </c>
      <c r="I414" s="38" t="n">
        <f aca="false">Sens!$I$324</f>
        <v>570.143862887555</v>
      </c>
      <c r="J414" s="38" t="n">
        <f aca="false">Sens!$J$324</f>
        <v>615.391435791933</v>
      </c>
      <c r="K414" s="38" t="n">
        <f aca="false">Sens!$K$324</f>
        <v>655.208227561543</v>
      </c>
      <c r="L414" s="38" t="n">
        <f aca="false">Sens!$L$324</f>
        <v>697.807739249767</v>
      </c>
      <c r="M414" s="38" t="n">
        <f aca="false">Sens!$M$324</f>
        <v>743.399328463592</v>
      </c>
      <c r="N414" s="38" t="n">
        <f aca="false">Sens!$N$324</f>
        <v>192.955</v>
      </c>
      <c r="O414" s="38" t="n">
        <f aca="false">Sens!$O$324</f>
        <v>233.35</v>
      </c>
    </row>
    <row r="415" customFormat="false" ht="15" hidden="false" customHeight="false" outlineLevel="0" collapsed="false">
      <c r="A415" s="1" t="s">
        <v>522</v>
      </c>
      <c r="B415" s="8" t="s">
        <v>86</v>
      </c>
      <c r="C415" s="38" t="n">
        <f aca="false">Sens!$C$325</f>
        <v>142.906</v>
      </c>
      <c r="D415" s="38" t="n">
        <f aca="false">Sens!$D$325</f>
        <v>161.894</v>
      </c>
      <c r="E415" s="38" t="n">
        <f aca="false">Sens!$E$325</f>
        <v>81.986</v>
      </c>
      <c r="F415" s="38" t="n">
        <f aca="false">Sens!$F$325</f>
        <v>98.408468164951</v>
      </c>
      <c r="G415" s="38" t="n">
        <f aca="false">Sens!$G$325</f>
        <v>180.394468164951</v>
      </c>
      <c r="H415" s="38" t="n">
        <f aca="false">Sens!$H$325</f>
        <v>199.709899104949</v>
      </c>
      <c r="I415" s="38" t="n">
        <f aca="false">Sens!$I$325</f>
        <v>218.385528264976</v>
      </c>
      <c r="J415" s="38" t="n">
        <f aca="false">Sens!$J$325</f>
        <v>235.71696994951</v>
      </c>
      <c r="K415" s="38" t="n">
        <f aca="false">Sens!$K$325</f>
        <v>250.968227869545</v>
      </c>
      <c r="L415" s="38" t="n">
        <f aca="false">Sens!$L$325</f>
        <v>267.285367225822</v>
      </c>
      <c r="M415" s="38" t="n">
        <f aca="false">Sens!$M$325</f>
        <v>284.748579483295</v>
      </c>
      <c r="N415" s="38" t="n">
        <f aca="false">Sens!$N$325</f>
        <v>70.274</v>
      </c>
      <c r="O415" s="38" t="n">
        <f aca="false">Sens!$O$325</f>
        <v>91.62</v>
      </c>
    </row>
    <row r="416" customFormat="false" ht="15" hidden="false" customHeight="false" outlineLevel="0" collapsed="false">
      <c r="A416" s="1" t="s">
        <v>523</v>
      </c>
      <c r="B416" s="8" t="s">
        <v>86</v>
      </c>
      <c r="C416" s="38" t="n">
        <f aca="false">Sens!$C$394</f>
        <v>107.556</v>
      </c>
      <c r="D416" s="38" t="n">
        <f aca="false">Sens!$D$394</f>
        <v>128.725</v>
      </c>
      <c r="E416" s="38" t="n">
        <f aca="false">Sens!$E$394</f>
        <v>79.819</v>
      </c>
      <c r="F416" s="38" t="n">
        <f aca="false">Sens!$F$394</f>
        <v>85.9067171025802</v>
      </c>
      <c r="G416" s="38" t="n">
        <f aca="false">Sens!$G$394</f>
        <v>165.72571710258</v>
      </c>
      <c r="H416" s="38" t="n">
        <f aca="false">Sens!$H$394</f>
        <v>214.439367277066</v>
      </c>
      <c r="I416" s="38" t="n">
        <f aca="false">Sens!$I$394</f>
        <v>266.569505776759</v>
      </c>
      <c r="J416" s="38" t="n">
        <f aca="false">Sens!$J$394</f>
        <v>318.105675447219</v>
      </c>
      <c r="K416" s="38" t="n">
        <f aca="false">Sens!$K$394</f>
        <v>363.226047683737</v>
      </c>
      <c r="L416" s="38" t="n">
        <f aca="false">Sens!$L$394</f>
        <v>399.5012130543</v>
      </c>
      <c r="M416" s="38" t="n">
        <f aca="false">Sens!$M$394</f>
        <v>427.006534768838</v>
      </c>
      <c r="N416" s="38" t="n">
        <f aca="false">Sens!$N$394</f>
        <v>60.14</v>
      </c>
      <c r="O416" s="38" t="n">
        <f aca="false">Sens!$O$394</f>
        <v>68.585</v>
      </c>
    </row>
    <row r="417" customFormat="false" ht="17.15" hidden="false" customHeight="false" outlineLevel="0" collapsed="false">
      <c r="A417" s="0" t="s">
        <v>702</v>
      </c>
      <c r="B417" s="0" t="s">
        <v>86</v>
      </c>
      <c r="C417" s="38" t="n">
        <f aca="false">Sens!$C$392</f>
        <v>2.32100535697364</v>
      </c>
      <c r="D417" s="38" t="n">
        <f aca="false">Sens!$D$392</f>
        <v>8.70377008865116</v>
      </c>
      <c r="E417" s="38" t="n">
        <f aca="false">Sens!$E$392</f>
        <v>8.51035297557002</v>
      </c>
      <c r="F417" s="38" t="n">
        <f aca="false">Sens!$F$392</f>
        <v>14.1374173083338</v>
      </c>
      <c r="G417" s="38" t="n">
        <f aca="false">Sens!$G$392</f>
        <v>22.6477702839038</v>
      </c>
      <c r="H417" s="38" t="n">
        <f aca="false">Sens!$H$392</f>
        <v>53.4222901978634</v>
      </c>
      <c r="I417" s="38" t="n">
        <f aca="false">Sens!$I$392</f>
        <v>87.7997462553011</v>
      </c>
      <c r="J417" s="38" t="n">
        <f aca="false">Sens!$J$392</f>
        <v>122.330137401312</v>
      </c>
      <c r="K417" s="38" t="n">
        <f aca="false">Sens!$K$392</f>
        <v>151.788466594157</v>
      </c>
      <c r="L417" s="38" t="n">
        <f aca="false">Sens!$L$392</f>
        <v>171.148625477554</v>
      </c>
      <c r="M417" s="38" t="n">
        <f aca="false">Sens!$M$392</f>
        <v>180.385740185952</v>
      </c>
      <c r="N417" s="38" t="n">
        <f aca="false">Sens!$N$392</f>
        <v>3.04631953102791</v>
      </c>
      <c r="O417" s="38" t="n">
        <f aca="false">Sens!$O$392</f>
        <v>5.65745055762326</v>
      </c>
    </row>
    <row r="418" customFormat="false" ht="17.15" hidden="false" customHeight="false" outlineLevel="0" collapsed="false">
      <c r="A418" s="0" t="s">
        <v>704</v>
      </c>
      <c r="B418" s="0" t="s">
        <v>86</v>
      </c>
      <c r="C418" s="38" t="n">
        <f aca="false">Sens!$C$393</f>
        <v>105.234994643026</v>
      </c>
      <c r="D418" s="38" t="n">
        <f aca="false">Sens!$D$393</f>
        <v>120.021229911349</v>
      </c>
      <c r="E418" s="38" t="n">
        <f aca="false">Sens!$E$393</f>
        <v>71.30864702443</v>
      </c>
      <c r="F418" s="38" t="n">
        <f aca="false">Sens!$F$393</f>
        <v>71.7692997942464</v>
      </c>
      <c r="G418" s="38" t="n">
        <f aca="false">Sens!$G$393</f>
        <v>143.077946818676</v>
      </c>
      <c r="H418" s="38" t="n">
        <f aca="false">Sens!$H$393</f>
        <v>161.017077079203</v>
      </c>
      <c r="I418" s="38" t="n">
        <f aca="false">Sens!$I$393</f>
        <v>178.769759521457</v>
      </c>
      <c r="J418" s="38" t="n">
        <f aca="false">Sens!$J$393</f>
        <v>195.775538045907</v>
      </c>
      <c r="K418" s="38" t="n">
        <f aca="false">Sens!$K$393</f>
        <v>211.43758108958</v>
      </c>
      <c r="L418" s="38" t="n">
        <f aca="false">Sens!$L$393</f>
        <v>228.352587576746</v>
      </c>
      <c r="M418" s="38" t="n">
        <f aca="false">Sens!$M$393</f>
        <v>246.620794582886</v>
      </c>
      <c r="N418" s="38" t="n">
        <f aca="false">Sens!$N$393</f>
        <v>57.0936804689721</v>
      </c>
      <c r="O418" s="38" t="n">
        <f aca="false">Sens!$O$393</f>
        <v>62.9275494423768</v>
      </c>
    </row>
    <row r="419" customFormat="false" ht="15" hidden="false" customHeight="false" outlineLevel="0" collapsed="false">
      <c r="A419" s="3" t="s">
        <v>524</v>
      </c>
      <c r="B419" s="8" t="s">
        <v>86</v>
      </c>
      <c r="C419" s="38" t="n">
        <f aca="false">Sens!$C$395</f>
        <v>637.959</v>
      </c>
      <c r="D419" s="38" t="n">
        <f aca="false">Sens!$D$395</f>
        <v>716.924</v>
      </c>
      <c r="E419" s="38" t="n">
        <f aca="false">Sens!$E$395</f>
        <v>382.125</v>
      </c>
      <c r="F419" s="38" t="n">
        <f aca="false">Sens!$F$395</f>
        <v>434.954958748117</v>
      </c>
      <c r="G419" s="38" t="n">
        <f aca="false">Sens!$G$395</f>
        <v>817.079958748117</v>
      </c>
      <c r="H419" s="38" t="n">
        <f aca="false">Sens!$H$395</f>
        <v>935.536256798453</v>
      </c>
      <c r="I419" s="38" t="n">
        <f aca="false">Sens!$I$395</f>
        <v>1055.09889692929</v>
      </c>
      <c r="J419" s="38" t="n">
        <f aca="false">Sens!$J$395</f>
        <v>1169.21408118866</v>
      </c>
      <c r="K419" s="38" t="n">
        <f aca="false">Sens!$K$395</f>
        <v>1269.40250311482</v>
      </c>
      <c r="L419" s="38" t="n">
        <f aca="false">Sens!$L$395</f>
        <v>1364.59431952989</v>
      </c>
      <c r="M419" s="38" t="n">
        <f aca="false">Sens!$M$395</f>
        <v>1455.15444271572</v>
      </c>
      <c r="N419" s="38" t="n">
        <f aca="false">Sens!$N$395</f>
        <v>323.369</v>
      </c>
      <c r="O419" s="38" t="n">
        <f aca="false">Sens!$O$395</f>
        <v>393.555</v>
      </c>
    </row>
    <row r="420" customFormat="false" ht="17.15" hidden="false" customHeight="false" outlineLevel="0" collapsed="false">
      <c r="A420" s="24" t="s">
        <v>714</v>
      </c>
      <c r="B420" s="25" t="s">
        <v>86</v>
      </c>
      <c r="C420" s="41" t="n">
        <f aca="false">Sens!$C$407+Sens!$C$408+Sens!$C$409+Sens!$C$410+Sens!$C$411+Sens!$C$412-(Sens!$C$414+Sens!$C$415)</f>
        <v>0</v>
      </c>
      <c r="D420" s="41" t="n">
        <f aca="false">Sens!$D$407+Sens!$D$408+Sens!$D$409+Sens!$D$410+Sens!$D$411+Sens!$D$412-(Sens!$D$414+Sens!$D$415)</f>
        <v>0</v>
      </c>
      <c r="E420" s="41" t="n">
        <f aca="false">Sens!$E$407+Sens!$E$408+Sens!$E$409+Sens!$E$410+Sens!$E$411+Sens!$E$412-(Sens!$E$414+Sens!$E$415)</f>
        <v>0</v>
      </c>
      <c r="F420" s="41" t="n">
        <f aca="false">Sens!$F$407+Sens!$F$408+Sens!$F$409+Sens!$F$410+Sens!$F$411+Sens!$F$412-(Sens!$F$414+Sens!$F$415)</f>
        <v>0</v>
      </c>
      <c r="G420" s="41" t="n">
        <f aca="false">Sens!$G$407+Sens!$G$408+Sens!$G$409+Sens!$G$410+Sens!$G$411+Sens!$G$412-(Sens!$G$414+Sens!$G$415)</f>
        <v>0</v>
      </c>
      <c r="H420" s="41" t="n">
        <f aca="false">Sens!$H$407+Sens!$H$408+Sens!$H$409+Sens!$H$410+Sens!$H$411+Sens!$H$412-(Sens!$H$414+Sens!$H$415)</f>
        <v>0</v>
      </c>
      <c r="I420" s="41" t="n">
        <f aca="false">Sens!$I$407+Sens!$I$408+Sens!$I$409+Sens!$I$410+Sens!$I$411+Sens!$I$412-(Sens!$I$414+Sens!$I$415)</f>
        <v>0</v>
      </c>
      <c r="J420" s="41" t="n">
        <f aca="false">Sens!$J$407+Sens!$J$408+Sens!$J$409+Sens!$J$410+Sens!$J$411+Sens!$J$412-(Sens!$J$414+Sens!$J$415)</f>
        <v>0</v>
      </c>
      <c r="K420" s="41" t="n">
        <f aca="false">Sens!$K$407+Sens!$K$408+Sens!$K$409+Sens!$K$410+Sens!$K$411+Sens!$K$412-(Sens!$K$414+Sens!$K$415)</f>
        <v>0</v>
      </c>
      <c r="L420" s="41" t="n">
        <f aca="false">Sens!$L$407+Sens!$L$408+Sens!$L$409+Sens!$L$410+Sens!$L$411+Sens!$L$412-(Sens!$L$414+Sens!$L$415)</f>
        <v>0</v>
      </c>
      <c r="M420" s="41" t="n">
        <f aca="false">Sens!$M$407+Sens!$M$408+Sens!$M$409+Sens!$M$410+Sens!$M$411+Sens!$M$412-(Sens!$M$414+Sens!$M$415)</f>
        <v>0</v>
      </c>
      <c r="N420" s="41" t="n">
        <f aca="false">Sens!$N$407+Sens!$N$408+Sens!$N$409+Sens!$N$410+Sens!$N$411+Sens!$N$412-(Sens!$N$414+Sens!$N$415)</f>
        <v>0</v>
      </c>
      <c r="O420" s="41" t="n">
        <f aca="false">Sens!$O$407+Sens!$O$408+Sens!$O$409+Sens!$O$410+Sens!$O$411+Sens!$O$412-(Sens!$O$414+Sens!$O$415)</f>
        <v>0</v>
      </c>
    </row>
    <row r="421" customFormat="false" ht="17.15" hidden="false" customHeight="false" outlineLevel="0" collapsed="false">
      <c r="A421" s="24" t="s">
        <v>715</v>
      </c>
      <c r="B421" s="25" t="s">
        <v>86</v>
      </c>
      <c r="C421" s="41" t="n">
        <f aca="false">Sens!$C$417+Sens!$C$418-Sens!$C$416</f>
        <v>0</v>
      </c>
      <c r="D421" s="41" t="n">
        <f aca="false">Sens!$D$417+Sens!$D$418-Sens!$D$416</f>
        <v>0</v>
      </c>
      <c r="E421" s="41" t="n">
        <f aca="false">Sens!$E$417+Sens!$E$418-Sens!$E$416</f>
        <v>0</v>
      </c>
      <c r="F421" s="41" t="n">
        <f aca="false">Sens!$F$417+Sens!$F$418-Sens!$F$416</f>
        <v>0</v>
      </c>
      <c r="G421" s="41" t="n">
        <f aca="false">Sens!$G$417+Sens!$G$418-Sens!$G$416</f>
        <v>0</v>
      </c>
      <c r="H421" s="41" t="n">
        <f aca="false">Sens!$H$417+Sens!$H$418-Sens!$H$416</f>
        <v>0</v>
      </c>
      <c r="I421" s="41" t="n">
        <f aca="false">Sens!$I$417+Sens!$I$418-Sens!$I$416</f>
        <v>0</v>
      </c>
      <c r="J421" s="41" t="n">
        <f aca="false">Sens!$J$417+Sens!$J$418-Sens!$J$416</f>
        <v>0</v>
      </c>
      <c r="K421" s="41" t="n">
        <f aca="false">Sens!$K$417+Sens!$K$418-Sens!$K$416</f>
        <v>0</v>
      </c>
      <c r="L421" s="41" t="n">
        <f aca="false">Sens!$L$417+Sens!$L$418-Sens!$L$416</f>
        <v>0</v>
      </c>
      <c r="M421" s="41" t="n">
        <f aca="false">Sens!$M$417+Sens!$M$418-Sens!$M$416</f>
        <v>0</v>
      </c>
      <c r="N421" s="41" t="n">
        <f aca="false">Sens!$N$417+Sens!$N$418-Sens!$N$416</f>
        <v>0</v>
      </c>
      <c r="O421" s="41" t="n">
        <f aca="false">Sens!$O$417+Sens!$O$418-Sens!$O$416</f>
        <v>0</v>
      </c>
    </row>
    <row r="422" customFormat="false" ht="17.15" hidden="false" customHeight="false" outlineLevel="0" collapsed="false">
      <c r="A422" s="24" t="s">
        <v>774</v>
      </c>
      <c r="B422" s="25" t="s">
        <v>86</v>
      </c>
      <c r="C422" s="41" t="n">
        <f aca="false">Sens!$C$407+Sens!$C$408+Sens!$C$409+Sens!$C$410+Sens!$C$411+Sens!$C$412+Sens!$C$413-Sens!$C$419</f>
        <v>0</v>
      </c>
      <c r="D422" s="41" t="n">
        <f aca="false">Sens!$D$407+Sens!$D$408+Sens!$D$409+Sens!$D$410+Sens!$D$411+Sens!$D$412+Sens!$D$413-Sens!$D$419</f>
        <v>0</v>
      </c>
      <c r="E422" s="41" t="n">
        <f aca="false">Sens!$E$407+Sens!$E$408+Sens!$E$409+Sens!$E$410+Sens!$E$411+Sens!$E$412+Sens!$E$413-Sens!$E$419</f>
        <v>0</v>
      </c>
      <c r="F422" s="41" t="n">
        <f aca="false">Sens!$F$407+Sens!$F$408+Sens!$F$409+Sens!$F$410+Sens!$F$411+Sens!$F$412+Sens!$F$413-Sens!$F$419</f>
        <v>0</v>
      </c>
      <c r="G422" s="41" t="n">
        <f aca="false">Sens!$G$407+Sens!$G$408+Sens!$G$409+Sens!$G$410+Sens!$G$411+Sens!$G$412+Sens!$G$413-Sens!$G$419</f>
        <v>0</v>
      </c>
      <c r="H422" s="41" t="n">
        <f aca="false">Sens!$H$407+Sens!$H$408+Sens!$H$409+Sens!$H$410+Sens!$H$411+Sens!$H$412+Sens!$H$413-Sens!$H$419</f>
        <v>0</v>
      </c>
      <c r="I422" s="41" t="n">
        <f aca="false">Sens!$I$407+Sens!$I$408+Sens!$I$409+Sens!$I$410+Sens!$I$411+Sens!$I$412+Sens!$I$413-Sens!$I$419</f>
        <v>0</v>
      </c>
      <c r="J422" s="41" t="n">
        <f aca="false">Sens!$J$407+Sens!$J$408+Sens!$J$409+Sens!$J$410+Sens!$J$411+Sens!$J$412+Sens!$J$413-Sens!$J$419</f>
        <v>0</v>
      </c>
      <c r="K422" s="41" t="n">
        <f aca="false">Sens!$K$407+Sens!$K$408+Sens!$K$409+Sens!$K$410+Sens!$K$411+Sens!$K$412+Sens!$K$413-Sens!$K$419</f>
        <v>0</v>
      </c>
      <c r="L422" s="41" t="n">
        <f aca="false">Sens!$L$407+Sens!$L$408+Sens!$L$409+Sens!$L$410+Sens!$L$411+Sens!$L$412+Sens!$L$413-Sens!$L$419</f>
        <v>0</v>
      </c>
      <c r="M422" s="41" t="n">
        <f aca="false">Sens!$M$407+Sens!$M$408+Sens!$M$409+Sens!$M$410+Sens!$M$411+Sens!$M$412+Sens!$M$413-Sens!$M$419</f>
        <v>0</v>
      </c>
      <c r="N422" s="41" t="n">
        <f aca="false">Sens!$N$407+Sens!$N$408+Sens!$N$409+Sens!$N$410+Sens!$N$411+Sens!$N$412+Sens!$N$413-Sens!$N$419</f>
        <v>0</v>
      </c>
      <c r="O422" s="41" t="n">
        <f aca="false">Sens!$O$407+Sens!$O$408+Sens!$O$409+Sens!$O$410+Sens!$O$411+Sens!$O$412+Sens!$O$413-Sens!$O$419</f>
        <v>0</v>
      </c>
    </row>
    <row r="423" customFormat="false" ht="17.15" hidden="false" customHeight="false" outlineLevel="0" collapsed="false">
      <c r="A423" s="24" t="s">
        <v>716</v>
      </c>
      <c r="B423" s="25" t="s">
        <v>86</v>
      </c>
      <c r="C423" s="41" t="n">
        <f aca="false">Sens!$C$414+Sens!$C$415+Sens!$C$416-Sens!$C$419</f>
        <v>0</v>
      </c>
      <c r="D423" s="41" t="n">
        <f aca="false">Sens!$D$414+Sens!$D$415+Sens!$D$416-Sens!$D$419</f>
        <v>0</v>
      </c>
      <c r="E423" s="41" t="n">
        <f aca="false">Sens!$E$414+Sens!$E$415+Sens!$E$416-Sens!$E$419</f>
        <v>0</v>
      </c>
      <c r="F423" s="41" t="n">
        <f aca="false">Sens!$F$414+Sens!$F$415+Sens!$F$416-Sens!$F$419</f>
        <v>0</v>
      </c>
      <c r="G423" s="41" t="n">
        <f aca="false">Sens!$G$414+Sens!$G$415+Sens!$G$416-Sens!$G$419</f>
        <v>0</v>
      </c>
      <c r="H423" s="41" t="n">
        <f aca="false">Sens!$H$414+Sens!$H$415+Sens!$H$416-Sens!$H$419</f>
        <v>0</v>
      </c>
      <c r="I423" s="41" t="n">
        <f aca="false">Sens!$I$414+Sens!$I$415+Sens!$I$416-Sens!$I$419</f>
        <v>0</v>
      </c>
      <c r="J423" s="41" t="n">
        <f aca="false">Sens!$J$414+Sens!$J$415+Sens!$J$416-Sens!$J$419</f>
        <v>0</v>
      </c>
      <c r="K423" s="41" t="n">
        <f aca="false">Sens!$K$414+Sens!$K$415+Sens!$K$416-Sens!$K$419</f>
        <v>0</v>
      </c>
      <c r="L423" s="41" t="n">
        <f aca="false">Sens!$L$414+Sens!$L$415+Sens!$L$416-Sens!$L$419</f>
        <v>0</v>
      </c>
      <c r="M423" s="41" t="n">
        <f aca="false">Sens!$M$414+Sens!$M$415+Sens!$M$416-Sens!$M$419</f>
        <v>0</v>
      </c>
      <c r="N423" s="41" t="n">
        <f aca="false">Sens!$N$414+Sens!$N$415+Sens!$N$416-Sens!$N$419</f>
        <v>0</v>
      </c>
      <c r="O423" s="41" t="n">
        <f aca="false">Sens!$O$414+Sens!$O$415+Sens!$O$416-Sens!$O$419</f>
        <v>0</v>
      </c>
    </row>
    <row r="424" customFormat="false" ht="17.15" hidden="false" customHeight="false" outlineLevel="0" collapsed="false">
      <c r="A424" s="1" t="s">
        <v>730</v>
      </c>
    </row>
    <row r="425" customFormat="false" ht="17.15" hidden="false" customHeight="false" outlineLevel="0" collapsed="false">
      <c r="A425" s="0" t="s">
        <v>731</v>
      </c>
      <c r="B425" s="0" t="s">
        <v>86</v>
      </c>
      <c r="C425" s="38" t="n">
        <f aca="false">Sens!$C$326*m_ad</f>
        <v>20.5341564414228</v>
      </c>
      <c r="D425" s="38" t="n">
        <f aca="false">Sens!$D$326*m_ad</f>
        <v>24.8720617299587</v>
      </c>
      <c r="E425" s="38" t="n">
        <f aca="false">Sens!$E$326*m_ad</f>
        <v>13.5017112462207</v>
      </c>
      <c r="F425" s="38" t="n">
        <f aca="false">Sens!$F$326*m_ad</f>
        <v>16.5719724165257</v>
      </c>
      <c r="G425" s="38" t="n">
        <f aca="false">Sens!$G$326*m_ad</f>
        <v>30.0820919220415</v>
      </c>
      <c r="H425" s="38" t="n">
        <f aca="false">Sens!$H$326*m_ad</f>
        <v>36.1150883276314</v>
      </c>
      <c r="I425" s="38" t="n">
        <f aca="false">Sens!$I$326*m_ad</f>
        <v>42.1475382231996</v>
      </c>
      <c r="J425" s="38" t="n">
        <f aca="false">Sens!$J$326*m_ad</f>
        <v>47.7749523864693</v>
      </c>
      <c r="K425" s="38" t="n">
        <f aca="false">Sens!$K$326*m_ad</f>
        <v>52.5524476251162</v>
      </c>
      <c r="L425" s="38" t="n">
        <f aca="false">Sens!$L$326*m_ad</f>
        <v>57.8076923876279</v>
      </c>
      <c r="M425" s="38" t="n">
        <f aca="false">Sens!$M$326*m_ad</f>
        <v>63.5884616263907</v>
      </c>
      <c r="N425" s="38" t="n">
        <f aca="false">Sens!$N$326*m_ad</f>
        <v>10.8543555706248</v>
      </c>
      <c r="O425" s="38" t="n">
        <f aca="false">Sens!$O$326*m_ad</f>
        <v>14.0094731821399</v>
      </c>
    </row>
    <row r="426" customFormat="false" ht="17.15" hidden="false" customHeight="false" outlineLevel="0" collapsed="false">
      <c r="A426" s="0" t="s">
        <v>732</v>
      </c>
      <c r="B426" s="0" t="s">
        <v>86</v>
      </c>
      <c r="C426" s="38" t="n">
        <f aca="false">Sens!$C$324-Sens!$C$326</f>
        <v>346.428687117154</v>
      </c>
      <c r="D426" s="38" t="n">
        <f aca="false">Sens!$D$324-Sens!$D$326</f>
        <v>376.560876540083</v>
      </c>
      <c r="E426" s="38" t="n">
        <f aca="false">Sens!$E$324-Sens!$E$326</f>
        <v>193.316577507559</v>
      </c>
      <c r="F426" s="38" t="n">
        <f aca="false">Sens!$F$324-Sens!$F$326</f>
        <v>217.495828647535</v>
      </c>
      <c r="G426" s="38" t="n">
        <f aca="false">Sens!$G$324-Sens!$G$326</f>
        <v>410.795589636503</v>
      </c>
      <c r="H426" s="38" t="n">
        <f aca="false">Sens!$H$324-Sens!$H$326</f>
        <v>449.156813761174</v>
      </c>
      <c r="I426" s="38" t="n">
        <f aca="false">Sens!$I$324-Sens!$I$326</f>
        <v>485.848786441156</v>
      </c>
      <c r="J426" s="38" t="n">
        <f aca="false">Sens!$J$324-Sens!$J$326</f>
        <v>519.841531018994</v>
      </c>
      <c r="K426" s="38" t="n">
        <f aca="false">Sens!$K$324-Sens!$K$326</f>
        <v>550.103332311311</v>
      </c>
      <c r="L426" s="38" t="n">
        <f aca="false">Sens!$L$324-Sens!$L$326</f>
        <v>582.192354474511</v>
      </c>
      <c r="M426" s="38" t="n">
        <f aca="false">Sens!$M$324-Sens!$M$326</f>
        <v>616.22240521081</v>
      </c>
      <c r="N426" s="38" t="n">
        <f aca="false">Sens!$N$324-Sens!$N$326</f>
        <v>171.24628885875</v>
      </c>
      <c r="O426" s="38" t="n">
        <f aca="false">Sens!$O$324-Sens!$O$326</f>
        <v>205.33105363572</v>
      </c>
    </row>
    <row r="427" customFormat="false" ht="17.15" hidden="false" customHeight="false" outlineLevel="0" collapsed="false">
      <c r="A427" s="0" t="s">
        <v>733</v>
      </c>
      <c r="B427" s="0" t="s">
        <v>86</v>
      </c>
      <c r="C427" s="38" t="n">
        <f aca="false">Sens!$C$378*Sens!$C$323</f>
        <v>0.123617442257179</v>
      </c>
      <c r="D427" s="38" t="n">
        <f aca="false">Sens!$D$378*Sens!$D$323</f>
        <v>0.600198046024689</v>
      </c>
      <c r="E427" s="38" t="n">
        <f aca="false">Sens!$E$378*Sens!$E$323</f>
        <v>1.10840000750276</v>
      </c>
      <c r="F427" s="38" t="n">
        <f aca="false">Sens!$F$378*Sens!$F$323</f>
        <v>1.33595298721025</v>
      </c>
      <c r="G427" s="38" t="n">
        <f aca="false">Sens!$G$378*Sens!$G$323</f>
        <v>2.44487335052545</v>
      </c>
      <c r="H427" s="38" t="n">
        <f aca="false">Sens!$H$378*Sens!$H$323</f>
        <v>6.63132711939388</v>
      </c>
      <c r="I427" s="38" t="n">
        <f aca="false">Sens!$I$378*Sens!$I$323</f>
        <v>12.7486799258504</v>
      </c>
      <c r="J427" s="38" t="n">
        <f aca="false">Sens!$J$378*Sens!$J$323</f>
        <v>18.4074045299415</v>
      </c>
      <c r="K427" s="38" t="n">
        <f aca="false">Sens!$K$378*Sens!$K$323</f>
        <v>23.9455472348705</v>
      </c>
      <c r="L427" s="38" t="n">
        <f aca="false">Sens!$L$378*Sens!$L$323</f>
        <v>27.78179156216</v>
      </c>
      <c r="M427" s="38" t="n">
        <f aca="false">Sens!$M$378*Sens!$M$323</f>
        <v>29.9029027327362</v>
      </c>
      <c r="N427" s="38" t="n">
        <f aca="false">Sens!$N$378*Sens!$N$323</f>
        <v>0.25053229484398</v>
      </c>
      <c r="O427" s="38" t="n">
        <f aca="false">Sens!$O$378*Sens!$O$323</f>
        <v>0.349234376756897</v>
      </c>
    </row>
    <row r="428" customFormat="false" ht="17.15" hidden="false" customHeight="false" outlineLevel="0" collapsed="false">
      <c r="A428" s="0" t="s">
        <v>734</v>
      </c>
      <c r="B428" s="0" t="s">
        <v>52</v>
      </c>
      <c r="C428" s="28" t="n">
        <f aca="false">(Sens!$C$429-Sens!$C$425+Sens!$C$427)/Sens!$C$426</f>
        <v>0.0131526665379575</v>
      </c>
      <c r="D428" s="28" t="n">
        <f aca="false">(Sens!$D$429-Sens!$D$425+Sens!$D$427)/Sens!$D$426</f>
        <v>0.0141999252954702</v>
      </c>
      <c r="E428" s="28" t="n">
        <f aca="false">(Sens!$E$429-Sens!$E$425+Sens!$E$427)/Sens!$E$426</f>
        <v>0.0258471819939326</v>
      </c>
      <c r="F428" s="28" t="n">
        <f aca="false">Sens!$O$428+(Sens!$E$428-Sens!$N$428)</f>
        <v>0.0224302350712874</v>
      </c>
      <c r="G428" s="28" t="n">
        <f aca="false">(Sens!$G$429-Sens!$G$425+Sens!$G$427)/Sens!$G$426</f>
        <v>0.0240199351461372</v>
      </c>
      <c r="H428" s="28" t="n">
        <f aca="false">Sens!$G$428+step_na</f>
        <v>0.0270199351461372</v>
      </c>
      <c r="I428" s="28" t="n">
        <f aca="false">Sens!$H$428+step_na</f>
        <v>0.0300199351461372</v>
      </c>
      <c r="J428" s="28" t="n">
        <f aca="false">Sens!$I$428+step_na</f>
        <v>0.0330199351461372</v>
      </c>
      <c r="K428" s="28" t="n">
        <f aca="false">Sens!$J$428+step_na</f>
        <v>0.0360199351461372</v>
      </c>
      <c r="L428" s="28" t="n">
        <f aca="false">Sens!$K$428</f>
        <v>0.0360199351461372</v>
      </c>
      <c r="M428" s="28" t="n">
        <f aca="false">Sens!$L$428</f>
        <v>0.0360199351461372</v>
      </c>
      <c r="N428" s="28" t="n">
        <f aca="false">(Sens!$N$429-Sens!$N$425+Sens!$N$427)/Sens!$N$426</f>
        <v>0.0160831323269779</v>
      </c>
      <c r="O428" s="28" t="n">
        <f aca="false">(Sens!$O$429-Sens!$O$425+Sens!$O$427)/Sens!$O$426</f>
        <v>0.0126661854043327</v>
      </c>
      <c r="P428" s="8" t="s">
        <v>735</v>
      </c>
    </row>
    <row r="429" customFormat="false" ht="17.15" hidden="false" customHeight="false" outlineLevel="0" collapsed="false">
      <c r="A429" s="1" t="s">
        <v>736</v>
      </c>
      <c r="B429" s="8" t="s">
        <v>86</v>
      </c>
      <c r="C429" s="38" t="n">
        <f aca="false">Q!$D$22</f>
        <v>24.967</v>
      </c>
      <c r="D429" s="38" t="n">
        <f aca="false">Q!$E$22</f>
        <v>29.619</v>
      </c>
      <c r="E429" s="38" t="n">
        <f aca="false">Q!$P$22</f>
        <v>17.39</v>
      </c>
      <c r="F429" s="38" t="n">
        <f aca="false">Sens!$F$425+Sens!$F$426*Sens!$F$428-Sens!$F$427</f>
        <v>20.1145019929041</v>
      </c>
      <c r="G429" s="38" t="n">
        <f aca="false">Sens!$E$429+Sens!$F$429</f>
        <v>37.5045019929041</v>
      </c>
      <c r="H429" s="38" t="n">
        <f aca="false">Sens!$H$425+Sens!$H$426*Sens!$H$428-Sens!$H$427</f>
        <v>41.6199491865101</v>
      </c>
      <c r="I429" s="38" t="n">
        <f aca="false">Sens!$I$425+Sens!$I$426*Sens!$I$428-Sens!$I$427</f>
        <v>43.9840073571422</v>
      </c>
      <c r="J429" s="38" t="n">
        <f aca="false">Sens!$J$425+Sens!$J$426*Sens!$J$428-Sens!$J$427</f>
        <v>46.5326814970436</v>
      </c>
      <c r="K429" s="38" t="n">
        <f aca="false">Sens!$K$425+Sens!$K$426*Sens!$K$428-Sens!$K$427</f>
        <v>48.4215867437731</v>
      </c>
      <c r="L429" s="38" t="n">
        <f aca="false">Sens!$L$425+Sens!$L$426*Sens!$L$428-Sens!$L$427</f>
        <v>50.9964316762167</v>
      </c>
      <c r="M429" s="38" t="n">
        <f aca="false">Sens!$M$425+Sens!$M$426*Sens!$M$428-Sens!$M$427</f>
        <v>55.8818499649445</v>
      </c>
      <c r="N429" s="38" t="n">
        <f aca="false">Q!$N$22</f>
        <v>13.358</v>
      </c>
      <c r="O429" s="38" t="n">
        <f aca="false">Q!$O$22</f>
        <v>16.261</v>
      </c>
    </row>
    <row r="430" customFormat="false" ht="17.15" hidden="false" customHeight="false" outlineLevel="0" collapsed="false">
      <c r="A430" s="0" t="s">
        <v>737</v>
      </c>
      <c r="B430" s="0" t="s">
        <v>86</v>
      </c>
      <c r="C430" s="38" t="n">
        <f aca="false">Sens!$C$327*m_ad</f>
        <v>7.57284355857716</v>
      </c>
      <c r="D430" s="38" t="n">
        <f aca="false">Sens!$D$327*m_ad</f>
        <v>9.44543827004127</v>
      </c>
      <c r="E430" s="38" t="n">
        <f aca="false">Sens!$E$327*m_ad</f>
        <v>5.02428875377928</v>
      </c>
      <c r="F430" s="38" t="n">
        <f aca="false">Sens!$F$327*m_ad</f>
        <v>6.50663858068173</v>
      </c>
      <c r="G430" s="38" t="n">
        <f aca="false">Sens!$G$327*m_ad</f>
        <v>11.5225190751659</v>
      </c>
      <c r="H430" s="38" t="n">
        <f aca="false">Sens!$H$327*m_ad</f>
        <v>13.8333728663174</v>
      </c>
      <c r="I430" s="38" t="n">
        <f aca="false">Sens!$I$327*m_ad</f>
        <v>16.1440173245485</v>
      </c>
      <c r="J430" s="38" t="n">
        <f aca="false">Sens!$J$327*m_ad</f>
        <v>18.2995185845066</v>
      </c>
      <c r="K430" s="38" t="n">
        <f aca="false">Sens!$K$327*m_ad</f>
        <v>20.1294704429572</v>
      </c>
      <c r="L430" s="38" t="n">
        <f aca="false">Sens!$L$327*m_ad</f>
        <v>22.142417487253</v>
      </c>
      <c r="M430" s="38" t="n">
        <f aca="false">Sens!$M$327*m_ad</f>
        <v>24.3566592359783</v>
      </c>
      <c r="N430" s="38" t="n">
        <f aca="false">Sens!$N$327*m_ad</f>
        <v>3.95314442937518</v>
      </c>
      <c r="O430" s="38" t="n">
        <f aca="false">Sens!$O$327*m_ad</f>
        <v>5.50052681786011</v>
      </c>
    </row>
    <row r="431" customFormat="false" ht="17.15" hidden="false" customHeight="false" outlineLevel="0" collapsed="false">
      <c r="A431" s="0" t="s">
        <v>738</v>
      </c>
      <c r="B431" s="0" t="s">
        <v>86</v>
      </c>
      <c r="C431" s="38" t="n">
        <f aca="false">Sens!$C$325-Sens!$C$327</f>
        <v>127.760312882846</v>
      </c>
      <c r="D431" s="38" t="n">
        <f aca="false">Sens!$D$325-Sens!$D$327</f>
        <v>143.003123459917</v>
      </c>
      <c r="E431" s="38" t="n">
        <f aca="false">Sens!$E$325-Sens!$E$327</f>
        <v>71.9374224924414</v>
      </c>
      <c r="F431" s="38" t="n">
        <f aca="false">Sens!$F$325-Sens!$F$327</f>
        <v>85.3951910035875</v>
      </c>
      <c r="G431" s="38" t="n">
        <f aca="false">Sens!$G$325-Sens!$G$327</f>
        <v>157.349430014619</v>
      </c>
      <c r="H431" s="38" t="n">
        <f aca="false">Sens!$H$325-Sens!$H$327</f>
        <v>172.043153372315</v>
      </c>
      <c r="I431" s="38" t="n">
        <f aca="false">Sens!$I$325-Sens!$I$327</f>
        <v>186.097493615879</v>
      </c>
      <c r="J431" s="38" t="n">
        <f aca="false">Sens!$J$325-Sens!$J$327</f>
        <v>199.117932780497</v>
      </c>
      <c r="K431" s="38" t="n">
        <f aca="false">Sens!$K$325-Sens!$K$327</f>
        <v>210.70928698363</v>
      </c>
      <c r="L431" s="38" t="n">
        <f aca="false">Sens!$L$325-Sens!$L$327</f>
        <v>223.000532251316</v>
      </c>
      <c r="M431" s="38" t="n">
        <f aca="false">Sens!$M$325-Sens!$M$327</f>
        <v>236.035261011339</v>
      </c>
      <c r="N431" s="38" t="n">
        <f aca="false">Sens!$N$325-Sens!$N$327</f>
        <v>62.3677111412496</v>
      </c>
      <c r="O431" s="38" t="n">
        <f aca="false">Sens!$O$325-Sens!$O$327</f>
        <v>80.6189463642798</v>
      </c>
    </row>
    <row r="432" customFormat="false" ht="17.15" hidden="false" customHeight="false" outlineLevel="0" collapsed="false">
      <c r="A432" s="0" t="s">
        <v>739</v>
      </c>
      <c r="B432" s="0" t="s">
        <v>86</v>
      </c>
      <c r="C432" s="38" t="n">
        <f aca="false">Sens!$C$378*(1-Sens!$C$323)</f>
        <v>0.0455891896019953</v>
      </c>
      <c r="D432" s="38" t="n">
        <f aca="false">Sens!$D$378*(1-Sens!$D$323)</f>
        <v>0.227931791705753</v>
      </c>
      <c r="E432" s="38" t="n">
        <f aca="false">Sens!$E$378*(1-Sens!$E$323)</f>
        <v>0.412460434890711</v>
      </c>
      <c r="F432" s="38" t="n">
        <f aca="false">Sens!$F$378*(1-Sens!$F$323)</f>
        <v>0.524534016233997</v>
      </c>
      <c r="G432" s="38" t="n">
        <f aca="false">Sens!$G$378*(1-Sens!$G$323)</f>
        <v>0.936474095312266</v>
      </c>
      <c r="H432" s="38" t="n">
        <f aca="false">Sens!$H$378*(1-Sens!$H$323)</f>
        <v>2.54003589327823</v>
      </c>
      <c r="I432" s="38" t="n">
        <f aca="false">Sens!$I$378*(1-Sens!$I$323)</f>
        <v>4.88320120852905</v>
      </c>
      <c r="J432" s="38" t="n">
        <f aca="false">Sens!$J$378*(1-Sens!$J$323)</f>
        <v>7.05069548920359</v>
      </c>
      <c r="K432" s="38" t="n">
        <f aca="false">Sens!$K$378*(1-Sens!$K$323)</f>
        <v>9.17200258193867</v>
      </c>
      <c r="L432" s="38" t="n">
        <f aca="false">Sens!$L$378*(1-Sens!$L$323)</f>
        <v>10.6414216154535</v>
      </c>
      <c r="M432" s="38" t="n">
        <f aca="false">Sens!$M$378*(1-Sens!$M$323)</f>
        <v>11.4538831951485</v>
      </c>
      <c r="N432" s="38" t="n">
        <f aca="false">Sens!$N$378*(1-Sens!$N$323)</f>
        <v>0.0912435878202994</v>
      </c>
      <c r="O432" s="38" t="n">
        <f aca="false">Sens!$O$378*(1-Sens!$O$323)</f>
        <v>0.137119578309265</v>
      </c>
    </row>
    <row r="433" customFormat="false" ht="17.15" hidden="false" customHeight="false" outlineLevel="0" collapsed="false">
      <c r="A433" s="0" t="s">
        <v>740</v>
      </c>
      <c r="B433" s="0" t="s">
        <v>52</v>
      </c>
      <c r="C433" s="28" t="n">
        <f aca="false">(Sens!$C$434-Sens!$C$430+Sens!$C$432)/Sens!$C$431</f>
        <v>-0.0292364215826579</v>
      </c>
      <c r="D433" s="28" t="n">
        <f aca="false">(Sens!$D$434-Sens!$D$430+Sens!$D$432)/Sens!$D$431</f>
        <v>-0.0312406216748665</v>
      </c>
      <c r="E433" s="28" t="n">
        <f aca="false">(Sens!$E$434-Sens!$E$430+Sens!$E$432)/Sens!$E$431</f>
        <v>-0.0204459413185552</v>
      </c>
      <c r="F433" s="28" t="n">
        <f aca="false">Sens!$O$433+(Sens!$E$433-Sens!$N$433)</f>
        <v>-0.0375409290246314</v>
      </c>
      <c r="G433" s="28" t="n">
        <f aca="false">(Sens!$G$434-Sens!$G$430+Sens!$G$432)/Sens!$G$431</f>
        <v>-0.0296712560031684</v>
      </c>
      <c r="H433" s="28" t="n">
        <f aca="false">Sens!$G$433+step_in</f>
        <v>-0.0296712560031684</v>
      </c>
      <c r="I433" s="28" t="n">
        <f aca="false">Sens!$H$433+step_in</f>
        <v>-0.0296712560031684</v>
      </c>
      <c r="J433" s="28" t="n">
        <f aca="false">Sens!$I$433+step_in</f>
        <v>-0.0296712560031684</v>
      </c>
      <c r="K433" s="28" t="n">
        <f aca="false">Sens!$J$433+step_in</f>
        <v>-0.0296712560031684</v>
      </c>
      <c r="L433" s="28" t="n">
        <f aca="false">Sens!$K$433</f>
        <v>-0.0296712560031684</v>
      </c>
      <c r="M433" s="28" t="n">
        <f aca="false">Sens!$L$433</f>
        <v>-0.0296712560031684</v>
      </c>
      <c r="N433" s="28" t="n">
        <f aca="false">(Sens!$N$434-Sens!$N$430+Sens!$N$432)/Sens!$N$431</f>
        <v>-0.0216602600421776</v>
      </c>
      <c r="O433" s="28" t="n">
        <f aca="false">(Sens!$O$434-Sens!$O$430+Sens!$O$432)/Sens!$O$431</f>
        <v>-0.0387552477482538</v>
      </c>
      <c r="P433" s="8" t="s">
        <v>735</v>
      </c>
    </row>
    <row r="434" customFormat="false" ht="17.15" hidden="false" customHeight="false" outlineLevel="0" collapsed="false">
      <c r="A434" s="1" t="s">
        <v>741</v>
      </c>
      <c r="B434" s="8" t="s">
        <v>86</v>
      </c>
      <c r="C434" s="38" t="n">
        <f aca="false">Q!$D$23</f>
        <v>3.792</v>
      </c>
      <c r="D434" s="38" t="n">
        <f aca="false">Q!$E$23</f>
        <v>4.75</v>
      </c>
      <c r="E434" s="38" t="n">
        <f aca="false">Q!$P$23</f>
        <v>3.141</v>
      </c>
      <c r="F434" s="38" t="n">
        <f aca="false">Sens!$F$430+Sens!$F$431*Sens!$F$433-Sens!$F$432</f>
        <v>2.77628975993721</v>
      </c>
      <c r="G434" s="38" t="n">
        <f aca="false">Sens!$E$434+Sens!$F$434</f>
        <v>5.91728975993721</v>
      </c>
      <c r="H434" s="38" t="n">
        <f aca="false">Sens!$H$430+Sens!$H$431*Sens!$H$433-Sens!$H$432</f>
        <v>6.18860052573681</v>
      </c>
      <c r="I434" s="38" t="n">
        <f aca="false">Sens!$I$430+Sens!$I$431*Sens!$I$433-Sens!$I$432</f>
        <v>5.73906974139474</v>
      </c>
      <c r="J434" s="38" t="n">
        <f aca="false">Sens!$J$430+Sens!$J$431*Sens!$J$433-Sens!$J$432</f>
        <v>5.34074393695119</v>
      </c>
      <c r="K434" s="38" t="n">
        <f aca="false">Sens!$K$430+Sens!$K$431*Sens!$K$433-Sens!$K$432</f>
        <v>4.7054586646822</v>
      </c>
      <c r="L434" s="38" t="n">
        <f aca="false">Sens!$L$430+Sens!$L$431*Sens!$L$433-Sens!$L$432</f>
        <v>4.88428999052786</v>
      </c>
      <c r="M434" s="38" t="n">
        <f aca="false">Sens!$M$430+Sens!$M$431*Sens!$M$433-Sens!$M$432</f>
        <v>5.89931338558769</v>
      </c>
      <c r="N434" s="38" t="n">
        <f aca="false">Q!$N$23</f>
        <v>2.511</v>
      </c>
      <c r="O434" s="38" t="n">
        <f aca="false">Q!$O$23</f>
        <v>2.239</v>
      </c>
    </row>
    <row r="435" customFormat="false" ht="17.15" hidden="false" customHeight="false" outlineLevel="0" collapsed="false">
      <c r="A435" s="0" t="s">
        <v>742</v>
      </c>
      <c r="B435" s="0" t="s">
        <v>86</v>
      </c>
      <c r="C435" s="38" t="n">
        <f aca="false">Sens!$C$375</f>
        <v>1.64417882953695</v>
      </c>
      <c r="D435" s="38" t="n">
        <f aca="false">Sens!$D$375</f>
        <v>5.39125073772939</v>
      </c>
      <c r="E435" s="38" t="n">
        <f aca="false">Sens!$E$375</f>
        <v>2.42691120599613</v>
      </c>
      <c r="F435" s="38" t="n">
        <f aca="false">Sens!$F$375</f>
        <v>6.69546929455678</v>
      </c>
      <c r="G435" s="38" t="n">
        <f aca="false">Sens!$G$375</f>
        <v>9.1223805005529</v>
      </c>
      <c r="H435" s="38" t="n">
        <f aca="false">Sens!$H$375</f>
        <v>16.7368381471749</v>
      </c>
      <c r="I435" s="38" t="n">
        <f aca="false">Sens!$I$375</f>
        <v>17.2722217177834</v>
      </c>
      <c r="J435" s="38" t="n">
        <f aca="false">Sens!$J$375</f>
        <v>20.4977373247316</v>
      </c>
      <c r="K435" s="38" t="n">
        <f aca="false">Sens!$K$375</f>
        <v>19.3182673269205</v>
      </c>
      <c r="L435" s="38" t="n">
        <f aca="false">Sens!$L$375</f>
        <v>17.4557727670999</v>
      </c>
      <c r="M435" s="38" t="n">
        <f aca="false">Sens!$M$375</f>
        <v>14.958596474413</v>
      </c>
      <c r="N435" s="38" t="n">
        <f aca="false">Sens!$N$375</f>
        <v>1.67921600037079</v>
      </c>
      <c r="O435" s="38" t="n">
        <f aca="false">Sens!$O$375</f>
        <v>3.71203473735861</v>
      </c>
    </row>
    <row r="436" customFormat="false" ht="17.15" hidden="false" customHeight="false" outlineLevel="0" collapsed="false">
      <c r="A436" s="0" t="s">
        <v>660</v>
      </c>
      <c r="B436" s="0" t="s">
        <v>86</v>
      </c>
      <c r="C436" s="38" t="n">
        <f aca="false">Sens!$C$380</f>
        <v>38.1898211704631</v>
      </c>
      <c r="D436" s="38" t="n">
        <f aca="false">Sens!$D$380</f>
        <v>40.2147492622706</v>
      </c>
      <c r="E436" s="38" t="n">
        <f aca="false">Sens!$E$380</f>
        <v>28.3550887940039</v>
      </c>
      <c r="F436" s="38" t="n">
        <f aca="false">Sens!$F$380</f>
        <v>25.9529793149447</v>
      </c>
      <c r="G436" s="38" t="n">
        <f aca="false">Sens!$G$380</f>
        <v>54.3080681089486</v>
      </c>
      <c r="H436" s="38" t="n">
        <f aca="false">Sens!$H$380</f>
        <v>58.2264684589333</v>
      </c>
      <c r="I436" s="38" t="n">
        <f aca="false">Sens!$I$380</f>
        <v>64.6461353851744</v>
      </c>
      <c r="J436" s="38" t="n">
        <f aca="false">Sens!$J$380</f>
        <v>70.7957093610231</v>
      </c>
      <c r="K436" s="38" t="n">
        <f aca="false">Sens!$K$380</f>
        <v>76.4593661099049</v>
      </c>
      <c r="L436" s="38" t="n">
        <f aca="false">Sens!$L$380</f>
        <v>82.5761153986973</v>
      </c>
      <c r="M436" s="38" t="n">
        <f aca="false">Sens!$M$380</f>
        <v>89.1822046305931</v>
      </c>
      <c r="N436" s="38" t="n">
        <f aca="false">Sens!$N$380</f>
        <v>20.0277839996292</v>
      </c>
      <c r="O436" s="38" t="n">
        <f aca="false">Sens!$O$380</f>
        <v>20.1869652626414</v>
      </c>
    </row>
    <row r="437" customFormat="false" ht="17.15" hidden="false" customHeight="false" outlineLevel="0" collapsed="false">
      <c r="A437" s="1" t="s">
        <v>743</v>
      </c>
      <c r="B437" s="8" t="s">
        <v>86</v>
      </c>
      <c r="C437" s="38" t="n">
        <f aca="false">Q!$D$24</f>
        <v>39.834</v>
      </c>
      <c r="D437" s="38" t="n">
        <f aca="false">Q!$E$24</f>
        <v>45.606</v>
      </c>
      <c r="E437" s="38" t="n">
        <f aca="false">Q!$P$24</f>
        <v>30.782</v>
      </c>
      <c r="F437" s="38" t="n">
        <f aca="false">Sens!$F$435+Sens!$F$436</f>
        <v>32.6484486095015</v>
      </c>
      <c r="G437" s="38" t="n">
        <f aca="false">Sens!$G$435+Sens!$G$436</f>
        <v>63.4304486095015</v>
      </c>
      <c r="H437" s="38" t="n">
        <f aca="false">Sens!$H$435+Sens!$H$436</f>
        <v>74.9633066061082</v>
      </c>
      <c r="I437" s="38" t="n">
        <f aca="false">Sens!$I$435+Sens!$I$436</f>
        <v>81.9183571029579</v>
      </c>
      <c r="J437" s="38" t="n">
        <f aca="false">Sens!$J$435+Sens!$J$436</f>
        <v>91.2934466857547</v>
      </c>
      <c r="K437" s="38" t="n">
        <f aca="false">Sens!$K$435+Sens!$K$436</f>
        <v>95.7776334368254</v>
      </c>
      <c r="L437" s="38" t="n">
        <f aca="false">Sens!$L$435+Sens!$L$436</f>
        <v>100.031888165797</v>
      </c>
      <c r="M437" s="38" t="n">
        <f aca="false">Sens!$M$435+Sens!$M$436</f>
        <v>104.140801105006</v>
      </c>
      <c r="N437" s="38" t="n">
        <f aca="false">Q!$N$24</f>
        <v>21.707</v>
      </c>
      <c r="O437" s="38" t="n">
        <f aca="false">Q!$O$24</f>
        <v>23.899</v>
      </c>
    </row>
    <row r="438" customFormat="false" ht="17.15" hidden="false" customHeight="false" outlineLevel="0" collapsed="false">
      <c r="A438" s="5" t="s">
        <v>744</v>
      </c>
      <c r="B438" s="0" t="s">
        <v>86</v>
      </c>
      <c r="C438" s="38" t="n">
        <f aca="false">Q!$D$26</f>
        <v>0</v>
      </c>
      <c r="D438" s="38" t="n">
        <f aca="false">Q!$E$26</f>
        <v>0</v>
      </c>
      <c r="E438" s="38" t="n">
        <f aca="false">Q!$P$26</f>
        <v>0</v>
      </c>
      <c r="F438" s="39" t="n">
        <v>0</v>
      </c>
      <c r="G438" s="38" t="n">
        <f aca="false">Sens!$E$438+Sens!$F$438</f>
        <v>0</v>
      </c>
      <c r="H438" s="39" t="n">
        <v>0</v>
      </c>
      <c r="I438" s="39" t="n">
        <v>0</v>
      </c>
      <c r="J438" s="39" t="n">
        <v>0</v>
      </c>
      <c r="K438" s="39" t="n">
        <v>0</v>
      </c>
      <c r="L438" s="39" t="n">
        <v>0</v>
      </c>
      <c r="M438" s="39" t="n">
        <v>0</v>
      </c>
      <c r="N438" s="38" t="n">
        <f aca="false">Q!$N$26</f>
        <v>0</v>
      </c>
      <c r="O438" s="38" t="n">
        <f aca="false">Q!$O$26</f>
        <v>0</v>
      </c>
    </row>
    <row r="439" customFormat="false" ht="15" hidden="false" customHeight="false" outlineLevel="0" collapsed="false">
      <c r="A439" s="3" t="s">
        <v>541</v>
      </c>
      <c r="B439" s="8" t="s">
        <v>86</v>
      </c>
      <c r="C439" s="38" t="n">
        <f aca="false">Q!$D$25</f>
        <v>68.593</v>
      </c>
      <c r="D439" s="38" t="n">
        <f aca="false">Q!$E$25</f>
        <v>79.975</v>
      </c>
      <c r="E439" s="38" t="n">
        <f aca="false">Q!$P$25</f>
        <v>51.313</v>
      </c>
      <c r="F439" s="38" t="n">
        <f aca="false">Sens!$F$429+Sens!$F$434+Sens!$F$437+Sens!$F$438</f>
        <v>55.5392403623427</v>
      </c>
      <c r="G439" s="38" t="n">
        <f aca="false">Sens!$G$429+Sens!$G$434+Sens!$G$437+Sens!$G$438</f>
        <v>106.852240362343</v>
      </c>
      <c r="H439" s="38" t="n">
        <f aca="false">Sens!$H$429+Sens!$H$434+Sens!$H$437+Sens!$H$438</f>
        <v>122.771856318355</v>
      </c>
      <c r="I439" s="38" t="n">
        <f aca="false">Sens!$I$429+Sens!$I$434+Sens!$I$437+Sens!$I$438</f>
        <v>131.641434201495</v>
      </c>
      <c r="J439" s="38" t="n">
        <f aca="false">Sens!$J$429+Sens!$J$434+Sens!$J$437+Sens!$J$438</f>
        <v>143.16687211975</v>
      </c>
      <c r="K439" s="38" t="n">
        <f aca="false">Sens!$K$429+Sens!$K$434+Sens!$K$437+Sens!$K$438</f>
        <v>148.904678845281</v>
      </c>
      <c r="L439" s="38" t="n">
        <f aca="false">Sens!$L$429+Sens!$L$434+Sens!$L$437+Sens!$L$438</f>
        <v>155.912609832542</v>
      </c>
      <c r="M439" s="38" t="n">
        <f aca="false">Sens!$M$429+Sens!$M$434+Sens!$M$437+Sens!$M$438</f>
        <v>165.921964455538</v>
      </c>
      <c r="N439" s="38" t="n">
        <f aca="false">Q!$N$25</f>
        <v>37.576</v>
      </c>
      <c r="O439" s="38" t="n">
        <f aca="false">Q!$O$25</f>
        <v>42.399</v>
      </c>
    </row>
    <row r="440" customFormat="false" ht="17.15" hidden="false" customHeight="false" outlineLevel="0" collapsed="false">
      <c r="A440" s="24" t="s">
        <v>775</v>
      </c>
      <c r="B440" s="25" t="s">
        <v>86</v>
      </c>
      <c r="C440" s="41" t="n">
        <f aca="false">Sens!$C$429+Sens!$C$434+Sens!$C$437+Sens!$C$438-Sens!$C$439</f>
        <v>0</v>
      </c>
      <c r="D440" s="41" t="n">
        <f aca="false">Sens!$D$429+Sens!$D$434+Sens!$D$437+Sens!$D$438-Sens!$D$439</f>
        <v>0</v>
      </c>
      <c r="E440" s="41" t="n">
        <f aca="false">Sens!$E$429+Sens!$E$434+Sens!$E$437+Sens!$E$438-Sens!$E$439</f>
        <v>0</v>
      </c>
      <c r="F440" s="41" t="n">
        <f aca="false">Sens!$F$429+Sens!$F$434+Sens!$F$437+Sens!$F$438-Sens!$F$439</f>
        <v>0</v>
      </c>
      <c r="G440" s="41" t="n">
        <f aca="false">Sens!$G$429+Sens!$G$434+Sens!$G$437+Sens!$G$438-Sens!$G$439</f>
        <v>0</v>
      </c>
      <c r="H440" s="41" t="n">
        <f aca="false">Sens!$H$429+Sens!$H$434+Sens!$H$437+Sens!$H$438-Sens!$H$439</f>
        <v>0</v>
      </c>
      <c r="I440" s="41" t="n">
        <f aca="false">Sens!$I$429+Sens!$I$434+Sens!$I$437+Sens!$I$438-Sens!$I$439</f>
        <v>0</v>
      </c>
      <c r="J440" s="41" t="n">
        <f aca="false">Sens!$J$429+Sens!$J$434+Sens!$J$437+Sens!$J$438-Sens!$J$439</f>
        <v>0</v>
      </c>
      <c r="K440" s="41" t="n">
        <f aca="false">Sens!$K$429+Sens!$K$434+Sens!$K$437+Sens!$K$438-Sens!$K$439</f>
        <v>0</v>
      </c>
      <c r="L440" s="41" t="n">
        <f aca="false">Sens!$L$429+Sens!$L$434+Sens!$L$437+Sens!$L$438-Sens!$L$439</f>
        <v>0</v>
      </c>
      <c r="M440" s="41" t="n">
        <f aca="false">Sens!$M$429+Sens!$M$434+Sens!$M$437+Sens!$M$438-Sens!$M$439</f>
        <v>0</v>
      </c>
      <c r="N440" s="41" t="n">
        <f aca="false">Sens!$N$429+Sens!$N$434+Sens!$N$437+Sens!$N$438-Sens!$N$439</f>
        <v>0</v>
      </c>
      <c r="O440" s="41" t="n">
        <f aca="false">Sens!$O$429+Sens!$O$434+Sens!$O$437+Sens!$O$438-Sens!$O$439</f>
        <v>0</v>
      </c>
    </row>
    <row r="441" customFormat="false" ht="17.15" hidden="false" customHeight="false" outlineLevel="0" collapsed="false">
      <c r="A441" s="5" t="s">
        <v>746</v>
      </c>
      <c r="B441" s="0" t="s">
        <v>86</v>
      </c>
      <c r="C441" s="38" t="n">
        <f aca="false">Sens!$C$377</f>
        <v>0</v>
      </c>
      <c r="D441" s="38" t="n">
        <f aca="false">Sens!$D$377</f>
        <v>0</v>
      </c>
      <c r="E441" s="38" t="n">
        <f aca="false">Sens!$E$377</f>
        <v>0</v>
      </c>
      <c r="F441" s="38" t="n">
        <f aca="false">Sens!$F$377</f>
        <v>3.77122048175818</v>
      </c>
      <c r="G441" s="38" t="n">
        <f aca="false">Sens!$G$377</f>
        <v>3.77122048175818</v>
      </c>
      <c r="H441" s="38" t="n">
        <f aca="false">Sens!$H$377</f>
        <v>15.1635543609893</v>
      </c>
      <c r="I441" s="38" t="n">
        <f aca="false">Sens!$I$377</f>
        <v>25.5818843619889</v>
      </c>
      <c r="J441" s="38" t="n">
        <f aca="false">Sens!$J$377</f>
        <v>36.0465624179122</v>
      </c>
      <c r="K441" s="38" t="n">
        <f aca="false">Sens!$K$377</f>
        <v>44.9741164026038</v>
      </c>
      <c r="L441" s="38" t="n">
        <f aca="false">Sens!$L$377</f>
        <v>50.8413488057813</v>
      </c>
      <c r="M441" s="38" t="n">
        <f aca="false">Sens!$M$377</f>
        <v>53.6407214274315</v>
      </c>
      <c r="N441" s="38" t="n">
        <f aca="false">Sens!$N$377</f>
        <v>0</v>
      </c>
      <c r="O441" s="38" t="n">
        <f aca="false">Sens!$O$377</f>
        <v>0</v>
      </c>
      <c r="P441" s="5" t="s">
        <v>747</v>
      </c>
    </row>
    <row r="442" customFormat="false" ht="17.15" hidden="false" customHeight="false" outlineLevel="0" collapsed="false">
      <c r="A442" s="5" t="s">
        <v>748</v>
      </c>
      <c r="B442" s="0" t="s">
        <v>86</v>
      </c>
      <c r="C442" s="38" t="n">
        <f aca="false">Sens!$C$439+Sens!$C$441</f>
        <v>68.593</v>
      </c>
      <c r="D442" s="38" t="n">
        <f aca="false">Sens!$D$439+Sens!$D$441</f>
        <v>79.975</v>
      </c>
      <c r="E442" s="38" t="n">
        <f aca="false">Sens!$E$439+Sens!$E$441</f>
        <v>51.313</v>
      </c>
      <c r="F442" s="38" t="n">
        <f aca="false">Sens!$F$439+Sens!$F$441</f>
        <v>59.3104608441009</v>
      </c>
      <c r="G442" s="38" t="n">
        <f aca="false">Sens!$G$439+Sens!$G$441</f>
        <v>110.623460844101</v>
      </c>
      <c r="H442" s="38" t="n">
        <f aca="false">Sens!$H$439+Sens!$H$441</f>
        <v>137.935410679344</v>
      </c>
      <c r="I442" s="38" t="n">
        <f aca="false">Sens!$I$439+Sens!$I$441</f>
        <v>157.223318563484</v>
      </c>
      <c r="J442" s="38" t="n">
        <f aca="false">Sens!$J$439+Sens!$J$441</f>
        <v>179.213434537662</v>
      </c>
      <c r="K442" s="38" t="n">
        <f aca="false">Sens!$K$439+Sens!$K$441</f>
        <v>193.878795247884</v>
      </c>
      <c r="L442" s="38" t="n">
        <f aca="false">Sens!$L$439+Sens!$L$441</f>
        <v>206.753958638323</v>
      </c>
      <c r="M442" s="38" t="n">
        <f aca="false">Sens!$M$439+Sens!$M$441</f>
        <v>219.56268588297</v>
      </c>
      <c r="N442" s="38" t="n">
        <f aca="false">Sens!$N$439+Sens!$N$441</f>
        <v>37.576</v>
      </c>
      <c r="O442" s="38" t="n">
        <f aca="false">Sens!$O$439+Sens!$O$441</f>
        <v>42.399</v>
      </c>
    </row>
    <row r="443" customFormat="false" ht="17.15" hidden="false" customHeight="false" outlineLevel="0" collapsed="false">
      <c r="A443" s="0" t="s">
        <v>749</v>
      </c>
      <c r="B443" s="0" t="s">
        <v>52</v>
      </c>
      <c r="C443" s="13" t="n">
        <f aca="false">Sens!$C$429/Sens!$C$414</f>
        <v>0.0644314665661928</v>
      </c>
      <c r="D443" s="13" t="n">
        <f aca="false">Sens!$D$429/Sens!$D$414</f>
        <v>0.0694784250712518</v>
      </c>
      <c r="E443" s="13" t="n">
        <f aca="false">Sens!$E$429/Sens!$E$414</f>
        <v>0.0789306463326071</v>
      </c>
      <c r="F443" s="13" t="n">
        <f aca="false">Sens!$F$429/Sens!$F$414</f>
        <v>0.0802526339438384</v>
      </c>
      <c r="G443" s="13" t="n">
        <f aca="false">Sens!$G$429/Sens!$G$414</f>
        <v>0.0796341940538369</v>
      </c>
      <c r="H443" s="13" t="n">
        <f aca="false">Sens!$H$429/Sens!$H$414</f>
        <v>0.0798254462645258</v>
      </c>
      <c r="I443" s="13" t="n">
        <f aca="false">Sens!$I$429/Sens!$I$414</f>
        <v>0.0771454543672196</v>
      </c>
      <c r="J443" s="13" t="n">
        <f aca="false">Sens!$J$429/Sens!$J$414</f>
        <v>0.0756147693819656</v>
      </c>
      <c r="K443" s="13" t="n">
        <f aca="false">Sens!$K$429/Sens!$K$414</f>
        <v>0.0739025926520816</v>
      </c>
      <c r="L443" s="13" t="n">
        <f aca="false">Sens!$L$429/Sens!$L$414</f>
        <v>0.0730809201558074</v>
      </c>
      <c r="M443" s="13" t="n">
        <f aca="false">Sens!$M$429/Sens!$M$414</f>
        <v>0.0751707027775199</v>
      </c>
      <c r="N443" s="13" t="n">
        <f aca="false">Sens!$N$429/Sens!$N$414</f>
        <v>0.069228576611127</v>
      </c>
      <c r="O443" s="13" t="n">
        <f aca="false">Sens!$O$429/Sens!$O$414</f>
        <v>0.069685022498393</v>
      </c>
    </row>
    <row r="444" customFormat="false" ht="17.15" hidden="false" customHeight="false" outlineLevel="0" collapsed="false">
      <c r="A444" s="0" t="s">
        <v>750</v>
      </c>
      <c r="B444" s="0" t="s">
        <v>52</v>
      </c>
      <c r="C444" s="13" t="n">
        <f aca="false">Sens!$C$434/Sens!$C$415</f>
        <v>0.026534925055631</v>
      </c>
      <c r="D444" s="13" t="n">
        <f aca="false">Sens!$D$434/Sens!$D$415</f>
        <v>0.0293401855535103</v>
      </c>
      <c r="E444" s="13" t="n">
        <f aca="false">Sens!$E$434/Sens!$E$415</f>
        <v>0.03831141902276</v>
      </c>
      <c r="F444" s="13" t="n">
        <f aca="false">Sens!$F$434/Sens!$F$415</f>
        <v>0.0282118989524726</v>
      </c>
      <c r="G444" s="13" t="n">
        <f aca="false">Sens!$G$434/Sens!$G$415</f>
        <v>0.0328019468674976</v>
      </c>
      <c r="H444" s="13" t="n">
        <f aca="false">Sens!$H$434/Sens!$H$415</f>
        <v>0.0309879507899839</v>
      </c>
      <c r="I444" s="13" t="n">
        <f aca="false">Sens!$I$434/Sens!$I$415</f>
        <v>0.0262795332043765</v>
      </c>
      <c r="J444" s="13" t="n">
        <f aca="false">Sens!$J$434/Sens!$J$415</f>
        <v>0.0226574435353346</v>
      </c>
      <c r="K444" s="13" t="n">
        <f aca="false">Sens!$K$434/Sens!$K$415</f>
        <v>0.0187492205871101</v>
      </c>
      <c r="L444" s="13" t="n">
        <f aca="false">Sens!$L$434/Sens!$L$415</f>
        <v>0.018273690180732</v>
      </c>
      <c r="M444" s="13" t="n">
        <f aca="false">Sens!$M$434/Sens!$M$415</f>
        <v>0.0207176218272716</v>
      </c>
      <c r="N444" s="13" t="n">
        <f aca="false">Sens!$N$434/Sens!$N$415</f>
        <v>0.0357315650169337</v>
      </c>
      <c r="O444" s="13" t="n">
        <f aca="false">Sens!$O$434/Sens!$O$415</f>
        <v>0.0244378956559703</v>
      </c>
    </row>
    <row r="445" customFormat="false" ht="17.15" hidden="false" customHeight="false" outlineLevel="0" collapsed="false">
      <c r="A445" s="14" t="s">
        <v>751</v>
      </c>
      <c r="B445" s="14" t="s">
        <v>52</v>
      </c>
      <c r="C445" s="17" t="n">
        <f aca="false">Sens!$C$437/Sens!$C$416</f>
        <v>0.370355907620217</v>
      </c>
      <c r="D445" s="17" t="n">
        <f aca="false">Sens!$D$437/Sens!$D$416</f>
        <v>0.35429015342785</v>
      </c>
      <c r="E445" s="17" t="n">
        <f aca="false">Sens!$E$437/Sens!$E$416</f>
        <v>0.385647527531039</v>
      </c>
      <c r="F445" s="17" t="n">
        <f aca="false">Sens!$F$437/Sens!$F$416</f>
        <v>0.380045352804209</v>
      </c>
      <c r="G445" s="17" t="n">
        <f aca="false">Sens!$G$437/Sens!$G$416</f>
        <v>0.382743545892998</v>
      </c>
      <c r="H445" s="17" t="n">
        <f aca="false">Sens!$H$437/Sens!$H$416</f>
        <v>0.349578100131455</v>
      </c>
      <c r="I445" s="17" t="n">
        <f aca="false">Sens!$I$437/Sens!$I$416</f>
        <v>0.307305807032411</v>
      </c>
      <c r="J445" s="17" t="n">
        <f aca="false">Sens!$J$437/Sens!$J$416</f>
        <v>0.286990939590772</v>
      </c>
      <c r="K445" s="17" t="n">
        <f aca="false">Sens!$K$437/Sens!$K$416</f>
        <v>0.26368602705558</v>
      </c>
      <c r="L445" s="17" t="n">
        <f aca="false">Sens!$L$437/Sens!$L$416</f>
        <v>0.250391951005668</v>
      </c>
      <c r="M445" s="17" t="n">
        <f aca="false">Sens!$M$437/Sens!$M$416</f>
        <v>0.243885731541283</v>
      </c>
      <c r="N445" s="17" t="n">
        <f aca="false">Sens!$N$437/Sens!$N$416</f>
        <v>0.360941137346192</v>
      </c>
      <c r="O445" s="17" t="n">
        <f aca="false">Sens!$O$437/Sens!$O$416</f>
        <v>0.348458117664212</v>
      </c>
    </row>
    <row r="446" customFormat="false" ht="17.15" hidden="false" customHeight="false" outlineLevel="0" collapsed="false">
      <c r="A446" s="0" t="s">
        <v>752</v>
      </c>
      <c r="B446" s="0" t="s">
        <v>52</v>
      </c>
      <c r="C446" s="13" t="n">
        <f aca="false">Sens!$C$435/Sens!$C$417</f>
        <v>0.708390794789371</v>
      </c>
      <c r="D446" s="13" t="n">
        <f aca="false">Sens!$D$435/Sens!$D$417</f>
        <v>0.619415573115729</v>
      </c>
      <c r="E446" s="13" t="n">
        <f aca="false">Sens!$E$435/Sens!$E$417</f>
        <v>0.285171627189009</v>
      </c>
      <c r="F446" s="13" t="n">
        <f aca="false">Sens!$F$435/Sens!$F$417</f>
        <v>0.47359918353757</v>
      </c>
      <c r="G446" s="13" t="n">
        <f aca="false">Sens!$G$435/Sens!$G$417</f>
        <v>0.402793757893083</v>
      </c>
      <c r="H446" s="13" t="n">
        <f aca="false">Sens!$H$435/Sens!$H$417</f>
        <v>0.31329316068603</v>
      </c>
      <c r="I446" s="13" t="n">
        <f aca="false">Sens!$I$435/Sens!$I$417</f>
        <v>0.196722911562407</v>
      </c>
      <c r="J446" s="13" t="n">
        <f aca="false">Sens!$J$435/Sens!$J$417</f>
        <v>0.167560813387199</v>
      </c>
      <c r="K446" s="13" t="n">
        <f aca="false">Sens!$K$435/Sens!$K$417</f>
        <v>0.12727098283806</v>
      </c>
      <c r="L446" s="13" t="n">
        <f aca="false">Sens!$L$435/Sens!$L$417</f>
        <v>0.101991895747882</v>
      </c>
      <c r="M446" s="13" t="n">
        <f aca="false">Sens!$M$435/Sens!$M$417</f>
        <v>0.0829256040915033</v>
      </c>
      <c r="N446" s="13" t="n">
        <f aca="false">Sens!$N$435/Sens!$N$417</f>
        <v>0.551227795793364</v>
      </c>
      <c r="O446" s="13" t="n">
        <f aca="false">Sens!$O$435/Sens!$O$417</f>
        <v>0.656132068597002</v>
      </c>
    </row>
    <row r="447" customFormat="false" ht="15" hidden="false" customHeight="false" outlineLevel="0" collapsed="false">
      <c r="A447" s="5" t="s">
        <v>753</v>
      </c>
      <c r="B447" s="0" t="s">
        <v>52</v>
      </c>
      <c r="C447" s="13" t="n">
        <f aca="false">Sens!$C$439/Sens!$C$419</f>
        <v>0.107519448742004</v>
      </c>
      <c r="D447" s="13" t="n">
        <f aca="false">Sens!$D$439/Sens!$D$419</f>
        <v>0.111552967957552</v>
      </c>
      <c r="E447" s="13" t="n">
        <f aca="false">Sens!$E$439/Sens!$E$419</f>
        <v>0.13428328426562</v>
      </c>
      <c r="F447" s="13" t="n">
        <f aca="false">Sens!$F$439/Sens!$F$419</f>
        <v>0.127689636007818</v>
      </c>
      <c r="G447" s="13" t="n">
        <f aca="false">Sens!$G$439/Sens!$G$419</f>
        <v>0.130773297298903</v>
      </c>
      <c r="H447" s="13" t="n">
        <f aca="false">Sens!$H$439/Sens!$H$419</f>
        <v>0.131231532103843</v>
      </c>
      <c r="I447" s="13" t="n">
        <f aca="false">Sens!$I$439/Sens!$I$419</f>
        <v>0.124766914821556</v>
      </c>
      <c r="J447" s="13" t="n">
        <f aca="false">Sens!$J$439/Sens!$J$419</f>
        <v>0.122447098801788</v>
      </c>
      <c r="K447" s="13" t="n">
        <f aca="false">Sens!$K$439/Sens!$K$419</f>
        <v>0.117302966143443</v>
      </c>
      <c r="L447" s="13" t="n">
        <f aca="false">Sens!$L$439/Sens!$L$419</f>
        <v>0.114255649170703</v>
      </c>
      <c r="M447" s="13" t="n">
        <f aca="false">Sens!$M$439/Sens!$M$419</f>
        <v>0.114023611229803</v>
      </c>
      <c r="N447" s="13" t="n">
        <f aca="false">Sens!$N$439/Sens!$N$419</f>
        <v>0.116201614873411</v>
      </c>
      <c r="O447" s="13" t="n">
        <f aca="false">Sens!$O$439/Sens!$O$419</f>
        <v>0.107733353660861</v>
      </c>
    </row>
    <row r="448" customFormat="false" ht="17.15" hidden="false" customHeight="false" outlineLevel="0" collapsed="false">
      <c r="A448" s="1" t="s">
        <v>754</v>
      </c>
    </row>
    <row r="449" customFormat="false" ht="17.15" hidden="false" customHeight="false" outlineLevel="0" collapsed="false">
      <c r="A449" s="5" t="s">
        <v>755</v>
      </c>
      <c r="B449" s="0" t="s">
        <v>52</v>
      </c>
      <c r="D449" s="28" t="n">
        <f aca="false">(Q!$E$29+Q!$E$30-(1-ext_sh)*Sens!$D$371)/Sens!$D$322</f>
        <v>0.0341105596409988</v>
      </c>
    </row>
    <row r="450" customFormat="false" ht="17.15" hidden="false" customHeight="false" outlineLevel="0" collapsed="false">
      <c r="A450" s="0" t="s">
        <v>545</v>
      </c>
      <c r="B450" s="0" t="s">
        <v>86</v>
      </c>
      <c r="C450" s="38" t="n">
        <f aca="false">Q!$D$29</f>
        <v>14.285</v>
      </c>
      <c r="D450" s="38" t="n">
        <f aca="false">Q!$E$29</f>
        <v>15.503</v>
      </c>
      <c r="E450" s="38" t="n">
        <f aca="false">Q!$P$29</f>
        <v>8.78</v>
      </c>
      <c r="F450" s="38" t="n">
        <f aca="false">(Sens!$D$449*Sens!$F$322+(1-ext_sh)*Sens!$F$371)*Sens!$F$323</f>
        <v>9.30317620449232</v>
      </c>
      <c r="G450" s="38" t="n">
        <f aca="false">Sens!$E$450+Sens!$F$450</f>
        <v>18.0831762044923</v>
      </c>
      <c r="H450" s="38" t="n">
        <f aca="false">(Sens!$D$449*Sens!$H$322+(1-ext_sh)*Sens!$H$371)*Sens!$H$323</f>
        <v>22.1297245338482</v>
      </c>
      <c r="I450" s="38" t="n">
        <f aca="false">(Sens!$D$449*Sens!$I$322+(1-ext_sh)*Sens!$I$371)*Sens!$I$323</f>
        <v>28.409695984391</v>
      </c>
      <c r="J450" s="38" t="n">
        <f aca="false">(Sens!$D$449*Sens!$J$322+(1-ext_sh)*Sens!$J$371)*Sens!$J$323</f>
        <v>34.1085606174579</v>
      </c>
      <c r="K450" s="38" t="n">
        <f aca="false">(Sens!$D$449*Sens!$K$322+(1-ext_sh)*Sens!$K$371)*Sens!$K$323</f>
        <v>39.7218983009068</v>
      </c>
      <c r="L450" s="38" t="n">
        <f aca="false">(Sens!$D$449*Sens!$L$322+(1-ext_sh)*Sens!$L$371)*Sens!$L$323</f>
        <v>44.1680279486684</v>
      </c>
      <c r="M450" s="38" t="n">
        <f aca="false">(Sens!$D$449*Sens!$M$322+(1-ext_sh)*Sens!$M$371)*Sens!$M$323</f>
        <v>47.4413073313286</v>
      </c>
      <c r="N450" s="38" t="n">
        <f aca="false">Q!$N$29</f>
        <v>7.272</v>
      </c>
      <c r="O450" s="38" t="n">
        <f aca="false">Q!$O$29</f>
        <v>8.231</v>
      </c>
    </row>
    <row r="451" customFormat="false" ht="17.15" hidden="false" customHeight="false" outlineLevel="0" collapsed="false">
      <c r="A451" s="0" t="s">
        <v>547</v>
      </c>
      <c r="B451" s="0" t="s">
        <v>86</v>
      </c>
      <c r="C451" s="38" t="n">
        <f aca="false">Q!$D$30</f>
        <v>4.462</v>
      </c>
      <c r="D451" s="38" t="n">
        <f aca="false">Q!$E$30</f>
        <v>4.907</v>
      </c>
      <c r="E451" s="38" t="n">
        <f aca="false">Q!$P$30</f>
        <v>2.57</v>
      </c>
      <c r="F451" s="38" t="n">
        <f aca="false">(Sens!$D$449*Sens!$F$322+(1-ext_sh)*Sens!$F$371)*(1-Sens!$F$323)</f>
        <v>3.6526976809753</v>
      </c>
      <c r="G451" s="38" t="n">
        <f aca="false">Sens!$E$451+Sens!$F$451</f>
        <v>6.2226976809753</v>
      </c>
      <c r="H451" s="38" t="n">
        <f aca="false">(Sens!$D$449*Sens!$H$322+(1-ext_sh)*Sens!$H$371)*(1-Sens!$H$323)</f>
        <v>8.4764774248495</v>
      </c>
      <c r="I451" s="38" t="n">
        <f aca="false">(Sens!$D$449*Sens!$I$322+(1-ext_sh)*Sens!$I$371)*(1-Sens!$I$323)</f>
        <v>10.881931507561</v>
      </c>
      <c r="J451" s="38" t="n">
        <f aca="false">(Sens!$D$449*Sens!$J$322+(1-ext_sh)*Sens!$J$371)*(1-Sens!$J$323)</f>
        <v>13.0648008575874</v>
      </c>
      <c r="K451" s="38" t="n">
        <f aca="false">(Sens!$D$449*Sens!$K$322+(1-ext_sh)*Sens!$K$371)*(1-Sens!$K$323)</f>
        <v>15.2149103214008</v>
      </c>
      <c r="L451" s="38" t="n">
        <f aca="false">(Sens!$D$449*Sens!$L$322+(1-ext_sh)*Sens!$L$371)*(1-Sens!$L$323)</f>
        <v>16.9179372854085</v>
      </c>
      <c r="M451" s="38" t="n">
        <f aca="false">(Sens!$D$449*Sens!$M$322+(1-ext_sh)*Sens!$M$371)*(1-Sens!$M$323)</f>
        <v>18.1717205735785</v>
      </c>
      <c r="N451" s="38" t="n">
        <f aca="false">Q!$N$30</f>
        <v>2.316</v>
      </c>
      <c r="O451" s="38" t="n">
        <f aca="false">Q!$O$30</f>
        <v>2.591</v>
      </c>
    </row>
    <row r="452" customFormat="false" ht="17.15" hidden="false" customHeight="false" outlineLevel="0" collapsed="false">
      <c r="A452" s="0" t="s">
        <v>548</v>
      </c>
      <c r="B452" s="0" t="s">
        <v>86</v>
      </c>
      <c r="C452" s="38" t="n">
        <f aca="false">Sens!$C$383</f>
        <v>13.32</v>
      </c>
      <c r="D452" s="38" t="n">
        <f aca="false">Sens!$D$383</f>
        <v>21.45</v>
      </c>
      <c r="E452" s="38" t="n">
        <f aca="false">Sens!$E$383</f>
        <v>15.353</v>
      </c>
      <c r="F452" s="38" t="n">
        <f aca="false">Sens!$F$383</f>
        <v>16.1969869840094</v>
      </c>
      <c r="G452" s="38" t="n">
        <f aca="false">Sens!$G$383</f>
        <v>31.5499869840094</v>
      </c>
      <c r="H452" s="38" t="n">
        <f aca="false">Sens!$H$383</f>
        <v>50.9556213609176</v>
      </c>
      <c r="I452" s="38" t="n">
        <f aca="false">Sens!$I$383</f>
        <v>79.464581248252</v>
      </c>
      <c r="J452" s="38" t="n">
        <f aca="false">Sens!$J$383</f>
        <v>105.296127931746</v>
      </c>
      <c r="K452" s="38" t="n">
        <f aca="false">Sens!$K$383</f>
        <v>131.454694001511</v>
      </c>
      <c r="L452" s="38" t="n">
        <f aca="false">Sens!$L$383</f>
        <v>150.840456981405</v>
      </c>
      <c r="M452" s="38" t="n">
        <f aca="false">Sens!$M$383</f>
        <v>163.399454192999</v>
      </c>
      <c r="N452" s="38" t="n">
        <f aca="false">Sens!$N$383</f>
        <v>9.234</v>
      </c>
      <c r="O452" s="38" t="n">
        <f aca="false">Sens!$O$383</f>
        <v>12.216</v>
      </c>
    </row>
    <row r="453" customFormat="false" ht="17.15" hidden="false" customHeight="false" outlineLevel="0" collapsed="false">
      <c r="A453" s="5" t="s">
        <v>756</v>
      </c>
      <c r="B453" s="0" t="s">
        <v>86</v>
      </c>
      <c r="C453" s="38" t="n">
        <f aca="false">Sens!$C$450+Sens!$C$451+Sens!$C$452</f>
        <v>32.067</v>
      </c>
      <c r="D453" s="38" t="n">
        <f aca="false">Sens!$D$450+Sens!$D$451+Sens!$D$452</f>
        <v>41.86</v>
      </c>
      <c r="E453" s="38" t="n">
        <f aca="false">Sens!$E$450+Sens!$E$451+Sens!$E$452</f>
        <v>26.703</v>
      </c>
      <c r="F453" s="38" t="n">
        <f aca="false">Sens!$F$450+Sens!$F$451+Sens!$F$452</f>
        <v>29.152860869477</v>
      </c>
      <c r="G453" s="38" t="n">
        <f aca="false">Sens!$G$450+Sens!$G$451+Sens!$G$452</f>
        <v>55.855860869477</v>
      </c>
      <c r="H453" s="38" t="n">
        <f aca="false">Sens!$H$450+Sens!$H$451+Sens!$H$452</f>
        <v>81.5618233196153</v>
      </c>
      <c r="I453" s="38" t="n">
        <f aca="false">Sens!$I$450+Sens!$I$451+Sens!$I$452</f>
        <v>118.756208740204</v>
      </c>
      <c r="J453" s="38" t="n">
        <f aca="false">Sens!$J$450+Sens!$J$451+Sens!$J$452</f>
        <v>152.469489406791</v>
      </c>
      <c r="K453" s="38" t="n">
        <f aca="false">Sens!$K$450+Sens!$K$451+Sens!$K$452</f>
        <v>186.391502623819</v>
      </c>
      <c r="L453" s="38" t="n">
        <f aca="false">Sens!$L$450+Sens!$L$451+Sens!$L$452</f>
        <v>211.926422215482</v>
      </c>
      <c r="M453" s="38" t="n">
        <f aca="false">Sens!$M$450+Sens!$M$451+Sens!$M$452</f>
        <v>229.012482097906</v>
      </c>
      <c r="N453" s="38" t="n">
        <f aca="false">Sens!$N$450+Sens!$N$451+Sens!$N$452</f>
        <v>18.822</v>
      </c>
      <c r="O453" s="38" t="n">
        <f aca="false">Sens!$O$450+Sens!$O$451+Sens!$O$452</f>
        <v>23.038</v>
      </c>
    </row>
    <row r="454" customFormat="false" ht="17.15" hidden="false" customHeight="false" outlineLevel="0" collapsed="false">
      <c r="A454" s="0" t="s">
        <v>757</v>
      </c>
      <c r="B454" s="0" t="s">
        <v>86</v>
      </c>
      <c r="C454" s="38" t="n">
        <f aca="false">Sens!$C$425+Sens!$C$430</f>
        <v>28.107</v>
      </c>
      <c r="D454" s="38" t="n">
        <f aca="false">Sens!$D$425+Sens!$D$430</f>
        <v>34.3175</v>
      </c>
      <c r="E454" s="38" t="n">
        <f aca="false">Sens!$E$425+Sens!$E$430</f>
        <v>18.526</v>
      </c>
      <c r="F454" s="38" t="n">
        <f aca="false">Sens!$F$425+Sens!$F$430</f>
        <v>23.0786109972074</v>
      </c>
      <c r="G454" s="38" t="n">
        <f aca="false">Sens!$G$425+Sens!$G$430</f>
        <v>41.6046109972074</v>
      </c>
      <c r="H454" s="38" t="n">
        <f aca="false">Sens!$H$425+Sens!$H$430</f>
        <v>49.9484611939488</v>
      </c>
      <c r="I454" s="38" t="n">
        <f aca="false">Sens!$I$425+Sens!$I$430</f>
        <v>58.2915555477481</v>
      </c>
      <c r="J454" s="38" t="n">
        <f aca="false">Sens!$J$425+Sens!$J$430</f>
        <v>66.0744709709759</v>
      </c>
      <c r="K454" s="38" t="n">
        <f aca="false">Sens!$K$425+Sens!$K$430</f>
        <v>72.6819180680735</v>
      </c>
      <c r="L454" s="38" t="n">
        <f aca="false">Sens!$L$425+Sens!$L$430</f>
        <v>79.9501098748808</v>
      </c>
      <c r="M454" s="38" t="n">
        <f aca="false">Sens!$M$425+Sens!$M$430</f>
        <v>87.9451208623689</v>
      </c>
      <c r="N454" s="38" t="n">
        <f aca="false">Sens!$N$425+Sens!$N$430</f>
        <v>14.8075</v>
      </c>
      <c r="O454" s="38" t="n">
        <f aca="false">Sens!$O$425+Sens!$O$430</f>
        <v>19.51</v>
      </c>
    </row>
    <row r="455" customFormat="false" ht="17.15" hidden="false" customHeight="false" outlineLevel="0" collapsed="false">
      <c r="A455" s="0" t="s">
        <v>758</v>
      </c>
      <c r="B455" s="0" t="s">
        <v>86</v>
      </c>
      <c r="C455" s="38" t="n">
        <f aca="false">Sens!$C$429+Sens!$C$434+Sens!$C$450+Sens!$C$451-Sens!$C$454</f>
        <v>19.399</v>
      </c>
      <c r="D455" s="38" t="n">
        <f aca="false">Sens!$D$429+Sens!$D$434+Sens!$D$450+Sens!$D$451-Sens!$D$454</f>
        <v>20.4615</v>
      </c>
      <c r="E455" s="38" t="n">
        <f aca="false">Sens!$E$429+Sens!$E$434+Sens!$E$450+Sens!$E$451-Sens!$E$454</f>
        <v>13.355</v>
      </c>
      <c r="F455" s="38" t="n">
        <f aca="false">Sens!$F$429+Sens!$F$434+Sens!$F$450+Sens!$F$451-Sens!$F$454</f>
        <v>12.7680546411015</v>
      </c>
      <c r="G455" s="38" t="n">
        <f aca="false">Sens!$G$429+Sens!$G$434+Sens!$G$450+Sens!$G$451-Sens!$G$454</f>
        <v>26.1230546411015</v>
      </c>
      <c r="H455" s="38" t="n">
        <f aca="false">Sens!$H$429+Sens!$H$434+Sens!$H$450+Sens!$H$451-Sens!$H$454</f>
        <v>28.4662904769959</v>
      </c>
      <c r="I455" s="38" t="n">
        <f aca="false">Sens!$I$429+Sens!$I$434+Sens!$I$450+Sens!$I$451-Sens!$I$454</f>
        <v>30.7231490427408</v>
      </c>
      <c r="J455" s="38" t="n">
        <f aca="false">Sens!$J$429+Sens!$J$434+Sens!$J$450+Sens!$J$451-Sens!$J$454</f>
        <v>32.9723159380642</v>
      </c>
      <c r="K455" s="38" t="n">
        <f aca="false">Sens!$K$429+Sens!$K$434+Sens!$K$450+Sens!$K$451-Sens!$K$454</f>
        <v>35.3819359626894</v>
      </c>
      <c r="L455" s="38" t="n">
        <f aca="false">Sens!$L$429+Sens!$L$434+Sens!$L$450+Sens!$L$451-Sens!$L$454</f>
        <v>37.0165770259405</v>
      </c>
      <c r="M455" s="38" t="n">
        <f aca="false">Sens!$M$429+Sens!$M$434+Sens!$M$450+Sens!$M$451-Sens!$M$454</f>
        <v>39.4490703930704</v>
      </c>
      <c r="N455" s="38" t="n">
        <f aca="false">Sens!$N$429+Sens!$N$434+Sens!$N$450+Sens!$N$451-Sens!$N$454</f>
        <v>10.6495</v>
      </c>
      <c r="O455" s="38" t="n">
        <f aca="false">Sens!$O$429+Sens!$O$434+Sens!$O$450+Sens!$O$451-Sens!$O$454</f>
        <v>9.81200000000001</v>
      </c>
    </row>
    <row r="456" customFormat="false" ht="17.15" hidden="false" customHeight="false" outlineLevel="0" collapsed="false">
      <c r="A456" s="0" t="s">
        <v>759</v>
      </c>
      <c r="B456" s="0" t="s">
        <v>86</v>
      </c>
      <c r="C456" s="38" t="n">
        <f aca="false">Sens!$C$436+Sens!$C$452-ext_sh*Sens!$C$371</f>
        <v>51.3470500115664</v>
      </c>
      <c r="D456" s="38" t="n">
        <f aca="false">Sens!$D$436+Sens!$D$452-ext_sh*Sens!$D$371</f>
        <v>60.2799375433739</v>
      </c>
      <c r="E456" s="38" t="n">
        <f aca="false">Sens!$E$436+Sens!$E$452-ext_sh*Sens!$E$371</f>
        <v>39.5095167090767</v>
      </c>
      <c r="F456" s="38" t="n">
        <f aca="false">Sens!$F$436+Sens!$F$452-ext_sh*Sens!$F$371</f>
        <v>37.951394214027</v>
      </c>
      <c r="G456" s="38" t="n">
        <f aca="false">Sens!$G$436+Sens!$G$452-ext_sh*Sens!$G$371</f>
        <v>77.4609109231037</v>
      </c>
      <c r="H456" s="38" t="n">
        <f aca="false">Sens!$H$436+Sens!$H$452-ext_sh*Sens!$H$371</f>
        <v>85.1453558128916</v>
      </c>
      <c r="I456" s="38" t="n">
        <f aca="false">Sens!$I$436+Sens!$I$452-ext_sh*Sens!$I$371</f>
        <v>94.532921967974</v>
      </c>
      <c r="J456" s="38" t="n">
        <f aca="false">Sens!$J$436+Sens!$J$452-ext_sh*Sens!$J$371</f>
        <v>103.525527532583</v>
      </c>
      <c r="K456" s="38" t="n">
        <f aca="false">Sens!$K$436+Sens!$K$452-ext_sh*Sens!$K$371</f>
        <v>111.80756973519</v>
      </c>
      <c r="L456" s="38" t="n">
        <f aca="false">Sens!$L$436+Sens!$L$452-ext_sh*Sens!$L$371</f>
        <v>120.752175314005</v>
      </c>
      <c r="M456" s="38" t="n">
        <f aca="false">Sens!$M$436+Sens!$M$452-ext_sh*Sens!$M$371</f>
        <v>130.412349339125</v>
      </c>
      <c r="N456" s="38" t="n">
        <f aca="false">Sens!$N$436+Sens!$N$452-ext_sh*Sens!$N$371</f>
        <v>28.5693781401809</v>
      </c>
      <c r="O456" s="38" t="n">
        <f aca="false">Sens!$O$436+Sens!$O$452-ext_sh*Sens!$O$371</f>
        <v>31.7105594031931</v>
      </c>
    </row>
    <row r="457" customFormat="false" ht="17.15" hidden="false" customHeight="false" outlineLevel="0" collapsed="false">
      <c r="A457" s="0" t="s">
        <v>760</v>
      </c>
      <c r="B457" s="0" t="s">
        <v>86</v>
      </c>
      <c r="C457" s="38" t="n">
        <f aca="false">Sens!$C$374</f>
        <v>1.80694998843362</v>
      </c>
      <c r="D457" s="38" t="n">
        <f aca="false">Sens!$D$374</f>
        <v>6.77606245662607</v>
      </c>
      <c r="E457" s="38" t="n">
        <f aca="false">Sens!$E$374</f>
        <v>6.62548329092326</v>
      </c>
      <c r="F457" s="38" t="n">
        <f aca="false">Sens!$F$374</f>
        <v>10.8940413794839</v>
      </c>
      <c r="G457" s="38" t="n">
        <f aca="false">Sens!$G$374</f>
        <v>17.5195246704072</v>
      </c>
      <c r="H457" s="38" t="n">
        <f aca="false">Sens!$H$374</f>
        <v>40.7735721541341</v>
      </c>
      <c r="I457" s="38" t="n">
        <f aca="false">Sens!$I$374</f>
        <v>66.8500163832358</v>
      </c>
      <c r="J457" s="38" t="n">
        <f aca="false">Sens!$J$374</f>
        <v>93.0640470849174</v>
      </c>
      <c r="K457" s="38" t="n">
        <f aca="false">Sens!$K$374</f>
        <v>115.424757703147</v>
      </c>
      <c r="L457" s="38" t="n">
        <f aca="false">Sens!$L$374</f>
        <v>130.120169833198</v>
      </c>
      <c r="M457" s="38" t="n">
        <f aca="false">Sens!$M$374</f>
        <v>137.12790595888</v>
      </c>
      <c r="N457" s="38" t="n">
        <f aca="false">Sens!$N$374</f>
        <v>2.37162185981912</v>
      </c>
      <c r="O457" s="38" t="n">
        <f aca="false">Sens!$O$374</f>
        <v>4.40444059680694</v>
      </c>
    </row>
    <row r="458" customFormat="false" ht="17.15" hidden="false" customHeight="false" outlineLevel="0" collapsed="false">
      <c r="A458" s="0" t="s">
        <v>761</v>
      </c>
      <c r="B458" s="0" t="s">
        <v>86</v>
      </c>
      <c r="C458" s="38" t="n">
        <f aca="false">Sens!$C$439+Sens!$C$453</f>
        <v>100.66</v>
      </c>
      <c r="D458" s="38" t="n">
        <f aca="false">Sens!$D$439+Sens!$D$453</f>
        <v>121.835</v>
      </c>
      <c r="E458" s="38" t="n">
        <f aca="false">Sens!$E$439+Sens!$E$453</f>
        <v>78.016</v>
      </c>
      <c r="F458" s="38" t="n">
        <f aca="false">Sens!$F$439+Sens!$F$453</f>
        <v>84.6921012318198</v>
      </c>
      <c r="G458" s="38" t="n">
        <f aca="false">Sens!$G$439+Sens!$G$453</f>
        <v>162.70810123182</v>
      </c>
      <c r="H458" s="38" t="n">
        <f aca="false">Sens!$H$439+Sens!$H$453</f>
        <v>204.33367963797</v>
      </c>
      <c r="I458" s="38" t="n">
        <f aca="false">Sens!$I$439+Sens!$I$453</f>
        <v>250.397642941699</v>
      </c>
      <c r="J458" s="38" t="n">
        <f aca="false">Sens!$J$439+Sens!$J$453</f>
        <v>295.63636152654</v>
      </c>
      <c r="K458" s="38" t="n">
        <f aca="false">Sens!$K$439+Sens!$K$453</f>
        <v>335.2961814691</v>
      </c>
      <c r="L458" s="38" t="n">
        <f aca="false">Sens!$L$439+Sens!$L$453</f>
        <v>367.839032048024</v>
      </c>
      <c r="M458" s="38" t="n">
        <f aca="false">Sens!$M$439+Sens!$M$453</f>
        <v>394.934446553444</v>
      </c>
      <c r="N458" s="38" t="n">
        <f aca="false">Sens!$N$439+Sens!$N$453</f>
        <v>56.398</v>
      </c>
      <c r="O458" s="38" t="n">
        <f aca="false">Sens!$O$439+Sens!$O$453</f>
        <v>65.437</v>
      </c>
    </row>
    <row r="459" customFormat="false" ht="17.15" hidden="false" customHeight="false" outlineLevel="0" collapsed="false">
      <c r="A459" s="1" t="s">
        <v>762</v>
      </c>
    </row>
    <row r="460" customFormat="false" ht="15" hidden="false" customHeight="false" outlineLevel="0" collapsed="false">
      <c r="A460" s="5" t="s">
        <v>551</v>
      </c>
      <c r="B460" s="0" t="s">
        <v>86</v>
      </c>
      <c r="C460" s="38" t="n">
        <f aca="false">Q!$D$34</f>
        <v>2.406</v>
      </c>
      <c r="D460" s="38" t="n">
        <f aca="false">Q!$E$34</f>
        <v>2.274</v>
      </c>
      <c r="E460" s="38" t="n">
        <f aca="false">Q!$P$34</f>
        <v>2.114</v>
      </c>
      <c r="F460" s="38" t="n">
        <f aca="false">Sens!$F$498</f>
        <v>3.24888962733561</v>
      </c>
      <c r="G460" s="38" t="n">
        <f aca="false">Sens!$E$460+Sens!$F$460</f>
        <v>5.36288962733561</v>
      </c>
      <c r="H460" s="38" t="n">
        <f aca="false">Sens!$H$498</f>
        <v>7.42354172302123</v>
      </c>
      <c r="I460" s="38" t="n">
        <f aca="false">Sens!$I$498</f>
        <v>8.25941641365132</v>
      </c>
      <c r="J460" s="38" t="n">
        <f aca="false">Sens!$J$498</f>
        <v>9.98143948839194</v>
      </c>
      <c r="K460" s="38" t="n">
        <f aca="false">Sens!$K$498</f>
        <v>9.98143948839194</v>
      </c>
      <c r="L460" s="38" t="n">
        <f aca="false">Sens!$L$498</f>
        <v>9.98143948839194</v>
      </c>
      <c r="M460" s="38" t="n">
        <f aca="false">Sens!$M$498</f>
        <v>9.98143948839194</v>
      </c>
      <c r="N460" s="38" t="n">
        <f aca="false">Q!$N$34</f>
        <v>1.057</v>
      </c>
      <c r="O460" s="38" t="n">
        <f aca="false">Q!$O$34</f>
        <v>1.217</v>
      </c>
    </row>
    <row r="461" customFormat="false" ht="15" hidden="false" customHeight="false" outlineLevel="0" collapsed="false">
      <c r="A461" s="5" t="s">
        <v>763</v>
      </c>
      <c r="B461" s="0" t="s">
        <v>86</v>
      </c>
      <c r="F461" s="38" t="n">
        <f aca="false">Sens!$F$499</f>
        <v>2.59</v>
      </c>
      <c r="H461" s="38" t="n">
        <f aca="false">Sens!$H$499</f>
        <v>4.08534320874867</v>
      </c>
      <c r="I461" s="38" t="n">
        <f aca="false">Sens!$I$499</f>
        <v>2.10589651022864</v>
      </c>
      <c r="J461" s="38" t="n">
        <f aca="false">Sens!$J$499</f>
        <v>2.10589651022864</v>
      </c>
      <c r="K461" s="38" t="n">
        <f aca="false">Sens!$K$499</f>
        <v>2.37903737236338</v>
      </c>
      <c r="L461" s="38" t="n">
        <f aca="false">Sens!$L$499</f>
        <v>6.47835099985353</v>
      </c>
      <c r="M461" s="38" t="n">
        <f aca="false">Sens!$M$499</f>
        <v>12.8767135583378</v>
      </c>
    </row>
    <row r="462" customFormat="false" ht="17.15" hidden="false" customHeight="false" outlineLevel="0" collapsed="false">
      <c r="A462" s="5" t="s">
        <v>764</v>
      </c>
      <c r="B462" s="0" t="s">
        <v>86</v>
      </c>
      <c r="C462" s="38" t="n">
        <f aca="false">Q!$D$39</f>
        <v>2.427</v>
      </c>
      <c r="D462" s="38" t="n">
        <f aca="false">Q!$E$39</f>
        <v>19.61</v>
      </c>
      <c r="E462" s="38" t="n">
        <f aca="false">Q!$P$39</f>
        <v>71.492</v>
      </c>
      <c r="F462" s="39" t="n">
        <v>0</v>
      </c>
      <c r="G462" s="38" t="n">
        <f aca="false">Sens!$E$462+Sens!$F$462</f>
        <v>71.492</v>
      </c>
      <c r="H462" s="39" t="n">
        <v>0</v>
      </c>
      <c r="I462" s="39" t="n">
        <v>0</v>
      </c>
      <c r="J462" s="39" t="n">
        <v>0</v>
      </c>
      <c r="K462" s="39" t="n">
        <v>0</v>
      </c>
      <c r="L462" s="39" t="n">
        <v>0</v>
      </c>
      <c r="M462" s="39" t="n">
        <v>0</v>
      </c>
      <c r="N462" s="38" t="n">
        <f aca="false">Q!$N$39</f>
        <v>6.017</v>
      </c>
      <c r="O462" s="38" t="n">
        <f aca="false">Q!$O$39</f>
        <v>13.593</v>
      </c>
      <c r="P462" s="5" t="s">
        <v>765</v>
      </c>
    </row>
    <row r="463" customFormat="false" ht="15" hidden="false" customHeight="false" outlineLevel="0" collapsed="false">
      <c r="A463" s="5" t="s">
        <v>554</v>
      </c>
      <c r="B463" s="0" t="s">
        <v>86</v>
      </c>
      <c r="C463" s="38" t="n">
        <f aca="false">Q!$D$36</f>
        <v>68.614</v>
      </c>
      <c r="D463" s="38" t="n">
        <f aca="false">Q!$E$36</f>
        <v>97.311</v>
      </c>
      <c r="E463" s="38" t="n">
        <f aca="false">Q!$P$36</f>
        <v>120.691</v>
      </c>
      <c r="F463" s="38" t="n">
        <f aca="false">Sens!$F$439-Sens!$F$460+Sens!$F$461+Sens!$F$462</f>
        <v>54.8803507350071</v>
      </c>
      <c r="G463" s="38" t="n">
        <f aca="false">Sens!$E$463+Sens!$F$463</f>
        <v>175.571350735007</v>
      </c>
      <c r="H463" s="38" t="n">
        <f aca="false">Sens!$H$439-Sens!$H$460+Sens!$H$461+Sens!$H$462</f>
        <v>119.433657804083</v>
      </c>
      <c r="I463" s="38" t="n">
        <f aca="false">Sens!$I$439-Sens!$I$460+Sens!$I$461+Sens!$I$462</f>
        <v>125.487914298072</v>
      </c>
      <c r="J463" s="38" t="n">
        <f aca="false">Sens!$J$439-Sens!$J$460+Sens!$J$461+Sens!$J$462</f>
        <v>135.291329141586</v>
      </c>
      <c r="K463" s="38" t="n">
        <f aca="false">Sens!$K$439-Sens!$K$460+Sens!$K$461+Sens!$K$462</f>
        <v>141.302276729252</v>
      </c>
      <c r="L463" s="38" t="n">
        <f aca="false">Sens!$L$439-Sens!$L$460+Sens!$L$461+Sens!$L$462</f>
        <v>152.409521344003</v>
      </c>
      <c r="M463" s="38" t="n">
        <f aca="false">Sens!$M$439-Sens!$M$460+Sens!$M$461+Sens!$M$462</f>
        <v>168.817238525484</v>
      </c>
      <c r="N463" s="38" t="n">
        <f aca="false">Q!$N$36</f>
        <v>42.536</v>
      </c>
      <c r="O463" s="38" t="n">
        <f aca="false">Q!$O$36</f>
        <v>54.775</v>
      </c>
    </row>
    <row r="464" customFormat="false" ht="15" hidden="false" customHeight="false" outlineLevel="0" collapsed="false">
      <c r="A464" s="5" t="s">
        <v>555</v>
      </c>
      <c r="B464" s="0" t="s">
        <v>86</v>
      </c>
      <c r="C464" s="38" t="n">
        <f aca="false">Q!$D$37</f>
        <v>9.265</v>
      </c>
      <c r="D464" s="38" t="n">
        <f aca="false">Q!$E$37</f>
        <v>19.087</v>
      </c>
      <c r="E464" s="38" t="n">
        <f aca="false">Q!$P$37</f>
        <v>27.759</v>
      </c>
      <c r="F464" s="38" t="n">
        <f aca="false">Sens!$F$463*tax</f>
        <v>9.52637970313208</v>
      </c>
      <c r="G464" s="38" t="n">
        <f aca="false">Sens!$E$464+Sens!$F$464</f>
        <v>37.2853797031321</v>
      </c>
      <c r="H464" s="38" t="n">
        <f aca="false">Sens!$H$463*tax</f>
        <v>20.7318349525393</v>
      </c>
      <c r="I464" s="38" t="n">
        <f aca="false">Sens!$I$463*tax</f>
        <v>21.7827602000907</v>
      </c>
      <c r="J464" s="38" t="n">
        <f aca="false">Sens!$J$463*tax</f>
        <v>23.4844813249716</v>
      </c>
      <c r="K464" s="38" t="n">
        <f aca="false">Sens!$K$463*tax</f>
        <v>24.5278888165204</v>
      </c>
      <c r="L464" s="38" t="n">
        <f aca="false">Sens!$L$463*tax</f>
        <v>26.455934615036</v>
      </c>
      <c r="M464" s="38" t="n">
        <f aca="false">Sens!$M$463*tax</f>
        <v>29.304060434915</v>
      </c>
      <c r="N464" s="38" t="n">
        <f aca="false">Q!$N$37</f>
        <v>7.231</v>
      </c>
      <c r="O464" s="38" t="n">
        <f aca="false">Q!$O$37</f>
        <v>11.856</v>
      </c>
    </row>
    <row r="465" customFormat="false" ht="15" hidden="false" customHeight="false" outlineLevel="0" collapsed="false">
      <c r="A465" s="3" t="s">
        <v>556</v>
      </c>
      <c r="B465" s="8" t="s">
        <v>86</v>
      </c>
      <c r="C465" s="38" t="n">
        <f aca="false">Q!$D$38</f>
        <v>59.248</v>
      </c>
      <c r="D465" s="38" t="n">
        <f aca="false">Q!$E$38</f>
        <v>77.67</v>
      </c>
      <c r="E465" s="38" t="n">
        <f aca="false">Q!$P$38</f>
        <v>92.902</v>
      </c>
      <c r="F465" s="38" t="n">
        <f aca="false">Sens!$F$463-Sens!$F$464</f>
        <v>45.3539710318751</v>
      </c>
      <c r="G465" s="38" t="n">
        <f aca="false">Sens!$E$465+Sens!$F$465</f>
        <v>138.255971031875</v>
      </c>
      <c r="H465" s="38" t="n">
        <f aca="false">Sens!$H$463-Sens!$H$464</f>
        <v>98.7018228515433</v>
      </c>
      <c r="I465" s="38" t="n">
        <f aca="false">Sens!$I$463-Sens!$I$464</f>
        <v>103.705154097981</v>
      </c>
      <c r="J465" s="38" t="n">
        <f aca="false">Sens!$J$463-Sens!$J$464</f>
        <v>111.806847816615</v>
      </c>
      <c r="K465" s="38" t="n">
        <f aca="false">Sens!$K$463-Sens!$K$464</f>
        <v>116.774387912732</v>
      </c>
      <c r="L465" s="38" t="n">
        <f aca="false">Sens!$L$463-Sens!$L$464</f>
        <v>125.953586728967</v>
      </c>
      <c r="M465" s="38" t="n">
        <f aca="false">Sens!$M$463-Sens!$M$464</f>
        <v>139.513178090569</v>
      </c>
      <c r="N465" s="38" t="n">
        <f aca="false">Q!$N$38</f>
        <v>35.291</v>
      </c>
      <c r="O465" s="38" t="n">
        <f aca="false">Q!$O$38</f>
        <v>42.379</v>
      </c>
    </row>
    <row r="466" customFormat="false" ht="17.15" hidden="false" customHeight="false" outlineLevel="0" collapsed="false">
      <c r="A466" s="5" t="s">
        <v>559</v>
      </c>
      <c r="B466" s="5" t="s">
        <v>33</v>
      </c>
      <c r="C466" s="22" t="n">
        <f aca="false">Q!$D$41</f>
        <v>10.721</v>
      </c>
      <c r="D466" s="22" t="n">
        <f aca="false">Q!$E$41</f>
        <v>10.827</v>
      </c>
      <c r="E466" s="22" t="n">
        <f aca="false">(Q!$L$41+Q!$M$41)/2</f>
        <v>10.8885</v>
      </c>
      <c r="F466" s="22" t="n">
        <f aca="false">Sens!$G$466</f>
        <v>10.924806</v>
      </c>
      <c r="G466" s="22" t="n">
        <f aca="false">Q!$M$41*(1+sh_g*0.25)</f>
        <v>10.924806</v>
      </c>
      <c r="H466" s="22" t="n">
        <f aca="false">Sens!$G$466*(1+sh_g)</f>
        <v>11.012204448</v>
      </c>
      <c r="I466" s="22" t="n">
        <f aca="false">Sens!$H$466*(1+sh_g)</f>
        <v>11.100302083584</v>
      </c>
      <c r="J466" s="22" t="n">
        <f aca="false">Sens!$I$466*(1+sh_g)</f>
        <v>11.1891045002527</v>
      </c>
      <c r="K466" s="22" t="n">
        <f aca="false">Sens!$J$466*(1+sh_g)</f>
        <v>11.2786173362547</v>
      </c>
      <c r="L466" s="22" t="n">
        <f aca="false">Sens!$K$466*(1+sh_g)</f>
        <v>11.3688462749447</v>
      </c>
      <c r="M466" s="22" t="n">
        <f aca="false">Sens!$L$466*(1+sh_g)</f>
        <v>11.4597970451443</v>
      </c>
      <c r="P466" s="5" t="s">
        <v>766</v>
      </c>
    </row>
    <row r="467" customFormat="false" ht="17.15" hidden="false" customHeight="false" outlineLevel="0" collapsed="false">
      <c r="A467" s="5" t="s">
        <v>767</v>
      </c>
      <c r="B467" s="0" t="s">
        <v>86</v>
      </c>
      <c r="C467" s="38" t="n">
        <f aca="false">Sens!$C$465+Sens!$C$441*(1-tax)</f>
        <v>59.248</v>
      </c>
      <c r="D467" s="38" t="n">
        <f aca="false">Sens!$D$465+Sens!$D$441*(1-tax)</f>
        <v>77.67</v>
      </c>
      <c r="E467" s="38" t="n">
        <f aca="false">Sens!$E$465+Sens!$E$441*(1-tax)</f>
        <v>92.902</v>
      </c>
      <c r="F467" s="38" t="n">
        <f aca="false">Sens!$F$465+Sens!$F$441*(1-tax)</f>
        <v>48.4705659915237</v>
      </c>
      <c r="G467" s="38" t="n">
        <f aca="false">Sens!$G$465+Sens!$G$441*(1-tax)</f>
        <v>141.372565991524</v>
      </c>
      <c r="H467" s="38" t="n">
        <f aca="false">Sens!$H$465+Sens!$H$441*(1-tax)</f>
        <v>111.233218806888</v>
      </c>
      <c r="I467" s="38" t="n">
        <f aca="false">Sens!$I$465+Sens!$I$441*(1-tax)</f>
        <v>124.846419172921</v>
      </c>
      <c r="J467" s="38" t="n">
        <f aca="false">Sens!$J$465+Sens!$J$441*(1-tax)</f>
        <v>141.596284760898</v>
      </c>
      <c r="K467" s="38" t="n">
        <f aca="false">Sens!$K$465+Sens!$K$441*(1-tax)</f>
        <v>153.941693609391</v>
      </c>
      <c r="L467" s="38" t="n">
        <f aca="false">Sens!$L$465+Sens!$L$441*(1-tax)</f>
        <v>167.969664069523</v>
      </c>
      <c r="M467" s="38" t="n">
        <f aca="false">Sens!$M$465+Sens!$M$441*(1-tax)</f>
        <v>183.84270028141</v>
      </c>
      <c r="N467" s="38" t="n">
        <f aca="false">Sens!$N$465+Sens!$N$441*(1-tax)</f>
        <v>35.291</v>
      </c>
      <c r="O467" s="38" t="n">
        <f aca="false">Sens!$O$465+Sens!$O$441*(1-tax)</f>
        <v>42.379</v>
      </c>
    </row>
    <row r="468" customFormat="false" ht="17.15" hidden="false" customHeight="false" outlineLevel="0" collapsed="false">
      <c r="A468" s="43" t="s">
        <v>768</v>
      </c>
      <c r="B468" s="14" t="s">
        <v>27</v>
      </c>
      <c r="C468" s="44" t="n">
        <f aca="false">Sens!$C$467/Sens!$C$466</f>
        <v>5.52635015390355</v>
      </c>
      <c r="D468" s="44" t="n">
        <f aca="false">Sens!$D$467/Sens!$D$466</f>
        <v>7.1737323358271</v>
      </c>
      <c r="E468" s="44" t="n">
        <f aca="false">Sens!$E$467/Sens!$E$466</f>
        <v>8.53212104513937</v>
      </c>
      <c r="F468" s="14"/>
      <c r="G468" s="44" t="n">
        <f aca="false">Sens!$G$467/Sens!$G$466</f>
        <v>12.940510430256</v>
      </c>
      <c r="H468" s="44" t="n">
        <f aca="false">Sens!$H$467/Sens!$H$466</f>
        <v>10.1009038955039</v>
      </c>
      <c r="I468" s="44" t="n">
        <f aca="false">Sens!$I$467/Sens!$I$466</f>
        <v>11.2471190633229</v>
      </c>
      <c r="J468" s="44" t="n">
        <f aca="false">Sens!$J$467/Sens!$J$466</f>
        <v>12.654836207643</v>
      </c>
      <c r="K468" s="44" t="n">
        <f aca="false">Sens!$K$467/Sens!$K$466</f>
        <v>13.6489863092128</v>
      </c>
      <c r="L468" s="44" t="n">
        <f aca="false">Sens!$L$467/Sens!$L$466</f>
        <v>14.7745567146689</v>
      </c>
      <c r="M468" s="44" t="n">
        <f aca="false">Sens!$M$467/Sens!$M$466</f>
        <v>16.0424045519468</v>
      </c>
      <c r="N468" s="14"/>
      <c r="O468" s="14"/>
    </row>
    <row r="469" customFormat="false" ht="17.15" hidden="false" customHeight="false" outlineLevel="0" collapsed="false">
      <c r="A469" s="0" t="s">
        <v>769</v>
      </c>
      <c r="B469" s="0" t="s">
        <v>27</v>
      </c>
      <c r="C469" s="30" t="n">
        <f aca="false">Sens!$C$465/Sens!$C$466</f>
        <v>5.52635015390355</v>
      </c>
      <c r="D469" s="30" t="n">
        <f aca="false">Sens!$D$465/Sens!$D$466</f>
        <v>7.1737323358271</v>
      </c>
      <c r="E469" s="30" t="n">
        <f aca="false">Sens!$E$465/Sens!$E$466</f>
        <v>8.53212104513937</v>
      </c>
      <c r="G469" s="30" t="n">
        <f aca="false">Sens!$G$465/Sens!$G$466</f>
        <v>12.6552335146157</v>
      </c>
      <c r="H469" s="30" t="n">
        <f aca="false">Sens!$H$465/Sens!$H$466</f>
        <v>8.96294863736109</v>
      </c>
      <c r="I469" s="30" t="n">
        <f aca="false">Sens!$I$465/Sens!$I$466</f>
        <v>9.34255242038401</v>
      </c>
      <c r="J469" s="30" t="n">
        <f aca="false">Sens!$J$465/Sens!$J$466</f>
        <v>9.99247507377286</v>
      </c>
      <c r="K469" s="30" t="n">
        <f aca="false">Sens!$K$465/Sens!$K$466</f>
        <v>10.353608463811</v>
      </c>
      <c r="L469" s="30" t="n">
        <f aca="false">Sens!$L$465/Sens!$L$466</f>
        <v>11.078836293754</v>
      </c>
      <c r="M469" s="30" t="n">
        <f aca="false">Sens!$M$465/Sens!$M$466</f>
        <v>12.1741403919263</v>
      </c>
    </row>
    <row r="470" customFormat="false" ht="17.15" hidden="false" customHeight="false" outlineLevel="0" collapsed="false">
      <c r="A470" s="0" t="s">
        <v>770</v>
      </c>
      <c r="B470" s="0" t="s">
        <v>27</v>
      </c>
      <c r="C470" s="30" t="n">
        <f aca="false">(Sens!$C$465-Sens!$C$462*(1-tax))/Sens!$C$466</f>
        <v>5.33926775917445</v>
      </c>
      <c r="D470" s="30" t="n">
        <f aca="false">(Sens!$D$465-Sens!$D$462*(1-tax))/Sens!$D$466</f>
        <v>5.67691812755503</v>
      </c>
      <c r="E470" s="30" t="n">
        <f aca="false">(Sens!$E$465-Sens!$E$462*(1-tax))/Sens!$E$466</f>
        <v>3.10602057006846</v>
      </c>
      <c r="G470" s="30" t="n">
        <f aca="false">(Sens!$G$465-Sens!$G$462*(1-tax))/Sens!$G$466</f>
        <v>7.24716539671875</v>
      </c>
      <c r="H470" s="30" t="n">
        <f aca="false">(Sens!$H$465-Sens!$H$462*(1-tax))/Sens!$H$466</f>
        <v>8.96294863736109</v>
      </c>
      <c r="I470" s="30" t="n">
        <f aca="false">(Sens!$I$465-Sens!$I$462*(1-tax))/Sens!$I$466</f>
        <v>9.34255242038401</v>
      </c>
      <c r="J470" s="30" t="n">
        <f aca="false">(Sens!$J$465-Sens!$J$462*(1-tax))/Sens!$J$466</f>
        <v>9.99247507377286</v>
      </c>
      <c r="K470" s="30" t="n">
        <f aca="false">(Sens!$K$465-Sens!$K$462*(1-tax))/Sens!$K$466</f>
        <v>10.353608463811</v>
      </c>
      <c r="L470" s="30" t="n">
        <f aca="false">(Sens!$L$465-Sens!$L$462*(1-tax))/Sens!$L$466</f>
        <v>11.078836293754</v>
      </c>
      <c r="M470" s="30" t="n">
        <f aca="false">(Sens!$M$465-Sens!$M$462*(1-tax))/Sens!$M$466</f>
        <v>12.1741403919263</v>
      </c>
      <c r="P470" s="5" t="s">
        <v>771</v>
      </c>
    </row>
    <row r="471" customFormat="false" ht="17.15" hidden="false" customHeight="false" outlineLevel="0" collapsed="false">
      <c r="A471" s="0" t="s">
        <v>772</v>
      </c>
      <c r="B471" s="0" t="s">
        <v>52</v>
      </c>
      <c r="H471" s="13" t="n">
        <f aca="false">Sens!$H$468/Sens!$G$468-1</f>
        <v>-0.219435434951077</v>
      </c>
      <c r="I471" s="13" t="n">
        <f aca="false">Sens!$I$468/Sens!$H$468-1</f>
        <v>0.113476494745115</v>
      </c>
      <c r="J471" s="13" t="n">
        <f aca="false">Sens!$J$468/Sens!$I$468-1</f>
        <v>0.125162464840498</v>
      </c>
      <c r="K471" s="13" t="n">
        <f aca="false">Sens!$K$468/Sens!$J$468-1</f>
        <v>0.0785589070658566</v>
      </c>
      <c r="L471" s="13" t="n">
        <f aca="false">Sens!$L$468/Sens!$K$468-1</f>
        <v>0.0824654945031562</v>
      </c>
      <c r="M471" s="13" t="n">
        <f aca="false">Sens!$M$468/Sens!$L$468-1</f>
        <v>0.0858129189093848</v>
      </c>
    </row>
    <row r="474" customFormat="false" ht="19.4" hidden="false" customHeight="false" outlineLevel="0" collapsed="false">
      <c r="A474" s="31" t="s">
        <v>1160</v>
      </c>
    </row>
    <row r="475" customFormat="false" ht="17.15" hidden="false" customHeight="false" outlineLevel="0" collapsed="false">
      <c r="A475" s="6" t="s">
        <v>16</v>
      </c>
      <c r="B475" s="6" t="s">
        <v>17</v>
      </c>
      <c r="C475" s="20" t="s">
        <v>504</v>
      </c>
      <c r="D475" s="20" t="s">
        <v>505</v>
      </c>
      <c r="E475" s="20" t="s">
        <v>587</v>
      </c>
      <c r="F475" s="20" t="s">
        <v>588</v>
      </c>
      <c r="G475" s="20" t="s">
        <v>589</v>
      </c>
      <c r="H475" s="20" t="s">
        <v>590</v>
      </c>
      <c r="I475" s="20" t="s">
        <v>591</v>
      </c>
      <c r="J475" s="20" t="s">
        <v>592</v>
      </c>
      <c r="K475" s="20" t="s">
        <v>593</v>
      </c>
      <c r="L475" s="20" t="s">
        <v>594</v>
      </c>
      <c r="M475" s="20" t="s">
        <v>595</v>
      </c>
      <c r="N475" s="20" t="s">
        <v>596</v>
      </c>
      <c r="O475" s="20" t="s">
        <v>597</v>
      </c>
      <c r="P475" s="6" t="s">
        <v>23</v>
      </c>
      <c r="R475" s="20" t="n">
        <v>2023</v>
      </c>
      <c r="S475" s="20" t="n">
        <v>2024</v>
      </c>
      <c r="T475" s="20" t="n">
        <v>2025</v>
      </c>
      <c r="U475" s="20" t="n">
        <v>2026</v>
      </c>
      <c r="V475" s="20" t="n">
        <v>2027</v>
      </c>
      <c r="W475" s="20" t="n">
        <v>2028</v>
      </c>
      <c r="X475" s="20" t="n">
        <v>2029</v>
      </c>
      <c r="Y475" s="20" t="n">
        <v>2030</v>
      </c>
      <c r="Z475" s="20" t="n">
        <v>2031</v>
      </c>
      <c r="AA475" s="20" t="n">
        <v>2032</v>
      </c>
    </row>
    <row r="476" customFormat="false" ht="15" hidden="false" customHeight="false" outlineLevel="0" collapsed="false">
      <c r="A476" s="5" t="s">
        <v>556</v>
      </c>
      <c r="B476" s="0" t="s">
        <v>86</v>
      </c>
      <c r="C476" s="38" t="n">
        <f aca="false">Sens!$C$465</f>
        <v>59.248</v>
      </c>
      <c r="D476" s="38" t="n">
        <f aca="false">Sens!$D$465</f>
        <v>77.67</v>
      </c>
      <c r="E476" s="38" t="n">
        <f aca="false">Sens!$E$465</f>
        <v>92.902</v>
      </c>
      <c r="F476" s="38" t="n">
        <f aca="false">Sens!$F$465</f>
        <v>45.3539710318751</v>
      </c>
      <c r="G476" s="38" t="n">
        <f aca="false">Sens!$G$465</f>
        <v>138.255971031875</v>
      </c>
      <c r="H476" s="38" t="n">
        <f aca="false">Sens!$H$465</f>
        <v>98.7018228515433</v>
      </c>
      <c r="I476" s="38" t="n">
        <f aca="false">Sens!$I$465</f>
        <v>103.705154097981</v>
      </c>
      <c r="J476" s="38" t="n">
        <f aca="false">Sens!$J$465</f>
        <v>111.806847816615</v>
      </c>
      <c r="K476" s="38" t="n">
        <f aca="false">Sens!$K$465</f>
        <v>116.774387912732</v>
      </c>
      <c r="L476" s="38" t="n">
        <f aca="false">Sens!$L$465</f>
        <v>125.953586728967</v>
      </c>
      <c r="M476" s="38" t="n">
        <f aca="false">Sens!$M$465</f>
        <v>139.513178090569</v>
      </c>
    </row>
    <row r="477" customFormat="false" ht="17.15" hidden="false" customHeight="false" outlineLevel="0" collapsed="false">
      <c r="A477" s="5" t="s">
        <v>795</v>
      </c>
      <c r="B477" s="0" t="s">
        <v>86</v>
      </c>
      <c r="C477" s="38" t="n">
        <f aca="false">Sens!$C$453</f>
        <v>32.067</v>
      </c>
      <c r="D477" s="38" t="n">
        <f aca="false">Sens!$D$453</f>
        <v>41.86</v>
      </c>
      <c r="E477" s="38" t="n">
        <f aca="false">Sens!$E$453</f>
        <v>26.703</v>
      </c>
      <c r="F477" s="38" t="n">
        <f aca="false">Sens!$F$453</f>
        <v>29.152860869477</v>
      </c>
      <c r="G477" s="38" t="n">
        <f aca="false">Sens!$G$453</f>
        <v>55.855860869477</v>
      </c>
      <c r="H477" s="38" t="n">
        <f aca="false">Sens!$H$453</f>
        <v>81.5618233196153</v>
      </c>
      <c r="I477" s="38" t="n">
        <f aca="false">Sens!$I$453</f>
        <v>118.756208740204</v>
      </c>
      <c r="J477" s="38" t="n">
        <f aca="false">Sens!$J$453</f>
        <v>152.469489406791</v>
      </c>
      <c r="K477" s="38" t="n">
        <f aca="false">Sens!$K$453</f>
        <v>186.391502623819</v>
      </c>
      <c r="L477" s="38" t="n">
        <f aca="false">Sens!$L$453</f>
        <v>211.926422215482</v>
      </c>
      <c r="M477" s="38" t="n">
        <f aca="false">Sens!$M$453</f>
        <v>229.012482097906</v>
      </c>
    </row>
    <row r="478" customFormat="false" ht="15" hidden="false" customHeight="false" outlineLevel="0" collapsed="false">
      <c r="A478" s="5" t="s">
        <v>796</v>
      </c>
      <c r="B478" s="0" t="s">
        <v>86</v>
      </c>
      <c r="C478" s="38" t="n">
        <f aca="false">Q!$D$48</f>
        <v>22.011</v>
      </c>
      <c r="D478" s="38" t="n">
        <f aca="false">Q!$E$48</f>
        <v>19.467</v>
      </c>
      <c r="E478" s="38" t="n">
        <f aca="false">Q!$P$48</f>
        <v>10.07</v>
      </c>
      <c r="F478" s="38" t="n">
        <f aca="false">sbc_r*Sens!$F$395</f>
        <v>10.8301362330615</v>
      </c>
      <c r="G478" s="38" t="n">
        <f aca="false">Sens!$E$478+Sens!$F$478</f>
        <v>20.9001362330615</v>
      </c>
      <c r="H478" s="38" t="n">
        <f aca="false">sbc_r*Sens!$H$395</f>
        <v>23.2943317654256</v>
      </c>
      <c r="I478" s="38" t="n">
        <f aca="false">sbc_r*Sens!$I$395</f>
        <v>26.2713749165794</v>
      </c>
      <c r="J478" s="38" t="n">
        <f aca="false">sbc_r*Sens!$J$395</f>
        <v>29.1127794503891</v>
      </c>
      <c r="K478" s="38" t="n">
        <f aca="false">sbc_r*Sens!$K$395</f>
        <v>31.6074153583433</v>
      </c>
      <c r="L478" s="38" t="n">
        <f aca="false">sbc_r*Sens!$L$395</f>
        <v>33.9776385718341</v>
      </c>
      <c r="M478" s="38" t="n">
        <f aca="false">sbc_r*Sens!$M$395</f>
        <v>36.2325352034492</v>
      </c>
    </row>
    <row r="479" customFormat="false" ht="17.15" hidden="false" customHeight="false" outlineLevel="0" collapsed="false">
      <c r="A479" s="5" t="s">
        <v>797</v>
      </c>
      <c r="B479" s="0" t="s">
        <v>86</v>
      </c>
      <c r="C479" s="38" t="n">
        <f aca="false">Q!$D$44-Sens!$C$476-Sens!$C$477-Sens!$C$478</f>
        <v>2.551</v>
      </c>
      <c r="D479" s="38" t="n">
        <f aca="false">Q!$E$44-Sens!$D$476-Sens!$D$477-Sens!$D$478</f>
        <v>0.51700000000001</v>
      </c>
      <c r="E479" s="38" t="n">
        <f aca="false">Q!$P$44-Sens!$E$476-Sens!$E$477-Sens!$E$478</f>
        <v>-58.256</v>
      </c>
      <c r="F479" s="38" t="n">
        <f aca="false">oth_r*Sens!$F$395</f>
        <v>5.21275305044778</v>
      </c>
      <c r="G479" s="38" t="n">
        <f aca="false">Sens!$E$479+Sens!$F$479</f>
        <v>-53.0432469495522</v>
      </c>
      <c r="H479" s="38" t="n">
        <f aca="false">oth_r*Sens!$H$395</f>
        <v>11.2120102974955</v>
      </c>
      <c r="I479" s="38" t="n">
        <f aca="false">oth_r*Sens!$I$395</f>
        <v>12.6449184745984</v>
      </c>
      <c r="J479" s="38" t="n">
        <f aca="false">oth_r*Sens!$J$395</f>
        <v>14.0125411741132</v>
      </c>
      <c r="K479" s="38" t="n">
        <f aca="false">oth_r*Sens!$K$395</f>
        <v>15.2132574586644</v>
      </c>
      <c r="L479" s="38" t="n">
        <f aca="false">oth_r*Sens!$L$395</f>
        <v>16.3540915184104</v>
      </c>
      <c r="M479" s="38" t="n">
        <f aca="false">oth_r*Sens!$M$395</f>
        <v>17.4394166742486</v>
      </c>
      <c r="P479" s="8" t="s">
        <v>798</v>
      </c>
    </row>
    <row r="480" customFormat="false" ht="15" hidden="false" customHeight="false" outlineLevel="0" collapsed="false">
      <c r="A480" s="3" t="s">
        <v>562</v>
      </c>
      <c r="B480" s="8" t="s">
        <v>86</v>
      </c>
      <c r="C480" s="38" t="n">
        <f aca="false">Q!$D$44</f>
        <v>115.877</v>
      </c>
      <c r="D480" s="38" t="n">
        <f aca="false">Q!$E$44</f>
        <v>139.514</v>
      </c>
      <c r="E480" s="38" t="n">
        <f aca="false">Q!$P$44</f>
        <v>71.419</v>
      </c>
      <c r="F480" s="38" t="n">
        <f aca="false">Sens!$F$476+Sens!$F$477+Sens!$F$478+Sens!$F$479</f>
        <v>90.5497211848613</v>
      </c>
      <c r="G480" s="38" t="n">
        <f aca="false">Sens!$E$480+Sens!$F$480</f>
        <v>161.968721184861</v>
      </c>
      <c r="H480" s="38" t="n">
        <f aca="false">Sens!$H$476+Sens!$H$477+Sens!$H$478+Sens!$H$479</f>
        <v>214.76998823408</v>
      </c>
      <c r="I480" s="38" t="n">
        <f aca="false">Sens!$I$476+Sens!$I$477+Sens!$I$478+Sens!$I$479</f>
        <v>261.377656229363</v>
      </c>
      <c r="J480" s="38" t="n">
        <f aca="false">Sens!$J$476+Sens!$J$477+Sens!$J$478+Sens!$J$479</f>
        <v>307.401657847908</v>
      </c>
      <c r="K480" s="38" t="n">
        <f aca="false">Sens!$K$476+Sens!$K$477+Sens!$K$478+Sens!$K$479</f>
        <v>349.986563353558</v>
      </c>
      <c r="L480" s="38" t="n">
        <f aca="false">Sens!$L$476+Sens!$L$477+Sens!$L$478+Sens!$L$479</f>
        <v>388.211739034694</v>
      </c>
      <c r="M480" s="38" t="n">
        <f aca="false">Sens!$M$476+Sens!$M$477+Sens!$M$478+Sens!$M$479</f>
        <v>422.197612066173</v>
      </c>
    </row>
    <row r="481" customFormat="false" ht="17.15" hidden="false" customHeight="false" outlineLevel="0" collapsed="false">
      <c r="A481" s="5" t="s">
        <v>799</v>
      </c>
      <c r="B481" s="0" t="s">
        <v>86</v>
      </c>
      <c r="C481" s="38" t="n">
        <f aca="false">Sens!$C$359</f>
        <v>25.2781053077374</v>
      </c>
      <c r="D481" s="38" t="n">
        <f aca="false">Sens!$D$359</f>
        <v>69.5686316310026</v>
      </c>
      <c r="E481" s="38" t="n">
        <f aca="false">Sens!$E$359</f>
        <v>64.1899206485108</v>
      </c>
      <c r="F481" s="38" t="n">
        <f aca="false">Sens!$F$359</f>
        <v>88.7165504612134</v>
      </c>
      <c r="G481" s="38" t="n">
        <f aca="false">Sens!$G$359</f>
        <v>152.906471109724</v>
      </c>
      <c r="H481" s="38" t="n">
        <f aca="false">Sens!$H$359</f>
        <v>198.57136494475</v>
      </c>
      <c r="I481" s="38" t="n">
        <f aca="false">Sens!$I$359</f>
        <v>204.6464699105</v>
      </c>
      <c r="J481" s="38" t="n">
        <f aca="false">Sens!$J$359</f>
        <v>209.8832381105</v>
      </c>
      <c r="K481" s="38" t="n">
        <f aca="false">Sens!$K$359</f>
        <v>155.238385275201</v>
      </c>
      <c r="L481" s="38" t="n">
        <f aca="false">Sens!$L$359</f>
        <v>132.014141639902</v>
      </c>
      <c r="M481" s="38" t="n">
        <f aca="false">Sens!$M$359</f>
        <v>132.230981659852</v>
      </c>
    </row>
    <row r="482" customFormat="false" ht="17.15" hidden="false" customHeight="false" outlineLevel="0" collapsed="false">
      <c r="A482" s="5" t="s">
        <v>800</v>
      </c>
      <c r="B482" s="0" t="s">
        <v>86</v>
      </c>
      <c r="C482" s="38" t="n">
        <f aca="false">cx_awso*Sens!$C$393</f>
        <v>21.0469989286053</v>
      </c>
      <c r="D482" s="38" t="n">
        <f aca="false">cx_awso*Sens!$D$393</f>
        <v>24.0042459822698</v>
      </c>
      <c r="E482" s="38" t="n">
        <f aca="false">cx_awso*Sens!$E$393</f>
        <v>14.261729404886</v>
      </c>
      <c r="F482" s="38" t="n">
        <f aca="false">cx_awso*Sens!$F$393</f>
        <v>14.3538599588493</v>
      </c>
      <c r="G482" s="38" t="n">
        <f aca="false">Sens!$E$482+Sens!$F$482</f>
        <v>28.6155893637353</v>
      </c>
      <c r="H482" s="38" t="n">
        <f aca="false">cx_awso*Sens!$H$393</f>
        <v>32.2034154158406</v>
      </c>
      <c r="I482" s="38" t="n">
        <f aca="false">cx_awso*Sens!$I$393</f>
        <v>35.7539519042915</v>
      </c>
      <c r="J482" s="38" t="n">
        <f aca="false">cx_awso*Sens!$J$393</f>
        <v>39.1551076091815</v>
      </c>
      <c r="K482" s="38" t="n">
        <f aca="false">cx_awso*Sens!$K$393</f>
        <v>42.287516217916</v>
      </c>
      <c r="L482" s="38" t="n">
        <f aca="false">cx_awso*Sens!$L$393</f>
        <v>45.6705175153492</v>
      </c>
      <c r="M482" s="38" t="n">
        <f aca="false">cx_awso*Sens!$M$393</f>
        <v>49.3241589165772</v>
      </c>
    </row>
    <row r="483" customFormat="false" ht="17.15" hidden="false" customHeight="false" outlineLevel="0" collapsed="false">
      <c r="A483" s="5" t="s">
        <v>801</v>
      </c>
      <c r="B483" s="0" t="s">
        <v>86</v>
      </c>
      <c r="C483" s="38" t="n">
        <f aca="false">Q!$D$46-Sens!$C$481-Sens!$C$482</f>
        <v>31.3328957636573</v>
      </c>
      <c r="D483" s="38" t="n">
        <f aca="false">Q!$E$46-Sens!$D$481-Sens!$D$482</f>
        <v>34.7471223867276</v>
      </c>
      <c r="E483" s="38" t="n">
        <f aca="false">Q!$P$46-Sens!$E$481-Sens!$E$482</f>
        <v>17.8583499466032</v>
      </c>
      <c r="F483" s="38" t="n">
        <f aca="false">cx_rt*Sens!$F$322</f>
        <v>20.6195895799373</v>
      </c>
      <c r="G483" s="38" t="n">
        <f aca="false">Sens!$E$483+Sens!$F$483</f>
        <v>38.4779395265405</v>
      </c>
      <c r="H483" s="38" t="n">
        <f aca="false">cx_rt*Sens!$H$322</f>
        <v>42.5978994743075</v>
      </c>
      <c r="I483" s="38" t="n">
        <f aca="false">cx_rt*Sens!$I$322</f>
        <v>46.5813904136335</v>
      </c>
      <c r="J483" s="38" t="n">
        <f aca="false">cx_rt*Sens!$J$322</f>
        <v>50.2781676586844</v>
      </c>
      <c r="K483" s="38" t="n">
        <f aca="false">cx_rt*Sens!$K$322</f>
        <v>53.5312440191755</v>
      </c>
      <c r="L483" s="38" t="n">
        <f aca="false">cx_rt*Sens!$L$322</f>
        <v>57.0116717051447</v>
      </c>
      <c r="M483" s="38" t="n">
        <f aca="false">cx_rt*Sens!$M$322</f>
        <v>60.7365554669226</v>
      </c>
    </row>
    <row r="484" customFormat="false" ht="15" hidden="false" customHeight="false" outlineLevel="0" collapsed="false">
      <c r="A484" s="3" t="s">
        <v>802</v>
      </c>
      <c r="B484" s="8" t="s">
        <v>86</v>
      </c>
      <c r="C484" s="38" t="n">
        <f aca="false">Q!$D$46</f>
        <v>77.658</v>
      </c>
      <c r="D484" s="38" t="n">
        <f aca="false">Q!$E$46</f>
        <v>128.32</v>
      </c>
      <c r="E484" s="38" t="n">
        <f aca="false">Q!$P$46</f>
        <v>96.31</v>
      </c>
      <c r="F484" s="38" t="n">
        <f aca="false">Sens!$F$481+Sens!$F$482+Sens!$F$483</f>
        <v>123.69</v>
      </c>
      <c r="G484" s="38" t="n">
        <f aca="false">Sens!$E$484+Sens!$F$484</f>
        <v>220</v>
      </c>
      <c r="H484" s="38" t="n">
        <f aca="false">Sens!$H$481+Sens!$H$482+Sens!$H$483</f>
        <v>273.372679834898</v>
      </c>
      <c r="I484" s="38" t="n">
        <f aca="false">Sens!$I$481+Sens!$I$482+Sens!$I$483</f>
        <v>286.981812228425</v>
      </c>
      <c r="J484" s="38" t="n">
        <f aca="false">Sens!$J$481+Sens!$J$482+Sens!$J$483</f>
        <v>299.316513378366</v>
      </c>
      <c r="K484" s="38" t="n">
        <f aca="false">Sens!$K$481+Sens!$K$482+Sens!$K$483</f>
        <v>251.057145512292</v>
      </c>
      <c r="L484" s="38" t="n">
        <f aca="false">Sens!$L$481+Sens!$L$482+Sens!$L$483</f>
        <v>234.696330860396</v>
      </c>
      <c r="M484" s="38" t="n">
        <f aca="false">Sens!$M$481+Sens!$M$482+Sens!$M$483</f>
        <v>242.291696043352</v>
      </c>
    </row>
    <row r="485" customFormat="false" ht="17.15" hidden="false" customHeight="false" outlineLevel="0" collapsed="false">
      <c r="A485" s="5" t="s">
        <v>570</v>
      </c>
      <c r="B485" s="0" t="s">
        <v>86</v>
      </c>
      <c r="C485" s="38" t="n">
        <f aca="false">Q!$D$50</f>
        <v>2.043</v>
      </c>
      <c r="D485" s="38" t="n">
        <f aca="false">Q!$E$50</f>
        <v>1.557</v>
      </c>
      <c r="E485" s="38" t="n">
        <f aca="false">lease_pr/2</f>
        <v>0.8</v>
      </c>
      <c r="F485" s="38" t="n">
        <f aca="false">lease_pr/2</f>
        <v>0.8</v>
      </c>
      <c r="G485" s="38" t="n">
        <f aca="false">Sens!$E$485+Sens!$F$485</f>
        <v>1.6</v>
      </c>
      <c r="H485" s="38" t="n">
        <f aca="false">lease_pr</f>
        <v>1.6</v>
      </c>
      <c r="I485" s="38" t="n">
        <f aca="false">lease_pr</f>
        <v>1.6</v>
      </c>
      <c r="J485" s="38" t="n">
        <f aca="false">lease_pr</f>
        <v>1.6</v>
      </c>
      <c r="K485" s="38" t="n">
        <f aca="false">lease_pr</f>
        <v>1.6</v>
      </c>
      <c r="L485" s="38" t="n">
        <f aca="false">lease_pr</f>
        <v>1.6</v>
      </c>
      <c r="M485" s="38" t="n">
        <f aca="false">lease_pr</f>
        <v>1.6</v>
      </c>
      <c r="P485" s="8" t="s">
        <v>803</v>
      </c>
    </row>
    <row r="486" customFormat="false" ht="15" hidden="false" customHeight="false" outlineLevel="0" collapsed="false">
      <c r="A486" s="47" t="s">
        <v>804</v>
      </c>
      <c r="B486" s="14" t="s">
        <v>86</v>
      </c>
      <c r="C486" s="48" t="n">
        <f aca="false">Sens!$C$480-Sens!$C$484-Sens!$C$485</f>
        <v>36.176</v>
      </c>
      <c r="D486" s="48" t="n">
        <f aca="false">Sens!$D$480-Sens!$D$484-Sens!$D$485</f>
        <v>9.63700000000002</v>
      </c>
      <c r="E486" s="48" t="n">
        <f aca="false">Sens!$E$480-Sens!$E$484-Sens!$E$485</f>
        <v>-25.691</v>
      </c>
      <c r="F486" s="48" t="n">
        <f aca="false">Sens!$F$480-Sens!$F$484-Sens!$F$485</f>
        <v>-33.9402788151387</v>
      </c>
      <c r="G486" s="48" t="n">
        <f aca="false">Sens!$G$480-Sens!$G$484-Sens!$G$485</f>
        <v>-59.6312788151387</v>
      </c>
      <c r="H486" s="48" t="n">
        <f aca="false">Sens!$H$480-Sens!$H$484-Sens!$H$485</f>
        <v>-60.2026916008185</v>
      </c>
      <c r="I486" s="48" t="n">
        <f aca="false">Sens!$I$480-Sens!$I$484-Sens!$I$485</f>
        <v>-27.2041559990619</v>
      </c>
      <c r="J486" s="48" t="n">
        <f aca="false">Sens!$J$480-Sens!$J$484-Sens!$J$485</f>
        <v>6.48514446954195</v>
      </c>
      <c r="K486" s="48" t="n">
        <f aca="false">Sens!$K$480-Sens!$K$484-Sens!$K$485</f>
        <v>97.3294178412661</v>
      </c>
      <c r="L486" s="48" t="n">
        <f aca="false">Sens!$L$480-Sens!$L$484-Sens!$L$485</f>
        <v>151.915408174298</v>
      </c>
      <c r="M486" s="48" t="n">
        <f aca="false">Sens!$M$480-Sens!$M$484-Sens!$M$485</f>
        <v>178.305916022821</v>
      </c>
      <c r="N486" s="14"/>
      <c r="O486" s="14"/>
    </row>
    <row r="487" customFormat="false" ht="17.15" hidden="false" customHeight="false" outlineLevel="0" collapsed="false">
      <c r="A487" s="5" t="s">
        <v>805</v>
      </c>
      <c r="B487" s="0" t="s">
        <v>86</v>
      </c>
      <c r="C487" s="38" t="n">
        <f aca="false">dps*Sens!$C$466</f>
        <v>0</v>
      </c>
      <c r="D487" s="38" t="n">
        <f aca="false">dps*Sens!$D$466</f>
        <v>0</v>
      </c>
      <c r="E487" s="38" t="n">
        <f aca="false">dps*Sens!$E$466</f>
        <v>0</v>
      </c>
      <c r="F487" s="38" t="n">
        <f aca="false">0</f>
        <v>0</v>
      </c>
      <c r="G487" s="38" t="n">
        <f aca="false">dps*Sens!$G$466</f>
        <v>0</v>
      </c>
      <c r="H487" s="38" t="n">
        <f aca="false">dps*Sens!$H$466</f>
        <v>0</v>
      </c>
      <c r="I487" s="38" t="n">
        <f aca="false">dps*Sens!$I$466</f>
        <v>0</v>
      </c>
      <c r="J487" s="38" t="n">
        <f aca="false">dps*Sens!$J$466</f>
        <v>0</v>
      </c>
      <c r="K487" s="38" t="n">
        <f aca="false">dps*Sens!$K$466</f>
        <v>0</v>
      </c>
      <c r="L487" s="38" t="n">
        <f aca="false">dps*Sens!$L$466</f>
        <v>0</v>
      </c>
      <c r="M487" s="38" t="n">
        <f aca="false">dps*Sens!$M$466</f>
        <v>0</v>
      </c>
      <c r="P487" s="8" t="s">
        <v>806</v>
      </c>
    </row>
    <row r="488" customFormat="false" ht="17.15" hidden="false" customHeight="false" outlineLevel="0" collapsed="false">
      <c r="A488" s="5" t="s">
        <v>807</v>
      </c>
      <c r="B488" s="0" t="s">
        <v>86</v>
      </c>
      <c r="C488" s="38" t="n">
        <f aca="false">0</f>
        <v>0</v>
      </c>
      <c r="D488" s="38" t="n">
        <f aca="false">0</f>
        <v>0</v>
      </c>
      <c r="E488" s="38" t="n">
        <f aca="false">0</f>
        <v>0</v>
      </c>
      <c r="F488" s="38" t="n">
        <f aca="false">0</f>
        <v>0</v>
      </c>
      <c r="G488" s="38" t="n">
        <f aca="false">0</f>
        <v>0</v>
      </c>
      <c r="H488" s="38" t="n">
        <f aca="false">0</f>
        <v>0</v>
      </c>
      <c r="I488" s="38" t="n">
        <f aca="false">0</f>
        <v>0</v>
      </c>
      <c r="J488" s="38" t="n">
        <f aca="false">0</f>
        <v>0</v>
      </c>
      <c r="K488" s="38" t="n">
        <f aca="false">0</f>
        <v>0</v>
      </c>
      <c r="L488" s="38" t="n">
        <f aca="false">0</f>
        <v>0</v>
      </c>
      <c r="M488" s="38" t="n">
        <f aca="false">0</f>
        <v>0</v>
      </c>
      <c r="P488" s="8" t="s">
        <v>808</v>
      </c>
    </row>
    <row r="489" customFormat="false" ht="15" hidden="false" customHeight="false" outlineLevel="0" collapsed="false">
      <c r="A489" s="3" t="s">
        <v>809</v>
      </c>
      <c r="B489" s="8" t="s">
        <v>86</v>
      </c>
      <c r="C489" s="38" t="n">
        <f aca="false">Sens!$C$486-Sens!$C$487</f>
        <v>36.176</v>
      </c>
      <c r="D489" s="38" t="n">
        <f aca="false">Sens!$D$486-Sens!$D$487</f>
        <v>9.63700000000002</v>
      </c>
      <c r="E489" s="38" t="n">
        <f aca="false">Sens!$E$486-Sens!$E$487</f>
        <v>-25.691</v>
      </c>
      <c r="F489" s="38" t="n">
        <f aca="false">Sens!$F$486-Sens!$F$487</f>
        <v>-33.9402788151387</v>
      </c>
      <c r="G489" s="38" t="n">
        <f aca="false">Sens!$G$486-Sens!$G$487</f>
        <v>-59.6312788151387</v>
      </c>
      <c r="H489" s="38" t="n">
        <f aca="false">Sens!$H$486-Sens!$H$487</f>
        <v>-60.2026916008185</v>
      </c>
      <c r="I489" s="38" t="n">
        <f aca="false">Sens!$I$486-Sens!$I$487</f>
        <v>-27.2041559990619</v>
      </c>
      <c r="J489" s="38" t="n">
        <f aca="false">Sens!$J$486-Sens!$J$487</f>
        <v>6.48514446954195</v>
      </c>
      <c r="K489" s="38" t="n">
        <f aca="false">Sens!$K$486-Sens!$K$487</f>
        <v>97.3294178412661</v>
      </c>
      <c r="L489" s="38" t="n">
        <f aca="false">Sens!$L$486-Sens!$L$487</f>
        <v>151.915408174298</v>
      </c>
      <c r="M489" s="38" t="n">
        <f aca="false">Sens!$M$486-Sens!$M$487</f>
        <v>178.305916022821</v>
      </c>
    </row>
    <row r="490" customFormat="false" ht="17.15" hidden="false" customHeight="false" outlineLevel="0" collapsed="false">
      <c r="A490" s="5" t="s">
        <v>810</v>
      </c>
      <c r="B490" s="0" t="s">
        <v>86</v>
      </c>
      <c r="E490" s="38" t="n">
        <f aca="false">Q!$P$53</f>
        <v>39.767</v>
      </c>
      <c r="F490" s="38" t="n">
        <f aca="false">inv_2h26</f>
        <v>21.3</v>
      </c>
      <c r="G490" s="38" t="n">
        <f aca="false">Sens!$E$490+Sens!$F$490</f>
        <v>61.067</v>
      </c>
      <c r="H490" s="39" t="n">
        <v>0</v>
      </c>
      <c r="I490" s="39" t="n">
        <v>0</v>
      </c>
      <c r="J490" s="39" t="n">
        <v>0</v>
      </c>
      <c r="K490" s="39" t="n">
        <v>0</v>
      </c>
      <c r="L490" s="39" t="n">
        <v>0</v>
      </c>
      <c r="M490" s="39" t="n">
        <v>0</v>
      </c>
    </row>
    <row r="491" customFormat="false" ht="17.15" hidden="false" customHeight="false" outlineLevel="0" collapsed="false">
      <c r="A491" s="5" t="s">
        <v>811</v>
      </c>
      <c r="B491" s="0" t="s">
        <v>86</v>
      </c>
      <c r="F491" s="38" t="n">
        <f aca="false">iss_2h26</f>
        <v>29.249999</v>
      </c>
      <c r="G491" s="38" t="n">
        <f aca="false">Sens!$F$491</f>
        <v>29.249999</v>
      </c>
      <c r="H491" s="39" t="n">
        <v>0</v>
      </c>
      <c r="I491" s="39" t="n">
        <v>0</v>
      </c>
      <c r="J491" s="39" t="n">
        <v>0</v>
      </c>
      <c r="K491" s="39" t="n">
        <v>0</v>
      </c>
      <c r="L491" s="39" t="n">
        <v>0</v>
      </c>
      <c r="M491" s="39" t="n">
        <v>0</v>
      </c>
    </row>
    <row r="492" customFormat="false" ht="17.15" hidden="false" customHeight="false" outlineLevel="0" collapsed="false">
      <c r="A492" s="5" t="s">
        <v>812</v>
      </c>
      <c r="B492" s="0" t="s">
        <v>86</v>
      </c>
      <c r="F492" s="38" t="n">
        <f aca="false">cash_q2</f>
        <v>122.988</v>
      </c>
      <c r="G492" s="38" t="n">
        <f aca="false">cash_q2</f>
        <v>122.988</v>
      </c>
      <c r="H492" s="38" t="n">
        <f aca="false">Sens!$G$495</f>
        <v>96.9977201848613</v>
      </c>
      <c r="I492" s="38" t="n">
        <f aca="false">Sens!$H$495</f>
        <v>50</v>
      </c>
      <c r="J492" s="38" t="n">
        <f aca="false">Sens!$I$495</f>
        <v>50</v>
      </c>
      <c r="K492" s="38" t="n">
        <f aca="false">Sens!$J$495</f>
        <v>56.4851444695419</v>
      </c>
      <c r="L492" s="38" t="n">
        <f aca="false">Sens!$K$495</f>
        <v>153.814562310808</v>
      </c>
      <c r="M492" s="38" t="n">
        <f aca="false">Sens!$L$495</f>
        <v>305.729970485107</v>
      </c>
    </row>
    <row r="493" customFormat="false" ht="15" hidden="false" customHeight="false" outlineLevel="0" collapsed="false">
      <c r="A493" s="5" t="s">
        <v>813</v>
      </c>
      <c r="B493" s="0" t="s">
        <v>86</v>
      </c>
      <c r="F493" s="38" t="n">
        <f aca="false">Sens!$F$492+Sens!$F$489-Sens!$F$488-Sens!$F$490+Sens!$F$491</f>
        <v>96.9977201848613</v>
      </c>
      <c r="H493" s="38" t="n">
        <f aca="false">Sens!$H$492+Sens!$H$489-Sens!$H$488-Sens!$H$490+Sens!$H$491</f>
        <v>36.7950285840428</v>
      </c>
      <c r="I493" s="38" t="n">
        <f aca="false">Sens!$I$492+Sens!$I$489-Sens!$I$488-Sens!$I$490+Sens!$I$491</f>
        <v>22.7958440009381</v>
      </c>
      <c r="J493" s="38" t="n">
        <f aca="false">Sens!$J$492+Sens!$J$489-Sens!$J$488-Sens!$J$490+Sens!$J$491</f>
        <v>56.4851444695419</v>
      </c>
      <c r="K493" s="38" t="n">
        <f aca="false">Sens!$K$492+Sens!$K$489-Sens!$K$488-Sens!$K$490+Sens!$K$491</f>
        <v>153.814562310808</v>
      </c>
      <c r="L493" s="38" t="n">
        <f aca="false">Sens!$L$492+Sens!$L$489-Sens!$L$488-Sens!$L$490+Sens!$L$491</f>
        <v>305.729970485107</v>
      </c>
      <c r="M493" s="38" t="n">
        <f aca="false">Sens!$M$492+Sens!$M$489-Sens!$M$488-Sens!$M$490+Sens!$M$491</f>
        <v>484.035886507927</v>
      </c>
    </row>
    <row r="494" customFormat="false" ht="17.15" hidden="false" customHeight="false" outlineLevel="0" collapsed="false">
      <c r="A494" s="5" t="s">
        <v>814</v>
      </c>
      <c r="B494" s="0" t="s">
        <v>86</v>
      </c>
      <c r="F494" s="38" t="n">
        <f aca="false">MAX(0,min_cash-Sens!$F$493)</f>
        <v>0</v>
      </c>
      <c r="G494" s="38" t="n">
        <f aca="false">Sens!$F$494</f>
        <v>0</v>
      </c>
      <c r="H494" s="38" t="n">
        <f aca="false">MAX(0,min_cash-Sens!$H$493)</f>
        <v>13.2049714159572</v>
      </c>
      <c r="I494" s="38" t="n">
        <f aca="false">MAX(0,min_cash-Sens!$I$493)</f>
        <v>27.2041559990619</v>
      </c>
      <c r="J494" s="38" t="n">
        <f aca="false">MAX(0,min_cash-Sens!$J$493)</f>
        <v>0</v>
      </c>
      <c r="K494" s="38" t="n">
        <f aca="false">MAX(0,min_cash-Sens!$K$493)</f>
        <v>0</v>
      </c>
      <c r="L494" s="38" t="n">
        <f aca="false">MAX(0,min_cash-Sens!$L$493)</f>
        <v>0</v>
      </c>
      <c r="M494" s="38" t="n">
        <f aca="false">MAX(0,min_cash-Sens!$M$493)</f>
        <v>0</v>
      </c>
      <c r="P494" s="5" t="s">
        <v>815</v>
      </c>
    </row>
    <row r="495" customFormat="false" ht="15" hidden="false" customHeight="false" outlineLevel="0" collapsed="false">
      <c r="A495" s="5" t="s">
        <v>816</v>
      </c>
      <c r="B495" s="0" t="s">
        <v>86</v>
      </c>
      <c r="D495" s="38" t="n">
        <f aca="false">Q!$E$61</f>
        <v>123.029</v>
      </c>
      <c r="E495" s="38" t="n">
        <f aca="false">Q!$M$61</f>
        <v>122.988</v>
      </c>
      <c r="F495" s="38" t="n">
        <f aca="false">Sens!$F$493+Sens!$F$494</f>
        <v>96.9977201848613</v>
      </c>
      <c r="G495" s="38" t="n">
        <f aca="false">Sens!$F$495</f>
        <v>96.9977201848613</v>
      </c>
      <c r="H495" s="38" t="n">
        <f aca="false">Sens!$H$493+Sens!$H$494</f>
        <v>50</v>
      </c>
      <c r="I495" s="38" t="n">
        <f aca="false">Sens!$I$493+Sens!$I$494</f>
        <v>50</v>
      </c>
      <c r="J495" s="38" t="n">
        <f aca="false">Sens!$J$493+Sens!$J$494</f>
        <v>56.4851444695419</v>
      </c>
      <c r="K495" s="38" t="n">
        <f aca="false">Sens!$K$493+Sens!$K$494</f>
        <v>153.814562310808</v>
      </c>
      <c r="L495" s="38" t="n">
        <f aca="false">Sens!$L$493+Sens!$L$494</f>
        <v>305.729970485107</v>
      </c>
      <c r="M495" s="38" t="n">
        <f aca="false">Sens!$M$493+Sens!$M$494</f>
        <v>484.035886507927</v>
      </c>
    </row>
    <row r="496" customFormat="false" ht="15" hidden="false" customHeight="false" outlineLevel="0" collapsed="false">
      <c r="A496" s="5" t="s">
        <v>817</v>
      </c>
      <c r="B496" s="0" t="s">
        <v>86</v>
      </c>
      <c r="D496" s="38" t="n">
        <f aca="false">Q!$E$62</f>
        <v>68.836</v>
      </c>
      <c r="E496" s="38" t="n">
        <f aca="false">Q!$M$62</f>
        <v>132.995</v>
      </c>
      <c r="F496" s="38" t="n">
        <f aca="false">debt_q2+Sens!$F$491+Sens!$F$494</f>
        <v>162.244999</v>
      </c>
      <c r="G496" s="38" t="n">
        <f aca="false">Sens!$F$496</f>
        <v>162.244999</v>
      </c>
      <c r="H496" s="38" t="n">
        <f aca="false">Sens!$G$496+Sens!$H$494</f>
        <v>175.449970415957</v>
      </c>
      <c r="I496" s="38" t="n">
        <f aca="false">Sens!$H$496+Sens!$I$494</f>
        <v>202.654126415019</v>
      </c>
      <c r="J496" s="38" t="n">
        <f aca="false">Sens!$I$496+Sens!$J$494</f>
        <v>202.654126415019</v>
      </c>
      <c r="K496" s="38" t="n">
        <f aca="false">Sens!$J$496+Sens!$K$494</f>
        <v>202.654126415019</v>
      </c>
      <c r="L496" s="38" t="n">
        <f aca="false">Sens!$K$496+Sens!$L$494</f>
        <v>202.654126415019</v>
      </c>
      <c r="M496" s="38" t="n">
        <f aca="false">Sens!$L$496+Sens!$M$494</f>
        <v>202.654126415019</v>
      </c>
    </row>
    <row r="497" customFormat="false" ht="15" hidden="false" customHeight="false" outlineLevel="0" collapsed="false">
      <c r="A497" s="5" t="s">
        <v>818</v>
      </c>
      <c r="B497" s="0" t="s">
        <v>86</v>
      </c>
      <c r="D497" s="38" t="n">
        <f aca="false">Sens!$D$496-Sens!$D$495</f>
        <v>-54.193</v>
      </c>
      <c r="E497" s="38" t="n">
        <f aca="false">Sens!$E$496-Sens!$E$495</f>
        <v>10.007</v>
      </c>
      <c r="F497" s="38" t="n">
        <f aca="false">Sens!$F$496-Sens!$F$495</f>
        <v>65.2472788151387</v>
      </c>
      <c r="G497" s="38" t="n">
        <f aca="false">Sens!$G$496-Sens!$G$495</f>
        <v>65.2472788151387</v>
      </c>
      <c r="H497" s="38" t="n">
        <f aca="false">Sens!$H$496-Sens!$H$495</f>
        <v>125.449970415957</v>
      </c>
      <c r="I497" s="38" t="n">
        <f aca="false">Sens!$I$496-Sens!$I$495</f>
        <v>152.654126415019</v>
      </c>
      <c r="J497" s="38" t="n">
        <f aca="false">Sens!$J$496-Sens!$J$495</f>
        <v>146.168981945477</v>
      </c>
      <c r="K497" s="38" t="n">
        <f aca="false">Sens!$K$496-Sens!$K$495</f>
        <v>48.8395641042111</v>
      </c>
      <c r="L497" s="38" t="n">
        <f aca="false">Sens!$L$496-Sens!$L$495</f>
        <v>-103.075844070087</v>
      </c>
      <c r="M497" s="38" t="n">
        <f aca="false">Sens!$M$496-Sens!$M$495</f>
        <v>-281.381760092908</v>
      </c>
    </row>
    <row r="498" customFormat="false" ht="17.15" hidden="false" customHeight="false" outlineLevel="0" collapsed="false">
      <c r="A498" s="5" t="s">
        <v>819</v>
      </c>
      <c r="B498" s="0" t="s">
        <v>86</v>
      </c>
      <c r="F498" s="38" t="n">
        <f aca="false">debt_q2*kd_book*0.5+iss_2h26*kd_new*iss_t</f>
        <v>3.24888962733561</v>
      </c>
      <c r="H498" s="38" t="n">
        <f aca="false">debt_q2*kd_book+(Sens!$G$496-debt_q2)*kd_new</f>
        <v>7.42354172302123</v>
      </c>
      <c r="I498" s="38" t="n">
        <f aca="false">debt_q2*kd_book+(Sens!$H$496-debt_q2)*kd_new</f>
        <v>8.25941641365132</v>
      </c>
      <c r="J498" s="38" t="n">
        <f aca="false">debt_q2*kd_book+(Sens!$I$496-debt_q2)*kd_new</f>
        <v>9.98143948839194</v>
      </c>
      <c r="K498" s="38" t="n">
        <f aca="false">debt_q2*kd_book+(Sens!$J$496-debt_q2)*kd_new</f>
        <v>9.98143948839194</v>
      </c>
      <c r="L498" s="38" t="n">
        <f aca="false">debt_q2*kd_book+(Sens!$K$496-debt_q2)*kd_new</f>
        <v>9.98143948839194</v>
      </c>
      <c r="M498" s="38" t="n">
        <f aca="false">debt_q2*kd_book+(Sens!$L$496-debt_q2)*kd_new</f>
        <v>9.98143948839194</v>
      </c>
    </row>
    <row r="499" customFormat="false" ht="17.15" hidden="false" customHeight="false" outlineLevel="0" collapsed="false">
      <c r="A499" s="5" t="s">
        <v>820</v>
      </c>
      <c r="B499" s="0" t="s">
        <v>86</v>
      </c>
      <c r="F499" s="38" t="n">
        <f aca="false">cash_q2*y_cash*0.5</f>
        <v>2.59</v>
      </c>
      <c r="H499" s="38" t="n">
        <f aca="false">Sens!$G$495*y_cash</f>
        <v>4.08534320874867</v>
      </c>
      <c r="I499" s="38" t="n">
        <f aca="false">Sens!$H$495*y_cash</f>
        <v>2.10589651022864</v>
      </c>
      <c r="J499" s="38" t="n">
        <f aca="false">Sens!$I$495*y_cash</f>
        <v>2.10589651022864</v>
      </c>
      <c r="K499" s="38" t="n">
        <f aca="false">Sens!$J$495*y_cash</f>
        <v>2.37903737236338</v>
      </c>
      <c r="L499" s="38" t="n">
        <f aca="false">Sens!$K$495*y_cash</f>
        <v>6.47835099985353</v>
      </c>
      <c r="M499" s="38" t="n">
        <f aca="false">Sens!$L$495*y_cash</f>
        <v>12.8767135583378</v>
      </c>
    </row>
    <row r="500" customFormat="false" ht="17.15" hidden="false" customHeight="false" outlineLevel="0" collapsed="false">
      <c r="A500" s="47" t="s">
        <v>821</v>
      </c>
      <c r="B500" s="14" t="s">
        <v>86</v>
      </c>
      <c r="C500" s="14"/>
      <c r="D500" s="14"/>
      <c r="E500" s="14"/>
      <c r="F500" s="14"/>
      <c r="G500" s="48" t="n">
        <f aca="false">SUM(Sens!$G$489:$K$489)</f>
        <v>-43.2235641042111</v>
      </c>
      <c r="H500" s="14"/>
      <c r="I500" s="14"/>
      <c r="J500" s="14"/>
      <c r="K500" s="14"/>
      <c r="L500" s="14"/>
      <c r="M500" s="14"/>
      <c r="N500" s="14"/>
      <c r="O500" s="14"/>
    </row>
    <row r="501" customFormat="false" ht="17.15" hidden="false" customHeight="false" outlineLevel="0" collapsed="false">
      <c r="A501" s="0" t="s">
        <v>787</v>
      </c>
      <c r="B501" s="0" t="s">
        <v>86</v>
      </c>
      <c r="G501" s="38" t="n">
        <f aca="false">SUM(Sens!$G$494:$K$494)</f>
        <v>40.4091274150191</v>
      </c>
    </row>
    <row r="502" customFormat="false" ht="17.15" hidden="false" customHeight="false" outlineLevel="0" collapsed="false">
      <c r="A502" s="24" t="s">
        <v>824</v>
      </c>
      <c r="B502" s="25" t="s">
        <v>86</v>
      </c>
      <c r="C502" s="25"/>
      <c r="D502" s="25"/>
      <c r="E502" s="25"/>
      <c r="F502" s="25"/>
      <c r="G502" s="41" t="n">
        <f aca="false">Sens!$G$500-(Sens!$G$489+Sens!$H$489+Sens!$I$489+Sens!$J$489+Sens!$K$489)</f>
        <v>0</v>
      </c>
      <c r="H502" s="25"/>
      <c r="I502" s="25"/>
      <c r="J502" s="25"/>
      <c r="K502" s="25"/>
      <c r="L502" s="25"/>
      <c r="M502" s="25"/>
      <c r="N502" s="25"/>
      <c r="O502" s="25"/>
    </row>
    <row r="505" customFormat="false" ht="19.4" hidden="false" customHeight="false" outlineLevel="0" collapsed="false">
      <c r="A505" s="31" t="s">
        <v>1161</v>
      </c>
    </row>
    <row r="506" customFormat="false" ht="17.15" hidden="false" customHeight="false" outlineLevel="0" collapsed="false">
      <c r="A506" s="6" t="s">
        <v>16</v>
      </c>
      <c r="B506" s="6" t="s">
        <v>17</v>
      </c>
      <c r="C506" s="20" t="s">
        <v>504</v>
      </c>
      <c r="D506" s="20" t="s">
        <v>505</v>
      </c>
      <c r="E506" s="20" t="s">
        <v>587</v>
      </c>
      <c r="F506" s="20" t="s">
        <v>588</v>
      </c>
      <c r="G506" s="20" t="s">
        <v>589</v>
      </c>
      <c r="H506" s="20" t="s">
        <v>590</v>
      </c>
      <c r="I506" s="20" t="s">
        <v>591</v>
      </c>
      <c r="J506" s="20" t="s">
        <v>592</v>
      </c>
      <c r="K506" s="20" t="s">
        <v>593</v>
      </c>
      <c r="L506" s="20" t="s">
        <v>594</v>
      </c>
      <c r="M506" s="20" t="s">
        <v>595</v>
      </c>
      <c r="N506" s="20" t="s">
        <v>596</v>
      </c>
      <c r="O506" s="20" t="s">
        <v>597</v>
      </c>
      <c r="P506" s="6" t="s">
        <v>23</v>
      </c>
      <c r="R506" s="20" t="n">
        <v>2023</v>
      </c>
      <c r="S506" s="20" t="n">
        <v>2024</v>
      </c>
      <c r="T506" s="20" t="n">
        <v>2025</v>
      </c>
      <c r="U506" s="20" t="n">
        <v>2026</v>
      </c>
      <c r="V506" s="20" t="n">
        <v>2027</v>
      </c>
      <c r="W506" s="20" t="n">
        <v>2028</v>
      </c>
      <c r="X506" s="20" t="n">
        <v>2029</v>
      </c>
      <c r="Y506" s="20" t="n">
        <v>2030</v>
      </c>
      <c r="Z506" s="20" t="n">
        <v>2031</v>
      </c>
      <c r="AA506" s="20" t="n">
        <v>2032</v>
      </c>
    </row>
    <row r="507" customFormat="false" ht="17.15" hidden="false" customHeight="false" outlineLevel="0" collapsed="false">
      <c r="A507" s="1" t="s">
        <v>926</v>
      </c>
    </row>
    <row r="508" customFormat="false" ht="17.15" hidden="false" customHeight="false" outlineLevel="0" collapsed="false">
      <c r="A508" s="0" t="s">
        <v>927</v>
      </c>
      <c r="B508" s="0" t="s">
        <v>86</v>
      </c>
      <c r="H508" s="38" t="n">
        <f aca="false">Sens!$H$442*(1-tax)</f>
        <v>113.991957712294</v>
      </c>
      <c r="I508" s="38" t="n">
        <f aca="false">Sens!$I$442*(1-tax)</f>
        <v>129.931783236855</v>
      </c>
      <c r="J508" s="38" t="n">
        <f aca="false">Sens!$J$442*(1-tax)</f>
        <v>148.104755339314</v>
      </c>
      <c r="K508" s="38" t="n">
        <f aca="false">Sens!$K$442*(1-tax)</f>
        <v>160.224436352926</v>
      </c>
      <c r="L508" s="38" t="n">
        <f aca="false">Sens!$L$442*(1-tax)</f>
        <v>170.864670601067</v>
      </c>
      <c r="M508" s="38" t="n">
        <f aca="false">Sens!$M$442*(1-tax)</f>
        <v>181.450000990334</v>
      </c>
    </row>
    <row r="509" customFormat="false" ht="15" hidden="false" customHeight="false" outlineLevel="0" collapsed="false">
      <c r="A509" s="5" t="s">
        <v>928</v>
      </c>
      <c r="B509" s="0" t="s">
        <v>86</v>
      </c>
      <c r="H509" s="38" t="n">
        <f aca="false">Sens!$H$453</f>
        <v>81.5618233196153</v>
      </c>
      <c r="I509" s="38" t="n">
        <f aca="false">Sens!$I$453</f>
        <v>118.756208740204</v>
      </c>
      <c r="J509" s="38" t="n">
        <f aca="false">Sens!$J$453</f>
        <v>152.469489406791</v>
      </c>
      <c r="K509" s="38" t="n">
        <f aca="false">Sens!$K$453</f>
        <v>186.391502623819</v>
      </c>
      <c r="L509" s="38" t="n">
        <f aca="false">Sens!$L$453</f>
        <v>211.926422215482</v>
      </c>
      <c r="M509" s="38" t="n">
        <f aca="false">Sens!$M$453</f>
        <v>229.012482097906</v>
      </c>
    </row>
    <row r="510" customFormat="false" ht="15" hidden="false" customHeight="false" outlineLevel="0" collapsed="false">
      <c r="A510" s="5" t="s">
        <v>929</v>
      </c>
      <c r="B510" s="0" t="s">
        <v>86</v>
      </c>
      <c r="H510" s="38" t="n">
        <f aca="false">Sens!$H$484</f>
        <v>273.372679834898</v>
      </c>
      <c r="I510" s="38" t="n">
        <f aca="false">Sens!$I$484</f>
        <v>286.981812228425</v>
      </c>
      <c r="J510" s="38" t="n">
        <f aca="false">Sens!$J$484</f>
        <v>299.316513378366</v>
      </c>
      <c r="K510" s="38" t="n">
        <f aca="false">Sens!$K$484</f>
        <v>251.057145512292</v>
      </c>
      <c r="L510" s="38" t="n">
        <f aca="false">Sens!$L$484</f>
        <v>234.696330860396</v>
      </c>
      <c r="M510" s="38" t="n">
        <f aca="false">Sens!$M$484</f>
        <v>242.291696043352</v>
      </c>
    </row>
    <row r="511" customFormat="false" ht="15" hidden="false" customHeight="false" outlineLevel="0" collapsed="false">
      <c r="A511" s="5" t="s">
        <v>930</v>
      </c>
      <c r="B511" s="0" t="s">
        <v>86</v>
      </c>
      <c r="H511" s="38" t="n">
        <f aca="false">Sens!$H$485</f>
        <v>1.6</v>
      </c>
      <c r="I511" s="38" t="n">
        <f aca="false">Sens!$I$485</f>
        <v>1.6</v>
      </c>
      <c r="J511" s="38" t="n">
        <f aca="false">Sens!$J$485</f>
        <v>1.6</v>
      </c>
      <c r="K511" s="38" t="n">
        <f aca="false">Sens!$K$485</f>
        <v>1.6</v>
      </c>
      <c r="L511" s="38" t="n">
        <f aca="false">Sens!$L$485</f>
        <v>1.6</v>
      </c>
      <c r="M511" s="38" t="n">
        <f aca="false">Sens!$M$485</f>
        <v>1.6</v>
      </c>
    </row>
    <row r="512" customFormat="false" ht="15" hidden="false" customHeight="false" outlineLevel="0" collapsed="false">
      <c r="A512" s="5" t="s">
        <v>931</v>
      </c>
      <c r="B512" s="0" t="s">
        <v>86</v>
      </c>
      <c r="H512" s="38" t="n">
        <f aca="false">Sens!$H$479</f>
        <v>11.2120102974955</v>
      </c>
      <c r="I512" s="38" t="n">
        <f aca="false">Sens!$I$479</f>
        <v>12.6449184745984</v>
      </c>
      <c r="J512" s="38" t="n">
        <f aca="false">Sens!$J$479</f>
        <v>14.0125411741132</v>
      </c>
      <c r="K512" s="38" t="n">
        <f aca="false">Sens!$K$479</f>
        <v>15.2132574586644</v>
      </c>
      <c r="L512" s="38" t="n">
        <f aca="false">Sens!$L$479</f>
        <v>16.3540915184104</v>
      </c>
      <c r="M512" s="38" t="n">
        <f aca="false">Sens!$M$479</f>
        <v>17.4394166742486</v>
      </c>
    </row>
    <row r="513" customFormat="false" ht="17.15" hidden="false" customHeight="false" outlineLevel="0" collapsed="false">
      <c r="A513" s="1" t="s">
        <v>932</v>
      </c>
      <c r="B513" s="8" t="s">
        <v>86</v>
      </c>
      <c r="H513" s="38" t="n">
        <f aca="false">Sens!$H$508+Sens!$H$509-Sens!$H$510-Sens!$H$511+Sens!$H$512</f>
        <v>-68.2068885054938</v>
      </c>
      <c r="I513" s="38" t="n">
        <f aca="false">Sens!$I$508+Sens!$I$509-Sens!$I$510-Sens!$I$511+Sens!$I$512</f>
        <v>-27.2489017767681</v>
      </c>
      <c r="J513" s="38" t="n">
        <f aca="false">Sens!$J$508+Sens!$J$509-Sens!$J$510-Sens!$J$511+Sens!$J$512</f>
        <v>13.6702725418518</v>
      </c>
      <c r="K513" s="38" t="n">
        <f aca="false">Sens!$K$508+Sens!$K$509-Sens!$K$510-Sens!$K$511+Sens!$K$512</f>
        <v>109.172050923117</v>
      </c>
      <c r="L513" s="38" t="n">
        <f aca="false">Sens!$L$508+Sens!$L$509-Sens!$L$510-Sens!$L$511+Sens!$L$512</f>
        <v>162.848853474564</v>
      </c>
      <c r="M513" s="38" t="n">
        <f aca="false">Sens!$M$508+Sens!$M$509-Sens!$M$510-Sens!$M$511+Sens!$M$512</f>
        <v>184.010203719136</v>
      </c>
    </row>
    <row r="514" customFormat="false" ht="15" hidden="false" customHeight="false" outlineLevel="0" collapsed="false">
      <c r="A514" s="5" t="s">
        <v>933</v>
      </c>
      <c r="B514" s="0" t="s">
        <v>57</v>
      </c>
      <c r="H514" s="40" t="n">
        <f aca="false">1/(1+wacc)^(2027-2026-0.5)</f>
        <v>0.947751320380232</v>
      </c>
      <c r="I514" s="40" t="n">
        <f aca="false">1/(1+wacc)^(2028-2026-0.5)</f>
        <v>0.851301099754987</v>
      </c>
      <c r="J514" s="40" t="n">
        <f aca="false">1/(1+wacc)^(2029-2026-0.5)</f>
        <v>0.764666370660713</v>
      </c>
      <c r="K514" s="40" t="n">
        <f aca="false">1/(1+wacc)^(2030-2026-0.5)</f>
        <v>0.686848235703811</v>
      </c>
      <c r="L514" s="40" t="n">
        <f aca="false">1/(1+wacc)^(2031-2026-0.5)</f>
        <v>0.616949452715975</v>
      </c>
      <c r="M514" s="40" t="n">
        <f aca="false">1/(1+wacc)^(2032-2026-0.5)</f>
        <v>0.554164089562688</v>
      </c>
    </row>
    <row r="515" customFormat="false" ht="15" hidden="false" customHeight="false" outlineLevel="0" collapsed="false">
      <c r="A515" s="5" t="s">
        <v>934</v>
      </c>
      <c r="B515" s="0" t="s">
        <v>86</v>
      </c>
      <c r="H515" s="38" t="n">
        <f aca="false">Sens!$H$513*Sens!$H$514</f>
        <v>-64.643168640109</v>
      </c>
      <c r="I515" s="38" t="n">
        <f aca="false">Sens!$I$513*Sens!$I$514</f>
        <v>-23.1970200496783</v>
      </c>
      <c r="J515" s="38" t="n">
        <f aca="false">Sens!$J$513*Sens!$J$514</f>
        <v>10.4531976905206</v>
      </c>
      <c r="K515" s="38" t="n">
        <f aca="false">Sens!$K$513*Sens!$K$514</f>
        <v>74.9846305647093</v>
      </c>
      <c r="L515" s="38" t="n">
        <f aca="false">Sens!$L$513*Sens!$L$514</f>
        <v>100.469511026556</v>
      </c>
      <c r="M515" s="38" t="n">
        <f aca="false">Sens!$M$513*Sens!$M$514</f>
        <v>101.97184701426</v>
      </c>
    </row>
    <row r="516" customFormat="false" ht="15" hidden="false" customHeight="false" outlineLevel="0" collapsed="false">
      <c r="A516" s="5" t="s">
        <v>935</v>
      </c>
      <c r="B516" s="0" t="s">
        <v>86</v>
      </c>
      <c r="C516" s="38" t="n">
        <f aca="false">SUM(Sens!$H$515:$M$515)</f>
        <v>200.038997606258</v>
      </c>
    </row>
    <row r="517" customFormat="false" ht="17.15" hidden="false" customHeight="false" outlineLevel="0" collapsed="false">
      <c r="A517" s="5" t="s">
        <v>936</v>
      </c>
      <c r="B517" s="0" t="s">
        <v>86</v>
      </c>
      <c r="C517" s="38" t="n">
        <f aca="false">Sens!$M$508*(1+tg)*(1-tg/ronic)/(wacc-tg)</f>
        <v>1649.58298616664</v>
      </c>
    </row>
    <row r="518" customFormat="false" ht="15" hidden="false" customHeight="false" outlineLevel="0" collapsed="false">
      <c r="A518" s="5" t="s">
        <v>937</v>
      </c>
      <c r="B518" s="0" t="s">
        <v>86</v>
      </c>
      <c r="C518" s="38" t="n">
        <f aca="false">Sens!$C$517/(1+wacc)^6</f>
        <v>866.377063793912</v>
      </c>
    </row>
    <row r="519" customFormat="false" ht="17.15" hidden="false" customHeight="false" outlineLevel="0" collapsed="false">
      <c r="A519" s="5" t="s">
        <v>938</v>
      </c>
      <c r="B519" s="0" t="s">
        <v>86</v>
      </c>
      <c r="C519" s="38" t="n">
        <f aca="false">Sens!$C$516+Sens!$C$518</f>
        <v>1066.41606140017</v>
      </c>
    </row>
    <row r="520" customFormat="false" ht="17.15" hidden="false" customHeight="false" outlineLevel="0" collapsed="false">
      <c r="A520" s="5" t="s">
        <v>939</v>
      </c>
      <c r="B520" s="0" t="s">
        <v>52</v>
      </c>
      <c r="C520" s="13" t="n">
        <f aca="false">Sens!$C$518/Sens!$C$519</f>
        <v>0.81241936909351</v>
      </c>
    </row>
    <row r="521" customFormat="false" ht="17.15" hidden="false" customHeight="false" outlineLevel="0" collapsed="false">
      <c r="A521" s="5" t="s">
        <v>940</v>
      </c>
      <c r="B521" s="0" t="s">
        <v>86</v>
      </c>
      <c r="C521" s="38" t="n">
        <f aca="false">Sens!$G$497+fin_debt</f>
        <v>89.7682788151387</v>
      </c>
    </row>
    <row r="522" customFormat="false" ht="17.15" hidden="false" customHeight="false" outlineLevel="0" collapsed="false">
      <c r="A522" s="5" t="s">
        <v>941</v>
      </c>
      <c r="B522" s="0" t="s">
        <v>86</v>
      </c>
      <c r="C522" s="38" t="n">
        <f aca="false">(ant_val*ant_sh+oai_val*oai_sh)*(1-liq_disc)</f>
        <v>178.944</v>
      </c>
    </row>
    <row r="523" customFormat="false" ht="15" hidden="false" customHeight="false" outlineLevel="0" collapsed="false">
      <c r="A523" s="5" t="s">
        <v>942</v>
      </c>
      <c r="B523" s="0" t="s">
        <v>86</v>
      </c>
      <c r="C523" s="38" t="n">
        <f aca="false">Sens!$C$519-Sens!$C$521+Sens!$C$522</f>
        <v>1155.59178258503</v>
      </c>
    </row>
    <row r="524" customFormat="false" ht="17.15" hidden="false" customHeight="false" outlineLevel="0" collapsed="false">
      <c r="A524" s="5" t="s">
        <v>943</v>
      </c>
      <c r="B524" s="0" t="s">
        <v>27</v>
      </c>
      <c r="C524" s="30" t="n">
        <f aca="false">Sens!$C$523/sh_out</f>
        <v>107.135002984804</v>
      </c>
    </row>
    <row r="525" customFormat="false" ht="17.15" hidden="false" customHeight="false" outlineLevel="0" collapsed="false">
      <c r="A525" s="1" t="s">
        <v>944</v>
      </c>
      <c r="B525" s="8" t="s">
        <v>27</v>
      </c>
      <c r="C525" s="30" t="n">
        <f aca="false">Sens!$C$524*(1+ke)^tp_yf-dps*tp_yf</f>
        <v>117.352344636521</v>
      </c>
    </row>
    <row r="526" customFormat="false" ht="17.15" hidden="false" customHeight="false" outlineLevel="0" collapsed="false">
      <c r="A526" s="3" t="s">
        <v>945</v>
      </c>
    </row>
    <row r="527" customFormat="false" ht="17.15" hidden="false" customHeight="false" outlineLevel="0" collapsed="false">
      <c r="A527" s="5" t="s">
        <v>946</v>
      </c>
      <c r="B527" s="0" t="s">
        <v>86</v>
      </c>
      <c r="C527" s="38" t="n">
        <f aca="false">(1-tp_yf)*(Sens!$H$454+sbc_ab*Sens!$H$478*Sens!$H$315/Sens!$H$395)+tp_yf*(Sens!$I$454+sbc_ab*Sens!$I$478*Sens!$I$315/Sens!$I$395)</f>
        <v>59.634664536349</v>
      </c>
    </row>
    <row r="528" customFormat="false" ht="15" hidden="false" customHeight="false" outlineLevel="0" collapsed="false">
      <c r="A528" s="5" t="s">
        <v>947</v>
      </c>
      <c r="B528" s="0" t="s">
        <v>57</v>
      </c>
      <c r="C528" s="30" t="n">
        <f aca="false">m_ads*m_x</f>
        <v>9.11</v>
      </c>
    </row>
    <row r="529" customFormat="false" ht="17.15" hidden="false" customHeight="false" outlineLevel="0" collapsed="false">
      <c r="A529" s="5" t="s">
        <v>948</v>
      </c>
      <c r="B529" s="0" t="s">
        <v>86</v>
      </c>
      <c r="C529" s="38" t="n">
        <f aca="false">Sens!$C$527*Sens!$C$528</f>
        <v>543.271793926139</v>
      </c>
    </row>
    <row r="530" customFormat="false" ht="17.15" hidden="false" customHeight="false" outlineLevel="0" collapsed="false">
      <c r="A530" s="5" t="s">
        <v>949</v>
      </c>
      <c r="B530" s="0" t="s">
        <v>86</v>
      </c>
      <c r="C530" s="38" t="n">
        <f aca="false">(1-tp_yf)*(Sens!$H$455+sbc_ab*Sens!$H$478*(Sens!$H$322-Sens!$H$315)/Sens!$H$395+IF(internal_ai_reading=2,1,0)*(1-ext_sh)*Sens!$H$352)+tp_yf*(Sens!$I$455+sbc_ab*Sens!$I$478*(Sens!$I$322-Sens!$I$315)/Sens!$I$395+IF(internal_ai_reading=2,1,0)*(1-ext_sh)*Sens!$I$352)</f>
        <v>51.6951811103438</v>
      </c>
    </row>
    <row r="531" customFormat="false" ht="17.15" hidden="false" customHeight="false" outlineLevel="0" collapsed="false">
      <c r="A531" s="5" t="s">
        <v>950</v>
      </c>
      <c r="B531" s="0" t="s">
        <v>57</v>
      </c>
      <c r="C531" s="30" t="n">
        <f aca="false">m_retail*m_x</f>
        <v>17.72</v>
      </c>
    </row>
    <row r="532" customFormat="false" ht="17.15" hidden="false" customHeight="false" outlineLevel="0" collapsed="false">
      <c r="A532" s="5" t="s">
        <v>951</v>
      </c>
      <c r="B532" s="0" t="s">
        <v>86</v>
      </c>
      <c r="C532" s="38" t="n">
        <f aca="false">Sens!$C$530*Sens!$C$531</f>
        <v>916.038609275292</v>
      </c>
    </row>
    <row r="533" customFormat="false" ht="17.15" hidden="false" customHeight="false" outlineLevel="0" collapsed="false">
      <c r="A533" s="0" t="s">
        <v>952</v>
      </c>
      <c r="B533" s="0" t="s">
        <v>86</v>
      </c>
      <c r="C533" s="38" t="n">
        <f aca="false">(1-tp_yf)*(Sens!$H$456+sbc_ab*Sens!$H$478*Sens!$H$393/Sens!$H$395)+tp_yf*(Sens!$I$456+sbc_ab*Sens!$I$478*Sens!$I$393/Sens!$I$395)</f>
        <v>97.2337130506861</v>
      </c>
    </row>
    <row r="534" customFormat="false" ht="17.15" hidden="false" customHeight="false" outlineLevel="0" collapsed="false">
      <c r="A534" s="0" t="s">
        <v>953</v>
      </c>
      <c r="B534" s="0" t="s">
        <v>57</v>
      </c>
      <c r="C534" s="30" t="n">
        <f aca="false">m_cloud*m_x</f>
        <v>13.82</v>
      </c>
    </row>
    <row r="535" customFormat="false" ht="17.15" hidden="false" customHeight="false" outlineLevel="0" collapsed="false">
      <c r="A535" s="0" t="s">
        <v>954</v>
      </c>
      <c r="B535" s="0" t="s">
        <v>86</v>
      </c>
      <c r="C535" s="38" t="n">
        <f aca="false">Sens!$C$533*Sens!$C$534</f>
        <v>1343.76991436048</v>
      </c>
    </row>
    <row r="536" customFormat="false" ht="17.15" hidden="false" customHeight="false" outlineLevel="0" collapsed="false">
      <c r="A536" s="0" t="s">
        <v>955</v>
      </c>
      <c r="B536" s="0" t="s">
        <v>86</v>
      </c>
      <c r="H536" s="38" t="n">
        <f aca="false">Sens!$H$374-tax*Sens!$H$375-ext_sh*Sens!$H$359</f>
        <v>-120.988775928576</v>
      </c>
      <c r="I536" s="38" t="n">
        <f aca="false">Sens!$I$374-tax*Sens!$I$375-ext_sh*Sens!$I$359</f>
        <v>-99.8653499757391</v>
      </c>
      <c r="J536" s="38" t="n">
        <f aca="false">Sens!$J$374-tax*Sens!$J$375-ext_sh*Sens!$J$359</f>
        <v>-78.4006334337983</v>
      </c>
      <c r="K536" s="38" t="n">
        <f aca="false">Sens!$K$374-tax*Sens!$K$375-ext_sh*Sens!$K$359</f>
        <v>-12.1193028060955</v>
      </c>
      <c r="L536" s="38" t="n">
        <f aca="false">Sens!$L$374-tax*Sens!$L$375-ext_sh*Sens!$L$359</f>
        <v>21.4788044686952</v>
      </c>
      <c r="M536" s="38" t="n">
        <f aca="false">Sens!$M$374-tax*Sens!$M$375-ext_sh*Sens!$M$359</f>
        <v>28.746539743072</v>
      </c>
    </row>
    <row r="537" customFormat="false" ht="17.15" hidden="false" customHeight="false" outlineLevel="0" collapsed="false">
      <c r="A537" s="5" t="s">
        <v>956</v>
      </c>
      <c r="B537" s="0" t="s">
        <v>86</v>
      </c>
      <c r="H537" s="38" t="n">
        <f aca="false">Sens!$H$536*Sens!$H$514</f>
        <v>-114.667272137496</v>
      </c>
      <c r="I537" s="38" t="n">
        <f aca="false">Sens!$I$536*Sens!$I$514</f>
        <v>-85.0154822617633</v>
      </c>
      <c r="J537" s="38" t="n">
        <f aca="false">Sens!$J$536*Sens!$J$514</f>
        <v>-59.9503278253235</v>
      </c>
      <c r="K537" s="38" t="n">
        <f aca="false">Sens!$K$536*Sens!$K$514</f>
        <v>-8.32412175032694</v>
      </c>
      <c r="L537" s="38" t="n">
        <f aca="false">Sens!$L$536*Sens!$L$514</f>
        <v>13.2513366619549</v>
      </c>
      <c r="M537" s="38" t="n">
        <f aca="false">Sens!$M$536*Sens!$M$514</f>
        <v>15.9303000247971</v>
      </c>
    </row>
    <row r="538" customFormat="false" ht="17.15" hidden="false" customHeight="false" outlineLevel="0" collapsed="false">
      <c r="A538" s="5" t="s">
        <v>957</v>
      </c>
      <c r="B538" s="0" t="s">
        <v>86</v>
      </c>
      <c r="C538" s="38" t="n">
        <f aca="false">Sens!$M$375*(1-tax)*(1+tg)*(1-tg/ronic)/(wacc-tg)</f>
        <v>112.384516257359</v>
      </c>
    </row>
    <row r="539" customFormat="false" ht="17.15" hidden="false" customHeight="false" outlineLevel="0" collapsed="false">
      <c r="A539" s="0" t="s">
        <v>958</v>
      </c>
      <c r="B539" s="0" t="s">
        <v>86</v>
      </c>
      <c r="C539" s="38" t="n">
        <f aca="false">(SUM(Sens!$I$537:$M$537)+Sens!$C$538/(1+wacc)^6)*(1+wacc)^tp_yf</f>
        <v>-71.0848665672217</v>
      </c>
    </row>
    <row r="540" customFormat="false" ht="17.15" hidden="false" customHeight="false" outlineLevel="0" collapsed="false">
      <c r="A540" s="5" t="s">
        <v>959</v>
      </c>
      <c r="B540" s="0" t="s">
        <v>86</v>
      </c>
      <c r="C540" s="38" t="n">
        <f aca="false">(1-tp_yf)*(Sens!$H$457)+tp_yf*(Sens!$I$457)</f>
        <v>62.206266041067</v>
      </c>
    </row>
    <row r="541" customFormat="false" ht="17.15" hidden="false" customHeight="false" outlineLevel="0" collapsed="false">
      <c r="A541" s="5" t="s">
        <v>960</v>
      </c>
      <c r="B541" s="0" t="s">
        <v>86</v>
      </c>
      <c r="C541" s="38" t="n">
        <f aca="false">Sens!$C$540*m_ai</f>
        <v>373.237596246402</v>
      </c>
    </row>
    <row r="542" customFormat="false" ht="17.15" hidden="false" customHeight="false" outlineLevel="0" collapsed="false">
      <c r="A542" s="0" t="s">
        <v>961</v>
      </c>
      <c r="B542" s="0" t="s">
        <v>86</v>
      </c>
      <c r="C542" s="38" t="n">
        <f aca="false">IF(ai_leg=1,Sens!$C$539,Sens!$C$541)</f>
        <v>-71.0848665672217</v>
      </c>
    </row>
    <row r="543" customFormat="false" ht="17.15" hidden="false" customHeight="false" outlineLevel="0" collapsed="false">
      <c r="A543" s="5" t="s">
        <v>962</v>
      </c>
      <c r="B543" s="0" t="s">
        <v>86</v>
      </c>
      <c r="C543" s="38" t="n">
        <f aca="false">Sens!$C$529+Sens!$C$532+Sens!$C$535+Sens!$C$542</f>
        <v>2731.99545099469</v>
      </c>
    </row>
    <row r="544" customFormat="false" ht="17.15" hidden="false" customHeight="false" outlineLevel="0" collapsed="false">
      <c r="A544" s="5" t="s">
        <v>963</v>
      </c>
      <c r="B544" s="0" t="s">
        <v>86</v>
      </c>
      <c r="C544" s="38" t="n">
        <f aca="false">Sens!$H$497+fin_debt</f>
        <v>149.970970415957</v>
      </c>
    </row>
    <row r="545" customFormat="false" ht="15" hidden="false" customHeight="false" outlineLevel="0" collapsed="false">
      <c r="A545" s="5" t="s">
        <v>964</v>
      </c>
      <c r="B545" s="0" t="s">
        <v>86</v>
      </c>
      <c r="C545" s="38" t="n">
        <f aca="false">Sens!$C$543-Sens!$C$544+Sens!$C$522</f>
        <v>2760.96848057873</v>
      </c>
    </row>
    <row r="546" customFormat="false" ht="15" hidden="false" customHeight="false" outlineLevel="0" collapsed="false">
      <c r="A546" s="3" t="s">
        <v>965</v>
      </c>
      <c r="B546" s="8" t="s">
        <v>27</v>
      </c>
      <c r="C546" s="30" t="n">
        <f aca="false">Sens!$C$545/sh_val</f>
        <v>250.307333098472</v>
      </c>
    </row>
    <row r="547" customFormat="false" ht="17.15" hidden="false" customHeight="false" outlineLevel="0" collapsed="false">
      <c r="A547" s="47" t="s">
        <v>966</v>
      </c>
      <c r="B547" s="14" t="s">
        <v>27</v>
      </c>
      <c r="C547" s="44" t="n">
        <f aca="false">w_dcf*Sens!$C$525+(1-w_dcf)*Sens!$C$546</f>
        <v>183.829838867496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</row>
    <row r="548" customFormat="false" ht="17.15" hidden="false" customHeight="false" outlineLevel="0" collapsed="false">
      <c r="A548" s="5" t="s">
        <v>967</v>
      </c>
      <c r="B548" s="0" t="s">
        <v>27</v>
      </c>
      <c r="C548" s="30" t="n">
        <f aca="false">v022_wdcf*Sens!$C$525+(1-v022_wdcf)*Sens!$C$546</f>
        <v>190.477588290594</v>
      </c>
    </row>
    <row r="549" customFormat="false" ht="17.15" hidden="false" customHeight="false" outlineLevel="0" collapsed="false">
      <c r="A549" s="5" t="s">
        <v>968</v>
      </c>
      <c r="B549" s="0" t="s">
        <v>27</v>
      </c>
      <c r="C549" s="30" t="n">
        <f aca="false">(Sens!$C$545-Sens!$C$542+Sens!$C$541)/sh_val</f>
        <v>290.589274556677</v>
      </c>
    </row>
    <row r="552" customFormat="false" ht="19.4" hidden="false" customHeight="false" outlineLevel="0" collapsed="false">
      <c r="A552" s="31" t="s">
        <v>1162</v>
      </c>
    </row>
    <row r="553" customFormat="false" ht="17.15" hidden="false" customHeight="false" outlineLevel="0" collapsed="false">
      <c r="A553" s="6" t="s">
        <v>16</v>
      </c>
      <c r="B553" s="6" t="s">
        <v>17</v>
      </c>
      <c r="C553" s="20" t="s">
        <v>504</v>
      </c>
      <c r="D553" s="20" t="s">
        <v>505</v>
      </c>
      <c r="E553" s="20" t="s">
        <v>587</v>
      </c>
      <c r="F553" s="20" t="s">
        <v>588</v>
      </c>
      <c r="G553" s="20" t="s">
        <v>589</v>
      </c>
      <c r="H553" s="20" t="s">
        <v>590</v>
      </c>
      <c r="I553" s="20" t="s">
        <v>591</v>
      </c>
      <c r="J553" s="20" t="s">
        <v>592</v>
      </c>
      <c r="K553" s="20" t="s">
        <v>593</v>
      </c>
      <c r="L553" s="20" t="s">
        <v>594</v>
      </c>
      <c r="M553" s="20" t="s">
        <v>595</v>
      </c>
      <c r="N553" s="20" t="s">
        <v>596</v>
      </c>
      <c r="O553" s="20" t="s">
        <v>597</v>
      </c>
      <c r="P553" s="6" t="s">
        <v>23</v>
      </c>
      <c r="R553" s="20" t="n">
        <v>2023</v>
      </c>
      <c r="S553" s="20" t="n">
        <v>2024</v>
      </c>
      <c r="T553" s="20" t="n">
        <v>2025</v>
      </c>
      <c r="U553" s="20" t="n">
        <v>2026</v>
      </c>
      <c r="V553" s="20" t="n">
        <v>2027</v>
      </c>
      <c r="W553" s="20" t="n">
        <v>2028</v>
      </c>
      <c r="X553" s="20" t="n">
        <v>2029</v>
      </c>
      <c r="Y553" s="20" t="n">
        <v>2030</v>
      </c>
      <c r="Z553" s="20" t="n">
        <v>2031</v>
      </c>
      <c r="AA553" s="20" t="n">
        <v>2032</v>
      </c>
    </row>
    <row r="554" customFormat="false" ht="17.15" hidden="false" customHeight="false" outlineLevel="0" collapsed="false">
      <c r="A554" s="1" t="s">
        <v>677</v>
      </c>
    </row>
    <row r="555" customFormat="false" ht="17.15" hidden="false" customHeight="false" outlineLevel="0" collapsed="false">
      <c r="A555" s="0" t="s">
        <v>526</v>
      </c>
      <c r="B555" s="0" t="s">
        <v>86</v>
      </c>
      <c r="C555" s="38" t="n">
        <f aca="false">Q!$D$10</f>
        <v>247.029</v>
      </c>
      <c r="D555" s="38" t="n">
        <f aca="false">Q!$E$10</f>
        <v>269.287</v>
      </c>
      <c r="E555" s="38" t="n">
        <f aca="false">Q!$P$10</f>
        <v>134.686</v>
      </c>
      <c r="F555" s="38" t="n">
        <f aca="false">Sens!$O$555*(1+Sens!$F$556)*Sens!$F$567</f>
        <v>158.293876822267</v>
      </c>
      <c r="G555" s="38" t="n">
        <f aca="false">Sens!$E$555+Sens!$F$555</f>
        <v>292.979876822267</v>
      </c>
      <c r="H555" s="38" t="n">
        <f aca="false">Sens!$G$555*(1+Sens!$H$556)</f>
        <v>318.184543087396</v>
      </c>
      <c r="I555" s="38" t="n">
        <f aca="false">Sens!$H$555*(1+Sens!$I$556)</f>
        <v>341.736278761793</v>
      </c>
      <c r="J555" s="38" t="n">
        <f aca="false">Sens!$I$555*(1+Sens!$J$556)</f>
        <v>362.927192787048</v>
      </c>
      <c r="K555" s="38" t="n">
        <f aca="false">Sens!$J$555*(1+Sens!$K$556)</f>
        <v>381.0735524264</v>
      </c>
      <c r="L555" s="38" t="n">
        <f aca="false">Sens!$K$555*(1+Sens!$L$556)</f>
        <v>400.12723004772</v>
      </c>
      <c r="M555" s="38" t="n">
        <f aca="false">Sens!$L$555*(1+Sens!$M$556)</f>
        <v>420.133591550106</v>
      </c>
      <c r="N555" s="38" t="n">
        <f aca="false">Q!$N$10</f>
        <v>118.892</v>
      </c>
      <c r="O555" s="38" t="n">
        <f aca="false">Q!$O$10</f>
        <v>150.395</v>
      </c>
      <c r="P555" s="8" t="s">
        <v>678</v>
      </c>
    </row>
    <row r="556" customFormat="false" ht="17.15" hidden="false" customHeight="false" outlineLevel="0" collapsed="false">
      <c r="A556" s="0" t="s">
        <v>679</v>
      </c>
      <c r="B556" s="0" t="s">
        <v>52</v>
      </c>
      <c r="E556" s="13" t="n">
        <f aca="false">Sens!$E$555/Sens!$N$555-1</f>
        <v>0.132843252699929</v>
      </c>
      <c r="F556" s="13" t="n">
        <f aca="false">Sens!$O$555/(Q!$F$10+Q!$G$10)-1</f>
        <v>0.0980382135842941</v>
      </c>
      <c r="G556" s="13" t="n">
        <f aca="false">Sens!$G$555/Sens!$D$555-1</f>
        <v>0.0879837378791657</v>
      </c>
      <c r="H556" s="13" t="n">
        <f aca="false">Sens!$F$556+(g_os-Sens!$F$556)*1/4</f>
        <v>0.0860286601882206</v>
      </c>
      <c r="I556" s="13" t="n">
        <f aca="false">Sens!$F$556+(g_os-Sens!$F$556)*2/4</f>
        <v>0.074019106792147</v>
      </c>
      <c r="J556" s="13" t="n">
        <f aca="false">Sens!$F$556+(g_os-Sens!$F$556)*3/4</f>
        <v>0.0620095533960735</v>
      </c>
      <c r="K556" s="13" t="n">
        <f aca="false">Sens!$F$556+(g_os-Sens!$F$556)*4/4</f>
        <v>0.05</v>
      </c>
      <c r="L556" s="13" t="n">
        <f aca="false">g_os</f>
        <v>0.05</v>
      </c>
      <c r="M556" s="13" t="n">
        <f aca="false">g_os</f>
        <v>0.05</v>
      </c>
      <c r="P556" s="8" t="s">
        <v>680</v>
      </c>
    </row>
    <row r="557" customFormat="false" ht="17.15" hidden="false" customHeight="false" outlineLevel="0" collapsed="false">
      <c r="A557" s="0" t="s">
        <v>527</v>
      </c>
      <c r="B557" s="0" t="s">
        <v>86</v>
      </c>
      <c r="C557" s="38" t="n">
        <f aca="false">Q!$D$11</f>
        <v>21.215</v>
      </c>
      <c r="D557" s="38" t="n">
        <f aca="false">Q!$E$11</f>
        <v>22.561</v>
      </c>
      <c r="E557" s="38" t="n">
        <f aca="false">Q!$P$11</f>
        <v>11.579</v>
      </c>
      <c r="F557" s="38" t="n">
        <f aca="false">Sens!$O$557*(1+Sens!$F$558)*Sens!$F$567</f>
        <v>11.5938724610325</v>
      </c>
      <c r="G557" s="38" t="n">
        <f aca="false">Sens!$E$557+Sens!$F$557</f>
        <v>23.1728724610325</v>
      </c>
      <c r="H557" s="38" t="n">
        <f aca="false">Sens!$G$557*(1+Sens!$H$558)</f>
        <v>24.353392759506</v>
      </c>
      <c r="I557" s="38" t="n">
        <f aca="false">Sens!$H$557*(1+Sens!$I$558)</f>
        <v>25.4240338872015</v>
      </c>
      <c r="J557" s="38" t="n">
        <f aca="false">Sens!$I$557*(1+Sens!$J$558)</f>
        <v>26.3642491017174</v>
      </c>
      <c r="K557" s="38" t="n">
        <f aca="false">Sens!$J$557*(1+Sens!$K$558)</f>
        <v>27.155176574769</v>
      </c>
      <c r="L557" s="38" t="n">
        <f aca="false">Sens!$K$557*(1+Sens!$L$558)</f>
        <v>27.969831872012</v>
      </c>
      <c r="M557" s="38" t="n">
        <f aca="false">Sens!$L$557*(1+Sens!$M$558)</f>
        <v>28.8089268281724</v>
      </c>
      <c r="N557" s="38" t="n">
        <f aca="false">Q!$N$11</f>
        <v>11.128</v>
      </c>
      <c r="O557" s="38" t="n">
        <f aca="false">Q!$O$11</f>
        <v>11.433</v>
      </c>
      <c r="P557" s="8" t="s">
        <v>678</v>
      </c>
    </row>
    <row r="558" customFormat="false" ht="17.15" hidden="false" customHeight="false" outlineLevel="0" collapsed="false">
      <c r="A558" s="0" t="s">
        <v>681</v>
      </c>
      <c r="B558" s="0" t="s">
        <v>52</v>
      </c>
      <c r="E558" s="13" t="n">
        <f aca="false">Sens!$E$557/Sens!$N$557-1</f>
        <v>0.0405283968368082</v>
      </c>
      <c r="F558" s="13" t="n">
        <f aca="false">Sens!$O$557/(Q!$F$11+Q!$G$11)-1</f>
        <v>0.0579254187100955</v>
      </c>
      <c r="G558" s="13" t="n">
        <f aca="false">Sens!$G$557/Sens!$D$557-1</f>
        <v>0.0271208040881397</v>
      </c>
      <c r="H558" s="13" t="n">
        <f aca="false">Sens!$F$558+(g_ps-Sens!$F$558)*1/4</f>
        <v>0.0509440640325716</v>
      </c>
      <c r="I558" s="13" t="n">
        <f aca="false">Sens!$F$558+(g_ps-Sens!$F$558)*2/4</f>
        <v>0.0439627093550477</v>
      </c>
      <c r="J558" s="13" t="n">
        <f aca="false">Sens!$F$558+(g_ps-Sens!$F$558)*3/4</f>
        <v>0.0369813546775239</v>
      </c>
      <c r="K558" s="13" t="n">
        <f aca="false">Sens!$F$558+(g_ps-Sens!$F$558)*4/4</f>
        <v>0.03</v>
      </c>
      <c r="L558" s="13" t="n">
        <f aca="false">g_ps</f>
        <v>0.03</v>
      </c>
      <c r="M558" s="13" t="n">
        <f aca="false">g_ps</f>
        <v>0.03</v>
      </c>
      <c r="P558" s="8" t="s">
        <v>682</v>
      </c>
    </row>
    <row r="559" customFormat="false" ht="17.15" hidden="false" customHeight="false" outlineLevel="0" collapsed="false">
      <c r="A559" s="0" t="s">
        <v>528</v>
      </c>
      <c r="B559" s="0" t="s">
        <v>86</v>
      </c>
      <c r="C559" s="38" t="n">
        <f aca="false">Q!$D$12</f>
        <v>156.146</v>
      </c>
      <c r="D559" s="38" t="n">
        <f aca="false">Q!$E$12</f>
        <v>172.162</v>
      </c>
      <c r="E559" s="38" t="n">
        <f aca="false">Q!$P$12</f>
        <v>88.358</v>
      </c>
      <c r="F559" s="38" t="n">
        <f aca="false">Sens!$O$559*(1+Sens!$F$560)*Sens!$F$567</f>
        <v>102.004388260171</v>
      </c>
      <c r="G559" s="38" t="n">
        <f aca="false">Sens!$E$559+Sens!$F$559</f>
        <v>190.362388260171</v>
      </c>
      <c r="H559" s="38" t="n">
        <f aca="false">Sens!$G$559*(1+Sens!$H$560)</f>
        <v>210.343106588311</v>
      </c>
      <c r="I559" s="38" t="n">
        <f aca="false">Sens!$H$559*(1+Sens!$I$560)</f>
        <v>229.969728494648</v>
      </c>
      <c r="J559" s="38" t="n">
        <f aca="false">Sens!$I$559*(1+Sens!$J$560)</f>
        <v>248.747636972598</v>
      </c>
      <c r="K559" s="38" t="n">
        <f aca="false">Sens!$J$559*(1+Sens!$K$560)</f>
        <v>266.15997156068</v>
      </c>
      <c r="L559" s="38" t="n">
        <f aca="false">Sens!$K$559*(1+Sens!$L$560)</f>
        <v>284.791169569927</v>
      </c>
      <c r="M559" s="38" t="n">
        <f aca="false">Sens!$L$559*(1+Sens!$M$560)</f>
        <v>304.726551439822</v>
      </c>
      <c r="N559" s="38" t="n">
        <f aca="false">Q!$N$12</f>
        <v>76.86</v>
      </c>
      <c r="O559" s="38" t="n">
        <f aca="false">Q!$O$12</f>
        <v>95.302</v>
      </c>
      <c r="P559" s="8" t="s">
        <v>678</v>
      </c>
    </row>
    <row r="560" customFormat="false" ht="17.15" hidden="false" customHeight="false" outlineLevel="0" collapsed="false">
      <c r="A560" s="0" t="s">
        <v>683</v>
      </c>
      <c r="B560" s="0" t="s">
        <v>52</v>
      </c>
      <c r="E560" s="13" t="n">
        <f aca="false">Sens!$E$559/Sens!$N$559-1</f>
        <v>0.1495966692688</v>
      </c>
      <c r="F560" s="13" t="n">
        <f aca="false">Sens!$O$559/(Q!$F$12+Q!$G$12)-1</f>
        <v>0.11661530890813</v>
      </c>
      <c r="G560" s="13" t="n">
        <f aca="false">Sens!$G$559/Sens!$D$559-1</f>
        <v>0.105716640490767</v>
      </c>
      <c r="H560" s="13" t="n">
        <f aca="false">Sens!$F$560+(g_sp-Sens!$F$560)*1/4</f>
        <v>0.104961481681098</v>
      </c>
      <c r="I560" s="13" t="n">
        <f aca="false">Sens!$F$560+(g_sp-Sens!$F$560)*2/4</f>
        <v>0.0933076544540651</v>
      </c>
      <c r="J560" s="13" t="n">
        <f aca="false">Sens!$F$560+(g_sp-Sens!$F$560)*3/4</f>
        <v>0.0816538272270325</v>
      </c>
      <c r="K560" s="13" t="n">
        <f aca="false">Sens!$F$560+(g_sp-Sens!$F$560)*4/4</f>
        <v>0.07</v>
      </c>
      <c r="L560" s="13" t="n">
        <f aca="false">g_sp</f>
        <v>0.07</v>
      </c>
      <c r="M560" s="13" t="n">
        <f aca="false">g_sp</f>
        <v>0.07</v>
      </c>
      <c r="P560" s="8" t="s">
        <v>684</v>
      </c>
    </row>
    <row r="561" customFormat="false" ht="17.15" hidden="false" customHeight="false" outlineLevel="0" collapsed="false">
      <c r="A561" s="0" t="s">
        <v>529</v>
      </c>
      <c r="B561" s="0" t="s">
        <v>86</v>
      </c>
      <c r="C561" s="38" t="n">
        <f aca="false">Q!$D$13</f>
        <v>56.214</v>
      </c>
      <c r="D561" s="38" t="n">
        <f aca="false">Q!$E$13</f>
        <v>68.635</v>
      </c>
      <c r="E561" s="38" t="n">
        <f aca="false">Q!$P$13</f>
        <v>37.052</v>
      </c>
      <c r="F561" s="38" t="n">
        <f aca="false">Sens!$O$561*(1+Sens!$F$562)*Sens!$F$567</f>
        <v>46.1572219944148</v>
      </c>
      <c r="G561" s="38" t="n">
        <f aca="false">Sens!$E$561+Sens!$F$561</f>
        <v>83.2092219944148</v>
      </c>
      <c r="H561" s="38" t="n">
        <f aca="false">Sens!$G$561*(1+Sens!$H$562)</f>
        <v>99.8969223878976</v>
      </c>
      <c r="I561" s="38" t="n">
        <f aca="false">Sens!$H$561*(1+Sens!$I$562)</f>
        <v>116.583111095496</v>
      </c>
      <c r="J561" s="38" t="n">
        <f aca="false">Sens!$I$561*(1+Sens!$J$562)</f>
        <v>132.148941941952</v>
      </c>
      <c r="K561" s="38" t="n">
        <f aca="false">Sens!$J$561*(1+Sens!$K$562)</f>
        <v>145.363836136147</v>
      </c>
      <c r="L561" s="38" t="n">
        <f aca="false">Sens!$K$561*(1+Sens!$L$562)</f>
        <v>159.900219749762</v>
      </c>
      <c r="M561" s="38" t="n">
        <f aca="false">Sens!$L$561*(1+Sens!$M$562)</f>
        <v>175.890241724738</v>
      </c>
      <c r="N561" s="38" t="n">
        <f aca="false">Q!$N$13</f>
        <v>29.615</v>
      </c>
      <c r="O561" s="38" t="n">
        <f aca="false">Q!$O$13</f>
        <v>39.02</v>
      </c>
      <c r="P561" s="8" t="s">
        <v>678</v>
      </c>
    </row>
    <row r="562" customFormat="false" ht="17.15" hidden="false" customHeight="false" outlineLevel="0" collapsed="false">
      <c r="A562" s="0" t="s">
        <v>685</v>
      </c>
      <c r="B562" s="0" t="s">
        <v>52</v>
      </c>
      <c r="E562" s="13" t="n">
        <f aca="false">Sens!$E$561/Sens!$N$561-1</f>
        <v>0.25112274185379</v>
      </c>
      <c r="F562" s="13" t="n">
        <f aca="false">Sens!$O$561/(Q!$F$13+Q!$G$13)-1</f>
        <v>0.234068123596572</v>
      </c>
      <c r="G562" s="13" t="n">
        <f aca="false">Sens!$G$561/Sens!$D$561-1</f>
        <v>0.212343876949294</v>
      </c>
      <c r="H562" s="13" t="n">
        <f aca="false">Sens!$F$562+(g_ad-Sens!$F$562)*1/4</f>
        <v>0.200551092697429</v>
      </c>
      <c r="I562" s="13" t="n">
        <f aca="false">Sens!$F$562+(g_ad-Sens!$F$562)*2/4</f>
        <v>0.167034061798286</v>
      </c>
      <c r="J562" s="13" t="n">
        <f aca="false">Sens!$F$562+(g_ad-Sens!$F$562)*3/4</f>
        <v>0.133517030899143</v>
      </c>
      <c r="K562" s="13" t="n">
        <f aca="false">Sens!$F$562+(g_ad-Sens!$F$562)*4/4</f>
        <v>0.1</v>
      </c>
      <c r="L562" s="13" t="n">
        <f aca="false">g_ad</f>
        <v>0.1</v>
      </c>
      <c r="M562" s="13" t="n">
        <f aca="false">g_ad</f>
        <v>0.1</v>
      </c>
      <c r="P562" s="8" t="s">
        <v>686</v>
      </c>
    </row>
    <row r="563" customFormat="false" ht="17.15" hidden="false" customHeight="false" outlineLevel="0" collapsed="false">
      <c r="A563" s="0" t="s">
        <v>530</v>
      </c>
      <c r="B563" s="0" t="s">
        <v>86</v>
      </c>
      <c r="C563" s="38" t="n">
        <f aca="false">Q!$D$14</f>
        <v>44.374</v>
      </c>
      <c r="D563" s="38" t="n">
        <f aca="false">Q!$E$14</f>
        <v>49.619</v>
      </c>
      <c r="E563" s="38" t="n">
        <f aca="false">Q!$P$14</f>
        <v>27.157</v>
      </c>
      <c r="F563" s="38" t="n">
        <f aca="false">Sens!$O$563*(1+Sens!$F$564)*Sens!$F$567</f>
        <v>27.7764165988154</v>
      </c>
      <c r="G563" s="38" t="n">
        <f aca="false">Sens!$E$563+Sens!$F$563</f>
        <v>54.9334165988154</v>
      </c>
      <c r="H563" s="38" t="n">
        <f aca="false">Sens!$G$563*(1+Sens!$H$564)</f>
        <v>61.1564112561829</v>
      </c>
      <c r="I563" s="38" t="n">
        <f aca="false">Sens!$H$563*(1+Sens!$I$564)</f>
        <v>67.2020282103945</v>
      </c>
      <c r="J563" s="38" t="n">
        <f aca="false">Sens!$I$563*(1+Sens!$J$564)</f>
        <v>72.8757274028885</v>
      </c>
      <c r="K563" s="38" t="n">
        <f aca="false">Sens!$J$563*(1+Sens!$K$564)</f>
        <v>77.9770283210907</v>
      </c>
      <c r="L563" s="38" t="n">
        <f aca="false">Sens!$K$563*(1+Sens!$L$564)</f>
        <v>83.4354203035671</v>
      </c>
      <c r="M563" s="38" t="n">
        <f aca="false">Sens!$L$563*(1+Sens!$M$564)</f>
        <v>89.2758997248168</v>
      </c>
      <c r="N563" s="38" t="n">
        <f aca="false">Q!$N$14</f>
        <v>23.923</v>
      </c>
      <c r="O563" s="38" t="n">
        <f aca="false">Q!$O$14</f>
        <v>25.696</v>
      </c>
      <c r="P563" s="8" t="s">
        <v>678</v>
      </c>
    </row>
    <row r="564" customFormat="false" ht="17.15" hidden="false" customHeight="false" outlineLevel="0" collapsed="false">
      <c r="A564" s="0" t="s">
        <v>687</v>
      </c>
      <c r="B564" s="0" t="s">
        <v>52</v>
      </c>
      <c r="E564" s="13" t="n">
        <f aca="false">Sens!$E$563/Sens!$N$563-1</f>
        <v>0.135183714417088</v>
      </c>
      <c r="F564" s="13" t="n">
        <f aca="false">Sens!$O$563/(Q!$F$14+Q!$G$14)-1</f>
        <v>0.127709997366804</v>
      </c>
      <c r="G564" s="13" t="n">
        <f aca="false">Sens!$G$563/Sens!$D$563-1</f>
        <v>0.107104468022641</v>
      </c>
      <c r="H564" s="13" t="n">
        <f aca="false">Sens!$F$564+(g_sub-Sens!$F$564)*1/4</f>
        <v>0.113282498025103</v>
      </c>
      <c r="I564" s="13" t="n">
        <f aca="false">Sens!$F$564+(g_sub-Sens!$F$564)*2/4</f>
        <v>0.0988549986834021</v>
      </c>
      <c r="J564" s="13" t="n">
        <f aca="false">Sens!$F$564+(g_sub-Sens!$F$564)*3/4</f>
        <v>0.084427499341701</v>
      </c>
      <c r="K564" s="13" t="n">
        <f aca="false">Sens!$F$564+(g_sub-Sens!$F$564)*4/4</f>
        <v>0.07</v>
      </c>
      <c r="L564" s="13" t="n">
        <f aca="false">g_sub</f>
        <v>0.07</v>
      </c>
      <c r="M564" s="13" t="n">
        <f aca="false">g_sub</f>
        <v>0.07</v>
      </c>
      <c r="P564" s="8" t="s">
        <v>688</v>
      </c>
    </row>
    <row r="565" customFormat="false" ht="17.15" hidden="false" customHeight="false" outlineLevel="0" collapsed="false">
      <c r="A565" s="0" t="s">
        <v>531</v>
      </c>
      <c r="B565" s="0" t="s">
        <v>86</v>
      </c>
      <c r="C565" s="38" t="n">
        <f aca="false">Q!$D$15</f>
        <v>5.425</v>
      </c>
      <c r="D565" s="38" t="n">
        <f aca="false">Q!$E$15</f>
        <v>5.935</v>
      </c>
      <c r="E565" s="38" t="n">
        <f aca="false">Q!$P$15</f>
        <v>3.474</v>
      </c>
      <c r="F565" s="38" t="n">
        <f aca="false">Sens!$O$565*(1+Sens!$F$566)*Sens!$F$567</f>
        <v>3.22246550883619</v>
      </c>
      <c r="G565" s="38" t="n">
        <f aca="false">Sens!$E$565+Sens!$F$565</f>
        <v>6.69646550883619</v>
      </c>
      <c r="H565" s="38" t="n">
        <f aca="false">Sens!$G$565*(1+Sens!$H$566)</f>
        <v>7.16251344209196</v>
      </c>
      <c r="I565" s="38" t="n">
        <f aca="false">Sens!$H$565*(1+Sens!$I$566)</f>
        <v>7.61421070299826</v>
      </c>
      <c r="J565" s="38" t="n">
        <f aca="false">Sens!$I$565*(1+Sens!$J$566)</f>
        <v>8.04465753523932</v>
      </c>
      <c r="K565" s="38" t="n">
        <f aca="false">Sens!$J$565*(1+Sens!$K$566)</f>
        <v>8.44689041200128</v>
      </c>
      <c r="L565" s="38" t="n">
        <f aca="false">Sens!$K$565*(1+Sens!$L$566)</f>
        <v>8.86923493260135</v>
      </c>
      <c r="M565" s="38" t="n">
        <f aca="false">Sens!$L$565*(1+Sens!$M$566)</f>
        <v>9.31269667923142</v>
      </c>
      <c r="N565" s="38" t="n">
        <f aca="false">Q!$N$15</f>
        <v>2.811</v>
      </c>
      <c r="O565" s="38" t="n">
        <f aca="false">Q!$O$15</f>
        <v>3.124</v>
      </c>
      <c r="P565" s="8" t="s">
        <v>678</v>
      </c>
    </row>
    <row r="566" customFormat="false" ht="17.15" hidden="false" customHeight="false" outlineLevel="0" collapsed="false">
      <c r="A566" s="0" t="s">
        <v>689</v>
      </c>
      <c r="B566" s="0" t="s">
        <v>52</v>
      </c>
      <c r="E566" s="13" t="n">
        <f aca="false">Sens!$E$565/Sens!$N$565-1</f>
        <v>0.235859124866596</v>
      </c>
      <c r="F566" s="13" t="n">
        <f aca="false">Sens!$O$565/(Q!$F$15+Q!$G$15)-1</f>
        <v>0.0761281433000345</v>
      </c>
      <c r="G566" s="13" t="n">
        <f aca="false">Sens!$G$565/Sens!$D$565-1</f>
        <v>0.128300843948811</v>
      </c>
      <c r="H566" s="13" t="n">
        <f aca="false">Sens!$F$566+(g_ot-Sens!$F$566)*1/4</f>
        <v>0.0695961074750259</v>
      </c>
      <c r="I566" s="13" t="n">
        <f aca="false">Sens!$F$566+(g_ot-Sens!$F$566)*2/4</f>
        <v>0.0630640716500172</v>
      </c>
      <c r="J566" s="13" t="n">
        <f aca="false">Sens!$F$566+(g_ot-Sens!$F$566)*3/4</f>
        <v>0.0565320358250086</v>
      </c>
      <c r="K566" s="13" t="n">
        <f aca="false">Sens!$F$566+(g_ot-Sens!$F$566)*4/4</f>
        <v>0.05</v>
      </c>
      <c r="L566" s="13" t="n">
        <f aca="false">g_ot</f>
        <v>0.05</v>
      </c>
      <c r="M566" s="13" t="n">
        <f aca="false">g_ot</f>
        <v>0.05</v>
      </c>
      <c r="P566" s="8" t="s">
        <v>690</v>
      </c>
    </row>
    <row r="567" customFormat="false" ht="17.15" hidden="false" customHeight="false" outlineLevel="0" collapsed="false">
      <c r="A567" s="0" t="s">
        <v>691</v>
      </c>
      <c r="B567" s="0" t="s">
        <v>57</v>
      </c>
      <c r="F567" s="40" t="n">
        <f aca="false">(g26q3_mid*Q!$O$8/Q!$J$8-Thesis!$F$89-Thesis!$F$93)/(Sens!$O$555*(1+Sens!$F$556)+Sens!$O$557*(1+Sens!$F$558)+Sens!$O$559*(1+Sens!$F$560)+Sens!$O$561*(1+Sens!$F$562)+Sens!$O$563*(1+Sens!$F$564)+Sens!$O$565*(1+Sens!$F$566))</f>
        <v>0.958546670622329</v>
      </c>
      <c r="P567" s="8" t="s">
        <v>692</v>
      </c>
    </row>
    <row r="568" customFormat="false" ht="17.15" hidden="false" customHeight="false" outlineLevel="0" collapsed="false">
      <c r="A568" s="3" t="s">
        <v>693</v>
      </c>
      <c r="B568" s="8" t="s">
        <v>86</v>
      </c>
      <c r="C568" s="38" t="n">
        <f aca="false">Sens!$C$555+Sens!$C$557+Sens!$C$559+Sens!$C$561+Sens!$C$563+Sens!$C$565</f>
        <v>530.403</v>
      </c>
      <c r="D568" s="38" t="n">
        <f aca="false">Sens!$D$555+Sens!$D$557+Sens!$D$559+Sens!$D$561+Sens!$D$563+Sens!$D$565</f>
        <v>588.199</v>
      </c>
      <c r="E568" s="38" t="n">
        <f aca="false">Sens!$E$555+Sens!$E$557+Sens!$E$559+Sens!$E$561+Sens!$E$563+Sens!$E$565</f>
        <v>302.306</v>
      </c>
      <c r="F568" s="38" t="n">
        <f aca="false">Sens!$F$555+Sens!$F$557+Sens!$F$559+Sens!$F$561+Sens!$F$563+Sens!$F$565</f>
        <v>349.048241645537</v>
      </c>
      <c r="G568" s="38" t="n">
        <f aca="false">Sens!$G$555+Sens!$G$557+Sens!$G$559+Sens!$G$561+Sens!$G$563+Sens!$G$565</f>
        <v>651.354241645537</v>
      </c>
      <c r="H568" s="38" t="n">
        <f aca="false">Sens!$H$555+Sens!$H$557+Sens!$H$559+Sens!$H$561+Sens!$H$563+Sens!$H$565</f>
        <v>721.096889521386</v>
      </c>
      <c r="I568" s="38" t="n">
        <f aca="false">Sens!$I$555+Sens!$I$557+Sens!$I$559+Sens!$I$561+Sens!$I$563+Sens!$I$565</f>
        <v>788.529391152531</v>
      </c>
      <c r="J568" s="38" t="n">
        <f aca="false">Sens!$J$555+Sens!$J$557+Sens!$J$559+Sens!$J$561+Sens!$J$563+Sens!$J$565</f>
        <v>851.108405741443</v>
      </c>
      <c r="K568" s="38" t="n">
        <f aca="false">Sens!$K$555+Sens!$K$557+Sens!$K$559+Sens!$K$561+Sens!$K$563+Sens!$K$565</f>
        <v>906.176455431088</v>
      </c>
      <c r="L568" s="38" t="n">
        <f aca="false">Sens!$L$555+Sens!$L$557+Sens!$L$559+Sens!$L$561+Sens!$L$563+Sens!$L$565</f>
        <v>965.093106475589</v>
      </c>
      <c r="M568" s="38" t="n">
        <f aca="false">Sens!$M$555+Sens!$M$557+Sens!$M$559+Sens!$M$561+Sens!$M$563+Sens!$M$565</f>
        <v>1028.14790794689</v>
      </c>
      <c r="N568" s="38" t="n">
        <f aca="false">Sens!$N$555+Sens!$N$557+Sens!$N$559+Sens!$N$561+Sens!$N$563+Sens!$N$565</f>
        <v>263.229</v>
      </c>
      <c r="O568" s="38" t="n">
        <f aca="false">Sens!$O$555+Sens!$O$557+Sens!$O$559+Sens!$O$561+Sens!$O$563+Sens!$O$565</f>
        <v>324.97</v>
      </c>
    </row>
    <row r="569" customFormat="false" ht="17.15" hidden="false" customHeight="false" outlineLevel="0" collapsed="false">
      <c r="A569" s="5" t="s">
        <v>694</v>
      </c>
      <c r="B569" s="0" t="s">
        <v>52</v>
      </c>
      <c r="C569" s="13" t="n">
        <f aca="false">Q!$D$5/(Q!$D$5+Q!$D$6)</f>
        <v>0.730570905519011</v>
      </c>
      <c r="D569" s="13" t="n">
        <f aca="false">Q!$E$5/(Q!$E$5+Q!$E$6)</f>
        <v>0.724763217890544</v>
      </c>
      <c r="E569" s="13" t="n">
        <f aca="false">Q!$P$5/(Q!$P$5+Q!$P$6)</f>
        <v>0.728797972914861</v>
      </c>
      <c r="F569" s="13" t="n">
        <f aca="false">Sens!$O$569</f>
        <v>0.718066283041511</v>
      </c>
      <c r="G569" s="13" t="n">
        <f aca="false">Sens!$G$570/Sens!$G$568</f>
        <v>0.723047066202847</v>
      </c>
      <c r="H569" s="13" t="n">
        <f aca="false">Sens!$G$569</f>
        <v>0.723047066202847</v>
      </c>
      <c r="I569" s="13" t="n">
        <f aca="false">Sens!$G$569</f>
        <v>0.723047066202847</v>
      </c>
      <c r="J569" s="13" t="n">
        <f aca="false">Sens!$G$569</f>
        <v>0.723047066202847</v>
      </c>
      <c r="K569" s="13" t="n">
        <f aca="false">Sens!$G$569</f>
        <v>0.723047066202847</v>
      </c>
      <c r="L569" s="13" t="n">
        <f aca="false">Sens!$G$569</f>
        <v>0.723047066202847</v>
      </c>
      <c r="M569" s="13" t="n">
        <f aca="false">Sens!$G$569</f>
        <v>0.723047066202847</v>
      </c>
      <c r="N569" s="13" t="n">
        <f aca="false">Q!$N$5/(Q!$N$5+Q!$N$6)</f>
        <v>0.733030935041352</v>
      </c>
      <c r="O569" s="13" t="n">
        <f aca="false">Q!$O$5/(Q!$O$5+Q!$O$6)</f>
        <v>0.718066283041511</v>
      </c>
      <c r="P569" s="8" t="s">
        <v>695</v>
      </c>
    </row>
    <row r="570" customFormat="false" ht="17.15" hidden="false" customHeight="false" outlineLevel="0" collapsed="false">
      <c r="A570" s="1" t="s">
        <v>519</v>
      </c>
      <c r="B570" s="8" t="s">
        <v>86</v>
      </c>
      <c r="C570" s="38" t="n">
        <f aca="false">Q!$D$5</f>
        <v>387.497</v>
      </c>
      <c r="D570" s="38" t="n">
        <f aca="false">Q!$E$5</f>
        <v>426.305</v>
      </c>
      <c r="E570" s="38" t="n">
        <f aca="false">Q!$P$5</f>
        <v>220.32</v>
      </c>
      <c r="F570" s="38" t="n">
        <f aca="false">Sens!$F$568*Sens!$F$569</f>
        <v>250.639773480586</v>
      </c>
      <c r="G570" s="38" t="n">
        <f aca="false">Sens!$E$570+Sens!$F$570</f>
        <v>470.959773480586</v>
      </c>
      <c r="H570" s="38" t="n">
        <f aca="false">Sens!$H$568*Sens!$H$569</f>
        <v>521.386990416437</v>
      </c>
      <c r="I570" s="38" t="n">
        <f aca="false">Sens!$I$568*Sens!$I$569</f>
        <v>570.143862887555</v>
      </c>
      <c r="J570" s="38" t="n">
        <f aca="false">Sens!$J$568*Sens!$J$569</f>
        <v>615.391435791933</v>
      </c>
      <c r="K570" s="38" t="n">
        <f aca="false">Sens!$K$568*Sens!$K$569</f>
        <v>655.208227561543</v>
      </c>
      <c r="L570" s="38" t="n">
        <f aca="false">Sens!$L$568*Sens!$L$569</f>
        <v>697.807739249767</v>
      </c>
      <c r="M570" s="38" t="n">
        <f aca="false">Sens!$M$568*Sens!$M$569</f>
        <v>743.399328463592</v>
      </c>
      <c r="N570" s="38" t="n">
        <f aca="false">Q!$N$5</f>
        <v>192.955</v>
      </c>
      <c r="O570" s="38" t="n">
        <f aca="false">Q!$O$5</f>
        <v>233.35</v>
      </c>
      <c r="P570" s="5" t="s">
        <v>696</v>
      </c>
    </row>
    <row r="571" customFormat="false" ht="17.15" hidden="false" customHeight="false" outlineLevel="0" collapsed="false">
      <c r="A571" s="1" t="s">
        <v>522</v>
      </c>
      <c r="B571" s="8" t="s">
        <v>86</v>
      </c>
      <c r="C571" s="38" t="n">
        <f aca="false">Q!$D$6</f>
        <v>142.906</v>
      </c>
      <c r="D571" s="38" t="n">
        <f aca="false">Q!$E$6</f>
        <v>161.894</v>
      </c>
      <c r="E571" s="38" t="n">
        <f aca="false">Q!$P$6</f>
        <v>81.986</v>
      </c>
      <c r="F571" s="38" t="n">
        <f aca="false">Sens!$F$568*(1-Sens!$F$569)</f>
        <v>98.408468164951</v>
      </c>
      <c r="G571" s="38" t="n">
        <f aca="false">Sens!$E$571+Sens!$F$571</f>
        <v>180.394468164951</v>
      </c>
      <c r="H571" s="38" t="n">
        <f aca="false">Sens!$H$568*(1-Sens!$H$569)</f>
        <v>199.709899104949</v>
      </c>
      <c r="I571" s="38" t="n">
        <f aca="false">Sens!$I$568*(1-Sens!$I$569)</f>
        <v>218.385528264976</v>
      </c>
      <c r="J571" s="38" t="n">
        <f aca="false">Sens!$J$568*(1-Sens!$J$569)</f>
        <v>235.71696994951</v>
      </c>
      <c r="K571" s="38" t="n">
        <f aca="false">Sens!$K$568*(1-Sens!$K$569)</f>
        <v>250.968227869545</v>
      </c>
      <c r="L571" s="38" t="n">
        <f aca="false">Sens!$L$568*(1-Sens!$L$569)</f>
        <v>267.285367225822</v>
      </c>
      <c r="M571" s="38" t="n">
        <f aca="false">Sens!$M$568*(1-Sens!$M$569)</f>
        <v>284.748579483295</v>
      </c>
      <c r="N571" s="38" t="n">
        <f aca="false">Q!$N$6</f>
        <v>70.274</v>
      </c>
      <c r="O571" s="38" t="n">
        <f aca="false">Q!$O$6</f>
        <v>91.62</v>
      </c>
      <c r="P571" s="5" t="s">
        <v>697</v>
      </c>
    </row>
    <row r="572" customFormat="false" ht="17.15" hidden="false" customHeight="false" outlineLevel="0" collapsed="false">
      <c r="A572" s="5" t="s">
        <v>698</v>
      </c>
      <c r="B572" s="0" t="s">
        <v>86</v>
      </c>
      <c r="C572" s="38" t="n">
        <f aca="false">Sens!$C$561*Sens!$C$569</f>
        <v>41.0683128828457</v>
      </c>
      <c r="D572" s="38" t="n">
        <f aca="false">Sens!$D$561*Sens!$D$569</f>
        <v>49.7441234599175</v>
      </c>
      <c r="E572" s="38" t="n">
        <f aca="false">Sens!$E$561*Sens!$E$569</f>
        <v>27.0034224924414</v>
      </c>
      <c r="F572" s="38" t="n">
        <f aca="false">Sens!$F$561*Sens!$F$569</f>
        <v>33.1439448330513</v>
      </c>
      <c r="G572" s="38" t="n">
        <f aca="false">Sens!$G$561*Sens!$G$569</f>
        <v>60.164183844083</v>
      </c>
      <c r="H572" s="38" t="n">
        <f aca="false">Sens!$H$561*Sens!$H$569</f>
        <v>72.2301766552629</v>
      </c>
      <c r="I572" s="38" t="n">
        <f aca="false">Sens!$I$561*Sens!$I$569</f>
        <v>84.2950764463991</v>
      </c>
      <c r="J572" s="38" t="n">
        <f aca="false">Sens!$J$561*Sens!$J$569</f>
        <v>95.5499047729386</v>
      </c>
      <c r="K572" s="38" t="n">
        <f aca="false">Sens!$K$561*Sens!$K$569</f>
        <v>105.104895250232</v>
      </c>
      <c r="L572" s="38" t="n">
        <f aca="false">Sens!$L$561*Sens!$L$569</f>
        <v>115.615384775256</v>
      </c>
      <c r="M572" s="38" t="n">
        <f aca="false">Sens!$M$561*Sens!$M$569</f>
        <v>127.176923252781</v>
      </c>
      <c r="N572" s="38" t="n">
        <f aca="false">Sens!$N$561*Sens!$N$569</f>
        <v>21.7087111412496</v>
      </c>
      <c r="O572" s="38" t="n">
        <f aca="false">Sens!$O$561*Sens!$O$569</f>
        <v>28.0189463642798</v>
      </c>
      <c r="P572" s="5" t="s">
        <v>699</v>
      </c>
    </row>
    <row r="573" customFormat="false" ht="15" hidden="false" customHeight="false" outlineLevel="0" collapsed="false">
      <c r="A573" s="5" t="s">
        <v>700</v>
      </c>
      <c r="B573" s="0" t="s">
        <v>86</v>
      </c>
      <c r="C573" s="38" t="n">
        <f aca="false">Sens!$C$561-Sens!$C$572</f>
        <v>15.1456871171543</v>
      </c>
      <c r="D573" s="38" t="n">
        <f aca="false">Sens!$D$561-Sens!$D$572</f>
        <v>18.8908765400825</v>
      </c>
      <c r="E573" s="38" t="n">
        <f aca="false">Sens!$E$561-Sens!$E$572</f>
        <v>10.0485775075586</v>
      </c>
      <c r="F573" s="38" t="n">
        <f aca="false">Sens!$F$561-Sens!$F$572</f>
        <v>13.0132771613635</v>
      </c>
      <c r="G573" s="38" t="n">
        <f aca="false">Sens!$G$561-Sens!$G$572</f>
        <v>23.0450381503318</v>
      </c>
      <c r="H573" s="38" t="n">
        <f aca="false">Sens!$H$561-Sens!$H$572</f>
        <v>27.6667457326347</v>
      </c>
      <c r="I573" s="38" t="n">
        <f aca="false">Sens!$I$561-Sens!$I$572</f>
        <v>32.2880346490971</v>
      </c>
      <c r="J573" s="38" t="n">
        <f aca="false">Sens!$J$561-Sens!$J$572</f>
        <v>36.5990371690132</v>
      </c>
      <c r="K573" s="38" t="n">
        <f aca="false">Sens!$K$561-Sens!$K$572</f>
        <v>40.2589408859145</v>
      </c>
      <c r="L573" s="38" t="n">
        <f aca="false">Sens!$L$561-Sens!$L$572</f>
        <v>44.2848349745059</v>
      </c>
      <c r="M573" s="38" t="n">
        <f aca="false">Sens!$M$561-Sens!$M$572</f>
        <v>48.7133184719565</v>
      </c>
      <c r="N573" s="38" t="n">
        <f aca="false">Sens!$N$561-Sens!$N$572</f>
        <v>7.90628885875037</v>
      </c>
      <c r="O573" s="38" t="n">
        <f aca="false">Sens!$O$561-Sens!$O$572</f>
        <v>11.0010536357202</v>
      </c>
    </row>
    <row r="574" customFormat="false" ht="19.4" hidden="false" customHeight="false" outlineLevel="0" collapsed="false">
      <c r="A574" s="31" t="s">
        <v>1163</v>
      </c>
    </row>
    <row r="575" customFormat="false" ht="17.15" hidden="false" customHeight="false" outlineLevel="0" collapsed="false">
      <c r="A575" s="6" t="s">
        <v>16</v>
      </c>
      <c r="B575" s="6" t="s">
        <v>17</v>
      </c>
      <c r="C575" s="20" t="s">
        <v>504</v>
      </c>
      <c r="D575" s="20" t="s">
        <v>505</v>
      </c>
      <c r="E575" s="20" t="s">
        <v>587</v>
      </c>
      <c r="F575" s="20" t="s">
        <v>588</v>
      </c>
      <c r="G575" s="20" t="s">
        <v>589</v>
      </c>
      <c r="H575" s="20" t="s">
        <v>590</v>
      </c>
      <c r="I575" s="20" t="s">
        <v>591</v>
      </c>
      <c r="J575" s="20" t="s">
        <v>592</v>
      </c>
      <c r="K575" s="20" t="s">
        <v>593</v>
      </c>
      <c r="L575" s="20" t="s">
        <v>594</v>
      </c>
      <c r="M575" s="20" t="s">
        <v>595</v>
      </c>
      <c r="N575" s="20" t="s">
        <v>596</v>
      </c>
      <c r="O575" s="20" t="s">
        <v>597</v>
      </c>
      <c r="P575" s="6" t="s">
        <v>23</v>
      </c>
      <c r="R575" s="20" t="n">
        <v>2023</v>
      </c>
      <c r="S575" s="20" t="n">
        <v>2024</v>
      </c>
      <c r="T575" s="20" t="n">
        <v>2025</v>
      </c>
      <c r="U575" s="20" t="n">
        <v>2026</v>
      </c>
      <c r="V575" s="20" t="n">
        <v>2027</v>
      </c>
      <c r="W575" s="20" t="n">
        <v>2028</v>
      </c>
      <c r="X575" s="20" t="n">
        <v>2029</v>
      </c>
      <c r="Y575" s="20" t="n">
        <v>2030</v>
      </c>
      <c r="Z575" s="20" t="n">
        <v>2031</v>
      </c>
      <c r="AA575" s="20" t="n">
        <v>2032</v>
      </c>
    </row>
    <row r="576" customFormat="false" ht="17.15" hidden="false" customHeight="false" outlineLevel="0" collapsed="false">
      <c r="A576" s="1" t="s">
        <v>598</v>
      </c>
    </row>
    <row r="577" customFormat="false" ht="17.15" hidden="false" customHeight="false" outlineLevel="0" collapsed="false">
      <c r="A577" s="5" t="s">
        <v>599</v>
      </c>
      <c r="B577" s="0" t="s">
        <v>144</v>
      </c>
      <c r="H577" s="32" t="n">
        <f aca="false">pace_B</f>
        <v>3634.3</v>
      </c>
      <c r="I577" s="32" t="n">
        <f aca="false">pace_B</f>
        <v>3634.3</v>
      </c>
      <c r="J577" s="32" t="n">
        <f aca="false">pace_B</f>
        <v>3634.3</v>
      </c>
      <c r="K577" s="32" t="n">
        <f aca="false">pace_B+(Sens!$J$578*tg-pace_B)*1/3</f>
        <v>2570.86716666667</v>
      </c>
      <c r="L577" s="32" t="n">
        <f aca="false">pace_B+(Sens!$J$578*tg-pace_B)*2/3</f>
        <v>1507.43433333333</v>
      </c>
      <c r="M577" s="32" t="n">
        <f aca="false">pace_B+(Sens!$J$578*tg-pace_B)*3/3</f>
        <v>444.0015</v>
      </c>
      <c r="P577" s="5" t="s">
        <v>600</v>
      </c>
    </row>
    <row r="578" customFormat="false" ht="17.15" hidden="false" customHeight="false" outlineLevel="0" collapsed="false">
      <c r="A578" s="15" t="s">
        <v>601</v>
      </c>
      <c r="B578" s="14" t="s">
        <v>129</v>
      </c>
      <c r="C578" s="33" t="n">
        <f aca="false">mw_ye24</f>
        <v>360</v>
      </c>
      <c r="D578" s="33" t="n">
        <f aca="false">mw_ye25</f>
        <v>1440</v>
      </c>
      <c r="E578" s="33" t="n">
        <f aca="false">mw_open</f>
        <v>2080</v>
      </c>
      <c r="F578" s="33" t="n">
        <f aca="false">Sens!$E$578+pace_B*0.5</f>
        <v>3897.15</v>
      </c>
      <c r="G578" s="33" t="n">
        <f aca="false">Sens!$F$578</f>
        <v>3897.15</v>
      </c>
      <c r="H578" s="33" t="n">
        <f aca="false">Sens!$G$578+Sens!$H$577</f>
        <v>7531.45</v>
      </c>
      <c r="I578" s="33" t="n">
        <f aca="false">Sens!$H$578+Sens!$I$577</f>
        <v>11165.75</v>
      </c>
      <c r="J578" s="33" t="n">
        <f aca="false">Sens!$I$578+Sens!$J$577</f>
        <v>14800.05</v>
      </c>
      <c r="K578" s="33" t="n">
        <f aca="false">Sens!$J$578+Sens!$K$577</f>
        <v>17370.9171666667</v>
      </c>
      <c r="L578" s="33" t="n">
        <f aca="false">Sens!$K$578+Sens!$L$577</f>
        <v>18878.3515</v>
      </c>
      <c r="M578" s="33" t="n">
        <f aca="false">Sens!$L$578+Sens!$M$577</f>
        <v>19322.353</v>
      </c>
      <c r="N578" s="33" t="n">
        <f aca="false">(mw_ye24+mw_ye25)/2</f>
        <v>900</v>
      </c>
      <c r="O578" s="33" t="n">
        <f aca="false">mw_ye25</f>
        <v>1440</v>
      </c>
      <c r="P578" s="5" t="s">
        <v>602</v>
      </c>
    </row>
    <row r="579" customFormat="false" ht="17.15" hidden="false" customHeight="false" outlineLevel="0" collapsed="false">
      <c r="A579" s="5" t="s">
        <v>603</v>
      </c>
      <c r="B579" s="0" t="s">
        <v>129</v>
      </c>
      <c r="C579" s="32" t="n">
        <f aca="false">(mw_ye23+mw_ye24)/2</f>
        <v>240</v>
      </c>
      <c r="D579" s="32" t="n">
        <f aca="false">(Sens!$C$578+Sens!$D$578)/2</f>
        <v>900</v>
      </c>
      <c r="E579" s="32" t="n">
        <f aca="false">(Sens!$D$578+Sens!$E$578)/2</f>
        <v>1760</v>
      </c>
      <c r="F579" s="32" t="n">
        <f aca="false">(Sens!$E$578+Sens!$F$578)/2</f>
        <v>2988.575</v>
      </c>
      <c r="G579" s="32" t="n">
        <f aca="false">(Sens!$E$579+Sens!$F$579)/2</f>
        <v>2374.2875</v>
      </c>
      <c r="H579" s="32" t="n">
        <f aca="false">(Sens!$G$578+Sens!$H$578)/2</f>
        <v>5714.3</v>
      </c>
      <c r="I579" s="32" t="n">
        <f aca="false">(Sens!$H$578+Sens!$I$578)/2</f>
        <v>9348.6</v>
      </c>
      <c r="J579" s="32" t="n">
        <f aca="false">(Sens!$I$578+Sens!$J$578)/2</f>
        <v>12982.9</v>
      </c>
      <c r="K579" s="32" t="n">
        <f aca="false">(Sens!$J$578+Sens!$K$578)/2</f>
        <v>16085.4835833333</v>
      </c>
      <c r="L579" s="32" t="n">
        <f aca="false">(Sens!$K$578+Sens!$L$578)/2</f>
        <v>18124.6343333333</v>
      </c>
      <c r="M579" s="32" t="n">
        <f aca="false">(Sens!$L$578+Sens!$M$578)/2</f>
        <v>19100.35225</v>
      </c>
      <c r="N579" s="32" t="n">
        <f aca="false">(Sens!$C$578+Sens!$N$578)/2</f>
        <v>630</v>
      </c>
      <c r="O579" s="32" t="n">
        <f aca="false">(Sens!$N$578+Sens!$O$578)/2</f>
        <v>1170</v>
      </c>
    </row>
    <row r="580" customFormat="false" ht="15" hidden="false" customHeight="false" outlineLevel="0" collapsed="false">
      <c r="A580" s="5" t="s">
        <v>604</v>
      </c>
      <c r="B580" s="5" t="s">
        <v>123</v>
      </c>
      <c r="C580" s="34" t="n">
        <v>1</v>
      </c>
      <c r="D580" s="34" t="n">
        <v>1</v>
      </c>
      <c r="E580" s="34" t="n">
        <v>0.5</v>
      </c>
      <c r="F580" s="34" t="n">
        <v>0.5</v>
      </c>
      <c r="G580" s="34" t="n">
        <v>1</v>
      </c>
      <c r="H580" s="34" t="n">
        <v>1</v>
      </c>
      <c r="I580" s="34" t="n">
        <v>1</v>
      </c>
      <c r="J580" s="34" t="n">
        <v>1</v>
      </c>
      <c r="K580" s="34" t="n">
        <v>1</v>
      </c>
      <c r="L580" s="34" t="n">
        <v>1</v>
      </c>
      <c r="M580" s="34" t="n">
        <v>1</v>
      </c>
      <c r="N580" s="34" t="n">
        <v>0.5</v>
      </c>
      <c r="O580" s="34" t="n">
        <v>0.5</v>
      </c>
    </row>
    <row r="581" customFormat="false" ht="17.15" hidden="false" customHeight="false" outlineLevel="0" collapsed="false">
      <c r="A581" s="5" t="s">
        <v>605</v>
      </c>
      <c r="B581" s="0" t="s">
        <v>129</v>
      </c>
      <c r="C581" s="32" t="n">
        <f aca="false">Sens!$C$578-mw_ye23</f>
        <v>240</v>
      </c>
      <c r="D581" s="32" t="n">
        <f aca="false">Sens!$D$578-Sens!$C$578</f>
        <v>1080</v>
      </c>
      <c r="E581" s="32" t="n">
        <f aca="false">Sens!$E$578-Sens!$D$578</f>
        <v>640</v>
      </c>
      <c r="F581" s="32" t="n">
        <f aca="false">Sens!$F$578-Sens!$E$578</f>
        <v>1817.15</v>
      </c>
      <c r="G581" s="32" t="n">
        <f aca="false">Sens!$E$581+Sens!$F$581</f>
        <v>2457.15</v>
      </c>
      <c r="H581" s="32" t="n">
        <f aca="false">Sens!$H$578-Sens!$G$578</f>
        <v>3634.3</v>
      </c>
      <c r="I581" s="32" t="n">
        <f aca="false">Sens!$I$578-Sens!$H$578</f>
        <v>3634.3</v>
      </c>
      <c r="J581" s="32" t="n">
        <f aca="false">Sens!$J$578-Sens!$I$578</f>
        <v>3634.3</v>
      </c>
      <c r="K581" s="32" t="n">
        <f aca="false">Sens!$K$578-Sens!$J$578</f>
        <v>2570.86716666667</v>
      </c>
      <c r="L581" s="32" t="n">
        <f aca="false">Sens!$L$578-Sens!$K$578</f>
        <v>1507.43433333333</v>
      </c>
      <c r="M581" s="32" t="n">
        <f aca="false">Sens!$M$578-Sens!$L$578</f>
        <v>444.001499999999</v>
      </c>
      <c r="N581" s="32" t="n">
        <f aca="false">Sens!$N$578-Sens!$C$578</f>
        <v>540</v>
      </c>
      <c r="O581" s="32" t="n">
        <f aca="false">Sens!$O$578-Sens!$N$578</f>
        <v>540</v>
      </c>
    </row>
    <row r="582" customFormat="false" ht="17.15" hidden="false" customHeight="false" outlineLevel="0" collapsed="false">
      <c r="A582" s="5" t="s">
        <v>606</v>
      </c>
      <c r="B582" s="0" t="s">
        <v>129</v>
      </c>
      <c r="C582" s="32" t="n">
        <f aca="false">Sens!$C$581/ext_sh</f>
        <v>300</v>
      </c>
      <c r="D582" s="32" t="n">
        <f aca="false">Sens!$D$581/ext_sh</f>
        <v>1350</v>
      </c>
      <c r="E582" s="32" t="n">
        <f aca="false">Sens!$E$581/ext_sh</f>
        <v>800</v>
      </c>
      <c r="F582" s="32" t="n">
        <f aca="false">Sens!$F$581/ext_sh</f>
        <v>2271.4375</v>
      </c>
      <c r="G582" s="32" t="n">
        <f aca="false">Sens!$G$581/ext_sh</f>
        <v>3071.4375</v>
      </c>
      <c r="H582" s="32" t="n">
        <f aca="false">Sens!$H$581/ext_sh</f>
        <v>4542.875</v>
      </c>
      <c r="I582" s="32" t="n">
        <f aca="false">Sens!$I$581/ext_sh</f>
        <v>4542.875</v>
      </c>
      <c r="J582" s="32" t="n">
        <f aca="false">Sens!$J$581/ext_sh</f>
        <v>4542.875</v>
      </c>
      <c r="K582" s="32" t="n">
        <f aca="false">Sens!$K$581/ext_sh</f>
        <v>3213.58395833333</v>
      </c>
      <c r="L582" s="32" t="n">
        <f aca="false">Sens!$L$581/ext_sh</f>
        <v>1884.29291666667</v>
      </c>
      <c r="M582" s="32" t="n">
        <f aca="false">Sens!$M$581/ext_sh</f>
        <v>555.001874999998</v>
      </c>
      <c r="N582" s="32" t="n">
        <f aca="false">Sens!$N$581/ext_sh</f>
        <v>675</v>
      </c>
      <c r="O582" s="32" t="n">
        <f aca="false">Sens!$O$581/ext_sh</f>
        <v>675</v>
      </c>
      <c r="P582" s="8" t="s">
        <v>607</v>
      </c>
      <c r="R582" s="32" t="n">
        <f aca="false">mw_ye23/ext_sh</f>
        <v>150</v>
      </c>
      <c r="S582" s="32" t="n">
        <f aca="false">Sens!$C$582</f>
        <v>300</v>
      </c>
      <c r="T582" s="32" t="n">
        <f aca="false">Sens!$D$582</f>
        <v>1350</v>
      </c>
      <c r="U582" s="32" t="n">
        <f aca="false">Sens!$G$582</f>
        <v>3071.4375</v>
      </c>
      <c r="V582" s="32" t="n">
        <f aca="false">Sens!$H$582</f>
        <v>4542.875</v>
      </c>
      <c r="W582" s="32" t="n">
        <f aca="false">Sens!$I$582</f>
        <v>4542.875</v>
      </c>
      <c r="X582" s="32" t="n">
        <f aca="false">Sens!$J$582</f>
        <v>4542.875</v>
      </c>
      <c r="Y582" s="32" t="n">
        <f aca="false">Sens!$K$582</f>
        <v>3213.58395833333</v>
      </c>
      <c r="Z582" s="32" t="n">
        <f aca="false">Sens!$L$582</f>
        <v>1884.29291666667</v>
      </c>
      <c r="AA582" s="32" t="n">
        <f aca="false">Sens!$M$582</f>
        <v>555.001874999998</v>
      </c>
    </row>
    <row r="583" customFormat="false" ht="17.15" hidden="false" customHeight="false" outlineLevel="0" collapsed="false">
      <c r="A583" s="1" t="s">
        <v>608</v>
      </c>
    </row>
    <row r="584" customFormat="false" ht="17.15" hidden="false" customHeight="false" outlineLevel="0" collapsed="false">
      <c r="A584" s="0" t="s">
        <v>609</v>
      </c>
      <c r="B584" s="0" t="s">
        <v>52</v>
      </c>
      <c r="F584" s="35" t="n">
        <f aca="false">na_vr26</f>
        <v>0</v>
      </c>
      <c r="G584" s="35" t="n">
        <f aca="false">na_vr26</f>
        <v>0</v>
      </c>
      <c r="H584" s="35" t="n">
        <f aca="false">na_vr27</f>
        <v>0.5</v>
      </c>
      <c r="I584" s="35" t="n">
        <f aca="false">na_vr28</f>
        <v>1</v>
      </c>
      <c r="J584" s="35" t="n">
        <f aca="false">na_vr28</f>
        <v>1</v>
      </c>
      <c r="K584" s="35" t="n">
        <f aca="false">na_vr28</f>
        <v>1</v>
      </c>
      <c r="L584" s="35" t="n">
        <f aca="false">na_vr28</f>
        <v>1</v>
      </c>
      <c r="M584" s="35" t="n">
        <f aca="false">na_vr28</f>
        <v>1</v>
      </c>
    </row>
    <row r="585" customFormat="false" ht="17.15" hidden="false" customHeight="false" outlineLevel="0" collapsed="false">
      <c r="A585" s="5" t="s">
        <v>610</v>
      </c>
      <c r="B585" s="0" t="s">
        <v>173</v>
      </c>
      <c r="F585" s="36" t="n">
        <f aca="false">cust_sh*tk_he_gb300*cf_chip+(1-cust_sh)*((1-Sens!$F$584)*tk_he_gb300+Sens!$F$584*tk_he_vr200)</f>
        <v>10.8864110021101</v>
      </c>
      <c r="G585" s="36" t="n">
        <f aca="false">cust_sh*tk_he_gb300*cf_chip+(1-cust_sh)*((1-Sens!$G$584)*tk_he_gb300+Sens!$G$584*tk_he_vr200)</f>
        <v>10.8864110021101</v>
      </c>
      <c r="H585" s="36" t="n">
        <f aca="false">cust_sh*tk_he_gb300*cf_chip+(1-cust_sh)*((1-Sens!$H$584)*tk_he_gb300+Sens!$H$584*tk_he_vr200)</f>
        <v>11.2211760027286</v>
      </c>
      <c r="I585" s="36" t="n">
        <f aca="false">cust_sh*tk_he_gb300*cf_chip+(1-cust_sh)*((1-Sens!$I$584)*tk_he_gb300+Sens!$I$584*tk_he_vr200)</f>
        <v>11.5559410033471</v>
      </c>
      <c r="J585" s="36" t="n">
        <f aca="false">cust_sh*tk_he_gb300*cf_chip+(1-cust_sh)*((1-Sens!$J$584)*tk_he_gb300+Sens!$J$584*tk_he_vr200)</f>
        <v>11.5559410033471</v>
      </c>
      <c r="K585" s="36" t="n">
        <f aca="false">cust_sh*tk_he_gb300*cf_chip+(1-cust_sh)*((1-Sens!$K$584)*tk_he_gb300+Sens!$K$584*tk_he_vr200)</f>
        <v>11.5559410033471</v>
      </c>
      <c r="L585" s="36" t="n">
        <f aca="false">cust_sh*tk_he_gb300*cf_chip+(1-cust_sh)*((1-Sens!$L$584)*tk_he_gb300+Sens!$L$584*tk_he_vr200)</f>
        <v>11.5559410033471</v>
      </c>
      <c r="M585" s="36" t="n">
        <f aca="false">cust_sh*tk_he_gb300*cf_chip+(1-cust_sh)*((1-Sens!$M$584)*tk_he_gb300+Sens!$M$584*tk_he_vr200)</f>
        <v>11.5559410033471</v>
      </c>
    </row>
    <row r="586" customFormat="false" ht="17.15" hidden="false" customHeight="false" outlineLevel="0" collapsed="false">
      <c r="A586" s="5" t="s">
        <v>611</v>
      </c>
      <c r="B586" s="0" t="s">
        <v>173</v>
      </c>
      <c r="F586" s="36" t="n">
        <f aca="false">cust_sh*tk_ox_gb300+(1-cust_sh)*((1-Sens!$F$584)*tk_ox_gb300+Sens!$F$584*tk_ox_vr200)</f>
        <v>1.98263481314457</v>
      </c>
      <c r="G586" s="36" t="n">
        <f aca="false">cust_sh*tk_ox_gb300+(1-cust_sh)*((1-Sens!$G$584)*tk_ox_gb300+Sens!$G$584*tk_ox_vr200)</f>
        <v>1.98263481314457</v>
      </c>
      <c r="H586" s="36" t="n">
        <f aca="false">cust_sh*tk_ox_gb300+(1-cust_sh)*((1-Sens!$H$584)*tk_ox_gb300+Sens!$H$584*tk_ox_vr200)</f>
        <v>2.01034999693694</v>
      </c>
      <c r="I586" s="36" t="n">
        <f aca="false">cust_sh*tk_ox_gb300+(1-cust_sh)*((1-Sens!$I$584)*tk_ox_gb300+Sens!$I$584*tk_ox_vr200)</f>
        <v>2.0380651807293</v>
      </c>
      <c r="J586" s="36" t="n">
        <f aca="false">cust_sh*tk_ox_gb300+(1-cust_sh)*((1-Sens!$J$584)*tk_ox_gb300+Sens!$J$584*tk_ox_vr200)</f>
        <v>2.0380651807293</v>
      </c>
      <c r="K586" s="36" t="n">
        <f aca="false">cust_sh*tk_ox_gb300+(1-cust_sh)*((1-Sens!$K$584)*tk_ox_gb300+Sens!$K$584*tk_ox_vr200)</f>
        <v>2.0380651807293</v>
      </c>
      <c r="L586" s="36" t="n">
        <f aca="false">cust_sh*tk_ox_gb300+(1-cust_sh)*((1-Sens!$L$584)*tk_ox_gb300+Sens!$L$584*tk_ox_vr200)</f>
        <v>2.0380651807293</v>
      </c>
      <c r="M586" s="36" t="n">
        <f aca="false">cust_sh*tk_ox_gb300+(1-cust_sh)*((1-Sens!$M$584)*tk_ox_gb300+Sens!$M$584*tk_ox_vr200)</f>
        <v>2.0380651807293</v>
      </c>
    </row>
    <row r="587" customFormat="false" ht="17.15" hidden="false" customHeight="false" outlineLevel="0" collapsed="false">
      <c r="A587" s="5" t="s">
        <v>612</v>
      </c>
      <c r="B587" s="0" t="s">
        <v>192</v>
      </c>
      <c r="F587" s="36" t="n">
        <f aca="false">cust_sh*tk_cx_gb300*cf_cx+(1-cust_sh)*((1-Sens!$F$584)*tk_cx_gb300+Sens!$F$584*tk_cx_vr200)</f>
        <v>32.237224</v>
      </c>
      <c r="G587" s="36" t="n">
        <f aca="false">cust_sh*tk_cx_gb300*cf_cx+(1-cust_sh)*((1-Sens!$G$584)*tk_cx_gb300+Sens!$G$584*tk_cx_vr200)</f>
        <v>32.237224</v>
      </c>
      <c r="H587" s="36" t="n">
        <f aca="false">cust_sh*tk_cx_gb300*cf_cx+(1-cust_sh)*((1-Sens!$H$584)*tk_cx_gb300+Sens!$H$584*tk_cx_vr200)</f>
        <v>33.574506</v>
      </c>
      <c r="I587" s="36" t="n">
        <f aca="false">cust_sh*tk_cx_gb300*cf_cx+(1-cust_sh)*((1-Sens!$I$584)*tk_cx_gb300+Sens!$I$584*tk_cx_vr200)</f>
        <v>34.911788</v>
      </c>
      <c r="J587" s="36" t="n">
        <f aca="false">cust_sh*tk_cx_gb300*cf_cx+(1-cust_sh)*((1-Sens!$J$584)*tk_cx_gb300+Sens!$J$584*tk_cx_vr200)</f>
        <v>34.911788</v>
      </c>
      <c r="K587" s="36" t="n">
        <f aca="false">cust_sh*tk_cx_gb300*cf_cx+(1-cust_sh)*((1-Sens!$K$584)*tk_cx_gb300+Sens!$K$584*tk_cx_vr200)</f>
        <v>34.911788</v>
      </c>
      <c r="L587" s="36" t="n">
        <f aca="false">cust_sh*tk_cx_gb300*cf_cx+(1-cust_sh)*((1-Sens!$L$584)*tk_cx_gb300+Sens!$L$584*tk_cx_vr200)</f>
        <v>34.911788</v>
      </c>
      <c r="M587" s="36" t="n">
        <f aca="false">cust_sh*tk_cx_gb300*cf_cx+(1-cust_sh)*((1-Sens!$M$584)*tk_cx_gb300+Sens!$M$584*tk_cx_vr200)</f>
        <v>34.911788</v>
      </c>
    </row>
    <row r="588" customFormat="false" ht="17.15" hidden="false" customHeight="false" outlineLevel="0" collapsed="false">
      <c r="A588" s="5" t="s">
        <v>613</v>
      </c>
      <c r="B588" s="0" t="s">
        <v>129</v>
      </c>
      <c r="F588" s="32" t="n">
        <f aca="false">Sens!$F$578-mw_open</f>
        <v>1817.15</v>
      </c>
      <c r="G588" s="32" t="n">
        <f aca="false">Sens!$F$588</f>
        <v>1817.15</v>
      </c>
      <c r="H588" s="32" t="n">
        <f aca="false">Sens!$H$578-mw_open</f>
        <v>5451.45</v>
      </c>
      <c r="I588" s="32" t="n">
        <f aca="false">Sens!$I$578-mw_open</f>
        <v>9085.75</v>
      </c>
      <c r="J588" s="32" t="n">
        <f aca="false">Sens!$J$578-mw_open</f>
        <v>12720.05</v>
      </c>
      <c r="K588" s="32" t="n">
        <f aca="false">Sens!$K$578-mw_open</f>
        <v>15290.9171666667</v>
      </c>
      <c r="L588" s="32" t="n">
        <f aca="false">Sens!$L$578-mw_open</f>
        <v>16798.3515</v>
      </c>
      <c r="M588" s="32" t="n">
        <f aca="false">Sens!$M$578-mw_open</f>
        <v>17242.353</v>
      </c>
    </row>
    <row r="589" customFormat="false" ht="17.15" hidden="false" customHeight="false" outlineLevel="0" collapsed="false">
      <c r="A589" s="0" t="s">
        <v>614</v>
      </c>
      <c r="B589" s="0" t="s">
        <v>615</v>
      </c>
      <c r="F589" s="32" t="n">
        <f aca="false">Sens!$F$581*Sens!$F$585</f>
        <v>19782.2417524844</v>
      </c>
      <c r="G589" s="32" t="n">
        <f aca="false">Sens!$F$589</f>
        <v>19782.2417524844</v>
      </c>
      <c r="H589" s="32" t="n">
        <f aca="false">Sens!$G$589+Sens!$H$581*Sens!$H$585</f>
        <v>60563.3616992009</v>
      </c>
      <c r="I589" s="32" t="n">
        <f aca="false">Sens!$H$589+Sens!$I$581*Sens!$I$585</f>
        <v>102561.118087665</v>
      </c>
      <c r="J589" s="32" t="n">
        <f aca="false">Sens!$I$589+Sens!$J$581*Sens!$J$585</f>
        <v>144558.87447613</v>
      </c>
      <c r="K589" s="32" t="n">
        <f aca="false">Sens!$J$589+Sens!$K$581*Sens!$K$585</f>
        <v>174267.663781572</v>
      </c>
      <c r="L589" s="32" t="n">
        <f aca="false">Sens!$K$589+Sens!$L$581*Sens!$L$585</f>
        <v>191687.486003992</v>
      </c>
      <c r="M589" s="32" t="n">
        <f aca="false">Sens!$L$589+Sens!$M$581*Sens!$M$585</f>
        <v>196818.341143389</v>
      </c>
    </row>
    <row r="590" customFormat="false" ht="17.15" hidden="false" customHeight="false" outlineLevel="0" collapsed="false">
      <c r="A590" s="0" t="s">
        <v>616</v>
      </c>
      <c r="B590" s="0" t="s">
        <v>615</v>
      </c>
      <c r="F590" s="32" t="n">
        <f aca="false">Sens!$F$581*Sens!$F$586</f>
        <v>3602.74485070566</v>
      </c>
      <c r="G590" s="32" t="n">
        <f aca="false">Sens!$F$590</f>
        <v>3602.74485070566</v>
      </c>
      <c r="H590" s="32" t="n">
        <f aca="false">Sens!$G$590+Sens!$H$581*Sens!$H$586</f>
        <v>10908.9598445736</v>
      </c>
      <c r="I590" s="32" t="n">
        <f aca="false">Sens!$H$590+Sens!$I$581*Sens!$I$586</f>
        <v>18315.9001308981</v>
      </c>
      <c r="J590" s="32" t="n">
        <f aca="false">Sens!$I$590+Sens!$J$581*Sens!$J$586</f>
        <v>25722.8404172225</v>
      </c>
      <c r="K590" s="32" t="n">
        <f aca="false">Sens!$J$590+Sens!$K$581*Sens!$K$586</f>
        <v>30962.4352738861</v>
      </c>
      <c r="L590" s="32" t="n">
        <f aca="false">Sens!$K$590+Sens!$L$581*Sens!$L$586</f>
        <v>34034.6847008886</v>
      </c>
      <c r="M590" s="32" t="n">
        <f aca="false">Sens!$L$590+Sens!$M$581*Sens!$M$586</f>
        <v>34939.5886982302</v>
      </c>
    </row>
    <row r="591" customFormat="false" ht="17.15" hidden="false" customHeight="false" outlineLevel="0" collapsed="false">
      <c r="A591" s="5" t="s">
        <v>617</v>
      </c>
      <c r="B591" s="0" t="s">
        <v>173</v>
      </c>
      <c r="F591" s="36" t="n">
        <f aca="false">IF(Sens!$F$588&gt;0,Sens!$F$589/Sens!$F$588,Sens!$F$585)</f>
        <v>10.8864110021101</v>
      </c>
      <c r="G591" s="36" t="n">
        <f aca="false">IF(Sens!$G$588&gt;0,Sens!$G$589/Sens!$G$588,Sens!$G$585)</f>
        <v>10.8864110021101</v>
      </c>
      <c r="H591" s="36" t="n">
        <f aca="false">IF(Sens!$H$588&gt;0,Sens!$H$589/Sens!$H$588,Sens!$H$585)</f>
        <v>11.1095876691891</v>
      </c>
      <c r="I591" s="36" t="n">
        <f aca="false">IF(Sens!$I$588&gt;0,Sens!$I$589/Sens!$I$588,Sens!$I$585)</f>
        <v>11.2881290028523</v>
      </c>
      <c r="J591" s="36" t="n">
        <f aca="false">IF(Sens!$J$588&gt;0,Sens!$J$589/Sens!$J$588,Sens!$J$585)</f>
        <v>11.3646467172794</v>
      </c>
      <c r="K591" s="36" t="n">
        <f aca="false">IF(Sens!$K$588&gt;0,Sens!$K$589/Sens!$K$588,Sens!$K$585)</f>
        <v>11.3968090914432</v>
      </c>
      <c r="L591" s="36" t="n">
        <f aca="false">IF(Sens!$L$588&gt;0,Sens!$L$589/Sens!$L$588,Sens!$L$585)</f>
        <v>11.4110891181192</v>
      </c>
      <c r="M591" s="36" t="n">
        <f aca="false">IF(Sens!$M$588&gt;0,Sens!$M$589/Sens!$M$588,Sens!$M$585)</f>
        <v>11.4148191458201</v>
      </c>
    </row>
    <row r="592" customFormat="false" ht="17.15" hidden="false" customHeight="false" outlineLevel="0" collapsed="false">
      <c r="A592" s="5" t="s">
        <v>618</v>
      </c>
      <c r="B592" s="0" t="s">
        <v>173</v>
      </c>
      <c r="F592" s="36" t="n">
        <f aca="false">IF(Sens!$F$588&gt;0,Sens!$F$590/Sens!$F$588,Sens!$F$586)</f>
        <v>1.98263481314457</v>
      </c>
      <c r="G592" s="36" t="n">
        <f aca="false">IF(Sens!$G$588&gt;0,Sens!$G$590/Sens!$G$588,Sens!$G$586)</f>
        <v>1.98263481314457</v>
      </c>
      <c r="H592" s="36" t="n">
        <f aca="false">IF(Sens!$H$588&gt;0,Sens!$H$590/Sens!$H$588,Sens!$H$586)</f>
        <v>2.00111160233948</v>
      </c>
      <c r="I592" s="36" t="n">
        <f aca="false">IF(Sens!$I$588&gt;0,Sens!$I$590/Sens!$I$588,Sens!$I$586)</f>
        <v>2.01589303369541</v>
      </c>
      <c r="J592" s="36" t="n">
        <f aca="false">IF(Sens!$J$588&gt;0,Sens!$J$590/Sens!$J$588,Sens!$J$586)</f>
        <v>2.02222793284795</v>
      </c>
      <c r="K592" s="36" t="n">
        <f aca="false">IF(Sens!$K$588&gt;0,Sens!$K$590/Sens!$K$588,Sens!$K$586)</f>
        <v>2.02489065478573</v>
      </c>
      <c r="L592" s="36" t="n">
        <f aca="false">IF(Sens!$L$588&gt;0,Sens!$L$590/Sens!$L$588,Sens!$L$586)</f>
        <v>2.0260728977417</v>
      </c>
      <c r="M592" s="36" t="n">
        <f aca="false">IF(Sens!$M$588&gt;0,Sens!$M$590/Sens!$M$588,Sens!$M$586)</f>
        <v>2.02638170661685</v>
      </c>
    </row>
    <row r="593" customFormat="false" ht="17.15" hidden="false" customHeight="false" outlineLevel="0" collapsed="false">
      <c r="A593" s="15" t="s">
        <v>619</v>
      </c>
      <c r="B593" s="14" t="s">
        <v>173</v>
      </c>
      <c r="C593" s="14"/>
      <c r="D593" s="14"/>
      <c r="E593" s="14"/>
      <c r="F593" s="37" t="n">
        <f aca="false">Sens!$F$591*k_A</f>
        <v>16.5292102673303</v>
      </c>
      <c r="G593" s="37" t="n">
        <f aca="false">Sens!$G$591*k_A</f>
        <v>16.5292102673303</v>
      </c>
      <c r="H593" s="37" t="n">
        <f aca="false">Sens!$H$591*k_A</f>
        <v>16.8680670362136</v>
      </c>
      <c r="I593" s="37" t="n">
        <f aca="false">Sens!$I$591*k_A</f>
        <v>17.1391524513203</v>
      </c>
      <c r="J593" s="37" t="n">
        <f aca="false">Sens!$J$591*k_A</f>
        <v>17.2553319149374</v>
      </c>
      <c r="K593" s="37" t="n">
        <f aca="false">Sens!$K$591*k_A</f>
        <v>17.3041651479604</v>
      </c>
      <c r="L593" s="37" t="n">
        <f aca="false">Sens!$L$591*k_A</f>
        <v>17.3258470010069</v>
      </c>
      <c r="M593" s="37" t="n">
        <f aca="false">Sens!$M$591*k_A</f>
        <v>17.3315104296758</v>
      </c>
      <c r="N593" s="14"/>
      <c r="O593" s="14"/>
      <c r="P593" s="5" t="s">
        <v>620</v>
      </c>
    </row>
    <row r="594" customFormat="false" ht="17.15" hidden="false" customHeight="false" outlineLevel="0" collapsed="false">
      <c r="A594" s="5" t="s">
        <v>621</v>
      </c>
      <c r="B594" s="0" t="s">
        <v>129</v>
      </c>
      <c r="F594" s="32" t="n">
        <f aca="false">Sens!$F$588/2</f>
        <v>908.575</v>
      </c>
      <c r="H594" s="32" t="n">
        <f aca="false">(Sens!$G$588+Sens!$H$588)/2</f>
        <v>3634.3</v>
      </c>
      <c r="I594" s="32" t="n">
        <f aca="false">(Sens!$H$588+Sens!$I$588)/2</f>
        <v>7268.6</v>
      </c>
      <c r="J594" s="32" t="n">
        <f aca="false">(Sens!$I$588+Sens!$J$588)/2</f>
        <v>10902.9</v>
      </c>
      <c r="K594" s="32" t="n">
        <f aca="false">(Sens!$J$588+Sens!$K$588)/2</f>
        <v>14005.4835833333</v>
      </c>
      <c r="L594" s="32" t="n">
        <f aca="false">(Sens!$K$588+Sens!$L$588)/2</f>
        <v>16044.6343333333</v>
      </c>
      <c r="M594" s="32" t="n">
        <f aca="false">(Sens!$L$588+Sens!$M$588)/2</f>
        <v>17020.35225</v>
      </c>
    </row>
    <row r="595" customFormat="false" ht="17.15" hidden="false" customHeight="false" outlineLevel="0" collapsed="false">
      <c r="A595" s="1" t="s">
        <v>622</v>
      </c>
    </row>
    <row r="596" customFormat="false" ht="17.15" hidden="false" customHeight="false" outlineLevel="0" collapsed="false">
      <c r="A596" s="1" t="s">
        <v>623</v>
      </c>
      <c r="B596" s="8" t="s">
        <v>86</v>
      </c>
      <c r="C596" s="38" t="n">
        <f aca="false">Sens!$C$579*rpm_open*Sens!$C$580/1000</f>
        <v>2.32100535697364</v>
      </c>
      <c r="D596" s="38" t="n">
        <f aca="false">Sens!$D$579*rpm_open*Sens!$D$580/1000</f>
        <v>8.70377008865116</v>
      </c>
      <c r="E596" s="38" t="n">
        <f aca="false">Sens!$E$579*rpm_open*Sens!$E$580/1000</f>
        <v>8.51035297557002</v>
      </c>
      <c r="F596" s="38" t="n">
        <f aca="false">(mw_open*rpm_open+Sens!$F$594*Sens!$F$593)*Sens!$F$580/1000</f>
        <v>17.5667034895389</v>
      </c>
      <c r="G596" s="38" t="n">
        <f aca="false">Sens!$E$596+Sens!$F$596</f>
        <v>26.077056465109</v>
      </c>
      <c r="H596" s="38" t="n">
        <f aca="false">(mw_open*rpm_open+Sens!$H$594*Sens!$H$593)/1000</f>
        <v>81.4189957901494</v>
      </c>
      <c r="I596" s="38" t="n">
        <f aca="false">(mw_open*rpm_open+Sens!$I$594*Sens!$I$593)/1000</f>
        <v>144.693023268105</v>
      </c>
      <c r="J596" s="38" t="n">
        <f aca="false">(mw_open*rpm_open+Sens!$J$594*Sens!$J$593)/1000</f>
        <v>208.248538095809</v>
      </c>
      <c r="K596" s="38" t="n">
        <f aca="false">(mw_open*rpm_open+Sens!$K$594*Sens!$K$593)/1000</f>
        <v>262.468580663487</v>
      </c>
      <c r="L596" s="38" t="n">
        <f aca="false">(mw_open*rpm_open+Sens!$L$594*Sens!$L$593)/1000</f>
        <v>298.102259406873</v>
      </c>
      <c r="M596" s="38" t="n">
        <f aca="false">(mw_open*rpm_open+Sens!$M$594*Sens!$M$593)/1000</f>
        <v>315.103792298069</v>
      </c>
      <c r="N596" s="38" t="n">
        <f aca="false">Sens!$N$579*rpm_open*Sens!$N$580/1000</f>
        <v>3.04631953102791</v>
      </c>
      <c r="O596" s="38" t="n">
        <f aca="false">Sens!$O$579*rpm_open*Sens!$O$580/1000</f>
        <v>5.65745055762326</v>
      </c>
      <c r="P596" s="5" t="s">
        <v>624</v>
      </c>
    </row>
    <row r="597" customFormat="false" ht="17.15" hidden="false" customHeight="false" outlineLevel="0" collapsed="false">
      <c r="A597" s="5" t="s">
        <v>625</v>
      </c>
      <c r="B597" s="0" t="s">
        <v>173</v>
      </c>
      <c r="C597" s="36" t="n">
        <f aca="false">Sens!$C$596*1000/(Sens!$C$579*Sens!$C$580)</f>
        <v>9.67085565405685</v>
      </c>
      <c r="D597" s="36" t="n">
        <f aca="false">Sens!$D$596*1000/(Sens!$D$579*Sens!$D$580)</f>
        <v>9.67085565405685</v>
      </c>
      <c r="E597" s="36" t="n">
        <f aca="false">Sens!$E$596*1000/(Sens!$E$579*Sens!$E$580)</f>
        <v>9.67085565405685</v>
      </c>
      <c r="F597" s="36" t="n">
        <f aca="false">Sens!$F$596*1000/(Sens!$F$579*Sens!$F$580)</f>
        <v>11.7559060686374</v>
      </c>
      <c r="G597" s="36" t="n">
        <f aca="false">Sens!$G$596*1000/(Sens!$G$579*Sens!$G$580)</f>
        <v>10.9831081809212</v>
      </c>
      <c r="H597" s="36" t="n">
        <f aca="false">Sens!$H$596*1000/(Sens!$H$579*Sens!$H$580)</f>
        <v>14.2482886425545</v>
      </c>
      <c r="I597" s="36" t="n">
        <f aca="false">Sens!$I$596*1000/(Sens!$I$579*Sens!$I$580)</f>
        <v>15.4775071420432</v>
      </c>
      <c r="J597" s="36" t="n">
        <f aca="false">Sens!$J$596*1000/(Sens!$J$579*Sens!$J$580)</f>
        <v>16.0402173702185</v>
      </c>
      <c r="K597" s="36" t="n">
        <f aca="false">Sens!$K$596*1000/(Sens!$K$579*Sens!$K$580)</f>
        <v>16.3171084850342</v>
      </c>
      <c r="L597" s="36" t="n">
        <f aca="false">Sens!$L$596*1000/(Sens!$L$579*Sens!$L$580)</f>
        <v>16.4473530292762</v>
      </c>
      <c r="M597" s="36" t="n">
        <f aca="false">Sens!$M$596*1000/(Sens!$M$579*Sens!$M$580)</f>
        <v>16.4972764990797</v>
      </c>
      <c r="N597" s="36" t="n">
        <f aca="false">Sens!$N$596*1000/(Sens!$N$579*Sens!$N$580)</f>
        <v>9.67085565405685</v>
      </c>
      <c r="O597" s="36" t="n">
        <f aca="false">Sens!$O$596*1000/(Sens!$O$579*Sens!$O$580)</f>
        <v>9.67085565405685</v>
      </c>
    </row>
    <row r="598" customFormat="false" ht="17.15" hidden="false" customHeight="false" outlineLevel="0" collapsed="false">
      <c r="A598" s="0" t="s">
        <v>626</v>
      </c>
      <c r="B598" s="0" t="s">
        <v>86</v>
      </c>
      <c r="C598" s="38" t="n">
        <f aca="false">Sens!$C$579/ext_sh*(ox_open+rent_mw)*Sens!$C$580/1000</f>
        <v>0.642569210675032</v>
      </c>
      <c r="D598" s="38" t="n">
        <f aca="false">Sens!$D$579/ext_sh*(ox_open+rent_mw)*Sens!$D$580/1000</f>
        <v>2.40963454003137</v>
      </c>
      <c r="E598" s="38" t="n">
        <f aca="false">Sens!$E$579/ext_sh*(ox_open+rent_mw)*Sens!$E$580/1000</f>
        <v>2.35608710580845</v>
      </c>
      <c r="F598" s="38" t="n">
        <f aca="false">((mw_open*ox_open+Sens!$F$594*Sens!$F$592)/ext_sh+Sens!$F$579/ext_sh*rent_mw)*Sens!$F$580/1000</f>
        <v>4.05421991106232</v>
      </c>
      <c r="G598" s="38" t="n">
        <f aca="false">Sens!$E$598+Sens!$F$598</f>
        <v>6.41030701687077</v>
      </c>
      <c r="H598" s="38" t="n">
        <f aca="false">((mw_open*ox_open+Sens!$H$594*Sens!$H$592)/ext_sh+Sens!$H$579/ext_sh*rent_mw)*Sens!$H$580/1000</f>
        <v>15.8108975546616</v>
      </c>
      <c r="I598" s="38" t="n">
        <f aca="false">((mw_open*ox_open+Sens!$I$594*Sens!$I$592)/ext_sh+Sens!$I$579/ext_sh*rent_mw)*Sens!$I$580/1000</f>
        <v>26.1871623400817</v>
      </c>
      <c r="J598" s="38" t="n">
        <f aca="false">((mw_open*ox_open+Sens!$J$594*Sens!$J$592)/ext_sh+Sens!$J$579/ext_sh*rent_mw)*Sens!$J$580/1000</f>
        <v>36.5826128954935</v>
      </c>
      <c r="K598" s="38" t="n">
        <f aca="false">((mw_open*ox_open+Sens!$K$594*Sens!$K$592)/ext_sh+Sens!$K$579/ext_sh*rent_mw)*Sens!$K$580/1000</f>
        <v>45.4546361137628</v>
      </c>
      <c r="L598" s="38" t="n">
        <f aca="false">((mw_open*ox_open+Sens!$L$594*Sens!$L$592)/ext_sh+Sens!$L$579/ext_sh*rent_mw)*Sens!$L$580/1000</f>
        <v>51.2855695554452</v>
      </c>
      <c r="M598" s="38" t="n">
        <f aca="false">((mw_open*ox_open+Sens!$M$594*Sens!$M$592)/ext_sh+Sens!$M$579/ext_sh*rent_mw)*Sens!$M$580/1000</f>
        <v>54.0722927838398</v>
      </c>
      <c r="N598" s="38" t="n">
        <f aca="false">Sens!$N$579/ext_sh*(ox_open+rent_mw)*Sens!$N$580/1000</f>
        <v>0.84337208901098</v>
      </c>
      <c r="O598" s="38" t="n">
        <f aca="false">Sens!$O$579/ext_sh*(ox_open+rent_mw)*Sens!$O$580/1000</f>
        <v>1.56626245102039</v>
      </c>
    </row>
    <row r="599" customFormat="false" ht="17.15" hidden="false" customHeight="false" outlineLevel="0" collapsed="false">
      <c r="A599" s="0" t="s">
        <v>627</v>
      </c>
      <c r="B599" s="0" t="s">
        <v>86</v>
      </c>
      <c r="C599" s="38" t="n">
        <f aca="false">Q!$D$7</f>
        <v>107.556</v>
      </c>
      <c r="D599" s="38" t="n">
        <f aca="false">Q!$E$7</f>
        <v>128.725</v>
      </c>
      <c r="E599" s="38" t="n">
        <f aca="false">Q!$P$7</f>
        <v>79.819</v>
      </c>
      <c r="N599" s="38" t="n">
        <f aca="false">Q!$N$7</f>
        <v>60.14</v>
      </c>
      <c r="O599" s="38" t="n">
        <f aca="false">Q!$O$7</f>
        <v>68.585</v>
      </c>
    </row>
    <row r="600" customFormat="false" ht="17.15" hidden="false" customHeight="false" outlineLevel="0" collapsed="false">
      <c r="A600" s="1" t="s">
        <v>628</v>
      </c>
      <c r="B600" s="8" t="s">
        <v>86</v>
      </c>
      <c r="C600" s="38" t="n">
        <f aca="false">Sens!$C$599-Sens!$C$596</f>
        <v>105.234994643026</v>
      </c>
      <c r="D600" s="38" t="n">
        <f aca="false">Sens!$D$599-Sens!$D$596</f>
        <v>120.021229911349</v>
      </c>
      <c r="E600" s="38" t="n">
        <f aca="false">Sens!$E$599-Sens!$E$596</f>
        <v>71.30864702443</v>
      </c>
      <c r="F600" s="38" t="n">
        <f aca="false">Sens!$O$600*(1+Sens!$F$601)</f>
        <v>71.7692997942464</v>
      </c>
      <c r="G600" s="38" t="n">
        <f aca="false">Sens!$E$600+Sens!$F$600</f>
        <v>143.077946818676</v>
      </c>
      <c r="H600" s="38" t="n">
        <f aca="false">Sens!$G$600*(1+Sens!$H$601)</f>
        <v>161.017077079203</v>
      </c>
      <c r="I600" s="38" t="n">
        <f aca="false">Sens!$H$600*(1+Sens!$I$601)</f>
        <v>178.769759521457</v>
      </c>
      <c r="J600" s="38" t="n">
        <f aca="false">Sens!$I$600*(1+Sens!$J$601)</f>
        <v>195.775538045907</v>
      </c>
      <c r="K600" s="38" t="n">
        <f aca="false">Sens!$J$600*(1+Sens!$K$601)</f>
        <v>211.43758108958</v>
      </c>
      <c r="L600" s="38" t="n">
        <f aca="false">Sens!$K$600*(1+Sens!$L$601)</f>
        <v>228.352587576746</v>
      </c>
      <c r="M600" s="38" t="n">
        <f aca="false">Sens!$L$600*(1+Sens!$M$601)</f>
        <v>246.620794582886</v>
      </c>
      <c r="N600" s="38" t="n">
        <f aca="false">Sens!$N$599-Sens!$N$596</f>
        <v>57.0936804689721</v>
      </c>
      <c r="O600" s="38" t="n">
        <f aca="false">Sens!$O$599-Sens!$O$596</f>
        <v>62.9275494423768</v>
      </c>
      <c r="P600" s="5" t="s">
        <v>629</v>
      </c>
    </row>
    <row r="601" customFormat="false" ht="17.15" hidden="false" customHeight="false" outlineLevel="0" collapsed="false">
      <c r="A601" s="0" t="s">
        <v>630</v>
      </c>
      <c r="B601" s="0" t="s">
        <v>52</v>
      </c>
      <c r="D601" s="13" t="n">
        <f aca="false">Sens!$D$600/Sens!$C$600-1</f>
        <v>0.140506827776062</v>
      </c>
      <c r="E601" s="13" t="n">
        <f aca="false">Sens!$E$600/Sens!$N$600-1</f>
        <v>0.248976181579029</v>
      </c>
      <c r="F601" s="13" t="n">
        <f aca="false">Sens!$D$601</f>
        <v>0.140506827776062</v>
      </c>
      <c r="G601" s="13" t="n">
        <f aca="false">Sens!$G$600/Sens!$D$600-1</f>
        <v>0.19210532106993</v>
      </c>
      <c r="H601" s="13" t="n">
        <f aca="false">Sens!$F$601+(g_awso_lt-Sens!$F$601)*1/4</f>
        <v>0.125380120832046</v>
      </c>
      <c r="I601" s="13" t="n">
        <f aca="false">Sens!$F$601+(g_awso_lt-Sens!$F$601)*2/4</f>
        <v>0.110253413888031</v>
      </c>
      <c r="J601" s="13" t="n">
        <f aca="false">Sens!$F$601+(g_awso_lt-Sens!$F$601)*3/4</f>
        <v>0.0951267069440154</v>
      </c>
      <c r="K601" s="13" t="n">
        <f aca="false">Sens!$F$601+(g_awso_lt-Sens!$F$601)*4/4</f>
        <v>0.08</v>
      </c>
      <c r="L601" s="13" t="n">
        <f aca="false">g_awso_lt</f>
        <v>0.08</v>
      </c>
      <c r="M601" s="13" t="n">
        <f aca="false">g_awso_lt</f>
        <v>0.08</v>
      </c>
      <c r="P601" s="5" t="s">
        <v>631</v>
      </c>
    </row>
    <row r="602" customFormat="false" ht="17.15" hidden="false" customHeight="false" outlineLevel="0" collapsed="false">
      <c r="A602" s="1" t="s">
        <v>632</v>
      </c>
    </row>
    <row r="603" customFormat="false" ht="17.15" hidden="false" customHeight="false" outlineLevel="0" collapsed="false">
      <c r="A603" s="0" t="s">
        <v>633</v>
      </c>
      <c r="B603" s="0" t="s">
        <v>86</v>
      </c>
      <c r="F603" s="38" t="n">
        <f aca="false">cx_rt*Sens!$F$568+cx_awso*Sens!$F$600</f>
        <v>34.9734495387866</v>
      </c>
    </row>
    <row r="604" customFormat="false" ht="17.15" hidden="false" customHeight="false" outlineLevel="0" collapsed="false">
      <c r="A604" s="0" t="s">
        <v>634</v>
      </c>
      <c r="B604" s="0" t="s">
        <v>52</v>
      </c>
      <c r="C604" s="13" t="n">
        <f aca="false">tk_cx_h100/(tk_cx_h100+tk_fac*(1-colo_sh))</f>
        <v>0.730756458006641</v>
      </c>
      <c r="D604" s="13" t="n">
        <f aca="false">tk_cx_h100/(tk_cx_h100+tk_fac*(1-colo_sh))</f>
        <v>0.730756458006641</v>
      </c>
      <c r="E604" s="13" t="n">
        <f aca="false">Sens!$F$604</f>
        <v>0.760792334328868</v>
      </c>
      <c r="F604" s="13" t="n">
        <f aca="false">Sens!$F$587/(Sens!$F$587+tk_fac*(1-colo_sh))</f>
        <v>0.760792334328868</v>
      </c>
      <c r="G604" s="13" t="n">
        <f aca="false">Sens!$G$587/(Sens!$G$587+tk_fac*(1-colo_sh))</f>
        <v>0.760792334328868</v>
      </c>
      <c r="H604" s="13" t="n">
        <f aca="false">Sens!$H$587/(Sens!$H$587+tk_fac*(1-colo_sh))</f>
        <v>0.768110668862996</v>
      </c>
      <c r="I604" s="13" t="n">
        <f aca="false">Sens!$I$587/(Sens!$I$587+tk_fac*(1-colo_sh))</f>
        <v>0.77499450139483</v>
      </c>
      <c r="J604" s="13" t="n">
        <f aca="false">Sens!$J$587/(Sens!$J$587+tk_fac*(1-colo_sh))</f>
        <v>0.77499450139483</v>
      </c>
      <c r="K604" s="13" t="n">
        <f aca="false">Sens!$K$587/(Sens!$K$587+tk_fac*(1-colo_sh))</f>
        <v>0.77499450139483</v>
      </c>
      <c r="L604" s="13" t="n">
        <f aca="false">Sens!$L$587/(Sens!$L$587+tk_fac*(1-colo_sh))</f>
        <v>0.77499450139483</v>
      </c>
      <c r="M604" s="13" t="n">
        <f aca="false">Sens!$M$587/(Sens!$M$587+tk_fac*(1-colo_sh))</f>
        <v>0.77499450139483</v>
      </c>
    </row>
    <row r="605" customFormat="false" ht="17.15" hidden="false" customHeight="false" outlineLevel="0" collapsed="false">
      <c r="A605" s="1" t="s">
        <v>635</v>
      </c>
      <c r="B605" s="8" t="s">
        <v>86</v>
      </c>
      <c r="C605" s="38" t="n">
        <f aca="false">Q!$D$46-cx_rt*Q!$D$16-cx_awso*Sens!$C$600</f>
        <v>25.2781053077374</v>
      </c>
      <c r="D605" s="38" t="n">
        <f aca="false">Q!$E$46-cx_rt*Q!$E$16-cx_awso*Sens!$D$600</f>
        <v>69.5686316310026</v>
      </c>
      <c r="E605" s="38" t="n">
        <f aca="false">Q!$P$46-cx_rt*Q!$P$16-cx_awso*Sens!$E$600</f>
        <v>64.1899206485108</v>
      </c>
      <c r="F605" s="38" t="n">
        <f aca="false">capex_g26-Q!$P$46-Sens!$F$603</f>
        <v>88.7165504612134</v>
      </c>
      <c r="G605" s="38" t="n">
        <f aca="false">Sens!$E$605+Sens!$F$605</f>
        <v>152.906471109724</v>
      </c>
      <c r="H605" s="38" t="n">
        <f aca="false">Sens!$H$582*(Sens!$H$587+tk_fac*(1-colo_sh))/1000+Sens!$H$606</f>
        <v>198.57136494475</v>
      </c>
      <c r="I605" s="38" t="n">
        <f aca="false">Sens!$I$582*(Sens!$I$587+tk_fac*(1-colo_sh))/1000+Sens!$I$606</f>
        <v>204.6464699105</v>
      </c>
      <c r="J605" s="38" t="n">
        <f aca="false">Sens!$J$582*(Sens!$J$587+tk_fac*(1-colo_sh))/1000+Sens!$J$606</f>
        <v>209.8832381105</v>
      </c>
      <c r="K605" s="38" t="n">
        <f aca="false">Sens!$K$582*(Sens!$K$587+tk_fac*(1-colo_sh))/1000+Sens!$K$606</f>
        <v>155.238385275201</v>
      </c>
      <c r="L605" s="38" t="n">
        <f aca="false">Sens!$L$582*(Sens!$L$587+tk_fac*(1-colo_sh))/1000+Sens!$L$606</f>
        <v>132.014141639902</v>
      </c>
      <c r="M605" s="38" t="n">
        <f aca="false">Sens!$M$582*(Sens!$M$587+tk_fac*(1-colo_sh))/1000+Sens!$M$606</f>
        <v>132.230981659852</v>
      </c>
      <c r="P605" s="5" t="s">
        <v>636</v>
      </c>
      <c r="R605" s="38" t="n">
        <f aca="false">Q!$C$46-cx_rt*Q!$C$16-cx_awso*(Q!$C$7-mw_ye23/2*rpm_open/1000)</f>
        <v>1.50429979529945</v>
      </c>
      <c r="S605" s="38" t="n">
        <f aca="false">Sens!$C$605</f>
        <v>25.2781053077374</v>
      </c>
      <c r="T605" s="38" t="n">
        <f aca="false">Sens!$D$605</f>
        <v>69.5686316310026</v>
      </c>
      <c r="U605" s="38" t="n">
        <f aca="false">Sens!$G$605</f>
        <v>152.906471109724</v>
      </c>
      <c r="V605" s="38" t="n">
        <f aca="false">Sens!$H$605</f>
        <v>198.57136494475</v>
      </c>
      <c r="W605" s="38" t="n">
        <f aca="false">Sens!$I$605</f>
        <v>204.6464699105</v>
      </c>
      <c r="X605" s="38" t="n">
        <f aca="false">Sens!$J$605</f>
        <v>209.8832381105</v>
      </c>
      <c r="Y605" s="38" t="n">
        <f aca="false">Sens!$K$605</f>
        <v>155.238385275201</v>
      </c>
      <c r="Z605" s="38" t="n">
        <f aca="false">Sens!$L$605</f>
        <v>132.014141639902</v>
      </c>
      <c r="AA605" s="38" t="n">
        <f aca="false">Sens!$M$605</f>
        <v>132.230981659852</v>
      </c>
    </row>
    <row r="606" customFormat="false" ht="17.15" hidden="false" customHeight="false" outlineLevel="0" collapsed="false">
      <c r="A606" s="0" t="s">
        <v>637</v>
      </c>
      <c r="B606" s="0" t="s">
        <v>86</v>
      </c>
      <c r="H606" s="38" t="n">
        <f aca="false">SUMPRODUCT(--(Sens!$R$575:$AA$575=2027-tk_life),Sens!$R$582:$AA$582)*Sens!$H$587/1000</f>
        <v>0</v>
      </c>
      <c r="I606" s="38" t="n">
        <f aca="false">SUMPRODUCT(--(Sens!$R$575:$AA$575=2028-tk_life),Sens!$R$582:$AA$582)*Sens!$I$587/1000</f>
        <v>0</v>
      </c>
      <c r="J606" s="38" t="n">
        <f aca="false">SUMPRODUCT(--(Sens!$R$575:$AA$575=2029-tk_life),Sens!$R$582:$AA$582)*Sens!$J$587/1000</f>
        <v>5.2367682</v>
      </c>
      <c r="K606" s="38" t="n">
        <f aca="false">SUMPRODUCT(--(Sens!$R$575:$AA$575=2030-tk_life),Sens!$R$582:$AA$582)*Sens!$K$587/1000</f>
        <v>10.4735364</v>
      </c>
      <c r="L606" s="38" t="n">
        <f aca="false">SUMPRODUCT(--(Sens!$R$575:$AA$575=2031-tk_life),Sens!$R$582:$AA$582)*Sens!$L$587/1000</f>
        <v>47.1309138</v>
      </c>
      <c r="M606" s="38" t="n">
        <f aca="false">SUMPRODUCT(--(Sens!$R$575:$AA$575=2032-tk_life),Sens!$R$582:$AA$582)*Sens!$M$587/1000</f>
        <v>107.22937485525</v>
      </c>
    </row>
    <row r="607" customFormat="false" ht="17.15" hidden="false" customHeight="false" outlineLevel="0" collapsed="false">
      <c r="A607" s="0" t="s">
        <v>638</v>
      </c>
      <c r="B607" s="0" t="s">
        <v>86</v>
      </c>
      <c r="C607" s="38" t="n">
        <f aca="false">MIN(Sens!$C$605,Sens!$C$582*(tk_cx_h100+tk_fac*(1-colo_sh))/1000)</f>
        <v>11.2938642</v>
      </c>
      <c r="D607" s="38" t="n">
        <f aca="false">MIN(Sens!$D$605,Sens!$D$582*(tk_cx_h100+tk_fac*(1-colo_sh))/1000)</f>
        <v>50.8223889</v>
      </c>
      <c r="E607" s="38" t="n">
        <f aca="false">MIN(Sens!$E$605,Sens!$E$582*(Sens!$F$587+tk_fac*(1-colo_sh))/1000)</f>
        <v>33.8985792</v>
      </c>
      <c r="F607" s="38" t="n">
        <f aca="false">Sens!$F$605</f>
        <v>88.7165504612134</v>
      </c>
      <c r="G607" s="38" t="n">
        <f aca="false">Sens!$E$607+Sens!$F$607</f>
        <v>122.615129661213</v>
      </c>
      <c r="H607" s="38" t="n">
        <f aca="false">Sens!$H$605</f>
        <v>198.57136494475</v>
      </c>
      <c r="I607" s="38" t="n">
        <f aca="false">Sens!$I$605</f>
        <v>204.6464699105</v>
      </c>
      <c r="J607" s="38" t="n">
        <f aca="false">Sens!$J$605</f>
        <v>209.8832381105</v>
      </c>
      <c r="K607" s="38" t="n">
        <f aca="false">Sens!$K$605</f>
        <v>155.238385275201</v>
      </c>
      <c r="L607" s="38" t="n">
        <f aca="false">Sens!$L$605</f>
        <v>132.014141639902</v>
      </c>
      <c r="M607" s="38" t="n">
        <f aca="false">Sens!$M$605</f>
        <v>132.230981659852</v>
      </c>
      <c r="P607" s="5" t="s">
        <v>639</v>
      </c>
      <c r="R607" s="38" t="n">
        <f aca="false">MIN(Sens!$R$605,Sens!$R$582*(tk_cx_h100+tk_fac*(1-colo_sh))/1000)</f>
        <v>1.50429979529945</v>
      </c>
      <c r="S607" s="38" t="n">
        <f aca="false">Sens!$C$607</f>
        <v>11.2938642</v>
      </c>
      <c r="T607" s="38" t="n">
        <f aca="false">Sens!$D$607</f>
        <v>50.8223889</v>
      </c>
      <c r="U607" s="38" t="n">
        <f aca="false">Sens!$G$607</f>
        <v>122.615129661213</v>
      </c>
      <c r="V607" s="38" t="n">
        <f aca="false">Sens!$H$607</f>
        <v>198.57136494475</v>
      </c>
      <c r="W607" s="38" t="n">
        <f aca="false">Sens!$I$607</f>
        <v>204.6464699105</v>
      </c>
      <c r="X607" s="38" t="n">
        <f aca="false">Sens!$J$607</f>
        <v>209.8832381105</v>
      </c>
      <c r="Y607" s="38" t="n">
        <f aca="false">Sens!$K$607</f>
        <v>155.238385275201</v>
      </c>
      <c r="Z607" s="38" t="n">
        <f aca="false">Sens!$L$607</f>
        <v>132.014141639902</v>
      </c>
      <c r="AA607" s="38" t="n">
        <f aca="false">Sens!$M$607</f>
        <v>132.230981659852</v>
      </c>
    </row>
    <row r="608" customFormat="false" ht="17.15" hidden="false" customHeight="false" outlineLevel="0" collapsed="false">
      <c r="A608" s="5" t="s">
        <v>640</v>
      </c>
      <c r="B608" s="0" t="s">
        <v>86</v>
      </c>
      <c r="C608" s="38" t="n">
        <f aca="false">Sens!$C$605-Sens!$C$607</f>
        <v>13.9842411077374</v>
      </c>
      <c r="D608" s="38" t="n">
        <f aca="false">Sens!$D$605-Sens!$D$607</f>
        <v>18.7462427310026</v>
      </c>
      <c r="E608" s="38" t="n">
        <f aca="false">Sens!$E$605-Sens!$E$607</f>
        <v>30.2913414485108</v>
      </c>
      <c r="F608" s="38" t="n">
        <f aca="false">Sens!$F$605-Sens!$F$607</f>
        <v>0</v>
      </c>
      <c r="G608" s="38" t="n">
        <f aca="false">Sens!$G$605-Sens!$G$607</f>
        <v>30.2913414485108</v>
      </c>
      <c r="H608" s="38" t="n">
        <f aca="false">Sens!$H$605-Sens!$H$607</f>
        <v>0</v>
      </c>
      <c r="I608" s="38" t="n">
        <f aca="false">Sens!$I$605-Sens!$I$607</f>
        <v>0</v>
      </c>
      <c r="J608" s="38" t="n">
        <f aca="false">Sens!$J$605-Sens!$J$607</f>
        <v>0</v>
      </c>
      <c r="K608" s="38" t="n">
        <f aca="false">Sens!$K$605-Sens!$K$607</f>
        <v>0</v>
      </c>
      <c r="L608" s="38" t="n">
        <f aca="false">Sens!$L$605-Sens!$L$607</f>
        <v>0</v>
      </c>
      <c r="M608" s="38" t="n">
        <f aca="false">Sens!$M$605-Sens!$M$607</f>
        <v>0</v>
      </c>
      <c r="P608" s="5" t="s">
        <v>641</v>
      </c>
      <c r="R608" s="38" t="n">
        <f aca="false">Sens!$R$605-Sens!$R$607</f>
        <v>0</v>
      </c>
      <c r="S608" s="38" t="n">
        <f aca="false">Sens!$S$605-Sens!$S$607</f>
        <v>13.9842411077374</v>
      </c>
      <c r="T608" s="38" t="n">
        <f aca="false">Sens!$T$605-Sens!$T$607</f>
        <v>18.7462427310026</v>
      </c>
      <c r="U608" s="38" t="n">
        <f aca="false">Sens!$U$605-Sens!$U$607</f>
        <v>30.2913414485108</v>
      </c>
      <c r="V608" s="38" t="n">
        <f aca="false">Sens!$V$605-Sens!$V$607</f>
        <v>0</v>
      </c>
      <c r="W608" s="38" t="n">
        <f aca="false">Sens!$W$605-Sens!$W$607</f>
        <v>0</v>
      </c>
      <c r="X608" s="38" t="n">
        <f aca="false">Sens!$X$605-Sens!$X$607</f>
        <v>0</v>
      </c>
      <c r="Y608" s="38" t="n">
        <f aca="false">Sens!$Y$605-Sens!$Y$607</f>
        <v>0</v>
      </c>
      <c r="Z608" s="38" t="n">
        <f aca="false">Sens!$Z$605-Sens!$Z$607</f>
        <v>0</v>
      </c>
      <c r="AA608" s="38" t="n">
        <f aca="false">Sens!$AA$605-Sens!$AA$607</f>
        <v>0</v>
      </c>
    </row>
    <row r="609" customFormat="false" ht="17.15" hidden="false" customHeight="false" outlineLevel="0" collapsed="false">
      <c r="A609" s="5" t="s">
        <v>642</v>
      </c>
      <c r="B609" s="0" t="s">
        <v>86</v>
      </c>
      <c r="R609" s="38" t="n">
        <f aca="false">Sens!$R$608*Sens!$C$604</f>
        <v>0</v>
      </c>
      <c r="S609" s="38" t="n">
        <f aca="false">Sens!$S$608*Sens!$C$604</f>
        <v>10.219074499801</v>
      </c>
      <c r="T609" s="38" t="n">
        <f aca="false">Sens!$T$608*Sens!$C$604</f>
        <v>13.6989379390402</v>
      </c>
      <c r="U609" s="38" t="n">
        <f aca="false">Sens!$U$608*Sens!$E$604</f>
        <v>23.0454203705653</v>
      </c>
      <c r="V609" s="38" t="n">
        <f aca="false">Sens!$V$608*Sens!$E$604</f>
        <v>0</v>
      </c>
      <c r="W609" s="38" t="n">
        <f aca="false">Sens!$W$608*Sens!$E$604</f>
        <v>0</v>
      </c>
      <c r="X609" s="38" t="n">
        <f aca="false">Sens!$X$608*Sens!$E$604</f>
        <v>0</v>
      </c>
      <c r="Y609" s="38" t="n">
        <f aca="false">Sens!$Y$608*Sens!$E$604</f>
        <v>0</v>
      </c>
      <c r="Z609" s="38" t="n">
        <f aca="false">Sens!$Z$608*Sens!$E$604</f>
        <v>0</v>
      </c>
      <c r="AA609" s="38" t="n">
        <f aca="false">Sens!$AA$608*Sens!$E$604</f>
        <v>0</v>
      </c>
    </row>
    <row r="610" customFormat="false" ht="17.15" hidden="false" customHeight="false" outlineLevel="0" collapsed="false">
      <c r="A610" s="5" t="s">
        <v>643</v>
      </c>
      <c r="B610" s="0" t="s">
        <v>86</v>
      </c>
      <c r="R610" s="38" t="n">
        <f aca="false">SUMPRODUCT(--(Sens!$R$575:$AA$575=2023-cip_lag),Sens!$R$609:$AA$609)</f>
        <v>0</v>
      </c>
      <c r="S610" s="38" t="n">
        <f aca="false">SUMPRODUCT(--(Sens!$R$575:$AA$575=2024-cip_lag),Sens!$R$609:$AA$609)</f>
        <v>0</v>
      </c>
      <c r="T610" s="38" t="n">
        <f aca="false">SUMPRODUCT(--(Sens!$R$575:$AA$575=2025-cip_lag),Sens!$R$609:$AA$609)</f>
        <v>10.219074499801</v>
      </c>
      <c r="U610" s="38" t="n">
        <f aca="false">SUMPRODUCT(--(Sens!$R$575:$AA$575=2026-cip_lag),Sens!$R$609:$AA$609)</f>
        <v>13.6989379390402</v>
      </c>
      <c r="V610" s="38" t="n">
        <f aca="false">SUMPRODUCT(--(Sens!$R$575:$AA$575=2027-cip_lag),Sens!$R$609:$AA$609)</f>
        <v>23.0454203705653</v>
      </c>
      <c r="W610" s="38" t="n">
        <f aca="false">SUMPRODUCT(--(Sens!$R$575:$AA$575=2028-cip_lag),Sens!$R$609:$AA$609)</f>
        <v>0</v>
      </c>
      <c r="X610" s="38" t="n">
        <f aca="false">SUMPRODUCT(--(Sens!$R$575:$AA$575=2029-cip_lag),Sens!$R$609:$AA$609)</f>
        <v>0</v>
      </c>
      <c r="Y610" s="38" t="n">
        <f aca="false">SUMPRODUCT(--(Sens!$R$575:$AA$575=2030-cip_lag),Sens!$R$609:$AA$609)</f>
        <v>0</v>
      </c>
      <c r="Z610" s="38" t="n">
        <f aca="false">SUMPRODUCT(--(Sens!$R$575:$AA$575=2031-cip_lag),Sens!$R$609:$AA$609)</f>
        <v>0</v>
      </c>
      <c r="AA610" s="38" t="n">
        <f aca="false">SUMPRODUCT(--(Sens!$R$575:$AA$575=2032-cip_lag),Sens!$R$609:$AA$609)</f>
        <v>0</v>
      </c>
    </row>
    <row r="611" customFormat="false" ht="15" hidden="false" customHeight="false" outlineLevel="0" collapsed="false">
      <c r="A611" s="5" t="s">
        <v>644</v>
      </c>
      <c r="B611" s="0" t="s">
        <v>86</v>
      </c>
      <c r="R611" s="38" t="n">
        <f aca="false">SUMPRODUCT(--(Sens!$R$575:$AA$575=2023-cip_lag),Sens!$R$608:$AA$608)-Sens!$R$610</f>
        <v>0</v>
      </c>
      <c r="S611" s="38" t="n">
        <f aca="false">SUMPRODUCT(--(Sens!$R$575:$AA$575=2024-cip_lag),Sens!$R$608:$AA$608)-Sens!$S$610</f>
        <v>0</v>
      </c>
      <c r="T611" s="38" t="n">
        <f aca="false">SUMPRODUCT(--(Sens!$R$575:$AA$575=2025-cip_lag),Sens!$R$608:$AA$608)-Sens!$T$610</f>
        <v>3.76516660793636</v>
      </c>
      <c r="U611" s="38" t="n">
        <f aca="false">SUMPRODUCT(--(Sens!$R$575:$AA$575=2026-cip_lag),Sens!$R$608:$AA$608)-Sens!$U$610</f>
        <v>5.04730479196242</v>
      </c>
      <c r="V611" s="38" t="n">
        <f aca="false">SUMPRODUCT(--(Sens!$R$575:$AA$575=2027-cip_lag),Sens!$R$608:$AA$608)-Sens!$V$610</f>
        <v>7.24592107794548</v>
      </c>
      <c r="W611" s="38" t="n">
        <f aca="false">SUMPRODUCT(--(Sens!$R$575:$AA$575=2028-cip_lag),Sens!$R$608:$AA$608)-Sens!$W$610</f>
        <v>0</v>
      </c>
      <c r="X611" s="38" t="n">
        <f aca="false">SUMPRODUCT(--(Sens!$R$575:$AA$575=2029-cip_lag),Sens!$R$608:$AA$608)-Sens!$X$610</f>
        <v>0</v>
      </c>
      <c r="Y611" s="38" t="n">
        <f aca="false">SUMPRODUCT(--(Sens!$R$575:$AA$575=2030-cip_lag),Sens!$R$608:$AA$608)-Sens!$Y$610</f>
        <v>0</v>
      </c>
      <c r="Z611" s="38" t="n">
        <f aca="false">SUMPRODUCT(--(Sens!$R$575:$AA$575=2031-cip_lag),Sens!$R$608:$AA$608)-Sens!$Z$610</f>
        <v>0</v>
      </c>
      <c r="AA611" s="38" t="n">
        <f aca="false">SUMPRODUCT(--(Sens!$R$575:$AA$575=2032-cip_lag),Sens!$R$608:$AA$608)-Sens!$AA$610</f>
        <v>0</v>
      </c>
    </row>
    <row r="612" customFormat="false" ht="17.15" hidden="false" customHeight="false" outlineLevel="0" collapsed="false">
      <c r="A612" s="5" t="s">
        <v>645</v>
      </c>
      <c r="B612" s="0" t="s">
        <v>86</v>
      </c>
      <c r="C612" s="38" t="n">
        <f aca="false">Sens!$C$607*Sens!$C$604</f>
        <v>8.2530642</v>
      </c>
      <c r="D612" s="38" t="n">
        <f aca="false">Sens!$D$607*Sens!$D$604</f>
        <v>37.1387889</v>
      </c>
      <c r="E612" s="38" t="n">
        <f aca="false">Sens!$E$607*Sens!$E$604</f>
        <v>25.7897792</v>
      </c>
      <c r="F612" s="38" t="n">
        <f aca="false">Sens!$F$607*Sens!$F$604</f>
        <v>67.4948715189913</v>
      </c>
      <c r="G612" s="38" t="n">
        <f aca="false">Sens!$E$612+Sens!$F$612</f>
        <v>93.2846507189913</v>
      </c>
      <c r="H612" s="38" t="n">
        <f aca="false">(Sens!$H$607-Sens!$H$606)*Sens!$H$604+Sens!$H$606</f>
        <v>152.52478394475</v>
      </c>
      <c r="I612" s="38" t="n">
        <f aca="false">(Sens!$I$607-Sens!$I$606)*Sens!$I$604+Sens!$I$606</f>
        <v>158.5998889105</v>
      </c>
      <c r="J612" s="38" t="n">
        <f aca="false">(Sens!$J$607-Sens!$J$606)*Sens!$J$604+Sens!$J$606</f>
        <v>163.8366571105</v>
      </c>
      <c r="K612" s="38" t="n">
        <f aca="false">(Sens!$K$607-Sens!$K$606)*Sens!$K$604+Sens!$K$606</f>
        <v>122.665498273534</v>
      </c>
      <c r="L612" s="38" t="n">
        <f aca="false">(Sens!$L$607-Sens!$L$606)*Sens!$L$604+Sens!$L$606</f>
        <v>112.914948636568</v>
      </c>
      <c r="M612" s="38" t="n">
        <f aca="false">(Sens!$M$607-Sens!$M$606)*Sens!$M$604+Sens!$M$606</f>
        <v>126.605482654852</v>
      </c>
      <c r="R612" s="38" t="n">
        <f aca="false">Sens!$R$607*Sens!$C$604</f>
        <v>1.09927679019314</v>
      </c>
      <c r="S612" s="38" t="n">
        <f aca="false">Sens!$C$612</f>
        <v>8.2530642</v>
      </c>
      <c r="T612" s="38" t="n">
        <f aca="false">Sens!$D$612</f>
        <v>37.1387889</v>
      </c>
      <c r="U612" s="38" t="n">
        <f aca="false">Sens!$G$612</f>
        <v>93.2846507189913</v>
      </c>
      <c r="V612" s="38" t="n">
        <f aca="false">Sens!$H$612</f>
        <v>152.52478394475</v>
      </c>
      <c r="W612" s="38" t="n">
        <f aca="false">Sens!$I$612</f>
        <v>158.5998889105</v>
      </c>
      <c r="X612" s="38" t="n">
        <f aca="false">Sens!$J$612</f>
        <v>163.8366571105</v>
      </c>
      <c r="Y612" s="38" t="n">
        <f aca="false">Sens!$K$612</f>
        <v>122.665498273534</v>
      </c>
      <c r="Z612" s="38" t="n">
        <f aca="false">Sens!$L$612</f>
        <v>112.914948636568</v>
      </c>
      <c r="AA612" s="38" t="n">
        <f aca="false">Sens!$M$612</f>
        <v>126.605482654852</v>
      </c>
    </row>
    <row r="613" customFormat="false" ht="15" hidden="false" customHeight="false" outlineLevel="0" collapsed="false">
      <c r="A613" s="5" t="s">
        <v>646</v>
      </c>
      <c r="B613" s="0" t="s">
        <v>86</v>
      </c>
      <c r="C613" s="38" t="n">
        <f aca="false">Sens!$C$607-Sens!$C$612</f>
        <v>3.0408</v>
      </c>
      <c r="D613" s="38" t="n">
        <f aca="false">Sens!$D$607-Sens!$D$612</f>
        <v>13.6836</v>
      </c>
      <c r="E613" s="38" t="n">
        <f aca="false">Sens!$E$607-Sens!$E$612</f>
        <v>8.1088</v>
      </c>
      <c r="F613" s="38" t="n">
        <f aca="false">Sens!$F$607-Sens!$F$612</f>
        <v>21.2216789422221</v>
      </c>
      <c r="G613" s="38" t="n">
        <f aca="false">Sens!$G$607-Sens!$G$612</f>
        <v>29.3304789422221</v>
      </c>
      <c r="H613" s="38" t="n">
        <f aca="false">Sens!$H$607-Sens!$H$612</f>
        <v>46.046581</v>
      </c>
      <c r="I613" s="38" t="n">
        <f aca="false">Sens!$I$607-Sens!$I$612</f>
        <v>46.046581</v>
      </c>
      <c r="J613" s="38" t="n">
        <f aca="false">Sens!$J$607-Sens!$J$612</f>
        <v>46.046581</v>
      </c>
      <c r="K613" s="38" t="n">
        <f aca="false">Sens!$K$607-Sens!$K$612</f>
        <v>32.5728870016667</v>
      </c>
      <c r="L613" s="38" t="n">
        <f aca="false">Sens!$L$607-Sens!$L$612</f>
        <v>19.0991930033334</v>
      </c>
      <c r="M613" s="38" t="n">
        <f aca="false">Sens!$M$607-Sens!$M$612</f>
        <v>5.62549900499998</v>
      </c>
      <c r="R613" s="38" t="n">
        <f aca="false">Sens!$R$607-Sens!$R$612</f>
        <v>0.405023005106309</v>
      </c>
      <c r="S613" s="38" t="n">
        <f aca="false">Sens!$S$607-Sens!$S$612</f>
        <v>3.0408</v>
      </c>
      <c r="T613" s="38" t="n">
        <f aca="false">Sens!$T$607-Sens!$T$612</f>
        <v>13.6836</v>
      </c>
      <c r="U613" s="38" t="n">
        <f aca="false">Sens!$U$607-Sens!$U$612</f>
        <v>29.3304789422221</v>
      </c>
      <c r="V613" s="38" t="n">
        <f aca="false">Sens!$V$607-Sens!$V$612</f>
        <v>46.046581</v>
      </c>
      <c r="W613" s="38" t="n">
        <f aca="false">Sens!$W$607-Sens!$W$612</f>
        <v>46.046581</v>
      </c>
      <c r="X613" s="38" t="n">
        <f aca="false">Sens!$X$607-Sens!$X$612</f>
        <v>46.046581</v>
      </c>
      <c r="Y613" s="38" t="n">
        <f aca="false">Sens!$Y$607-Sens!$Y$612</f>
        <v>32.5728870016667</v>
      </c>
      <c r="Z613" s="38" t="n">
        <f aca="false">Sens!$Z$607-Sens!$Z$612</f>
        <v>19.0991930033334</v>
      </c>
      <c r="AA613" s="38" t="n">
        <f aca="false">Sens!$AA$607-Sens!$AA$612</f>
        <v>5.62549900499998</v>
      </c>
    </row>
    <row r="614" customFormat="false" ht="17.15" hidden="false" customHeight="false" outlineLevel="0" collapsed="false">
      <c r="A614" s="0" t="s">
        <v>647</v>
      </c>
      <c r="B614" s="0" t="s">
        <v>52</v>
      </c>
      <c r="C614" s="13" t="n">
        <f aca="false">Sens!$C$605/Sens!$C$730</f>
        <v>0.325505489553393</v>
      </c>
      <c r="D614" s="13" t="n">
        <f aca="false">Sens!$D$605/Sens!$D$730</f>
        <v>0.54214956071542</v>
      </c>
      <c r="E614" s="13" t="n">
        <f aca="false">Sens!$E$605/Sens!$E$730</f>
        <v>0.666492790452817</v>
      </c>
      <c r="F614" s="13" t="n">
        <f aca="false">Sens!$F$605/Sens!$F$730</f>
        <v>0.71724917504417</v>
      </c>
      <c r="G614" s="13" t="n">
        <f aca="false">Sens!$G$605/Sens!$G$730</f>
        <v>0.69502941413511</v>
      </c>
      <c r="H614" s="13" t="n">
        <f aca="false">Sens!$H$605/Sens!$H$730</f>
        <v>0.726376041178204</v>
      </c>
      <c r="I614" s="13" t="n">
        <f aca="false">Sens!$I$605/Sens!$I$730</f>
        <v>0.713099092661699</v>
      </c>
      <c r="J614" s="13" t="n">
        <f aca="false">Sens!$J$605/Sens!$J$730</f>
        <v>0.701208348786245</v>
      </c>
      <c r="K614" s="13" t="n">
        <f aca="false">Sens!$K$605/Sens!$K$730</f>
        <v>0.618338844562383</v>
      </c>
      <c r="L614" s="13" t="n">
        <f aca="false">Sens!$L$605/Sens!$L$730</f>
        <v>0.562489158462506</v>
      </c>
      <c r="M614" s="13" t="n">
        <f aca="false">Sens!$M$605/Sens!$M$730</f>
        <v>0.545751190895923</v>
      </c>
    </row>
    <row r="615" customFormat="false" ht="17.15" hidden="false" customHeight="false" outlineLevel="0" collapsed="false">
      <c r="A615" s="0" t="s">
        <v>648</v>
      </c>
      <c r="B615" s="0" t="s">
        <v>86</v>
      </c>
      <c r="C615" s="38" t="n">
        <f aca="false">Sens!$S$615</f>
        <v>0.183212798365523</v>
      </c>
      <c r="D615" s="38" t="n">
        <f aca="false">Sens!$T$615</f>
        <v>1.55872349836552</v>
      </c>
      <c r="E615" s="38" t="n">
        <f aca="false">Sens!$G$615/2</f>
        <v>4.72585036583285</v>
      </c>
      <c r="F615" s="38" t="n">
        <f aca="false">Sens!$G$615/2</f>
        <v>4.72585036583285</v>
      </c>
      <c r="G615" s="38" t="n">
        <f aca="false">Sens!$U$615</f>
        <v>9.4517007316657</v>
      </c>
      <c r="H615" s="38" t="n">
        <f aca="false">Sens!$V$615</f>
        <v>27.2822988413376</v>
      </c>
      <c r="I615" s="38" t="n">
        <f aca="false">Sens!$W$615</f>
        <v>56.5439995605568</v>
      </c>
      <c r="J615" s="38" t="n">
        <f aca="false">Sens!$X$615</f>
        <v>82.9773143789735</v>
      </c>
      <c r="K615" s="38" t="n">
        <f aca="false">Sens!$Y$615</f>
        <v>110.100211099025</v>
      </c>
      <c r="L615" s="38" t="n">
        <f aca="false">Sens!$Z$615</f>
        <v>129.16895011128</v>
      </c>
      <c r="M615" s="38" t="n">
        <f aca="false">Sens!$AA$615</f>
        <v>140.095130984075</v>
      </c>
      <c r="N615" s="38" t="n">
        <f aca="false">Sens!$D$615/2</f>
        <v>0.779361749182762</v>
      </c>
      <c r="O615" s="38" t="n">
        <f aca="false">Sens!$D$615/2</f>
        <v>0.779361749182762</v>
      </c>
      <c r="R615" s="38" t="n">
        <f aca="false">(SUMPRODUCT(--(Sens!$R$575:$AA$575&lt;Sens!R$575),--(Sens!$R$575:$AA$575&gt;=Sens!R$575-tk_life),Sens!$R$612:$AA$612)+SUMPRODUCT(--(Sens!$R$575:$AA$575&lt;Sens!R$575),--(Sens!$R$575:$AA$575&gt;=Sens!R$575-tk_life),Sens!$R$610:$AA$610))/tk_life</f>
        <v>0</v>
      </c>
      <c r="S615" s="38" t="n">
        <f aca="false">(SUMPRODUCT(--(Sens!$R$575:$AA$575&lt;Sens!S$575),--(Sens!$R$575:$AA$575&gt;=Sens!S$575-tk_life),Sens!$R$612:$AA$612)+SUMPRODUCT(--(Sens!$R$575:$AA$575&lt;Sens!S$575),--(Sens!$R$575:$AA$575&gt;=Sens!S$575-tk_life),Sens!$R$610:$AA$610))/tk_life</f>
        <v>0.183212798365523</v>
      </c>
      <c r="T615" s="38" t="n">
        <f aca="false">(SUMPRODUCT(--(Sens!$R$575:$AA$575&lt;Sens!T$575),--(Sens!$R$575:$AA$575&gt;=Sens!T$575-tk_life),Sens!$R$612:$AA$612)+SUMPRODUCT(--(Sens!$R$575:$AA$575&lt;Sens!T$575),--(Sens!$R$575:$AA$575&gt;=Sens!T$575-tk_life),Sens!$R$610:$AA$610))/tk_life</f>
        <v>1.55872349836552</v>
      </c>
      <c r="U615" s="38" t="n">
        <f aca="false">(SUMPRODUCT(--(Sens!$R$575:$AA$575&lt;Sens!U$575),--(Sens!$R$575:$AA$575&gt;=Sens!U$575-tk_life),Sens!$R$612:$AA$612)+SUMPRODUCT(--(Sens!$R$575:$AA$575&lt;Sens!U$575),--(Sens!$R$575:$AA$575&gt;=Sens!U$575-tk_life),Sens!$R$610:$AA$610))/tk_life</f>
        <v>9.4517007316657</v>
      </c>
      <c r="V615" s="38" t="n">
        <f aca="false">(SUMPRODUCT(--(Sens!$R$575:$AA$575&lt;Sens!V$575),--(Sens!$R$575:$AA$575&gt;=Sens!V$575-tk_life),Sens!$R$612:$AA$612)+SUMPRODUCT(--(Sens!$R$575:$AA$575&lt;Sens!V$575),--(Sens!$R$575:$AA$575&gt;=Sens!V$575-tk_life),Sens!$R$610:$AA$610))/tk_life</f>
        <v>27.2822988413376</v>
      </c>
      <c r="W615" s="38" t="n">
        <f aca="false">(SUMPRODUCT(--(Sens!$R$575:$AA$575&lt;Sens!W$575),--(Sens!$R$575:$AA$575&gt;=Sens!W$575-tk_life),Sens!$R$612:$AA$612)+SUMPRODUCT(--(Sens!$R$575:$AA$575&lt;Sens!W$575),--(Sens!$R$575:$AA$575&gt;=Sens!W$575-tk_life),Sens!$R$610:$AA$610))/tk_life</f>
        <v>56.5439995605568</v>
      </c>
      <c r="X615" s="38" t="n">
        <f aca="false">(SUMPRODUCT(--(Sens!$R$575:$AA$575&lt;Sens!X$575),--(Sens!$R$575:$AA$575&gt;=Sens!X$575-tk_life),Sens!$R$612:$AA$612)+SUMPRODUCT(--(Sens!$R$575:$AA$575&lt;Sens!X$575),--(Sens!$R$575:$AA$575&gt;=Sens!X$575-tk_life),Sens!$R$610:$AA$610))/tk_life</f>
        <v>82.9773143789735</v>
      </c>
      <c r="Y615" s="38" t="n">
        <f aca="false">(SUMPRODUCT(--(Sens!$R$575:$AA$575&lt;Sens!Y$575),--(Sens!$R$575:$AA$575&gt;=Sens!Y$575-tk_life),Sens!$R$612:$AA$612)+SUMPRODUCT(--(Sens!$R$575:$AA$575&lt;Sens!Y$575),--(Sens!$R$575:$AA$575&gt;=Sens!Y$575-tk_life),Sens!$R$610:$AA$610))/tk_life</f>
        <v>110.100211099025</v>
      </c>
      <c r="Z615" s="38" t="n">
        <f aca="false">(SUMPRODUCT(--(Sens!$R$575:$AA$575&lt;Sens!Z$575),--(Sens!$R$575:$AA$575&gt;=Sens!Z$575-tk_life),Sens!$R$612:$AA$612)+SUMPRODUCT(--(Sens!$R$575:$AA$575&lt;Sens!Z$575),--(Sens!$R$575:$AA$575&gt;=Sens!Z$575-tk_life),Sens!$R$610:$AA$610))/tk_life</f>
        <v>129.16895011128</v>
      </c>
      <c r="AA615" s="38" t="n">
        <f aca="false">(SUMPRODUCT(--(Sens!$R$575:$AA$575&lt;Sens!AA$575),--(Sens!$R$575:$AA$575&gt;=Sens!AA$575-tk_life),Sens!$R$612:$AA$612)+SUMPRODUCT(--(Sens!$R$575:$AA$575&lt;Sens!AA$575),--(Sens!$R$575:$AA$575&gt;=Sens!AA$575-tk_life),Sens!$R$610:$AA$610))/tk_life</f>
        <v>140.095130984075</v>
      </c>
    </row>
    <row r="616" customFormat="false" ht="17.15" hidden="false" customHeight="false" outlineLevel="0" collapsed="false">
      <c r="A616" s="0" t="s">
        <v>649</v>
      </c>
      <c r="B616" s="0" t="s">
        <v>86</v>
      </c>
      <c r="C616" s="38" t="n">
        <f aca="false">Sens!$S$616</f>
        <v>0.0202511502553155</v>
      </c>
      <c r="D616" s="38" t="n">
        <f aca="false">Sens!$T$616</f>
        <v>0.172291150255315</v>
      </c>
      <c r="E616" s="38" t="n">
        <f aca="false">Sens!$G$616/2</f>
        <v>0.522364740326067</v>
      </c>
      <c r="F616" s="38" t="n">
        <f aca="false">Sens!$G$616/2</f>
        <v>0.522364740326067</v>
      </c>
      <c r="G616" s="38" t="n">
        <f aca="false">Sens!$U$616</f>
        <v>1.04472948065213</v>
      </c>
      <c r="H616" s="38" t="n">
        <f aca="false">Sens!$V$616</f>
        <v>2.76361866736136</v>
      </c>
      <c r="I616" s="38" t="n">
        <f aca="false">Sens!$W$616</f>
        <v>5.42824377125863</v>
      </c>
      <c r="J616" s="38" t="n">
        <f aca="false">Sens!$X$616</f>
        <v>7.73057282125864</v>
      </c>
      <c r="K616" s="38" t="n">
        <f aca="false">Sens!$Y$616</f>
        <v>10.0329018712586</v>
      </c>
      <c r="L616" s="38" t="n">
        <f aca="false">Sens!$Z$616</f>
        <v>11.661546221342</v>
      </c>
      <c r="M616" s="38" t="n">
        <f aca="false">Sens!$AA$616</f>
        <v>12.6165058715086</v>
      </c>
      <c r="N616" s="38" t="n">
        <f aca="false">Sens!$D$616/2</f>
        <v>0.0861455751276577</v>
      </c>
      <c r="O616" s="38" t="n">
        <f aca="false">Sens!$D$616/2</f>
        <v>0.0861455751276577</v>
      </c>
      <c r="R616" s="38" t="n">
        <f aca="false">(SUMPRODUCT(--(Sens!$R$575:$AA$575&lt;Sens!R$575),Sens!$R$613:$AA$613)+SUMPRODUCT(--(Sens!$R$575:$AA$575&lt;Sens!R$575),Sens!$R$611:$AA$611))/fac_life</f>
        <v>0</v>
      </c>
      <c r="S616" s="38" t="n">
        <f aca="false">(SUMPRODUCT(--(Sens!$R$575:$AA$575&lt;Sens!S$575),Sens!$R$613:$AA$613)+SUMPRODUCT(--(Sens!$R$575:$AA$575&lt;Sens!S$575),Sens!$R$611:$AA$611))/fac_life</f>
        <v>0.0202511502553155</v>
      </c>
      <c r="T616" s="38" t="n">
        <f aca="false">(SUMPRODUCT(--(Sens!$R$575:$AA$575&lt;Sens!T$575),Sens!$R$613:$AA$613)+SUMPRODUCT(--(Sens!$R$575:$AA$575&lt;Sens!T$575),Sens!$R$611:$AA$611))/fac_life</f>
        <v>0.172291150255315</v>
      </c>
      <c r="U616" s="38" t="n">
        <f aca="false">(SUMPRODUCT(--(Sens!$R$575:$AA$575&lt;Sens!U$575),Sens!$R$613:$AA$613)+SUMPRODUCT(--(Sens!$R$575:$AA$575&lt;Sens!U$575),Sens!$R$611:$AA$611))/fac_life</f>
        <v>1.04472948065213</v>
      </c>
      <c r="V616" s="38" t="n">
        <f aca="false">(SUMPRODUCT(--(Sens!$R$575:$AA$575&lt;Sens!V$575),Sens!$R$613:$AA$613)+SUMPRODUCT(--(Sens!$R$575:$AA$575&lt;Sens!V$575),Sens!$R$611:$AA$611))/fac_life</f>
        <v>2.76361866736136</v>
      </c>
      <c r="W616" s="38" t="n">
        <f aca="false">(SUMPRODUCT(--(Sens!$R$575:$AA$575&lt;Sens!W$575),Sens!$R$613:$AA$613)+SUMPRODUCT(--(Sens!$R$575:$AA$575&lt;Sens!W$575),Sens!$R$611:$AA$611))/fac_life</f>
        <v>5.42824377125863</v>
      </c>
      <c r="X616" s="38" t="n">
        <f aca="false">(SUMPRODUCT(--(Sens!$R$575:$AA$575&lt;Sens!X$575),Sens!$R$613:$AA$613)+SUMPRODUCT(--(Sens!$R$575:$AA$575&lt;Sens!X$575),Sens!$R$611:$AA$611))/fac_life</f>
        <v>7.73057282125864</v>
      </c>
      <c r="Y616" s="38" t="n">
        <f aca="false">(SUMPRODUCT(--(Sens!$R$575:$AA$575&lt;Sens!Y$575),Sens!$R$613:$AA$613)+SUMPRODUCT(--(Sens!$R$575:$AA$575&lt;Sens!Y$575),Sens!$R$611:$AA$611))/fac_life</f>
        <v>10.0329018712586</v>
      </c>
      <c r="Z616" s="38" t="n">
        <f aca="false">(SUMPRODUCT(--(Sens!$R$575:$AA$575&lt;Sens!Z$575),Sens!$R$613:$AA$613)+SUMPRODUCT(--(Sens!$R$575:$AA$575&lt;Sens!Z$575),Sens!$R$611:$AA$611))/fac_life</f>
        <v>11.661546221342</v>
      </c>
      <c r="AA616" s="38" t="n">
        <f aca="false">(SUMPRODUCT(--(Sens!$R$575:$AA$575&lt;Sens!AA$575),Sens!$R$613:$AA$613)+SUMPRODUCT(--(Sens!$R$575:$AA$575&lt;Sens!AA$575),Sens!$R$611:$AA$611))/fac_life</f>
        <v>12.6165058715086</v>
      </c>
    </row>
    <row r="617" customFormat="false" ht="17.15" hidden="false" customHeight="false" outlineLevel="0" collapsed="false">
      <c r="A617" s="1" t="s">
        <v>650</v>
      </c>
      <c r="B617" s="8" t="s">
        <v>86</v>
      </c>
      <c r="C617" s="38" t="n">
        <f aca="false">Sens!$C$615+Sens!$C$616</f>
        <v>0.203463948620839</v>
      </c>
      <c r="D617" s="38" t="n">
        <f aca="false">Sens!$D$615+Sens!$D$616</f>
        <v>1.73101464862084</v>
      </c>
      <c r="E617" s="38" t="n">
        <f aca="false">Sens!$E$615+Sens!$E$616</f>
        <v>5.24821510615892</v>
      </c>
      <c r="F617" s="38" t="n">
        <f aca="false">Sens!$F$615+Sens!$F$616</f>
        <v>5.24821510615892</v>
      </c>
      <c r="G617" s="38" t="n">
        <f aca="false">Sens!$G$615+Sens!$G$616</f>
        <v>10.4964302123178</v>
      </c>
      <c r="H617" s="38" t="n">
        <f aca="false">Sens!$H$615+Sens!$H$616</f>
        <v>30.045917508699</v>
      </c>
      <c r="I617" s="38" t="n">
        <f aca="false">Sens!$I$615+Sens!$I$616</f>
        <v>61.9722433318155</v>
      </c>
      <c r="J617" s="38" t="n">
        <f aca="false">Sens!$J$615+Sens!$J$616</f>
        <v>90.7078872002321</v>
      </c>
      <c r="K617" s="38" t="n">
        <f aca="false">Sens!$K$615+Sens!$K$616</f>
        <v>120.133112970283</v>
      </c>
      <c r="L617" s="38" t="n">
        <f aca="false">Sens!$L$615+Sens!$L$616</f>
        <v>140.830496332622</v>
      </c>
      <c r="M617" s="38" t="n">
        <f aca="false">Sens!$M$615+Sens!$M$616</f>
        <v>152.711636855584</v>
      </c>
      <c r="N617" s="38" t="n">
        <f aca="false">Sens!$N$615+Sens!$N$616</f>
        <v>0.865507324310419</v>
      </c>
      <c r="O617" s="38" t="n">
        <f aca="false">Sens!$O$615+Sens!$O$616</f>
        <v>0.865507324310419</v>
      </c>
      <c r="R617" s="38" t="n">
        <f aca="false">Sens!$R$615+Sens!$R$616</f>
        <v>0</v>
      </c>
      <c r="S617" s="38" t="n">
        <f aca="false">Sens!$S$615+Sens!$S$616</f>
        <v>0.203463948620839</v>
      </c>
      <c r="T617" s="38" t="n">
        <f aca="false">Sens!$T$615+Sens!$T$616</f>
        <v>1.73101464862084</v>
      </c>
      <c r="U617" s="38" t="n">
        <f aca="false">Sens!$U$615+Sens!$U$616</f>
        <v>10.4964302123178</v>
      </c>
      <c r="V617" s="38" t="n">
        <f aca="false">Sens!$V$615+Sens!$V$616</f>
        <v>30.045917508699</v>
      </c>
      <c r="W617" s="38" t="n">
        <f aca="false">Sens!$W$615+Sens!$W$616</f>
        <v>61.9722433318155</v>
      </c>
      <c r="X617" s="38" t="n">
        <f aca="false">Sens!$X$615+Sens!$X$616</f>
        <v>90.7078872002321</v>
      </c>
      <c r="Y617" s="38" t="n">
        <f aca="false">Sens!$Y$615+Sens!$Y$616</f>
        <v>120.133112970283</v>
      </c>
      <c r="Z617" s="38" t="n">
        <f aca="false">Sens!$Z$615+Sens!$Z$616</f>
        <v>140.830496332622</v>
      </c>
      <c r="AA617" s="38" t="n">
        <f aca="false">Sens!$AA$615+Sens!$AA$616</f>
        <v>152.711636855584</v>
      </c>
    </row>
    <row r="618" customFormat="false" ht="17.15" hidden="false" customHeight="false" outlineLevel="0" collapsed="false">
      <c r="A618" s="0" t="s">
        <v>651</v>
      </c>
      <c r="B618" s="0" t="s">
        <v>86</v>
      </c>
      <c r="C618" s="38" t="n">
        <f aca="false">Sens!$S$618</f>
        <v>26.578941154416</v>
      </c>
      <c r="D618" s="38" t="n">
        <f aca="false">Sens!$T$618</f>
        <v>94.4165581367978</v>
      </c>
      <c r="G618" s="38" t="n">
        <f aca="false">Sens!$U$618</f>
        <v>236.826599034204</v>
      </c>
      <c r="H618" s="38" t="n">
        <f aca="false">Sens!$V$618</f>
        <v>405.352046470255</v>
      </c>
      <c r="I618" s="38" t="n">
        <f aca="false">Sens!$W$618</f>
        <v>548.02627304894</v>
      </c>
      <c r="J618" s="38" t="n">
        <f aca="false">Sens!$X$618</f>
        <v>667.201623959208</v>
      </c>
      <c r="K618" s="38" t="n">
        <f aca="false">Sens!$Y$618</f>
        <v>702.306896264125</v>
      </c>
      <c r="L618" s="38" t="n">
        <f aca="false">Sens!$Z$618</f>
        <v>693.490541571405</v>
      </c>
      <c r="M618" s="38" t="n">
        <f aca="false">Sens!$AA$618</f>
        <v>673.009886375674</v>
      </c>
      <c r="R618" s="38" t="n">
        <f aca="false">SUM(Sens!$R$605:$R$605)-SUM(Sens!$R$617:$R$617)</f>
        <v>1.50429979529945</v>
      </c>
      <c r="S618" s="38" t="n">
        <f aca="false">SUM(Sens!$R$605:$S$605)-SUM(Sens!$R$617:$S$617)</f>
        <v>26.578941154416</v>
      </c>
      <c r="T618" s="38" t="n">
        <f aca="false">SUM(Sens!$R$605:$T$605)-SUM(Sens!$R$617:$T$617)</f>
        <v>94.4165581367978</v>
      </c>
      <c r="U618" s="38" t="n">
        <f aca="false">SUM(Sens!$R$605:$U$605)-SUM(Sens!$R$617:$U$617)</f>
        <v>236.826599034204</v>
      </c>
      <c r="V618" s="38" t="n">
        <f aca="false">SUM(Sens!$R$605:$V$605)-SUM(Sens!$R$617:$V$617)</f>
        <v>405.352046470255</v>
      </c>
      <c r="W618" s="38" t="n">
        <f aca="false">SUM(Sens!$R$605:$W$605)-SUM(Sens!$R$617:$W$617)</f>
        <v>548.02627304894</v>
      </c>
      <c r="X618" s="38" t="n">
        <f aca="false">SUM(Sens!$R$605:$X$605)-SUM(Sens!$R$617:$X$617)</f>
        <v>667.201623959208</v>
      </c>
      <c r="Y618" s="38" t="n">
        <f aca="false">SUM(Sens!$R$605:$Y$605)-SUM(Sens!$R$617:$Y$617)</f>
        <v>702.306896264125</v>
      </c>
      <c r="Z618" s="38" t="n">
        <f aca="false">SUM(Sens!$R$605:$Z$605)-SUM(Sens!$R$617:$Z$617)</f>
        <v>693.490541571405</v>
      </c>
      <c r="AA618" s="38" t="n">
        <f aca="false">SUM(Sens!$R$605:$AA$605)-SUM(Sens!$R$617:$AA$617)</f>
        <v>673.009886375674</v>
      </c>
    </row>
    <row r="619" customFormat="false" ht="17.15" hidden="false" customHeight="false" outlineLevel="0" collapsed="false">
      <c r="A619" s="1" t="s">
        <v>652</v>
      </c>
    </row>
    <row r="620" customFormat="false" ht="17.15" hidden="false" customHeight="false" outlineLevel="0" collapsed="false">
      <c r="A620" s="0" t="s">
        <v>653</v>
      </c>
      <c r="B620" s="0" t="s">
        <v>86</v>
      </c>
      <c r="C620" s="38" t="n">
        <f aca="false">Sens!$C$596-ext_sh*Sens!$C$598</f>
        <v>1.80694998843362</v>
      </c>
      <c r="D620" s="38" t="n">
        <f aca="false">Sens!$D$596-ext_sh*Sens!$D$598</f>
        <v>6.77606245662607</v>
      </c>
      <c r="E620" s="38" t="n">
        <f aca="false">Sens!$E$596-ext_sh*Sens!$E$598</f>
        <v>6.62548329092326</v>
      </c>
      <c r="F620" s="38" t="n">
        <f aca="false">Sens!$F$596-ext_sh*Sens!$F$598</f>
        <v>14.3233275606891</v>
      </c>
      <c r="G620" s="38" t="n">
        <f aca="false">Sens!$G$596-ext_sh*Sens!$G$598</f>
        <v>20.9488108516123</v>
      </c>
      <c r="H620" s="38" t="n">
        <f aca="false">Sens!$H$596-ext_sh*Sens!$H$598</f>
        <v>68.7702777464201</v>
      </c>
      <c r="I620" s="38" t="n">
        <f aca="false">Sens!$I$596-ext_sh*Sens!$I$598</f>
        <v>123.743293396039</v>
      </c>
      <c r="J620" s="38" t="n">
        <f aca="false">Sens!$J$596-ext_sh*Sens!$J$598</f>
        <v>178.982447779414</v>
      </c>
      <c r="K620" s="38" t="n">
        <f aca="false">Sens!$K$596-ext_sh*Sens!$K$598</f>
        <v>226.104871772476</v>
      </c>
      <c r="L620" s="38" t="n">
        <f aca="false">Sens!$L$596-ext_sh*Sens!$L$598</f>
        <v>257.073803762517</v>
      </c>
      <c r="M620" s="38" t="n">
        <f aca="false">Sens!$M$596-ext_sh*Sens!$M$598</f>
        <v>271.845958070998</v>
      </c>
      <c r="N620" s="38" t="n">
        <f aca="false">Sens!$N$596-ext_sh*Sens!$N$598</f>
        <v>2.37162185981912</v>
      </c>
      <c r="O620" s="38" t="n">
        <f aca="false">Sens!$O$596-ext_sh*Sens!$O$598</f>
        <v>4.40444059680694</v>
      </c>
    </row>
    <row r="621" customFormat="false" ht="17.15" hidden="false" customHeight="false" outlineLevel="0" collapsed="false">
      <c r="A621" s="1" t="s">
        <v>654</v>
      </c>
      <c r="B621" s="8" t="s">
        <v>86</v>
      </c>
      <c r="C621" s="38" t="n">
        <f aca="false">Sens!$C$620-ext_sh*Sens!$C$617</f>
        <v>1.64417882953695</v>
      </c>
      <c r="D621" s="38" t="n">
        <f aca="false">Sens!$D$620-ext_sh*Sens!$D$617</f>
        <v>5.39125073772939</v>
      </c>
      <c r="E621" s="38" t="n">
        <f aca="false">Sens!$E$620-ext_sh*Sens!$E$617</f>
        <v>2.42691120599613</v>
      </c>
      <c r="F621" s="38" t="n">
        <f aca="false">Sens!$F$620-ext_sh*Sens!$F$617</f>
        <v>10.1247554757619</v>
      </c>
      <c r="G621" s="38" t="n">
        <f aca="false">Sens!$G$620-ext_sh*Sens!$G$617</f>
        <v>12.5516666817581</v>
      </c>
      <c r="H621" s="38" t="n">
        <f aca="false">Sens!$H$620-ext_sh*Sens!$H$617</f>
        <v>44.7335437394609</v>
      </c>
      <c r="I621" s="38" t="n">
        <f aca="false">Sens!$I$620-ext_sh*Sens!$I$617</f>
        <v>74.165498730587</v>
      </c>
      <c r="J621" s="38" t="n">
        <f aca="false">Sens!$J$620-ext_sh*Sens!$J$617</f>
        <v>106.416138019229</v>
      </c>
      <c r="K621" s="38" t="n">
        <f aca="false">Sens!$K$620-ext_sh*Sens!$K$617</f>
        <v>129.99838139625</v>
      </c>
      <c r="L621" s="38" t="n">
        <f aca="false">Sens!$L$620-ext_sh*Sens!$L$617</f>
        <v>144.409406696419</v>
      </c>
      <c r="M621" s="38" t="n">
        <f aca="false">Sens!$M$620-ext_sh*Sens!$M$617</f>
        <v>149.676648586531</v>
      </c>
      <c r="N621" s="38" t="n">
        <f aca="false">Sens!$N$620-ext_sh*Sens!$N$617</f>
        <v>1.67921600037079</v>
      </c>
      <c r="O621" s="38" t="n">
        <f aca="false">Sens!$O$620-ext_sh*Sens!$O$617</f>
        <v>3.71203473735861</v>
      </c>
    </row>
    <row r="622" customFormat="false" ht="17.15" hidden="false" customHeight="false" outlineLevel="0" collapsed="false">
      <c r="A622" s="0" t="s">
        <v>655</v>
      </c>
      <c r="B622" s="0" t="s">
        <v>52</v>
      </c>
      <c r="C622" s="13" t="n">
        <f aca="false">Sens!$C$621/Sens!$C$596</f>
        <v>0.708390794789371</v>
      </c>
      <c r="D622" s="13" t="n">
        <f aca="false">Sens!$D$621/Sens!$D$596</f>
        <v>0.619415573115729</v>
      </c>
      <c r="E622" s="13" t="n">
        <f aca="false">Sens!$E$621/Sens!$E$596</f>
        <v>0.285171627189009</v>
      </c>
      <c r="F622" s="13" t="n">
        <f aca="false">Sens!$F$621/Sens!$F$596</f>
        <v>0.576360583634334</v>
      </c>
      <c r="G622" s="13" t="n">
        <f aca="false">Sens!$G$621/Sens!$G$596</f>
        <v>0.481329888538309</v>
      </c>
      <c r="H622" s="13" t="n">
        <f aca="false">Sens!$H$621/Sens!$H$596</f>
        <v>0.549423918894282</v>
      </c>
      <c r="I622" s="13" t="n">
        <f aca="false">Sens!$I$621/Sens!$I$596</f>
        <v>0.512571353168592</v>
      </c>
      <c r="J622" s="13" t="n">
        <f aca="false">Sens!$J$621/Sens!$J$596</f>
        <v>0.511005450469331</v>
      </c>
      <c r="K622" s="13" t="n">
        <f aca="false">Sens!$K$621/Sens!$K$596</f>
        <v>0.49529121187622</v>
      </c>
      <c r="L622" s="13" t="n">
        <f aca="false">Sens!$L$621/Sens!$L$596</f>
        <v>0.484429091492788</v>
      </c>
      <c r="M622" s="13" t="n">
        <f aca="false">Sens!$M$621/Sens!$M$596</f>
        <v>0.475007449116783</v>
      </c>
      <c r="N622" s="13" t="n">
        <f aca="false">Sens!$N$621/Sens!$N$596</f>
        <v>0.551227795793364</v>
      </c>
      <c r="O622" s="13" t="n">
        <f aca="false">Sens!$O$621/Sens!$O$596</f>
        <v>0.656132068597002</v>
      </c>
    </row>
    <row r="623" customFormat="false" ht="17.15" hidden="false" customHeight="false" outlineLevel="0" collapsed="false">
      <c r="A623" s="5" t="s">
        <v>656</v>
      </c>
      <c r="B623" s="0" t="s">
        <v>86</v>
      </c>
      <c r="C623" s="39" t="n">
        <v>0</v>
      </c>
      <c r="D623" s="39" t="n">
        <v>0</v>
      </c>
      <c r="E623" s="39" t="n">
        <v>0</v>
      </c>
      <c r="F623" s="38" t="n">
        <f aca="false">IF(internal_ai_reading=2,1,0)*(1-ext_sh)/ext_sh*(mw_open*he_open+Sens!$F$594*Sens!$F$591)*Sens!$F$580/1000</f>
        <v>3.77122048175818</v>
      </c>
      <c r="G623" s="38" t="n">
        <f aca="false">Sens!$E$623+Sens!$F$623</f>
        <v>3.77122048175818</v>
      </c>
      <c r="H623" s="38" t="n">
        <f aca="false">IF(internal_ai_reading=2,1,0)*(1-ext_sh)/ext_sh*(mw_open*he_open+Sens!$H$594*Sens!$H$591)*Sens!$H$580/1000</f>
        <v>15.1635543609893</v>
      </c>
      <c r="I623" s="38" t="n">
        <f aca="false">IF(internal_ai_reading=2,1,0)*(1-ext_sh)/ext_sh*(mw_open*he_open+Sens!$I$594*Sens!$I$591)*Sens!$I$580/1000</f>
        <v>25.5818843619889</v>
      </c>
      <c r="J623" s="38" t="n">
        <f aca="false">IF(internal_ai_reading=2,1,0)*(1-ext_sh)/ext_sh*(mw_open*he_open+Sens!$J$594*Sens!$J$591)*Sens!$J$580/1000</f>
        <v>36.0465624179122</v>
      </c>
      <c r="K623" s="38" t="n">
        <f aca="false">IF(internal_ai_reading=2,1,0)*(1-ext_sh)/ext_sh*(mw_open*he_open+Sens!$K$594*Sens!$K$591)*Sens!$K$580/1000</f>
        <v>44.9741164026038</v>
      </c>
      <c r="L623" s="38" t="n">
        <f aca="false">IF(internal_ai_reading=2,1,0)*(1-ext_sh)/ext_sh*(mw_open*he_open+Sens!$L$594*Sens!$L$591)*Sens!$L$580/1000</f>
        <v>50.8413488057813</v>
      </c>
      <c r="M623" s="38" t="n">
        <f aca="false">IF(internal_ai_reading=2,1,0)*(1-ext_sh)/ext_sh*(mw_open*he_open+Sens!$M$594*Sens!$M$591)*Sens!$M$580/1000</f>
        <v>53.6407214274315</v>
      </c>
      <c r="N623" s="39" t="n">
        <v>0</v>
      </c>
      <c r="O623" s="39" t="n">
        <v>0</v>
      </c>
      <c r="P623" s="8" t="s">
        <v>657</v>
      </c>
    </row>
    <row r="624" customFormat="false" ht="17.15" hidden="false" customHeight="false" outlineLevel="0" collapsed="false">
      <c r="A624" s="5" t="s">
        <v>658</v>
      </c>
      <c r="B624" s="0" t="s">
        <v>86</v>
      </c>
      <c r="C624" s="38" t="n">
        <f aca="false">(1-ext_sh)*(Sens!$C$598+Sens!$C$617)</f>
        <v>0.169206631859174</v>
      </c>
      <c r="D624" s="38" t="n">
        <f aca="false">(1-ext_sh)*(Sens!$D$598+Sens!$D$617)</f>
        <v>0.828129837730442</v>
      </c>
      <c r="E624" s="38" t="n">
        <f aca="false">(1-ext_sh)*(Sens!$E$598+Sens!$E$617)</f>
        <v>1.52086044239347</v>
      </c>
      <c r="F624" s="38" t="n">
        <f aca="false">(1-ext_sh)*(Sens!$F$598+Sens!$F$617)</f>
        <v>1.86048700344425</v>
      </c>
      <c r="G624" s="38" t="n">
        <f aca="false">(1-ext_sh)*(Sens!$G$598+Sens!$G$617)</f>
        <v>3.38134744583772</v>
      </c>
      <c r="H624" s="38" t="n">
        <f aca="false">(1-ext_sh)*(Sens!$H$598+Sens!$H$617)</f>
        <v>9.17136301267211</v>
      </c>
      <c r="I624" s="38" t="n">
        <f aca="false">(1-ext_sh)*(Sens!$I$598+Sens!$I$617)</f>
        <v>17.6318811343794</v>
      </c>
      <c r="J624" s="38" t="n">
        <f aca="false">(1-ext_sh)*(Sens!$J$598+Sens!$J$617)</f>
        <v>25.4581000191451</v>
      </c>
      <c r="K624" s="38" t="n">
        <f aca="false">(1-ext_sh)*(Sens!$K$598+Sens!$K$617)</f>
        <v>33.1175498168092</v>
      </c>
      <c r="L624" s="38" t="n">
        <f aca="false">(1-ext_sh)*(Sens!$L$598+Sens!$L$617)</f>
        <v>38.4232131776135</v>
      </c>
      <c r="M624" s="38" t="n">
        <f aca="false">(1-ext_sh)*(Sens!$M$598+Sens!$M$617)</f>
        <v>41.3567859278847</v>
      </c>
      <c r="N624" s="38" t="n">
        <f aca="false">(1-ext_sh)*(Sens!$N$598+Sens!$N$617)</f>
        <v>0.34177588266428</v>
      </c>
      <c r="O624" s="38" t="n">
        <f aca="false">(1-ext_sh)*(Sens!$O$598+Sens!$O$617)</f>
        <v>0.486353955066162</v>
      </c>
    </row>
    <row r="625" customFormat="false" ht="17.15" hidden="false" customHeight="false" outlineLevel="0" collapsed="false">
      <c r="A625" s="0" t="s">
        <v>659</v>
      </c>
      <c r="B625" s="0" t="s">
        <v>86</v>
      </c>
      <c r="C625" s="38" t="n">
        <f aca="false">Q!$D$24</f>
        <v>39.834</v>
      </c>
      <c r="D625" s="38" t="n">
        <f aca="false">Q!$E$24</f>
        <v>45.606</v>
      </c>
      <c r="E625" s="38" t="n">
        <f aca="false">Q!$P$24</f>
        <v>30.782</v>
      </c>
      <c r="N625" s="38" t="n">
        <f aca="false">Q!$N$24</f>
        <v>21.707</v>
      </c>
      <c r="O625" s="38" t="n">
        <f aca="false">Q!$O$24</f>
        <v>23.899</v>
      </c>
    </row>
    <row r="626" customFormat="false" ht="17.15" hidden="false" customHeight="false" outlineLevel="0" collapsed="false">
      <c r="A626" s="0" t="s">
        <v>660</v>
      </c>
      <c r="B626" s="0" t="s">
        <v>86</v>
      </c>
      <c r="C626" s="38" t="n">
        <f aca="false">Sens!$C$625-Sens!$C$621</f>
        <v>38.1898211704631</v>
      </c>
      <c r="D626" s="38" t="n">
        <f aca="false">Sens!$D$625-Sens!$D$621</f>
        <v>40.2147492622706</v>
      </c>
      <c r="E626" s="38" t="n">
        <f aca="false">Sens!$E$625-Sens!$E$621</f>
        <v>28.3550887940039</v>
      </c>
      <c r="F626" s="38" t="n">
        <f aca="false">Sens!$F$600*Sens!$F$627</f>
        <v>25.9529793149447</v>
      </c>
      <c r="G626" s="38" t="n">
        <f aca="false">Sens!$E$626+Sens!$F$626</f>
        <v>54.3080681089486</v>
      </c>
      <c r="H626" s="38" t="n">
        <f aca="false">Sens!$H$600*Sens!$H$627</f>
        <v>58.2264684589333</v>
      </c>
      <c r="I626" s="38" t="n">
        <f aca="false">Sens!$I$600*Sens!$I$627</f>
        <v>64.6461353851744</v>
      </c>
      <c r="J626" s="38" t="n">
        <f aca="false">Sens!$J$600*Sens!$J$627</f>
        <v>70.7957093610231</v>
      </c>
      <c r="K626" s="38" t="n">
        <f aca="false">Sens!$K$600*Sens!$K$627</f>
        <v>76.4593661099049</v>
      </c>
      <c r="L626" s="38" t="n">
        <f aca="false">Sens!$L$600*Sens!$L$627</f>
        <v>82.5761153986973</v>
      </c>
      <c r="M626" s="38" t="n">
        <f aca="false">Sens!$M$600*Sens!$M$627</f>
        <v>89.1822046305931</v>
      </c>
      <c r="N626" s="38" t="n">
        <f aca="false">Sens!$N$625-Sens!$N$621</f>
        <v>20.0277839996292</v>
      </c>
      <c r="O626" s="38" t="n">
        <f aca="false">Sens!$O$625-Sens!$O$621</f>
        <v>20.1869652626414</v>
      </c>
      <c r="P626" s="5" t="s">
        <v>661</v>
      </c>
    </row>
    <row r="627" customFormat="false" ht="17.15" hidden="false" customHeight="false" outlineLevel="0" collapsed="false">
      <c r="A627" s="0" t="s">
        <v>662</v>
      </c>
      <c r="B627" s="0" t="s">
        <v>52</v>
      </c>
      <c r="C627" s="13" t="n">
        <f aca="false">Sens!$C$626/Sens!$C$600</f>
        <v>0.362900395443635</v>
      </c>
      <c r="D627" s="13" t="n">
        <f aca="false">Sens!$D$626/Sens!$D$600</f>
        <v>0.335063632425483</v>
      </c>
      <c r="E627" s="13" t="n">
        <f aca="false">Sens!$E$626/Sens!$E$600</f>
        <v>0.397638855555478</v>
      </c>
      <c r="F627" s="13" t="n">
        <f aca="false">(Sens!$O$626+Sens!$E$626)/(Sens!$O$600+Sens!$E$600)</f>
        <v>0.361616727338133</v>
      </c>
      <c r="G627" s="13" t="n">
        <f aca="false">Sens!$G$626/Sens!$G$600</f>
        <v>0.379569803149143</v>
      </c>
      <c r="H627" s="13" t="n">
        <f aca="false">Sens!$F$627</f>
        <v>0.361616727338133</v>
      </c>
      <c r="I627" s="13" t="n">
        <f aca="false">Sens!$F$627</f>
        <v>0.361616727338133</v>
      </c>
      <c r="J627" s="13" t="n">
        <f aca="false">Sens!$F$627</f>
        <v>0.361616727338133</v>
      </c>
      <c r="K627" s="13" t="n">
        <f aca="false">Sens!$F$627</f>
        <v>0.361616727338133</v>
      </c>
      <c r="L627" s="13" t="n">
        <f aca="false">Sens!$F$627</f>
        <v>0.361616727338133</v>
      </c>
      <c r="M627" s="13" t="n">
        <f aca="false">Sens!$F$627</f>
        <v>0.361616727338133</v>
      </c>
      <c r="N627" s="13" t="n">
        <f aca="false">Sens!$N$626/Sens!$N$600</f>
        <v>0.35078810535806</v>
      </c>
      <c r="O627" s="13" t="n">
        <f aca="false">Sens!$O$626/Sens!$O$600</f>
        <v>0.320796939361619</v>
      </c>
      <c r="P627" s="8" t="s">
        <v>663</v>
      </c>
    </row>
    <row r="628" customFormat="false" ht="17.15" hidden="false" customHeight="false" outlineLevel="0" collapsed="false">
      <c r="A628" s="0" t="s">
        <v>664</v>
      </c>
      <c r="B628" s="0" t="s">
        <v>52</v>
      </c>
      <c r="D628" s="13" t="n">
        <f aca="false">(Q!$E$31-ext_sh*Sens!$D$617)/Sens!$D$600</f>
        <v>0.167180325480118</v>
      </c>
    </row>
    <row r="629" customFormat="false" ht="17.15" hidden="false" customHeight="false" outlineLevel="0" collapsed="false">
      <c r="A629" s="0" t="s">
        <v>665</v>
      </c>
      <c r="B629" s="0" t="s">
        <v>86</v>
      </c>
      <c r="C629" s="38" t="n">
        <f aca="false">Q!$D$31</f>
        <v>13.32</v>
      </c>
      <c r="D629" s="38" t="n">
        <f aca="false">Q!$E$31</f>
        <v>21.45</v>
      </c>
      <c r="E629" s="38" t="n">
        <f aca="false">Q!$P$31</f>
        <v>15.353</v>
      </c>
      <c r="F629" s="38" t="n">
        <f aca="false">ext_sh*Sens!$F$617+Sens!$D$628*Sens!$F$600</f>
        <v>16.1969869840094</v>
      </c>
      <c r="G629" s="38" t="n">
        <f aca="false">Sens!$E$629+Sens!$F$629</f>
        <v>31.5499869840094</v>
      </c>
      <c r="H629" s="38" t="n">
        <f aca="false">ext_sh*Sens!$H$617+Sens!$D$628*Sens!$H$600</f>
        <v>50.9556213609176</v>
      </c>
      <c r="I629" s="38" t="n">
        <f aca="false">ext_sh*Sens!$I$617+Sens!$D$628*Sens!$I$600</f>
        <v>79.464581248252</v>
      </c>
      <c r="J629" s="38" t="n">
        <f aca="false">ext_sh*Sens!$J$617+Sens!$D$628*Sens!$J$600</f>
        <v>105.296127931746</v>
      </c>
      <c r="K629" s="38" t="n">
        <f aca="false">ext_sh*Sens!$K$617+Sens!$D$628*Sens!$K$600</f>
        <v>131.454694001511</v>
      </c>
      <c r="L629" s="38" t="n">
        <f aca="false">ext_sh*Sens!$L$617+Sens!$D$628*Sens!$L$600</f>
        <v>150.840456981405</v>
      </c>
      <c r="M629" s="38" t="n">
        <f aca="false">ext_sh*Sens!$M$617+Sens!$D$628*Sens!$M$600</f>
        <v>163.399454192999</v>
      </c>
      <c r="N629" s="38" t="n">
        <f aca="false">Q!$N$31</f>
        <v>9.234</v>
      </c>
      <c r="O629" s="38" t="n">
        <f aca="false">Q!$O$31</f>
        <v>12.216</v>
      </c>
    </row>
    <row r="630" customFormat="false" ht="17.15" hidden="false" customHeight="false" outlineLevel="0" collapsed="false">
      <c r="A630" s="1" t="s">
        <v>666</v>
      </c>
    </row>
    <row r="631" customFormat="false" ht="17.15" hidden="false" customHeight="false" outlineLevel="0" collapsed="false">
      <c r="A631" s="15" t="s">
        <v>667</v>
      </c>
      <c r="B631" s="14" t="s">
        <v>52</v>
      </c>
      <c r="C631" s="14"/>
      <c r="D631" s="14"/>
      <c r="E631" s="14"/>
      <c r="F631" s="14"/>
      <c r="G631" s="17" t="n">
        <f aca="false">Sens!$G$621*(1-tax)/(ext_sh*(Sens!$D$618+Sens!$G$618)/2)</f>
        <v>0.0782875912901143</v>
      </c>
      <c r="H631" s="17" t="n">
        <f aca="false">Sens!$H$621*(1-tax)/(ext_sh*(Sens!$G$618+Sens!$H$618)/2)</f>
        <v>0.143918257731559</v>
      </c>
      <c r="I631" s="17" t="n">
        <f aca="false">Sens!$I$621*(1-tax)/(ext_sh*(Sens!$H$618+Sens!$I$618)/2)</f>
        <v>0.160721915127921</v>
      </c>
      <c r="J631" s="17" t="n">
        <f aca="false">Sens!$J$621*(1-tax)/(ext_sh*(Sens!$I$618+Sens!$J$618)/2)</f>
        <v>0.180920680172086</v>
      </c>
      <c r="K631" s="17" t="n">
        <f aca="false">Sens!$K$621*(1-tax)/(ext_sh*(Sens!$J$618+Sens!$K$618)/2)</f>
        <v>0.196115380652328</v>
      </c>
      <c r="L631" s="17" t="n">
        <f aca="false">Sens!$L$621*(1-tax)/(ext_sh*(Sens!$K$618+Sens!$L$618)/2)</f>
        <v>0.213752663818581</v>
      </c>
      <c r="M631" s="17" t="n">
        <f aca="false">Sens!$M$621*(1-tax)/(ext_sh*(Sens!$L$618+Sens!$M$618)/2)</f>
        <v>0.226299048038437</v>
      </c>
      <c r="N631" s="14"/>
      <c r="O631" s="14"/>
      <c r="P631" s="8" t="s">
        <v>668</v>
      </c>
    </row>
    <row r="632" customFormat="false" ht="17.15" hidden="false" customHeight="false" outlineLevel="0" collapsed="false">
      <c r="A632" s="5" t="s">
        <v>669</v>
      </c>
      <c r="B632" s="0" t="s">
        <v>57</v>
      </c>
      <c r="H632" s="36" t="n">
        <f aca="false">Sens!$H$596*1000/(mw_open*he_open+Sens!$H$594*Sens!$H$591)</f>
        <v>1.34234681809848</v>
      </c>
      <c r="I632" s="36" t="n">
        <f aca="false">Sens!$I$596*1000/(mw_open*he_open+Sens!$I$594*Sens!$I$591)</f>
        <v>1.41401842433369</v>
      </c>
      <c r="J632" s="36" t="n">
        <f aca="false">Sens!$J$596*1000/(mw_open*he_open+Sens!$J$594*Sens!$J$591)</f>
        <v>1.44430234207525</v>
      </c>
      <c r="K632" s="36" t="n">
        <f aca="false">Sens!$K$596*1000/(mw_open*he_open+Sens!$K$594*Sens!$K$591)</f>
        <v>1.45899798405095</v>
      </c>
      <c r="L632" s="36" t="n">
        <f aca="false">Sens!$L$596*1000/(mw_open*he_open+Sens!$L$594*Sens!$L$591)</f>
        <v>1.46584554899228</v>
      </c>
      <c r="M632" s="36" t="n">
        <f aca="false">Sens!$M$596*1000/(mw_open*he_open+Sens!$M$594*Sens!$M$591)</f>
        <v>1.46858479860474</v>
      </c>
    </row>
    <row r="633" customFormat="false" ht="17.15" hidden="false" customHeight="false" outlineLevel="0" collapsed="false">
      <c r="A633" s="5" t="s">
        <v>670</v>
      </c>
      <c r="B633" s="0" t="s">
        <v>57</v>
      </c>
      <c r="H633" s="36" t="n">
        <f aca="false">Sens!$H$632*(Sens!$H$596+wacc*ext_sh*(Sens!$G$618+Sens!$H$618)/2/(1-tax)-Sens!$H$621)/Sens!$H$596</f>
        <v>1.18542857552197</v>
      </c>
      <c r="I633" s="36" t="n">
        <f aca="false">Sens!$I$632*(Sens!$I$596+wacc*ext_sh*(Sens!$H$618+Sens!$I$618)/2/(1-tax)-Sens!$I$621)/Sens!$I$596</f>
        <v>1.20015476648903</v>
      </c>
      <c r="J633" s="36" t="n">
        <f aca="false">Sens!$J$632*(Sens!$J$596+wacc*ext_sh*(Sens!$I$618+Sens!$J$618)/2/(1-tax)-Sens!$J$621)/Sens!$J$596</f>
        <v>1.16844056931249</v>
      </c>
      <c r="K633" s="36" t="n">
        <f aca="false">Sens!$K$632*(Sens!$K$596+wacc*ext_sh*(Sens!$J$618+Sens!$K$618)/2/(1-tax)-Sens!$K$621)/Sens!$K$596</f>
        <v>1.15383758356873</v>
      </c>
      <c r="L633" s="36" t="n">
        <f aca="false">Sens!$L$632*(Sens!$L$596+wacc*ext_sh*(Sens!$K$618+Sens!$L$618)/2/(1-tax)-Sens!$L$621)/Sens!$L$596</f>
        <v>1.13212765595665</v>
      </c>
      <c r="M633" s="36" t="n">
        <f aca="false">Sens!$M$632*(Sens!$M$596+wacc*ext_sh*(Sens!$L$618+Sens!$M$618)/2/(1-tax)-Sens!$M$621)/Sens!$M$596</f>
        <v>1.12024635139935</v>
      </c>
    </row>
    <row r="634" customFormat="false" ht="17.15" hidden="false" customHeight="false" outlineLevel="0" collapsed="false">
      <c r="A634" s="5" t="s">
        <v>671</v>
      </c>
      <c r="B634" s="0" t="s">
        <v>52</v>
      </c>
      <c r="C634" s="13" t="n">
        <f aca="false">Sens!$C$597/tk_pq</f>
        <v>0.195316432429398</v>
      </c>
      <c r="D634" s="13" t="n">
        <f aca="false">Sens!$D$597/tk_pq</f>
        <v>0.195316432429398</v>
      </c>
      <c r="E634" s="13" t="n">
        <f aca="false">Sens!$E$597/tk_pq</f>
        <v>0.195316432429398</v>
      </c>
      <c r="F634" s="13" t="n">
        <f aca="false">Sens!$F$597/tk_pq</f>
        <v>0.237426936709385</v>
      </c>
      <c r="G634" s="13" t="n">
        <f aca="false">Sens!$G$597/tk_pq</f>
        <v>0.221819204382786</v>
      </c>
      <c r="H634" s="13" t="n">
        <f aca="false">Sens!$H$597/tk_pq</f>
        <v>0.287764082666319</v>
      </c>
      <c r="I634" s="13" t="n">
        <f aca="false">Sens!$I$597/tk_pq</f>
        <v>0.312589866504342</v>
      </c>
      <c r="J634" s="13" t="n">
        <f aca="false">Sens!$J$597/tk_pq</f>
        <v>0.323954585221101</v>
      </c>
      <c r="K634" s="13" t="n">
        <f aca="false">Sens!$K$597/tk_pq</f>
        <v>0.329546787881527</v>
      </c>
      <c r="L634" s="13" t="n">
        <f aca="false">Sens!$L$597/tk_pq</f>
        <v>0.33217725830056</v>
      </c>
      <c r="M634" s="13" t="n">
        <f aca="false">Sens!$M$597/tk_pq</f>
        <v>0.333185532476634</v>
      </c>
      <c r="N634" s="13" t="n">
        <f aca="false">Sens!$N$597/tk_pq</f>
        <v>0.195316432429398</v>
      </c>
      <c r="O634" s="13" t="n">
        <f aca="false">Sens!$O$597/tk_pq</f>
        <v>0.195316432429398</v>
      </c>
      <c r="P634" s="5" t="s">
        <v>672</v>
      </c>
    </row>
    <row r="637" customFormat="false" ht="17.15" hidden="false" customHeight="false" outlineLevel="0" collapsed="false">
      <c r="A637" s="1" t="s">
        <v>701</v>
      </c>
    </row>
    <row r="638" customFormat="false" ht="17.15" hidden="false" customHeight="false" outlineLevel="0" collapsed="false">
      <c r="A638" s="0" t="s">
        <v>702</v>
      </c>
      <c r="B638" s="0" t="s">
        <v>86</v>
      </c>
      <c r="C638" s="38" t="n">
        <f aca="false">Sens!$C$596</f>
        <v>2.32100535697364</v>
      </c>
      <c r="D638" s="38" t="n">
        <f aca="false">Sens!$D$596</f>
        <v>8.70377008865116</v>
      </c>
      <c r="E638" s="38" t="n">
        <f aca="false">Sens!$E$596</f>
        <v>8.51035297557002</v>
      </c>
      <c r="F638" s="38" t="n">
        <f aca="false">Sens!$F$596</f>
        <v>17.5667034895389</v>
      </c>
      <c r="G638" s="38" t="n">
        <f aca="false">Sens!$G$596</f>
        <v>26.077056465109</v>
      </c>
      <c r="H638" s="38" t="n">
        <f aca="false">Sens!$H$596</f>
        <v>81.4189957901494</v>
      </c>
      <c r="I638" s="38" t="n">
        <f aca="false">Sens!$I$596</f>
        <v>144.693023268105</v>
      </c>
      <c r="J638" s="38" t="n">
        <f aca="false">Sens!$J$596</f>
        <v>208.248538095809</v>
      </c>
      <c r="K638" s="38" t="n">
        <f aca="false">Sens!$K$596</f>
        <v>262.468580663487</v>
      </c>
      <c r="L638" s="38" t="n">
        <f aca="false">Sens!$L$596</f>
        <v>298.102259406873</v>
      </c>
      <c r="M638" s="38" t="n">
        <f aca="false">Sens!$M$596</f>
        <v>315.103792298069</v>
      </c>
      <c r="N638" s="38" t="n">
        <f aca="false">Sens!$N$596</f>
        <v>3.04631953102791</v>
      </c>
      <c r="O638" s="38" t="n">
        <f aca="false">Sens!$O$596</f>
        <v>5.65745055762326</v>
      </c>
      <c r="P638" s="8" t="s">
        <v>703</v>
      </c>
    </row>
    <row r="639" customFormat="false" ht="17.15" hidden="false" customHeight="false" outlineLevel="0" collapsed="false">
      <c r="A639" s="0" t="s">
        <v>704</v>
      </c>
      <c r="B639" s="0" t="s">
        <v>86</v>
      </c>
      <c r="C639" s="38" t="n">
        <f aca="false">Sens!$C$600</f>
        <v>105.234994643026</v>
      </c>
      <c r="D639" s="38" t="n">
        <f aca="false">Sens!$D$600</f>
        <v>120.021229911349</v>
      </c>
      <c r="E639" s="38" t="n">
        <f aca="false">Sens!$E$600</f>
        <v>71.30864702443</v>
      </c>
      <c r="F639" s="38" t="n">
        <f aca="false">Sens!$F$600</f>
        <v>71.7692997942464</v>
      </c>
      <c r="G639" s="38" t="n">
        <f aca="false">Sens!$G$600</f>
        <v>143.077946818676</v>
      </c>
      <c r="H639" s="38" t="n">
        <f aca="false">Sens!$H$600</f>
        <v>161.017077079203</v>
      </c>
      <c r="I639" s="38" t="n">
        <f aca="false">Sens!$I$600</f>
        <v>178.769759521457</v>
      </c>
      <c r="J639" s="38" t="n">
        <f aca="false">Sens!$J$600</f>
        <v>195.775538045907</v>
      </c>
      <c r="K639" s="38" t="n">
        <f aca="false">Sens!$K$600</f>
        <v>211.43758108958</v>
      </c>
      <c r="L639" s="38" t="n">
        <f aca="false">Sens!$L$600</f>
        <v>228.352587576746</v>
      </c>
      <c r="M639" s="38" t="n">
        <f aca="false">Sens!$M$600</f>
        <v>246.620794582886</v>
      </c>
      <c r="N639" s="38" t="n">
        <f aca="false">Sens!$N$600</f>
        <v>57.0936804689721</v>
      </c>
      <c r="O639" s="38" t="n">
        <f aca="false">Sens!$O$600</f>
        <v>62.9275494423768</v>
      </c>
      <c r="P639" s="8" t="s">
        <v>703</v>
      </c>
    </row>
    <row r="640" customFormat="false" ht="17.15" hidden="false" customHeight="false" outlineLevel="0" collapsed="false">
      <c r="A640" s="1" t="s">
        <v>523</v>
      </c>
      <c r="B640" s="8" t="s">
        <v>86</v>
      </c>
      <c r="C640" s="38" t="n">
        <f aca="false">Q!$D$7</f>
        <v>107.556</v>
      </c>
      <c r="D640" s="38" t="n">
        <f aca="false">Q!$E$7</f>
        <v>128.725</v>
      </c>
      <c r="E640" s="38" t="n">
        <f aca="false">Q!$P$7</f>
        <v>79.819</v>
      </c>
      <c r="F640" s="38" t="n">
        <f aca="false">Sens!$F$638+Sens!$F$639</f>
        <v>89.3360032837853</v>
      </c>
      <c r="G640" s="38" t="n">
        <f aca="false">Sens!$G$638+Sens!$G$639</f>
        <v>169.155003283785</v>
      </c>
      <c r="H640" s="38" t="n">
        <f aca="false">Sens!$H$638+Sens!$H$639</f>
        <v>242.436072869352</v>
      </c>
      <c r="I640" s="38" t="n">
        <f aca="false">Sens!$I$638+Sens!$I$639</f>
        <v>323.462782789562</v>
      </c>
      <c r="J640" s="38" t="n">
        <f aca="false">Sens!$J$638+Sens!$J$639</f>
        <v>404.024076141716</v>
      </c>
      <c r="K640" s="38" t="n">
        <f aca="false">Sens!$K$638+Sens!$K$639</f>
        <v>473.906161753067</v>
      </c>
      <c r="L640" s="38" t="n">
        <f aca="false">Sens!$L$638+Sens!$L$639</f>
        <v>526.454846983619</v>
      </c>
      <c r="M640" s="38" t="n">
        <f aca="false">Sens!$M$638+Sens!$M$639</f>
        <v>561.724586880955</v>
      </c>
      <c r="N640" s="38" t="n">
        <f aca="false">Q!$N$7</f>
        <v>60.14</v>
      </c>
      <c r="O640" s="38" t="n">
        <f aca="false">Q!$O$7</f>
        <v>68.585</v>
      </c>
      <c r="P640" s="5" t="s">
        <v>705</v>
      </c>
    </row>
    <row r="641" customFormat="false" ht="15" hidden="false" customHeight="false" outlineLevel="0" collapsed="false">
      <c r="A641" s="3" t="s">
        <v>706</v>
      </c>
      <c r="B641" s="8" t="s">
        <v>86</v>
      </c>
      <c r="C641" s="38" t="n">
        <f aca="false">Q!$D$8</f>
        <v>637.959</v>
      </c>
      <c r="D641" s="38" t="n">
        <f aca="false">Q!$E$8</f>
        <v>716.924</v>
      </c>
      <c r="E641" s="38" t="n">
        <f aca="false">Q!$P$8</f>
        <v>382.125</v>
      </c>
      <c r="F641" s="38" t="n">
        <f aca="false">Sens!$F$568+Sens!$F$640</f>
        <v>438.384244929323</v>
      </c>
      <c r="G641" s="38" t="n">
        <f aca="false">Sens!$G$568+Sens!$G$640</f>
        <v>820.509244929323</v>
      </c>
      <c r="H641" s="38" t="n">
        <f aca="false">Sens!$H$568+Sens!$H$640</f>
        <v>963.532962390739</v>
      </c>
      <c r="I641" s="38" t="n">
        <f aca="false">Sens!$I$568+Sens!$I$640</f>
        <v>1111.99217394209</v>
      </c>
      <c r="J641" s="38" t="n">
        <f aca="false">Sens!$J$568+Sens!$J$640</f>
        <v>1255.13248188316</v>
      </c>
      <c r="K641" s="38" t="n">
        <f aca="false">Sens!$K$568+Sens!$K$640</f>
        <v>1380.08261718415</v>
      </c>
      <c r="L641" s="38" t="n">
        <f aca="false">Sens!$L$568+Sens!$L$640</f>
        <v>1491.54795345921</v>
      </c>
      <c r="M641" s="38" t="n">
        <f aca="false">Sens!$M$568+Sens!$M$640</f>
        <v>1589.87249482784</v>
      </c>
      <c r="N641" s="38" t="n">
        <f aca="false">Q!$N$8</f>
        <v>323.369</v>
      </c>
      <c r="O641" s="38" t="n">
        <f aca="false">Q!$O$8</f>
        <v>393.555</v>
      </c>
    </row>
    <row r="642" customFormat="false" ht="17.15" hidden="false" customHeight="false" outlineLevel="0" collapsed="false">
      <c r="A642" s="24" t="s">
        <v>714</v>
      </c>
      <c r="B642" s="25" t="s">
        <v>86</v>
      </c>
      <c r="C642" s="41" t="n">
        <f aca="false">Sens!$C$568-(Sens!$C$570+Sens!$C$571)</f>
        <v>0</v>
      </c>
      <c r="D642" s="41" t="n">
        <f aca="false">Sens!$D$568-(Sens!$D$570+Sens!$D$571)</f>
        <v>0</v>
      </c>
      <c r="E642" s="41" t="n">
        <f aca="false">Sens!$E$568-(Sens!$E$570+Sens!$E$571)</f>
        <v>0</v>
      </c>
      <c r="F642" s="41" t="n">
        <f aca="false">Sens!$F$568-(Sens!$F$570+Sens!$F$571)</f>
        <v>0</v>
      </c>
      <c r="G642" s="41" t="n">
        <f aca="false">Sens!$G$568-(Sens!$G$570+Sens!$G$571)</f>
        <v>0</v>
      </c>
      <c r="H642" s="41" t="n">
        <f aca="false">Sens!$H$568-(Sens!$H$570+Sens!$H$571)</f>
        <v>0</v>
      </c>
      <c r="I642" s="41" t="n">
        <f aca="false">Sens!$I$568-(Sens!$I$570+Sens!$I$571)</f>
        <v>0</v>
      </c>
      <c r="J642" s="41" t="n">
        <f aca="false">Sens!$J$568-(Sens!$J$570+Sens!$J$571)</f>
        <v>0</v>
      </c>
      <c r="K642" s="41" t="n">
        <f aca="false">Sens!$K$568-(Sens!$K$570+Sens!$K$571)</f>
        <v>0</v>
      </c>
      <c r="L642" s="41" t="n">
        <f aca="false">Sens!$L$568-(Sens!$L$570+Sens!$L$571)</f>
        <v>0</v>
      </c>
      <c r="M642" s="41" t="n">
        <f aca="false">Sens!$M$568-(Sens!$M$570+Sens!$M$571)</f>
        <v>0</v>
      </c>
      <c r="N642" s="41" t="n">
        <f aca="false">Sens!$N$568-(Sens!$N$570+Sens!$N$571)</f>
        <v>0</v>
      </c>
      <c r="O642" s="41" t="n">
        <f aca="false">Sens!$O$568-(Sens!$O$570+Sens!$O$571)</f>
        <v>0</v>
      </c>
    </row>
    <row r="643" customFormat="false" ht="17.15" hidden="false" customHeight="false" outlineLevel="0" collapsed="false">
      <c r="A643" s="24" t="s">
        <v>715</v>
      </c>
      <c r="B643" s="25" t="s">
        <v>86</v>
      </c>
      <c r="C643" s="41" t="n">
        <f aca="false">Sens!$C$638+Sens!$C$639-Sens!$C$640</f>
        <v>0</v>
      </c>
      <c r="D643" s="41" t="n">
        <f aca="false">Sens!$D$638+Sens!$D$639-Sens!$D$640</f>
        <v>0</v>
      </c>
      <c r="E643" s="41" t="n">
        <f aca="false">Sens!$E$638+Sens!$E$639-Sens!$E$640</f>
        <v>0</v>
      </c>
      <c r="F643" s="41" t="n">
        <f aca="false">Sens!$F$638+Sens!$F$639-Sens!$F$640</f>
        <v>0</v>
      </c>
      <c r="G643" s="41" t="n">
        <f aca="false">Sens!$G$638+Sens!$G$639-Sens!$G$640</f>
        <v>0</v>
      </c>
      <c r="H643" s="41" t="n">
        <f aca="false">Sens!$H$638+Sens!$H$639-Sens!$H$640</f>
        <v>0</v>
      </c>
      <c r="I643" s="41" t="n">
        <f aca="false">Sens!$I$638+Sens!$I$639-Sens!$I$640</f>
        <v>0</v>
      </c>
      <c r="J643" s="41" t="n">
        <f aca="false">Sens!$J$638+Sens!$J$639-Sens!$J$640</f>
        <v>0</v>
      </c>
      <c r="K643" s="41" t="n">
        <f aca="false">Sens!$K$638+Sens!$K$639-Sens!$K$640</f>
        <v>0</v>
      </c>
      <c r="L643" s="41" t="n">
        <f aca="false">Sens!$L$638+Sens!$L$639-Sens!$L$640</f>
        <v>0</v>
      </c>
      <c r="M643" s="41" t="n">
        <f aca="false">Sens!$M$638+Sens!$M$639-Sens!$M$640</f>
        <v>0</v>
      </c>
      <c r="N643" s="41" t="n">
        <f aca="false">Sens!$N$638+Sens!$N$639-Sens!$N$640</f>
        <v>0</v>
      </c>
      <c r="O643" s="41" t="n">
        <f aca="false">Sens!$O$638+Sens!$O$639-Sens!$O$640</f>
        <v>0</v>
      </c>
    </row>
    <row r="644" customFormat="false" ht="17.15" hidden="false" customHeight="false" outlineLevel="0" collapsed="false">
      <c r="A644" s="24" t="s">
        <v>716</v>
      </c>
      <c r="B644" s="25" t="s">
        <v>86</v>
      </c>
      <c r="C644" s="41" t="n">
        <f aca="false">Sens!$C$570+Sens!$C$571+Sens!$C$640-Sens!$C$641</f>
        <v>0</v>
      </c>
      <c r="D644" s="41" t="n">
        <f aca="false">Sens!$D$570+Sens!$D$571+Sens!$D$640-Sens!$D$641</f>
        <v>0</v>
      </c>
      <c r="E644" s="41" t="n">
        <f aca="false">Sens!$E$570+Sens!$E$571+Sens!$E$640-Sens!$E$641</f>
        <v>0</v>
      </c>
      <c r="F644" s="41" t="n">
        <f aca="false">Sens!$F$570+Sens!$F$571+Sens!$F$640-Sens!$F$641</f>
        <v>0</v>
      </c>
      <c r="G644" s="41" t="n">
        <f aca="false">Sens!$G$570+Sens!$G$571+Sens!$G$640-Sens!$G$641</f>
        <v>0</v>
      </c>
      <c r="H644" s="41" t="n">
        <f aca="false">Sens!$H$570+Sens!$H$571+Sens!$H$640-Sens!$H$641</f>
        <v>0</v>
      </c>
      <c r="I644" s="41" t="n">
        <f aca="false">Sens!$I$570+Sens!$I$571+Sens!$I$640-Sens!$I$641</f>
        <v>0</v>
      </c>
      <c r="J644" s="41" t="n">
        <f aca="false">Sens!$J$570+Sens!$J$571+Sens!$J$640-Sens!$J$641</f>
        <v>0</v>
      </c>
      <c r="K644" s="41" t="n">
        <f aca="false">Sens!$K$570+Sens!$K$571+Sens!$K$640-Sens!$K$641</f>
        <v>0</v>
      </c>
      <c r="L644" s="41" t="n">
        <f aca="false">Sens!$L$570+Sens!$L$571+Sens!$L$640-Sens!$L$641</f>
        <v>0</v>
      </c>
      <c r="M644" s="41" t="n">
        <f aca="false">Sens!$M$570+Sens!$M$571+Sens!$M$640-Sens!$M$641</f>
        <v>0</v>
      </c>
      <c r="N644" s="41" t="n">
        <f aca="false">Sens!$N$570+Sens!$N$571+Sens!$N$640-Sens!$N$641</f>
        <v>0</v>
      </c>
      <c r="O644" s="41" t="n">
        <f aca="false">Sens!$O$570+Sens!$O$571+Sens!$O$640-Sens!$O$641</f>
        <v>0</v>
      </c>
    </row>
    <row r="645" customFormat="false" ht="15" hidden="false" customHeight="false" outlineLevel="0" collapsed="false">
      <c r="A645" s="5" t="s">
        <v>710</v>
      </c>
      <c r="B645" s="0" t="s">
        <v>52</v>
      </c>
      <c r="G645" s="13" t="n">
        <f aca="false">Sens!$G$641/Sens!$D$641-1</f>
        <v>0.14448567062802</v>
      </c>
      <c r="H645" s="13" t="n">
        <f aca="false">Sens!$H$641/Sens!$G$641-1</f>
        <v>0.174310915258165</v>
      </c>
      <c r="I645" s="13" t="n">
        <f aca="false">Sens!$I$641/Sens!$H$641-1</f>
        <v>0.154077979006545</v>
      </c>
      <c r="J645" s="13" t="n">
        <f aca="false">Sens!$J$641/Sens!$I$641-1</f>
        <v>0.128724204446172</v>
      </c>
      <c r="K645" s="13" t="n">
        <f aca="false">Sens!$K$641/Sens!$J$641-1</f>
        <v>0.0995513518330147</v>
      </c>
      <c r="L645" s="13" t="n">
        <f aca="false">Sens!$L$641/Sens!$K$641-1</f>
        <v>0.0807671474788099</v>
      </c>
      <c r="M645" s="13" t="n">
        <f aca="false">Sens!$M$641/Sens!$L$641-1</f>
        <v>0.0659211399409576</v>
      </c>
    </row>
    <row r="646" customFormat="false" ht="17.15" hidden="false" customHeight="false" outlineLevel="0" collapsed="false">
      <c r="A646" s="0" t="s">
        <v>711</v>
      </c>
      <c r="B646" s="0" t="s">
        <v>52</v>
      </c>
      <c r="C646" s="13" t="n">
        <f aca="false">Sens!$C$640/Sens!$C$641</f>
        <v>0.168593906504964</v>
      </c>
      <c r="D646" s="13" t="n">
        <f aca="false">Sens!$D$640/Sens!$D$641</f>
        <v>0.179551807444025</v>
      </c>
      <c r="E646" s="13" t="n">
        <f aca="false">Sens!$E$640/Sens!$E$641</f>
        <v>0.208881910369643</v>
      </c>
      <c r="F646" s="13" t="n">
        <f aca="false">Sens!$F$640/Sens!$F$641</f>
        <v>0.203784703298788</v>
      </c>
      <c r="G646" s="13" t="n">
        <f aca="false">Sens!$G$640/Sens!$G$641</f>
        <v>0.206158558638003</v>
      </c>
      <c r="H646" s="13" t="n">
        <f aca="false">Sens!$H$640/Sens!$H$641</f>
        <v>0.25161160264597</v>
      </c>
      <c r="I646" s="13" t="n">
        <f aca="false">Sens!$I$640/Sens!$I$641</f>
        <v>0.290885844675384</v>
      </c>
      <c r="J646" s="13" t="n">
        <f aca="false">Sens!$J$640/Sens!$J$641</f>
        <v>0.321897554221155</v>
      </c>
      <c r="K646" s="13" t="n">
        <f aca="false">Sens!$K$640/Sens!$K$641</f>
        <v>0.343389704248285</v>
      </c>
      <c r="L646" s="13" t="n">
        <f aca="false">Sens!$L$640/Sens!$L$641</f>
        <v>0.352958713638848</v>
      </c>
      <c r="M646" s="13" t="n">
        <f aca="false">Sens!$M$640/Sens!$M$641</f>
        <v>0.353314236650016</v>
      </c>
      <c r="N646" s="13" t="n">
        <f aca="false">Sens!$N$640/Sens!$N$641</f>
        <v>0.185979484737251</v>
      </c>
      <c r="O646" s="13" t="n">
        <f aca="false">Sens!$O$640/Sens!$O$641</f>
        <v>0.174270432341096</v>
      </c>
    </row>
    <row r="647" customFormat="false" ht="17.15" hidden="false" customHeight="false" outlineLevel="0" collapsed="false">
      <c r="A647" s="0" t="s">
        <v>712</v>
      </c>
      <c r="B647" s="0" t="s">
        <v>52</v>
      </c>
      <c r="C647" s="13" t="n">
        <f aca="false">Sens!$C$638/Sens!$C$640</f>
        <v>0.0215795060896058</v>
      </c>
      <c r="D647" s="13" t="n">
        <f aca="false">Sens!$D$638/Sens!$D$640</f>
        <v>0.0676152269462122</v>
      </c>
      <c r="E647" s="13" t="n">
        <f aca="false">Sens!$E$638/Sens!$E$640</f>
        <v>0.106620641395783</v>
      </c>
      <c r="F647" s="13" t="n">
        <f aca="false">Sens!$F$638/Sens!$F$640</f>
        <v>0.196636326271911</v>
      </c>
      <c r="G647" s="13" t="n">
        <f aca="false">Sens!$G$638/Sens!$G$640</f>
        <v>0.154160716259515</v>
      </c>
      <c r="H647" s="13" t="n">
        <f aca="false">Sens!$H$638/Sens!$H$640</f>
        <v>0.335836968593472</v>
      </c>
      <c r="I647" s="13" t="n">
        <f aca="false">Sens!$I$638/Sens!$I$640</f>
        <v>0.44732510497889</v>
      </c>
      <c r="J647" s="13" t="n">
        <f aca="false">Sens!$J$638/Sens!$J$640</f>
        <v>0.515435961352866</v>
      </c>
      <c r="K647" s="13" t="n">
        <f aca="false">Sens!$K$638/Sens!$K$640</f>
        <v>0.553840827248515</v>
      </c>
      <c r="L647" s="13" t="n">
        <f aca="false">Sens!$L$638/Sens!$L$640</f>
        <v>0.566244685778624</v>
      </c>
      <c r="M647" s="13" t="n">
        <f aca="false">Sens!$M$638/Sens!$M$640</f>
        <v>0.560957806827937</v>
      </c>
      <c r="N647" s="13" t="n">
        <f aca="false">Sens!$N$638/Sens!$N$640</f>
        <v>0.0506537999838362</v>
      </c>
      <c r="O647" s="13" t="n">
        <f aca="false">Sens!$O$638/Sens!$O$640</f>
        <v>0.0824881615167056</v>
      </c>
    </row>
    <row r="650" customFormat="false" ht="19.4" hidden="false" customHeight="false" outlineLevel="0" collapsed="false">
      <c r="A650" s="31" t="s">
        <v>1164</v>
      </c>
    </row>
    <row r="651" customFormat="false" ht="17.15" hidden="false" customHeight="false" outlineLevel="0" collapsed="false">
      <c r="A651" s="6" t="s">
        <v>16</v>
      </c>
      <c r="B651" s="6" t="s">
        <v>17</v>
      </c>
      <c r="C651" s="20" t="s">
        <v>504</v>
      </c>
      <c r="D651" s="20" t="s">
        <v>505</v>
      </c>
      <c r="E651" s="20" t="s">
        <v>587</v>
      </c>
      <c r="F651" s="20" t="s">
        <v>588</v>
      </c>
      <c r="G651" s="20" t="s">
        <v>589</v>
      </c>
      <c r="H651" s="20" t="s">
        <v>590</v>
      </c>
      <c r="I651" s="20" t="s">
        <v>591</v>
      </c>
      <c r="J651" s="20" t="s">
        <v>592</v>
      </c>
      <c r="K651" s="20" t="s">
        <v>593</v>
      </c>
      <c r="L651" s="20" t="s">
        <v>594</v>
      </c>
      <c r="M651" s="20" t="s">
        <v>595</v>
      </c>
      <c r="N651" s="20" t="s">
        <v>596</v>
      </c>
      <c r="O651" s="20" t="s">
        <v>597</v>
      </c>
      <c r="P651" s="6" t="s">
        <v>23</v>
      </c>
      <c r="R651" s="20" t="n">
        <v>2023</v>
      </c>
      <c r="S651" s="20" t="n">
        <v>2024</v>
      </c>
      <c r="T651" s="20" t="n">
        <v>2025</v>
      </c>
      <c r="U651" s="20" t="n">
        <v>2026</v>
      </c>
      <c r="V651" s="20" t="n">
        <v>2027</v>
      </c>
      <c r="W651" s="20" t="n">
        <v>2028</v>
      </c>
      <c r="X651" s="20" t="n">
        <v>2029</v>
      </c>
      <c r="Y651" s="20" t="n">
        <v>2030</v>
      </c>
      <c r="Z651" s="20" t="n">
        <v>2031</v>
      </c>
      <c r="AA651" s="20" t="n">
        <v>2032</v>
      </c>
    </row>
    <row r="652" customFormat="false" ht="17.15" hidden="false" customHeight="false" outlineLevel="0" collapsed="false">
      <c r="A652" s="1" t="s">
        <v>727</v>
      </c>
    </row>
    <row r="653" customFormat="false" ht="15" hidden="false" customHeight="false" outlineLevel="0" collapsed="false">
      <c r="A653" s="0" t="s">
        <v>526</v>
      </c>
      <c r="B653" s="0" t="s">
        <v>86</v>
      </c>
      <c r="C653" s="38" t="n">
        <f aca="false">Sens!$C$555</f>
        <v>247.029</v>
      </c>
      <c r="D653" s="38" t="n">
        <f aca="false">Sens!$D$555</f>
        <v>269.287</v>
      </c>
      <c r="E653" s="38" t="n">
        <f aca="false">Sens!$E$555</f>
        <v>134.686</v>
      </c>
      <c r="F653" s="38" t="n">
        <f aca="false">Sens!$F$555</f>
        <v>158.293876822267</v>
      </c>
      <c r="G653" s="38" t="n">
        <f aca="false">Sens!$G$555</f>
        <v>292.979876822267</v>
      </c>
      <c r="H653" s="38" t="n">
        <f aca="false">Sens!$H$555</f>
        <v>318.184543087396</v>
      </c>
      <c r="I653" s="38" t="n">
        <f aca="false">Sens!$I$555</f>
        <v>341.736278761793</v>
      </c>
      <c r="J653" s="38" t="n">
        <f aca="false">Sens!$J$555</f>
        <v>362.927192787048</v>
      </c>
      <c r="K653" s="38" t="n">
        <f aca="false">Sens!$K$555</f>
        <v>381.0735524264</v>
      </c>
      <c r="L653" s="38" t="n">
        <f aca="false">Sens!$L$555</f>
        <v>400.12723004772</v>
      </c>
      <c r="M653" s="38" t="n">
        <f aca="false">Sens!$M$555</f>
        <v>420.133591550106</v>
      </c>
      <c r="N653" s="38" t="n">
        <f aca="false">Sens!$N$555</f>
        <v>118.892</v>
      </c>
      <c r="O653" s="38" t="n">
        <f aca="false">Sens!$O$555</f>
        <v>150.395</v>
      </c>
    </row>
    <row r="654" customFormat="false" ht="15" hidden="false" customHeight="false" outlineLevel="0" collapsed="false">
      <c r="A654" s="0" t="s">
        <v>527</v>
      </c>
      <c r="B654" s="0" t="s">
        <v>86</v>
      </c>
      <c r="C654" s="38" t="n">
        <f aca="false">Sens!$C$557</f>
        <v>21.215</v>
      </c>
      <c r="D654" s="38" t="n">
        <f aca="false">Sens!$D$557</f>
        <v>22.561</v>
      </c>
      <c r="E654" s="38" t="n">
        <f aca="false">Sens!$E$557</f>
        <v>11.579</v>
      </c>
      <c r="F654" s="38" t="n">
        <f aca="false">Sens!$F$557</f>
        <v>11.5938724610325</v>
      </c>
      <c r="G654" s="38" t="n">
        <f aca="false">Sens!$G$557</f>
        <v>23.1728724610325</v>
      </c>
      <c r="H654" s="38" t="n">
        <f aca="false">Sens!$H$557</f>
        <v>24.353392759506</v>
      </c>
      <c r="I654" s="38" t="n">
        <f aca="false">Sens!$I$557</f>
        <v>25.4240338872015</v>
      </c>
      <c r="J654" s="38" t="n">
        <f aca="false">Sens!$J$557</f>
        <v>26.3642491017174</v>
      </c>
      <c r="K654" s="38" t="n">
        <f aca="false">Sens!$K$557</f>
        <v>27.155176574769</v>
      </c>
      <c r="L654" s="38" t="n">
        <f aca="false">Sens!$L$557</f>
        <v>27.969831872012</v>
      </c>
      <c r="M654" s="38" t="n">
        <f aca="false">Sens!$M$557</f>
        <v>28.8089268281724</v>
      </c>
      <c r="N654" s="38" t="n">
        <f aca="false">Sens!$N$557</f>
        <v>11.128</v>
      </c>
      <c r="O654" s="38" t="n">
        <f aca="false">Sens!$O$557</f>
        <v>11.433</v>
      </c>
    </row>
    <row r="655" customFormat="false" ht="15" hidden="false" customHeight="false" outlineLevel="0" collapsed="false">
      <c r="A655" s="0" t="s">
        <v>528</v>
      </c>
      <c r="B655" s="0" t="s">
        <v>86</v>
      </c>
      <c r="C655" s="38" t="n">
        <f aca="false">Sens!$C$559</f>
        <v>156.146</v>
      </c>
      <c r="D655" s="38" t="n">
        <f aca="false">Sens!$D$559</f>
        <v>172.162</v>
      </c>
      <c r="E655" s="38" t="n">
        <f aca="false">Sens!$E$559</f>
        <v>88.358</v>
      </c>
      <c r="F655" s="38" t="n">
        <f aca="false">Sens!$F$559</f>
        <v>102.004388260171</v>
      </c>
      <c r="G655" s="38" t="n">
        <f aca="false">Sens!$G$559</f>
        <v>190.362388260171</v>
      </c>
      <c r="H655" s="38" t="n">
        <f aca="false">Sens!$H$559</f>
        <v>210.343106588311</v>
      </c>
      <c r="I655" s="38" t="n">
        <f aca="false">Sens!$I$559</f>
        <v>229.969728494648</v>
      </c>
      <c r="J655" s="38" t="n">
        <f aca="false">Sens!$J$559</f>
        <v>248.747636972598</v>
      </c>
      <c r="K655" s="38" t="n">
        <f aca="false">Sens!$K$559</f>
        <v>266.15997156068</v>
      </c>
      <c r="L655" s="38" t="n">
        <f aca="false">Sens!$L$559</f>
        <v>284.791169569927</v>
      </c>
      <c r="M655" s="38" t="n">
        <f aca="false">Sens!$M$559</f>
        <v>304.726551439822</v>
      </c>
      <c r="N655" s="38" t="n">
        <f aca="false">Sens!$N$559</f>
        <v>76.86</v>
      </c>
      <c r="O655" s="38" t="n">
        <f aca="false">Sens!$O$559</f>
        <v>95.302</v>
      </c>
    </row>
    <row r="656" customFormat="false" ht="15" hidden="false" customHeight="false" outlineLevel="0" collapsed="false">
      <c r="A656" s="0" t="s">
        <v>529</v>
      </c>
      <c r="B656" s="0" t="s">
        <v>86</v>
      </c>
      <c r="C656" s="38" t="n">
        <f aca="false">Sens!$C$561</f>
        <v>56.214</v>
      </c>
      <c r="D656" s="38" t="n">
        <f aca="false">Sens!$D$561</f>
        <v>68.635</v>
      </c>
      <c r="E656" s="38" t="n">
        <f aca="false">Sens!$E$561</f>
        <v>37.052</v>
      </c>
      <c r="F656" s="38" t="n">
        <f aca="false">Sens!$F$561</f>
        <v>46.1572219944148</v>
      </c>
      <c r="G656" s="38" t="n">
        <f aca="false">Sens!$G$561</f>
        <v>83.2092219944148</v>
      </c>
      <c r="H656" s="38" t="n">
        <f aca="false">Sens!$H$561</f>
        <v>99.8969223878976</v>
      </c>
      <c r="I656" s="38" t="n">
        <f aca="false">Sens!$I$561</f>
        <v>116.583111095496</v>
      </c>
      <c r="J656" s="38" t="n">
        <f aca="false">Sens!$J$561</f>
        <v>132.148941941952</v>
      </c>
      <c r="K656" s="38" t="n">
        <f aca="false">Sens!$K$561</f>
        <v>145.363836136147</v>
      </c>
      <c r="L656" s="38" t="n">
        <f aca="false">Sens!$L$561</f>
        <v>159.900219749762</v>
      </c>
      <c r="M656" s="38" t="n">
        <f aca="false">Sens!$M$561</f>
        <v>175.890241724738</v>
      </c>
      <c r="N656" s="38" t="n">
        <f aca="false">Sens!$N$561</f>
        <v>29.615</v>
      </c>
      <c r="O656" s="38" t="n">
        <f aca="false">Sens!$O$561</f>
        <v>39.02</v>
      </c>
    </row>
    <row r="657" customFormat="false" ht="15" hidden="false" customHeight="false" outlineLevel="0" collapsed="false">
      <c r="A657" s="0" t="s">
        <v>530</v>
      </c>
      <c r="B657" s="0" t="s">
        <v>86</v>
      </c>
      <c r="C657" s="38" t="n">
        <f aca="false">Sens!$C$563</f>
        <v>44.374</v>
      </c>
      <c r="D657" s="38" t="n">
        <f aca="false">Sens!$D$563</f>
        <v>49.619</v>
      </c>
      <c r="E657" s="38" t="n">
        <f aca="false">Sens!$E$563</f>
        <v>27.157</v>
      </c>
      <c r="F657" s="38" t="n">
        <f aca="false">Sens!$F$563</f>
        <v>27.7764165988154</v>
      </c>
      <c r="G657" s="38" t="n">
        <f aca="false">Sens!$G$563</f>
        <v>54.9334165988154</v>
      </c>
      <c r="H657" s="38" t="n">
        <f aca="false">Sens!$H$563</f>
        <v>61.1564112561829</v>
      </c>
      <c r="I657" s="38" t="n">
        <f aca="false">Sens!$I$563</f>
        <v>67.2020282103945</v>
      </c>
      <c r="J657" s="38" t="n">
        <f aca="false">Sens!$J$563</f>
        <v>72.8757274028885</v>
      </c>
      <c r="K657" s="38" t="n">
        <f aca="false">Sens!$K$563</f>
        <v>77.9770283210907</v>
      </c>
      <c r="L657" s="38" t="n">
        <f aca="false">Sens!$L$563</f>
        <v>83.4354203035671</v>
      </c>
      <c r="M657" s="38" t="n">
        <f aca="false">Sens!$M$563</f>
        <v>89.2758997248168</v>
      </c>
      <c r="N657" s="38" t="n">
        <f aca="false">Sens!$N$563</f>
        <v>23.923</v>
      </c>
      <c r="O657" s="38" t="n">
        <f aca="false">Sens!$O$563</f>
        <v>25.696</v>
      </c>
    </row>
    <row r="658" customFormat="false" ht="15" hidden="false" customHeight="false" outlineLevel="0" collapsed="false">
      <c r="A658" s="0" t="s">
        <v>531</v>
      </c>
      <c r="B658" s="0" t="s">
        <v>86</v>
      </c>
      <c r="C658" s="38" t="n">
        <f aca="false">Sens!$C$565</f>
        <v>5.425</v>
      </c>
      <c r="D658" s="38" t="n">
        <f aca="false">Sens!$D$565</f>
        <v>5.935</v>
      </c>
      <c r="E658" s="38" t="n">
        <f aca="false">Sens!$E$565</f>
        <v>3.474</v>
      </c>
      <c r="F658" s="38" t="n">
        <f aca="false">Sens!$F$565</f>
        <v>3.22246550883619</v>
      </c>
      <c r="G658" s="38" t="n">
        <f aca="false">Sens!$G$565</f>
        <v>6.69646550883619</v>
      </c>
      <c r="H658" s="38" t="n">
        <f aca="false">Sens!$H$565</f>
        <v>7.16251344209196</v>
      </c>
      <c r="I658" s="38" t="n">
        <f aca="false">Sens!$I$565</f>
        <v>7.61421070299826</v>
      </c>
      <c r="J658" s="38" t="n">
        <f aca="false">Sens!$J$565</f>
        <v>8.04465753523932</v>
      </c>
      <c r="K658" s="38" t="n">
        <f aca="false">Sens!$K$565</f>
        <v>8.44689041200128</v>
      </c>
      <c r="L658" s="38" t="n">
        <f aca="false">Sens!$L$565</f>
        <v>8.86923493260135</v>
      </c>
      <c r="M658" s="38" t="n">
        <f aca="false">Sens!$M$565</f>
        <v>9.31269667923142</v>
      </c>
      <c r="N658" s="38" t="n">
        <f aca="false">Sens!$N$565</f>
        <v>2.811</v>
      </c>
      <c r="O658" s="38" t="n">
        <f aca="false">Sens!$O$565</f>
        <v>3.124</v>
      </c>
    </row>
    <row r="659" customFormat="false" ht="17.15" hidden="false" customHeight="false" outlineLevel="0" collapsed="false">
      <c r="A659" s="0" t="s">
        <v>728</v>
      </c>
      <c r="B659" s="0" t="s">
        <v>86</v>
      </c>
      <c r="C659" s="38" t="n">
        <f aca="false">Sens!$C$640</f>
        <v>107.556</v>
      </c>
      <c r="D659" s="38" t="n">
        <f aca="false">Sens!$D$640</f>
        <v>128.725</v>
      </c>
      <c r="E659" s="38" t="n">
        <f aca="false">Sens!$E$640</f>
        <v>79.819</v>
      </c>
      <c r="F659" s="38" t="n">
        <f aca="false">Sens!$F$640</f>
        <v>89.3360032837853</v>
      </c>
      <c r="G659" s="38" t="n">
        <f aca="false">Sens!$G$640</f>
        <v>169.155003283785</v>
      </c>
      <c r="H659" s="38" t="n">
        <f aca="false">Sens!$H$640</f>
        <v>242.436072869352</v>
      </c>
      <c r="I659" s="38" t="n">
        <f aca="false">Sens!$I$640</f>
        <v>323.462782789562</v>
      </c>
      <c r="J659" s="38" t="n">
        <f aca="false">Sens!$J$640</f>
        <v>404.024076141716</v>
      </c>
      <c r="K659" s="38" t="n">
        <f aca="false">Sens!$K$640</f>
        <v>473.906161753067</v>
      </c>
      <c r="L659" s="38" t="n">
        <f aca="false">Sens!$L$640</f>
        <v>526.454846983619</v>
      </c>
      <c r="M659" s="38" t="n">
        <f aca="false">Sens!$M$640</f>
        <v>561.724586880955</v>
      </c>
      <c r="N659" s="38" t="n">
        <f aca="false">Sens!$N$640</f>
        <v>60.14</v>
      </c>
      <c r="O659" s="38" t="n">
        <f aca="false">Sens!$O$640</f>
        <v>68.585</v>
      </c>
    </row>
    <row r="660" customFormat="false" ht="15" hidden="false" customHeight="false" outlineLevel="0" collapsed="false">
      <c r="A660" s="1" t="s">
        <v>519</v>
      </c>
      <c r="B660" s="8" t="s">
        <v>86</v>
      </c>
      <c r="C660" s="38" t="n">
        <f aca="false">Sens!$C$570</f>
        <v>387.497</v>
      </c>
      <c r="D660" s="38" t="n">
        <f aca="false">Sens!$D$570</f>
        <v>426.305</v>
      </c>
      <c r="E660" s="38" t="n">
        <f aca="false">Sens!$E$570</f>
        <v>220.32</v>
      </c>
      <c r="F660" s="38" t="n">
        <f aca="false">Sens!$F$570</f>
        <v>250.639773480586</v>
      </c>
      <c r="G660" s="38" t="n">
        <f aca="false">Sens!$G$570</f>
        <v>470.959773480586</v>
      </c>
      <c r="H660" s="38" t="n">
        <f aca="false">Sens!$H$570</f>
        <v>521.386990416437</v>
      </c>
      <c r="I660" s="38" t="n">
        <f aca="false">Sens!$I$570</f>
        <v>570.143862887555</v>
      </c>
      <c r="J660" s="38" t="n">
        <f aca="false">Sens!$J$570</f>
        <v>615.391435791933</v>
      </c>
      <c r="K660" s="38" t="n">
        <f aca="false">Sens!$K$570</f>
        <v>655.208227561543</v>
      </c>
      <c r="L660" s="38" t="n">
        <f aca="false">Sens!$L$570</f>
        <v>697.807739249767</v>
      </c>
      <c r="M660" s="38" t="n">
        <f aca="false">Sens!$M$570</f>
        <v>743.399328463592</v>
      </c>
      <c r="N660" s="38" t="n">
        <f aca="false">Sens!$N$570</f>
        <v>192.955</v>
      </c>
      <c r="O660" s="38" t="n">
        <f aca="false">Sens!$O$570</f>
        <v>233.35</v>
      </c>
    </row>
    <row r="661" customFormat="false" ht="15" hidden="false" customHeight="false" outlineLevel="0" collapsed="false">
      <c r="A661" s="1" t="s">
        <v>522</v>
      </c>
      <c r="B661" s="8" t="s">
        <v>86</v>
      </c>
      <c r="C661" s="38" t="n">
        <f aca="false">Sens!$C$571</f>
        <v>142.906</v>
      </c>
      <c r="D661" s="38" t="n">
        <f aca="false">Sens!$D$571</f>
        <v>161.894</v>
      </c>
      <c r="E661" s="38" t="n">
        <f aca="false">Sens!$E$571</f>
        <v>81.986</v>
      </c>
      <c r="F661" s="38" t="n">
        <f aca="false">Sens!$F$571</f>
        <v>98.408468164951</v>
      </c>
      <c r="G661" s="38" t="n">
        <f aca="false">Sens!$G$571</f>
        <v>180.394468164951</v>
      </c>
      <c r="H661" s="38" t="n">
        <f aca="false">Sens!$H$571</f>
        <v>199.709899104949</v>
      </c>
      <c r="I661" s="38" t="n">
        <f aca="false">Sens!$I$571</f>
        <v>218.385528264976</v>
      </c>
      <c r="J661" s="38" t="n">
        <f aca="false">Sens!$J$571</f>
        <v>235.71696994951</v>
      </c>
      <c r="K661" s="38" t="n">
        <f aca="false">Sens!$K$571</f>
        <v>250.968227869545</v>
      </c>
      <c r="L661" s="38" t="n">
        <f aca="false">Sens!$L$571</f>
        <v>267.285367225822</v>
      </c>
      <c r="M661" s="38" t="n">
        <f aca="false">Sens!$M$571</f>
        <v>284.748579483295</v>
      </c>
      <c r="N661" s="38" t="n">
        <f aca="false">Sens!$N$571</f>
        <v>70.274</v>
      </c>
      <c r="O661" s="38" t="n">
        <f aca="false">Sens!$O$571</f>
        <v>91.62</v>
      </c>
    </row>
    <row r="662" customFormat="false" ht="15" hidden="false" customHeight="false" outlineLevel="0" collapsed="false">
      <c r="A662" s="1" t="s">
        <v>523</v>
      </c>
      <c r="B662" s="8" t="s">
        <v>86</v>
      </c>
      <c r="C662" s="38" t="n">
        <f aca="false">Sens!$C$640</f>
        <v>107.556</v>
      </c>
      <c r="D662" s="38" t="n">
        <f aca="false">Sens!$D$640</f>
        <v>128.725</v>
      </c>
      <c r="E662" s="38" t="n">
        <f aca="false">Sens!$E$640</f>
        <v>79.819</v>
      </c>
      <c r="F662" s="38" t="n">
        <f aca="false">Sens!$F$640</f>
        <v>89.3360032837853</v>
      </c>
      <c r="G662" s="38" t="n">
        <f aca="false">Sens!$G$640</f>
        <v>169.155003283785</v>
      </c>
      <c r="H662" s="38" t="n">
        <f aca="false">Sens!$H$640</f>
        <v>242.436072869352</v>
      </c>
      <c r="I662" s="38" t="n">
        <f aca="false">Sens!$I$640</f>
        <v>323.462782789562</v>
      </c>
      <c r="J662" s="38" t="n">
        <f aca="false">Sens!$J$640</f>
        <v>404.024076141716</v>
      </c>
      <c r="K662" s="38" t="n">
        <f aca="false">Sens!$K$640</f>
        <v>473.906161753067</v>
      </c>
      <c r="L662" s="38" t="n">
        <f aca="false">Sens!$L$640</f>
        <v>526.454846983619</v>
      </c>
      <c r="M662" s="38" t="n">
        <f aca="false">Sens!$M$640</f>
        <v>561.724586880955</v>
      </c>
      <c r="N662" s="38" t="n">
        <f aca="false">Sens!$N$640</f>
        <v>60.14</v>
      </c>
      <c r="O662" s="38" t="n">
        <f aca="false">Sens!$O$640</f>
        <v>68.585</v>
      </c>
    </row>
    <row r="663" customFormat="false" ht="17.15" hidden="false" customHeight="false" outlineLevel="0" collapsed="false">
      <c r="A663" s="0" t="s">
        <v>702</v>
      </c>
      <c r="B663" s="0" t="s">
        <v>86</v>
      </c>
      <c r="C663" s="38" t="n">
        <f aca="false">Sens!$C$638</f>
        <v>2.32100535697364</v>
      </c>
      <c r="D663" s="38" t="n">
        <f aca="false">Sens!$D$638</f>
        <v>8.70377008865116</v>
      </c>
      <c r="E663" s="38" t="n">
        <f aca="false">Sens!$E$638</f>
        <v>8.51035297557002</v>
      </c>
      <c r="F663" s="38" t="n">
        <f aca="false">Sens!$F$638</f>
        <v>17.5667034895389</v>
      </c>
      <c r="G663" s="38" t="n">
        <f aca="false">Sens!$G$638</f>
        <v>26.077056465109</v>
      </c>
      <c r="H663" s="38" t="n">
        <f aca="false">Sens!$H$638</f>
        <v>81.4189957901494</v>
      </c>
      <c r="I663" s="38" t="n">
        <f aca="false">Sens!$I$638</f>
        <v>144.693023268105</v>
      </c>
      <c r="J663" s="38" t="n">
        <f aca="false">Sens!$J$638</f>
        <v>208.248538095809</v>
      </c>
      <c r="K663" s="38" t="n">
        <f aca="false">Sens!$K$638</f>
        <v>262.468580663487</v>
      </c>
      <c r="L663" s="38" t="n">
        <f aca="false">Sens!$L$638</f>
        <v>298.102259406873</v>
      </c>
      <c r="M663" s="38" t="n">
        <f aca="false">Sens!$M$638</f>
        <v>315.103792298069</v>
      </c>
      <c r="N663" s="38" t="n">
        <f aca="false">Sens!$N$638</f>
        <v>3.04631953102791</v>
      </c>
      <c r="O663" s="38" t="n">
        <f aca="false">Sens!$O$638</f>
        <v>5.65745055762326</v>
      </c>
    </row>
    <row r="664" customFormat="false" ht="17.15" hidden="false" customHeight="false" outlineLevel="0" collapsed="false">
      <c r="A664" s="0" t="s">
        <v>704</v>
      </c>
      <c r="B664" s="0" t="s">
        <v>86</v>
      </c>
      <c r="C664" s="38" t="n">
        <f aca="false">Sens!$C$639</f>
        <v>105.234994643026</v>
      </c>
      <c r="D664" s="38" t="n">
        <f aca="false">Sens!$D$639</f>
        <v>120.021229911349</v>
      </c>
      <c r="E664" s="38" t="n">
        <f aca="false">Sens!$E$639</f>
        <v>71.30864702443</v>
      </c>
      <c r="F664" s="38" t="n">
        <f aca="false">Sens!$F$639</f>
        <v>71.7692997942464</v>
      </c>
      <c r="G664" s="38" t="n">
        <f aca="false">Sens!$G$639</f>
        <v>143.077946818676</v>
      </c>
      <c r="H664" s="38" t="n">
        <f aca="false">Sens!$H$639</f>
        <v>161.017077079203</v>
      </c>
      <c r="I664" s="38" t="n">
        <f aca="false">Sens!$I$639</f>
        <v>178.769759521457</v>
      </c>
      <c r="J664" s="38" t="n">
        <f aca="false">Sens!$J$639</f>
        <v>195.775538045907</v>
      </c>
      <c r="K664" s="38" t="n">
        <f aca="false">Sens!$K$639</f>
        <v>211.43758108958</v>
      </c>
      <c r="L664" s="38" t="n">
        <f aca="false">Sens!$L$639</f>
        <v>228.352587576746</v>
      </c>
      <c r="M664" s="38" t="n">
        <f aca="false">Sens!$M$639</f>
        <v>246.620794582886</v>
      </c>
      <c r="N664" s="38" t="n">
        <f aca="false">Sens!$N$639</f>
        <v>57.0936804689721</v>
      </c>
      <c r="O664" s="38" t="n">
        <f aca="false">Sens!$O$639</f>
        <v>62.9275494423768</v>
      </c>
    </row>
    <row r="665" customFormat="false" ht="15" hidden="false" customHeight="false" outlineLevel="0" collapsed="false">
      <c r="A665" s="3" t="s">
        <v>524</v>
      </c>
      <c r="B665" s="8" t="s">
        <v>86</v>
      </c>
      <c r="C665" s="38" t="n">
        <f aca="false">Sens!$C$641</f>
        <v>637.959</v>
      </c>
      <c r="D665" s="38" t="n">
        <f aca="false">Sens!$D$641</f>
        <v>716.924</v>
      </c>
      <c r="E665" s="38" t="n">
        <f aca="false">Sens!$E$641</f>
        <v>382.125</v>
      </c>
      <c r="F665" s="38" t="n">
        <f aca="false">Sens!$F$641</f>
        <v>438.384244929323</v>
      </c>
      <c r="G665" s="38" t="n">
        <f aca="false">Sens!$G$641</f>
        <v>820.509244929323</v>
      </c>
      <c r="H665" s="38" t="n">
        <f aca="false">Sens!$H$641</f>
        <v>963.532962390739</v>
      </c>
      <c r="I665" s="38" t="n">
        <f aca="false">Sens!$I$641</f>
        <v>1111.99217394209</v>
      </c>
      <c r="J665" s="38" t="n">
        <f aca="false">Sens!$J$641</f>
        <v>1255.13248188316</v>
      </c>
      <c r="K665" s="38" t="n">
        <f aca="false">Sens!$K$641</f>
        <v>1380.08261718415</v>
      </c>
      <c r="L665" s="38" t="n">
        <f aca="false">Sens!$L$641</f>
        <v>1491.54795345921</v>
      </c>
      <c r="M665" s="38" t="n">
        <f aca="false">Sens!$M$641</f>
        <v>1589.87249482784</v>
      </c>
      <c r="N665" s="38" t="n">
        <f aca="false">Sens!$N$641</f>
        <v>323.369</v>
      </c>
      <c r="O665" s="38" t="n">
        <f aca="false">Sens!$O$641</f>
        <v>393.555</v>
      </c>
    </row>
    <row r="666" customFormat="false" ht="17.15" hidden="false" customHeight="false" outlineLevel="0" collapsed="false">
      <c r="A666" s="24" t="s">
        <v>714</v>
      </c>
      <c r="B666" s="25" t="s">
        <v>86</v>
      </c>
      <c r="C666" s="41" t="n">
        <f aca="false">Sens!$C$653+Sens!$C$654+Sens!$C$655+Sens!$C$656+Sens!$C$657+Sens!$C$658-(Sens!$C$660+Sens!$C$661)</f>
        <v>0</v>
      </c>
      <c r="D666" s="41" t="n">
        <f aca="false">Sens!$D$653+Sens!$D$654+Sens!$D$655+Sens!$D$656+Sens!$D$657+Sens!$D$658-(Sens!$D$660+Sens!$D$661)</f>
        <v>0</v>
      </c>
      <c r="E666" s="41" t="n">
        <f aca="false">Sens!$E$653+Sens!$E$654+Sens!$E$655+Sens!$E$656+Sens!$E$657+Sens!$E$658-(Sens!$E$660+Sens!$E$661)</f>
        <v>0</v>
      </c>
      <c r="F666" s="41" t="n">
        <f aca="false">Sens!$F$653+Sens!$F$654+Sens!$F$655+Sens!$F$656+Sens!$F$657+Sens!$F$658-(Sens!$F$660+Sens!$F$661)</f>
        <v>0</v>
      </c>
      <c r="G666" s="41" t="n">
        <f aca="false">Sens!$G$653+Sens!$G$654+Sens!$G$655+Sens!$G$656+Sens!$G$657+Sens!$G$658-(Sens!$G$660+Sens!$G$661)</f>
        <v>0</v>
      </c>
      <c r="H666" s="41" t="n">
        <f aca="false">Sens!$H$653+Sens!$H$654+Sens!$H$655+Sens!$H$656+Sens!$H$657+Sens!$H$658-(Sens!$H$660+Sens!$H$661)</f>
        <v>0</v>
      </c>
      <c r="I666" s="41" t="n">
        <f aca="false">Sens!$I$653+Sens!$I$654+Sens!$I$655+Sens!$I$656+Sens!$I$657+Sens!$I$658-(Sens!$I$660+Sens!$I$661)</f>
        <v>0</v>
      </c>
      <c r="J666" s="41" t="n">
        <f aca="false">Sens!$J$653+Sens!$J$654+Sens!$J$655+Sens!$J$656+Sens!$J$657+Sens!$J$658-(Sens!$J$660+Sens!$J$661)</f>
        <v>0</v>
      </c>
      <c r="K666" s="41" t="n">
        <f aca="false">Sens!$K$653+Sens!$K$654+Sens!$K$655+Sens!$K$656+Sens!$K$657+Sens!$K$658-(Sens!$K$660+Sens!$K$661)</f>
        <v>0</v>
      </c>
      <c r="L666" s="41" t="n">
        <f aca="false">Sens!$L$653+Sens!$L$654+Sens!$L$655+Sens!$L$656+Sens!$L$657+Sens!$L$658-(Sens!$L$660+Sens!$L$661)</f>
        <v>0</v>
      </c>
      <c r="M666" s="41" t="n">
        <f aca="false">Sens!$M$653+Sens!$M$654+Sens!$M$655+Sens!$M$656+Sens!$M$657+Sens!$M$658-(Sens!$M$660+Sens!$M$661)</f>
        <v>0</v>
      </c>
      <c r="N666" s="41" t="n">
        <f aca="false">Sens!$N$653+Sens!$N$654+Sens!$N$655+Sens!$N$656+Sens!$N$657+Sens!$N$658-(Sens!$N$660+Sens!$N$661)</f>
        <v>0</v>
      </c>
      <c r="O666" s="41" t="n">
        <f aca="false">Sens!$O$653+Sens!$O$654+Sens!$O$655+Sens!$O$656+Sens!$O$657+Sens!$O$658-(Sens!$O$660+Sens!$O$661)</f>
        <v>0</v>
      </c>
    </row>
    <row r="667" customFormat="false" ht="17.15" hidden="false" customHeight="false" outlineLevel="0" collapsed="false">
      <c r="A667" s="24" t="s">
        <v>715</v>
      </c>
      <c r="B667" s="25" t="s">
        <v>86</v>
      </c>
      <c r="C667" s="41" t="n">
        <f aca="false">Sens!$C$663+Sens!$C$664-Sens!$C$662</f>
        <v>0</v>
      </c>
      <c r="D667" s="41" t="n">
        <f aca="false">Sens!$D$663+Sens!$D$664-Sens!$D$662</f>
        <v>0</v>
      </c>
      <c r="E667" s="41" t="n">
        <f aca="false">Sens!$E$663+Sens!$E$664-Sens!$E$662</f>
        <v>0</v>
      </c>
      <c r="F667" s="41" t="n">
        <f aca="false">Sens!$F$663+Sens!$F$664-Sens!$F$662</f>
        <v>0</v>
      </c>
      <c r="G667" s="41" t="n">
        <f aca="false">Sens!$G$663+Sens!$G$664-Sens!$G$662</f>
        <v>0</v>
      </c>
      <c r="H667" s="41" t="n">
        <f aca="false">Sens!$H$663+Sens!$H$664-Sens!$H$662</f>
        <v>0</v>
      </c>
      <c r="I667" s="41" t="n">
        <f aca="false">Sens!$I$663+Sens!$I$664-Sens!$I$662</f>
        <v>0</v>
      </c>
      <c r="J667" s="41" t="n">
        <f aca="false">Sens!$J$663+Sens!$J$664-Sens!$J$662</f>
        <v>0</v>
      </c>
      <c r="K667" s="41" t="n">
        <f aca="false">Sens!$K$663+Sens!$K$664-Sens!$K$662</f>
        <v>0</v>
      </c>
      <c r="L667" s="41" t="n">
        <f aca="false">Sens!$L$663+Sens!$L$664-Sens!$L$662</f>
        <v>0</v>
      </c>
      <c r="M667" s="41" t="n">
        <f aca="false">Sens!$M$663+Sens!$M$664-Sens!$M$662</f>
        <v>0</v>
      </c>
      <c r="N667" s="41" t="n">
        <f aca="false">Sens!$N$663+Sens!$N$664-Sens!$N$662</f>
        <v>0</v>
      </c>
      <c r="O667" s="41" t="n">
        <f aca="false">Sens!$O$663+Sens!$O$664-Sens!$O$662</f>
        <v>0</v>
      </c>
    </row>
    <row r="668" customFormat="false" ht="17.15" hidden="false" customHeight="false" outlineLevel="0" collapsed="false">
      <c r="A668" s="24" t="s">
        <v>774</v>
      </c>
      <c r="B668" s="25" t="s">
        <v>86</v>
      </c>
      <c r="C668" s="41" t="n">
        <f aca="false">Sens!$C$653+Sens!$C$654+Sens!$C$655+Sens!$C$656+Sens!$C$657+Sens!$C$658+Sens!$C$659-Sens!$C$665</f>
        <v>0</v>
      </c>
      <c r="D668" s="41" t="n">
        <f aca="false">Sens!$D$653+Sens!$D$654+Sens!$D$655+Sens!$D$656+Sens!$D$657+Sens!$D$658+Sens!$D$659-Sens!$D$665</f>
        <v>0</v>
      </c>
      <c r="E668" s="41" t="n">
        <f aca="false">Sens!$E$653+Sens!$E$654+Sens!$E$655+Sens!$E$656+Sens!$E$657+Sens!$E$658+Sens!$E$659-Sens!$E$665</f>
        <v>0</v>
      </c>
      <c r="F668" s="41" t="n">
        <f aca="false">Sens!$F$653+Sens!$F$654+Sens!$F$655+Sens!$F$656+Sens!$F$657+Sens!$F$658+Sens!$F$659-Sens!$F$665</f>
        <v>0</v>
      </c>
      <c r="G668" s="41" t="n">
        <f aca="false">Sens!$G$653+Sens!$G$654+Sens!$G$655+Sens!$G$656+Sens!$G$657+Sens!$G$658+Sens!$G$659-Sens!$G$665</f>
        <v>0</v>
      </c>
      <c r="H668" s="41" t="n">
        <f aca="false">Sens!$H$653+Sens!$H$654+Sens!$H$655+Sens!$H$656+Sens!$H$657+Sens!$H$658+Sens!$H$659-Sens!$H$665</f>
        <v>0</v>
      </c>
      <c r="I668" s="41" t="n">
        <f aca="false">Sens!$I$653+Sens!$I$654+Sens!$I$655+Sens!$I$656+Sens!$I$657+Sens!$I$658+Sens!$I$659-Sens!$I$665</f>
        <v>0</v>
      </c>
      <c r="J668" s="41" t="n">
        <f aca="false">Sens!$J$653+Sens!$J$654+Sens!$J$655+Sens!$J$656+Sens!$J$657+Sens!$J$658+Sens!$J$659-Sens!$J$665</f>
        <v>0</v>
      </c>
      <c r="K668" s="41" t="n">
        <f aca="false">Sens!$K$653+Sens!$K$654+Sens!$K$655+Sens!$K$656+Sens!$K$657+Sens!$K$658+Sens!$K$659-Sens!$K$665</f>
        <v>0</v>
      </c>
      <c r="L668" s="41" t="n">
        <f aca="false">Sens!$L$653+Sens!$L$654+Sens!$L$655+Sens!$L$656+Sens!$L$657+Sens!$L$658+Sens!$L$659-Sens!$L$665</f>
        <v>0</v>
      </c>
      <c r="M668" s="41" t="n">
        <f aca="false">Sens!$M$653+Sens!$M$654+Sens!$M$655+Sens!$M$656+Sens!$M$657+Sens!$M$658+Sens!$M$659-Sens!$M$665</f>
        <v>0</v>
      </c>
      <c r="N668" s="41" t="n">
        <f aca="false">Sens!$N$653+Sens!$N$654+Sens!$N$655+Sens!$N$656+Sens!$N$657+Sens!$N$658+Sens!$N$659-Sens!$N$665</f>
        <v>0</v>
      </c>
      <c r="O668" s="41" t="n">
        <f aca="false">Sens!$O$653+Sens!$O$654+Sens!$O$655+Sens!$O$656+Sens!$O$657+Sens!$O$658+Sens!$O$659-Sens!$O$665</f>
        <v>0</v>
      </c>
    </row>
    <row r="669" customFormat="false" ht="17.15" hidden="false" customHeight="false" outlineLevel="0" collapsed="false">
      <c r="A669" s="24" t="s">
        <v>716</v>
      </c>
      <c r="B669" s="25" t="s">
        <v>86</v>
      </c>
      <c r="C669" s="41" t="n">
        <f aca="false">Sens!$C$660+Sens!$C$661+Sens!$C$662-Sens!$C$665</f>
        <v>0</v>
      </c>
      <c r="D669" s="41" t="n">
        <f aca="false">Sens!$D$660+Sens!$D$661+Sens!$D$662-Sens!$D$665</f>
        <v>0</v>
      </c>
      <c r="E669" s="41" t="n">
        <f aca="false">Sens!$E$660+Sens!$E$661+Sens!$E$662-Sens!$E$665</f>
        <v>0</v>
      </c>
      <c r="F669" s="41" t="n">
        <f aca="false">Sens!$F$660+Sens!$F$661+Sens!$F$662-Sens!$F$665</f>
        <v>0</v>
      </c>
      <c r="G669" s="41" t="n">
        <f aca="false">Sens!$G$660+Sens!$G$661+Sens!$G$662-Sens!$G$665</f>
        <v>0</v>
      </c>
      <c r="H669" s="41" t="n">
        <f aca="false">Sens!$H$660+Sens!$H$661+Sens!$H$662-Sens!$H$665</f>
        <v>0</v>
      </c>
      <c r="I669" s="41" t="n">
        <f aca="false">Sens!$I$660+Sens!$I$661+Sens!$I$662-Sens!$I$665</f>
        <v>0</v>
      </c>
      <c r="J669" s="41" t="n">
        <f aca="false">Sens!$J$660+Sens!$J$661+Sens!$J$662-Sens!$J$665</f>
        <v>0</v>
      </c>
      <c r="K669" s="41" t="n">
        <f aca="false">Sens!$K$660+Sens!$K$661+Sens!$K$662-Sens!$K$665</f>
        <v>0</v>
      </c>
      <c r="L669" s="41" t="n">
        <f aca="false">Sens!$L$660+Sens!$L$661+Sens!$L$662-Sens!$L$665</f>
        <v>0</v>
      </c>
      <c r="M669" s="41" t="n">
        <f aca="false">Sens!$M$660+Sens!$M$661+Sens!$M$662-Sens!$M$665</f>
        <v>0</v>
      </c>
      <c r="N669" s="41" t="n">
        <f aca="false">Sens!$N$660+Sens!$N$661+Sens!$N$662-Sens!$N$665</f>
        <v>0</v>
      </c>
      <c r="O669" s="41" t="n">
        <f aca="false">Sens!$O$660+Sens!$O$661+Sens!$O$662-Sens!$O$665</f>
        <v>0</v>
      </c>
    </row>
    <row r="670" customFormat="false" ht="17.15" hidden="false" customHeight="false" outlineLevel="0" collapsed="false">
      <c r="A670" s="1" t="s">
        <v>730</v>
      </c>
    </row>
    <row r="671" customFormat="false" ht="17.15" hidden="false" customHeight="false" outlineLevel="0" collapsed="false">
      <c r="A671" s="0" t="s">
        <v>731</v>
      </c>
      <c r="B671" s="0" t="s">
        <v>86</v>
      </c>
      <c r="C671" s="38" t="n">
        <f aca="false">Sens!$C$572*m_ad</f>
        <v>20.5341564414228</v>
      </c>
      <c r="D671" s="38" t="n">
        <f aca="false">Sens!$D$572*m_ad</f>
        <v>24.8720617299587</v>
      </c>
      <c r="E671" s="38" t="n">
        <f aca="false">Sens!$E$572*m_ad</f>
        <v>13.5017112462207</v>
      </c>
      <c r="F671" s="38" t="n">
        <f aca="false">Sens!$F$572*m_ad</f>
        <v>16.5719724165257</v>
      </c>
      <c r="G671" s="38" t="n">
        <f aca="false">Sens!$G$572*m_ad</f>
        <v>30.0820919220415</v>
      </c>
      <c r="H671" s="38" t="n">
        <f aca="false">Sens!$H$572*m_ad</f>
        <v>36.1150883276314</v>
      </c>
      <c r="I671" s="38" t="n">
        <f aca="false">Sens!$I$572*m_ad</f>
        <v>42.1475382231996</v>
      </c>
      <c r="J671" s="38" t="n">
        <f aca="false">Sens!$J$572*m_ad</f>
        <v>47.7749523864693</v>
      </c>
      <c r="K671" s="38" t="n">
        <f aca="false">Sens!$K$572*m_ad</f>
        <v>52.5524476251162</v>
      </c>
      <c r="L671" s="38" t="n">
        <f aca="false">Sens!$L$572*m_ad</f>
        <v>57.8076923876279</v>
      </c>
      <c r="M671" s="38" t="n">
        <f aca="false">Sens!$M$572*m_ad</f>
        <v>63.5884616263907</v>
      </c>
      <c r="N671" s="38" t="n">
        <f aca="false">Sens!$N$572*m_ad</f>
        <v>10.8543555706248</v>
      </c>
      <c r="O671" s="38" t="n">
        <f aca="false">Sens!$O$572*m_ad</f>
        <v>14.0094731821399</v>
      </c>
    </row>
    <row r="672" customFormat="false" ht="17.15" hidden="false" customHeight="false" outlineLevel="0" collapsed="false">
      <c r="A672" s="0" t="s">
        <v>732</v>
      </c>
      <c r="B672" s="0" t="s">
        <v>86</v>
      </c>
      <c r="C672" s="38" t="n">
        <f aca="false">Sens!$C$570-Sens!$C$572</f>
        <v>346.428687117154</v>
      </c>
      <c r="D672" s="38" t="n">
        <f aca="false">Sens!$D$570-Sens!$D$572</f>
        <v>376.560876540083</v>
      </c>
      <c r="E672" s="38" t="n">
        <f aca="false">Sens!$E$570-Sens!$E$572</f>
        <v>193.316577507559</v>
      </c>
      <c r="F672" s="38" t="n">
        <f aca="false">Sens!$F$570-Sens!$F$572</f>
        <v>217.495828647535</v>
      </c>
      <c r="G672" s="38" t="n">
        <f aca="false">Sens!$G$570-Sens!$G$572</f>
        <v>410.795589636503</v>
      </c>
      <c r="H672" s="38" t="n">
        <f aca="false">Sens!$H$570-Sens!$H$572</f>
        <v>449.156813761174</v>
      </c>
      <c r="I672" s="38" t="n">
        <f aca="false">Sens!$I$570-Sens!$I$572</f>
        <v>485.848786441156</v>
      </c>
      <c r="J672" s="38" t="n">
        <f aca="false">Sens!$J$570-Sens!$J$572</f>
        <v>519.841531018994</v>
      </c>
      <c r="K672" s="38" t="n">
        <f aca="false">Sens!$K$570-Sens!$K$572</f>
        <v>550.103332311311</v>
      </c>
      <c r="L672" s="38" t="n">
        <f aca="false">Sens!$L$570-Sens!$L$572</f>
        <v>582.192354474511</v>
      </c>
      <c r="M672" s="38" t="n">
        <f aca="false">Sens!$M$570-Sens!$M$572</f>
        <v>616.22240521081</v>
      </c>
      <c r="N672" s="38" t="n">
        <f aca="false">Sens!$N$570-Sens!$N$572</f>
        <v>171.24628885875</v>
      </c>
      <c r="O672" s="38" t="n">
        <f aca="false">Sens!$O$570-Sens!$O$572</f>
        <v>205.33105363572</v>
      </c>
    </row>
    <row r="673" customFormat="false" ht="17.15" hidden="false" customHeight="false" outlineLevel="0" collapsed="false">
      <c r="A673" s="0" t="s">
        <v>733</v>
      </c>
      <c r="B673" s="0" t="s">
        <v>86</v>
      </c>
      <c r="C673" s="38" t="n">
        <f aca="false">Sens!$C$624*Sens!$C$569</f>
        <v>0.123617442257179</v>
      </c>
      <c r="D673" s="38" t="n">
        <f aca="false">Sens!$D$624*Sens!$D$569</f>
        <v>0.600198046024689</v>
      </c>
      <c r="E673" s="38" t="n">
        <f aca="false">Sens!$E$624*Sens!$E$569</f>
        <v>1.10840000750276</v>
      </c>
      <c r="F673" s="38" t="n">
        <f aca="false">Sens!$F$624*Sens!$F$569</f>
        <v>1.33595298721025</v>
      </c>
      <c r="G673" s="38" t="n">
        <f aca="false">Sens!$G$624*Sens!$G$569</f>
        <v>2.44487335052545</v>
      </c>
      <c r="H673" s="38" t="n">
        <f aca="false">Sens!$H$624*Sens!$H$569</f>
        <v>6.63132711939388</v>
      </c>
      <c r="I673" s="38" t="n">
        <f aca="false">Sens!$I$624*Sens!$I$569</f>
        <v>12.7486799258504</v>
      </c>
      <c r="J673" s="38" t="n">
        <f aca="false">Sens!$J$624*Sens!$J$569</f>
        <v>18.4074045299415</v>
      </c>
      <c r="K673" s="38" t="n">
        <f aca="false">Sens!$K$624*Sens!$K$569</f>
        <v>23.9455472348705</v>
      </c>
      <c r="L673" s="38" t="n">
        <f aca="false">Sens!$L$624*Sens!$L$569</f>
        <v>27.78179156216</v>
      </c>
      <c r="M673" s="38" t="n">
        <f aca="false">Sens!$M$624*Sens!$M$569</f>
        <v>29.9029027327362</v>
      </c>
      <c r="N673" s="38" t="n">
        <f aca="false">Sens!$N$624*Sens!$N$569</f>
        <v>0.25053229484398</v>
      </c>
      <c r="O673" s="38" t="n">
        <f aca="false">Sens!$O$624*Sens!$O$569</f>
        <v>0.349234376756897</v>
      </c>
    </row>
    <row r="674" customFormat="false" ht="17.15" hidden="false" customHeight="false" outlineLevel="0" collapsed="false">
      <c r="A674" s="0" t="s">
        <v>734</v>
      </c>
      <c r="B674" s="0" t="s">
        <v>52</v>
      </c>
      <c r="C674" s="28" t="n">
        <f aca="false">(Sens!$C$675-Sens!$C$671+Sens!$C$673)/Sens!$C$672</f>
        <v>0.0131526665379575</v>
      </c>
      <c r="D674" s="28" t="n">
        <f aca="false">(Sens!$D$675-Sens!$D$671+Sens!$D$673)/Sens!$D$672</f>
        <v>0.0141999252954702</v>
      </c>
      <c r="E674" s="28" t="n">
        <f aca="false">(Sens!$E$675-Sens!$E$671+Sens!$E$673)/Sens!$E$672</f>
        <v>0.0258471819939326</v>
      </c>
      <c r="F674" s="28" t="n">
        <f aca="false">Sens!$O$674+(Sens!$E$674-Sens!$N$674)</f>
        <v>0.0224302350712874</v>
      </c>
      <c r="G674" s="28" t="n">
        <f aca="false">(Sens!$G$675-Sens!$G$671+Sens!$G$673)/Sens!$G$672</f>
        <v>0.0240199351461372</v>
      </c>
      <c r="H674" s="28" t="n">
        <f aca="false">Sens!$G$674+step_na</f>
        <v>0.0270199351461372</v>
      </c>
      <c r="I674" s="28" t="n">
        <f aca="false">Sens!$H$674+step_na</f>
        <v>0.0300199351461372</v>
      </c>
      <c r="J674" s="28" t="n">
        <f aca="false">Sens!$I$674+step_na</f>
        <v>0.0330199351461372</v>
      </c>
      <c r="K674" s="28" t="n">
        <f aca="false">Sens!$J$674+step_na</f>
        <v>0.0360199351461372</v>
      </c>
      <c r="L674" s="28" t="n">
        <f aca="false">Sens!$K$674</f>
        <v>0.0360199351461372</v>
      </c>
      <c r="M674" s="28" t="n">
        <f aca="false">Sens!$L$674</f>
        <v>0.0360199351461372</v>
      </c>
      <c r="N674" s="28" t="n">
        <f aca="false">(Sens!$N$675-Sens!$N$671+Sens!$N$673)/Sens!$N$672</f>
        <v>0.0160831323269779</v>
      </c>
      <c r="O674" s="28" t="n">
        <f aca="false">(Sens!$O$675-Sens!$O$671+Sens!$O$673)/Sens!$O$672</f>
        <v>0.0126661854043327</v>
      </c>
      <c r="P674" s="8" t="s">
        <v>735</v>
      </c>
    </row>
    <row r="675" customFormat="false" ht="17.15" hidden="false" customHeight="false" outlineLevel="0" collapsed="false">
      <c r="A675" s="1" t="s">
        <v>736</v>
      </c>
      <c r="B675" s="8" t="s">
        <v>86</v>
      </c>
      <c r="C675" s="38" t="n">
        <f aca="false">Q!$D$22</f>
        <v>24.967</v>
      </c>
      <c r="D675" s="38" t="n">
        <f aca="false">Q!$E$22</f>
        <v>29.619</v>
      </c>
      <c r="E675" s="38" t="n">
        <f aca="false">Q!$P$22</f>
        <v>17.39</v>
      </c>
      <c r="F675" s="38" t="n">
        <f aca="false">Sens!$F$671+Sens!$F$672*Sens!$F$674-Sens!$F$673</f>
        <v>20.1145019929041</v>
      </c>
      <c r="G675" s="38" t="n">
        <f aca="false">Sens!$E$675+Sens!$F$675</f>
        <v>37.5045019929041</v>
      </c>
      <c r="H675" s="38" t="n">
        <f aca="false">Sens!$H$671+Sens!$H$672*Sens!$H$674-Sens!$H$673</f>
        <v>41.6199491865101</v>
      </c>
      <c r="I675" s="38" t="n">
        <f aca="false">Sens!$I$671+Sens!$I$672*Sens!$I$674-Sens!$I$673</f>
        <v>43.9840073571422</v>
      </c>
      <c r="J675" s="38" t="n">
        <f aca="false">Sens!$J$671+Sens!$J$672*Sens!$J$674-Sens!$J$673</f>
        <v>46.5326814970436</v>
      </c>
      <c r="K675" s="38" t="n">
        <f aca="false">Sens!$K$671+Sens!$K$672*Sens!$K$674-Sens!$K$673</f>
        <v>48.4215867437731</v>
      </c>
      <c r="L675" s="38" t="n">
        <f aca="false">Sens!$L$671+Sens!$L$672*Sens!$L$674-Sens!$L$673</f>
        <v>50.9964316762167</v>
      </c>
      <c r="M675" s="38" t="n">
        <f aca="false">Sens!$M$671+Sens!$M$672*Sens!$M$674-Sens!$M$673</f>
        <v>55.8818499649445</v>
      </c>
      <c r="N675" s="38" t="n">
        <f aca="false">Q!$N$22</f>
        <v>13.358</v>
      </c>
      <c r="O675" s="38" t="n">
        <f aca="false">Q!$O$22</f>
        <v>16.261</v>
      </c>
    </row>
    <row r="676" customFormat="false" ht="17.15" hidden="false" customHeight="false" outlineLevel="0" collapsed="false">
      <c r="A676" s="0" t="s">
        <v>737</v>
      </c>
      <c r="B676" s="0" t="s">
        <v>86</v>
      </c>
      <c r="C676" s="38" t="n">
        <f aca="false">Sens!$C$573*m_ad</f>
        <v>7.57284355857716</v>
      </c>
      <c r="D676" s="38" t="n">
        <f aca="false">Sens!$D$573*m_ad</f>
        <v>9.44543827004127</v>
      </c>
      <c r="E676" s="38" t="n">
        <f aca="false">Sens!$E$573*m_ad</f>
        <v>5.02428875377928</v>
      </c>
      <c r="F676" s="38" t="n">
        <f aca="false">Sens!$F$573*m_ad</f>
        <v>6.50663858068173</v>
      </c>
      <c r="G676" s="38" t="n">
        <f aca="false">Sens!$G$573*m_ad</f>
        <v>11.5225190751659</v>
      </c>
      <c r="H676" s="38" t="n">
        <f aca="false">Sens!$H$573*m_ad</f>
        <v>13.8333728663174</v>
      </c>
      <c r="I676" s="38" t="n">
        <f aca="false">Sens!$I$573*m_ad</f>
        <v>16.1440173245485</v>
      </c>
      <c r="J676" s="38" t="n">
        <f aca="false">Sens!$J$573*m_ad</f>
        <v>18.2995185845066</v>
      </c>
      <c r="K676" s="38" t="n">
        <f aca="false">Sens!$K$573*m_ad</f>
        <v>20.1294704429572</v>
      </c>
      <c r="L676" s="38" t="n">
        <f aca="false">Sens!$L$573*m_ad</f>
        <v>22.142417487253</v>
      </c>
      <c r="M676" s="38" t="n">
        <f aca="false">Sens!$M$573*m_ad</f>
        <v>24.3566592359783</v>
      </c>
      <c r="N676" s="38" t="n">
        <f aca="false">Sens!$N$573*m_ad</f>
        <v>3.95314442937518</v>
      </c>
      <c r="O676" s="38" t="n">
        <f aca="false">Sens!$O$573*m_ad</f>
        <v>5.50052681786011</v>
      </c>
    </row>
    <row r="677" customFormat="false" ht="17.15" hidden="false" customHeight="false" outlineLevel="0" collapsed="false">
      <c r="A677" s="0" t="s">
        <v>738</v>
      </c>
      <c r="B677" s="0" t="s">
        <v>86</v>
      </c>
      <c r="C677" s="38" t="n">
        <f aca="false">Sens!$C$571-Sens!$C$573</f>
        <v>127.760312882846</v>
      </c>
      <c r="D677" s="38" t="n">
        <f aca="false">Sens!$D$571-Sens!$D$573</f>
        <v>143.003123459917</v>
      </c>
      <c r="E677" s="38" t="n">
        <f aca="false">Sens!$E$571-Sens!$E$573</f>
        <v>71.9374224924414</v>
      </c>
      <c r="F677" s="38" t="n">
        <f aca="false">Sens!$F$571-Sens!$F$573</f>
        <v>85.3951910035875</v>
      </c>
      <c r="G677" s="38" t="n">
        <f aca="false">Sens!$G$571-Sens!$G$573</f>
        <v>157.349430014619</v>
      </c>
      <c r="H677" s="38" t="n">
        <f aca="false">Sens!$H$571-Sens!$H$573</f>
        <v>172.043153372315</v>
      </c>
      <c r="I677" s="38" t="n">
        <f aca="false">Sens!$I$571-Sens!$I$573</f>
        <v>186.097493615879</v>
      </c>
      <c r="J677" s="38" t="n">
        <f aca="false">Sens!$J$571-Sens!$J$573</f>
        <v>199.117932780497</v>
      </c>
      <c r="K677" s="38" t="n">
        <f aca="false">Sens!$K$571-Sens!$K$573</f>
        <v>210.70928698363</v>
      </c>
      <c r="L677" s="38" t="n">
        <f aca="false">Sens!$L$571-Sens!$L$573</f>
        <v>223.000532251316</v>
      </c>
      <c r="M677" s="38" t="n">
        <f aca="false">Sens!$M$571-Sens!$M$573</f>
        <v>236.035261011339</v>
      </c>
      <c r="N677" s="38" t="n">
        <f aca="false">Sens!$N$571-Sens!$N$573</f>
        <v>62.3677111412496</v>
      </c>
      <c r="O677" s="38" t="n">
        <f aca="false">Sens!$O$571-Sens!$O$573</f>
        <v>80.6189463642798</v>
      </c>
    </row>
    <row r="678" customFormat="false" ht="17.15" hidden="false" customHeight="false" outlineLevel="0" collapsed="false">
      <c r="A678" s="0" t="s">
        <v>739</v>
      </c>
      <c r="B678" s="0" t="s">
        <v>86</v>
      </c>
      <c r="C678" s="38" t="n">
        <f aca="false">Sens!$C$624*(1-Sens!$C$569)</f>
        <v>0.0455891896019953</v>
      </c>
      <c r="D678" s="38" t="n">
        <f aca="false">Sens!$D$624*(1-Sens!$D$569)</f>
        <v>0.227931791705753</v>
      </c>
      <c r="E678" s="38" t="n">
        <f aca="false">Sens!$E$624*(1-Sens!$E$569)</f>
        <v>0.412460434890711</v>
      </c>
      <c r="F678" s="38" t="n">
        <f aca="false">Sens!$F$624*(1-Sens!$F$569)</f>
        <v>0.524534016233997</v>
      </c>
      <c r="G678" s="38" t="n">
        <f aca="false">Sens!$G$624*(1-Sens!$G$569)</f>
        <v>0.936474095312266</v>
      </c>
      <c r="H678" s="38" t="n">
        <f aca="false">Sens!$H$624*(1-Sens!$H$569)</f>
        <v>2.54003589327823</v>
      </c>
      <c r="I678" s="38" t="n">
        <f aca="false">Sens!$I$624*(1-Sens!$I$569)</f>
        <v>4.88320120852905</v>
      </c>
      <c r="J678" s="38" t="n">
        <f aca="false">Sens!$J$624*(1-Sens!$J$569)</f>
        <v>7.05069548920359</v>
      </c>
      <c r="K678" s="38" t="n">
        <f aca="false">Sens!$K$624*(1-Sens!$K$569)</f>
        <v>9.17200258193867</v>
      </c>
      <c r="L678" s="38" t="n">
        <f aca="false">Sens!$L$624*(1-Sens!$L$569)</f>
        <v>10.6414216154535</v>
      </c>
      <c r="M678" s="38" t="n">
        <f aca="false">Sens!$M$624*(1-Sens!$M$569)</f>
        <v>11.4538831951485</v>
      </c>
      <c r="N678" s="38" t="n">
        <f aca="false">Sens!$N$624*(1-Sens!$N$569)</f>
        <v>0.0912435878202994</v>
      </c>
      <c r="O678" s="38" t="n">
        <f aca="false">Sens!$O$624*(1-Sens!$O$569)</f>
        <v>0.137119578309265</v>
      </c>
    </row>
    <row r="679" customFormat="false" ht="17.15" hidden="false" customHeight="false" outlineLevel="0" collapsed="false">
      <c r="A679" s="0" t="s">
        <v>740</v>
      </c>
      <c r="B679" s="0" t="s">
        <v>52</v>
      </c>
      <c r="C679" s="28" t="n">
        <f aca="false">(Sens!$C$680-Sens!$C$676+Sens!$C$678)/Sens!$C$677</f>
        <v>-0.0292364215826579</v>
      </c>
      <c r="D679" s="28" t="n">
        <f aca="false">(Sens!$D$680-Sens!$D$676+Sens!$D$678)/Sens!$D$677</f>
        <v>-0.0312406216748665</v>
      </c>
      <c r="E679" s="28" t="n">
        <f aca="false">(Sens!$E$680-Sens!$E$676+Sens!$E$678)/Sens!$E$677</f>
        <v>-0.0204459413185552</v>
      </c>
      <c r="F679" s="28" t="n">
        <f aca="false">Sens!$O$679+(Sens!$E$679-Sens!$N$679)</f>
        <v>-0.0375409290246314</v>
      </c>
      <c r="G679" s="28" t="n">
        <f aca="false">(Sens!$G$680-Sens!$G$676+Sens!$G$678)/Sens!$G$677</f>
        <v>-0.0296712560031684</v>
      </c>
      <c r="H679" s="28" t="n">
        <f aca="false">Sens!$G$679+step_in</f>
        <v>-0.0296712560031684</v>
      </c>
      <c r="I679" s="28" t="n">
        <f aca="false">Sens!$H$679+step_in</f>
        <v>-0.0296712560031684</v>
      </c>
      <c r="J679" s="28" t="n">
        <f aca="false">Sens!$I$679+step_in</f>
        <v>-0.0296712560031684</v>
      </c>
      <c r="K679" s="28" t="n">
        <f aca="false">Sens!$J$679+step_in</f>
        <v>-0.0296712560031684</v>
      </c>
      <c r="L679" s="28" t="n">
        <f aca="false">Sens!$K$679</f>
        <v>-0.0296712560031684</v>
      </c>
      <c r="M679" s="28" t="n">
        <f aca="false">Sens!$L$679</f>
        <v>-0.0296712560031684</v>
      </c>
      <c r="N679" s="28" t="n">
        <f aca="false">(Sens!$N$680-Sens!$N$676+Sens!$N$678)/Sens!$N$677</f>
        <v>-0.0216602600421776</v>
      </c>
      <c r="O679" s="28" t="n">
        <f aca="false">(Sens!$O$680-Sens!$O$676+Sens!$O$678)/Sens!$O$677</f>
        <v>-0.0387552477482538</v>
      </c>
      <c r="P679" s="8" t="s">
        <v>735</v>
      </c>
    </row>
    <row r="680" customFormat="false" ht="17.15" hidden="false" customHeight="false" outlineLevel="0" collapsed="false">
      <c r="A680" s="1" t="s">
        <v>741</v>
      </c>
      <c r="B680" s="8" t="s">
        <v>86</v>
      </c>
      <c r="C680" s="38" t="n">
        <f aca="false">Q!$D$23</f>
        <v>3.792</v>
      </c>
      <c r="D680" s="38" t="n">
        <f aca="false">Q!$E$23</f>
        <v>4.75</v>
      </c>
      <c r="E680" s="38" t="n">
        <f aca="false">Q!$P$23</f>
        <v>3.141</v>
      </c>
      <c r="F680" s="38" t="n">
        <f aca="false">Sens!$F$676+Sens!$F$677*Sens!$F$679-Sens!$F$678</f>
        <v>2.77628975993721</v>
      </c>
      <c r="G680" s="38" t="n">
        <f aca="false">Sens!$E$680+Sens!$F$680</f>
        <v>5.91728975993721</v>
      </c>
      <c r="H680" s="38" t="n">
        <f aca="false">Sens!$H$676+Sens!$H$677*Sens!$H$679-Sens!$H$678</f>
        <v>6.18860052573681</v>
      </c>
      <c r="I680" s="38" t="n">
        <f aca="false">Sens!$I$676+Sens!$I$677*Sens!$I$679-Sens!$I$678</f>
        <v>5.73906974139474</v>
      </c>
      <c r="J680" s="38" t="n">
        <f aca="false">Sens!$J$676+Sens!$J$677*Sens!$J$679-Sens!$J$678</f>
        <v>5.34074393695119</v>
      </c>
      <c r="K680" s="38" t="n">
        <f aca="false">Sens!$K$676+Sens!$K$677*Sens!$K$679-Sens!$K$678</f>
        <v>4.7054586646822</v>
      </c>
      <c r="L680" s="38" t="n">
        <f aca="false">Sens!$L$676+Sens!$L$677*Sens!$L$679-Sens!$L$678</f>
        <v>4.88428999052786</v>
      </c>
      <c r="M680" s="38" t="n">
        <f aca="false">Sens!$M$676+Sens!$M$677*Sens!$M$679-Sens!$M$678</f>
        <v>5.89931338558769</v>
      </c>
      <c r="N680" s="38" t="n">
        <f aca="false">Q!$N$23</f>
        <v>2.511</v>
      </c>
      <c r="O680" s="38" t="n">
        <f aca="false">Q!$O$23</f>
        <v>2.239</v>
      </c>
    </row>
    <row r="681" customFormat="false" ht="17.15" hidden="false" customHeight="false" outlineLevel="0" collapsed="false">
      <c r="A681" s="0" t="s">
        <v>742</v>
      </c>
      <c r="B681" s="0" t="s">
        <v>86</v>
      </c>
      <c r="C681" s="38" t="n">
        <f aca="false">Sens!$C$621</f>
        <v>1.64417882953695</v>
      </c>
      <c r="D681" s="38" t="n">
        <f aca="false">Sens!$D$621</f>
        <v>5.39125073772939</v>
      </c>
      <c r="E681" s="38" t="n">
        <f aca="false">Sens!$E$621</f>
        <v>2.42691120599613</v>
      </c>
      <c r="F681" s="38" t="n">
        <f aca="false">Sens!$F$621</f>
        <v>10.1247554757619</v>
      </c>
      <c r="G681" s="38" t="n">
        <f aca="false">Sens!$G$621</f>
        <v>12.5516666817581</v>
      </c>
      <c r="H681" s="38" t="n">
        <f aca="false">Sens!$H$621</f>
        <v>44.7335437394609</v>
      </c>
      <c r="I681" s="38" t="n">
        <f aca="false">Sens!$I$621</f>
        <v>74.165498730587</v>
      </c>
      <c r="J681" s="38" t="n">
        <f aca="false">Sens!$J$621</f>
        <v>106.416138019229</v>
      </c>
      <c r="K681" s="38" t="n">
        <f aca="false">Sens!$K$621</f>
        <v>129.99838139625</v>
      </c>
      <c r="L681" s="38" t="n">
        <f aca="false">Sens!$L$621</f>
        <v>144.409406696419</v>
      </c>
      <c r="M681" s="38" t="n">
        <f aca="false">Sens!$M$621</f>
        <v>149.676648586531</v>
      </c>
      <c r="N681" s="38" t="n">
        <f aca="false">Sens!$N$621</f>
        <v>1.67921600037079</v>
      </c>
      <c r="O681" s="38" t="n">
        <f aca="false">Sens!$O$621</f>
        <v>3.71203473735861</v>
      </c>
    </row>
    <row r="682" customFormat="false" ht="17.15" hidden="false" customHeight="false" outlineLevel="0" collapsed="false">
      <c r="A682" s="0" t="s">
        <v>660</v>
      </c>
      <c r="B682" s="0" t="s">
        <v>86</v>
      </c>
      <c r="C682" s="38" t="n">
        <f aca="false">Sens!$C$626</f>
        <v>38.1898211704631</v>
      </c>
      <c r="D682" s="38" t="n">
        <f aca="false">Sens!$D$626</f>
        <v>40.2147492622706</v>
      </c>
      <c r="E682" s="38" t="n">
        <f aca="false">Sens!$E$626</f>
        <v>28.3550887940039</v>
      </c>
      <c r="F682" s="38" t="n">
        <f aca="false">Sens!$F$626</f>
        <v>25.9529793149447</v>
      </c>
      <c r="G682" s="38" t="n">
        <f aca="false">Sens!$G$626</f>
        <v>54.3080681089486</v>
      </c>
      <c r="H682" s="38" t="n">
        <f aca="false">Sens!$H$626</f>
        <v>58.2264684589333</v>
      </c>
      <c r="I682" s="38" t="n">
        <f aca="false">Sens!$I$626</f>
        <v>64.6461353851744</v>
      </c>
      <c r="J682" s="38" t="n">
        <f aca="false">Sens!$J$626</f>
        <v>70.7957093610231</v>
      </c>
      <c r="K682" s="38" t="n">
        <f aca="false">Sens!$K$626</f>
        <v>76.4593661099049</v>
      </c>
      <c r="L682" s="38" t="n">
        <f aca="false">Sens!$L$626</f>
        <v>82.5761153986973</v>
      </c>
      <c r="M682" s="38" t="n">
        <f aca="false">Sens!$M$626</f>
        <v>89.1822046305931</v>
      </c>
      <c r="N682" s="38" t="n">
        <f aca="false">Sens!$N$626</f>
        <v>20.0277839996292</v>
      </c>
      <c r="O682" s="38" t="n">
        <f aca="false">Sens!$O$626</f>
        <v>20.1869652626414</v>
      </c>
    </row>
    <row r="683" customFormat="false" ht="17.15" hidden="false" customHeight="false" outlineLevel="0" collapsed="false">
      <c r="A683" s="1" t="s">
        <v>743</v>
      </c>
      <c r="B683" s="8" t="s">
        <v>86</v>
      </c>
      <c r="C683" s="38" t="n">
        <f aca="false">Q!$D$24</f>
        <v>39.834</v>
      </c>
      <c r="D683" s="38" t="n">
        <f aca="false">Q!$E$24</f>
        <v>45.606</v>
      </c>
      <c r="E683" s="38" t="n">
        <f aca="false">Q!$P$24</f>
        <v>30.782</v>
      </c>
      <c r="F683" s="38" t="n">
        <f aca="false">Sens!$F$681+Sens!$F$682</f>
        <v>36.0777347907066</v>
      </c>
      <c r="G683" s="38" t="n">
        <f aca="false">Sens!$G$681+Sens!$G$682</f>
        <v>66.8597347907066</v>
      </c>
      <c r="H683" s="38" t="n">
        <f aca="false">Sens!$H$681+Sens!$H$682</f>
        <v>102.960012198394</v>
      </c>
      <c r="I683" s="38" t="n">
        <f aca="false">Sens!$I$681+Sens!$I$682</f>
        <v>138.811634115761</v>
      </c>
      <c r="J683" s="38" t="n">
        <f aca="false">Sens!$J$681+Sens!$J$682</f>
        <v>177.211847380252</v>
      </c>
      <c r="K683" s="38" t="n">
        <f aca="false">Sens!$K$681+Sens!$K$682</f>
        <v>206.457747506155</v>
      </c>
      <c r="L683" s="38" t="n">
        <f aca="false">Sens!$L$681+Sens!$L$682</f>
        <v>226.985522095116</v>
      </c>
      <c r="M683" s="38" t="n">
        <f aca="false">Sens!$M$681+Sens!$M$682</f>
        <v>238.858853217124</v>
      </c>
      <c r="N683" s="38" t="n">
        <f aca="false">Q!$N$24</f>
        <v>21.707</v>
      </c>
      <c r="O683" s="38" t="n">
        <f aca="false">Q!$O$24</f>
        <v>23.899</v>
      </c>
    </row>
    <row r="684" customFormat="false" ht="17.15" hidden="false" customHeight="false" outlineLevel="0" collapsed="false">
      <c r="A684" s="5" t="s">
        <v>744</v>
      </c>
      <c r="B684" s="0" t="s">
        <v>86</v>
      </c>
      <c r="C684" s="38" t="n">
        <f aca="false">Q!$D$26</f>
        <v>0</v>
      </c>
      <c r="D684" s="38" t="n">
        <f aca="false">Q!$E$26</f>
        <v>0</v>
      </c>
      <c r="E684" s="38" t="n">
        <f aca="false">Q!$P$26</f>
        <v>0</v>
      </c>
      <c r="F684" s="39" t="n">
        <v>0</v>
      </c>
      <c r="G684" s="38" t="n">
        <f aca="false">Sens!$E$684+Sens!$F$684</f>
        <v>0</v>
      </c>
      <c r="H684" s="39" t="n">
        <v>0</v>
      </c>
      <c r="I684" s="39" t="n">
        <v>0</v>
      </c>
      <c r="J684" s="39" t="n">
        <v>0</v>
      </c>
      <c r="K684" s="39" t="n">
        <v>0</v>
      </c>
      <c r="L684" s="39" t="n">
        <v>0</v>
      </c>
      <c r="M684" s="39" t="n">
        <v>0</v>
      </c>
      <c r="N684" s="38" t="n">
        <f aca="false">Q!$N$26</f>
        <v>0</v>
      </c>
      <c r="O684" s="38" t="n">
        <f aca="false">Q!$O$26</f>
        <v>0</v>
      </c>
    </row>
    <row r="685" customFormat="false" ht="15" hidden="false" customHeight="false" outlineLevel="0" collapsed="false">
      <c r="A685" s="3" t="s">
        <v>541</v>
      </c>
      <c r="B685" s="8" t="s">
        <v>86</v>
      </c>
      <c r="C685" s="38" t="n">
        <f aca="false">Q!$D$25</f>
        <v>68.593</v>
      </c>
      <c r="D685" s="38" t="n">
        <f aca="false">Q!$E$25</f>
        <v>79.975</v>
      </c>
      <c r="E685" s="38" t="n">
        <f aca="false">Q!$P$25</f>
        <v>51.313</v>
      </c>
      <c r="F685" s="38" t="n">
        <f aca="false">Sens!$F$675+Sens!$F$680+Sens!$F$683+Sens!$F$684</f>
        <v>58.9685265435479</v>
      </c>
      <c r="G685" s="38" t="n">
        <f aca="false">Sens!$G$675+Sens!$G$680+Sens!$G$683+Sens!$G$684</f>
        <v>110.281526543548</v>
      </c>
      <c r="H685" s="38" t="n">
        <f aca="false">Sens!$H$675+Sens!$H$680+Sens!$H$683+Sens!$H$684</f>
        <v>150.768561910641</v>
      </c>
      <c r="I685" s="38" t="n">
        <f aca="false">Sens!$I$675+Sens!$I$680+Sens!$I$683+Sens!$I$684</f>
        <v>188.534711214298</v>
      </c>
      <c r="J685" s="38" t="n">
        <f aca="false">Sens!$J$675+Sens!$J$680+Sens!$J$683+Sens!$J$684</f>
        <v>229.085272814247</v>
      </c>
      <c r="K685" s="38" t="n">
        <f aca="false">Sens!$K$675+Sens!$K$680+Sens!$K$683+Sens!$K$684</f>
        <v>259.58479291461</v>
      </c>
      <c r="L685" s="38" t="n">
        <f aca="false">Sens!$L$675+Sens!$L$680+Sens!$L$683+Sens!$L$684</f>
        <v>282.866243761861</v>
      </c>
      <c r="M685" s="38" t="n">
        <f aca="false">Sens!$M$675+Sens!$M$680+Sens!$M$683+Sens!$M$684</f>
        <v>300.640016567656</v>
      </c>
      <c r="N685" s="38" t="n">
        <f aca="false">Q!$N$25</f>
        <v>37.576</v>
      </c>
      <c r="O685" s="38" t="n">
        <f aca="false">Q!$O$25</f>
        <v>42.399</v>
      </c>
    </row>
    <row r="686" customFormat="false" ht="17.15" hidden="false" customHeight="false" outlineLevel="0" collapsed="false">
      <c r="A686" s="24" t="s">
        <v>775</v>
      </c>
      <c r="B686" s="25" t="s">
        <v>86</v>
      </c>
      <c r="C686" s="41" t="n">
        <f aca="false">Sens!$C$675+Sens!$C$680+Sens!$C$683+Sens!$C$684-Sens!$C$685</f>
        <v>0</v>
      </c>
      <c r="D686" s="41" t="n">
        <f aca="false">Sens!$D$675+Sens!$D$680+Sens!$D$683+Sens!$D$684-Sens!$D$685</f>
        <v>0</v>
      </c>
      <c r="E686" s="41" t="n">
        <f aca="false">Sens!$E$675+Sens!$E$680+Sens!$E$683+Sens!$E$684-Sens!$E$685</f>
        <v>0</v>
      </c>
      <c r="F686" s="41" t="n">
        <f aca="false">Sens!$F$675+Sens!$F$680+Sens!$F$683+Sens!$F$684-Sens!$F$685</f>
        <v>0</v>
      </c>
      <c r="G686" s="41" t="n">
        <f aca="false">Sens!$G$675+Sens!$G$680+Sens!$G$683+Sens!$G$684-Sens!$G$685</f>
        <v>0</v>
      </c>
      <c r="H686" s="41" t="n">
        <f aca="false">Sens!$H$675+Sens!$H$680+Sens!$H$683+Sens!$H$684-Sens!$H$685</f>
        <v>0</v>
      </c>
      <c r="I686" s="41" t="n">
        <f aca="false">Sens!$I$675+Sens!$I$680+Sens!$I$683+Sens!$I$684-Sens!$I$685</f>
        <v>0</v>
      </c>
      <c r="J686" s="41" t="n">
        <f aca="false">Sens!$J$675+Sens!$J$680+Sens!$J$683+Sens!$J$684-Sens!$J$685</f>
        <v>0</v>
      </c>
      <c r="K686" s="41" t="n">
        <f aca="false">Sens!$K$675+Sens!$K$680+Sens!$K$683+Sens!$K$684-Sens!$K$685</f>
        <v>0</v>
      </c>
      <c r="L686" s="41" t="n">
        <f aca="false">Sens!$L$675+Sens!$L$680+Sens!$L$683+Sens!$L$684-Sens!$L$685</f>
        <v>0</v>
      </c>
      <c r="M686" s="41" t="n">
        <f aca="false">Sens!$M$675+Sens!$M$680+Sens!$M$683+Sens!$M$684-Sens!$M$685</f>
        <v>0</v>
      </c>
      <c r="N686" s="41" t="n">
        <f aca="false">Sens!$N$675+Sens!$N$680+Sens!$N$683+Sens!$N$684-Sens!$N$685</f>
        <v>0</v>
      </c>
      <c r="O686" s="41" t="n">
        <f aca="false">Sens!$O$675+Sens!$O$680+Sens!$O$683+Sens!$O$684-Sens!$O$685</f>
        <v>0</v>
      </c>
    </row>
    <row r="687" customFormat="false" ht="17.15" hidden="false" customHeight="false" outlineLevel="0" collapsed="false">
      <c r="A687" s="5" t="s">
        <v>746</v>
      </c>
      <c r="B687" s="0" t="s">
        <v>86</v>
      </c>
      <c r="C687" s="38" t="n">
        <f aca="false">Sens!$C$623</f>
        <v>0</v>
      </c>
      <c r="D687" s="38" t="n">
        <f aca="false">Sens!$D$623</f>
        <v>0</v>
      </c>
      <c r="E687" s="38" t="n">
        <f aca="false">Sens!$E$623</f>
        <v>0</v>
      </c>
      <c r="F687" s="38" t="n">
        <f aca="false">Sens!$F$623</f>
        <v>3.77122048175818</v>
      </c>
      <c r="G687" s="38" t="n">
        <f aca="false">Sens!$G$623</f>
        <v>3.77122048175818</v>
      </c>
      <c r="H687" s="38" t="n">
        <f aca="false">Sens!$H$623</f>
        <v>15.1635543609893</v>
      </c>
      <c r="I687" s="38" t="n">
        <f aca="false">Sens!$I$623</f>
        <v>25.5818843619889</v>
      </c>
      <c r="J687" s="38" t="n">
        <f aca="false">Sens!$J$623</f>
        <v>36.0465624179122</v>
      </c>
      <c r="K687" s="38" t="n">
        <f aca="false">Sens!$K$623</f>
        <v>44.9741164026038</v>
      </c>
      <c r="L687" s="38" t="n">
        <f aca="false">Sens!$L$623</f>
        <v>50.8413488057813</v>
      </c>
      <c r="M687" s="38" t="n">
        <f aca="false">Sens!$M$623</f>
        <v>53.6407214274315</v>
      </c>
      <c r="N687" s="38" t="n">
        <f aca="false">Sens!$N$623</f>
        <v>0</v>
      </c>
      <c r="O687" s="38" t="n">
        <f aca="false">Sens!$O$623</f>
        <v>0</v>
      </c>
      <c r="P687" s="5" t="s">
        <v>747</v>
      </c>
    </row>
    <row r="688" customFormat="false" ht="17.15" hidden="false" customHeight="false" outlineLevel="0" collapsed="false">
      <c r="A688" s="5" t="s">
        <v>748</v>
      </c>
      <c r="B688" s="0" t="s">
        <v>86</v>
      </c>
      <c r="C688" s="38" t="n">
        <f aca="false">Sens!$C$685+Sens!$C$687</f>
        <v>68.593</v>
      </c>
      <c r="D688" s="38" t="n">
        <f aca="false">Sens!$D$685+Sens!$D$687</f>
        <v>79.975</v>
      </c>
      <c r="E688" s="38" t="n">
        <f aca="false">Sens!$E$685+Sens!$E$687</f>
        <v>51.313</v>
      </c>
      <c r="F688" s="38" t="n">
        <f aca="false">Sens!$F$685+Sens!$F$687</f>
        <v>62.7397470253061</v>
      </c>
      <c r="G688" s="38" t="n">
        <f aca="false">Sens!$G$685+Sens!$G$687</f>
        <v>114.052747025306</v>
      </c>
      <c r="H688" s="38" t="n">
        <f aca="false">Sens!$H$685+Sens!$H$687</f>
        <v>165.93211627163</v>
      </c>
      <c r="I688" s="38" t="n">
        <f aca="false">Sens!$I$685+Sens!$I$687</f>
        <v>214.116595576287</v>
      </c>
      <c r="J688" s="38" t="n">
        <f aca="false">Sens!$J$685+Sens!$J$687</f>
        <v>265.131835232159</v>
      </c>
      <c r="K688" s="38" t="n">
        <f aca="false">Sens!$K$685+Sens!$K$687</f>
        <v>304.558909317214</v>
      </c>
      <c r="L688" s="38" t="n">
        <f aca="false">Sens!$L$685+Sens!$L$687</f>
        <v>333.707592567642</v>
      </c>
      <c r="M688" s="38" t="n">
        <f aca="false">Sens!$M$685+Sens!$M$687</f>
        <v>354.280737995087</v>
      </c>
      <c r="N688" s="38" t="n">
        <f aca="false">Sens!$N$685+Sens!$N$687</f>
        <v>37.576</v>
      </c>
      <c r="O688" s="38" t="n">
        <f aca="false">Sens!$O$685+Sens!$O$687</f>
        <v>42.399</v>
      </c>
    </row>
    <row r="689" customFormat="false" ht="17.15" hidden="false" customHeight="false" outlineLevel="0" collapsed="false">
      <c r="A689" s="0" t="s">
        <v>749</v>
      </c>
      <c r="B689" s="0" t="s">
        <v>52</v>
      </c>
      <c r="C689" s="13" t="n">
        <f aca="false">Sens!$C$675/Sens!$C$660</f>
        <v>0.0644314665661928</v>
      </c>
      <c r="D689" s="13" t="n">
        <f aca="false">Sens!$D$675/Sens!$D$660</f>
        <v>0.0694784250712518</v>
      </c>
      <c r="E689" s="13" t="n">
        <f aca="false">Sens!$E$675/Sens!$E$660</f>
        <v>0.0789306463326071</v>
      </c>
      <c r="F689" s="13" t="n">
        <f aca="false">Sens!$F$675/Sens!$F$660</f>
        <v>0.0802526339438384</v>
      </c>
      <c r="G689" s="13" t="n">
        <f aca="false">Sens!$G$675/Sens!$G$660</f>
        <v>0.0796341940538369</v>
      </c>
      <c r="H689" s="13" t="n">
        <f aca="false">Sens!$H$675/Sens!$H$660</f>
        <v>0.0798254462645258</v>
      </c>
      <c r="I689" s="13" t="n">
        <f aca="false">Sens!$I$675/Sens!$I$660</f>
        <v>0.0771454543672196</v>
      </c>
      <c r="J689" s="13" t="n">
        <f aca="false">Sens!$J$675/Sens!$J$660</f>
        <v>0.0756147693819656</v>
      </c>
      <c r="K689" s="13" t="n">
        <f aca="false">Sens!$K$675/Sens!$K$660</f>
        <v>0.0739025926520816</v>
      </c>
      <c r="L689" s="13" t="n">
        <f aca="false">Sens!$L$675/Sens!$L$660</f>
        <v>0.0730809201558074</v>
      </c>
      <c r="M689" s="13" t="n">
        <f aca="false">Sens!$M$675/Sens!$M$660</f>
        <v>0.0751707027775199</v>
      </c>
      <c r="N689" s="13" t="n">
        <f aca="false">Sens!$N$675/Sens!$N$660</f>
        <v>0.069228576611127</v>
      </c>
      <c r="O689" s="13" t="n">
        <f aca="false">Sens!$O$675/Sens!$O$660</f>
        <v>0.069685022498393</v>
      </c>
    </row>
    <row r="690" customFormat="false" ht="17.15" hidden="false" customHeight="false" outlineLevel="0" collapsed="false">
      <c r="A690" s="0" t="s">
        <v>750</v>
      </c>
      <c r="B690" s="0" t="s">
        <v>52</v>
      </c>
      <c r="C690" s="13" t="n">
        <f aca="false">Sens!$C$680/Sens!$C$661</f>
        <v>0.026534925055631</v>
      </c>
      <c r="D690" s="13" t="n">
        <f aca="false">Sens!$D$680/Sens!$D$661</f>
        <v>0.0293401855535103</v>
      </c>
      <c r="E690" s="13" t="n">
        <f aca="false">Sens!$E$680/Sens!$E$661</f>
        <v>0.03831141902276</v>
      </c>
      <c r="F690" s="13" t="n">
        <f aca="false">Sens!$F$680/Sens!$F$661</f>
        <v>0.0282118989524726</v>
      </c>
      <c r="G690" s="13" t="n">
        <f aca="false">Sens!$G$680/Sens!$G$661</f>
        <v>0.0328019468674976</v>
      </c>
      <c r="H690" s="13" t="n">
        <f aca="false">Sens!$H$680/Sens!$H$661</f>
        <v>0.0309879507899839</v>
      </c>
      <c r="I690" s="13" t="n">
        <f aca="false">Sens!$I$680/Sens!$I$661</f>
        <v>0.0262795332043765</v>
      </c>
      <c r="J690" s="13" t="n">
        <f aca="false">Sens!$J$680/Sens!$J$661</f>
        <v>0.0226574435353346</v>
      </c>
      <c r="K690" s="13" t="n">
        <f aca="false">Sens!$K$680/Sens!$K$661</f>
        <v>0.0187492205871101</v>
      </c>
      <c r="L690" s="13" t="n">
        <f aca="false">Sens!$L$680/Sens!$L$661</f>
        <v>0.018273690180732</v>
      </c>
      <c r="M690" s="13" t="n">
        <f aca="false">Sens!$M$680/Sens!$M$661</f>
        <v>0.0207176218272716</v>
      </c>
      <c r="N690" s="13" t="n">
        <f aca="false">Sens!$N$680/Sens!$N$661</f>
        <v>0.0357315650169337</v>
      </c>
      <c r="O690" s="13" t="n">
        <f aca="false">Sens!$O$680/Sens!$O$661</f>
        <v>0.0244378956559703</v>
      </c>
    </row>
    <row r="691" customFormat="false" ht="17.15" hidden="false" customHeight="false" outlineLevel="0" collapsed="false">
      <c r="A691" s="14" t="s">
        <v>751</v>
      </c>
      <c r="B691" s="14" t="s">
        <v>52</v>
      </c>
      <c r="C691" s="17" t="n">
        <f aca="false">Sens!$C$683/Sens!$C$662</f>
        <v>0.370355907620217</v>
      </c>
      <c r="D691" s="17" t="n">
        <f aca="false">Sens!$D$683/Sens!$D$662</f>
        <v>0.35429015342785</v>
      </c>
      <c r="E691" s="17" t="n">
        <f aca="false">Sens!$E$683/Sens!$E$662</f>
        <v>0.385647527531039</v>
      </c>
      <c r="F691" s="17" t="n">
        <f aca="false">Sens!$F$683/Sens!$F$662</f>
        <v>0.403843170329681</v>
      </c>
      <c r="G691" s="17" t="n">
        <f aca="false">Sens!$G$683/Sens!$G$662</f>
        <v>0.395257210799366</v>
      </c>
      <c r="H691" s="17" t="n">
        <f aca="false">Sens!$H$683/Sens!$H$662</f>
        <v>0.424689325230404</v>
      </c>
      <c r="I691" s="17" t="n">
        <f aca="false">Sens!$I$683/Sens!$I$662</f>
        <v>0.429142521184792</v>
      </c>
      <c r="J691" s="17" t="n">
        <f aca="false">Sens!$J$683/Sens!$J$662</f>
        <v>0.438617047460539</v>
      </c>
      <c r="K691" s="17" t="n">
        <f aca="false">Sens!$K$683/Sens!$K$662</f>
        <v>0.435651114436726</v>
      </c>
      <c r="L691" s="17" t="n">
        <f aca="false">Sens!$L$683/Sens!$L$662</f>
        <v>0.431158575888616</v>
      </c>
      <c r="M691" s="17" t="n">
        <f aca="false">Sens!$M$683/Sens!$M$662</f>
        <v>0.425224137941721</v>
      </c>
      <c r="N691" s="17" t="n">
        <f aca="false">Sens!$N$683/Sens!$N$662</f>
        <v>0.360941137346192</v>
      </c>
      <c r="O691" s="17" t="n">
        <f aca="false">Sens!$O$683/Sens!$O$662</f>
        <v>0.348458117664212</v>
      </c>
    </row>
    <row r="692" customFormat="false" ht="17.15" hidden="false" customHeight="false" outlineLevel="0" collapsed="false">
      <c r="A692" s="0" t="s">
        <v>752</v>
      </c>
      <c r="B692" s="0" t="s">
        <v>52</v>
      </c>
      <c r="C692" s="13" t="n">
        <f aca="false">Sens!$C$681/Sens!$C$663</f>
        <v>0.708390794789371</v>
      </c>
      <c r="D692" s="13" t="n">
        <f aca="false">Sens!$D$681/Sens!$D$663</f>
        <v>0.619415573115729</v>
      </c>
      <c r="E692" s="13" t="n">
        <f aca="false">Sens!$E$681/Sens!$E$663</f>
        <v>0.285171627189009</v>
      </c>
      <c r="F692" s="13" t="n">
        <f aca="false">Sens!$F$681/Sens!$F$663</f>
        <v>0.576360583634334</v>
      </c>
      <c r="G692" s="13" t="n">
        <f aca="false">Sens!$G$681/Sens!$G$663</f>
        <v>0.481329888538309</v>
      </c>
      <c r="H692" s="13" t="n">
        <f aca="false">Sens!$H$681/Sens!$H$663</f>
        <v>0.549423918894282</v>
      </c>
      <c r="I692" s="13" t="n">
        <f aca="false">Sens!$I$681/Sens!$I$663</f>
        <v>0.512571353168592</v>
      </c>
      <c r="J692" s="13" t="n">
        <f aca="false">Sens!$J$681/Sens!$J$663</f>
        <v>0.511005450469331</v>
      </c>
      <c r="K692" s="13" t="n">
        <f aca="false">Sens!$K$681/Sens!$K$663</f>
        <v>0.49529121187622</v>
      </c>
      <c r="L692" s="13" t="n">
        <f aca="false">Sens!$L$681/Sens!$L$663</f>
        <v>0.484429091492788</v>
      </c>
      <c r="M692" s="13" t="n">
        <f aca="false">Sens!$M$681/Sens!$M$663</f>
        <v>0.475007449116783</v>
      </c>
      <c r="N692" s="13" t="n">
        <f aca="false">Sens!$N$681/Sens!$N$663</f>
        <v>0.551227795793364</v>
      </c>
      <c r="O692" s="13" t="n">
        <f aca="false">Sens!$O$681/Sens!$O$663</f>
        <v>0.656132068597002</v>
      </c>
    </row>
    <row r="693" customFormat="false" ht="15" hidden="false" customHeight="false" outlineLevel="0" collapsed="false">
      <c r="A693" s="5" t="s">
        <v>753</v>
      </c>
      <c r="B693" s="0" t="s">
        <v>52</v>
      </c>
      <c r="C693" s="13" t="n">
        <f aca="false">Sens!$C$685/Sens!$C$665</f>
        <v>0.107519448742004</v>
      </c>
      <c r="D693" s="13" t="n">
        <f aca="false">Sens!$D$685/Sens!$D$665</f>
        <v>0.111552967957552</v>
      </c>
      <c r="E693" s="13" t="n">
        <f aca="false">Sens!$E$685/Sens!$E$665</f>
        <v>0.13428328426562</v>
      </c>
      <c r="F693" s="13" t="n">
        <f aca="false">Sens!$F$685/Sens!$F$665</f>
        <v>0.134513334422078</v>
      </c>
      <c r="G693" s="13" t="n">
        <f aca="false">Sens!$G$685/Sens!$G$665</f>
        <v>0.134406196182527</v>
      </c>
      <c r="H693" s="13" t="n">
        <f aca="false">Sens!$H$685/Sens!$H$665</f>
        <v>0.156474731841608</v>
      </c>
      <c r="I693" s="13" t="n">
        <f aca="false">Sens!$I$685/Sens!$I$665</f>
        <v>0.169546796850133</v>
      </c>
      <c r="J693" s="13" t="n">
        <f aca="false">Sens!$J$685/Sens!$J$665</f>
        <v>0.182518798709228</v>
      </c>
      <c r="K693" s="13" t="n">
        <f aca="false">Sens!$K$685/Sens!$K$665</f>
        <v>0.188093661699944</v>
      </c>
      <c r="L693" s="13" t="n">
        <f aca="false">Sens!$L$685/Sens!$L$665</f>
        <v>0.189646094251167</v>
      </c>
      <c r="M693" s="13" t="n">
        <f aca="false">Sens!$M$685/Sens!$M$665</f>
        <v>0.189096935474823</v>
      </c>
      <c r="N693" s="13" t="n">
        <f aca="false">Sens!$N$685/Sens!$N$665</f>
        <v>0.116201614873411</v>
      </c>
      <c r="O693" s="13" t="n">
        <f aca="false">Sens!$O$685/Sens!$O$665</f>
        <v>0.107733353660861</v>
      </c>
    </row>
    <row r="694" customFormat="false" ht="17.15" hidden="false" customHeight="false" outlineLevel="0" collapsed="false">
      <c r="A694" s="1" t="s">
        <v>754</v>
      </c>
    </row>
    <row r="695" customFormat="false" ht="17.15" hidden="false" customHeight="false" outlineLevel="0" collapsed="false">
      <c r="A695" s="5" t="s">
        <v>755</v>
      </c>
      <c r="B695" s="0" t="s">
        <v>52</v>
      </c>
      <c r="D695" s="28" t="n">
        <f aca="false">(Q!$E$29+Q!$E$30-(1-ext_sh)*Sens!$D$617)/Sens!$D$568</f>
        <v>0.0341105596409988</v>
      </c>
    </row>
    <row r="696" customFormat="false" ht="17.15" hidden="false" customHeight="false" outlineLevel="0" collapsed="false">
      <c r="A696" s="0" t="s">
        <v>545</v>
      </c>
      <c r="B696" s="0" t="s">
        <v>86</v>
      </c>
      <c r="C696" s="38" t="n">
        <f aca="false">Q!$D$29</f>
        <v>14.285</v>
      </c>
      <c r="D696" s="38" t="n">
        <f aca="false">Q!$E$29</f>
        <v>15.503</v>
      </c>
      <c r="E696" s="38" t="n">
        <f aca="false">Q!$P$29</f>
        <v>8.78</v>
      </c>
      <c r="F696" s="38" t="n">
        <f aca="false">(Sens!$D$695*Sens!$F$568+(1-ext_sh)*Sens!$F$617)*Sens!$F$569</f>
        <v>9.30317620449232</v>
      </c>
      <c r="G696" s="38" t="n">
        <f aca="false">Sens!$E$696+Sens!$F$696</f>
        <v>18.0831762044923</v>
      </c>
      <c r="H696" s="38" t="n">
        <f aca="false">(Sens!$D$695*Sens!$H$568+(1-ext_sh)*Sens!$H$617)*Sens!$H$569</f>
        <v>22.1297245338482</v>
      </c>
      <c r="I696" s="38" t="n">
        <f aca="false">(Sens!$D$695*Sens!$I$568+(1-ext_sh)*Sens!$I$617)*Sens!$I$569</f>
        <v>28.409695984391</v>
      </c>
      <c r="J696" s="38" t="n">
        <f aca="false">(Sens!$D$695*Sens!$J$568+(1-ext_sh)*Sens!$J$617)*Sens!$J$569</f>
        <v>34.1085606174579</v>
      </c>
      <c r="K696" s="38" t="n">
        <f aca="false">(Sens!$D$695*Sens!$K$568+(1-ext_sh)*Sens!$K$617)*Sens!$K$569</f>
        <v>39.7218983009068</v>
      </c>
      <c r="L696" s="38" t="n">
        <f aca="false">(Sens!$D$695*Sens!$L$568+(1-ext_sh)*Sens!$L$617)*Sens!$L$569</f>
        <v>44.1680279486684</v>
      </c>
      <c r="M696" s="38" t="n">
        <f aca="false">(Sens!$D$695*Sens!$M$568+(1-ext_sh)*Sens!$M$617)*Sens!$M$569</f>
        <v>47.4413073313286</v>
      </c>
      <c r="N696" s="38" t="n">
        <f aca="false">Q!$N$29</f>
        <v>7.272</v>
      </c>
      <c r="O696" s="38" t="n">
        <f aca="false">Q!$O$29</f>
        <v>8.231</v>
      </c>
    </row>
    <row r="697" customFormat="false" ht="17.15" hidden="false" customHeight="false" outlineLevel="0" collapsed="false">
      <c r="A697" s="0" t="s">
        <v>547</v>
      </c>
      <c r="B697" s="0" t="s">
        <v>86</v>
      </c>
      <c r="C697" s="38" t="n">
        <f aca="false">Q!$D$30</f>
        <v>4.462</v>
      </c>
      <c r="D697" s="38" t="n">
        <f aca="false">Q!$E$30</f>
        <v>4.907</v>
      </c>
      <c r="E697" s="38" t="n">
        <f aca="false">Q!$P$30</f>
        <v>2.57</v>
      </c>
      <c r="F697" s="38" t="n">
        <f aca="false">(Sens!$D$695*Sens!$F$568+(1-ext_sh)*Sens!$F$617)*(1-Sens!$F$569)</f>
        <v>3.6526976809753</v>
      </c>
      <c r="G697" s="38" t="n">
        <f aca="false">Sens!$E$697+Sens!$F$697</f>
        <v>6.2226976809753</v>
      </c>
      <c r="H697" s="38" t="n">
        <f aca="false">(Sens!$D$695*Sens!$H$568+(1-ext_sh)*Sens!$H$617)*(1-Sens!$H$569)</f>
        <v>8.4764774248495</v>
      </c>
      <c r="I697" s="38" t="n">
        <f aca="false">(Sens!$D$695*Sens!$I$568+(1-ext_sh)*Sens!$I$617)*(1-Sens!$I$569)</f>
        <v>10.881931507561</v>
      </c>
      <c r="J697" s="38" t="n">
        <f aca="false">(Sens!$D$695*Sens!$J$568+(1-ext_sh)*Sens!$J$617)*(1-Sens!$J$569)</f>
        <v>13.0648008575874</v>
      </c>
      <c r="K697" s="38" t="n">
        <f aca="false">(Sens!$D$695*Sens!$K$568+(1-ext_sh)*Sens!$K$617)*(1-Sens!$K$569)</f>
        <v>15.2149103214008</v>
      </c>
      <c r="L697" s="38" t="n">
        <f aca="false">(Sens!$D$695*Sens!$L$568+(1-ext_sh)*Sens!$L$617)*(1-Sens!$L$569)</f>
        <v>16.9179372854085</v>
      </c>
      <c r="M697" s="38" t="n">
        <f aca="false">(Sens!$D$695*Sens!$M$568+(1-ext_sh)*Sens!$M$617)*(1-Sens!$M$569)</f>
        <v>18.1717205735785</v>
      </c>
      <c r="N697" s="38" t="n">
        <f aca="false">Q!$N$30</f>
        <v>2.316</v>
      </c>
      <c r="O697" s="38" t="n">
        <f aca="false">Q!$O$30</f>
        <v>2.591</v>
      </c>
    </row>
    <row r="698" customFormat="false" ht="17.15" hidden="false" customHeight="false" outlineLevel="0" collapsed="false">
      <c r="A698" s="0" t="s">
        <v>548</v>
      </c>
      <c r="B698" s="0" t="s">
        <v>86</v>
      </c>
      <c r="C698" s="38" t="n">
        <f aca="false">Sens!$C$629</f>
        <v>13.32</v>
      </c>
      <c r="D698" s="38" t="n">
        <f aca="false">Sens!$D$629</f>
        <v>21.45</v>
      </c>
      <c r="E698" s="38" t="n">
        <f aca="false">Sens!$E$629</f>
        <v>15.353</v>
      </c>
      <c r="F698" s="38" t="n">
        <f aca="false">Sens!$F$629</f>
        <v>16.1969869840094</v>
      </c>
      <c r="G698" s="38" t="n">
        <f aca="false">Sens!$G$629</f>
        <v>31.5499869840094</v>
      </c>
      <c r="H698" s="38" t="n">
        <f aca="false">Sens!$H$629</f>
        <v>50.9556213609176</v>
      </c>
      <c r="I698" s="38" t="n">
        <f aca="false">Sens!$I$629</f>
        <v>79.464581248252</v>
      </c>
      <c r="J698" s="38" t="n">
        <f aca="false">Sens!$J$629</f>
        <v>105.296127931746</v>
      </c>
      <c r="K698" s="38" t="n">
        <f aca="false">Sens!$K$629</f>
        <v>131.454694001511</v>
      </c>
      <c r="L698" s="38" t="n">
        <f aca="false">Sens!$L$629</f>
        <v>150.840456981405</v>
      </c>
      <c r="M698" s="38" t="n">
        <f aca="false">Sens!$M$629</f>
        <v>163.399454192999</v>
      </c>
      <c r="N698" s="38" t="n">
        <f aca="false">Sens!$N$629</f>
        <v>9.234</v>
      </c>
      <c r="O698" s="38" t="n">
        <f aca="false">Sens!$O$629</f>
        <v>12.216</v>
      </c>
    </row>
    <row r="699" customFormat="false" ht="17.15" hidden="false" customHeight="false" outlineLevel="0" collapsed="false">
      <c r="A699" s="5" t="s">
        <v>756</v>
      </c>
      <c r="B699" s="0" t="s">
        <v>86</v>
      </c>
      <c r="C699" s="38" t="n">
        <f aca="false">Sens!$C$696+Sens!$C$697+Sens!$C$698</f>
        <v>32.067</v>
      </c>
      <c r="D699" s="38" t="n">
        <f aca="false">Sens!$D$696+Sens!$D$697+Sens!$D$698</f>
        <v>41.86</v>
      </c>
      <c r="E699" s="38" t="n">
        <f aca="false">Sens!$E$696+Sens!$E$697+Sens!$E$698</f>
        <v>26.703</v>
      </c>
      <c r="F699" s="38" t="n">
        <f aca="false">Sens!$F$696+Sens!$F$697+Sens!$F$698</f>
        <v>29.152860869477</v>
      </c>
      <c r="G699" s="38" t="n">
        <f aca="false">Sens!$G$696+Sens!$G$697+Sens!$G$698</f>
        <v>55.855860869477</v>
      </c>
      <c r="H699" s="38" t="n">
        <f aca="false">Sens!$H$696+Sens!$H$697+Sens!$H$698</f>
        <v>81.5618233196153</v>
      </c>
      <c r="I699" s="38" t="n">
        <f aca="false">Sens!$I$696+Sens!$I$697+Sens!$I$698</f>
        <v>118.756208740204</v>
      </c>
      <c r="J699" s="38" t="n">
        <f aca="false">Sens!$J$696+Sens!$J$697+Sens!$J$698</f>
        <v>152.469489406791</v>
      </c>
      <c r="K699" s="38" t="n">
        <f aca="false">Sens!$K$696+Sens!$K$697+Sens!$K$698</f>
        <v>186.391502623819</v>
      </c>
      <c r="L699" s="38" t="n">
        <f aca="false">Sens!$L$696+Sens!$L$697+Sens!$L$698</f>
        <v>211.926422215482</v>
      </c>
      <c r="M699" s="38" t="n">
        <f aca="false">Sens!$M$696+Sens!$M$697+Sens!$M$698</f>
        <v>229.012482097906</v>
      </c>
      <c r="N699" s="38" t="n">
        <f aca="false">Sens!$N$696+Sens!$N$697+Sens!$N$698</f>
        <v>18.822</v>
      </c>
      <c r="O699" s="38" t="n">
        <f aca="false">Sens!$O$696+Sens!$O$697+Sens!$O$698</f>
        <v>23.038</v>
      </c>
    </row>
    <row r="700" customFormat="false" ht="17.15" hidden="false" customHeight="false" outlineLevel="0" collapsed="false">
      <c r="A700" s="0" t="s">
        <v>757</v>
      </c>
      <c r="B700" s="0" t="s">
        <v>86</v>
      </c>
      <c r="C700" s="38" t="n">
        <f aca="false">Sens!$C$671+Sens!$C$676</f>
        <v>28.107</v>
      </c>
      <c r="D700" s="38" t="n">
        <f aca="false">Sens!$D$671+Sens!$D$676</f>
        <v>34.3175</v>
      </c>
      <c r="E700" s="38" t="n">
        <f aca="false">Sens!$E$671+Sens!$E$676</f>
        <v>18.526</v>
      </c>
      <c r="F700" s="38" t="n">
        <f aca="false">Sens!$F$671+Sens!$F$676</f>
        <v>23.0786109972074</v>
      </c>
      <c r="G700" s="38" t="n">
        <f aca="false">Sens!$G$671+Sens!$G$676</f>
        <v>41.6046109972074</v>
      </c>
      <c r="H700" s="38" t="n">
        <f aca="false">Sens!$H$671+Sens!$H$676</f>
        <v>49.9484611939488</v>
      </c>
      <c r="I700" s="38" t="n">
        <f aca="false">Sens!$I$671+Sens!$I$676</f>
        <v>58.2915555477481</v>
      </c>
      <c r="J700" s="38" t="n">
        <f aca="false">Sens!$J$671+Sens!$J$676</f>
        <v>66.0744709709759</v>
      </c>
      <c r="K700" s="38" t="n">
        <f aca="false">Sens!$K$671+Sens!$K$676</f>
        <v>72.6819180680735</v>
      </c>
      <c r="L700" s="38" t="n">
        <f aca="false">Sens!$L$671+Sens!$L$676</f>
        <v>79.9501098748808</v>
      </c>
      <c r="M700" s="38" t="n">
        <f aca="false">Sens!$M$671+Sens!$M$676</f>
        <v>87.9451208623689</v>
      </c>
      <c r="N700" s="38" t="n">
        <f aca="false">Sens!$N$671+Sens!$N$676</f>
        <v>14.8075</v>
      </c>
      <c r="O700" s="38" t="n">
        <f aca="false">Sens!$O$671+Sens!$O$676</f>
        <v>19.51</v>
      </c>
    </row>
    <row r="701" customFormat="false" ht="17.15" hidden="false" customHeight="false" outlineLevel="0" collapsed="false">
      <c r="A701" s="0" t="s">
        <v>758</v>
      </c>
      <c r="B701" s="0" t="s">
        <v>86</v>
      </c>
      <c r="C701" s="38" t="n">
        <f aca="false">Sens!$C$675+Sens!$C$680+Sens!$C$696+Sens!$C$697-Sens!$C$700</f>
        <v>19.399</v>
      </c>
      <c r="D701" s="38" t="n">
        <f aca="false">Sens!$D$675+Sens!$D$680+Sens!$D$696+Sens!$D$697-Sens!$D$700</f>
        <v>20.4615</v>
      </c>
      <c r="E701" s="38" t="n">
        <f aca="false">Sens!$E$675+Sens!$E$680+Sens!$E$696+Sens!$E$697-Sens!$E$700</f>
        <v>13.355</v>
      </c>
      <c r="F701" s="38" t="n">
        <f aca="false">Sens!$F$675+Sens!$F$680+Sens!$F$696+Sens!$F$697-Sens!$F$700</f>
        <v>12.7680546411015</v>
      </c>
      <c r="G701" s="38" t="n">
        <f aca="false">Sens!$G$675+Sens!$G$680+Sens!$G$696+Sens!$G$697-Sens!$G$700</f>
        <v>26.1230546411015</v>
      </c>
      <c r="H701" s="38" t="n">
        <f aca="false">Sens!$H$675+Sens!$H$680+Sens!$H$696+Sens!$H$697-Sens!$H$700</f>
        <v>28.4662904769959</v>
      </c>
      <c r="I701" s="38" t="n">
        <f aca="false">Sens!$I$675+Sens!$I$680+Sens!$I$696+Sens!$I$697-Sens!$I$700</f>
        <v>30.7231490427408</v>
      </c>
      <c r="J701" s="38" t="n">
        <f aca="false">Sens!$J$675+Sens!$J$680+Sens!$J$696+Sens!$J$697-Sens!$J$700</f>
        <v>32.9723159380642</v>
      </c>
      <c r="K701" s="38" t="n">
        <f aca="false">Sens!$K$675+Sens!$K$680+Sens!$K$696+Sens!$K$697-Sens!$K$700</f>
        <v>35.3819359626894</v>
      </c>
      <c r="L701" s="38" t="n">
        <f aca="false">Sens!$L$675+Sens!$L$680+Sens!$L$696+Sens!$L$697-Sens!$L$700</f>
        <v>37.0165770259405</v>
      </c>
      <c r="M701" s="38" t="n">
        <f aca="false">Sens!$M$675+Sens!$M$680+Sens!$M$696+Sens!$M$697-Sens!$M$700</f>
        <v>39.4490703930704</v>
      </c>
      <c r="N701" s="38" t="n">
        <f aca="false">Sens!$N$675+Sens!$N$680+Sens!$N$696+Sens!$N$697-Sens!$N$700</f>
        <v>10.6495</v>
      </c>
      <c r="O701" s="38" t="n">
        <f aca="false">Sens!$O$675+Sens!$O$680+Sens!$O$696+Sens!$O$697-Sens!$O$700</f>
        <v>9.81200000000001</v>
      </c>
    </row>
    <row r="702" customFormat="false" ht="17.15" hidden="false" customHeight="false" outlineLevel="0" collapsed="false">
      <c r="A702" s="0" t="s">
        <v>759</v>
      </c>
      <c r="B702" s="0" t="s">
        <v>86</v>
      </c>
      <c r="C702" s="38" t="n">
        <f aca="false">Sens!$C$682+Sens!$C$698-ext_sh*Sens!$C$617</f>
        <v>51.3470500115664</v>
      </c>
      <c r="D702" s="38" t="n">
        <f aca="false">Sens!$D$682+Sens!$D$698-ext_sh*Sens!$D$617</f>
        <v>60.2799375433739</v>
      </c>
      <c r="E702" s="38" t="n">
        <f aca="false">Sens!$E$682+Sens!$E$698-ext_sh*Sens!$E$617</f>
        <v>39.5095167090767</v>
      </c>
      <c r="F702" s="38" t="n">
        <f aca="false">Sens!$F$682+Sens!$F$698-ext_sh*Sens!$F$617</f>
        <v>37.951394214027</v>
      </c>
      <c r="G702" s="38" t="n">
        <f aca="false">Sens!$G$682+Sens!$G$698-ext_sh*Sens!$G$617</f>
        <v>77.4609109231037</v>
      </c>
      <c r="H702" s="38" t="n">
        <f aca="false">Sens!$H$682+Sens!$H$698-ext_sh*Sens!$H$617</f>
        <v>85.1453558128916</v>
      </c>
      <c r="I702" s="38" t="n">
        <f aca="false">Sens!$I$682+Sens!$I$698-ext_sh*Sens!$I$617</f>
        <v>94.532921967974</v>
      </c>
      <c r="J702" s="38" t="n">
        <f aca="false">Sens!$J$682+Sens!$J$698-ext_sh*Sens!$J$617</f>
        <v>103.525527532583</v>
      </c>
      <c r="K702" s="38" t="n">
        <f aca="false">Sens!$K$682+Sens!$K$698-ext_sh*Sens!$K$617</f>
        <v>111.80756973519</v>
      </c>
      <c r="L702" s="38" t="n">
        <f aca="false">Sens!$L$682+Sens!$L$698-ext_sh*Sens!$L$617</f>
        <v>120.752175314005</v>
      </c>
      <c r="M702" s="38" t="n">
        <f aca="false">Sens!$M$682+Sens!$M$698-ext_sh*Sens!$M$617</f>
        <v>130.412349339125</v>
      </c>
      <c r="N702" s="38" t="n">
        <f aca="false">Sens!$N$682+Sens!$N$698-ext_sh*Sens!$N$617</f>
        <v>28.5693781401809</v>
      </c>
      <c r="O702" s="38" t="n">
        <f aca="false">Sens!$O$682+Sens!$O$698-ext_sh*Sens!$O$617</f>
        <v>31.7105594031931</v>
      </c>
    </row>
    <row r="703" customFormat="false" ht="17.15" hidden="false" customHeight="false" outlineLevel="0" collapsed="false">
      <c r="A703" s="0" t="s">
        <v>760</v>
      </c>
      <c r="B703" s="0" t="s">
        <v>86</v>
      </c>
      <c r="C703" s="38" t="n">
        <f aca="false">Sens!$C$620</f>
        <v>1.80694998843362</v>
      </c>
      <c r="D703" s="38" t="n">
        <f aca="false">Sens!$D$620</f>
        <v>6.77606245662607</v>
      </c>
      <c r="E703" s="38" t="n">
        <f aca="false">Sens!$E$620</f>
        <v>6.62548329092326</v>
      </c>
      <c r="F703" s="38" t="n">
        <f aca="false">Sens!$F$620</f>
        <v>14.3233275606891</v>
      </c>
      <c r="G703" s="38" t="n">
        <f aca="false">Sens!$G$620</f>
        <v>20.9488108516123</v>
      </c>
      <c r="H703" s="38" t="n">
        <f aca="false">Sens!$H$620</f>
        <v>68.7702777464201</v>
      </c>
      <c r="I703" s="38" t="n">
        <f aca="false">Sens!$I$620</f>
        <v>123.743293396039</v>
      </c>
      <c r="J703" s="38" t="n">
        <f aca="false">Sens!$J$620</f>
        <v>178.982447779414</v>
      </c>
      <c r="K703" s="38" t="n">
        <f aca="false">Sens!$K$620</f>
        <v>226.104871772476</v>
      </c>
      <c r="L703" s="38" t="n">
        <f aca="false">Sens!$L$620</f>
        <v>257.073803762517</v>
      </c>
      <c r="M703" s="38" t="n">
        <f aca="false">Sens!$M$620</f>
        <v>271.845958070998</v>
      </c>
      <c r="N703" s="38" t="n">
        <f aca="false">Sens!$N$620</f>
        <v>2.37162185981912</v>
      </c>
      <c r="O703" s="38" t="n">
        <f aca="false">Sens!$O$620</f>
        <v>4.40444059680694</v>
      </c>
    </row>
    <row r="704" customFormat="false" ht="17.15" hidden="false" customHeight="false" outlineLevel="0" collapsed="false">
      <c r="A704" s="0" t="s">
        <v>761</v>
      </c>
      <c r="B704" s="0" t="s">
        <v>86</v>
      </c>
      <c r="C704" s="38" t="n">
        <f aca="false">Sens!$C$685+Sens!$C$699</f>
        <v>100.66</v>
      </c>
      <c r="D704" s="38" t="n">
        <f aca="false">Sens!$D$685+Sens!$D$699</f>
        <v>121.835</v>
      </c>
      <c r="E704" s="38" t="n">
        <f aca="false">Sens!$E$685+Sens!$E$699</f>
        <v>78.016</v>
      </c>
      <c r="F704" s="38" t="n">
        <f aca="false">Sens!$F$685+Sens!$F$699</f>
        <v>88.1213874130249</v>
      </c>
      <c r="G704" s="38" t="n">
        <f aca="false">Sens!$G$685+Sens!$G$699</f>
        <v>166.137387413025</v>
      </c>
      <c r="H704" s="38" t="n">
        <f aca="false">Sens!$H$685+Sens!$H$699</f>
        <v>232.330385230256</v>
      </c>
      <c r="I704" s="38" t="n">
        <f aca="false">Sens!$I$685+Sens!$I$699</f>
        <v>307.290919954502</v>
      </c>
      <c r="J704" s="38" t="n">
        <f aca="false">Sens!$J$685+Sens!$J$699</f>
        <v>381.554762221038</v>
      </c>
      <c r="K704" s="38" t="n">
        <f aca="false">Sens!$K$685+Sens!$K$699</f>
        <v>445.976295538429</v>
      </c>
      <c r="L704" s="38" t="n">
        <f aca="false">Sens!$L$685+Sens!$L$699</f>
        <v>494.792665977343</v>
      </c>
      <c r="M704" s="38" t="n">
        <f aca="false">Sens!$M$685+Sens!$M$699</f>
        <v>529.652498665562</v>
      </c>
      <c r="N704" s="38" t="n">
        <f aca="false">Sens!$N$685+Sens!$N$699</f>
        <v>56.398</v>
      </c>
      <c r="O704" s="38" t="n">
        <f aca="false">Sens!$O$685+Sens!$O$699</f>
        <v>65.437</v>
      </c>
    </row>
    <row r="705" customFormat="false" ht="17.15" hidden="false" customHeight="false" outlineLevel="0" collapsed="false">
      <c r="A705" s="1" t="s">
        <v>762</v>
      </c>
    </row>
    <row r="706" customFormat="false" ht="15" hidden="false" customHeight="false" outlineLevel="0" collapsed="false">
      <c r="A706" s="5" t="s">
        <v>551</v>
      </c>
      <c r="B706" s="0" t="s">
        <v>86</v>
      </c>
      <c r="C706" s="38" t="n">
        <f aca="false">Q!$D$34</f>
        <v>2.406</v>
      </c>
      <c r="D706" s="38" t="n">
        <f aca="false">Q!$E$34</f>
        <v>2.274</v>
      </c>
      <c r="E706" s="38" t="n">
        <f aca="false">Q!$P$34</f>
        <v>2.114</v>
      </c>
      <c r="F706" s="38" t="n">
        <f aca="false">Sens!$F$744</f>
        <v>3.24888962733561</v>
      </c>
      <c r="G706" s="38" t="n">
        <f aca="false">Sens!$E$706+Sens!$F$706</f>
        <v>5.36288962733561</v>
      </c>
      <c r="H706" s="38" t="n">
        <f aca="false">Sens!$H$744</f>
        <v>7.42354172302123</v>
      </c>
      <c r="I706" s="38" t="n">
        <f aca="false">Sens!$I$744</f>
        <v>7.42354172302123</v>
      </c>
      <c r="J706" s="38" t="n">
        <f aca="false">Sens!$J$744</f>
        <v>7.42354172302123</v>
      </c>
      <c r="K706" s="38" t="n">
        <f aca="false">Sens!$K$744</f>
        <v>7.42354172302123</v>
      </c>
      <c r="L706" s="38" t="n">
        <f aca="false">Sens!$L$744</f>
        <v>7.42354172302123</v>
      </c>
      <c r="M706" s="38" t="n">
        <f aca="false">Sens!$M$744</f>
        <v>7.42354172302123</v>
      </c>
      <c r="N706" s="38" t="n">
        <f aca="false">Q!$N$34</f>
        <v>1.057</v>
      </c>
      <c r="O706" s="38" t="n">
        <f aca="false">Q!$O$34</f>
        <v>1.217</v>
      </c>
    </row>
    <row r="707" customFormat="false" ht="15" hidden="false" customHeight="false" outlineLevel="0" collapsed="false">
      <c r="A707" s="5" t="s">
        <v>763</v>
      </c>
      <c r="B707" s="0" t="s">
        <v>86</v>
      </c>
      <c r="F707" s="38" t="n">
        <f aca="false">Sens!$F$745</f>
        <v>2.59</v>
      </c>
      <c r="H707" s="38" t="n">
        <f aca="false">Sens!$H$745</f>
        <v>4.21003338482741</v>
      </c>
      <c r="I707" s="38" t="n">
        <f aca="false">Sens!$I$745</f>
        <v>2.6967317792856</v>
      </c>
      <c r="J707" s="38" t="n">
        <f aca="false">Sens!$J$745</f>
        <v>3.66927002593481</v>
      </c>
      <c r="K707" s="38" t="n">
        <f aca="false">Sens!$K$745</f>
        <v>7.20988598821952</v>
      </c>
      <c r="L707" s="38" t="n">
        <f aca="false">Sens!$L$745</f>
        <v>15.5907509306905</v>
      </c>
      <c r="M707" s="38" t="n">
        <f aca="false">Sens!$M$745</f>
        <v>27.0114038682088</v>
      </c>
    </row>
    <row r="708" customFormat="false" ht="17.15" hidden="false" customHeight="false" outlineLevel="0" collapsed="false">
      <c r="A708" s="5" t="s">
        <v>764</v>
      </c>
      <c r="B708" s="0" t="s">
        <v>86</v>
      </c>
      <c r="C708" s="38" t="n">
        <f aca="false">Q!$D$39</f>
        <v>2.427</v>
      </c>
      <c r="D708" s="38" t="n">
        <f aca="false">Q!$E$39</f>
        <v>19.61</v>
      </c>
      <c r="E708" s="38" t="n">
        <f aca="false">Q!$P$39</f>
        <v>71.492</v>
      </c>
      <c r="F708" s="39" t="n">
        <v>0</v>
      </c>
      <c r="G708" s="38" t="n">
        <f aca="false">Sens!$E$708+Sens!$F$708</f>
        <v>71.492</v>
      </c>
      <c r="H708" s="39" t="n">
        <v>0</v>
      </c>
      <c r="I708" s="39" t="n">
        <v>0</v>
      </c>
      <c r="J708" s="39" t="n">
        <v>0</v>
      </c>
      <c r="K708" s="39" t="n">
        <v>0</v>
      </c>
      <c r="L708" s="39" t="n">
        <v>0</v>
      </c>
      <c r="M708" s="39" t="n">
        <v>0</v>
      </c>
      <c r="N708" s="38" t="n">
        <f aca="false">Q!$N$39</f>
        <v>6.017</v>
      </c>
      <c r="O708" s="38" t="n">
        <f aca="false">Q!$O$39</f>
        <v>13.593</v>
      </c>
      <c r="P708" s="5" t="s">
        <v>765</v>
      </c>
    </row>
    <row r="709" customFormat="false" ht="15" hidden="false" customHeight="false" outlineLevel="0" collapsed="false">
      <c r="A709" s="5" t="s">
        <v>554</v>
      </c>
      <c r="B709" s="0" t="s">
        <v>86</v>
      </c>
      <c r="C709" s="38" t="n">
        <f aca="false">Q!$D$36</f>
        <v>68.614</v>
      </c>
      <c r="D709" s="38" t="n">
        <f aca="false">Q!$E$36</f>
        <v>97.311</v>
      </c>
      <c r="E709" s="38" t="n">
        <f aca="false">Q!$P$36</f>
        <v>120.691</v>
      </c>
      <c r="F709" s="38" t="n">
        <f aca="false">Sens!$F$685-Sens!$F$706+Sens!$F$707+Sens!$F$708</f>
        <v>58.3096369162123</v>
      </c>
      <c r="G709" s="38" t="n">
        <f aca="false">Sens!$E$709+Sens!$F$709</f>
        <v>179.000636916212</v>
      </c>
      <c r="H709" s="38" t="n">
        <f aca="false">Sens!$H$685-Sens!$H$706+Sens!$H$707+Sens!$H$708</f>
        <v>147.555053572447</v>
      </c>
      <c r="I709" s="38" t="n">
        <f aca="false">Sens!$I$685-Sens!$I$706+Sens!$I$707+Sens!$I$708</f>
        <v>183.807901270563</v>
      </c>
      <c r="J709" s="38" t="n">
        <f aca="false">Sens!$J$685-Sens!$J$706+Sens!$J$707+Sens!$J$708</f>
        <v>225.33100111716</v>
      </c>
      <c r="K709" s="38" t="n">
        <f aca="false">Sens!$K$685-Sens!$K$706+Sens!$K$707+Sens!$K$708</f>
        <v>259.371137179808</v>
      </c>
      <c r="L709" s="38" t="n">
        <f aca="false">Sens!$L$685-Sens!$L$706+Sens!$L$707+Sens!$L$708</f>
        <v>291.03345296953</v>
      </c>
      <c r="M709" s="38" t="n">
        <f aca="false">Sens!$M$685-Sens!$M$706+Sens!$M$707+Sens!$M$708</f>
        <v>320.227878712844</v>
      </c>
      <c r="N709" s="38" t="n">
        <f aca="false">Q!$N$36</f>
        <v>42.536</v>
      </c>
      <c r="O709" s="38" t="n">
        <f aca="false">Q!$O$36</f>
        <v>54.775</v>
      </c>
    </row>
    <row r="710" customFormat="false" ht="15" hidden="false" customHeight="false" outlineLevel="0" collapsed="false">
      <c r="A710" s="5" t="s">
        <v>555</v>
      </c>
      <c r="B710" s="0" t="s">
        <v>86</v>
      </c>
      <c r="C710" s="38" t="n">
        <f aca="false">Q!$D$37</f>
        <v>9.265</v>
      </c>
      <c r="D710" s="38" t="n">
        <f aca="false">Q!$E$37</f>
        <v>19.087</v>
      </c>
      <c r="E710" s="38" t="n">
        <f aca="false">Q!$P$37</f>
        <v>27.759</v>
      </c>
      <c r="F710" s="38" t="n">
        <f aca="false">Sens!$F$709*tax</f>
        <v>10.1216507215446</v>
      </c>
      <c r="G710" s="38" t="n">
        <f aca="false">Sens!$E$710+Sens!$F$710</f>
        <v>37.8806507215446</v>
      </c>
      <c r="H710" s="38" t="n">
        <f aca="false">Sens!$H$709*tax</f>
        <v>25.6132741249134</v>
      </c>
      <c r="I710" s="38" t="n">
        <f aca="false">Sens!$I$709*tax</f>
        <v>31.9062075312549</v>
      </c>
      <c r="J710" s="38" t="n">
        <f aca="false">Sens!$J$709*tax</f>
        <v>39.1139751619641</v>
      </c>
      <c r="K710" s="38" t="n">
        <f aca="false">Sens!$K$709*tax</f>
        <v>45.0228160665142</v>
      </c>
      <c r="L710" s="38" t="n">
        <f aca="false">Sens!$L$709*tax</f>
        <v>50.5189041645985</v>
      </c>
      <c r="M710" s="38" t="n">
        <f aca="false">Sens!$M$709*tax</f>
        <v>55.5866047372242</v>
      </c>
      <c r="N710" s="38" t="n">
        <f aca="false">Q!$N$37</f>
        <v>7.231</v>
      </c>
      <c r="O710" s="38" t="n">
        <f aca="false">Q!$O$37</f>
        <v>11.856</v>
      </c>
    </row>
    <row r="711" customFormat="false" ht="15" hidden="false" customHeight="false" outlineLevel="0" collapsed="false">
      <c r="A711" s="3" t="s">
        <v>556</v>
      </c>
      <c r="B711" s="8" t="s">
        <v>86</v>
      </c>
      <c r="C711" s="38" t="n">
        <f aca="false">Q!$D$38</f>
        <v>59.248</v>
      </c>
      <c r="D711" s="38" t="n">
        <f aca="false">Q!$E$38</f>
        <v>77.67</v>
      </c>
      <c r="E711" s="38" t="n">
        <f aca="false">Q!$P$38</f>
        <v>92.902</v>
      </c>
      <c r="F711" s="38" t="n">
        <f aca="false">Sens!$F$709-Sens!$F$710</f>
        <v>48.1879861946677</v>
      </c>
      <c r="G711" s="38" t="n">
        <f aca="false">Sens!$E$711+Sens!$F$711</f>
        <v>141.089986194668</v>
      </c>
      <c r="H711" s="38" t="n">
        <f aca="false">Sens!$H$709-Sens!$H$710</f>
        <v>121.941779447534</v>
      </c>
      <c r="I711" s="38" t="n">
        <f aca="false">Sens!$I$709-Sens!$I$710</f>
        <v>151.901693739308</v>
      </c>
      <c r="J711" s="38" t="n">
        <f aca="false">Sens!$J$709-Sens!$J$710</f>
        <v>186.217025955196</v>
      </c>
      <c r="K711" s="38" t="n">
        <f aca="false">Sens!$K$709-Sens!$K$710</f>
        <v>214.348321113294</v>
      </c>
      <c r="L711" s="38" t="n">
        <f aca="false">Sens!$L$709-Sens!$L$710</f>
        <v>240.514548804932</v>
      </c>
      <c r="M711" s="38" t="n">
        <f aca="false">Sens!$M$709-Sens!$M$710</f>
        <v>264.641273975619</v>
      </c>
      <c r="N711" s="38" t="n">
        <f aca="false">Q!$N$38</f>
        <v>35.291</v>
      </c>
      <c r="O711" s="38" t="n">
        <f aca="false">Q!$O$38</f>
        <v>42.379</v>
      </c>
    </row>
    <row r="712" customFormat="false" ht="17.15" hidden="false" customHeight="false" outlineLevel="0" collapsed="false">
      <c r="A712" s="5" t="s">
        <v>559</v>
      </c>
      <c r="B712" s="5" t="s">
        <v>33</v>
      </c>
      <c r="C712" s="22" t="n">
        <f aca="false">Q!$D$41</f>
        <v>10.721</v>
      </c>
      <c r="D712" s="22" t="n">
        <f aca="false">Q!$E$41</f>
        <v>10.827</v>
      </c>
      <c r="E712" s="22" t="n">
        <f aca="false">(Q!$L$41+Q!$M$41)/2</f>
        <v>10.8885</v>
      </c>
      <c r="F712" s="22" t="n">
        <f aca="false">Sens!$G$712</f>
        <v>10.924806</v>
      </c>
      <c r="G712" s="22" t="n">
        <f aca="false">Q!$M$41*(1+sh_g*0.25)</f>
        <v>10.924806</v>
      </c>
      <c r="H712" s="22" t="n">
        <f aca="false">Sens!$G$712*(1+sh_g)</f>
        <v>11.012204448</v>
      </c>
      <c r="I712" s="22" t="n">
        <f aca="false">Sens!$H$712*(1+sh_g)</f>
        <v>11.100302083584</v>
      </c>
      <c r="J712" s="22" t="n">
        <f aca="false">Sens!$I$712*(1+sh_g)</f>
        <v>11.1891045002527</v>
      </c>
      <c r="K712" s="22" t="n">
        <f aca="false">Sens!$J$712*(1+sh_g)</f>
        <v>11.2786173362547</v>
      </c>
      <c r="L712" s="22" t="n">
        <f aca="false">Sens!$K$712*(1+sh_g)</f>
        <v>11.3688462749447</v>
      </c>
      <c r="M712" s="22" t="n">
        <f aca="false">Sens!$L$712*(1+sh_g)</f>
        <v>11.4597970451443</v>
      </c>
      <c r="P712" s="5" t="s">
        <v>766</v>
      </c>
    </row>
    <row r="713" customFormat="false" ht="17.15" hidden="false" customHeight="false" outlineLevel="0" collapsed="false">
      <c r="A713" s="5" t="s">
        <v>767</v>
      </c>
      <c r="B713" s="0" t="s">
        <v>86</v>
      </c>
      <c r="C713" s="38" t="n">
        <f aca="false">Sens!$C$711+Sens!$C$687*(1-tax)</f>
        <v>59.248</v>
      </c>
      <c r="D713" s="38" t="n">
        <f aca="false">Sens!$D$711+Sens!$D$687*(1-tax)</f>
        <v>77.67</v>
      </c>
      <c r="E713" s="38" t="n">
        <f aca="false">Sens!$E$711+Sens!$E$687*(1-tax)</f>
        <v>92.902</v>
      </c>
      <c r="F713" s="38" t="n">
        <f aca="false">Sens!$F$711+Sens!$F$687*(1-tax)</f>
        <v>51.3045811543164</v>
      </c>
      <c r="G713" s="38" t="n">
        <f aca="false">Sens!$G$711+Sens!$G$687*(1-tax)</f>
        <v>144.206581154316</v>
      </c>
      <c r="H713" s="38" t="n">
        <f aca="false">Sens!$H$711+Sens!$H$687*(1-tax)</f>
        <v>134.473175402879</v>
      </c>
      <c r="I713" s="38" t="n">
        <f aca="false">Sens!$I$711+Sens!$I$687*(1-tax)</f>
        <v>173.042958814247</v>
      </c>
      <c r="J713" s="38" t="n">
        <f aca="false">Sens!$J$711+Sens!$J$687*(1-tax)</f>
        <v>216.00646289948</v>
      </c>
      <c r="K713" s="38" t="n">
        <f aca="false">Sens!$K$711+Sens!$K$687*(1-tax)</f>
        <v>251.515626809953</v>
      </c>
      <c r="L713" s="38" t="n">
        <f aca="false">Sens!$L$711+Sens!$L$687*(1-tax)</f>
        <v>282.530626145487</v>
      </c>
      <c r="M713" s="38" t="n">
        <f aca="false">Sens!$M$711+Sens!$M$687*(1-tax)</f>
        <v>308.97079616646</v>
      </c>
      <c r="N713" s="38" t="n">
        <f aca="false">Sens!$N$711+Sens!$N$687*(1-tax)</f>
        <v>35.291</v>
      </c>
      <c r="O713" s="38" t="n">
        <f aca="false">Sens!$O$711+Sens!$O$687*(1-tax)</f>
        <v>42.379</v>
      </c>
    </row>
    <row r="714" customFormat="false" ht="17.15" hidden="false" customHeight="false" outlineLevel="0" collapsed="false">
      <c r="A714" s="43" t="s">
        <v>768</v>
      </c>
      <c r="B714" s="14" t="s">
        <v>27</v>
      </c>
      <c r="C714" s="44" t="n">
        <f aca="false">Sens!$C$713/Sens!$C$712</f>
        <v>5.52635015390355</v>
      </c>
      <c r="D714" s="44" t="n">
        <f aca="false">Sens!$D$713/Sens!$D$712</f>
        <v>7.1737323358271</v>
      </c>
      <c r="E714" s="44" t="n">
        <f aca="false">Sens!$E$713/Sens!$E$712</f>
        <v>8.53212104513937</v>
      </c>
      <c r="F714" s="14"/>
      <c r="G714" s="44" t="n">
        <f aca="false">Sens!$G$713/Sens!$G$712</f>
        <v>13.1999214589546</v>
      </c>
      <c r="H714" s="44" t="n">
        <f aca="false">Sens!$H$713/Sens!$H$712</f>
        <v>12.2112857637057</v>
      </c>
      <c r="I714" s="44" t="n">
        <f aca="false">Sens!$I$713/Sens!$I$712</f>
        <v>15.5890314976343</v>
      </c>
      <c r="J714" s="44" t="n">
        <f aca="false">Sens!$J$713/Sens!$J$712</f>
        <v>19.3050715447873</v>
      </c>
      <c r="K714" s="44" t="n">
        <f aca="false">Sens!$K$713/Sens!$K$712</f>
        <v>22.3002181305917</v>
      </c>
      <c r="L714" s="44" t="n">
        <f aca="false">Sens!$L$713/Sens!$L$712</f>
        <v>24.8513014700659</v>
      </c>
      <c r="M714" s="44" t="n">
        <f aca="false">Sens!$M$713/Sens!$M$712</f>
        <v>26.9612799379703</v>
      </c>
      <c r="N714" s="14"/>
      <c r="O714" s="14"/>
    </row>
    <row r="715" customFormat="false" ht="17.15" hidden="false" customHeight="false" outlineLevel="0" collapsed="false">
      <c r="A715" s="0" t="s">
        <v>769</v>
      </c>
      <c r="B715" s="0" t="s">
        <v>27</v>
      </c>
      <c r="C715" s="30" t="n">
        <f aca="false">Sens!$C$711/Sens!$C$712</f>
        <v>5.52635015390355</v>
      </c>
      <c r="D715" s="30" t="n">
        <f aca="false">Sens!$D$711/Sens!$D$712</f>
        <v>7.1737323358271</v>
      </c>
      <c r="E715" s="30" t="n">
        <f aca="false">Sens!$E$711/Sens!$E$712</f>
        <v>8.53212104513937</v>
      </c>
      <c r="G715" s="30" t="n">
        <f aca="false">Sens!$G$711/Sens!$G$712</f>
        <v>12.9146445433143</v>
      </c>
      <c r="H715" s="30" t="n">
        <f aca="false">Sens!$H$711/Sens!$H$712</f>
        <v>11.0733305055629</v>
      </c>
      <c r="I715" s="30" t="n">
        <f aca="false">Sens!$I$711/Sens!$I$712</f>
        <v>13.6844648546954</v>
      </c>
      <c r="J715" s="30" t="n">
        <f aca="false">Sens!$J$711/Sens!$J$712</f>
        <v>16.6427104109172</v>
      </c>
      <c r="K715" s="30" t="n">
        <f aca="false">Sens!$K$711/Sens!$K$712</f>
        <v>19.0048402851899</v>
      </c>
      <c r="L715" s="30" t="n">
        <f aca="false">Sens!$L$711/Sens!$L$712</f>
        <v>21.155581049151</v>
      </c>
      <c r="M715" s="30" t="n">
        <f aca="false">Sens!$M$711/Sens!$M$712</f>
        <v>23.0930157779498</v>
      </c>
    </row>
    <row r="716" customFormat="false" ht="17.15" hidden="false" customHeight="false" outlineLevel="0" collapsed="false">
      <c r="A716" s="0" t="s">
        <v>770</v>
      </c>
      <c r="B716" s="0" t="s">
        <v>27</v>
      </c>
      <c r="C716" s="30" t="n">
        <f aca="false">(Sens!$C$711-Sens!$C$708*(1-tax))/Sens!$C$712</f>
        <v>5.33926775917445</v>
      </c>
      <c r="D716" s="30" t="n">
        <f aca="false">(Sens!$D$711-Sens!$D$708*(1-tax))/Sens!$D$712</f>
        <v>5.67691812755503</v>
      </c>
      <c r="E716" s="30" t="n">
        <f aca="false">(Sens!$E$711-Sens!$E$708*(1-tax))/Sens!$E$712</f>
        <v>3.10602057006846</v>
      </c>
      <c r="G716" s="30" t="n">
        <f aca="false">(Sens!$G$711-Sens!$G$708*(1-tax))/Sens!$G$712</f>
        <v>7.50657642541735</v>
      </c>
      <c r="H716" s="30" t="n">
        <f aca="false">(Sens!$H$711-Sens!$H$708*(1-tax))/Sens!$H$712</f>
        <v>11.0733305055629</v>
      </c>
      <c r="I716" s="30" t="n">
        <f aca="false">(Sens!$I$711-Sens!$I$708*(1-tax))/Sens!$I$712</f>
        <v>13.6844648546954</v>
      </c>
      <c r="J716" s="30" t="n">
        <f aca="false">(Sens!$J$711-Sens!$J$708*(1-tax))/Sens!$J$712</f>
        <v>16.6427104109172</v>
      </c>
      <c r="K716" s="30" t="n">
        <f aca="false">(Sens!$K$711-Sens!$K$708*(1-tax))/Sens!$K$712</f>
        <v>19.0048402851899</v>
      </c>
      <c r="L716" s="30" t="n">
        <f aca="false">(Sens!$L$711-Sens!$L$708*(1-tax))/Sens!$L$712</f>
        <v>21.155581049151</v>
      </c>
      <c r="M716" s="30" t="n">
        <f aca="false">(Sens!$M$711-Sens!$M$708*(1-tax))/Sens!$M$712</f>
        <v>23.0930157779498</v>
      </c>
      <c r="P716" s="5" t="s">
        <v>771</v>
      </c>
    </row>
    <row r="717" customFormat="false" ht="17.15" hidden="false" customHeight="false" outlineLevel="0" collapsed="false">
      <c r="A717" s="0" t="s">
        <v>772</v>
      </c>
      <c r="B717" s="0" t="s">
        <v>52</v>
      </c>
      <c r="H717" s="13" t="n">
        <f aca="false">Sens!$H$714/Sens!$G$714-1</f>
        <v>-0.0748970892230789</v>
      </c>
      <c r="I717" s="13" t="n">
        <f aca="false">Sens!$I$714/Sens!$H$714-1</f>
        <v>0.276608524220109</v>
      </c>
      <c r="J717" s="13" t="n">
        <f aca="false">Sens!$J$714/Sens!$I$714-1</f>
        <v>0.238375299178587</v>
      </c>
      <c r="K717" s="13" t="n">
        <f aca="false">Sens!$K$714/Sens!$J$714-1</f>
        <v>0.15514817331061</v>
      </c>
      <c r="L717" s="13" t="n">
        <f aca="false">Sens!$L$714/Sens!$K$714-1</f>
        <v>0.11439723703754</v>
      </c>
      <c r="M717" s="13" t="n">
        <f aca="false">Sens!$M$714/Sens!$L$714-1</f>
        <v>0.0849041435695404</v>
      </c>
    </row>
    <row r="720" customFormat="false" ht="19.4" hidden="false" customHeight="false" outlineLevel="0" collapsed="false">
      <c r="A720" s="31" t="s">
        <v>1165</v>
      </c>
    </row>
    <row r="721" customFormat="false" ht="17.15" hidden="false" customHeight="false" outlineLevel="0" collapsed="false">
      <c r="A721" s="6" t="s">
        <v>16</v>
      </c>
      <c r="B721" s="6" t="s">
        <v>17</v>
      </c>
      <c r="C721" s="20" t="s">
        <v>504</v>
      </c>
      <c r="D721" s="20" t="s">
        <v>505</v>
      </c>
      <c r="E721" s="20" t="s">
        <v>587</v>
      </c>
      <c r="F721" s="20" t="s">
        <v>588</v>
      </c>
      <c r="G721" s="20" t="s">
        <v>589</v>
      </c>
      <c r="H721" s="20" t="s">
        <v>590</v>
      </c>
      <c r="I721" s="20" t="s">
        <v>591</v>
      </c>
      <c r="J721" s="20" t="s">
        <v>592</v>
      </c>
      <c r="K721" s="20" t="s">
        <v>593</v>
      </c>
      <c r="L721" s="20" t="s">
        <v>594</v>
      </c>
      <c r="M721" s="20" t="s">
        <v>595</v>
      </c>
      <c r="N721" s="20" t="s">
        <v>596</v>
      </c>
      <c r="O721" s="20" t="s">
        <v>597</v>
      </c>
      <c r="P721" s="6" t="s">
        <v>23</v>
      </c>
      <c r="R721" s="20" t="n">
        <v>2023</v>
      </c>
      <c r="S721" s="20" t="n">
        <v>2024</v>
      </c>
      <c r="T721" s="20" t="n">
        <v>2025</v>
      </c>
      <c r="U721" s="20" t="n">
        <v>2026</v>
      </c>
      <c r="V721" s="20" t="n">
        <v>2027</v>
      </c>
      <c r="W721" s="20" t="n">
        <v>2028</v>
      </c>
      <c r="X721" s="20" t="n">
        <v>2029</v>
      </c>
      <c r="Y721" s="20" t="n">
        <v>2030</v>
      </c>
      <c r="Z721" s="20" t="n">
        <v>2031</v>
      </c>
      <c r="AA721" s="20" t="n">
        <v>2032</v>
      </c>
    </row>
    <row r="722" customFormat="false" ht="15" hidden="false" customHeight="false" outlineLevel="0" collapsed="false">
      <c r="A722" s="5" t="s">
        <v>556</v>
      </c>
      <c r="B722" s="0" t="s">
        <v>86</v>
      </c>
      <c r="C722" s="38" t="n">
        <f aca="false">Sens!$C$711</f>
        <v>59.248</v>
      </c>
      <c r="D722" s="38" t="n">
        <f aca="false">Sens!$D$711</f>
        <v>77.67</v>
      </c>
      <c r="E722" s="38" t="n">
        <f aca="false">Sens!$E$711</f>
        <v>92.902</v>
      </c>
      <c r="F722" s="38" t="n">
        <f aca="false">Sens!$F$711</f>
        <v>48.1879861946677</v>
      </c>
      <c r="G722" s="38" t="n">
        <f aca="false">Sens!$G$711</f>
        <v>141.089986194668</v>
      </c>
      <c r="H722" s="38" t="n">
        <f aca="false">Sens!$H$711</f>
        <v>121.941779447534</v>
      </c>
      <c r="I722" s="38" t="n">
        <f aca="false">Sens!$I$711</f>
        <v>151.901693739308</v>
      </c>
      <c r="J722" s="38" t="n">
        <f aca="false">Sens!$J$711</f>
        <v>186.217025955196</v>
      </c>
      <c r="K722" s="38" t="n">
        <f aca="false">Sens!$K$711</f>
        <v>214.348321113294</v>
      </c>
      <c r="L722" s="38" t="n">
        <f aca="false">Sens!$L$711</f>
        <v>240.514548804932</v>
      </c>
      <c r="M722" s="38" t="n">
        <f aca="false">Sens!$M$711</f>
        <v>264.641273975619</v>
      </c>
    </row>
    <row r="723" customFormat="false" ht="17.15" hidden="false" customHeight="false" outlineLevel="0" collapsed="false">
      <c r="A723" s="5" t="s">
        <v>795</v>
      </c>
      <c r="B723" s="0" t="s">
        <v>86</v>
      </c>
      <c r="C723" s="38" t="n">
        <f aca="false">Sens!$C$699</f>
        <v>32.067</v>
      </c>
      <c r="D723" s="38" t="n">
        <f aca="false">Sens!$D$699</f>
        <v>41.86</v>
      </c>
      <c r="E723" s="38" t="n">
        <f aca="false">Sens!$E$699</f>
        <v>26.703</v>
      </c>
      <c r="F723" s="38" t="n">
        <f aca="false">Sens!$F$699</f>
        <v>29.152860869477</v>
      </c>
      <c r="G723" s="38" t="n">
        <f aca="false">Sens!$G$699</f>
        <v>55.855860869477</v>
      </c>
      <c r="H723" s="38" t="n">
        <f aca="false">Sens!$H$699</f>
        <v>81.5618233196153</v>
      </c>
      <c r="I723" s="38" t="n">
        <f aca="false">Sens!$I$699</f>
        <v>118.756208740204</v>
      </c>
      <c r="J723" s="38" t="n">
        <f aca="false">Sens!$J$699</f>
        <v>152.469489406791</v>
      </c>
      <c r="K723" s="38" t="n">
        <f aca="false">Sens!$K$699</f>
        <v>186.391502623819</v>
      </c>
      <c r="L723" s="38" t="n">
        <f aca="false">Sens!$L$699</f>
        <v>211.926422215482</v>
      </c>
      <c r="M723" s="38" t="n">
        <f aca="false">Sens!$M$699</f>
        <v>229.012482097906</v>
      </c>
    </row>
    <row r="724" customFormat="false" ht="15" hidden="false" customHeight="false" outlineLevel="0" collapsed="false">
      <c r="A724" s="5" t="s">
        <v>796</v>
      </c>
      <c r="B724" s="0" t="s">
        <v>86</v>
      </c>
      <c r="C724" s="38" t="n">
        <f aca="false">Q!$D$48</f>
        <v>22.011</v>
      </c>
      <c r="D724" s="38" t="n">
        <f aca="false">Q!$E$48</f>
        <v>19.467</v>
      </c>
      <c r="E724" s="38" t="n">
        <f aca="false">Q!$P$48</f>
        <v>10.07</v>
      </c>
      <c r="F724" s="38" t="n">
        <f aca="false">sbc_r*Sens!$F$641</f>
        <v>10.9155235490988</v>
      </c>
      <c r="G724" s="38" t="n">
        <f aca="false">Sens!$E$724+Sens!$F$724</f>
        <v>20.9855235490988</v>
      </c>
      <c r="H724" s="38" t="n">
        <f aca="false">sbc_r*Sens!$H$641</f>
        <v>23.9914341424489</v>
      </c>
      <c r="I724" s="38" t="n">
        <f aca="false">sbc_r*Sens!$I$641</f>
        <v>27.687985828586</v>
      </c>
      <c r="J724" s="38" t="n">
        <f aca="false">sbc_r*Sens!$J$641</f>
        <v>31.2520997770876</v>
      </c>
      <c r="K724" s="38" t="n">
        <f aca="false">sbc_r*Sens!$K$641</f>
        <v>34.363288557517</v>
      </c>
      <c r="L724" s="38" t="n">
        <f aca="false">sbc_r*Sens!$L$641</f>
        <v>37.1387133522988</v>
      </c>
      <c r="M724" s="38" t="n">
        <f aca="false">sbc_r*Sens!$M$641</f>
        <v>39.5869396724228</v>
      </c>
    </row>
    <row r="725" customFormat="false" ht="17.15" hidden="false" customHeight="false" outlineLevel="0" collapsed="false">
      <c r="A725" s="5" t="s">
        <v>797</v>
      </c>
      <c r="B725" s="0" t="s">
        <v>86</v>
      </c>
      <c r="C725" s="38" t="n">
        <f aca="false">Q!$D$44-Sens!$C$722-Sens!$C$723-Sens!$C$724</f>
        <v>2.551</v>
      </c>
      <c r="D725" s="38" t="n">
        <f aca="false">Q!$E$44-Sens!$D$722-Sens!$D$723-Sens!$D$724</f>
        <v>0.51700000000001</v>
      </c>
      <c r="E725" s="38" t="n">
        <f aca="false">Q!$P$44-Sens!$E$722-Sens!$E$723-Sens!$E$724</f>
        <v>-58.256</v>
      </c>
      <c r="F725" s="38" t="n">
        <f aca="false">oth_r*Sens!$F$641</f>
        <v>5.25385160937302</v>
      </c>
      <c r="G725" s="38" t="n">
        <f aca="false">Sens!$E$725+Sens!$F$725</f>
        <v>-53.002148390627</v>
      </c>
      <c r="H725" s="38" t="n">
        <f aca="false">oth_r*Sens!$H$641</f>
        <v>11.5475390908647</v>
      </c>
      <c r="I725" s="38" t="n">
        <f aca="false">oth_r*Sens!$I$641</f>
        <v>13.3267605764842</v>
      </c>
      <c r="J725" s="38" t="n">
        <f aca="false">oth_r*Sens!$J$641</f>
        <v>15.0422372295367</v>
      </c>
      <c r="K725" s="38" t="n">
        <f aca="false">oth_r*Sens!$K$641</f>
        <v>16.53971228033</v>
      </c>
      <c r="L725" s="38" t="n">
        <f aca="false">oth_r*Sens!$L$641</f>
        <v>17.8755776613325</v>
      </c>
      <c r="M725" s="38" t="n">
        <f aca="false">oth_r*Sens!$M$641</f>
        <v>19.0539561178706</v>
      </c>
      <c r="P725" s="8" t="s">
        <v>798</v>
      </c>
    </row>
    <row r="726" customFormat="false" ht="15" hidden="false" customHeight="false" outlineLevel="0" collapsed="false">
      <c r="A726" s="3" t="s">
        <v>562</v>
      </c>
      <c r="B726" s="8" t="s">
        <v>86</v>
      </c>
      <c r="C726" s="38" t="n">
        <f aca="false">Q!$D$44</f>
        <v>115.877</v>
      </c>
      <c r="D726" s="38" t="n">
        <f aca="false">Q!$E$44</f>
        <v>139.514</v>
      </c>
      <c r="E726" s="38" t="n">
        <f aca="false">Q!$P$44</f>
        <v>71.419</v>
      </c>
      <c r="F726" s="38" t="n">
        <f aca="false">Sens!$F$722+Sens!$F$723+Sens!$F$724+Sens!$F$725</f>
        <v>93.5102222226165</v>
      </c>
      <c r="G726" s="38" t="n">
        <f aca="false">Sens!$E$726+Sens!$F$726</f>
        <v>164.929222222617</v>
      </c>
      <c r="H726" s="38" t="n">
        <f aca="false">Sens!$H$722+Sens!$H$723+Sens!$H$724+Sens!$H$725</f>
        <v>239.042576000463</v>
      </c>
      <c r="I726" s="38" t="n">
        <f aca="false">Sens!$I$722+Sens!$I$723+Sens!$I$724+Sens!$I$725</f>
        <v>311.672648884582</v>
      </c>
      <c r="J726" s="38" t="n">
        <f aca="false">Sens!$J$722+Sens!$J$723+Sens!$J$724+Sens!$J$725</f>
        <v>384.980852368611</v>
      </c>
      <c r="K726" s="38" t="n">
        <f aca="false">Sens!$K$722+Sens!$K$723+Sens!$K$724+Sens!$K$725</f>
        <v>451.64282457496</v>
      </c>
      <c r="L726" s="38" t="n">
        <f aca="false">Sens!$L$722+Sens!$L$723+Sens!$L$724+Sens!$L$725</f>
        <v>507.455262034045</v>
      </c>
      <c r="M726" s="38" t="n">
        <f aca="false">Sens!$M$722+Sens!$M$723+Sens!$M$724+Sens!$M$725</f>
        <v>552.294651863819</v>
      </c>
    </row>
    <row r="727" customFormat="false" ht="17.15" hidden="false" customHeight="false" outlineLevel="0" collapsed="false">
      <c r="A727" s="5" t="s">
        <v>799</v>
      </c>
      <c r="B727" s="0" t="s">
        <v>86</v>
      </c>
      <c r="C727" s="38" t="n">
        <f aca="false">Sens!$C$605</f>
        <v>25.2781053077374</v>
      </c>
      <c r="D727" s="38" t="n">
        <f aca="false">Sens!$D$605</f>
        <v>69.5686316310026</v>
      </c>
      <c r="E727" s="38" t="n">
        <f aca="false">Sens!$E$605</f>
        <v>64.1899206485108</v>
      </c>
      <c r="F727" s="38" t="n">
        <f aca="false">Sens!$F$605</f>
        <v>88.7165504612134</v>
      </c>
      <c r="G727" s="38" t="n">
        <f aca="false">Sens!$G$605</f>
        <v>152.906471109724</v>
      </c>
      <c r="H727" s="38" t="n">
        <f aca="false">Sens!$H$605</f>
        <v>198.57136494475</v>
      </c>
      <c r="I727" s="38" t="n">
        <f aca="false">Sens!$I$605</f>
        <v>204.6464699105</v>
      </c>
      <c r="J727" s="38" t="n">
        <f aca="false">Sens!$J$605</f>
        <v>209.8832381105</v>
      </c>
      <c r="K727" s="38" t="n">
        <f aca="false">Sens!$K$605</f>
        <v>155.238385275201</v>
      </c>
      <c r="L727" s="38" t="n">
        <f aca="false">Sens!$L$605</f>
        <v>132.014141639902</v>
      </c>
      <c r="M727" s="38" t="n">
        <f aca="false">Sens!$M$605</f>
        <v>132.230981659852</v>
      </c>
    </row>
    <row r="728" customFormat="false" ht="17.15" hidden="false" customHeight="false" outlineLevel="0" collapsed="false">
      <c r="A728" s="5" t="s">
        <v>800</v>
      </c>
      <c r="B728" s="0" t="s">
        <v>86</v>
      </c>
      <c r="C728" s="38" t="n">
        <f aca="false">cx_awso*Sens!$C$639</f>
        <v>21.0469989286053</v>
      </c>
      <c r="D728" s="38" t="n">
        <f aca="false">cx_awso*Sens!$D$639</f>
        <v>24.0042459822698</v>
      </c>
      <c r="E728" s="38" t="n">
        <f aca="false">cx_awso*Sens!$E$639</f>
        <v>14.261729404886</v>
      </c>
      <c r="F728" s="38" t="n">
        <f aca="false">cx_awso*Sens!$F$639</f>
        <v>14.3538599588493</v>
      </c>
      <c r="G728" s="38" t="n">
        <f aca="false">Sens!$E$728+Sens!$F$728</f>
        <v>28.6155893637353</v>
      </c>
      <c r="H728" s="38" t="n">
        <f aca="false">cx_awso*Sens!$H$639</f>
        <v>32.2034154158406</v>
      </c>
      <c r="I728" s="38" t="n">
        <f aca="false">cx_awso*Sens!$I$639</f>
        <v>35.7539519042915</v>
      </c>
      <c r="J728" s="38" t="n">
        <f aca="false">cx_awso*Sens!$J$639</f>
        <v>39.1551076091815</v>
      </c>
      <c r="K728" s="38" t="n">
        <f aca="false">cx_awso*Sens!$K$639</f>
        <v>42.287516217916</v>
      </c>
      <c r="L728" s="38" t="n">
        <f aca="false">cx_awso*Sens!$L$639</f>
        <v>45.6705175153492</v>
      </c>
      <c r="M728" s="38" t="n">
        <f aca="false">cx_awso*Sens!$M$639</f>
        <v>49.3241589165772</v>
      </c>
    </row>
    <row r="729" customFormat="false" ht="17.15" hidden="false" customHeight="false" outlineLevel="0" collapsed="false">
      <c r="A729" s="5" t="s">
        <v>801</v>
      </c>
      <c r="B729" s="0" t="s">
        <v>86</v>
      </c>
      <c r="C729" s="38" t="n">
        <f aca="false">Q!$D$46-Sens!$C$727-Sens!$C$728</f>
        <v>31.3328957636573</v>
      </c>
      <c r="D729" s="38" t="n">
        <f aca="false">Q!$E$46-Sens!$D$727-Sens!$D$728</f>
        <v>34.7471223867276</v>
      </c>
      <c r="E729" s="38" t="n">
        <f aca="false">Q!$P$46-Sens!$E$727-Sens!$E$728</f>
        <v>17.8583499466032</v>
      </c>
      <c r="F729" s="38" t="n">
        <f aca="false">cx_rt*Sens!$F$568</f>
        <v>20.6195895799373</v>
      </c>
      <c r="G729" s="38" t="n">
        <f aca="false">Sens!$E$729+Sens!$F$729</f>
        <v>38.4779395265405</v>
      </c>
      <c r="H729" s="38" t="n">
        <f aca="false">cx_rt*Sens!$H$568</f>
        <v>42.5978994743075</v>
      </c>
      <c r="I729" s="38" t="n">
        <f aca="false">cx_rt*Sens!$I$568</f>
        <v>46.5813904136335</v>
      </c>
      <c r="J729" s="38" t="n">
        <f aca="false">cx_rt*Sens!$J$568</f>
        <v>50.2781676586844</v>
      </c>
      <c r="K729" s="38" t="n">
        <f aca="false">cx_rt*Sens!$K$568</f>
        <v>53.5312440191755</v>
      </c>
      <c r="L729" s="38" t="n">
        <f aca="false">cx_rt*Sens!$L$568</f>
        <v>57.0116717051447</v>
      </c>
      <c r="M729" s="38" t="n">
        <f aca="false">cx_rt*Sens!$M$568</f>
        <v>60.7365554669226</v>
      </c>
    </row>
    <row r="730" customFormat="false" ht="15" hidden="false" customHeight="false" outlineLevel="0" collapsed="false">
      <c r="A730" s="3" t="s">
        <v>802</v>
      </c>
      <c r="B730" s="8" t="s">
        <v>86</v>
      </c>
      <c r="C730" s="38" t="n">
        <f aca="false">Q!$D$46</f>
        <v>77.658</v>
      </c>
      <c r="D730" s="38" t="n">
        <f aca="false">Q!$E$46</f>
        <v>128.32</v>
      </c>
      <c r="E730" s="38" t="n">
        <f aca="false">Q!$P$46</f>
        <v>96.31</v>
      </c>
      <c r="F730" s="38" t="n">
        <f aca="false">Sens!$F$727+Sens!$F$728+Sens!$F$729</f>
        <v>123.69</v>
      </c>
      <c r="G730" s="38" t="n">
        <f aca="false">Sens!$E$730+Sens!$F$730</f>
        <v>220</v>
      </c>
      <c r="H730" s="38" t="n">
        <f aca="false">Sens!$H$727+Sens!$H$728+Sens!$H$729</f>
        <v>273.372679834898</v>
      </c>
      <c r="I730" s="38" t="n">
        <f aca="false">Sens!$I$727+Sens!$I$728+Sens!$I$729</f>
        <v>286.981812228425</v>
      </c>
      <c r="J730" s="38" t="n">
        <f aca="false">Sens!$J$727+Sens!$J$728+Sens!$J$729</f>
        <v>299.316513378366</v>
      </c>
      <c r="K730" s="38" t="n">
        <f aca="false">Sens!$K$727+Sens!$K$728+Sens!$K$729</f>
        <v>251.057145512292</v>
      </c>
      <c r="L730" s="38" t="n">
        <f aca="false">Sens!$L$727+Sens!$L$728+Sens!$L$729</f>
        <v>234.696330860396</v>
      </c>
      <c r="M730" s="38" t="n">
        <f aca="false">Sens!$M$727+Sens!$M$728+Sens!$M$729</f>
        <v>242.291696043352</v>
      </c>
    </row>
    <row r="731" customFormat="false" ht="17.15" hidden="false" customHeight="false" outlineLevel="0" collapsed="false">
      <c r="A731" s="5" t="s">
        <v>570</v>
      </c>
      <c r="B731" s="0" t="s">
        <v>86</v>
      </c>
      <c r="C731" s="38" t="n">
        <f aca="false">Q!$D$50</f>
        <v>2.043</v>
      </c>
      <c r="D731" s="38" t="n">
        <f aca="false">Q!$E$50</f>
        <v>1.557</v>
      </c>
      <c r="E731" s="38" t="n">
        <f aca="false">lease_pr/2</f>
        <v>0.8</v>
      </c>
      <c r="F731" s="38" t="n">
        <f aca="false">lease_pr/2</f>
        <v>0.8</v>
      </c>
      <c r="G731" s="38" t="n">
        <f aca="false">Sens!$E$731+Sens!$F$731</f>
        <v>1.6</v>
      </c>
      <c r="H731" s="38" t="n">
        <f aca="false">lease_pr</f>
        <v>1.6</v>
      </c>
      <c r="I731" s="38" t="n">
        <f aca="false">lease_pr</f>
        <v>1.6</v>
      </c>
      <c r="J731" s="38" t="n">
        <f aca="false">lease_pr</f>
        <v>1.6</v>
      </c>
      <c r="K731" s="38" t="n">
        <f aca="false">lease_pr</f>
        <v>1.6</v>
      </c>
      <c r="L731" s="38" t="n">
        <f aca="false">lease_pr</f>
        <v>1.6</v>
      </c>
      <c r="M731" s="38" t="n">
        <f aca="false">lease_pr</f>
        <v>1.6</v>
      </c>
      <c r="P731" s="8" t="s">
        <v>803</v>
      </c>
    </row>
    <row r="732" customFormat="false" ht="15" hidden="false" customHeight="false" outlineLevel="0" collapsed="false">
      <c r="A732" s="47" t="s">
        <v>804</v>
      </c>
      <c r="B732" s="14" t="s">
        <v>86</v>
      </c>
      <c r="C732" s="48" t="n">
        <f aca="false">Sens!$C$726-Sens!$C$730-Sens!$C$731</f>
        <v>36.176</v>
      </c>
      <c r="D732" s="48" t="n">
        <f aca="false">Sens!$D$726-Sens!$D$730-Sens!$D$731</f>
        <v>9.63700000000002</v>
      </c>
      <c r="E732" s="48" t="n">
        <f aca="false">Sens!$E$726-Sens!$E$730-Sens!$E$731</f>
        <v>-25.691</v>
      </c>
      <c r="F732" s="48" t="n">
        <f aca="false">Sens!$F$726-Sens!$F$730-Sens!$F$731</f>
        <v>-30.9797777773835</v>
      </c>
      <c r="G732" s="48" t="n">
        <f aca="false">Sens!$G$726-Sens!$G$730-Sens!$G$731</f>
        <v>-56.6707777773835</v>
      </c>
      <c r="H732" s="48" t="n">
        <f aca="false">Sens!$H$726-Sens!$H$730-Sens!$H$731</f>
        <v>-35.9301038344355</v>
      </c>
      <c r="I732" s="48" t="n">
        <f aca="false">Sens!$I$726-Sens!$I$730-Sens!$I$731</f>
        <v>23.0908366561569</v>
      </c>
      <c r="J732" s="48" t="n">
        <f aca="false">Sens!$J$726-Sens!$J$730-Sens!$J$731</f>
        <v>84.0643389902455</v>
      </c>
      <c r="K732" s="48" t="n">
        <f aca="false">Sens!$K$726-Sens!$K$730-Sens!$K$731</f>
        <v>198.985679062668</v>
      </c>
      <c r="L732" s="48" t="n">
        <f aca="false">Sens!$L$726-Sens!$L$730-Sens!$L$731</f>
        <v>271.158931173649</v>
      </c>
      <c r="M732" s="48" t="n">
        <f aca="false">Sens!$M$726-Sens!$M$730-Sens!$M$731</f>
        <v>308.402955820467</v>
      </c>
      <c r="N732" s="14"/>
      <c r="O732" s="14"/>
    </row>
    <row r="733" customFormat="false" ht="17.15" hidden="false" customHeight="false" outlineLevel="0" collapsed="false">
      <c r="A733" s="5" t="s">
        <v>805</v>
      </c>
      <c r="B733" s="0" t="s">
        <v>86</v>
      </c>
      <c r="C733" s="38" t="n">
        <f aca="false">dps*Sens!$C$712</f>
        <v>0</v>
      </c>
      <c r="D733" s="38" t="n">
        <f aca="false">dps*Sens!$D$712</f>
        <v>0</v>
      </c>
      <c r="E733" s="38" t="n">
        <f aca="false">dps*Sens!$E$712</f>
        <v>0</v>
      </c>
      <c r="F733" s="38" t="n">
        <f aca="false">0</f>
        <v>0</v>
      </c>
      <c r="G733" s="38" t="n">
        <f aca="false">dps*Sens!$G$712</f>
        <v>0</v>
      </c>
      <c r="H733" s="38" t="n">
        <f aca="false">dps*Sens!$H$712</f>
        <v>0</v>
      </c>
      <c r="I733" s="38" t="n">
        <f aca="false">dps*Sens!$I$712</f>
        <v>0</v>
      </c>
      <c r="J733" s="38" t="n">
        <f aca="false">dps*Sens!$J$712</f>
        <v>0</v>
      </c>
      <c r="K733" s="38" t="n">
        <f aca="false">dps*Sens!$K$712</f>
        <v>0</v>
      </c>
      <c r="L733" s="38" t="n">
        <f aca="false">dps*Sens!$L$712</f>
        <v>0</v>
      </c>
      <c r="M733" s="38" t="n">
        <f aca="false">dps*Sens!$M$712</f>
        <v>0</v>
      </c>
      <c r="P733" s="8" t="s">
        <v>806</v>
      </c>
    </row>
    <row r="734" customFormat="false" ht="17.15" hidden="false" customHeight="false" outlineLevel="0" collapsed="false">
      <c r="A734" s="5" t="s">
        <v>807</v>
      </c>
      <c r="B734" s="0" t="s">
        <v>86</v>
      </c>
      <c r="C734" s="38" t="n">
        <f aca="false">0</f>
        <v>0</v>
      </c>
      <c r="D734" s="38" t="n">
        <f aca="false">0</f>
        <v>0</v>
      </c>
      <c r="E734" s="38" t="n">
        <f aca="false">0</f>
        <v>0</v>
      </c>
      <c r="F734" s="38" t="n">
        <f aca="false">0</f>
        <v>0</v>
      </c>
      <c r="G734" s="38" t="n">
        <f aca="false">0</f>
        <v>0</v>
      </c>
      <c r="H734" s="38" t="n">
        <f aca="false">0</f>
        <v>0</v>
      </c>
      <c r="I734" s="38" t="n">
        <f aca="false">0</f>
        <v>0</v>
      </c>
      <c r="J734" s="38" t="n">
        <f aca="false">0</f>
        <v>0</v>
      </c>
      <c r="K734" s="38" t="n">
        <f aca="false">0</f>
        <v>0</v>
      </c>
      <c r="L734" s="38" t="n">
        <f aca="false">0</f>
        <v>0</v>
      </c>
      <c r="M734" s="38" t="n">
        <f aca="false">0</f>
        <v>0</v>
      </c>
      <c r="P734" s="8" t="s">
        <v>808</v>
      </c>
    </row>
    <row r="735" customFormat="false" ht="15" hidden="false" customHeight="false" outlineLevel="0" collapsed="false">
      <c r="A735" s="3" t="s">
        <v>809</v>
      </c>
      <c r="B735" s="8" t="s">
        <v>86</v>
      </c>
      <c r="C735" s="38" t="n">
        <f aca="false">Sens!$C$732-Sens!$C$733</f>
        <v>36.176</v>
      </c>
      <c r="D735" s="38" t="n">
        <f aca="false">Sens!$D$732-Sens!$D$733</f>
        <v>9.63700000000002</v>
      </c>
      <c r="E735" s="38" t="n">
        <f aca="false">Sens!$E$732-Sens!$E$733</f>
        <v>-25.691</v>
      </c>
      <c r="F735" s="38" t="n">
        <f aca="false">Sens!$F$732-Sens!$F$733</f>
        <v>-30.9797777773835</v>
      </c>
      <c r="G735" s="38" t="n">
        <f aca="false">Sens!$G$732-Sens!$G$733</f>
        <v>-56.6707777773835</v>
      </c>
      <c r="H735" s="38" t="n">
        <f aca="false">Sens!$H$732-Sens!$H$733</f>
        <v>-35.9301038344355</v>
      </c>
      <c r="I735" s="38" t="n">
        <f aca="false">Sens!$I$732-Sens!$I$733</f>
        <v>23.0908366561569</v>
      </c>
      <c r="J735" s="38" t="n">
        <f aca="false">Sens!$J$732-Sens!$J$733</f>
        <v>84.0643389902455</v>
      </c>
      <c r="K735" s="38" t="n">
        <f aca="false">Sens!$K$732-Sens!$K$733</f>
        <v>198.985679062668</v>
      </c>
      <c r="L735" s="38" t="n">
        <f aca="false">Sens!$L$732-Sens!$L$733</f>
        <v>271.158931173649</v>
      </c>
      <c r="M735" s="38" t="n">
        <f aca="false">Sens!$M$732-Sens!$M$733</f>
        <v>308.402955820467</v>
      </c>
    </row>
    <row r="736" customFormat="false" ht="17.15" hidden="false" customHeight="false" outlineLevel="0" collapsed="false">
      <c r="A736" s="5" t="s">
        <v>810</v>
      </c>
      <c r="B736" s="0" t="s">
        <v>86</v>
      </c>
      <c r="E736" s="38" t="n">
        <f aca="false">Q!$P$53</f>
        <v>39.767</v>
      </c>
      <c r="F736" s="38" t="n">
        <f aca="false">inv_2h26</f>
        <v>21.3</v>
      </c>
      <c r="G736" s="38" t="n">
        <f aca="false">Sens!$E$736+Sens!$F$736</f>
        <v>61.067</v>
      </c>
      <c r="H736" s="39" t="n">
        <v>0</v>
      </c>
      <c r="I736" s="39" t="n">
        <v>0</v>
      </c>
      <c r="J736" s="39" t="n">
        <v>0</v>
      </c>
      <c r="K736" s="39" t="n">
        <v>0</v>
      </c>
      <c r="L736" s="39" t="n">
        <v>0</v>
      </c>
      <c r="M736" s="39" t="n">
        <v>0</v>
      </c>
    </row>
    <row r="737" customFormat="false" ht="17.15" hidden="false" customHeight="false" outlineLevel="0" collapsed="false">
      <c r="A737" s="5" t="s">
        <v>811</v>
      </c>
      <c r="B737" s="0" t="s">
        <v>86</v>
      </c>
      <c r="F737" s="38" t="n">
        <f aca="false">iss_2h26</f>
        <v>29.249999</v>
      </c>
      <c r="G737" s="38" t="n">
        <f aca="false">Sens!$F$737</f>
        <v>29.249999</v>
      </c>
      <c r="H737" s="39" t="n">
        <v>0</v>
      </c>
      <c r="I737" s="39" t="n">
        <v>0</v>
      </c>
      <c r="J737" s="39" t="n">
        <v>0</v>
      </c>
      <c r="K737" s="39" t="n">
        <v>0</v>
      </c>
      <c r="L737" s="39" t="n">
        <v>0</v>
      </c>
      <c r="M737" s="39" t="n">
        <v>0</v>
      </c>
    </row>
    <row r="738" customFormat="false" ht="17.15" hidden="false" customHeight="false" outlineLevel="0" collapsed="false">
      <c r="A738" s="5" t="s">
        <v>812</v>
      </c>
      <c r="B738" s="0" t="s">
        <v>86</v>
      </c>
      <c r="F738" s="38" t="n">
        <f aca="false">cash_q2</f>
        <v>122.988</v>
      </c>
      <c r="G738" s="38" t="n">
        <f aca="false">cash_q2</f>
        <v>122.988</v>
      </c>
      <c r="H738" s="38" t="n">
        <f aca="false">Sens!$G$741</f>
        <v>99.9582212226165</v>
      </c>
      <c r="I738" s="38" t="n">
        <f aca="false">Sens!$H$741</f>
        <v>64.028117388181</v>
      </c>
      <c r="J738" s="38" t="n">
        <f aca="false">Sens!$I$741</f>
        <v>87.118954044338</v>
      </c>
      <c r="K738" s="38" t="n">
        <f aca="false">Sens!$J$741</f>
        <v>171.183293034583</v>
      </c>
      <c r="L738" s="38" t="n">
        <f aca="false">Sens!$K$741</f>
        <v>370.168972097251</v>
      </c>
      <c r="M738" s="38" t="n">
        <f aca="false">Sens!$L$741</f>
        <v>641.327903270901</v>
      </c>
    </row>
    <row r="739" customFormat="false" ht="15" hidden="false" customHeight="false" outlineLevel="0" collapsed="false">
      <c r="A739" s="5" t="s">
        <v>813</v>
      </c>
      <c r="B739" s="0" t="s">
        <v>86</v>
      </c>
      <c r="F739" s="38" t="n">
        <f aca="false">Sens!$F$738+Sens!$F$735-Sens!$F$734-Sens!$F$736+Sens!$F$737</f>
        <v>99.9582212226165</v>
      </c>
      <c r="H739" s="38" t="n">
        <f aca="false">Sens!$H$738+Sens!$H$735-Sens!$H$734-Sens!$H$736+Sens!$H$737</f>
        <v>64.028117388181</v>
      </c>
      <c r="I739" s="38" t="n">
        <f aca="false">Sens!$I$738+Sens!$I$735-Sens!$I$734-Sens!$I$736+Sens!$I$737</f>
        <v>87.118954044338</v>
      </c>
      <c r="J739" s="38" t="n">
        <f aca="false">Sens!$J$738+Sens!$J$735-Sens!$J$734-Sens!$J$736+Sens!$J$737</f>
        <v>171.183293034583</v>
      </c>
      <c r="K739" s="38" t="n">
        <f aca="false">Sens!$K$738+Sens!$K$735-Sens!$K$734-Sens!$K$736+Sens!$K$737</f>
        <v>370.168972097251</v>
      </c>
      <c r="L739" s="38" t="n">
        <f aca="false">Sens!$L$738+Sens!$L$735-Sens!$L$734-Sens!$L$736+Sens!$L$737</f>
        <v>641.327903270901</v>
      </c>
      <c r="M739" s="38" t="n">
        <f aca="false">Sens!$M$738+Sens!$M$735-Sens!$M$734-Sens!$M$736+Sens!$M$737</f>
        <v>949.730859091367</v>
      </c>
    </row>
    <row r="740" customFormat="false" ht="17.15" hidden="false" customHeight="false" outlineLevel="0" collapsed="false">
      <c r="A740" s="5" t="s">
        <v>814</v>
      </c>
      <c r="B740" s="0" t="s">
        <v>86</v>
      </c>
      <c r="F740" s="38" t="n">
        <f aca="false">MAX(0,min_cash-Sens!$F$739)</f>
        <v>0</v>
      </c>
      <c r="G740" s="38" t="n">
        <f aca="false">Sens!$F$740</f>
        <v>0</v>
      </c>
      <c r="H740" s="38" t="n">
        <f aca="false">MAX(0,min_cash-Sens!$H$739)</f>
        <v>0</v>
      </c>
      <c r="I740" s="38" t="n">
        <f aca="false">MAX(0,min_cash-Sens!$I$739)</f>
        <v>0</v>
      </c>
      <c r="J740" s="38" t="n">
        <f aca="false">MAX(0,min_cash-Sens!$J$739)</f>
        <v>0</v>
      </c>
      <c r="K740" s="38" t="n">
        <f aca="false">MAX(0,min_cash-Sens!$K$739)</f>
        <v>0</v>
      </c>
      <c r="L740" s="38" t="n">
        <f aca="false">MAX(0,min_cash-Sens!$L$739)</f>
        <v>0</v>
      </c>
      <c r="M740" s="38" t="n">
        <f aca="false">MAX(0,min_cash-Sens!$M$739)</f>
        <v>0</v>
      </c>
      <c r="P740" s="5" t="s">
        <v>815</v>
      </c>
    </row>
    <row r="741" customFormat="false" ht="15" hidden="false" customHeight="false" outlineLevel="0" collapsed="false">
      <c r="A741" s="5" t="s">
        <v>816</v>
      </c>
      <c r="B741" s="0" t="s">
        <v>86</v>
      </c>
      <c r="D741" s="38" t="n">
        <f aca="false">Q!$E$61</f>
        <v>123.029</v>
      </c>
      <c r="E741" s="38" t="n">
        <f aca="false">Q!$M$61</f>
        <v>122.988</v>
      </c>
      <c r="F741" s="38" t="n">
        <f aca="false">Sens!$F$739+Sens!$F$740</f>
        <v>99.9582212226165</v>
      </c>
      <c r="G741" s="38" t="n">
        <f aca="false">Sens!$F$741</f>
        <v>99.9582212226165</v>
      </c>
      <c r="H741" s="38" t="n">
        <f aca="false">Sens!$H$739+Sens!$H$740</f>
        <v>64.028117388181</v>
      </c>
      <c r="I741" s="38" t="n">
        <f aca="false">Sens!$I$739+Sens!$I$740</f>
        <v>87.118954044338</v>
      </c>
      <c r="J741" s="38" t="n">
        <f aca="false">Sens!$J$739+Sens!$J$740</f>
        <v>171.183293034583</v>
      </c>
      <c r="K741" s="38" t="n">
        <f aca="false">Sens!$K$739+Sens!$K$740</f>
        <v>370.168972097251</v>
      </c>
      <c r="L741" s="38" t="n">
        <f aca="false">Sens!$L$739+Sens!$L$740</f>
        <v>641.327903270901</v>
      </c>
      <c r="M741" s="38" t="n">
        <f aca="false">Sens!$M$739+Sens!$M$740</f>
        <v>949.730859091367</v>
      </c>
    </row>
    <row r="742" customFormat="false" ht="15" hidden="false" customHeight="false" outlineLevel="0" collapsed="false">
      <c r="A742" s="5" t="s">
        <v>817</v>
      </c>
      <c r="B742" s="0" t="s">
        <v>86</v>
      </c>
      <c r="D742" s="38" t="n">
        <f aca="false">Q!$E$62</f>
        <v>68.836</v>
      </c>
      <c r="E742" s="38" t="n">
        <f aca="false">Q!$M$62</f>
        <v>132.995</v>
      </c>
      <c r="F742" s="38" t="n">
        <f aca="false">debt_q2+Sens!$F$737+Sens!$F$740</f>
        <v>162.244999</v>
      </c>
      <c r="G742" s="38" t="n">
        <f aca="false">Sens!$F$742</f>
        <v>162.244999</v>
      </c>
      <c r="H742" s="38" t="n">
        <f aca="false">Sens!$G$742+Sens!$H$740</f>
        <v>162.244999</v>
      </c>
      <c r="I742" s="38" t="n">
        <f aca="false">Sens!$H$742+Sens!$I$740</f>
        <v>162.244999</v>
      </c>
      <c r="J742" s="38" t="n">
        <f aca="false">Sens!$I$742+Sens!$J$740</f>
        <v>162.244999</v>
      </c>
      <c r="K742" s="38" t="n">
        <f aca="false">Sens!$J$742+Sens!$K$740</f>
        <v>162.244999</v>
      </c>
      <c r="L742" s="38" t="n">
        <f aca="false">Sens!$K$742+Sens!$L$740</f>
        <v>162.244999</v>
      </c>
      <c r="M742" s="38" t="n">
        <f aca="false">Sens!$L$742+Sens!$M$740</f>
        <v>162.244999</v>
      </c>
    </row>
    <row r="743" customFormat="false" ht="15" hidden="false" customHeight="false" outlineLevel="0" collapsed="false">
      <c r="A743" s="5" t="s">
        <v>818</v>
      </c>
      <c r="B743" s="0" t="s">
        <v>86</v>
      </c>
      <c r="D743" s="38" t="n">
        <f aca="false">Sens!$D$742-Sens!$D$741</f>
        <v>-54.193</v>
      </c>
      <c r="E743" s="38" t="n">
        <f aca="false">Sens!$E$742-Sens!$E$741</f>
        <v>10.007</v>
      </c>
      <c r="F743" s="38" t="n">
        <f aca="false">Sens!$F$742-Sens!$F$741</f>
        <v>62.2867777773835</v>
      </c>
      <c r="G743" s="38" t="n">
        <f aca="false">Sens!$G$742-Sens!$G$741</f>
        <v>62.2867777773835</v>
      </c>
      <c r="H743" s="38" t="n">
        <f aca="false">Sens!$H$742-Sens!$H$741</f>
        <v>98.216881611819</v>
      </c>
      <c r="I743" s="38" t="n">
        <f aca="false">Sens!$I$742-Sens!$I$741</f>
        <v>75.126044955662</v>
      </c>
      <c r="J743" s="38" t="n">
        <f aca="false">Sens!$J$742-Sens!$J$741</f>
        <v>-8.93829403458346</v>
      </c>
      <c r="K743" s="38" t="n">
        <f aca="false">Sens!$K$742-Sens!$K$741</f>
        <v>-207.923973097251</v>
      </c>
      <c r="L743" s="38" t="n">
        <f aca="false">Sens!$L$742-Sens!$L$741</f>
        <v>-479.082904270901</v>
      </c>
      <c r="M743" s="38" t="n">
        <f aca="false">Sens!$M$742-Sens!$M$741</f>
        <v>-787.485860091367</v>
      </c>
    </row>
    <row r="744" customFormat="false" ht="17.15" hidden="false" customHeight="false" outlineLevel="0" collapsed="false">
      <c r="A744" s="5" t="s">
        <v>819</v>
      </c>
      <c r="B744" s="0" t="s">
        <v>86</v>
      </c>
      <c r="F744" s="38" t="n">
        <f aca="false">debt_q2*kd_book*0.5+iss_2h26*kd_new*iss_t</f>
        <v>3.24888962733561</v>
      </c>
      <c r="H744" s="38" t="n">
        <f aca="false">debt_q2*kd_book+(Sens!$G$742-debt_q2)*kd_new</f>
        <v>7.42354172302123</v>
      </c>
      <c r="I744" s="38" t="n">
        <f aca="false">debt_q2*kd_book+(Sens!$H$742-debt_q2)*kd_new</f>
        <v>7.42354172302123</v>
      </c>
      <c r="J744" s="38" t="n">
        <f aca="false">debt_q2*kd_book+(Sens!$I$742-debt_q2)*kd_new</f>
        <v>7.42354172302123</v>
      </c>
      <c r="K744" s="38" t="n">
        <f aca="false">debt_q2*kd_book+(Sens!$J$742-debt_q2)*kd_new</f>
        <v>7.42354172302123</v>
      </c>
      <c r="L744" s="38" t="n">
        <f aca="false">debt_q2*kd_book+(Sens!$K$742-debt_q2)*kd_new</f>
        <v>7.42354172302123</v>
      </c>
      <c r="M744" s="38" t="n">
        <f aca="false">debt_q2*kd_book+(Sens!$L$742-debt_q2)*kd_new</f>
        <v>7.42354172302123</v>
      </c>
    </row>
    <row r="745" customFormat="false" ht="17.15" hidden="false" customHeight="false" outlineLevel="0" collapsed="false">
      <c r="A745" s="5" t="s">
        <v>820</v>
      </c>
      <c r="B745" s="0" t="s">
        <v>86</v>
      </c>
      <c r="F745" s="38" t="n">
        <f aca="false">cash_q2*y_cash*0.5</f>
        <v>2.59</v>
      </c>
      <c r="H745" s="38" t="n">
        <f aca="false">Sens!$G$741*y_cash</f>
        <v>4.21003338482741</v>
      </c>
      <c r="I745" s="38" t="n">
        <f aca="false">Sens!$H$741*y_cash</f>
        <v>2.6967317792856</v>
      </c>
      <c r="J745" s="38" t="n">
        <f aca="false">Sens!$I$741*y_cash</f>
        <v>3.66927002593481</v>
      </c>
      <c r="K745" s="38" t="n">
        <f aca="false">Sens!$J$741*y_cash</f>
        <v>7.20988598821952</v>
      </c>
      <c r="L745" s="38" t="n">
        <f aca="false">Sens!$K$741*y_cash</f>
        <v>15.5907509306905</v>
      </c>
      <c r="M745" s="38" t="n">
        <f aca="false">Sens!$L$741*y_cash</f>
        <v>27.0114038682088</v>
      </c>
    </row>
    <row r="746" customFormat="false" ht="17.15" hidden="false" customHeight="false" outlineLevel="0" collapsed="false">
      <c r="A746" s="47" t="s">
        <v>821</v>
      </c>
      <c r="B746" s="14" t="s">
        <v>86</v>
      </c>
      <c r="C746" s="14"/>
      <c r="D746" s="14"/>
      <c r="E746" s="14"/>
      <c r="F746" s="14"/>
      <c r="G746" s="48" t="n">
        <f aca="false">SUM(Sens!$G$735:$K$735)</f>
        <v>213.539973097251</v>
      </c>
      <c r="H746" s="14"/>
      <c r="I746" s="14"/>
      <c r="J746" s="14"/>
      <c r="K746" s="14"/>
      <c r="L746" s="14"/>
      <c r="M746" s="14"/>
      <c r="N746" s="14"/>
      <c r="O746" s="14"/>
    </row>
    <row r="747" customFormat="false" ht="17.15" hidden="false" customHeight="false" outlineLevel="0" collapsed="false">
      <c r="A747" s="0" t="s">
        <v>787</v>
      </c>
      <c r="B747" s="0" t="s">
        <v>86</v>
      </c>
      <c r="G747" s="38" t="n">
        <f aca="false">SUM(Sens!$G$740:$K$740)</f>
        <v>0</v>
      </c>
    </row>
    <row r="748" customFormat="false" ht="17.15" hidden="false" customHeight="false" outlineLevel="0" collapsed="false">
      <c r="A748" s="24" t="s">
        <v>824</v>
      </c>
      <c r="B748" s="25" t="s">
        <v>86</v>
      </c>
      <c r="C748" s="25"/>
      <c r="D748" s="25"/>
      <c r="E748" s="25"/>
      <c r="F748" s="25"/>
      <c r="G748" s="41" t="n">
        <f aca="false">Sens!$G$746-(Sens!$G$735+Sens!$H$735+Sens!$I$735+Sens!$J$735+Sens!$K$735)</f>
        <v>0</v>
      </c>
      <c r="H748" s="25"/>
      <c r="I748" s="25"/>
      <c r="J748" s="25"/>
      <c r="K748" s="25"/>
      <c r="L748" s="25"/>
      <c r="M748" s="25"/>
      <c r="N748" s="25"/>
      <c r="O748" s="25"/>
    </row>
    <row r="751" customFormat="false" ht="19.4" hidden="false" customHeight="false" outlineLevel="0" collapsed="false">
      <c r="A751" s="31" t="s">
        <v>1166</v>
      </c>
    </row>
    <row r="752" customFormat="false" ht="17.15" hidden="false" customHeight="false" outlineLevel="0" collapsed="false">
      <c r="A752" s="6" t="s">
        <v>16</v>
      </c>
      <c r="B752" s="6" t="s">
        <v>17</v>
      </c>
      <c r="C752" s="20" t="s">
        <v>504</v>
      </c>
      <c r="D752" s="20" t="s">
        <v>505</v>
      </c>
      <c r="E752" s="20" t="s">
        <v>587</v>
      </c>
      <c r="F752" s="20" t="s">
        <v>588</v>
      </c>
      <c r="G752" s="20" t="s">
        <v>589</v>
      </c>
      <c r="H752" s="20" t="s">
        <v>590</v>
      </c>
      <c r="I752" s="20" t="s">
        <v>591</v>
      </c>
      <c r="J752" s="20" t="s">
        <v>592</v>
      </c>
      <c r="K752" s="20" t="s">
        <v>593</v>
      </c>
      <c r="L752" s="20" t="s">
        <v>594</v>
      </c>
      <c r="M752" s="20" t="s">
        <v>595</v>
      </c>
      <c r="N752" s="20" t="s">
        <v>596</v>
      </c>
      <c r="O752" s="20" t="s">
        <v>597</v>
      </c>
      <c r="P752" s="6" t="s">
        <v>23</v>
      </c>
      <c r="R752" s="20" t="n">
        <v>2023</v>
      </c>
      <c r="S752" s="20" t="n">
        <v>2024</v>
      </c>
      <c r="T752" s="20" t="n">
        <v>2025</v>
      </c>
      <c r="U752" s="20" t="n">
        <v>2026</v>
      </c>
      <c r="V752" s="20" t="n">
        <v>2027</v>
      </c>
      <c r="W752" s="20" t="n">
        <v>2028</v>
      </c>
      <c r="X752" s="20" t="n">
        <v>2029</v>
      </c>
      <c r="Y752" s="20" t="n">
        <v>2030</v>
      </c>
      <c r="Z752" s="20" t="n">
        <v>2031</v>
      </c>
      <c r="AA752" s="20" t="n">
        <v>2032</v>
      </c>
    </row>
    <row r="753" customFormat="false" ht="17.15" hidden="false" customHeight="false" outlineLevel="0" collapsed="false">
      <c r="A753" s="1" t="s">
        <v>926</v>
      </c>
    </row>
    <row r="754" customFormat="false" ht="17.15" hidden="false" customHeight="false" outlineLevel="0" collapsed="false">
      <c r="A754" s="0" t="s">
        <v>927</v>
      </c>
      <c r="B754" s="0" t="s">
        <v>86</v>
      </c>
      <c r="H754" s="38" t="n">
        <f aca="false">Sens!$H$688*(1-tax)</f>
        <v>137.128868417394</v>
      </c>
      <c r="I754" s="38" t="n">
        <f aca="false">Sens!$I$688*(1-tax)</f>
        <v>176.949267691472</v>
      </c>
      <c r="J754" s="38" t="n">
        <f aca="false">Sens!$J$688*(1-tax)</f>
        <v>219.109051121221</v>
      </c>
      <c r="K754" s="38" t="n">
        <f aca="false">Sens!$K$688*(1-tax)</f>
        <v>251.692195215169</v>
      </c>
      <c r="L754" s="38" t="n">
        <f aca="false">Sens!$L$688*(1-tax)</f>
        <v>275.781118081946</v>
      </c>
      <c r="M754" s="38" t="n">
        <f aca="false">Sens!$M$688*(1-tax)</f>
        <v>292.783083799263</v>
      </c>
    </row>
    <row r="755" customFormat="false" ht="15" hidden="false" customHeight="false" outlineLevel="0" collapsed="false">
      <c r="A755" s="5" t="s">
        <v>928</v>
      </c>
      <c r="B755" s="0" t="s">
        <v>86</v>
      </c>
      <c r="H755" s="38" t="n">
        <f aca="false">Sens!$H$699</f>
        <v>81.5618233196153</v>
      </c>
      <c r="I755" s="38" t="n">
        <f aca="false">Sens!$I$699</f>
        <v>118.756208740204</v>
      </c>
      <c r="J755" s="38" t="n">
        <f aca="false">Sens!$J$699</f>
        <v>152.469489406791</v>
      </c>
      <c r="K755" s="38" t="n">
        <f aca="false">Sens!$K$699</f>
        <v>186.391502623819</v>
      </c>
      <c r="L755" s="38" t="n">
        <f aca="false">Sens!$L$699</f>
        <v>211.926422215482</v>
      </c>
      <c r="M755" s="38" t="n">
        <f aca="false">Sens!$M$699</f>
        <v>229.012482097906</v>
      </c>
    </row>
    <row r="756" customFormat="false" ht="15" hidden="false" customHeight="false" outlineLevel="0" collapsed="false">
      <c r="A756" s="5" t="s">
        <v>929</v>
      </c>
      <c r="B756" s="0" t="s">
        <v>86</v>
      </c>
      <c r="H756" s="38" t="n">
        <f aca="false">Sens!$H$730</f>
        <v>273.372679834898</v>
      </c>
      <c r="I756" s="38" t="n">
        <f aca="false">Sens!$I$730</f>
        <v>286.981812228425</v>
      </c>
      <c r="J756" s="38" t="n">
        <f aca="false">Sens!$J$730</f>
        <v>299.316513378366</v>
      </c>
      <c r="K756" s="38" t="n">
        <f aca="false">Sens!$K$730</f>
        <v>251.057145512292</v>
      </c>
      <c r="L756" s="38" t="n">
        <f aca="false">Sens!$L$730</f>
        <v>234.696330860396</v>
      </c>
      <c r="M756" s="38" t="n">
        <f aca="false">Sens!$M$730</f>
        <v>242.291696043352</v>
      </c>
    </row>
    <row r="757" customFormat="false" ht="15" hidden="false" customHeight="false" outlineLevel="0" collapsed="false">
      <c r="A757" s="5" t="s">
        <v>930</v>
      </c>
      <c r="B757" s="0" t="s">
        <v>86</v>
      </c>
      <c r="H757" s="38" t="n">
        <f aca="false">Sens!$H$731</f>
        <v>1.6</v>
      </c>
      <c r="I757" s="38" t="n">
        <f aca="false">Sens!$I$731</f>
        <v>1.6</v>
      </c>
      <c r="J757" s="38" t="n">
        <f aca="false">Sens!$J$731</f>
        <v>1.6</v>
      </c>
      <c r="K757" s="38" t="n">
        <f aca="false">Sens!$K$731</f>
        <v>1.6</v>
      </c>
      <c r="L757" s="38" t="n">
        <f aca="false">Sens!$L$731</f>
        <v>1.6</v>
      </c>
      <c r="M757" s="38" t="n">
        <f aca="false">Sens!$M$731</f>
        <v>1.6</v>
      </c>
    </row>
    <row r="758" customFormat="false" ht="15" hidden="false" customHeight="false" outlineLevel="0" collapsed="false">
      <c r="A758" s="5" t="s">
        <v>931</v>
      </c>
      <c r="B758" s="0" t="s">
        <v>86</v>
      </c>
      <c r="H758" s="38" t="n">
        <f aca="false">Sens!$H$725</f>
        <v>11.5475390908647</v>
      </c>
      <c r="I758" s="38" t="n">
        <f aca="false">Sens!$I$725</f>
        <v>13.3267605764842</v>
      </c>
      <c r="J758" s="38" t="n">
        <f aca="false">Sens!$J$725</f>
        <v>15.0422372295367</v>
      </c>
      <c r="K758" s="38" t="n">
        <f aca="false">Sens!$K$725</f>
        <v>16.53971228033</v>
      </c>
      <c r="L758" s="38" t="n">
        <f aca="false">Sens!$L$725</f>
        <v>17.8755776613325</v>
      </c>
      <c r="M758" s="38" t="n">
        <f aca="false">Sens!$M$725</f>
        <v>19.0539561178706</v>
      </c>
    </row>
    <row r="759" customFormat="false" ht="17.15" hidden="false" customHeight="false" outlineLevel="0" collapsed="false">
      <c r="A759" s="1" t="s">
        <v>932</v>
      </c>
      <c r="B759" s="8" t="s">
        <v>86</v>
      </c>
      <c r="H759" s="38" t="n">
        <f aca="false">Sens!$H$754+Sens!$H$755-Sens!$H$756-Sens!$H$757+Sens!$H$758</f>
        <v>-44.7344490070238</v>
      </c>
      <c r="I759" s="38" t="n">
        <f aca="false">Sens!$I$754+Sens!$I$755-Sens!$I$756-Sens!$I$757+Sens!$I$758</f>
        <v>20.4504247797348</v>
      </c>
      <c r="J759" s="38" t="n">
        <f aca="false">Sens!$J$754+Sens!$J$755-Sens!$J$756-Sens!$J$757+Sens!$J$758</f>
        <v>85.7042643791824</v>
      </c>
      <c r="K759" s="38" t="n">
        <f aca="false">Sens!$K$754+Sens!$K$755-Sens!$K$756-Sens!$K$757+Sens!$K$758</f>
        <v>201.966264607026</v>
      </c>
      <c r="L759" s="38" t="n">
        <f aca="false">Sens!$L$754+Sens!$L$755-Sens!$L$756-Sens!$L$757+Sens!$L$758</f>
        <v>269.286787098365</v>
      </c>
      <c r="M759" s="38" t="n">
        <f aca="false">Sens!$M$754+Sens!$M$755-Sens!$M$756-Sens!$M$757+Sens!$M$758</f>
        <v>296.957825971687</v>
      </c>
    </row>
    <row r="760" customFormat="false" ht="15" hidden="false" customHeight="false" outlineLevel="0" collapsed="false">
      <c r="A760" s="5" t="s">
        <v>933</v>
      </c>
      <c r="B760" s="0" t="s">
        <v>57</v>
      </c>
      <c r="H760" s="40" t="n">
        <f aca="false">1/(1+wacc)^(2027-2026-0.5)</f>
        <v>0.947751320380232</v>
      </c>
      <c r="I760" s="40" t="n">
        <f aca="false">1/(1+wacc)^(2028-2026-0.5)</f>
        <v>0.851301099754987</v>
      </c>
      <c r="J760" s="40" t="n">
        <f aca="false">1/(1+wacc)^(2029-2026-0.5)</f>
        <v>0.764666370660713</v>
      </c>
      <c r="K760" s="40" t="n">
        <f aca="false">1/(1+wacc)^(2030-2026-0.5)</f>
        <v>0.686848235703811</v>
      </c>
      <c r="L760" s="40" t="n">
        <f aca="false">1/(1+wacc)^(2031-2026-0.5)</f>
        <v>0.616949452715975</v>
      </c>
      <c r="M760" s="40" t="n">
        <f aca="false">1/(1+wacc)^(2032-2026-0.5)</f>
        <v>0.554164089562688</v>
      </c>
    </row>
    <row r="761" customFormat="false" ht="15" hidden="false" customHeight="false" outlineLevel="0" collapsed="false">
      <c r="A761" s="5" t="s">
        <v>934</v>
      </c>
      <c r="B761" s="0" t="s">
        <v>86</v>
      </c>
      <c r="H761" s="38" t="n">
        <f aca="false">Sens!$H$759*Sens!$H$760</f>
        <v>-42.397133112889</v>
      </c>
      <c r="I761" s="38" t="n">
        <f aca="false">Sens!$I$759*Sens!$I$760</f>
        <v>17.4094691054449</v>
      </c>
      <c r="J761" s="38" t="n">
        <f aca="false">Sens!$J$759*Sens!$J$760</f>
        <v>65.5351687929756</v>
      </c>
      <c r="K761" s="38" t="n">
        <f aca="false">Sens!$K$759*Sens!$K$760</f>
        <v>138.720172517025</v>
      </c>
      <c r="L761" s="38" t="n">
        <f aca="false">Sens!$L$759*Sens!$L$760</f>
        <v>166.136335923979</v>
      </c>
      <c r="M761" s="38" t="n">
        <f aca="false">Sens!$M$759*Sens!$M$760</f>
        <v>164.563363268115</v>
      </c>
    </row>
    <row r="762" customFormat="false" ht="15" hidden="false" customHeight="false" outlineLevel="0" collapsed="false">
      <c r="A762" s="5" t="s">
        <v>935</v>
      </c>
      <c r="B762" s="0" t="s">
        <v>86</v>
      </c>
      <c r="C762" s="38" t="n">
        <f aca="false">SUM(Sens!$H$761:$M$761)</f>
        <v>509.967376494651</v>
      </c>
    </row>
    <row r="763" customFormat="false" ht="17.15" hidden="false" customHeight="false" outlineLevel="0" collapsed="false">
      <c r="A763" s="5" t="s">
        <v>936</v>
      </c>
      <c r="B763" s="0" t="s">
        <v>86</v>
      </c>
      <c r="C763" s="38" t="n">
        <f aca="false">Sens!$M$754*(1+tg)*(1-tg/ronic)/(wacc-tg)</f>
        <v>2661.7249437127</v>
      </c>
    </row>
    <row r="764" customFormat="false" ht="15" hidden="false" customHeight="false" outlineLevel="0" collapsed="false">
      <c r="A764" s="5" t="s">
        <v>937</v>
      </c>
      <c r="B764" s="0" t="s">
        <v>86</v>
      </c>
      <c r="C764" s="38" t="n">
        <f aca="false">Sens!$C$763/(1+wacc)^6</f>
        <v>1397.96388584228</v>
      </c>
    </row>
    <row r="765" customFormat="false" ht="17.15" hidden="false" customHeight="false" outlineLevel="0" collapsed="false">
      <c r="A765" s="5" t="s">
        <v>938</v>
      </c>
      <c r="B765" s="0" t="s">
        <v>86</v>
      </c>
      <c r="C765" s="38" t="n">
        <f aca="false">Sens!$C$762+Sens!$C$764</f>
        <v>1907.93126233693</v>
      </c>
    </row>
    <row r="766" customFormat="false" ht="17.15" hidden="false" customHeight="false" outlineLevel="0" collapsed="false">
      <c r="A766" s="5" t="s">
        <v>939</v>
      </c>
      <c r="B766" s="0" t="s">
        <v>52</v>
      </c>
      <c r="C766" s="13" t="n">
        <f aca="false">Sens!$C$764/Sens!$C$765</f>
        <v>0.732711871459134</v>
      </c>
    </row>
    <row r="767" customFormat="false" ht="17.15" hidden="false" customHeight="false" outlineLevel="0" collapsed="false">
      <c r="A767" s="5" t="s">
        <v>940</v>
      </c>
      <c r="B767" s="0" t="s">
        <v>86</v>
      </c>
      <c r="C767" s="38" t="n">
        <f aca="false">Sens!$G$743+fin_debt</f>
        <v>86.8077777773835</v>
      </c>
    </row>
    <row r="768" customFormat="false" ht="17.15" hidden="false" customHeight="false" outlineLevel="0" collapsed="false">
      <c r="A768" s="5" t="s">
        <v>941</v>
      </c>
      <c r="B768" s="0" t="s">
        <v>86</v>
      </c>
      <c r="C768" s="38" t="n">
        <f aca="false">(ant_val*ant_sh+oai_val*oai_sh)*(1-liq_disc)</f>
        <v>178.944</v>
      </c>
    </row>
    <row r="769" customFormat="false" ht="15" hidden="false" customHeight="false" outlineLevel="0" collapsed="false">
      <c r="A769" s="5" t="s">
        <v>942</v>
      </c>
      <c r="B769" s="0" t="s">
        <v>86</v>
      </c>
      <c r="C769" s="38" t="n">
        <f aca="false">Sens!$C$765-Sens!$C$767+Sens!$C$768</f>
        <v>2000.06748455955</v>
      </c>
    </row>
    <row r="770" customFormat="false" ht="17.15" hidden="false" customHeight="false" outlineLevel="0" collapsed="false">
      <c r="A770" s="5" t="s">
        <v>943</v>
      </c>
      <c r="B770" s="0" t="s">
        <v>27</v>
      </c>
      <c r="C770" s="30" t="n">
        <f aca="false">Sens!$C$769/sh_out</f>
        <v>185.426410223135</v>
      </c>
    </row>
    <row r="771" customFormat="false" ht="17.15" hidden="false" customHeight="false" outlineLevel="0" collapsed="false">
      <c r="A771" s="1" t="s">
        <v>944</v>
      </c>
      <c r="B771" s="8" t="s">
        <v>27</v>
      </c>
      <c r="C771" s="30" t="n">
        <f aca="false">Sens!$C$770*(1+ke)^tp_yf-dps*tp_yf</f>
        <v>203.110313072048</v>
      </c>
    </row>
    <row r="772" customFormat="false" ht="17.15" hidden="false" customHeight="false" outlineLevel="0" collapsed="false">
      <c r="A772" s="3" t="s">
        <v>945</v>
      </c>
    </row>
    <row r="773" customFormat="false" ht="17.15" hidden="false" customHeight="false" outlineLevel="0" collapsed="false">
      <c r="A773" s="5" t="s">
        <v>946</v>
      </c>
      <c r="B773" s="0" t="s">
        <v>86</v>
      </c>
      <c r="C773" s="38" t="n">
        <f aca="false">(1-tp_yf)*(Sens!$H$700+sbc_ab*Sens!$H$724*Sens!$H$561/Sens!$H$641)+tp_yf*(Sens!$I$700+sbc_ab*Sens!$I$724*Sens!$I$561/Sens!$I$641)</f>
        <v>59.634664536349</v>
      </c>
    </row>
    <row r="774" customFormat="false" ht="15" hidden="false" customHeight="false" outlineLevel="0" collapsed="false">
      <c r="A774" s="5" t="s">
        <v>947</v>
      </c>
      <c r="B774" s="0" t="s">
        <v>57</v>
      </c>
      <c r="C774" s="30" t="n">
        <f aca="false">m_ads*m_x</f>
        <v>9.11</v>
      </c>
    </row>
    <row r="775" customFormat="false" ht="17.15" hidden="false" customHeight="false" outlineLevel="0" collapsed="false">
      <c r="A775" s="5" t="s">
        <v>948</v>
      </c>
      <c r="B775" s="0" t="s">
        <v>86</v>
      </c>
      <c r="C775" s="38" t="n">
        <f aca="false">Sens!$C$773*Sens!$C$774</f>
        <v>543.271793926139</v>
      </c>
    </row>
    <row r="776" customFormat="false" ht="17.15" hidden="false" customHeight="false" outlineLevel="0" collapsed="false">
      <c r="A776" s="5" t="s">
        <v>949</v>
      </c>
      <c r="B776" s="0" t="s">
        <v>86</v>
      </c>
      <c r="C776" s="38" t="n">
        <f aca="false">(1-tp_yf)*(Sens!$H$701+sbc_ab*Sens!$H$724*(Sens!$H$568-Sens!$H$561)/Sens!$H$641+IF(internal_ai_reading=2,1,0)*(1-ext_sh)*Sens!$H$598)+tp_yf*(Sens!$I$701+sbc_ab*Sens!$I$724*(Sens!$I$568-Sens!$I$561)/Sens!$I$641+IF(internal_ai_reading=2,1,0)*(1-ext_sh)*Sens!$I$598)</f>
        <v>51.6951811103438</v>
      </c>
    </row>
    <row r="777" customFormat="false" ht="17.15" hidden="false" customHeight="false" outlineLevel="0" collapsed="false">
      <c r="A777" s="5" t="s">
        <v>950</v>
      </c>
      <c r="B777" s="0" t="s">
        <v>57</v>
      </c>
      <c r="C777" s="30" t="n">
        <f aca="false">m_retail*m_x</f>
        <v>17.72</v>
      </c>
    </row>
    <row r="778" customFormat="false" ht="17.15" hidden="false" customHeight="false" outlineLevel="0" collapsed="false">
      <c r="A778" s="5" t="s">
        <v>951</v>
      </c>
      <c r="B778" s="0" t="s">
        <v>86</v>
      </c>
      <c r="C778" s="38" t="n">
        <f aca="false">Sens!$C$776*Sens!$C$777</f>
        <v>916.038609275292</v>
      </c>
    </row>
    <row r="779" customFormat="false" ht="17.15" hidden="false" customHeight="false" outlineLevel="0" collapsed="false">
      <c r="A779" s="0" t="s">
        <v>952</v>
      </c>
      <c r="B779" s="0" t="s">
        <v>86</v>
      </c>
      <c r="C779" s="38" t="n">
        <f aca="false">(1-tp_yf)*(Sens!$H$702+sbc_ab*Sens!$H$724*Sens!$H$639/Sens!$H$641)+tp_yf*(Sens!$I$702+sbc_ab*Sens!$I$724*Sens!$I$639/Sens!$I$641)</f>
        <v>97.2337130506861</v>
      </c>
    </row>
    <row r="780" customFormat="false" ht="17.15" hidden="false" customHeight="false" outlineLevel="0" collapsed="false">
      <c r="A780" s="0" t="s">
        <v>953</v>
      </c>
      <c r="B780" s="0" t="s">
        <v>57</v>
      </c>
      <c r="C780" s="30" t="n">
        <f aca="false">m_cloud*m_x</f>
        <v>13.82</v>
      </c>
    </row>
    <row r="781" customFormat="false" ht="17.15" hidden="false" customHeight="false" outlineLevel="0" collapsed="false">
      <c r="A781" s="0" t="s">
        <v>954</v>
      </c>
      <c r="B781" s="0" t="s">
        <v>86</v>
      </c>
      <c r="C781" s="38" t="n">
        <f aca="false">Sens!$C$779*Sens!$C$780</f>
        <v>1343.76991436048</v>
      </c>
    </row>
    <row r="782" customFormat="false" ht="17.15" hidden="false" customHeight="false" outlineLevel="0" collapsed="false">
      <c r="A782" s="0" t="s">
        <v>955</v>
      </c>
      <c r="B782" s="0" t="s">
        <v>86</v>
      </c>
      <c r="H782" s="38" t="n">
        <f aca="false">Sens!$H$620-tax*Sens!$H$621-ext_sh*Sens!$H$605</f>
        <v>-97.8518652234752</v>
      </c>
      <c r="I782" s="38" t="n">
        <f aca="false">Sens!$I$620-tax*Sens!$I$621-ext_sh*Sens!$I$605</f>
        <v>-52.8478655211219</v>
      </c>
      <c r="J782" s="38" t="n">
        <f aca="false">Sens!$J$620-tax*Sens!$J$621-ext_sh*Sens!$J$605</f>
        <v>-7.39633765189117</v>
      </c>
      <c r="K782" s="38" t="n">
        <f aca="false">Sens!$K$620-tax*Sens!$K$621-ext_sh*Sens!$K$605</f>
        <v>79.3484560561482</v>
      </c>
      <c r="L782" s="38" t="n">
        <f aca="false">Sens!$L$620-tax*Sens!$L$621-ext_sh*Sens!$L$605</f>
        <v>126.395251949574</v>
      </c>
      <c r="M782" s="38" t="n">
        <f aca="false">Sens!$M$620-tax*Sens!$M$621-ext_sh*Sens!$M$605</f>
        <v>140.079622552001</v>
      </c>
    </row>
    <row r="783" customFormat="false" ht="17.15" hidden="false" customHeight="false" outlineLevel="0" collapsed="false">
      <c r="A783" s="5" t="s">
        <v>956</v>
      </c>
      <c r="B783" s="0" t="s">
        <v>86</v>
      </c>
      <c r="H783" s="38" t="n">
        <f aca="false">Sens!$H$782*Sens!$H$760</f>
        <v>-92.7392344672171</v>
      </c>
      <c r="I783" s="38" t="n">
        <f aca="false">Sens!$I$782*Sens!$I$760</f>
        <v>-44.9894460378348</v>
      </c>
      <c r="J783" s="38" t="n">
        <f aca="false">Sens!$J$782*Sens!$J$760</f>
        <v>-5.6557306684528</v>
      </c>
      <c r="K783" s="38" t="n">
        <f aca="false">Sens!$K$782*Sens!$K$760</f>
        <v>54.5003470479868</v>
      </c>
      <c r="L783" s="38" t="n">
        <f aca="false">Sens!$L$782*Sens!$L$760</f>
        <v>77.9794815161877</v>
      </c>
      <c r="M783" s="38" t="n">
        <f aca="false">Sens!$M$782*Sens!$M$760</f>
        <v>77.6270964978146</v>
      </c>
    </row>
    <row r="784" customFormat="false" ht="17.15" hidden="false" customHeight="false" outlineLevel="0" collapsed="false">
      <c r="A784" s="5" t="s">
        <v>957</v>
      </c>
      <c r="B784" s="0" t="s">
        <v>86</v>
      </c>
      <c r="C784" s="38" t="n">
        <f aca="false">Sens!$M$621*(1-tax)*(1+tg)*(1-tg/ronic)/(wacc-tg)</f>
        <v>1124.52647380342</v>
      </c>
    </row>
    <row r="785" customFormat="false" ht="17.15" hidden="false" customHeight="false" outlineLevel="0" collapsed="false">
      <c r="A785" s="0" t="s">
        <v>958</v>
      </c>
      <c r="B785" s="0" t="s">
        <v>86</v>
      </c>
      <c r="C785" s="38" t="n">
        <f aca="false">(SUM(Sens!$I$783:$M$783)+Sens!$C$784/(1+wacc)^6)*(1+wacc)^tp_yf</f>
        <v>819.246695056378</v>
      </c>
    </row>
    <row r="786" customFormat="false" ht="17.15" hidden="false" customHeight="false" outlineLevel="0" collapsed="false">
      <c r="A786" s="5" t="s">
        <v>959</v>
      </c>
      <c r="B786" s="0" t="s">
        <v>86</v>
      </c>
      <c r="C786" s="38" t="n">
        <f aca="false">(1-tp_yf)*(Sens!$H$703)+tp_yf*(Sens!$I$703)</f>
        <v>113.953578280354</v>
      </c>
    </row>
    <row r="787" customFormat="false" ht="17.15" hidden="false" customHeight="false" outlineLevel="0" collapsed="false">
      <c r="A787" s="5" t="s">
        <v>960</v>
      </c>
      <c r="B787" s="0" t="s">
        <v>86</v>
      </c>
      <c r="C787" s="38" t="n">
        <f aca="false">Sens!$C$786*m_ai</f>
        <v>683.721469682122</v>
      </c>
    </row>
    <row r="788" customFormat="false" ht="17.15" hidden="false" customHeight="false" outlineLevel="0" collapsed="false">
      <c r="A788" s="0" t="s">
        <v>961</v>
      </c>
      <c r="B788" s="0" t="s">
        <v>86</v>
      </c>
      <c r="C788" s="38" t="n">
        <f aca="false">IF(ai_leg=1,Sens!$C$785,Sens!$C$787)</f>
        <v>819.246695056378</v>
      </c>
    </row>
    <row r="789" customFormat="false" ht="17.15" hidden="false" customHeight="false" outlineLevel="0" collapsed="false">
      <c r="A789" s="5" t="s">
        <v>962</v>
      </c>
      <c r="B789" s="0" t="s">
        <v>86</v>
      </c>
      <c r="C789" s="38" t="n">
        <f aca="false">Sens!$C$775+Sens!$C$778+Sens!$C$781+Sens!$C$788</f>
        <v>3622.32701261829</v>
      </c>
    </row>
    <row r="790" customFormat="false" ht="17.15" hidden="false" customHeight="false" outlineLevel="0" collapsed="false">
      <c r="A790" s="5" t="s">
        <v>963</v>
      </c>
      <c r="B790" s="0" t="s">
        <v>86</v>
      </c>
      <c r="C790" s="38" t="n">
        <f aca="false">Sens!$H$743+fin_debt</f>
        <v>122.737881611819</v>
      </c>
    </row>
    <row r="791" customFormat="false" ht="15" hidden="false" customHeight="false" outlineLevel="0" collapsed="false">
      <c r="A791" s="5" t="s">
        <v>964</v>
      </c>
      <c r="B791" s="0" t="s">
        <v>86</v>
      </c>
      <c r="C791" s="38" t="n">
        <f aca="false">Sens!$C$789-Sens!$C$790+Sens!$C$768</f>
        <v>3678.53313100647</v>
      </c>
    </row>
    <row r="792" customFormat="false" ht="15" hidden="false" customHeight="false" outlineLevel="0" collapsed="false">
      <c r="A792" s="3" t="s">
        <v>965</v>
      </c>
      <c r="B792" s="8" t="s">
        <v>27</v>
      </c>
      <c r="C792" s="30" t="n">
        <f aca="false">Sens!$C$791/sh_val</f>
        <v>333.49305658991</v>
      </c>
    </row>
    <row r="793" customFormat="false" ht="17.15" hidden="false" customHeight="false" outlineLevel="0" collapsed="false">
      <c r="A793" s="47" t="s">
        <v>966</v>
      </c>
      <c r="B793" s="14" t="s">
        <v>27</v>
      </c>
      <c r="C793" s="44" t="n">
        <f aca="false">w_dcf*Sens!$C$771+(1-w_dcf)*Sens!$C$792</f>
        <v>268.301684830979</v>
      </c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</row>
    <row r="794" customFormat="false" ht="17.15" hidden="false" customHeight="false" outlineLevel="0" collapsed="false">
      <c r="A794" s="5" t="s">
        <v>967</v>
      </c>
      <c r="B794" s="0" t="s">
        <v>27</v>
      </c>
      <c r="C794" s="30" t="n">
        <f aca="false">v022_wdcf*Sens!$C$771+(1-v022_wdcf)*Sens!$C$792</f>
        <v>274.820822006872</v>
      </c>
    </row>
    <row r="795" customFormat="false" ht="17.15" hidden="false" customHeight="false" outlineLevel="0" collapsed="false">
      <c r="A795" s="5" t="s">
        <v>968</v>
      </c>
      <c r="B795" s="0" t="s">
        <v>27</v>
      </c>
      <c r="C795" s="30" t="n">
        <f aca="false">(Sens!$C$791-Sens!$C$788+Sens!$C$787)/sh_val</f>
        <v>321.206441233877</v>
      </c>
    </row>
    <row r="798" customFormat="false" ht="19.4" hidden="false" customHeight="false" outlineLevel="0" collapsed="false">
      <c r="A798" s="31" t="s">
        <v>1167</v>
      </c>
    </row>
    <row r="799" customFormat="false" ht="17.15" hidden="false" customHeight="false" outlineLevel="0" collapsed="false">
      <c r="A799" s="6" t="s">
        <v>16</v>
      </c>
      <c r="B799" s="6" t="s">
        <v>17</v>
      </c>
      <c r="C799" s="20" t="s">
        <v>504</v>
      </c>
      <c r="D799" s="20" t="s">
        <v>505</v>
      </c>
      <c r="E799" s="20" t="s">
        <v>587</v>
      </c>
      <c r="F799" s="20" t="s">
        <v>588</v>
      </c>
      <c r="G799" s="20" t="s">
        <v>589</v>
      </c>
      <c r="H799" s="20" t="s">
        <v>590</v>
      </c>
      <c r="I799" s="20" t="s">
        <v>591</v>
      </c>
      <c r="J799" s="20" t="s">
        <v>592</v>
      </c>
      <c r="K799" s="20" t="s">
        <v>593</v>
      </c>
      <c r="L799" s="20" t="s">
        <v>594</v>
      </c>
      <c r="M799" s="20" t="s">
        <v>595</v>
      </c>
      <c r="N799" s="20" t="s">
        <v>596</v>
      </c>
      <c r="O799" s="20" t="s">
        <v>597</v>
      </c>
      <c r="P799" s="6" t="s">
        <v>23</v>
      </c>
      <c r="R799" s="20" t="n">
        <v>2023</v>
      </c>
      <c r="S799" s="20" t="n">
        <v>2024</v>
      </c>
      <c r="T799" s="20" t="n">
        <v>2025</v>
      </c>
      <c r="U799" s="20" t="n">
        <v>2026</v>
      </c>
      <c r="V799" s="20" t="n">
        <v>2027</v>
      </c>
      <c r="W799" s="20" t="n">
        <v>2028</v>
      </c>
      <c r="X799" s="20" t="n">
        <v>2029</v>
      </c>
      <c r="Y799" s="20" t="n">
        <v>2030</v>
      </c>
      <c r="Z799" s="20" t="n">
        <v>2031</v>
      </c>
      <c r="AA799" s="20" t="n">
        <v>2032</v>
      </c>
    </row>
    <row r="800" customFormat="false" ht="17.15" hidden="false" customHeight="false" outlineLevel="0" collapsed="false">
      <c r="A800" s="1" t="s">
        <v>677</v>
      </c>
    </row>
    <row r="801" customFormat="false" ht="17.15" hidden="false" customHeight="false" outlineLevel="0" collapsed="false">
      <c r="A801" s="0" t="s">
        <v>526</v>
      </c>
      <c r="B801" s="0" t="s">
        <v>86</v>
      </c>
      <c r="C801" s="38" t="n">
        <f aca="false">Q!$D$10</f>
        <v>247.029</v>
      </c>
      <c r="D801" s="38" t="n">
        <f aca="false">Q!$E$10</f>
        <v>269.287</v>
      </c>
      <c r="E801" s="38" t="n">
        <f aca="false">Q!$P$10</f>
        <v>134.686</v>
      </c>
      <c r="F801" s="38" t="n">
        <f aca="false">Sens!$O$801*(1+Sens!$F$802)*Sens!$F$813</f>
        <v>158.293876822267</v>
      </c>
      <c r="G801" s="38" t="n">
        <f aca="false">Sens!$E$801+Sens!$F$801</f>
        <v>292.979876822267</v>
      </c>
      <c r="H801" s="38" t="n">
        <f aca="false">Sens!$G$801*(1+Sens!$H$802)</f>
        <v>318.184543087396</v>
      </c>
      <c r="I801" s="38" t="n">
        <f aca="false">Sens!$H$801*(1+Sens!$I$802)</f>
        <v>341.736278761793</v>
      </c>
      <c r="J801" s="38" t="n">
        <f aca="false">Sens!$I$801*(1+Sens!$J$802)</f>
        <v>362.927192787048</v>
      </c>
      <c r="K801" s="38" t="n">
        <f aca="false">Sens!$J$801*(1+Sens!$K$802)</f>
        <v>381.0735524264</v>
      </c>
      <c r="L801" s="38" t="n">
        <f aca="false">Sens!$K$801*(1+Sens!$L$802)</f>
        <v>400.12723004772</v>
      </c>
      <c r="M801" s="38" t="n">
        <f aca="false">Sens!$L$801*(1+Sens!$M$802)</f>
        <v>420.133591550106</v>
      </c>
      <c r="N801" s="38" t="n">
        <f aca="false">Q!$N$10</f>
        <v>118.892</v>
      </c>
      <c r="O801" s="38" t="n">
        <f aca="false">Q!$O$10</f>
        <v>150.395</v>
      </c>
      <c r="P801" s="8" t="s">
        <v>678</v>
      </c>
    </row>
    <row r="802" customFormat="false" ht="17.15" hidden="false" customHeight="false" outlineLevel="0" collapsed="false">
      <c r="A802" s="0" t="s">
        <v>679</v>
      </c>
      <c r="B802" s="0" t="s">
        <v>52</v>
      </c>
      <c r="E802" s="13" t="n">
        <f aca="false">Sens!$E$801/Sens!$N$801-1</f>
        <v>0.132843252699929</v>
      </c>
      <c r="F802" s="13" t="n">
        <f aca="false">Sens!$O$801/(Q!$F$10+Q!$G$10)-1</f>
        <v>0.0980382135842941</v>
      </c>
      <c r="G802" s="13" t="n">
        <f aca="false">Sens!$G$801/Sens!$D$801-1</f>
        <v>0.0879837378791657</v>
      </c>
      <c r="H802" s="13" t="n">
        <f aca="false">Sens!$F$802+(g_os-Sens!$F$802)*1/4</f>
        <v>0.0860286601882206</v>
      </c>
      <c r="I802" s="13" t="n">
        <f aca="false">Sens!$F$802+(g_os-Sens!$F$802)*2/4</f>
        <v>0.074019106792147</v>
      </c>
      <c r="J802" s="13" t="n">
        <f aca="false">Sens!$F$802+(g_os-Sens!$F$802)*3/4</f>
        <v>0.0620095533960735</v>
      </c>
      <c r="K802" s="13" t="n">
        <f aca="false">Sens!$F$802+(g_os-Sens!$F$802)*4/4</f>
        <v>0.05</v>
      </c>
      <c r="L802" s="13" t="n">
        <f aca="false">g_os</f>
        <v>0.05</v>
      </c>
      <c r="M802" s="13" t="n">
        <f aca="false">g_os</f>
        <v>0.05</v>
      </c>
      <c r="P802" s="8" t="s">
        <v>680</v>
      </c>
    </row>
    <row r="803" customFormat="false" ht="17.15" hidden="false" customHeight="false" outlineLevel="0" collapsed="false">
      <c r="A803" s="0" t="s">
        <v>527</v>
      </c>
      <c r="B803" s="0" t="s">
        <v>86</v>
      </c>
      <c r="C803" s="38" t="n">
        <f aca="false">Q!$D$11</f>
        <v>21.215</v>
      </c>
      <c r="D803" s="38" t="n">
        <f aca="false">Q!$E$11</f>
        <v>22.561</v>
      </c>
      <c r="E803" s="38" t="n">
        <f aca="false">Q!$P$11</f>
        <v>11.579</v>
      </c>
      <c r="F803" s="38" t="n">
        <f aca="false">Sens!$O$803*(1+Sens!$F$804)*Sens!$F$813</f>
        <v>11.5938724610325</v>
      </c>
      <c r="G803" s="38" t="n">
        <f aca="false">Sens!$E$803+Sens!$F$803</f>
        <v>23.1728724610325</v>
      </c>
      <c r="H803" s="38" t="n">
        <f aca="false">Sens!$G$803*(1+Sens!$H$804)</f>
        <v>24.353392759506</v>
      </c>
      <c r="I803" s="38" t="n">
        <f aca="false">Sens!$H$803*(1+Sens!$I$804)</f>
        <v>25.4240338872015</v>
      </c>
      <c r="J803" s="38" t="n">
        <f aca="false">Sens!$I$803*(1+Sens!$J$804)</f>
        <v>26.3642491017174</v>
      </c>
      <c r="K803" s="38" t="n">
        <f aca="false">Sens!$J$803*(1+Sens!$K$804)</f>
        <v>27.155176574769</v>
      </c>
      <c r="L803" s="38" t="n">
        <f aca="false">Sens!$K$803*(1+Sens!$L$804)</f>
        <v>27.969831872012</v>
      </c>
      <c r="M803" s="38" t="n">
        <f aca="false">Sens!$L$803*(1+Sens!$M$804)</f>
        <v>28.8089268281724</v>
      </c>
      <c r="N803" s="38" t="n">
        <f aca="false">Q!$N$11</f>
        <v>11.128</v>
      </c>
      <c r="O803" s="38" t="n">
        <f aca="false">Q!$O$11</f>
        <v>11.433</v>
      </c>
      <c r="P803" s="8" t="s">
        <v>678</v>
      </c>
    </row>
    <row r="804" customFormat="false" ht="17.15" hidden="false" customHeight="false" outlineLevel="0" collapsed="false">
      <c r="A804" s="0" t="s">
        <v>681</v>
      </c>
      <c r="B804" s="0" t="s">
        <v>52</v>
      </c>
      <c r="E804" s="13" t="n">
        <f aca="false">Sens!$E$803/Sens!$N$803-1</f>
        <v>0.0405283968368082</v>
      </c>
      <c r="F804" s="13" t="n">
        <f aca="false">Sens!$O$803/(Q!$F$11+Q!$G$11)-1</f>
        <v>0.0579254187100955</v>
      </c>
      <c r="G804" s="13" t="n">
        <f aca="false">Sens!$G$803/Sens!$D$803-1</f>
        <v>0.0271208040881397</v>
      </c>
      <c r="H804" s="13" t="n">
        <f aca="false">Sens!$F$804+(g_ps-Sens!$F$804)*1/4</f>
        <v>0.0509440640325716</v>
      </c>
      <c r="I804" s="13" t="n">
        <f aca="false">Sens!$F$804+(g_ps-Sens!$F$804)*2/4</f>
        <v>0.0439627093550477</v>
      </c>
      <c r="J804" s="13" t="n">
        <f aca="false">Sens!$F$804+(g_ps-Sens!$F$804)*3/4</f>
        <v>0.0369813546775239</v>
      </c>
      <c r="K804" s="13" t="n">
        <f aca="false">Sens!$F$804+(g_ps-Sens!$F$804)*4/4</f>
        <v>0.03</v>
      </c>
      <c r="L804" s="13" t="n">
        <f aca="false">g_ps</f>
        <v>0.03</v>
      </c>
      <c r="M804" s="13" t="n">
        <f aca="false">g_ps</f>
        <v>0.03</v>
      </c>
      <c r="P804" s="8" t="s">
        <v>682</v>
      </c>
    </row>
    <row r="805" customFormat="false" ht="17.15" hidden="false" customHeight="false" outlineLevel="0" collapsed="false">
      <c r="A805" s="0" t="s">
        <v>528</v>
      </c>
      <c r="B805" s="0" t="s">
        <v>86</v>
      </c>
      <c r="C805" s="38" t="n">
        <f aca="false">Q!$D$12</f>
        <v>156.146</v>
      </c>
      <c r="D805" s="38" t="n">
        <f aca="false">Q!$E$12</f>
        <v>172.162</v>
      </c>
      <c r="E805" s="38" t="n">
        <f aca="false">Q!$P$12</f>
        <v>88.358</v>
      </c>
      <c r="F805" s="38" t="n">
        <f aca="false">Sens!$O$805*(1+Sens!$F$806)*Sens!$F$813</f>
        <v>102.004388260171</v>
      </c>
      <c r="G805" s="38" t="n">
        <f aca="false">Sens!$E$805+Sens!$F$805</f>
        <v>190.362388260171</v>
      </c>
      <c r="H805" s="38" t="n">
        <f aca="false">Sens!$G$805*(1+Sens!$H$806)</f>
        <v>210.343106588311</v>
      </c>
      <c r="I805" s="38" t="n">
        <f aca="false">Sens!$H$805*(1+Sens!$I$806)</f>
        <v>229.969728494648</v>
      </c>
      <c r="J805" s="38" t="n">
        <f aca="false">Sens!$I$805*(1+Sens!$J$806)</f>
        <v>248.747636972598</v>
      </c>
      <c r="K805" s="38" t="n">
        <f aca="false">Sens!$J$805*(1+Sens!$K$806)</f>
        <v>266.15997156068</v>
      </c>
      <c r="L805" s="38" t="n">
        <f aca="false">Sens!$K$805*(1+Sens!$L$806)</f>
        <v>284.791169569927</v>
      </c>
      <c r="M805" s="38" t="n">
        <f aca="false">Sens!$L$805*(1+Sens!$M$806)</f>
        <v>304.726551439822</v>
      </c>
      <c r="N805" s="38" t="n">
        <f aca="false">Q!$N$12</f>
        <v>76.86</v>
      </c>
      <c r="O805" s="38" t="n">
        <f aca="false">Q!$O$12</f>
        <v>95.302</v>
      </c>
      <c r="P805" s="8" t="s">
        <v>678</v>
      </c>
    </row>
    <row r="806" customFormat="false" ht="17.15" hidden="false" customHeight="false" outlineLevel="0" collapsed="false">
      <c r="A806" s="0" t="s">
        <v>683</v>
      </c>
      <c r="B806" s="0" t="s">
        <v>52</v>
      </c>
      <c r="E806" s="13" t="n">
        <f aca="false">Sens!$E$805/Sens!$N$805-1</f>
        <v>0.1495966692688</v>
      </c>
      <c r="F806" s="13" t="n">
        <f aca="false">Sens!$O$805/(Q!$F$12+Q!$G$12)-1</f>
        <v>0.11661530890813</v>
      </c>
      <c r="G806" s="13" t="n">
        <f aca="false">Sens!$G$805/Sens!$D$805-1</f>
        <v>0.105716640490767</v>
      </c>
      <c r="H806" s="13" t="n">
        <f aca="false">Sens!$F$806+(g_sp-Sens!$F$806)*1/4</f>
        <v>0.104961481681098</v>
      </c>
      <c r="I806" s="13" t="n">
        <f aca="false">Sens!$F$806+(g_sp-Sens!$F$806)*2/4</f>
        <v>0.0933076544540651</v>
      </c>
      <c r="J806" s="13" t="n">
        <f aca="false">Sens!$F$806+(g_sp-Sens!$F$806)*3/4</f>
        <v>0.0816538272270325</v>
      </c>
      <c r="K806" s="13" t="n">
        <f aca="false">Sens!$F$806+(g_sp-Sens!$F$806)*4/4</f>
        <v>0.07</v>
      </c>
      <c r="L806" s="13" t="n">
        <f aca="false">g_sp</f>
        <v>0.07</v>
      </c>
      <c r="M806" s="13" t="n">
        <f aca="false">g_sp</f>
        <v>0.07</v>
      </c>
      <c r="P806" s="8" t="s">
        <v>684</v>
      </c>
    </row>
    <row r="807" customFormat="false" ht="17.15" hidden="false" customHeight="false" outlineLevel="0" collapsed="false">
      <c r="A807" s="0" t="s">
        <v>529</v>
      </c>
      <c r="B807" s="0" t="s">
        <v>86</v>
      </c>
      <c r="C807" s="38" t="n">
        <f aca="false">Q!$D$13</f>
        <v>56.214</v>
      </c>
      <c r="D807" s="38" t="n">
        <f aca="false">Q!$E$13</f>
        <v>68.635</v>
      </c>
      <c r="E807" s="38" t="n">
        <f aca="false">Q!$P$13</f>
        <v>37.052</v>
      </c>
      <c r="F807" s="38" t="n">
        <f aca="false">Sens!$O$807*(1+Sens!$F$808)*Sens!$F$813</f>
        <v>46.1572219944148</v>
      </c>
      <c r="G807" s="38" t="n">
        <f aca="false">Sens!$E$807+Sens!$F$807</f>
        <v>83.2092219944148</v>
      </c>
      <c r="H807" s="38" t="n">
        <f aca="false">Sens!$G$807*(1+Sens!$H$808)</f>
        <v>99.8969223878976</v>
      </c>
      <c r="I807" s="38" t="n">
        <f aca="false">Sens!$H$807*(1+Sens!$I$808)</f>
        <v>116.583111095496</v>
      </c>
      <c r="J807" s="38" t="n">
        <f aca="false">Sens!$I$807*(1+Sens!$J$808)</f>
        <v>132.148941941952</v>
      </c>
      <c r="K807" s="38" t="n">
        <f aca="false">Sens!$J$807*(1+Sens!$K$808)</f>
        <v>145.363836136147</v>
      </c>
      <c r="L807" s="38" t="n">
        <f aca="false">Sens!$K$807*(1+Sens!$L$808)</f>
        <v>159.900219749762</v>
      </c>
      <c r="M807" s="38" t="n">
        <f aca="false">Sens!$L$807*(1+Sens!$M$808)</f>
        <v>175.890241724738</v>
      </c>
      <c r="N807" s="38" t="n">
        <f aca="false">Q!$N$13</f>
        <v>29.615</v>
      </c>
      <c r="O807" s="38" t="n">
        <f aca="false">Q!$O$13</f>
        <v>39.02</v>
      </c>
      <c r="P807" s="8" t="s">
        <v>678</v>
      </c>
    </row>
    <row r="808" customFormat="false" ht="17.15" hidden="false" customHeight="false" outlineLevel="0" collapsed="false">
      <c r="A808" s="0" t="s">
        <v>685</v>
      </c>
      <c r="B808" s="0" t="s">
        <v>52</v>
      </c>
      <c r="E808" s="13" t="n">
        <f aca="false">Sens!$E$807/Sens!$N$807-1</f>
        <v>0.25112274185379</v>
      </c>
      <c r="F808" s="13" t="n">
        <f aca="false">Sens!$O$807/(Q!$F$13+Q!$G$13)-1</f>
        <v>0.234068123596572</v>
      </c>
      <c r="G808" s="13" t="n">
        <f aca="false">Sens!$G$807/Sens!$D$807-1</f>
        <v>0.212343876949294</v>
      </c>
      <c r="H808" s="13" t="n">
        <f aca="false">Sens!$F$808+(g_ad-Sens!$F$808)*1/4</f>
        <v>0.200551092697429</v>
      </c>
      <c r="I808" s="13" t="n">
        <f aca="false">Sens!$F$808+(g_ad-Sens!$F$808)*2/4</f>
        <v>0.167034061798286</v>
      </c>
      <c r="J808" s="13" t="n">
        <f aca="false">Sens!$F$808+(g_ad-Sens!$F$808)*3/4</f>
        <v>0.133517030899143</v>
      </c>
      <c r="K808" s="13" t="n">
        <f aca="false">Sens!$F$808+(g_ad-Sens!$F$808)*4/4</f>
        <v>0.1</v>
      </c>
      <c r="L808" s="13" t="n">
        <f aca="false">g_ad</f>
        <v>0.1</v>
      </c>
      <c r="M808" s="13" t="n">
        <f aca="false">g_ad</f>
        <v>0.1</v>
      </c>
      <c r="P808" s="8" t="s">
        <v>686</v>
      </c>
    </row>
    <row r="809" customFormat="false" ht="17.15" hidden="false" customHeight="false" outlineLevel="0" collapsed="false">
      <c r="A809" s="0" t="s">
        <v>530</v>
      </c>
      <c r="B809" s="0" t="s">
        <v>86</v>
      </c>
      <c r="C809" s="38" t="n">
        <f aca="false">Q!$D$14</f>
        <v>44.374</v>
      </c>
      <c r="D809" s="38" t="n">
        <f aca="false">Q!$E$14</f>
        <v>49.619</v>
      </c>
      <c r="E809" s="38" t="n">
        <f aca="false">Q!$P$14</f>
        <v>27.157</v>
      </c>
      <c r="F809" s="38" t="n">
        <f aca="false">Sens!$O$809*(1+Sens!$F$810)*Sens!$F$813</f>
        <v>27.7764165988154</v>
      </c>
      <c r="G809" s="38" t="n">
        <f aca="false">Sens!$E$809+Sens!$F$809</f>
        <v>54.9334165988154</v>
      </c>
      <c r="H809" s="38" t="n">
        <f aca="false">Sens!$G$809*(1+Sens!$H$810)</f>
        <v>61.1564112561829</v>
      </c>
      <c r="I809" s="38" t="n">
        <f aca="false">Sens!$H$809*(1+Sens!$I$810)</f>
        <v>67.2020282103945</v>
      </c>
      <c r="J809" s="38" t="n">
        <f aca="false">Sens!$I$809*(1+Sens!$J$810)</f>
        <v>72.8757274028885</v>
      </c>
      <c r="K809" s="38" t="n">
        <f aca="false">Sens!$J$809*(1+Sens!$K$810)</f>
        <v>77.9770283210907</v>
      </c>
      <c r="L809" s="38" t="n">
        <f aca="false">Sens!$K$809*(1+Sens!$L$810)</f>
        <v>83.4354203035671</v>
      </c>
      <c r="M809" s="38" t="n">
        <f aca="false">Sens!$L$809*(1+Sens!$M$810)</f>
        <v>89.2758997248168</v>
      </c>
      <c r="N809" s="38" t="n">
        <f aca="false">Q!$N$14</f>
        <v>23.923</v>
      </c>
      <c r="O809" s="38" t="n">
        <f aca="false">Q!$O$14</f>
        <v>25.696</v>
      </c>
      <c r="P809" s="8" t="s">
        <v>678</v>
      </c>
    </row>
    <row r="810" customFormat="false" ht="17.15" hidden="false" customHeight="false" outlineLevel="0" collapsed="false">
      <c r="A810" s="0" t="s">
        <v>687</v>
      </c>
      <c r="B810" s="0" t="s">
        <v>52</v>
      </c>
      <c r="E810" s="13" t="n">
        <f aca="false">Sens!$E$809/Sens!$N$809-1</f>
        <v>0.135183714417088</v>
      </c>
      <c r="F810" s="13" t="n">
        <f aca="false">Sens!$O$809/(Q!$F$14+Q!$G$14)-1</f>
        <v>0.127709997366804</v>
      </c>
      <c r="G810" s="13" t="n">
        <f aca="false">Sens!$G$809/Sens!$D$809-1</f>
        <v>0.107104468022641</v>
      </c>
      <c r="H810" s="13" t="n">
        <f aca="false">Sens!$F$810+(g_sub-Sens!$F$810)*1/4</f>
        <v>0.113282498025103</v>
      </c>
      <c r="I810" s="13" t="n">
        <f aca="false">Sens!$F$810+(g_sub-Sens!$F$810)*2/4</f>
        <v>0.0988549986834021</v>
      </c>
      <c r="J810" s="13" t="n">
        <f aca="false">Sens!$F$810+(g_sub-Sens!$F$810)*3/4</f>
        <v>0.084427499341701</v>
      </c>
      <c r="K810" s="13" t="n">
        <f aca="false">Sens!$F$810+(g_sub-Sens!$F$810)*4/4</f>
        <v>0.07</v>
      </c>
      <c r="L810" s="13" t="n">
        <f aca="false">g_sub</f>
        <v>0.07</v>
      </c>
      <c r="M810" s="13" t="n">
        <f aca="false">g_sub</f>
        <v>0.07</v>
      </c>
      <c r="P810" s="8" t="s">
        <v>688</v>
      </c>
    </row>
    <row r="811" customFormat="false" ht="17.15" hidden="false" customHeight="false" outlineLevel="0" collapsed="false">
      <c r="A811" s="0" t="s">
        <v>531</v>
      </c>
      <c r="B811" s="0" t="s">
        <v>86</v>
      </c>
      <c r="C811" s="38" t="n">
        <f aca="false">Q!$D$15</f>
        <v>5.425</v>
      </c>
      <c r="D811" s="38" t="n">
        <f aca="false">Q!$E$15</f>
        <v>5.935</v>
      </c>
      <c r="E811" s="38" t="n">
        <f aca="false">Q!$P$15</f>
        <v>3.474</v>
      </c>
      <c r="F811" s="38" t="n">
        <f aca="false">Sens!$O$811*(1+Sens!$F$812)*Sens!$F$813</f>
        <v>3.22246550883619</v>
      </c>
      <c r="G811" s="38" t="n">
        <f aca="false">Sens!$E$811+Sens!$F$811</f>
        <v>6.69646550883619</v>
      </c>
      <c r="H811" s="38" t="n">
        <f aca="false">Sens!$G$811*(1+Sens!$H$812)</f>
        <v>7.16251344209196</v>
      </c>
      <c r="I811" s="38" t="n">
        <f aca="false">Sens!$H$811*(1+Sens!$I$812)</f>
        <v>7.61421070299826</v>
      </c>
      <c r="J811" s="38" t="n">
        <f aca="false">Sens!$I$811*(1+Sens!$J$812)</f>
        <v>8.04465753523932</v>
      </c>
      <c r="K811" s="38" t="n">
        <f aca="false">Sens!$J$811*(1+Sens!$K$812)</f>
        <v>8.44689041200128</v>
      </c>
      <c r="L811" s="38" t="n">
        <f aca="false">Sens!$K$811*(1+Sens!$L$812)</f>
        <v>8.86923493260135</v>
      </c>
      <c r="M811" s="38" t="n">
        <f aca="false">Sens!$L$811*(1+Sens!$M$812)</f>
        <v>9.31269667923142</v>
      </c>
      <c r="N811" s="38" t="n">
        <f aca="false">Q!$N$15</f>
        <v>2.811</v>
      </c>
      <c r="O811" s="38" t="n">
        <f aca="false">Q!$O$15</f>
        <v>3.124</v>
      </c>
      <c r="P811" s="8" t="s">
        <v>678</v>
      </c>
    </row>
    <row r="812" customFormat="false" ht="17.15" hidden="false" customHeight="false" outlineLevel="0" collapsed="false">
      <c r="A812" s="0" t="s">
        <v>689</v>
      </c>
      <c r="B812" s="0" t="s">
        <v>52</v>
      </c>
      <c r="E812" s="13" t="n">
        <f aca="false">Sens!$E$811/Sens!$N$811-1</f>
        <v>0.235859124866596</v>
      </c>
      <c r="F812" s="13" t="n">
        <f aca="false">Sens!$O$811/(Q!$F$15+Q!$G$15)-1</f>
        <v>0.0761281433000345</v>
      </c>
      <c r="G812" s="13" t="n">
        <f aca="false">Sens!$G$811/Sens!$D$811-1</f>
        <v>0.128300843948811</v>
      </c>
      <c r="H812" s="13" t="n">
        <f aca="false">Sens!$F$812+(g_ot-Sens!$F$812)*1/4</f>
        <v>0.0695961074750259</v>
      </c>
      <c r="I812" s="13" t="n">
        <f aca="false">Sens!$F$812+(g_ot-Sens!$F$812)*2/4</f>
        <v>0.0630640716500172</v>
      </c>
      <c r="J812" s="13" t="n">
        <f aca="false">Sens!$F$812+(g_ot-Sens!$F$812)*3/4</f>
        <v>0.0565320358250086</v>
      </c>
      <c r="K812" s="13" t="n">
        <f aca="false">Sens!$F$812+(g_ot-Sens!$F$812)*4/4</f>
        <v>0.05</v>
      </c>
      <c r="L812" s="13" t="n">
        <f aca="false">g_ot</f>
        <v>0.05</v>
      </c>
      <c r="M812" s="13" t="n">
        <f aca="false">g_ot</f>
        <v>0.05</v>
      </c>
      <c r="P812" s="8" t="s">
        <v>690</v>
      </c>
    </row>
    <row r="813" customFormat="false" ht="17.15" hidden="false" customHeight="false" outlineLevel="0" collapsed="false">
      <c r="A813" s="0" t="s">
        <v>691</v>
      </c>
      <c r="B813" s="0" t="s">
        <v>57</v>
      </c>
      <c r="F813" s="40" t="n">
        <f aca="false">(g26q3_mid*Q!$O$8/Q!$J$8-Thesis!$F$89-Thesis!$F$93)/(Sens!$O$801*(1+Sens!$F$802)+Sens!$O$803*(1+Sens!$F$804)+Sens!$O$805*(1+Sens!$F$806)+Sens!$O$807*(1+Sens!$F$808)+Sens!$O$809*(1+Sens!$F$810)+Sens!$O$811*(1+Sens!$F$812))</f>
        <v>0.958546670622329</v>
      </c>
      <c r="P813" s="8" t="s">
        <v>692</v>
      </c>
    </row>
    <row r="814" customFormat="false" ht="17.15" hidden="false" customHeight="false" outlineLevel="0" collapsed="false">
      <c r="A814" s="3" t="s">
        <v>693</v>
      </c>
      <c r="B814" s="8" t="s">
        <v>86</v>
      </c>
      <c r="C814" s="38" t="n">
        <f aca="false">Sens!$C$801+Sens!$C$803+Sens!$C$805+Sens!$C$807+Sens!$C$809+Sens!$C$811</f>
        <v>530.403</v>
      </c>
      <c r="D814" s="38" t="n">
        <f aca="false">Sens!$D$801+Sens!$D$803+Sens!$D$805+Sens!$D$807+Sens!$D$809+Sens!$D$811</f>
        <v>588.199</v>
      </c>
      <c r="E814" s="38" t="n">
        <f aca="false">Sens!$E$801+Sens!$E$803+Sens!$E$805+Sens!$E$807+Sens!$E$809+Sens!$E$811</f>
        <v>302.306</v>
      </c>
      <c r="F814" s="38" t="n">
        <f aca="false">Sens!$F$801+Sens!$F$803+Sens!$F$805+Sens!$F$807+Sens!$F$809+Sens!$F$811</f>
        <v>349.048241645537</v>
      </c>
      <c r="G814" s="38" t="n">
        <f aca="false">Sens!$G$801+Sens!$G$803+Sens!$G$805+Sens!$G$807+Sens!$G$809+Sens!$G$811</f>
        <v>651.354241645537</v>
      </c>
      <c r="H814" s="38" t="n">
        <f aca="false">Sens!$H$801+Sens!$H$803+Sens!$H$805+Sens!$H$807+Sens!$H$809+Sens!$H$811</f>
        <v>721.096889521386</v>
      </c>
      <c r="I814" s="38" t="n">
        <f aca="false">Sens!$I$801+Sens!$I$803+Sens!$I$805+Sens!$I$807+Sens!$I$809+Sens!$I$811</f>
        <v>788.529391152531</v>
      </c>
      <c r="J814" s="38" t="n">
        <f aca="false">Sens!$J$801+Sens!$J$803+Sens!$J$805+Sens!$J$807+Sens!$J$809+Sens!$J$811</f>
        <v>851.108405741443</v>
      </c>
      <c r="K814" s="38" t="n">
        <f aca="false">Sens!$K$801+Sens!$K$803+Sens!$K$805+Sens!$K$807+Sens!$K$809+Sens!$K$811</f>
        <v>906.176455431088</v>
      </c>
      <c r="L814" s="38" t="n">
        <f aca="false">Sens!$L$801+Sens!$L$803+Sens!$L$805+Sens!$L$807+Sens!$L$809+Sens!$L$811</f>
        <v>965.093106475589</v>
      </c>
      <c r="M814" s="38" t="n">
        <f aca="false">Sens!$M$801+Sens!$M$803+Sens!$M$805+Sens!$M$807+Sens!$M$809+Sens!$M$811</f>
        <v>1028.14790794689</v>
      </c>
      <c r="N814" s="38" t="n">
        <f aca="false">Sens!$N$801+Sens!$N$803+Sens!$N$805+Sens!$N$807+Sens!$N$809+Sens!$N$811</f>
        <v>263.229</v>
      </c>
      <c r="O814" s="38" t="n">
        <f aca="false">Sens!$O$801+Sens!$O$803+Sens!$O$805+Sens!$O$807+Sens!$O$809+Sens!$O$811</f>
        <v>324.97</v>
      </c>
    </row>
    <row r="815" customFormat="false" ht="17.15" hidden="false" customHeight="false" outlineLevel="0" collapsed="false">
      <c r="A815" s="5" t="s">
        <v>694</v>
      </c>
      <c r="B815" s="0" t="s">
        <v>52</v>
      </c>
      <c r="C815" s="13" t="n">
        <f aca="false">Q!$D$5/(Q!$D$5+Q!$D$6)</f>
        <v>0.730570905519011</v>
      </c>
      <c r="D815" s="13" t="n">
        <f aca="false">Q!$E$5/(Q!$E$5+Q!$E$6)</f>
        <v>0.724763217890544</v>
      </c>
      <c r="E815" s="13" t="n">
        <f aca="false">Q!$P$5/(Q!$P$5+Q!$P$6)</f>
        <v>0.728797972914861</v>
      </c>
      <c r="F815" s="13" t="n">
        <f aca="false">Sens!$O$815</f>
        <v>0.718066283041511</v>
      </c>
      <c r="G815" s="13" t="n">
        <f aca="false">Sens!$G$816/Sens!$G$814</f>
        <v>0.723047066202847</v>
      </c>
      <c r="H815" s="13" t="n">
        <f aca="false">Sens!$G$815</f>
        <v>0.723047066202847</v>
      </c>
      <c r="I815" s="13" t="n">
        <f aca="false">Sens!$G$815</f>
        <v>0.723047066202847</v>
      </c>
      <c r="J815" s="13" t="n">
        <f aca="false">Sens!$G$815</f>
        <v>0.723047066202847</v>
      </c>
      <c r="K815" s="13" t="n">
        <f aca="false">Sens!$G$815</f>
        <v>0.723047066202847</v>
      </c>
      <c r="L815" s="13" t="n">
        <f aca="false">Sens!$G$815</f>
        <v>0.723047066202847</v>
      </c>
      <c r="M815" s="13" t="n">
        <f aca="false">Sens!$G$815</f>
        <v>0.723047066202847</v>
      </c>
      <c r="N815" s="13" t="n">
        <f aca="false">Q!$N$5/(Q!$N$5+Q!$N$6)</f>
        <v>0.733030935041352</v>
      </c>
      <c r="O815" s="13" t="n">
        <f aca="false">Q!$O$5/(Q!$O$5+Q!$O$6)</f>
        <v>0.718066283041511</v>
      </c>
      <c r="P815" s="8" t="s">
        <v>695</v>
      </c>
    </row>
    <row r="816" customFormat="false" ht="17.15" hidden="false" customHeight="false" outlineLevel="0" collapsed="false">
      <c r="A816" s="1" t="s">
        <v>519</v>
      </c>
      <c r="B816" s="8" t="s">
        <v>86</v>
      </c>
      <c r="C816" s="38" t="n">
        <f aca="false">Q!$D$5</f>
        <v>387.497</v>
      </c>
      <c r="D816" s="38" t="n">
        <f aca="false">Q!$E$5</f>
        <v>426.305</v>
      </c>
      <c r="E816" s="38" t="n">
        <f aca="false">Q!$P$5</f>
        <v>220.32</v>
      </c>
      <c r="F816" s="38" t="n">
        <f aca="false">Sens!$F$814*Sens!$F$815</f>
        <v>250.639773480586</v>
      </c>
      <c r="G816" s="38" t="n">
        <f aca="false">Sens!$E$816+Sens!$F$816</f>
        <v>470.959773480586</v>
      </c>
      <c r="H816" s="38" t="n">
        <f aca="false">Sens!$H$814*Sens!$H$815</f>
        <v>521.386990416437</v>
      </c>
      <c r="I816" s="38" t="n">
        <f aca="false">Sens!$I$814*Sens!$I$815</f>
        <v>570.143862887555</v>
      </c>
      <c r="J816" s="38" t="n">
        <f aca="false">Sens!$J$814*Sens!$J$815</f>
        <v>615.391435791933</v>
      </c>
      <c r="K816" s="38" t="n">
        <f aca="false">Sens!$K$814*Sens!$K$815</f>
        <v>655.208227561543</v>
      </c>
      <c r="L816" s="38" t="n">
        <f aca="false">Sens!$L$814*Sens!$L$815</f>
        <v>697.807739249767</v>
      </c>
      <c r="M816" s="38" t="n">
        <f aca="false">Sens!$M$814*Sens!$M$815</f>
        <v>743.399328463592</v>
      </c>
      <c r="N816" s="38" t="n">
        <f aca="false">Q!$N$5</f>
        <v>192.955</v>
      </c>
      <c r="O816" s="38" t="n">
        <f aca="false">Q!$O$5</f>
        <v>233.35</v>
      </c>
      <c r="P816" s="5" t="s">
        <v>696</v>
      </c>
    </row>
    <row r="817" customFormat="false" ht="17.15" hidden="false" customHeight="false" outlineLevel="0" collapsed="false">
      <c r="A817" s="1" t="s">
        <v>522</v>
      </c>
      <c r="B817" s="8" t="s">
        <v>86</v>
      </c>
      <c r="C817" s="38" t="n">
        <f aca="false">Q!$D$6</f>
        <v>142.906</v>
      </c>
      <c r="D817" s="38" t="n">
        <f aca="false">Q!$E$6</f>
        <v>161.894</v>
      </c>
      <c r="E817" s="38" t="n">
        <f aca="false">Q!$P$6</f>
        <v>81.986</v>
      </c>
      <c r="F817" s="38" t="n">
        <f aca="false">Sens!$F$814*(1-Sens!$F$815)</f>
        <v>98.408468164951</v>
      </c>
      <c r="G817" s="38" t="n">
        <f aca="false">Sens!$E$817+Sens!$F$817</f>
        <v>180.394468164951</v>
      </c>
      <c r="H817" s="38" t="n">
        <f aca="false">Sens!$H$814*(1-Sens!$H$815)</f>
        <v>199.709899104949</v>
      </c>
      <c r="I817" s="38" t="n">
        <f aca="false">Sens!$I$814*(1-Sens!$I$815)</f>
        <v>218.385528264976</v>
      </c>
      <c r="J817" s="38" t="n">
        <f aca="false">Sens!$J$814*(1-Sens!$J$815)</f>
        <v>235.71696994951</v>
      </c>
      <c r="K817" s="38" t="n">
        <f aca="false">Sens!$K$814*(1-Sens!$K$815)</f>
        <v>250.968227869545</v>
      </c>
      <c r="L817" s="38" t="n">
        <f aca="false">Sens!$L$814*(1-Sens!$L$815)</f>
        <v>267.285367225822</v>
      </c>
      <c r="M817" s="38" t="n">
        <f aca="false">Sens!$M$814*(1-Sens!$M$815)</f>
        <v>284.748579483295</v>
      </c>
      <c r="N817" s="38" t="n">
        <f aca="false">Q!$N$6</f>
        <v>70.274</v>
      </c>
      <c r="O817" s="38" t="n">
        <f aca="false">Q!$O$6</f>
        <v>91.62</v>
      </c>
      <c r="P817" s="5" t="s">
        <v>697</v>
      </c>
    </row>
    <row r="818" customFormat="false" ht="17.15" hidden="false" customHeight="false" outlineLevel="0" collapsed="false">
      <c r="A818" s="5" t="s">
        <v>698</v>
      </c>
      <c r="B818" s="0" t="s">
        <v>86</v>
      </c>
      <c r="C818" s="38" t="n">
        <f aca="false">Sens!$C$807*Sens!$C$815</f>
        <v>41.0683128828457</v>
      </c>
      <c r="D818" s="38" t="n">
        <f aca="false">Sens!$D$807*Sens!$D$815</f>
        <v>49.7441234599175</v>
      </c>
      <c r="E818" s="38" t="n">
        <f aca="false">Sens!$E$807*Sens!$E$815</f>
        <v>27.0034224924414</v>
      </c>
      <c r="F818" s="38" t="n">
        <f aca="false">Sens!$F$807*Sens!$F$815</f>
        <v>33.1439448330513</v>
      </c>
      <c r="G818" s="38" t="n">
        <f aca="false">Sens!$G$807*Sens!$G$815</f>
        <v>60.164183844083</v>
      </c>
      <c r="H818" s="38" t="n">
        <f aca="false">Sens!$H$807*Sens!$H$815</f>
        <v>72.2301766552629</v>
      </c>
      <c r="I818" s="38" t="n">
        <f aca="false">Sens!$I$807*Sens!$I$815</f>
        <v>84.2950764463991</v>
      </c>
      <c r="J818" s="38" t="n">
        <f aca="false">Sens!$J$807*Sens!$J$815</f>
        <v>95.5499047729386</v>
      </c>
      <c r="K818" s="38" t="n">
        <f aca="false">Sens!$K$807*Sens!$K$815</f>
        <v>105.104895250232</v>
      </c>
      <c r="L818" s="38" t="n">
        <f aca="false">Sens!$L$807*Sens!$L$815</f>
        <v>115.615384775256</v>
      </c>
      <c r="M818" s="38" t="n">
        <f aca="false">Sens!$M$807*Sens!$M$815</f>
        <v>127.176923252781</v>
      </c>
      <c r="N818" s="38" t="n">
        <f aca="false">Sens!$N$807*Sens!$N$815</f>
        <v>21.7087111412496</v>
      </c>
      <c r="O818" s="38" t="n">
        <f aca="false">Sens!$O$807*Sens!$O$815</f>
        <v>28.0189463642798</v>
      </c>
      <c r="P818" s="5" t="s">
        <v>699</v>
      </c>
    </row>
    <row r="819" customFormat="false" ht="15" hidden="false" customHeight="false" outlineLevel="0" collapsed="false">
      <c r="A819" s="5" t="s">
        <v>700</v>
      </c>
      <c r="B819" s="0" t="s">
        <v>86</v>
      </c>
      <c r="C819" s="38" t="n">
        <f aca="false">Sens!$C$807-Sens!$C$818</f>
        <v>15.1456871171543</v>
      </c>
      <c r="D819" s="38" t="n">
        <f aca="false">Sens!$D$807-Sens!$D$818</f>
        <v>18.8908765400825</v>
      </c>
      <c r="E819" s="38" t="n">
        <f aca="false">Sens!$E$807-Sens!$E$818</f>
        <v>10.0485775075586</v>
      </c>
      <c r="F819" s="38" t="n">
        <f aca="false">Sens!$F$807-Sens!$F$818</f>
        <v>13.0132771613635</v>
      </c>
      <c r="G819" s="38" t="n">
        <f aca="false">Sens!$G$807-Sens!$G$818</f>
        <v>23.0450381503318</v>
      </c>
      <c r="H819" s="38" t="n">
        <f aca="false">Sens!$H$807-Sens!$H$818</f>
        <v>27.6667457326347</v>
      </c>
      <c r="I819" s="38" t="n">
        <f aca="false">Sens!$I$807-Sens!$I$818</f>
        <v>32.2880346490971</v>
      </c>
      <c r="J819" s="38" t="n">
        <f aca="false">Sens!$J$807-Sens!$J$818</f>
        <v>36.5990371690132</v>
      </c>
      <c r="K819" s="38" t="n">
        <f aca="false">Sens!$K$807-Sens!$K$818</f>
        <v>40.2589408859145</v>
      </c>
      <c r="L819" s="38" t="n">
        <f aca="false">Sens!$L$807-Sens!$L$818</f>
        <v>44.2848349745059</v>
      </c>
      <c r="M819" s="38" t="n">
        <f aca="false">Sens!$M$807-Sens!$M$818</f>
        <v>48.7133184719565</v>
      </c>
      <c r="N819" s="38" t="n">
        <f aca="false">Sens!$N$807-Sens!$N$818</f>
        <v>7.90628885875037</v>
      </c>
      <c r="O819" s="38" t="n">
        <f aca="false">Sens!$O$807-Sens!$O$818</f>
        <v>11.0010536357202</v>
      </c>
    </row>
    <row r="820" customFormat="false" ht="19.4" hidden="false" customHeight="false" outlineLevel="0" collapsed="false">
      <c r="A820" s="31" t="s">
        <v>1168</v>
      </c>
    </row>
    <row r="821" customFormat="false" ht="17.15" hidden="false" customHeight="false" outlineLevel="0" collapsed="false">
      <c r="A821" s="6" t="s">
        <v>16</v>
      </c>
      <c r="B821" s="6" t="s">
        <v>17</v>
      </c>
      <c r="C821" s="20" t="s">
        <v>504</v>
      </c>
      <c r="D821" s="20" t="s">
        <v>505</v>
      </c>
      <c r="E821" s="20" t="s">
        <v>587</v>
      </c>
      <c r="F821" s="20" t="s">
        <v>588</v>
      </c>
      <c r="G821" s="20" t="s">
        <v>589</v>
      </c>
      <c r="H821" s="20" t="s">
        <v>590</v>
      </c>
      <c r="I821" s="20" t="s">
        <v>591</v>
      </c>
      <c r="J821" s="20" t="s">
        <v>592</v>
      </c>
      <c r="K821" s="20" t="s">
        <v>593</v>
      </c>
      <c r="L821" s="20" t="s">
        <v>594</v>
      </c>
      <c r="M821" s="20" t="s">
        <v>595</v>
      </c>
      <c r="N821" s="20" t="s">
        <v>596</v>
      </c>
      <c r="O821" s="20" t="s">
        <v>597</v>
      </c>
      <c r="P821" s="6" t="s">
        <v>23</v>
      </c>
      <c r="R821" s="20" t="n">
        <v>2023</v>
      </c>
      <c r="S821" s="20" t="n">
        <v>2024</v>
      </c>
      <c r="T821" s="20" t="n">
        <v>2025</v>
      </c>
      <c r="U821" s="20" t="n">
        <v>2026</v>
      </c>
      <c r="V821" s="20" t="n">
        <v>2027</v>
      </c>
      <c r="W821" s="20" t="n">
        <v>2028</v>
      </c>
      <c r="X821" s="20" t="n">
        <v>2029</v>
      </c>
      <c r="Y821" s="20" t="n">
        <v>2030</v>
      </c>
      <c r="Z821" s="20" t="n">
        <v>2031</v>
      </c>
      <c r="AA821" s="20" t="n">
        <v>2032</v>
      </c>
    </row>
    <row r="822" customFormat="false" ht="17.15" hidden="false" customHeight="false" outlineLevel="0" collapsed="false">
      <c r="A822" s="1" t="s">
        <v>598</v>
      </c>
    </row>
    <row r="823" customFormat="false" ht="17.15" hidden="false" customHeight="false" outlineLevel="0" collapsed="false">
      <c r="A823" s="5" t="s">
        <v>599</v>
      </c>
      <c r="B823" s="0" t="s">
        <v>144</v>
      </c>
      <c r="H823" s="32" t="n">
        <f aca="false">pace_B</f>
        <v>3634.3</v>
      </c>
      <c r="I823" s="32" t="n">
        <f aca="false">pace_B</f>
        <v>3634.3</v>
      </c>
      <c r="J823" s="32" t="n">
        <f aca="false">pace_B</f>
        <v>3634.3</v>
      </c>
      <c r="K823" s="32" t="n">
        <f aca="false">pace_B+(Sens!$J$824*tg-pace_B)*1/3</f>
        <v>2570.86716666667</v>
      </c>
      <c r="L823" s="32" t="n">
        <f aca="false">pace_B+(Sens!$J$824*tg-pace_B)*2/3</f>
        <v>1507.43433333333</v>
      </c>
      <c r="M823" s="32" t="n">
        <f aca="false">pace_B+(Sens!$J$824*tg-pace_B)*3/3</f>
        <v>444.0015</v>
      </c>
      <c r="P823" s="5" t="s">
        <v>600</v>
      </c>
    </row>
    <row r="824" customFormat="false" ht="17.15" hidden="false" customHeight="false" outlineLevel="0" collapsed="false">
      <c r="A824" s="15" t="s">
        <v>601</v>
      </c>
      <c r="B824" s="14" t="s">
        <v>129</v>
      </c>
      <c r="C824" s="33" t="n">
        <f aca="false">mw_ye24</f>
        <v>360</v>
      </c>
      <c r="D824" s="33" t="n">
        <f aca="false">mw_ye25</f>
        <v>1440</v>
      </c>
      <c r="E824" s="33" t="n">
        <f aca="false">mw_open</f>
        <v>2080</v>
      </c>
      <c r="F824" s="33" t="n">
        <f aca="false">Sens!$E$824+pace_B*0.5</f>
        <v>3897.15</v>
      </c>
      <c r="G824" s="33" t="n">
        <f aca="false">Sens!$F$824</f>
        <v>3897.15</v>
      </c>
      <c r="H824" s="33" t="n">
        <f aca="false">Sens!$G$824+Sens!$H$823</f>
        <v>7531.45</v>
      </c>
      <c r="I824" s="33" t="n">
        <f aca="false">Sens!$H$824+Sens!$I$823</f>
        <v>11165.75</v>
      </c>
      <c r="J824" s="33" t="n">
        <f aca="false">Sens!$I$824+Sens!$J$823</f>
        <v>14800.05</v>
      </c>
      <c r="K824" s="33" t="n">
        <f aca="false">Sens!$J$824+Sens!$K$823</f>
        <v>17370.9171666667</v>
      </c>
      <c r="L824" s="33" t="n">
        <f aca="false">Sens!$K$824+Sens!$L$823</f>
        <v>18878.3515</v>
      </c>
      <c r="M824" s="33" t="n">
        <f aca="false">Sens!$L$824+Sens!$M$823</f>
        <v>19322.353</v>
      </c>
      <c r="N824" s="33" t="n">
        <f aca="false">(mw_ye24+mw_ye25)/2</f>
        <v>900</v>
      </c>
      <c r="O824" s="33" t="n">
        <f aca="false">mw_ye25</f>
        <v>1440</v>
      </c>
      <c r="P824" s="5" t="s">
        <v>602</v>
      </c>
    </row>
    <row r="825" customFormat="false" ht="17.15" hidden="false" customHeight="false" outlineLevel="0" collapsed="false">
      <c r="A825" s="5" t="s">
        <v>603</v>
      </c>
      <c r="B825" s="0" t="s">
        <v>129</v>
      </c>
      <c r="C825" s="32" t="n">
        <f aca="false">(mw_ye23+mw_ye24)/2</f>
        <v>240</v>
      </c>
      <c r="D825" s="32" t="n">
        <f aca="false">(Sens!$C$824+Sens!$D$824)/2</f>
        <v>900</v>
      </c>
      <c r="E825" s="32" t="n">
        <f aca="false">(Sens!$D$824+Sens!$E$824)/2</f>
        <v>1760</v>
      </c>
      <c r="F825" s="32" t="n">
        <f aca="false">(Sens!$E$824+Sens!$F$824)/2</f>
        <v>2988.575</v>
      </c>
      <c r="G825" s="32" t="n">
        <f aca="false">(Sens!$E$825+Sens!$F$825)/2</f>
        <v>2374.2875</v>
      </c>
      <c r="H825" s="32" t="n">
        <f aca="false">(Sens!$G$824+Sens!$H$824)/2</f>
        <v>5714.3</v>
      </c>
      <c r="I825" s="32" t="n">
        <f aca="false">(Sens!$H$824+Sens!$I$824)/2</f>
        <v>9348.6</v>
      </c>
      <c r="J825" s="32" t="n">
        <f aca="false">(Sens!$I$824+Sens!$J$824)/2</f>
        <v>12982.9</v>
      </c>
      <c r="K825" s="32" t="n">
        <f aca="false">(Sens!$J$824+Sens!$K$824)/2</f>
        <v>16085.4835833333</v>
      </c>
      <c r="L825" s="32" t="n">
        <f aca="false">(Sens!$K$824+Sens!$L$824)/2</f>
        <v>18124.6343333333</v>
      </c>
      <c r="M825" s="32" t="n">
        <f aca="false">(Sens!$L$824+Sens!$M$824)/2</f>
        <v>19100.35225</v>
      </c>
      <c r="N825" s="32" t="n">
        <f aca="false">(Sens!$C$824+Sens!$N$824)/2</f>
        <v>630</v>
      </c>
      <c r="O825" s="32" t="n">
        <f aca="false">(Sens!$N$824+Sens!$O$824)/2</f>
        <v>1170</v>
      </c>
    </row>
    <row r="826" customFormat="false" ht="15" hidden="false" customHeight="false" outlineLevel="0" collapsed="false">
      <c r="A826" s="5" t="s">
        <v>604</v>
      </c>
      <c r="B826" s="5" t="s">
        <v>123</v>
      </c>
      <c r="C826" s="34" t="n">
        <v>1</v>
      </c>
      <c r="D826" s="34" t="n">
        <v>1</v>
      </c>
      <c r="E826" s="34" t="n">
        <v>0.5</v>
      </c>
      <c r="F826" s="34" t="n">
        <v>0.5</v>
      </c>
      <c r="G826" s="34" t="n">
        <v>1</v>
      </c>
      <c r="H826" s="34" t="n">
        <v>1</v>
      </c>
      <c r="I826" s="34" t="n">
        <v>1</v>
      </c>
      <c r="J826" s="34" t="n">
        <v>1</v>
      </c>
      <c r="K826" s="34" t="n">
        <v>1</v>
      </c>
      <c r="L826" s="34" t="n">
        <v>1</v>
      </c>
      <c r="M826" s="34" t="n">
        <v>1</v>
      </c>
      <c r="N826" s="34" t="n">
        <v>0.5</v>
      </c>
      <c r="O826" s="34" t="n">
        <v>0.5</v>
      </c>
    </row>
    <row r="827" customFormat="false" ht="17.15" hidden="false" customHeight="false" outlineLevel="0" collapsed="false">
      <c r="A827" s="5" t="s">
        <v>605</v>
      </c>
      <c r="B827" s="0" t="s">
        <v>129</v>
      </c>
      <c r="C827" s="32" t="n">
        <f aca="false">Sens!$C$824-mw_ye23</f>
        <v>240</v>
      </c>
      <c r="D827" s="32" t="n">
        <f aca="false">Sens!$D$824-Sens!$C$824</f>
        <v>1080</v>
      </c>
      <c r="E827" s="32" t="n">
        <f aca="false">Sens!$E$824-Sens!$D$824</f>
        <v>640</v>
      </c>
      <c r="F827" s="32" t="n">
        <f aca="false">Sens!$F$824-Sens!$E$824</f>
        <v>1817.15</v>
      </c>
      <c r="G827" s="32" t="n">
        <f aca="false">Sens!$E$827+Sens!$F$827</f>
        <v>2457.15</v>
      </c>
      <c r="H827" s="32" t="n">
        <f aca="false">Sens!$H$824-Sens!$G$824</f>
        <v>3634.3</v>
      </c>
      <c r="I827" s="32" t="n">
        <f aca="false">Sens!$I$824-Sens!$H$824</f>
        <v>3634.3</v>
      </c>
      <c r="J827" s="32" t="n">
        <f aca="false">Sens!$J$824-Sens!$I$824</f>
        <v>3634.3</v>
      </c>
      <c r="K827" s="32" t="n">
        <f aca="false">Sens!$K$824-Sens!$J$824</f>
        <v>2570.86716666667</v>
      </c>
      <c r="L827" s="32" t="n">
        <f aca="false">Sens!$L$824-Sens!$K$824</f>
        <v>1507.43433333333</v>
      </c>
      <c r="M827" s="32" t="n">
        <f aca="false">Sens!$M$824-Sens!$L$824</f>
        <v>444.001499999999</v>
      </c>
      <c r="N827" s="32" t="n">
        <f aca="false">Sens!$N$824-Sens!$C$824</f>
        <v>540</v>
      </c>
      <c r="O827" s="32" t="n">
        <f aca="false">Sens!$O$824-Sens!$N$824</f>
        <v>540</v>
      </c>
    </row>
    <row r="828" customFormat="false" ht="17.15" hidden="false" customHeight="false" outlineLevel="0" collapsed="false">
      <c r="A828" s="5" t="s">
        <v>606</v>
      </c>
      <c r="B828" s="0" t="s">
        <v>129</v>
      </c>
      <c r="C828" s="32" t="n">
        <f aca="false">Sens!$C$827/ext_sh_lo</f>
        <v>400</v>
      </c>
      <c r="D828" s="32" t="n">
        <f aca="false">Sens!$D$827/ext_sh_lo</f>
        <v>1800</v>
      </c>
      <c r="E828" s="32" t="n">
        <f aca="false">Sens!$E$827/ext_sh_lo</f>
        <v>1066.66666666667</v>
      </c>
      <c r="F828" s="32" t="n">
        <f aca="false">Sens!$F$827/ext_sh_lo</f>
        <v>3028.58333333333</v>
      </c>
      <c r="G828" s="32" t="n">
        <f aca="false">Sens!$G$827/ext_sh_lo</f>
        <v>4095.25</v>
      </c>
      <c r="H828" s="32" t="n">
        <f aca="false">Sens!$H$827/ext_sh_lo</f>
        <v>6057.16666666667</v>
      </c>
      <c r="I828" s="32" t="n">
        <f aca="false">Sens!$I$827/ext_sh_lo</f>
        <v>6057.16666666667</v>
      </c>
      <c r="J828" s="32" t="n">
        <f aca="false">Sens!$J$827/ext_sh_lo</f>
        <v>6057.16666666667</v>
      </c>
      <c r="K828" s="32" t="n">
        <f aca="false">Sens!$K$827/ext_sh_lo</f>
        <v>4284.77861111111</v>
      </c>
      <c r="L828" s="32" t="n">
        <f aca="false">Sens!$L$827/ext_sh_lo</f>
        <v>2512.39055555556</v>
      </c>
      <c r="M828" s="32" t="n">
        <f aca="false">Sens!$M$827/ext_sh_lo</f>
        <v>740.002499999998</v>
      </c>
      <c r="N828" s="32" t="n">
        <f aca="false">Sens!$N$827/ext_sh_lo</f>
        <v>900</v>
      </c>
      <c r="O828" s="32" t="n">
        <f aca="false">Sens!$O$827/ext_sh_lo</f>
        <v>900</v>
      </c>
      <c r="P828" s="8" t="s">
        <v>607</v>
      </c>
      <c r="R828" s="32" t="n">
        <f aca="false">mw_ye23/ext_sh_lo</f>
        <v>200</v>
      </c>
      <c r="S828" s="32" t="n">
        <f aca="false">Sens!$C$828</f>
        <v>400</v>
      </c>
      <c r="T828" s="32" t="n">
        <f aca="false">Sens!$D$828</f>
        <v>1800</v>
      </c>
      <c r="U828" s="32" t="n">
        <f aca="false">Sens!$G$828</f>
        <v>4095.25</v>
      </c>
      <c r="V828" s="32" t="n">
        <f aca="false">Sens!$H$828</f>
        <v>6057.16666666667</v>
      </c>
      <c r="W828" s="32" t="n">
        <f aca="false">Sens!$I$828</f>
        <v>6057.16666666667</v>
      </c>
      <c r="X828" s="32" t="n">
        <f aca="false">Sens!$J$828</f>
        <v>6057.16666666667</v>
      </c>
      <c r="Y828" s="32" t="n">
        <f aca="false">Sens!$K$828</f>
        <v>4284.77861111111</v>
      </c>
      <c r="Z828" s="32" t="n">
        <f aca="false">Sens!$L$828</f>
        <v>2512.39055555556</v>
      </c>
      <c r="AA828" s="32" t="n">
        <f aca="false">Sens!$M$828</f>
        <v>740.002499999998</v>
      </c>
    </row>
    <row r="829" customFormat="false" ht="17.15" hidden="false" customHeight="false" outlineLevel="0" collapsed="false">
      <c r="A829" s="1" t="s">
        <v>608</v>
      </c>
    </row>
    <row r="830" customFormat="false" ht="17.15" hidden="false" customHeight="false" outlineLevel="0" collapsed="false">
      <c r="A830" s="0" t="s">
        <v>609</v>
      </c>
      <c r="B830" s="0" t="s">
        <v>52</v>
      </c>
      <c r="F830" s="35" t="n">
        <f aca="false">na_vr26</f>
        <v>0</v>
      </c>
      <c r="G830" s="35" t="n">
        <f aca="false">na_vr26</f>
        <v>0</v>
      </c>
      <c r="H830" s="35" t="n">
        <f aca="false">na_vr27</f>
        <v>0.5</v>
      </c>
      <c r="I830" s="35" t="n">
        <f aca="false">na_vr28</f>
        <v>1</v>
      </c>
      <c r="J830" s="35" t="n">
        <f aca="false">na_vr28</f>
        <v>1</v>
      </c>
      <c r="K830" s="35" t="n">
        <f aca="false">na_vr28</f>
        <v>1</v>
      </c>
      <c r="L830" s="35" t="n">
        <f aca="false">na_vr28</f>
        <v>1</v>
      </c>
      <c r="M830" s="35" t="n">
        <f aca="false">na_vr28</f>
        <v>1</v>
      </c>
    </row>
    <row r="831" customFormat="false" ht="17.15" hidden="false" customHeight="false" outlineLevel="0" collapsed="false">
      <c r="A831" s="5" t="s">
        <v>610</v>
      </c>
      <c r="B831" s="0" t="s">
        <v>173</v>
      </c>
      <c r="F831" s="36" t="n">
        <f aca="false">cust_sh*tk_he_gb300*cf_chip+(1-cust_sh)*((1-Sens!$F$830)*tk_he_gb300+Sens!$F$830*tk_he_vr200)</f>
        <v>10.8864110021101</v>
      </c>
      <c r="G831" s="36" t="n">
        <f aca="false">cust_sh*tk_he_gb300*cf_chip+(1-cust_sh)*((1-Sens!$G$830)*tk_he_gb300+Sens!$G$830*tk_he_vr200)</f>
        <v>10.8864110021101</v>
      </c>
      <c r="H831" s="36" t="n">
        <f aca="false">cust_sh*tk_he_gb300*cf_chip+(1-cust_sh)*((1-Sens!$H$830)*tk_he_gb300+Sens!$H$830*tk_he_vr200)</f>
        <v>11.2211760027286</v>
      </c>
      <c r="I831" s="36" t="n">
        <f aca="false">cust_sh*tk_he_gb300*cf_chip+(1-cust_sh)*((1-Sens!$I$830)*tk_he_gb300+Sens!$I$830*tk_he_vr200)</f>
        <v>11.5559410033471</v>
      </c>
      <c r="J831" s="36" t="n">
        <f aca="false">cust_sh*tk_he_gb300*cf_chip+(1-cust_sh)*((1-Sens!$J$830)*tk_he_gb300+Sens!$J$830*tk_he_vr200)</f>
        <v>11.5559410033471</v>
      </c>
      <c r="K831" s="36" t="n">
        <f aca="false">cust_sh*tk_he_gb300*cf_chip+(1-cust_sh)*((1-Sens!$K$830)*tk_he_gb300+Sens!$K$830*tk_he_vr200)</f>
        <v>11.5559410033471</v>
      </c>
      <c r="L831" s="36" t="n">
        <f aca="false">cust_sh*tk_he_gb300*cf_chip+(1-cust_sh)*((1-Sens!$L$830)*tk_he_gb300+Sens!$L$830*tk_he_vr200)</f>
        <v>11.5559410033471</v>
      </c>
      <c r="M831" s="36" t="n">
        <f aca="false">cust_sh*tk_he_gb300*cf_chip+(1-cust_sh)*((1-Sens!$M$830)*tk_he_gb300+Sens!$M$830*tk_he_vr200)</f>
        <v>11.5559410033471</v>
      </c>
    </row>
    <row r="832" customFormat="false" ht="17.15" hidden="false" customHeight="false" outlineLevel="0" collapsed="false">
      <c r="A832" s="5" t="s">
        <v>611</v>
      </c>
      <c r="B832" s="0" t="s">
        <v>173</v>
      </c>
      <c r="F832" s="36" t="n">
        <f aca="false">cust_sh*tk_ox_gb300+(1-cust_sh)*((1-Sens!$F$830)*tk_ox_gb300+Sens!$F$830*tk_ox_vr200)</f>
        <v>1.98263481314457</v>
      </c>
      <c r="G832" s="36" t="n">
        <f aca="false">cust_sh*tk_ox_gb300+(1-cust_sh)*((1-Sens!$G$830)*tk_ox_gb300+Sens!$G$830*tk_ox_vr200)</f>
        <v>1.98263481314457</v>
      </c>
      <c r="H832" s="36" t="n">
        <f aca="false">cust_sh*tk_ox_gb300+(1-cust_sh)*((1-Sens!$H$830)*tk_ox_gb300+Sens!$H$830*tk_ox_vr200)</f>
        <v>2.01034999693694</v>
      </c>
      <c r="I832" s="36" t="n">
        <f aca="false">cust_sh*tk_ox_gb300+(1-cust_sh)*((1-Sens!$I$830)*tk_ox_gb300+Sens!$I$830*tk_ox_vr200)</f>
        <v>2.0380651807293</v>
      </c>
      <c r="J832" s="36" t="n">
        <f aca="false">cust_sh*tk_ox_gb300+(1-cust_sh)*((1-Sens!$J$830)*tk_ox_gb300+Sens!$J$830*tk_ox_vr200)</f>
        <v>2.0380651807293</v>
      </c>
      <c r="K832" s="36" t="n">
        <f aca="false">cust_sh*tk_ox_gb300+(1-cust_sh)*((1-Sens!$K$830)*tk_ox_gb300+Sens!$K$830*tk_ox_vr200)</f>
        <v>2.0380651807293</v>
      </c>
      <c r="L832" s="36" t="n">
        <f aca="false">cust_sh*tk_ox_gb300+(1-cust_sh)*((1-Sens!$L$830)*tk_ox_gb300+Sens!$L$830*tk_ox_vr200)</f>
        <v>2.0380651807293</v>
      </c>
      <c r="M832" s="36" t="n">
        <f aca="false">cust_sh*tk_ox_gb300+(1-cust_sh)*((1-Sens!$M$830)*tk_ox_gb300+Sens!$M$830*tk_ox_vr200)</f>
        <v>2.0380651807293</v>
      </c>
    </row>
    <row r="833" customFormat="false" ht="17.15" hidden="false" customHeight="false" outlineLevel="0" collapsed="false">
      <c r="A833" s="5" t="s">
        <v>612</v>
      </c>
      <c r="B833" s="0" t="s">
        <v>192</v>
      </c>
      <c r="F833" s="36" t="n">
        <f aca="false">cust_sh*tk_cx_gb300*cf_cx+(1-cust_sh)*((1-Sens!$F$830)*tk_cx_gb300+Sens!$F$830*tk_cx_vr200)</f>
        <v>32.237224</v>
      </c>
      <c r="G833" s="36" t="n">
        <f aca="false">cust_sh*tk_cx_gb300*cf_cx+(1-cust_sh)*((1-Sens!$G$830)*tk_cx_gb300+Sens!$G$830*tk_cx_vr200)</f>
        <v>32.237224</v>
      </c>
      <c r="H833" s="36" t="n">
        <f aca="false">cust_sh*tk_cx_gb300*cf_cx+(1-cust_sh)*((1-Sens!$H$830)*tk_cx_gb300+Sens!$H$830*tk_cx_vr200)</f>
        <v>33.574506</v>
      </c>
      <c r="I833" s="36" t="n">
        <f aca="false">cust_sh*tk_cx_gb300*cf_cx+(1-cust_sh)*((1-Sens!$I$830)*tk_cx_gb300+Sens!$I$830*tk_cx_vr200)</f>
        <v>34.911788</v>
      </c>
      <c r="J833" s="36" t="n">
        <f aca="false">cust_sh*tk_cx_gb300*cf_cx+(1-cust_sh)*((1-Sens!$J$830)*tk_cx_gb300+Sens!$J$830*tk_cx_vr200)</f>
        <v>34.911788</v>
      </c>
      <c r="K833" s="36" t="n">
        <f aca="false">cust_sh*tk_cx_gb300*cf_cx+(1-cust_sh)*((1-Sens!$K$830)*tk_cx_gb300+Sens!$K$830*tk_cx_vr200)</f>
        <v>34.911788</v>
      </c>
      <c r="L833" s="36" t="n">
        <f aca="false">cust_sh*tk_cx_gb300*cf_cx+(1-cust_sh)*((1-Sens!$L$830)*tk_cx_gb300+Sens!$L$830*tk_cx_vr200)</f>
        <v>34.911788</v>
      </c>
      <c r="M833" s="36" t="n">
        <f aca="false">cust_sh*tk_cx_gb300*cf_cx+(1-cust_sh)*((1-Sens!$M$830)*tk_cx_gb300+Sens!$M$830*tk_cx_vr200)</f>
        <v>34.911788</v>
      </c>
    </row>
    <row r="834" customFormat="false" ht="17.15" hidden="false" customHeight="false" outlineLevel="0" collapsed="false">
      <c r="A834" s="5" t="s">
        <v>613</v>
      </c>
      <c r="B834" s="0" t="s">
        <v>129</v>
      </c>
      <c r="F834" s="32" t="n">
        <f aca="false">Sens!$F$824-mw_open</f>
        <v>1817.15</v>
      </c>
      <c r="G834" s="32" t="n">
        <f aca="false">Sens!$F$834</f>
        <v>1817.15</v>
      </c>
      <c r="H834" s="32" t="n">
        <f aca="false">Sens!$H$824-mw_open</f>
        <v>5451.45</v>
      </c>
      <c r="I834" s="32" t="n">
        <f aca="false">Sens!$I$824-mw_open</f>
        <v>9085.75</v>
      </c>
      <c r="J834" s="32" t="n">
        <f aca="false">Sens!$J$824-mw_open</f>
        <v>12720.05</v>
      </c>
      <c r="K834" s="32" t="n">
        <f aca="false">Sens!$K$824-mw_open</f>
        <v>15290.9171666667</v>
      </c>
      <c r="L834" s="32" t="n">
        <f aca="false">Sens!$L$824-mw_open</f>
        <v>16798.3515</v>
      </c>
      <c r="M834" s="32" t="n">
        <f aca="false">Sens!$M$824-mw_open</f>
        <v>17242.353</v>
      </c>
    </row>
    <row r="835" customFormat="false" ht="17.15" hidden="false" customHeight="false" outlineLevel="0" collapsed="false">
      <c r="A835" s="0" t="s">
        <v>614</v>
      </c>
      <c r="B835" s="0" t="s">
        <v>615</v>
      </c>
      <c r="F835" s="32" t="n">
        <f aca="false">Sens!$F$827*Sens!$F$831</f>
        <v>19782.2417524844</v>
      </c>
      <c r="G835" s="32" t="n">
        <f aca="false">Sens!$F$835</f>
        <v>19782.2417524844</v>
      </c>
      <c r="H835" s="32" t="n">
        <f aca="false">Sens!$G$835+Sens!$H$827*Sens!$H$831</f>
        <v>60563.3616992009</v>
      </c>
      <c r="I835" s="32" t="n">
        <f aca="false">Sens!$H$835+Sens!$I$827*Sens!$I$831</f>
        <v>102561.118087665</v>
      </c>
      <c r="J835" s="32" t="n">
        <f aca="false">Sens!$I$835+Sens!$J$827*Sens!$J$831</f>
        <v>144558.87447613</v>
      </c>
      <c r="K835" s="32" t="n">
        <f aca="false">Sens!$J$835+Sens!$K$827*Sens!$K$831</f>
        <v>174267.663781572</v>
      </c>
      <c r="L835" s="32" t="n">
        <f aca="false">Sens!$K$835+Sens!$L$827*Sens!$L$831</f>
        <v>191687.486003992</v>
      </c>
      <c r="M835" s="32" t="n">
        <f aca="false">Sens!$L$835+Sens!$M$827*Sens!$M$831</f>
        <v>196818.341143389</v>
      </c>
    </row>
    <row r="836" customFormat="false" ht="17.15" hidden="false" customHeight="false" outlineLevel="0" collapsed="false">
      <c r="A836" s="0" t="s">
        <v>616</v>
      </c>
      <c r="B836" s="0" t="s">
        <v>615</v>
      </c>
      <c r="F836" s="32" t="n">
        <f aca="false">Sens!$F$827*Sens!$F$832</f>
        <v>3602.74485070566</v>
      </c>
      <c r="G836" s="32" t="n">
        <f aca="false">Sens!$F$836</f>
        <v>3602.74485070566</v>
      </c>
      <c r="H836" s="32" t="n">
        <f aca="false">Sens!$G$836+Sens!$H$827*Sens!$H$832</f>
        <v>10908.9598445736</v>
      </c>
      <c r="I836" s="32" t="n">
        <f aca="false">Sens!$H$836+Sens!$I$827*Sens!$I$832</f>
        <v>18315.9001308981</v>
      </c>
      <c r="J836" s="32" t="n">
        <f aca="false">Sens!$I$836+Sens!$J$827*Sens!$J$832</f>
        <v>25722.8404172225</v>
      </c>
      <c r="K836" s="32" t="n">
        <f aca="false">Sens!$J$836+Sens!$K$827*Sens!$K$832</f>
        <v>30962.4352738861</v>
      </c>
      <c r="L836" s="32" t="n">
        <f aca="false">Sens!$K$836+Sens!$L$827*Sens!$L$832</f>
        <v>34034.6847008886</v>
      </c>
      <c r="M836" s="32" t="n">
        <f aca="false">Sens!$L$836+Sens!$M$827*Sens!$M$832</f>
        <v>34939.5886982302</v>
      </c>
    </row>
    <row r="837" customFormat="false" ht="17.15" hidden="false" customHeight="false" outlineLevel="0" collapsed="false">
      <c r="A837" s="5" t="s">
        <v>617</v>
      </c>
      <c r="B837" s="0" t="s">
        <v>173</v>
      </c>
      <c r="F837" s="36" t="n">
        <f aca="false">IF(Sens!$F$834&gt;0,Sens!$F$835/Sens!$F$834,Sens!$F$831)</f>
        <v>10.8864110021101</v>
      </c>
      <c r="G837" s="36" t="n">
        <f aca="false">IF(Sens!$G$834&gt;0,Sens!$G$835/Sens!$G$834,Sens!$G$831)</f>
        <v>10.8864110021101</v>
      </c>
      <c r="H837" s="36" t="n">
        <f aca="false">IF(Sens!$H$834&gt;0,Sens!$H$835/Sens!$H$834,Sens!$H$831)</f>
        <v>11.1095876691891</v>
      </c>
      <c r="I837" s="36" t="n">
        <f aca="false">IF(Sens!$I$834&gt;0,Sens!$I$835/Sens!$I$834,Sens!$I$831)</f>
        <v>11.2881290028523</v>
      </c>
      <c r="J837" s="36" t="n">
        <f aca="false">IF(Sens!$J$834&gt;0,Sens!$J$835/Sens!$J$834,Sens!$J$831)</f>
        <v>11.3646467172794</v>
      </c>
      <c r="K837" s="36" t="n">
        <f aca="false">IF(Sens!$K$834&gt;0,Sens!$K$835/Sens!$K$834,Sens!$K$831)</f>
        <v>11.3968090914432</v>
      </c>
      <c r="L837" s="36" t="n">
        <f aca="false">IF(Sens!$L$834&gt;0,Sens!$L$835/Sens!$L$834,Sens!$L$831)</f>
        <v>11.4110891181192</v>
      </c>
      <c r="M837" s="36" t="n">
        <f aca="false">IF(Sens!$M$834&gt;0,Sens!$M$835/Sens!$M$834,Sens!$M$831)</f>
        <v>11.4148191458201</v>
      </c>
    </row>
    <row r="838" customFormat="false" ht="17.15" hidden="false" customHeight="false" outlineLevel="0" collapsed="false">
      <c r="A838" s="5" t="s">
        <v>618</v>
      </c>
      <c r="B838" s="0" t="s">
        <v>173</v>
      </c>
      <c r="F838" s="36" t="n">
        <f aca="false">IF(Sens!$F$834&gt;0,Sens!$F$836/Sens!$F$834,Sens!$F$832)</f>
        <v>1.98263481314457</v>
      </c>
      <c r="G838" s="36" t="n">
        <f aca="false">IF(Sens!$G$834&gt;0,Sens!$G$836/Sens!$G$834,Sens!$G$832)</f>
        <v>1.98263481314457</v>
      </c>
      <c r="H838" s="36" t="n">
        <f aca="false">IF(Sens!$H$834&gt;0,Sens!$H$836/Sens!$H$834,Sens!$H$832)</f>
        <v>2.00111160233948</v>
      </c>
      <c r="I838" s="36" t="n">
        <f aca="false">IF(Sens!$I$834&gt;0,Sens!$I$836/Sens!$I$834,Sens!$I$832)</f>
        <v>2.01589303369541</v>
      </c>
      <c r="J838" s="36" t="n">
        <f aca="false">IF(Sens!$J$834&gt;0,Sens!$J$836/Sens!$J$834,Sens!$J$832)</f>
        <v>2.02222793284795</v>
      </c>
      <c r="K838" s="36" t="n">
        <f aca="false">IF(Sens!$K$834&gt;0,Sens!$K$836/Sens!$K$834,Sens!$K$832)</f>
        <v>2.02489065478573</v>
      </c>
      <c r="L838" s="36" t="n">
        <f aca="false">IF(Sens!$L$834&gt;0,Sens!$L$836/Sens!$L$834,Sens!$L$832)</f>
        <v>2.0260728977417</v>
      </c>
      <c r="M838" s="36" t="n">
        <f aca="false">IF(Sens!$M$834&gt;0,Sens!$M$836/Sens!$M$834,Sens!$M$832)</f>
        <v>2.02638170661685</v>
      </c>
    </row>
    <row r="839" customFormat="false" ht="17.15" hidden="false" customHeight="false" outlineLevel="0" collapsed="false">
      <c r="A839" s="15" t="s">
        <v>619</v>
      </c>
      <c r="B839" s="14" t="s">
        <v>173</v>
      </c>
      <c r="C839" s="14"/>
      <c r="D839" s="14"/>
      <c r="E839" s="14"/>
      <c r="F839" s="37" t="n">
        <f aca="false">Sens!$F$837*k_B</f>
        <v>10.7987645808025</v>
      </c>
      <c r="G839" s="37" t="n">
        <f aca="false">Sens!$G$837*k_B</f>
        <v>10.7987645808025</v>
      </c>
      <c r="H839" s="37" t="n">
        <f aca="false">Sens!$H$837*k_B</f>
        <v>11.0201444540452</v>
      </c>
      <c r="I839" s="37" t="n">
        <f aca="false">Sens!$I$837*k_B</f>
        <v>11.1972483526393</v>
      </c>
      <c r="J839" s="37" t="n">
        <f aca="false">Sens!$J$837*k_B</f>
        <v>11.2731500234653</v>
      </c>
      <c r="K839" s="37" t="n">
        <f aca="false">Sens!$K$837*k_B</f>
        <v>11.3050534585724</v>
      </c>
      <c r="L839" s="37" t="n">
        <f aca="false">Sens!$L$837*k_B</f>
        <v>11.3192185168503</v>
      </c>
      <c r="M839" s="37" t="n">
        <f aca="false">Sens!$M$837*k_B</f>
        <v>11.3229185141234</v>
      </c>
      <c r="N839" s="14"/>
      <c r="O839" s="14"/>
      <c r="P839" s="5" t="s">
        <v>620</v>
      </c>
    </row>
    <row r="840" customFormat="false" ht="17.15" hidden="false" customHeight="false" outlineLevel="0" collapsed="false">
      <c r="A840" s="5" t="s">
        <v>621</v>
      </c>
      <c r="B840" s="0" t="s">
        <v>129</v>
      </c>
      <c r="F840" s="32" t="n">
        <f aca="false">Sens!$F$834/2</f>
        <v>908.575</v>
      </c>
      <c r="H840" s="32" t="n">
        <f aca="false">(Sens!$G$834+Sens!$H$834)/2</f>
        <v>3634.3</v>
      </c>
      <c r="I840" s="32" t="n">
        <f aca="false">(Sens!$H$834+Sens!$I$834)/2</f>
        <v>7268.6</v>
      </c>
      <c r="J840" s="32" t="n">
        <f aca="false">(Sens!$I$834+Sens!$J$834)/2</f>
        <v>10902.9</v>
      </c>
      <c r="K840" s="32" t="n">
        <f aca="false">(Sens!$J$834+Sens!$K$834)/2</f>
        <v>14005.4835833333</v>
      </c>
      <c r="L840" s="32" t="n">
        <f aca="false">(Sens!$K$834+Sens!$L$834)/2</f>
        <v>16044.6343333333</v>
      </c>
      <c r="M840" s="32" t="n">
        <f aca="false">(Sens!$L$834+Sens!$M$834)/2</f>
        <v>17020.35225</v>
      </c>
    </row>
    <row r="841" customFormat="false" ht="17.15" hidden="false" customHeight="false" outlineLevel="0" collapsed="false">
      <c r="A841" s="1" t="s">
        <v>622</v>
      </c>
    </row>
    <row r="842" customFormat="false" ht="17.15" hidden="false" customHeight="false" outlineLevel="0" collapsed="false">
      <c r="A842" s="1" t="s">
        <v>623</v>
      </c>
      <c r="B842" s="8" t="s">
        <v>86</v>
      </c>
      <c r="C842" s="38" t="n">
        <f aca="false">Sens!$C$825*rpm_open*Sens!$C$826/1000</f>
        <v>2.32100535697364</v>
      </c>
      <c r="D842" s="38" t="n">
        <f aca="false">Sens!$D$825*rpm_open*Sens!$D$826/1000</f>
        <v>8.70377008865116</v>
      </c>
      <c r="E842" s="38" t="n">
        <f aca="false">Sens!$E$825*rpm_open*Sens!$E$826/1000</f>
        <v>8.51035297557002</v>
      </c>
      <c r="F842" s="38" t="n">
        <f aca="false">(mw_open*rpm_open+Sens!$F$840*Sens!$F$839)*Sens!$F$826/1000</f>
        <v>14.9634336447205</v>
      </c>
      <c r="G842" s="38" t="n">
        <f aca="false">Sens!$E$842+Sens!$F$842</f>
        <v>23.4737866202905</v>
      </c>
      <c r="H842" s="38" t="n">
        <f aca="false">(mw_open*rpm_open+Sens!$H$840*Sens!$H$839)/1000</f>
        <v>60.1658907497746</v>
      </c>
      <c r="I842" s="38" t="n">
        <f aca="false">(mw_open*rpm_open+Sens!$I$840*Sens!$I$839)/1000</f>
        <v>101.503699136432</v>
      </c>
      <c r="J842" s="38" t="n">
        <f aca="false">(mw_open*rpm_open+Sens!$J$840*Sens!$J$839)/1000</f>
        <v>143.025407151278</v>
      </c>
      <c r="K842" s="38" t="n">
        <f aca="false">(mw_open*rpm_open+Sens!$K$840*Sens!$K$839)/1000</f>
        <v>178.44812038318</v>
      </c>
      <c r="L842" s="38" t="n">
        <f aca="false">(mw_open*rpm_open+Sens!$L$840*Sens!$L$839)/1000</f>
        <v>201.728101802396</v>
      </c>
      <c r="M842" s="38" t="n">
        <f aca="false">(mw_open*rpm_open+Sens!$M$840*Sens!$M$839)/1000</f>
        <v>212.835441368865</v>
      </c>
      <c r="N842" s="38" t="n">
        <f aca="false">Sens!$N$825*rpm_open*Sens!$N$826/1000</f>
        <v>3.04631953102791</v>
      </c>
      <c r="O842" s="38" t="n">
        <f aca="false">Sens!$O$825*rpm_open*Sens!$O$826/1000</f>
        <v>5.65745055762326</v>
      </c>
      <c r="P842" s="5" t="s">
        <v>624</v>
      </c>
    </row>
    <row r="843" customFormat="false" ht="17.15" hidden="false" customHeight="false" outlineLevel="0" collapsed="false">
      <c r="A843" s="5" t="s">
        <v>625</v>
      </c>
      <c r="B843" s="0" t="s">
        <v>173</v>
      </c>
      <c r="C843" s="36" t="n">
        <f aca="false">Sens!$C$842*1000/(Sens!$C$825*Sens!$C$826)</f>
        <v>9.67085565405685</v>
      </c>
      <c r="D843" s="36" t="n">
        <f aca="false">Sens!$D$842*1000/(Sens!$D$825*Sens!$D$826)</f>
        <v>9.67085565405685</v>
      </c>
      <c r="E843" s="36" t="n">
        <f aca="false">Sens!$E$842*1000/(Sens!$E$825*Sens!$E$826)</f>
        <v>9.67085565405685</v>
      </c>
      <c r="F843" s="36" t="n">
        <f aca="false">Sens!$F$842*1000/(Sens!$F$825*Sens!$F$826)</f>
        <v>10.0137581588017</v>
      </c>
      <c r="G843" s="36" t="n">
        <f aca="false">Sens!$G$842*1000/(Sens!$G$825*Sens!$G$826)</f>
        <v>9.88666562928478</v>
      </c>
      <c r="H843" s="36" t="n">
        <f aca="false">Sens!$H$842*1000/(Sens!$H$825*Sens!$H$826)</f>
        <v>10.5290045586992</v>
      </c>
      <c r="I843" s="36" t="n">
        <f aca="false">Sens!$I$842*1000/(Sens!$I$825*Sens!$I$826)</f>
        <v>10.8576363451674</v>
      </c>
      <c r="J843" s="36" t="n">
        <f aca="false">Sens!$J$842*1000/(Sens!$J$825*Sens!$J$826)</f>
        <v>11.0164452588619</v>
      </c>
      <c r="K843" s="36" t="n">
        <f aca="false">Sens!$K$842*1000/(Sens!$K$825*Sens!$K$826)</f>
        <v>11.0937367508227</v>
      </c>
      <c r="L843" s="36" t="n">
        <f aca="false">Sens!$L$842*1000/(Sens!$L$825*Sens!$L$826)</f>
        <v>11.1300508519168</v>
      </c>
      <c r="M843" s="36" t="n">
        <f aca="false">Sens!$M$842*1000/(Sens!$M$825*Sens!$M$826)</f>
        <v>11.1430113216297</v>
      </c>
      <c r="N843" s="36" t="n">
        <f aca="false">Sens!$N$842*1000/(Sens!$N$825*Sens!$N$826)</f>
        <v>9.67085565405685</v>
      </c>
      <c r="O843" s="36" t="n">
        <f aca="false">Sens!$O$842*1000/(Sens!$O$825*Sens!$O$826)</f>
        <v>9.67085565405685</v>
      </c>
    </row>
    <row r="844" customFormat="false" ht="17.15" hidden="false" customHeight="false" outlineLevel="0" collapsed="false">
      <c r="A844" s="0" t="s">
        <v>626</v>
      </c>
      <c r="B844" s="0" t="s">
        <v>86</v>
      </c>
      <c r="C844" s="38" t="n">
        <f aca="false">Sens!$C$825/ext_sh_lo*(ox_open+rent_mw)*Sens!$C$826/1000</f>
        <v>0.85675894756671</v>
      </c>
      <c r="D844" s="38" t="n">
        <f aca="false">Sens!$D$825/ext_sh_lo*(ox_open+rent_mw)*Sens!$D$826/1000</f>
        <v>3.21284605337516</v>
      </c>
      <c r="E844" s="38" t="n">
        <f aca="false">Sens!$E$825/ext_sh_lo*(ox_open+rent_mw)*Sens!$E$826/1000</f>
        <v>3.14144947441127</v>
      </c>
      <c r="F844" s="38" t="n">
        <f aca="false">((mw_open*ox_open+Sens!$F$840*Sens!$F$838)/ext_sh_lo+Sens!$F$825/ext_sh_lo*rent_mw)*Sens!$F$826/1000</f>
        <v>5.4056265480831</v>
      </c>
      <c r="G844" s="38" t="n">
        <f aca="false">Sens!$E$844+Sens!$F$844</f>
        <v>8.54707602249437</v>
      </c>
      <c r="H844" s="38" t="n">
        <f aca="false">((mw_open*ox_open+Sens!$H$840*Sens!$H$838)/ext_sh_lo+Sens!$H$825/ext_sh_lo*rent_mw)*Sens!$H$826/1000</f>
        <v>21.0811967395488</v>
      </c>
      <c r="I844" s="38" t="n">
        <f aca="false">((mw_open*ox_open+Sens!$I$840*Sens!$I$838)/ext_sh_lo+Sens!$I$825/ext_sh_lo*rent_mw)*Sens!$I$826/1000</f>
        <v>34.9162164534422</v>
      </c>
      <c r="J844" s="38" t="n">
        <f aca="false">((mw_open*ox_open+Sens!$J$840*Sens!$J$838)/ext_sh_lo+Sens!$J$825/ext_sh_lo*rent_mw)*Sens!$J$826/1000</f>
        <v>48.7768171939913</v>
      </c>
      <c r="K844" s="38" t="n">
        <f aca="false">((mw_open*ox_open+Sens!$K$840*Sens!$K$838)/ext_sh_lo+Sens!$K$825/ext_sh_lo*rent_mw)*Sens!$K$826/1000</f>
        <v>60.606181485017</v>
      </c>
      <c r="L844" s="38" t="n">
        <f aca="false">((mw_open*ox_open+Sens!$L$840*Sens!$L$838)/ext_sh_lo+Sens!$L$825/ext_sh_lo*rent_mw)*Sens!$L$826/1000</f>
        <v>68.3807594072603</v>
      </c>
      <c r="M844" s="38" t="n">
        <f aca="false">((mw_open*ox_open+Sens!$M$840*Sens!$M$838)/ext_sh_lo+Sens!$M$825/ext_sh_lo*rent_mw)*Sens!$M$826/1000</f>
        <v>72.0963903784531</v>
      </c>
      <c r="N844" s="38" t="n">
        <f aca="false">Sens!$N$825/ext_sh_lo*(ox_open+rent_mw)*Sens!$N$826/1000</f>
        <v>1.12449611868131</v>
      </c>
      <c r="O844" s="38" t="n">
        <f aca="false">Sens!$O$825/ext_sh_lo*(ox_open+rent_mw)*Sens!$O$826/1000</f>
        <v>2.08834993469385</v>
      </c>
    </row>
    <row r="845" customFormat="false" ht="17.15" hidden="false" customHeight="false" outlineLevel="0" collapsed="false">
      <c r="A845" s="0" t="s">
        <v>627</v>
      </c>
      <c r="B845" s="0" t="s">
        <v>86</v>
      </c>
      <c r="C845" s="38" t="n">
        <f aca="false">Q!$D$7</f>
        <v>107.556</v>
      </c>
      <c r="D845" s="38" t="n">
        <f aca="false">Q!$E$7</f>
        <v>128.725</v>
      </c>
      <c r="E845" s="38" t="n">
        <f aca="false">Q!$P$7</f>
        <v>79.819</v>
      </c>
      <c r="N845" s="38" t="n">
        <f aca="false">Q!$N$7</f>
        <v>60.14</v>
      </c>
      <c r="O845" s="38" t="n">
        <f aca="false">Q!$O$7</f>
        <v>68.585</v>
      </c>
    </row>
    <row r="846" customFormat="false" ht="17.15" hidden="false" customHeight="false" outlineLevel="0" collapsed="false">
      <c r="A846" s="1" t="s">
        <v>628</v>
      </c>
      <c r="B846" s="8" t="s">
        <v>86</v>
      </c>
      <c r="C846" s="38" t="n">
        <f aca="false">Sens!$C$845-Sens!$C$842</f>
        <v>105.234994643026</v>
      </c>
      <c r="D846" s="38" t="n">
        <f aca="false">Sens!$D$845-Sens!$D$842</f>
        <v>120.021229911349</v>
      </c>
      <c r="E846" s="38" t="n">
        <f aca="false">Sens!$E$845-Sens!$E$842</f>
        <v>71.30864702443</v>
      </c>
      <c r="F846" s="38" t="n">
        <f aca="false">Sens!$O$846*(1+Sens!$F$847)</f>
        <v>71.7692997942464</v>
      </c>
      <c r="G846" s="38" t="n">
        <f aca="false">Sens!$E$846+Sens!$F$846</f>
        <v>143.077946818676</v>
      </c>
      <c r="H846" s="38" t="n">
        <f aca="false">Sens!$G$846*(1+Sens!$H$847)</f>
        <v>161.017077079203</v>
      </c>
      <c r="I846" s="38" t="n">
        <f aca="false">Sens!$H$846*(1+Sens!$I$847)</f>
        <v>178.769759521457</v>
      </c>
      <c r="J846" s="38" t="n">
        <f aca="false">Sens!$I$846*(1+Sens!$J$847)</f>
        <v>195.775538045907</v>
      </c>
      <c r="K846" s="38" t="n">
        <f aca="false">Sens!$J$846*(1+Sens!$K$847)</f>
        <v>211.43758108958</v>
      </c>
      <c r="L846" s="38" t="n">
        <f aca="false">Sens!$K$846*(1+Sens!$L$847)</f>
        <v>228.352587576746</v>
      </c>
      <c r="M846" s="38" t="n">
        <f aca="false">Sens!$L$846*(1+Sens!$M$847)</f>
        <v>246.620794582886</v>
      </c>
      <c r="N846" s="38" t="n">
        <f aca="false">Sens!$N$845-Sens!$N$842</f>
        <v>57.0936804689721</v>
      </c>
      <c r="O846" s="38" t="n">
        <f aca="false">Sens!$O$845-Sens!$O$842</f>
        <v>62.9275494423768</v>
      </c>
      <c r="P846" s="5" t="s">
        <v>629</v>
      </c>
    </row>
    <row r="847" customFormat="false" ht="17.15" hidden="false" customHeight="false" outlineLevel="0" collapsed="false">
      <c r="A847" s="0" t="s">
        <v>630</v>
      </c>
      <c r="B847" s="0" t="s">
        <v>52</v>
      </c>
      <c r="D847" s="13" t="n">
        <f aca="false">Sens!$D$846/Sens!$C$846-1</f>
        <v>0.140506827776062</v>
      </c>
      <c r="E847" s="13" t="n">
        <f aca="false">Sens!$E$846/Sens!$N$846-1</f>
        <v>0.248976181579029</v>
      </c>
      <c r="F847" s="13" t="n">
        <f aca="false">Sens!$D$847</f>
        <v>0.140506827776062</v>
      </c>
      <c r="G847" s="13" t="n">
        <f aca="false">Sens!$G$846/Sens!$D$846-1</f>
        <v>0.19210532106993</v>
      </c>
      <c r="H847" s="13" t="n">
        <f aca="false">Sens!$F$847+(g_awso_lt-Sens!$F$847)*1/4</f>
        <v>0.125380120832046</v>
      </c>
      <c r="I847" s="13" t="n">
        <f aca="false">Sens!$F$847+(g_awso_lt-Sens!$F$847)*2/4</f>
        <v>0.110253413888031</v>
      </c>
      <c r="J847" s="13" t="n">
        <f aca="false">Sens!$F$847+(g_awso_lt-Sens!$F$847)*3/4</f>
        <v>0.0951267069440154</v>
      </c>
      <c r="K847" s="13" t="n">
        <f aca="false">Sens!$F$847+(g_awso_lt-Sens!$F$847)*4/4</f>
        <v>0.08</v>
      </c>
      <c r="L847" s="13" t="n">
        <f aca="false">g_awso_lt</f>
        <v>0.08</v>
      </c>
      <c r="M847" s="13" t="n">
        <f aca="false">g_awso_lt</f>
        <v>0.08</v>
      </c>
      <c r="P847" s="5" t="s">
        <v>631</v>
      </c>
    </row>
    <row r="848" customFormat="false" ht="17.15" hidden="false" customHeight="false" outlineLevel="0" collapsed="false">
      <c r="A848" s="1" t="s">
        <v>632</v>
      </c>
    </row>
    <row r="849" customFormat="false" ht="17.15" hidden="false" customHeight="false" outlineLevel="0" collapsed="false">
      <c r="A849" s="0" t="s">
        <v>633</v>
      </c>
      <c r="B849" s="0" t="s">
        <v>86</v>
      </c>
      <c r="F849" s="38" t="n">
        <f aca="false">cx_rt*Sens!$F$814+cx_awso*Sens!$F$846</f>
        <v>34.9734495387866</v>
      </c>
    </row>
    <row r="850" customFormat="false" ht="17.15" hidden="false" customHeight="false" outlineLevel="0" collapsed="false">
      <c r="A850" s="0" t="s">
        <v>634</v>
      </c>
      <c r="B850" s="0" t="s">
        <v>52</v>
      </c>
      <c r="C850" s="13" t="n">
        <f aca="false">tk_cx_h100/(tk_cx_h100+tk_fac*(1-colo_sh))</f>
        <v>0.730756458006641</v>
      </c>
      <c r="D850" s="13" t="n">
        <f aca="false">tk_cx_h100/(tk_cx_h100+tk_fac*(1-colo_sh))</f>
        <v>0.730756458006641</v>
      </c>
      <c r="E850" s="13" t="n">
        <f aca="false">Sens!$F$850</f>
        <v>0.760792334328868</v>
      </c>
      <c r="F850" s="13" t="n">
        <f aca="false">Sens!$F$833/(Sens!$F$833+tk_fac*(1-colo_sh))</f>
        <v>0.760792334328868</v>
      </c>
      <c r="G850" s="13" t="n">
        <f aca="false">Sens!$G$833/(Sens!$G$833+tk_fac*(1-colo_sh))</f>
        <v>0.760792334328868</v>
      </c>
      <c r="H850" s="13" t="n">
        <f aca="false">Sens!$H$833/(Sens!$H$833+tk_fac*(1-colo_sh))</f>
        <v>0.768110668862996</v>
      </c>
      <c r="I850" s="13" t="n">
        <f aca="false">Sens!$I$833/(Sens!$I$833+tk_fac*(1-colo_sh))</f>
        <v>0.77499450139483</v>
      </c>
      <c r="J850" s="13" t="n">
        <f aca="false">Sens!$J$833/(Sens!$J$833+tk_fac*(1-colo_sh))</f>
        <v>0.77499450139483</v>
      </c>
      <c r="K850" s="13" t="n">
        <f aca="false">Sens!$K$833/(Sens!$K$833+tk_fac*(1-colo_sh))</f>
        <v>0.77499450139483</v>
      </c>
      <c r="L850" s="13" t="n">
        <f aca="false">Sens!$L$833/(Sens!$L$833+tk_fac*(1-colo_sh))</f>
        <v>0.77499450139483</v>
      </c>
      <c r="M850" s="13" t="n">
        <f aca="false">Sens!$M$833/(Sens!$M$833+tk_fac*(1-colo_sh))</f>
        <v>0.77499450139483</v>
      </c>
    </row>
    <row r="851" customFormat="false" ht="17.15" hidden="false" customHeight="false" outlineLevel="0" collapsed="false">
      <c r="A851" s="1" t="s">
        <v>635</v>
      </c>
      <c r="B851" s="8" t="s">
        <v>86</v>
      </c>
      <c r="C851" s="38" t="n">
        <f aca="false">Q!$D$46-cx_rt*Q!$D$16-cx_awso*Sens!$C$846</f>
        <v>25.2781053077374</v>
      </c>
      <c r="D851" s="38" t="n">
        <f aca="false">Q!$E$46-cx_rt*Q!$E$16-cx_awso*Sens!$D$846</f>
        <v>69.5686316310026</v>
      </c>
      <c r="E851" s="38" t="n">
        <f aca="false">Q!$P$46-cx_rt*Q!$P$16-cx_awso*Sens!$E$846</f>
        <v>64.1899206485108</v>
      </c>
      <c r="F851" s="38" t="n">
        <f aca="false">capex_g26-Q!$P$46-Sens!$F$849</f>
        <v>88.7165504612134</v>
      </c>
      <c r="G851" s="38" t="n">
        <f aca="false">Sens!$E$851+Sens!$F$851</f>
        <v>152.906471109724</v>
      </c>
      <c r="H851" s="38" t="n">
        <f aca="false">Sens!$H$828*(Sens!$H$833+tk_fac*(1-colo_sh))/1000+Sens!$H$852</f>
        <v>264.761819926333</v>
      </c>
      <c r="I851" s="38" t="n">
        <f aca="false">Sens!$I$828*(Sens!$I$833+tk_fac*(1-colo_sh))/1000+Sens!$I$852</f>
        <v>272.861959880667</v>
      </c>
      <c r="J851" s="38" t="n">
        <f aca="false">Sens!$J$828*(Sens!$J$833+tk_fac*(1-colo_sh))/1000+Sens!$J$852</f>
        <v>279.844317480667</v>
      </c>
      <c r="K851" s="38" t="n">
        <f aca="false">Sens!$K$828*(Sens!$K$833+tk_fac*(1-colo_sh))/1000+Sens!$K$852</f>
        <v>206.984513700268</v>
      </c>
      <c r="L851" s="38" t="n">
        <f aca="false">Sens!$L$828*(Sens!$L$833+tk_fac*(1-colo_sh))/1000+Sens!$L$852</f>
        <v>176.018855519869</v>
      </c>
      <c r="M851" s="38" t="n">
        <f aca="false">Sens!$M$828*(Sens!$M$833+tk_fac*(1-colo_sh))/1000+Sens!$M$852</f>
        <v>176.30797554647</v>
      </c>
      <c r="P851" s="5" t="s">
        <v>636</v>
      </c>
      <c r="R851" s="38" t="n">
        <f aca="false">Q!$C$46-cx_rt*Q!$C$16-cx_awso*(Q!$C$7-mw_ye23/2*rpm_open/1000)</f>
        <v>1.50429979529945</v>
      </c>
      <c r="S851" s="38" t="n">
        <f aca="false">Sens!$C$851</f>
        <v>25.2781053077374</v>
      </c>
      <c r="T851" s="38" t="n">
        <f aca="false">Sens!$D$851</f>
        <v>69.5686316310026</v>
      </c>
      <c r="U851" s="38" t="n">
        <f aca="false">Sens!$G$851</f>
        <v>152.906471109724</v>
      </c>
      <c r="V851" s="38" t="n">
        <f aca="false">Sens!$H$851</f>
        <v>264.761819926333</v>
      </c>
      <c r="W851" s="38" t="n">
        <f aca="false">Sens!$I$851</f>
        <v>272.861959880667</v>
      </c>
      <c r="X851" s="38" t="n">
        <f aca="false">Sens!$J$851</f>
        <v>279.844317480667</v>
      </c>
      <c r="Y851" s="38" t="n">
        <f aca="false">Sens!$K$851</f>
        <v>206.984513700268</v>
      </c>
      <c r="Z851" s="38" t="n">
        <f aca="false">Sens!$L$851</f>
        <v>176.018855519869</v>
      </c>
      <c r="AA851" s="38" t="n">
        <f aca="false">Sens!$M$851</f>
        <v>176.30797554647</v>
      </c>
    </row>
    <row r="852" customFormat="false" ht="17.15" hidden="false" customHeight="false" outlineLevel="0" collapsed="false">
      <c r="A852" s="0" t="s">
        <v>637</v>
      </c>
      <c r="B852" s="0" t="s">
        <v>86</v>
      </c>
      <c r="H852" s="38" t="n">
        <f aca="false">SUMPRODUCT(--(Sens!$R$821:$AA$821=2027-tk_life),Sens!$R$828:$AA$828)*Sens!$H$833/1000</f>
        <v>0</v>
      </c>
      <c r="I852" s="38" t="n">
        <f aca="false">SUMPRODUCT(--(Sens!$R$821:$AA$821=2028-tk_life),Sens!$R$828:$AA$828)*Sens!$I$833/1000</f>
        <v>0</v>
      </c>
      <c r="J852" s="38" t="n">
        <f aca="false">SUMPRODUCT(--(Sens!$R$821:$AA$821=2029-tk_life),Sens!$R$828:$AA$828)*Sens!$J$833/1000</f>
        <v>6.9823576</v>
      </c>
      <c r="K852" s="38" t="n">
        <f aca="false">SUMPRODUCT(--(Sens!$R$821:$AA$821=2030-tk_life),Sens!$R$828:$AA$828)*Sens!$K$833/1000</f>
        <v>13.9647152</v>
      </c>
      <c r="L852" s="38" t="n">
        <f aca="false">SUMPRODUCT(--(Sens!$R$821:$AA$821=2031-tk_life),Sens!$R$828:$AA$828)*Sens!$L$833/1000</f>
        <v>62.8412184</v>
      </c>
      <c r="M852" s="38" t="n">
        <f aca="false">SUMPRODUCT(--(Sens!$R$821:$AA$821=2032-tk_life),Sens!$R$828:$AA$828)*Sens!$M$833/1000</f>
        <v>142.972499807</v>
      </c>
    </row>
    <row r="853" customFormat="false" ht="17.15" hidden="false" customHeight="false" outlineLevel="0" collapsed="false">
      <c r="A853" s="0" t="s">
        <v>638</v>
      </c>
      <c r="B853" s="0" t="s">
        <v>86</v>
      </c>
      <c r="C853" s="38" t="n">
        <f aca="false">MIN(Sens!$C$851,Sens!$C$828*(tk_cx_h100+tk_fac*(1-colo_sh))/1000)</f>
        <v>15.0584856</v>
      </c>
      <c r="D853" s="38" t="n">
        <f aca="false">MIN(Sens!$D$851,Sens!$D$828*(tk_cx_h100+tk_fac*(1-colo_sh))/1000)</f>
        <v>67.7631852</v>
      </c>
      <c r="E853" s="38" t="n">
        <f aca="false">MIN(Sens!$E$851,Sens!$E$828*(Sens!$F$833+tk_fac*(1-colo_sh))/1000)</f>
        <v>45.1981056</v>
      </c>
      <c r="F853" s="38" t="n">
        <f aca="false">Sens!$F$851</f>
        <v>88.7165504612134</v>
      </c>
      <c r="G853" s="38" t="n">
        <f aca="false">Sens!$E$853+Sens!$F$853</f>
        <v>133.914656061213</v>
      </c>
      <c r="H853" s="38" t="n">
        <f aca="false">Sens!$H$851</f>
        <v>264.761819926333</v>
      </c>
      <c r="I853" s="38" t="n">
        <f aca="false">Sens!$I$851</f>
        <v>272.861959880667</v>
      </c>
      <c r="J853" s="38" t="n">
        <f aca="false">Sens!$J$851</f>
        <v>279.844317480667</v>
      </c>
      <c r="K853" s="38" t="n">
        <f aca="false">Sens!$K$851</f>
        <v>206.984513700268</v>
      </c>
      <c r="L853" s="38" t="n">
        <f aca="false">Sens!$L$851</f>
        <v>176.018855519869</v>
      </c>
      <c r="M853" s="38" t="n">
        <f aca="false">Sens!$M$851</f>
        <v>176.30797554647</v>
      </c>
      <c r="P853" s="5" t="s">
        <v>639</v>
      </c>
      <c r="R853" s="38" t="n">
        <f aca="false">MIN(Sens!$R$851,Sens!$R$828*(tk_cx_h100+tk_fac*(1-colo_sh))/1000)</f>
        <v>1.50429979529945</v>
      </c>
      <c r="S853" s="38" t="n">
        <f aca="false">Sens!$C$853</f>
        <v>15.0584856</v>
      </c>
      <c r="T853" s="38" t="n">
        <f aca="false">Sens!$D$853</f>
        <v>67.7631852</v>
      </c>
      <c r="U853" s="38" t="n">
        <f aca="false">Sens!$G$853</f>
        <v>133.914656061213</v>
      </c>
      <c r="V853" s="38" t="n">
        <f aca="false">Sens!$H$853</f>
        <v>264.761819926333</v>
      </c>
      <c r="W853" s="38" t="n">
        <f aca="false">Sens!$I$853</f>
        <v>272.861959880667</v>
      </c>
      <c r="X853" s="38" t="n">
        <f aca="false">Sens!$J$853</f>
        <v>279.844317480667</v>
      </c>
      <c r="Y853" s="38" t="n">
        <f aca="false">Sens!$K$853</f>
        <v>206.984513700268</v>
      </c>
      <c r="Z853" s="38" t="n">
        <f aca="false">Sens!$L$853</f>
        <v>176.018855519869</v>
      </c>
      <c r="AA853" s="38" t="n">
        <f aca="false">Sens!$M$853</f>
        <v>176.30797554647</v>
      </c>
    </row>
    <row r="854" customFormat="false" ht="17.15" hidden="false" customHeight="false" outlineLevel="0" collapsed="false">
      <c r="A854" s="5" t="s">
        <v>640</v>
      </c>
      <c r="B854" s="0" t="s">
        <v>86</v>
      </c>
      <c r="C854" s="38" t="n">
        <f aca="false">Sens!$C$851-Sens!$C$853</f>
        <v>10.2196197077374</v>
      </c>
      <c r="D854" s="38" t="n">
        <f aca="false">Sens!$D$851-Sens!$D$853</f>
        <v>1.80544643100262</v>
      </c>
      <c r="E854" s="38" t="n">
        <f aca="false">Sens!$E$851-Sens!$E$853</f>
        <v>18.9918150485108</v>
      </c>
      <c r="F854" s="38" t="n">
        <f aca="false">Sens!$F$851-Sens!$F$853</f>
        <v>0</v>
      </c>
      <c r="G854" s="38" t="n">
        <f aca="false">Sens!$G$851-Sens!$G$853</f>
        <v>18.9918150485108</v>
      </c>
      <c r="H854" s="38" t="n">
        <f aca="false">Sens!$H$851-Sens!$H$853</f>
        <v>0</v>
      </c>
      <c r="I854" s="38" t="n">
        <f aca="false">Sens!$I$851-Sens!$I$853</f>
        <v>0</v>
      </c>
      <c r="J854" s="38" t="n">
        <f aca="false">Sens!$J$851-Sens!$J$853</f>
        <v>0</v>
      </c>
      <c r="K854" s="38" t="n">
        <f aca="false">Sens!$K$851-Sens!$K$853</f>
        <v>0</v>
      </c>
      <c r="L854" s="38" t="n">
        <f aca="false">Sens!$L$851-Sens!$L$853</f>
        <v>0</v>
      </c>
      <c r="M854" s="38" t="n">
        <f aca="false">Sens!$M$851-Sens!$M$853</f>
        <v>0</v>
      </c>
      <c r="P854" s="5" t="s">
        <v>641</v>
      </c>
      <c r="R854" s="38" t="n">
        <f aca="false">Sens!$R$851-Sens!$R$853</f>
        <v>0</v>
      </c>
      <c r="S854" s="38" t="n">
        <f aca="false">Sens!$S$851-Sens!$S$853</f>
        <v>10.2196197077374</v>
      </c>
      <c r="T854" s="38" t="n">
        <f aca="false">Sens!$T$851-Sens!$T$853</f>
        <v>1.80544643100262</v>
      </c>
      <c r="U854" s="38" t="n">
        <f aca="false">Sens!$U$851-Sens!$U$853</f>
        <v>18.9918150485108</v>
      </c>
      <c r="V854" s="38" t="n">
        <f aca="false">Sens!$V$851-Sens!$V$853</f>
        <v>0</v>
      </c>
      <c r="W854" s="38" t="n">
        <f aca="false">Sens!$W$851-Sens!$W$853</f>
        <v>0</v>
      </c>
      <c r="X854" s="38" t="n">
        <f aca="false">Sens!$X$851-Sens!$X$853</f>
        <v>0</v>
      </c>
      <c r="Y854" s="38" t="n">
        <f aca="false">Sens!$Y$851-Sens!$Y$853</f>
        <v>0</v>
      </c>
      <c r="Z854" s="38" t="n">
        <f aca="false">Sens!$Z$851-Sens!$Z$853</f>
        <v>0</v>
      </c>
      <c r="AA854" s="38" t="n">
        <f aca="false">Sens!$AA$851-Sens!$AA$853</f>
        <v>0</v>
      </c>
    </row>
    <row r="855" customFormat="false" ht="17.15" hidden="false" customHeight="false" outlineLevel="0" collapsed="false">
      <c r="A855" s="5" t="s">
        <v>642</v>
      </c>
      <c r="B855" s="0" t="s">
        <v>86</v>
      </c>
      <c r="R855" s="38" t="n">
        <f aca="false">Sens!$R$854*Sens!$C$850</f>
        <v>0</v>
      </c>
      <c r="S855" s="38" t="n">
        <f aca="false">Sens!$S$854*Sens!$C$850</f>
        <v>7.46805309980105</v>
      </c>
      <c r="T855" s="38" t="n">
        <f aca="false">Sens!$T$854*Sens!$C$850</f>
        <v>1.31934163904021</v>
      </c>
      <c r="U855" s="38" t="n">
        <f aca="false">Sens!$U$854*Sens!$E$850</f>
        <v>14.4488273038986</v>
      </c>
      <c r="V855" s="38" t="n">
        <f aca="false">Sens!$V$854*Sens!$E$850</f>
        <v>0</v>
      </c>
      <c r="W855" s="38" t="n">
        <f aca="false">Sens!$W$854*Sens!$E$850</f>
        <v>0</v>
      </c>
      <c r="X855" s="38" t="n">
        <f aca="false">Sens!$X$854*Sens!$E$850</f>
        <v>0</v>
      </c>
      <c r="Y855" s="38" t="n">
        <f aca="false">Sens!$Y$854*Sens!$E$850</f>
        <v>0</v>
      </c>
      <c r="Z855" s="38" t="n">
        <f aca="false">Sens!$Z$854*Sens!$E$850</f>
        <v>0</v>
      </c>
      <c r="AA855" s="38" t="n">
        <f aca="false">Sens!$AA$854*Sens!$E$850</f>
        <v>0</v>
      </c>
    </row>
    <row r="856" customFormat="false" ht="17.15" hidden="false" customHeight="false" outlineLevel="0" collapsed="false">
      <c r="A856" s="5" t="s">
        <v>643</v>
      </c>
      <c r="B856" s="0" t="s">
        <v>86</v>
      </c>
      <c r="R856" s="38" t="n">
        <f aca="false">SUMPRODUCT(--(Sens!$R$821:$AA$821=2023-cip_lag),Sens!$R$855:$AA$855)</f>
        <v>0</v>
      </c>
      <c r="S856" s="38" t="n">
        <f aca="false">SUMPRODUCT(--(Sens!$R$821:$AA$821=2024-cip_lag),Sens!$R$855:$AA$855)</f>
        <v>0</v>
      </c>
      <c r="T856" s="38" t="n">
        <f aca="false">SUMPRODUCT(--(Sens!$R$821:$AA$821=2025-cip_lag),Sens!$R$855:$AA$855)</f>
        <v>7.46805309980105</v>
      </c>
      <c r="U856" s="38" t="n">
        <f aca="false">SUMPRODUCT(--(Sens!$R$821:$AA$821=2026-cip_lag),Sens!$R$855:$AA$855)</f>
        <v>1.31934163904021</v>
      </c>
      <c r="V856" s="38" t="n">
        <f aca="false">SUMPRODUCT(--(Sens!$R$821:$AA$821=2027-cip_lag),Sens!$R$855:$AA$855)</f>
        <v>14.4488273038986</v>
      </c>
      <c r="W856" s="38" t="n">
        <f aca="false">SUMPRODUCT(--(Sens!$R$821:$AA$821=2028-cip_lag),Sens!$R$855:$AA$855)</f>
        <v>0</v>
      </c>
      <c r="X856" s="38" t="n">
        <f aca="false">SUMPRODUCT(--(Sens!$R$821:$AA$821=2029-cip_lag),Sens!$R$855:$AA$855)</f>
        <v>0</v>
      </c>
      <c r="Y856" s="38" t="n">
        <f aca="false">SUMPRODUCT(--(Sens!$R$821:$AA$821=2030-cip_lag),Sens!$R$855:$AA$855)</f>
        <v>0</v>
      </c>
      <c r="Z856" s="38" t="n">
        <f aca="false">SUMPRODUCT(--(Sens!$R$821:$AA$821=2031-cip_lag),Sens!$R$855:$AA$855)</f>
        <v>0</v>
      </c>
      <c r="AA856" s="38" t="n">
        <f aca="false">SUMPRODUCT(--(Sens!$R$821:$AA$821=2032-cip_lag),Sens!$R$855:$AA$855)</f>
        <v>0</v>
      </c>
    </row>
    <row r="857" customFormat="false" ht="15" hidden="false" customHeight="false" outlineLevel="0" collapsed="false">
      <c r="A857" s="5" t="s">
        <v>644</v>
      </c>
      <c r="B857" s="0" t="s">
        <v>86</v>
      </c>
      <c r="R857" s="38" t="n">
        <f aca="false">SUMPRODUCT(--(Sens!$R$821:$AA$821=2023-cip_lag),Sens!$R$854:$AA$854)-Sens!$R$856</f>
        <v>0</v>
      </c>
      <c r="S857" s="38" t="n">
        <f aca="false">SUMPRODUCT(--(Sens!$R$821:$AA$821=2024-cip_lag),Sens!$R$854:$AA$854)-Sens!$S$856</f>
        <v>0</v>
      </c>
      <c r="T857" s="38" t="n">
        <f aca="false">SUMPRODUCT(--(Sens!$R$821:$AA$821=2025-cip_lag),Sens!$R$854:$AA$854)-Sens!$T$856</f>
        <v>2.75156660793636</v>
      </c>
      <c r="U857" s="38" t="n">
        <f aca="false">SUMPRODUCT(--(Sens!$R$821:$AA$821=2026-cip_lag),Sens!$R$854:$AA$854)-Sens!$U$856</f>
        <v>0.486104791962416</v>
      </c>
      <c r="V857" s="38" t="n">
        <f aca="false">SUMPRODUCT(--(Sens!$R$821:$AA$821=2027-cip_lag),Sens!$R$854:$AA$854)-Sens!$V$856</f>
        <v>4.54298774461215</v>
      </c>
      <c r="W857" s="38" t="n">
        <f aca="false">SUMPRODUCT(--(Sens!$R$821:$AA$821=2028-cip_lag),Sens!$R$854:$AA$854)-Sens!$W$856</f>
        <v>0</v>
      </c>
      <c r="X857" s="38" t="n">
        <f aca="false">SUMPRODUCT(--(Sens!$R$821:$AA$821=2029-cip_lag),Sens!$R$854:$AA$854)-Sens!$X$856</f>
        <v>0</v>
      </c>
      <c r="Y857" s="38" t="n">
        <f aca="false">SUMPRODUCT(--(Sens!$R$821:$AA$821=2030-cip_lag),Sens!$R$854:$AA$854)-Sens!$Y$856</f>
        <v>0</v>
      </c>
      <c r="Z857" s="38" t="n">
        <f aca="false">SUMPRODUCT(--(Sens!$R$821:$AA$821=2031-cip_lag),Sens!$R$854:$AA$854)-Sens!$Z$856</f>
        <v>0</v>
      </c>
      <c r="AA857" s="38" t="n">
        <f aca="false">SUMPRODUCT(--(Sens!$R$821:$AA$821=2032-cip_lag),Sens!$R$854:$AA$854)-Sens!$AA$856</f>
        <v>0</v>
      </c>
    </row>
    <row r="858" customFormat="false" ht="17.15" hidden="false" customHeight="false" outlineLevel="0" collapsed="false">
      <c r="A858" s="5" t="s">
        <v>645</v>
      </c>
      <c r="B858" s="0" t="s">
        <v>86</v>
      </c>
      <c r="C858" s="38" t="n">
        <f aca="false">Sens!$C$853*Sens!$C$850</f>
        <v>11.0040856</v>
      </c>
      <c r="D858" s="38" t="n">
        <f aca="false">Sens!$D$853*Sens!$D$850</f>
        <v>49.5183852</v>
      </c>
      <c r="E858" s="38" t="n">
        <f aca="false">Sens!$E$853*Sens!$E$850</f>
        <v>34.3863722666667</v>
      </c>
      <c r="F858" s="38" t="n">
        <f aca="false">Sens!$F$853*Sens!$F$850</f>
        <v>67.4948715189913</v>
      </c>
      <c r="G858" s="38" t="n">
        <f aca="false">Sens!$E$858+Sens!$F$858</f>
        <v>101.881243785658</v>
      </c>
      <c r="H858" s="38" t="n">
        <f aca="false">(Sens!$H$853-Sens!$H$852)*Sens!$H$850+Sens!$H$852</f>
        <v>203.366378593</v>
      </c>
      <c r="I858" s="38" t="n">
        <f aca="false">(Sens!$I$853-Sens!$I$852)*Sens!$I$850+Sens!$I$852</f>
        <v>211.466518547333</v>
      </c>
      <c r="J858" s="38" t="n">
        <f aca="false">(Sens!$J$853-Sens!$J$852)*Sens!$J$850+Sens!$J$852</f>
        <v>218.448876147333</v>
      </c>
      <c r="K858" s="38" t="n">
        <f aca="false">(Sens!$K$853-Sens!$K$852)*Sens!$K$850+Sens!$K$852</f>
        <v>163.553997698046</v>
      </c>
      <c r="L858" s="38" t="n">
        <f aca="false">(Sens!$L$853-Sens!$L$852)*Sens!$L$850+Sens!$L$852</f>
        <v>150.553264848758</v>
      </c>
      <c r="M858" s="38" t="n">
        <f aca="false">(Sens!$M$853-Sens!$M$852)*Sens!$M$850+Sens!$M$852</f>
        <v>168.80731020647</v>
      </c>
      <c r="R858" s="38" t="n">
        <f aca="false">Sens!$R$853*Sens!$C$850</f>
        <v>1.09927679019314</v>
      </c>
      <c r="S858" s="38" t="n">
        <f aca="false">Sens!$C$858</f>
        <v>11.0040856</v>
      </c>
      <c r="T858" s="38" t="n">
        <f aca="false">Sens!$D$858</f>
        <v>49.5183852</v>
      </c>
      <c r="U858" s="38" t="n">
        <f aca="false">Sens!$G$858</f>
        <v>101.881243785658</v>
      </c>
      <c r="V858" s="38" t="n">
        <f aca="false">Sens!$H$858</f>
        <v>203.366378593</v>
      </c>
      <c r="W858" s="38" t="n">
        <f aca="false">Sens!$I$858</f>
        <v>211.466518547333</v>
      </c>
      <c r="X858" s="38" t="n">
        <f aca="false">Sens!$J$858</f>
        <v>218.448876147333</v>
      </c>
      <c r="Y858" s="38" t="n">
        <f aca="false">Sens!$K$858</f>
        <v>163.553997698046</v>
      </c>
      <c r="Z858" s="38" t="n">
        <f aca="false">Sens!$L$858</f>
        <v>150.553264848758</v>
      </c>
      <c r="AA858" s="38" t="n">
        <f aca="false">Sens!$M$858</f>
        <v>168.80731020647</v>
      </c>
    </row>
    <row r="859" customFormat="false" ht="15" hidden="false" customHeight="false" outlineLevel="0" collapsed="false">
      <c r="A859" s="5" t="s">
        <v>646</v>
      </c>
      <c r="B859" s="0" t="s">
        <v>86</v>
      </c>
      <c r="C859" s="38" t="n">
        <f aca="false">Sens!$C$853-Sens!$C$858</f>
        <v>4.0544</v>
      </c>
      <c r="D859" s="38" t="n">
        <f aca="false">Sens!$D$853-Sens!$D$858</f>
        <v>18.2448</v>
      </c>
      <c r="E859" s="38" t="n">
        <f aca="false">Sens!$E$853-Sens!$E$858</f>
        <v>10.8117333333333</v>
      </c>
      <c r="F859" s="38" t="n">
        <f aca="false">Sens!$F$853-Sens!$F$858</f>
        <v>21.2216789422221</v>
      </c>
      <c r="G859" s="38" t="n">
        <f aca="false">Sens!$G$853-Sens!$G$858</f>
        <v>32.0334122755554</v>
      </c>
      <c r="H859" s="38" t="n">
        <f aca="false">Sens!$H$853-Sens!$H$858</f>
        <v>61.3954413333334</v>
      </c>
      <c r="I859" s="38" t="n">
        <f aca="false">Sens!$I$853-Sens!$I$858</f>
        <v>61.3954413333333</v>
      </c>
      <c r="J859" s="38" t="n">
        <f aca="false">Sens!$J$853-Sens!$J$858</f>
        <v>61.3954413333333</v>
      </c>
      <c r="K859" s="38" t="n">
        <f aca="false">Sens!$K$853-Sens!$K$858</f>
        <v>43.4305160022223</v>
      </c>
      <c r="L859" s="38" t="n">
        <f aca="false">Sens!$L$853-Sens!$L$858</f>
        <v>25.4655906711111</v>
      </c>
      <c r="M859" s="38" t="n">
        <f aca="false">Sens!$M$853-Sens!$M$858</f>
        <v>7.50066533999998</v>
      </c>
      <c r="R859" s="38" t="n">
        <f aca="false">Sens!$R$853-Sens!$R$858</f>
        <v>0.405023005106309</v>
      </c>
      <c r="S859" s="38" t="n">
        <f aca="false">Sens!$S$853-Sens!$S$858</f>
        <v>4.0544</v>
      </c>
      <c r="T859" s="38" t="n">
        <f aca="false">Sens!$T$853-Sens!$T$858</f>
        <v>18.2448</v>
      </c>
      <c r="U859" s="38" t="n">
        <f aca="false">Sens!$U$853-Sens!$U$858</f>
        <v>32.0334122755554</v>
      </c>
      <c r="V859" s="38" t="n">
        <f aca="false">Sens!$V$853-Sens!$V$858</f>
        <v>61.3954413333334</v>
      </c>
      <c r="W859" s="38" t="n">
        <f aca="false">Sens!$W$853-Sens!$W$858</f>
        <v>61.3954413333333</v>
      </c>
      <c r="X859" s="38" t="n">
        <f aca="false">Sens!$X$853-Sens!$X$858</f>
        <v>61.3954413333333</v>
      </c>
      <c r="Y859" s="38" t="n">
        <f aca="false">Sens!$Y$853-Sens!$Y$858</f>
        <v>43.4305160022223</v>
      </c>
      <c r="Z859" s="38" t="n">
        <f aca="false">Sens!$Z$853-Sens!$Z$858</f>
        <v>25.4655906711111</v>
      </c>
      <c r="AA859" s="38" t="n">
        <f aca="false">Sens!$AA$853-Sens!$AA$858</f>
        <v>7.50066533999998</v>
      </c>
    </row>
    <row r="860" customFormat="false" ht="17.15" hidden="false" customHeight="false" outlineLevel="0" collapsed="false">
      <c r="A860" s="0" t="s">
        <v>647</v>
      </c>
      <c r="B860" s="0" t="s">
        <v>52</v>
      </c>
      <c r="C860" s="13" t="n">
        <f aca="false">Sens!$C$851/Sens!$C$976</f>
        <v>0.325505489553393</v>
      </c>
      <c r="D860" s="13" t="n">
        <f aca="false">Sens!$D$851/Sens!$D$976</f>
        <v>0.54214956071542</v>
      </c>
      <c r="E860" s="13" t="n">
        <f aca="false">Sens!$E$851/Sens!$E$976</f>
        <v>0.666492790452817</v>
      </c>
      <c r="F860" s="13" t="n">
        <f aca="false">Sens!$F$851/Sens!$F$976</f>
        <v>0.71724917504417</v>
      </c>
      <c r="G860" s="13" t="n">
        <f aca="false">Sens!$G$851/Sens!$G$976</f>
        <v>0.69502941413511</v>
      </c>
      <c r="H860" s="13" t="n">
        <f aca="false">Sens!$H$851/Sens!$H$976</f>
        <v>0.779713086549944</v>
      </c>
      <c r="I860" s="13" t="n">
        <f aca="false">Sens!$I$851/Sens!$I$976</f>
        <v>0.768198289209159</v>
      </c>
      <c r="J860" s="13" t="n">
        <f aca="false">Sens!$J$851/Sens!$J$976</f>
        <v>0.757815591782285</v>
      </c>
      <c r="K860" s="13" t="n">
        <f aca="false">Sens!$K$851/Sens!$K$976</f>
        <v>0.683561016394712</v>
      </c>
      <c r="L860" s="13" t="n">
        <f aca="false">Sens!$L$851/Sens!$L$976</f>
        <v>0.631568696428274</v>
      </c>
      <c r="M860" s="13" t="n">
        <f aca="false">Sens!$M$851/Sens!$M$976</f>
        <v>0.615667779845574</v>
      </c>
    </row>
    <row r="861" customFormat="false" ht="17.15" hidden="false" customHeight="false" outlineLevel="0" collapsed="false">
      <c r="A861" s="0" t="s">
        <v>648</v>
      </c>
      <c r="B861" s="0" t="s">
        <v>86</v>
      </c>
      <c r="C861" s="38" t="n">
        <f aca="false">Sens!$S$861</f>
        <v>0.183212798365523</v>
      </c>
      <c r="D861" s="38" t="n">
        <f aca="false">Sens!$T$861</f>
        <v>2.01722706503219</v>
      </c>
      <c r="E861" s="38" t="n">
        <f aca="false">Sens!$G$861/2</f>
        <v>5.75748339083285</v>
      </c>
      <c r="F861" s="38" t="n">
        <f aca="false">Sens!$G$861/2</f>
        <v>5.75748339083285</v>
      </c>
      <c r="G861" s="38" t="n">
        <f aca="false">Sens!$U$861</f>
        <v>11.5149667816657</v>
      </c>
      <c r="H861" s="38" t="n">
        <f aca="false">Sens!$V$861</f>
        <v>28.7150643524487</v>
      </c>
      <c r="I861" s="38" t="n">
        <f aca="false">Sens!$W$861</f>
        <v>65.0175986685985</v>
      </c>
      <c r="J861" s="38" t="n">
        <f aca="false">Sens!$X$861</f>
        <v>100.262018426487</v>
      </c>
      <c r="K861" s="38" t="n">
        <f aca="false">Sens!$Y$861</f>
        <v>136.486951652677</v>
      </c>
      <c r="L861" s="38" t="n">
        <f aca="false">Sens!$Z$861</f>
        <v>161.911937002352</v>
      </c>
      <c r="M861" s="38" t="n">
        <f aca="false">Sens!$AA$861</f>
        <v>177.506408093845</v>
      </c>
      <c r="N861" s="38" t="n">
        <f aca="false">Sens!$D$861/2</f>
        <v>1.0086135325161</v>
      </c>
      <c r="O861" s="38" t="n">
        <f aca="false">Sens!$D$861/2</f>
        <v>1.0086135325161</v>
      </c>
      <c r="R861" s="38" t="n">
        <f aca="false">(SUMPRODUCT(--(Sens!$R$821:$AA$821&lt;Sens!R$821),--(Sens!$R$821:$AA$821&gt;=Sens!R$821-tk_life),Sens!$R$858:$AA$858)+SUMPRODUCT(--(Sens!$R$821:$AA$821&lt;Sens!R$821),--(Sens!$R$821:$AA$821&gt;=Sens!R$821-tk_life),Sens!$R$856:$AA$856))/tk_life</f>
        <v>0</v>
      </c>
      <c r="S861" s="38" t="n">
        <f aca="false">(SUMPRODUCT(--(Sens!$R$821:$AA$821&lt;Sens!S$821),--(Sens!$R$821:$AA$821&gt;=Sens!S$821-tk_life),Sens!$R$858:$AA$858)+SUMPRODUCT(--(Sens!$R$821:$AA$821&lt;Sens!S$821),--(Sens!$R$821:$AA$821&gt;=Sens!S$821-tk_life),Sens!$R$856:$AA$856))/tk_life</f>
        <v>0.183212798365523</v>
      </c>
      <c r="T861" s="38" t="n">
        <f aca="false">(SUMPRODUCT(--(Sens!$R$821:$AA$821&lt;Sens!T$821),--(Sens!$R$821:$AA$821&gt;=Sens!T$821-tk_life),Sens!$R$858:$AA$858)+SUMPRODUCT(--(Sens!$R$821:$AA$821&lt;Sens!T$821),--(Sens!$R$821:$AA$821&gt;=Sens!T$821-tk_life),Sens!$R$856:$AA$856))/tk_life</f>
        <v>2.01722706503219</v>
      </c>
      <c r="U861" s="38" t="n">
        <f aca="false">(SUMPRODUCT(--(Sens!$R$821:$AA$821&lt;Sens!U$821),--(Sens!$R$821:$AA$821&gt;=Sens!U$821-tk_life),Sens!$R$858:$AA$858)+SUMPRODUCT(--(Sens!$R$821:$AA$821&lt;Sens!U$821),--(Sens!$R$821:$AA$821&gt;=Sens!U$821-tk_life),Sens!$R$856:$AA$856))/tk_life</f>
        <v>11.5149667816657</v>
      </c>
      <c r="V861" s="38" t="n">
        <f aca="false">(SUMPRODUCT(--(Sens!$R$821:$AA$821&lt;Sens!V$821),--(Sens!$R$821:$AA$821&gt;=Sens!V$821-tk_life),Sens!$R$858:$AA$858)+SUMPRODUCT(--(Sens!$R$821:$AA$821&lt;Sens!V$821),--(Sens!$R$821:$AA$821&gt;=Sens!V$821-tk_life),Sens!$R$856:$AA$856))/tk_life</f>
        <v>28.7150643524487</v>
      </c>
      <c r="W861" s="38" t="n">
        <f aca="false">(SUMPRODUCT(--(Sens!$R$821:$AA$821&lt;Sens!W$821),--(Sens!$R$821:$AA$821&gt;=Sens!W$821-tk_life),Sens!$R$858:$AA$858)+SUMPRODUCT(--(Sens!$R$821:$AA$821&lt;Sens!W$821),--(Sens!$R$821:$AA$821&gt;=Sens!W$821-tk_life),Sens!$R$856:$AA$856))/tk_life</f>
        <v>65.0175986685985</v>
      </c>
      <c r="X861" s="38" t="n">
        <f aca="false">(SUMPRODUCT(--(Sens!$R$821:$AA$821&lt;Sens!X$821),--(Sens!$R$821:$AA$821&gt;=Sens!X$821-tk_life),Sens!$R$858:$AA$858)+SUMPRODUCT(--(Sens!$R$821:$AA$821&lt;Sens!X$821),--(Sens!$R$821:$AA$821&gt;=Sens!X$821-tk_life),Sens!$R$856:$AA$856))/tk_life</f>
        <v>100.262018426487</v>
      </c>
      <c r="Y861" s="38" t="n">
        <f aca="false">(SUMPRODUCT(--(Sens!$R$821:$AA$821&lt;Sens!Y$821),--(Sens!$R$821:$AA$821&gt;=Sens!Y$821-tk_life),Sens!$R$858:$AA$858)+SUMPRODUCT(--(Sens!$R$821:$AA$821&lt;Sens!Y$821),--(Sens!$R$821:$AA$821&gt;=Sens!Y$821-tk_life),Sens!$R$856:$AA$856))/tk_life</f>
        <v>136.486951652677</v>
      </c>
      <c r="Z861" s="38" t="n">
        <f aca="false">(SUMPRODUCT(--(Sens!$R$821:$AA$821&lt;Sens!Z$821),--(Sens!$R$821:$AA$821&gt;=Sens!Z$821-tk_life),Sens!$R$858:$AA$858)+SUMPRODUCT(--(Sens!$R$821:$AA$821&lt;Sens!Z$821),--(Sens!$R$821:$AA$821&gt;=Sens!Z$821-tk_life),Sens!$R$856:$AA$856))/tk_life</f>
        <v>161.911937002352</v>
      </c>
      <c r="AA861" s="38" t="n">
        <f aca="false">(SUMPRODUCT(--(Sens!$R$821:$AA$821&lt;Sens!AA$821),--(Sens!$R$821:$AA$821&gt;=Sens!AA$821-tk_life),Sens!$R$858:$AA$858)+SUMPRODUCT(--(Sens!$R$821:$AA$821&lt;Sens!AA$821),--(Sens!$R$821:$AA$821&gt;=Sens!AA$821-tk_life),Sens!$R$856:$AA$856))/tk_life</f>
        <v>177.506408093845</v>
      </c>
    </row>
    <row r="862" customFormat="false" ht="17.15" hidden="false" customHeight="false" outlineLevel="0" collapsed="false">
      <c r="A862" s="0" t="s">
        <v>649</v>
      </c>
      <c r="B862" s="0" t="s">
        <v>86</v>
      </c>
      <c r="C862" s="38" t="n">
        <f aca="false">Sens!$S$862</f>
        <v>0.0202511502553155</v>
      </c>
      <c r="D862" s="38" t="n">
        <f aca="false">Sens!$T$862</f>
        <v>0.222971150255315</v>
      </c>
      <c r="E862" s="38" t="n">
        <f aca="false">Sens!$G$862/2</f>
        <v>0.636394740326067</v>
      </c>
      <c r="F862" s="38" t="n">
        <f aca="false">Sens!$G$862/2</f>
        <v>0.636394740326067</v>
      </c>
      <c r="G862" s="38" t="n">
        <f aca="false">Sens!$U$862</f>
        <v>1.27278948065213</v>
      </c>
      <c r="H862" s="38" t="n">
        <f aca="false">Sens!$V$862</f>
        <v>2.89876533402803</v>
      </c>
      <c r="I862" s="38" t="n">
        <f aca="false">Sens!$W$862</f>
        <v>6.1956867879253</v>
      </c>
      <c r="J862" s="38" t="n">
        <f aca="false">Sens!$X$862</f>
        <v>9.26545885459197</v>
      </c>
      <c r="K862" s="38" t="n">
        <f aca="false">Sens!$Y$862</f>
        <v>12.3352309212586</v>
      </c>
      <c r="L862" s="38" t="n">
        <f aca="false">Sens!$Z$862</f>
        <v>14.5067567213697</v>
      </c>
      <c r="M862" s="38" t="n">
        <f aca="false">Sens!$AA$862</f>
        <v>15.7800362549253</v>
      </c>
      <c r="N862" s="38" t="n">
        <f aca="false">Sens!$D$862/2</f>
        <v>0.111485575127658</v>
      </c>
      <c r="O862" s="38" t="n">
        <f aca="false">Sens!$D$862/2</f>
        <v>0.111485575127658</v>
      </c>
      <c r="R862" s="38" t="n">
        <f aca="false">(SUMPRODUCT(--(Sens!$R$821:$AA$821&lt;Sens!R$821),Sens!$R$859:$AA$859)+SUMPRODUCT(--(Sens!$R$821:$AA$821&lt;Sens!R$821),Sens!$R$857:$AA$857))/fac_life</f>
        <v>0</v>
      </c>
      <c r="S862" s="38" t="n">
        <f aca="false">(SUMPRODUCT(--(Sens!$R$821:$AA$821&lt;Sens!S$821),Sens!$R$859:$AA$859)+SUMPRODUCT(--(Sens!$R$821:$AA$821&lt;Sens!S$821),Sens!$R$857:$AA$857))/fac_life</f>
        <v>0.0202511502553155</v>
      </c>
      <c r="T862" s="38" t="n">
        <f aca="false">(SUMPRODUCT(--(Sens!$R$821:$AA$821&lt;Sens!T$821),Sens!$R$859:$AA$859)+SUMPRODUCT(--(Sens!$R$821:$AA$821&lt;Sens!T$821),Sens!$R$857:$AA$857))/fac_life</f>
        <v>0.222971150255315</v>
      </c>
      <c r="U862" s="38" t="n">
        <f aca="false">(SUMPRODUCT(--(Sens!$R$821:$AA$821&lt;Sens!U$821),Sens!$R$859:$AA$859)+SUMPRODUCT(--(Sens!$R$821:$AA$821&lt;Sens!U$821),Sens!$R$857:$AA$857))/fac_life</f>
        <v>1.27278948065213</v>
      </c>
      <c r="V862" s="38" t="n">
        <f aca="false">(SUMPRODUCT(--(Sens!$R$821:$AA$821&lt;Sens!V$821),Sens!$R$859:$AA$859)+SUMPRODUCT(--(Sens!$R$821:$AA$821&lt;Sens!V$821),Sens!$R$857:$AA$857))/fac_life</f>
        <v>2.89876533402803</v>
      </c>
      <c r="W862" s="38" t="n">
        <f aca="false">(SUMPRODUCT(--(Sens!$R$821:$AA$821&lt;Sens!W$821),Sens!$R$859:$AA$859)+SUMPRODUCT(--(Sens!$R$821:$AA$821&lt;Sens!W$821),Sens!$R$857:$AA$857))/fac_life</f>
        <v>6.1956867879253</v>
      </c>
      <c r="X862" s="38" t="n">
        <f aca="false">(SUMPRODUCT(--(Sens!$R$821:$AA$821&lt;Sens!X$821),Sens!$R$859:$AA$859)+SUMPRODUCT(--(Sens!$R$821:$AA$821&lt;Sens!X$821),Sens!$R$857:$AA$857))/fac_life</f>
        <v>9.26545885459197</v>
      </c>
      <c r="Y862" s="38" t="n">
        <f aca="false">(SUMPRODUCT(--(Sens!$R$821:$AA$821&lt;Sens!Y$821),Sens!$R$859:$AA$859)+SUMPRODUCT(--(Sens!$R$821:$AA$821&lt;Sens!Y$821),Sens!$R$857:$AA$857))/fac_life</f>
        <v>12.3352309212586</v>
      </c>
      <c r="Z862" s="38" t="n">
        <f aca="false">(SUMPRODUCT(--(Sens!$R$821:$AA$821&lt;Sens!Z$821),Sens!$R$859:$AA$859)+SUMPRODUCT(--(Sens!$R$821:$AA$821&lt;Sens!Z$821),Sens!$R$857:$AA$857))/fac_life</f>
        <v>14.5067567213697</v>
      </c>
      <c r="AA862" s="38" t="n">
        <f aca="false">(SUMPRODUCT(--(Sens!$R$821:$AA$821&lt;Sens!AA$821),Sens!$R$859:$AA$859)+SUMPRODUCT(--(Sens!$R$821:$AA$821&lt;Sens!AA$821),Sens!$R$857:$AA$857))/fac_life</f>
        <v>15.7800362549253</v>
      </c>
    </row>
    <row r="863" customFormat="false" ht="17.15" hidden="false" customHeight="false" outlineLevel="0" collapsed="false">
      <c r="A863" s="1" t="s">
        <v>650</v>
      </c>
      <c r="B863" s="8" t="s">
        <v>86</v>
      </c>
      <c r="C863" s="38" t="n">
        <f aca="false">Sens!$C$861+Sens!$C$862</f>
        <v>0.203463948620839</v>
      </c>
      <c r="D863" s="38" t="n">
        <f aca="false">Sens!$D$861+Sens!$D$862</f>
        <v>2.24019821528751</v>
      </c>
      <c r="E863" s="38" t="n">
        <f aca="false">Sens!$E$861+Sens!$E$862</f>
        <v>6.39387813115892</v>
      </c>
      <c r="F863" s="38" t="n">
        <f aca="false">Sens!$F$861+Sens!$F$862</f>
        <v>6.39387813115892</v>
      </c>
      <c r="G863" s="38" t="n">
        <f aca="false">Sens!$G$861+Sens!$G$862</f>
        <v>12.7877562623178</v>
      </c>
      <c r="H863" s="38" t="n">
        <f aca="false">Sens!$H$861+Sens!$H$862</f>
        <v>31.6138296864768</v>
      </c>
      <c r="I863" s="38" t="n">
        <f aca="false">Sens!$I$861+Sens!$I$862</f>
        <v>71.2132854565238</v>
      </c>
      <c r="J863" s="38" t="n">
        <f aca="false">Sens!$J$861+Sens!$J$862</f>
        <v>109.527477281079</v>
      </c>
      <c r="K863" s="38" t="n">
        <f aca="false">Sens!$K$861+Sens!$K$862</f>
        <v>148.822182573936</v>
      </c>
      <c r="L863" s="38" t="n">
        <f aca="false">Sens!$L$861+Sens!$L$862</f>
        <v>176.418693723721</v>
      </c>
      <c r="M863" s="38" t="n">
        <f aca="false">Sens!$M$861+Sens!$M$862</f>
        <v>193.28644434877</v>
      </c>
      <c r="N863" s="38" t="n">
        <f aca="false">Sens!$N$861+Sens!$N$862</f>
        <v>1.12009910764375</v>
      </c>
      <c r="O863" s="38" t="n">
        <f aca="false">Sens!$O$861+Sens!$O$862</f>
        <v>1.12009910764375</v>
      </c>
      <c r="R863" s="38" t="n">
        <f aca="false">Sens!$R$861+Sens!$R$862</f>
        <v>0</v>
      </c>
      <c r="S863" s="38" t="n">
        <f aca="false">Sens!$S$861+Sens!$S$862</f>
        <v>0.203463948620839</v>
      </c>
      <c r="T863" s="38" t="n">
        <f aca="false">Sens!$T$861+Sens!$T$862</f>
        <v>2.24019821528751</v>
      </c>
      <c r="U863" s="38" t="n">
        <f aca="false">Sens!$U$861+Sens!$U$862</f>
        <v>12.7877562623178</v>
      </c>
      <c r="V863" s="38" t="n">
        <f aca="false">Sens!$V$861+Sens!$V$862</f>
        <v>31.6138296864768</v>
      </c>
      <c r="W863" s="38" t="n">
        <f aca="false">Sens!$W$861+Sens!$W$862</f>
        <v>71.2132854565238</v>
      </c>
      <c r="X863" s="38" t="n">
        <f aca="false">Sens!$X$861+Sens!$X$862</f>
        <v>109.527477281079</v>
      </c>
      <c r="Y863" s="38" t="n">
        <f aca="false">Sens!$Y$861+Sens!$Y$862</f>
        <v>148.822182573936</v>
      </c>
      <c r="Z863" s="38" t="n">
        <f aca="false">Sens!$Z$861+Sens!$Z$862</f>
        <v>176.418693723721</v>
      </c>
      <c r="AA863" s="38" t="n">
        <f aca="false">Sens!$AA$861+Sens!$AA$862</f>
        <v>193.28644434877</v>
      </c>
    </row>
    <row r="864" customFormat="false" ht="17.15" hidden="false" customHeight="false" outlineLevel="0" collapsed="false">
      <c r="A864" s="0" t="s">
        <v>651</v>
      </c>
      <c r="B864" s="0" t="s">
        <v>86</v>
      </c>
      <c r="C864" s="38" t="n">
        <f aca="false">Sens!$S$864</f>
        <v>26.578941154416</v>
      </c>
      <c r="D864" s="38" t="n">
        <f aca="false">Sens!$T$864</f>
        <v>93.9073745701312</v>
      </c>
      <c r="G864" s="38" t="n">
        <f aca="false">Sens!$U$864</f>
        <v>234.026089417538</v>
      </c>
      <c r="H864" s="38" t="n">
        <f aca="false">Sens!$V$864</f>
        <v>467.174079657394</v>
      </c>
      <c r="I864" s="38" t="n">
        <f aca="false">Sens!$W$864</f>
        <v>668.822754081537</v>
      </c>
      <c r="J864" s="38" t="n">
        <f aca="false">Sens!$X$864</f>
        <v>839.139594281124</v>
      </c>
      <c r="K864" s="38" t="n">
        <f aca="false">Sens!$Y$864</f>
        <v>897.301925407456</v>
      </c>
      <c r="L864" s="38" t="n">
        <f aca="false">Sens!$Z$864</f>
        <v>896.902087203604</v>
      </c>
      <c r="M864" s="38" t="n">
        <f aca="false">Sens!$AA$864</f>
        <v>879.923618401304</v>
      </c>
      <c r="R864" s="38" t="n">
        <f aca="false">SUM(Sens!$R$851:$R$851)-SUM(Sens!$R$863:$R$863)</f>
        <v>1.50429979529945</v>
      </c>
      <c r="S864" s="38" t="n">
        <f aca="false">SUM(Sens!$R$851:$S$851)-SUM(Sens!$R$863:$S$863)</f>
        <v>26.578941154416</v>
      </c>
      <c r="T864" s="38" t="n">
        <f aca="false">SUM(Sens!$R$851:$T$851)-SUM(Sens!$R$863:$T$863)</f>
        <v>93.9073745701312</v>
      </c>
      <c r="U864" s="38" t="n">
        <f aca="false">SUM(Sens!$R$851:$U$851)-SUM(Sens!$R$863:$U$863)</f>
        <v>234.026089417538</v>
      </c>
      <c r="V864" s="38" t="n">
        <f aca="false">SUM(Sens!$R$851:$V$851)-SUM(Sens!$R$863:$V$863)</f>
        <v>467.174079657394</v>
      </c>
      <c r="W864" s="38" t="n">
        <f aca="false">SUM(Sens!$R$851:$W$851)-SUM(Sens!$R$863:$W$863)</f>
        <v>668.822754081537</v>
      </c>
      <c r="X864" s="38" t="n">
        <f aca="false">SUM(Sens!$R$851:$X$851)-SUM(Sens!$R$863:$X$863)</f>
        <v>839.139594281124</v>
      </c>
      <c r="Y864" s="38" t="n">
        <f aca="false">SUM(Sens!$R$851:$Y$851)-SUM(Sens!$R$863:$Y$863)</f>
        <v>897.301925407456</v>
      </c>
      <c r="Z864" s="38" t="n">
        <f aca="false">SUM(Sens!$R$851:$Z$851)-SUM(Sens!$R$863:$Z$863)</f>
        <v>896.902087203604</v>
      </c>
      <c r="AA864" s="38" t="n">
        <f aca="false">SUM(Sens!$R$851:$AA$851)-SUM(Sens!$R$863:$AA$863)</f>
        <v>879.923618401304</v>
      </c>
    </row>
    <row r="865" customFormat="false" ht="17.15" hidden="false" customHeight="false" outlineLevel="0" collapsed="false">
      <c r="A865" s="1" t="s">
        <v>652</v>
      </c>
    </row>
    <row r="866" customFormat="false" ht="17.15" hidden="false" customHeight="false" outlineLevel="0" collapsed="false">
      <c r="A866" s="0" t="s">
        <v>653</v>
      </c>
      <c r="B866" s="0" t="s">
        <v>86</v>
      </c>
      <c r="C866" s="38" t="n">
        <f aca="false">Sens!$C$842-ext_sh_lo*Sens!$C$844</f>
        <v>1.80694998843362</v>
      </c>
      <c r="D866" s="38" t="n">
        <f aca="false">Sens!$D$842-ext_sh_lo*Sens!$D$844</f>
        <v>6.77606245662607</v>
      </c>
      <c r="E866" s="38" t="n">
        <f aca="false">Sens!$E$842-ext_sh_lo*Sens!$E$844</f>
        <v>6.62548329092326</v>
      </c>
      <c r="F866" s="38" t="n">
        <f aca="false">Sens!$F$842-ext_sh_lo*Sens!$F$844</f>
        <v>11.7200577158706</v>
      </c>
      <c r="G866" s="38" t="n">
        <f aca="false">Sens!$G$842-ext_sh_lo*Sens!$G$844</f>
        <v>18.3455410067939</v>
      </c>
      <c r="H866" s="38" t="n">
        <f aca="false">Sens!$H$842-ext_sh_lo*Sens!$H$844</f>
        <v>47.5171727060453</v>
      </c>
      <c r="I866" s="38" t="n">
        <f aca="false">Sens!$I$842-ext_sh_lo*Sens!$I$844</f>
        <v>80.5539692643667</v>
      </c>
      <c r="J866" s="38" t="n">
        <f aca="false">Sens!$J$842-ext_sh_lo*Sens!$J$844</f>
        <v>113.759316834883</v>
      </c>
      <c r="K866" s="38" t="n">
        <f aca="false">Sens!$K$842-ext_sh_lo*Sens!$K$844</f>
        <v>142.084411492169</v>
      </c>
      <c r="L866" s="38" t="n">
        <f aca="false">Sens!$L$842-ext_sh_lo*Sens!$L$844</f>
        <v>160.69964615804</v>
      </c>
      <c r="M866" s="38" t="n">
        <f aca="false">Sens!$M$842-ext_sh_lo*Sens!$M$844</f>
        <v>169.577607141793</v>
      </c>
      <c r="N866" s="38" t="n">
        <f aca="false">Sens!$N$842-ext_sh_lo*Sens!$N$844</f>
        <v>2.37162185981912</v>
      </c>
      <c r="O866" s="38" t="n">
        <f aca="false">Sens!$O$842-ext_sh_lo*Sens!$O$844</f>
        <v>4.40444059680694</v>
      </c>
    </row>
    <row r="867" customFormat="false" ht="17.15" hidden="false" customHeight="false" outlineLevel="0" collapsed="false">
      <c r="A867" s="1" t="s">
        <v>654</v>
      </c>
      <c r="B867" s="8" t="s">
        <v>86</v>
      </c>
      <c r="C867" s="38" t="n">
        <f aca="false">Sens!$C$866-ext_sh_lo*Sens!$C$863</f>
        <v>1.68487161926111</v>
      </c>
      <c r="D867" s="38" t="n">
        <f aca="false">Sens!$D$866-ext_sh_lo*Sens!$D$863</f>
        <v>5.43194352745356</v>
      </c>
      <c r="E867" s="38" t="n">
        <f aca="false">Sens!$E$866-ext_sh_lo*Sens!$E$863</f>
        <v>2.78915641222791</v>
      </c>
      <c r="F867" s="38" t="n">
        <f aca="false">Sens!$F$866-ext_sh_lo*Sens!$F$863</f>
        <v>7.88373083717524</v>
      </c>
      <c r="G867" s="38" t="n">
        <f aca="false">Sens!$G$866-ext_sh_lo*Sens!$G$863</f>
        <v>10.6728872494032</v>
      </c>
      <c r="H867" s="38" t="n">
        <f aca="false">Sens!$H$866-ext_sh_lo*Sens!$H$863</f>
        <v>28.5488748941593</v>
      </c>
      <c r="I867" s="38" t="n">
        <f aca="false">Sens!$I$866-ext_sh_lo*Sens!$I$863</f>
        <v>37.8259979904524</v>
      </c>
      <c r="J867" s="38" t="n">
        <f aca="false">Sens!$J$866-ext_sh_lo*Sens!$J$863</f>
        <v>48.0428304662358</v>
      </c>
      <c r="K867" s="38" t="n">
        <f aca="false">Sens!$K$866-ext_sh_lo*Sens!$K$863</f>
        <v>52.7911019478078</v>
      </c>
      <c r="L867" s="38" t="n">
        <f aca="false">Sens!$L$866-ext_sh_lo*Sens!$L$863</f>
        <v>54.8484299238074</v>
      </c>
      <c r="M867" s="38" t="n">
        <f aca="false">Sens!$M$866-ext_sh_lo*Sens!$M$863</f>
        <v>53.6057405325314</v>
      </c>
      <c r="N867" s="38" t="n">
        <f aca="false">Sens!$N$866-ext_sh_lo*Sens!$N$863</f>
        <v>1.69956239523287</v>
      </c>
      <c r="O867" s="38" t="n">
        <f aca="false">Sens!$O$866-ext_sh_lo*Sens!$O$863</f>
        <v>3.73238113222069</v>
      </c>
    </row>
    <row r="868" customFormat="false" ht="17.15" hidden="false" customHeight="false" outlineLevel="0" collapsed="false">
      <c r="A868" s="0" t="s">
        <v>655</v>
      </c>
      <c r="B868" s="0" t="s">
        <v>52</v>
      </c>
      <c r="C868" s="13" t="n">
        <f aca="false">Sens!$C$867/Sens!$C$842</f>
        <v>0.725923192809006</v>
      </c>
      <c r="D868" s="13" t="n">
        <f aca="false">Sens!$D$867/Sens!$D$842</f>
        <v>0.624090879254298</v>
      </c>
      <c r="E868" s="13" t="n">
        <f aca="false">Sens!$E$867/Sens!$E$842</f>
        <v>0.327736865936644</v>
      </c>
      <c r="F868" s="13" t="n">
        <f aca="false">Sens!$F$867/Sens!$F$842</f>
        <v>0.526866428144777</v>
      </c>
      <c r="G868" s="13" t="n">
        <f aca="false">Sens!$G$867/Sens!$G$842</f>
        <v>0.454672585298941</v>
      </c>
      <c r="H868" s="13" t="n">
        <f aca="false">Sens!$H$867/Sens!$H$842</f>
        <v>0.474502654882845</v>
      </c>
      <c r="I868" s="13" t="n">
        <f aca="false">Sens!$I$867/Sens!$I$842</f>
        <v>0.372656349593823</v>
      </c>
      <c r="J868" s="13" t="n">
        <f aca="false">Sens!$J$867/Sens!$J$842</f>
        <v>0.33590416851896</v>
      </c>
      <c r="K868" s="13" t="n">
        <f aca="false">Sens!$K$867/Sens!$K$842</f>
        <v>0.29583445224556</v>
      </c>
      <c r="L868" s="13" t="n">
        <f aca="false">Sens!$L$867/Sens!$L$842</f>
        <v>0.271892856938367</v>
      </c>
      <c r="M868" s="13" t="n">
        <f aca="false">Sens!$M$867/Sens!$M$842</f>
        <v>0.251864727922016</v>
      </c>
      <c r="N868" s="13" t="n">
        <f aca="false">Sens!$N$867/Sens!$N$842</f>
        <v>0.557906804562749</v>
      </c>
      <c r="O868" s="13" t="n">
        <f aca="false">Sens!$O$867/Sens!$O$842</f>
        <v>0.659728457934363</v>
      </c>
    </row>
    <row r="869" customFormat="false" ht="17.15" hidden="false" customHeight="false" outlineLevel="0" collapsed="false">
      <c r="A869" s="5" t="s">
        <v>656</v>
      </c>
      <c r="B869" s="0" t="s">
        <v>86</v>
      </c>
      <c r="C869" s="39" t="n">
        <v>0</v>
      </c>
      <c r="D869" s="39" t="n">
        <v>0</v>
      </c>
      <c r="E869" s="39" t="n">
        <v>0</v>
      </c>
      <c r="F869" s="38" t="n">
        <f aca="false">IF(internal_ai_reading=2,1,0)*(1-ext_sh_lo)/ext_sh_lo*(mw_open*he_open+Sens!$F$840*Sens!$F$837)*Sens!$F$826/1000</f>
        <v>10.0565879513551</v>
      </c>
      <c r="G869" s="38" t="n">
        <f aca="false">Sens!$E$869+Sens!$F$869</f>
        <v>10.0565879513551</v>
      </c>
      <c r="H869" s="38" t="n">
        <f aca="false">IF(internal_ai_reading=2,1,0)*(1-ext_sh_lo)/ext_sh_lo*(mw_open*he_open+Sens!$H$840*Sens!$H$837)*Sens!$H$826/1000</f>
        <v>40.4361449626381</v>
      </c>
      <c r="I869" s="38" t="n">
        <f aca="false">IF(internal_ai_reading=2,1,0)*(1-ext_sh_lo)/ext_sh_lo*(mw_open*he_open+Sens!$I$840*Sens!$I$837)*Sens!$I$826/1000</f>
        <v>68.218358298637</v>
      </c>
      <c r="J869" s="38" t="n">
        <f aca="false">IF(internal_ai_reading=2,1,0)*(1-ext_sh_lo)/ext_sh_lo*(mw_open*he_open+Sens!$J$840*Sens!$J$837)*Sens!$J$826/1000</f>
        <v>96.1241664477658</v>
      </c>
      <c r="K869" s="38" t="n">
        <f aca="false">IF(internal_ai_reading=2,1,0)*(1-ext_sh_lo)/ext_sh_lo*(mw_open*he_open+Sens!$K$840*Sens!$K$837)*Sens!$K$826/1000</f>
        <v>119.93097707361</v>
      </c>
      <c r="L869" s="38" t="n">
        <f aca="false">IF(internal_ai_reading=2,1,0)*(1-ext_sh_lo)/ext_sh_lo*(mw_open*he_open+Sens!$L$840*Sens!$L$837)*Sens!$L$826/1000</f>
        <v>135.57693014875</v>
      </c>
      <c r="M869" s="38" t="n">
        <f aca="false">IF(internal_ai_reading=2,1,0)*(1-ext_sh_lo)/ext_sh_lo*(mw_open*he_open+Sens!$M$840*Sens!$M$837)*Sens!$M$826/1000</f>
        <v>143.041923806484</v>
      </c>
      <c r="N869" s="39" t="n">
        <v>0</v>
      </c>
      <c r="O869" s="39" t="n">
        <v>0</v>
      </c>
      <c r="P869" s="8" t="s">
        <v>657</v>
      </c>
    </row>
    <row r="870" customFormat="false" ht="17.15" hidden="false" customHeight="false" outlineLevel="0" collapsed="false">
      <c r="A870" s="5" t="s">
        <v>658</v>
      </c>
      <c r="B870" s="0" t="s">
        <v>86</v>
      </c>
      <c r="C870" s="38" t="n">
        <f aca="false">(1-ext_sh_lo)*(Sens!$C$844+Sens!$C$863)</f>
        <v>0.424089158475019</v>
      </c>
      <c r="D870" s="38" t="n">
        <f aca="false">(1-ext_sh_lo)*(Sens!$D$844+Sens!$D$863)</f>
        <v>2.18121770746507</v>
      </c>
      <c r="E870" s="38" t="n">
        <f aca="false">(1-ext_sh_lo)*(Sens!$E$844+Sens!$E$863)</f>
        <v>3.81413104222807</v>
      </c>
      <c r="F870" s="38" t="n">
        <f aca="false">(1-ext_sh_lo)*(Sens!$F$844+Sens!$F$863)</f>
        <v>4.71980187169681</v>
      </c>
      <c r="G870" s="38" t="n">
        <f aca="false">(1-ext_sh_lo)*(Sens!$G$844+Sens!$G$863)</f>
        <v>8.53393291392488</v>
      </c>
      <c r="H870" s="38" t="n">
        <f aca="false">(1-ext_sh_lo)*(Sens!$H$844+Sens!$H$863)</f>
        <v>21.0780105704102</v>
      </c>
      <c r="I870" s="38" t="n">
        <f aca="false">(1-ext_sh_lo)*(Sens!$I$844+Sens!$I$863)</f>
        <v>42.4518007639864</v>
      </c>
      <c r="J870" s="38" t="n">
        <f aca="false">(1-ext_sh_lo)*(Sens!$J$844+Sens!$J$863)</f>
        <v>63.3217177900283</v>
      </c>
      <c r="K870" s="38" t="n">
        <f aca="false">(1-ext_sh_lo)*(Sens!$K$844+Sens!$K$863)</f>
        <v>83.7713456235813</v>
      </c>
      <c r="L870" s="38" t="n">
        <f aca="false">(1-ext_sh_lo)*(Sens!$L$844+Sens!$L$863)</f>
        <v>97.9197812523927</v>
      </c>
      <c r="M870" s="38" t="n">
        <f aca="false">(1-ext_sh_lo)*(Sens!$M$844+Sens!$M$863)</f>
        <v>106.153133890889</v>
      </c>
      <c r="N870" s="38" t="n">
        <f aca="false">(1-ext_sh_lo)*(Sens!$N$844+Sens!$N$863)</f>
        <v>0.897838090530024</v>
      </c>
      <c r="O870" s="38" t="n">
        <f aca="false">(1-ext_sh_lo)*(Sens!$O$844+Sens!$O$863)</f>
        <v>1.28337961693504</v>
      </c>
    </row>
    <row r="871" customFormat="false" ht="17.15" hidden="false" customHeight="false" outlineLevel="0" collapsed="false">
      <c r="A871" s="0" t="s">
        <v>659</v>
      </c>
      <c r="B871" s="0" t="s">
        <v>86</v>
      </c>
      <c r="C871" s="38" t="n">
        <f aca="false">Q!$D$24</f>
        <v>39.834</v>
      </c>
      <c r="D871" s="38" t="n">
        <f aca="false">Q!$E$24</f>
        <v>45.606</v>
      </c>
      <c r="E871" s="38" t="n">
        <f aca="false">Q!$P$24</f>
        <v>30.782</v>
      </c>
      <c r="N871" s="38" t="n">
        <f aca="false">Q!$N$24</f>
        <v>21.707</v>
      </c>
      <c r="O871" s="38" t="n">
        <f aca="false">Q!$O$24</f>
        <v>23.899</v>
      </c>
    </row>
    <row r="872" customFormat="false" ht="17.15" hidden="false" customHeight="false" outlineLevel="0" collapsed="false">
      <c r="A872" s="0" t="s">
        <v>660</v>
      </c>
      <c r="B872" s="0" t="s">
        <v>86</v>
      </c>
      <c r="C872" s="38" t="n">
        <f aca="false">Sens!$C$871-Sens!$C$867</f>
        <v>38.1491283807389</v>
      </c>
      <c r="D872" s="38" t="n">
        <f aca="false">Sens!$D$871-Sens!$D$867</f>
        <v>40.1740564725464</v>
      </c>
      <c r="E872" s="38" t="n">
        <f aca="false">Sens!$E$871-Sens!$E$867</f>
        <v>27.9928435877721</v>
      </c>
      <c r="F872" s="38" t="n">
        <f aca="false">Sens!$F$846*Sens!$F$873</f>
        <v>25.7484269509744</v>
      </c>
      <c r="G872" s="38" t="n">
        <f aca="false">Sens!$E$872+Sens!$F$872</f>
        <v>53.7412705387465</v>
      </c>
      <c r="H872" s="38" t="n">
        <f aca="false">Sens!$H$846*Sens!$H$873</f>
        <v>57.7675476689777</v>
      </c>
      <c r="I872" s="38" t="n">
        <f aca="false">Sens!$I$846*Sens!$I$873</f>
        <v>64.136617011422</v>
      </c>
      <c r="J872" s="38" t="n">
        <f aca="false">Sens!$J$846*Sens!$J$873</f>
        <v>70.2377221822481</v>
      </c>
      <c r="K872" s="38" t="n">
        <f aca="false">Sens!$K$846*Sens!$K$873</f>
        <v>75.8567399568279</v>
      </c>
      <c r="L872" s="38" t="n">
        <f aca="false">Sens!$L$846*Sens!$L$873</f>
        <v>81.9252791533742</v>
      </c>
      <c r="M872" s="38" t="n">
        <f aca="false">Sens!$M$846*Sens!$M$873</f>
        <v>88.4793014856441</v>
      </c>
      <c r="N872" s="38" t="n">
        <f aca="false">Sens!$N$871-Sens!$N$867</f>
        <v>20.0074376047671</v>
      </c>
      <c r="O872" s="38" t="n">
        <f aca="false">Sens!$O$871-Sens!$O$867</f>
        <v>20.1666188677793</v>
      </c>
      <c r="P872" s="5" t="s">
        <v>661</v>
      </c>
    </row>
    <row r="873" customFormat="false" ht="17.15" hidden="false" customHeight="false" outlineLevel="0" collapsed="false">
      <c r="A873" s="0" t="s">
        <v>662</v>
      </c>
      <c r="B873" s="0" t="s">
        <v>52</v>
      </c>
      <c r="C873" s="13" t="n">
        <f aca="false">Sens!$C$872/Sens!$C$846</f>
        <v>0.362513710483349</v>
      </c>
      <c r="D873" s="13" t="n">
        <f aca="false">Sens!$D$872/Sens!$D$846</f>
        <v>0.334724585827192</v>
      </c>
      <c r="E873" s="13" t="n">
        <f aca="false">Sens!$E$872/Sens!$E$846</f>
        <v>0.392558893708667</v>
      </c>
      <c r="F873" s="13" t="n">
        <f aca="false">(Sens!$O$872+Sens!$E$872)/(Sens!$O$846+Sens!$E$846)</f>
        <v>0.358766589959661</v>
      </c>
      <c r="G873" s="13" t="n">
        <f aca="false">Sens!$G$872/Sens!$G$846</f>
        <v>0.375608343100234</v>
      </c>
      <c r="H873" s="13" t="n">
        <f aca="false">Sens!$F$873</f>
        <v>0.358766589959661</v>
      </c>
      <c r="I873" s="13" t="n">
        <f aca="false">Sens!$F$873</f>
        <v>0.358766589959661</v>
      </c>
      <c r="J873" s="13" t="n">
        <f aca="false">Sens!$F$873</f>
        <v>0.358766589959661</v>
      </c>
      <c r="K873" s="13" t="n">
        <f aca="false">Sens!$F$873</f>
        <v>0.358766589959661</v>
      </c>
      <c r="L873" s="13" t="n">
        <f aca="false">Sens!$F$873</f>
        <v>0.358766589959661</v>
      </c>
      <c r="M873" s="13" t="n">
        <f aca="false">Sens!$F$873</f>
        <v>0.358766589959661</v>
      </c>
      <c r="N873" s="13" t="n">
        <f aca="false">Sens!$N$872/Sens!$N$846</f>
        <v>0.350431736760083</v>
      </c>
      <c r="O873" s="13" t="n">
        <f aca="false">Sens!$O$872/Sens!$O$846</f>
        <v>0.320473608880099</v>
      </c>
      <c r="P873" s="8" t="s">
        <v>663</v>
      </c>
    </row>
    <row r="874" customFormat="false" ht="17.15" hidden="false" customHeight="false" outlineLevel="0" collapsed="false">
      <c r="A874" s="0" t="s">
        <v>664</v>
      </c>
      <c r="B874" s="0" t="s">
        <v>52</v>
      </c>
      <c r="D874" s="13" t="n">
        <f aca="false">(Q!$E$31-ext_sh_lo*Sens!$D$863)/Sens!$D$846</f>
        <v>0.167519372078409</v>
      </c>
    </row>
    <row r="875" customFormat="false" ht="17.15" hidden="false" customHeight="false" outlineLevel="0" collapsed="false">
      <c r="A875" s="0" t="s">
        <v>665</v>
      </c>
      <c r="B875" s="0" t="s">
        <v>86</v>
      </c>
      <c r="C875" s="38" t="n">
        <f aca="false">Q!$D$31</f>
        <v>13.32</v>
      </c>
      <c r="D875" s="38" t="n">
        <f aca="false">Q!$E$31</f>
        <v>21.45</v>
      </c>
      <c r="E875" s="38" t="n">
        <f aca="false">Q!$P$31</f>
        <v>15.353</v>
      </c>
      <c r="F875" s="38" t="n">
        <f aca="false">ext_sh_lo*Sens!$F$863+Sens!$D$874*Sens!$F$846</f>
        <v>15.8590749147346</v>
      </c>
      <c r="G875" s="38" t="n">
        <f aca="false">Sens!$E$875+Sens!$F$875</f>
        <v>31.2120749147346</v>
      </c>
      <c r="H875" s="38" t="n">
        <f aca="false">ext_sh_lo*Sens!$H$863+Sens!$D$874*Sens!$H$846</f>
        <v>45.9417774580949</v>
      </c>
      <c r="I875" s="38" t="n">
        <f aca="false">ext_sh_lo*Sens!$I$863+Sens!$D$874*Sens!$I$846</f>
        <v>72.675369135557</v>
      </c>
      <c r="J875" s="38" t="n">
        <f aca="false">ext_sh_lo*Sens!$J$863+Sens!$D$874*Sens!$J$846</f>
        <v>98.5126815704106</v>
      </c>
      <c r="K875" s="38" t="n">
        <f aca="false">ext_sh_lo*Sens!$K$863+Sens!$D$874*Sens!$K$846</f>
        <v>124.713200362266</v>
      </c>
      <c r="L875" s="38" t="n">
        <f aca="false">ext_sh_lo*Sens!$L$863+Sens!$D$874*Sens!$L$846</f>
        <v>144.104698317569</v>
      </c>
      <c r="M875" s="38" t="n">
        <f aca="false">ext_sh_lo*Sens!$M$863+Sens!$D$874*Sens!$M$846</f>
        <v>157.285627259265</v>
      </c>
      <c r="N875" s="38" t="n">
        <f aca="false">Q!$N$31</f>
        <v>9.234</v>
      </c>
      <c r="O875" s="38" t="n">
        <f aca="false">Q!$O$31</f>
        <v>12.216</v>
      </c>
    </row>
    <row r="876" customFormat="false" ht="17.15" hidden="false" customHeight="false" outlineLevel="0" collapsed="false">
      <c r="A876" s="1" t="s">
        <v>666</v>
      </c>
    </row>
    <row r="877" customFormat="false" ht="17.15" hidden="false" customHeight="false" outlineLevel="0" collapsed="false">
      <c r="A877" s="15" t="s">
        <v>667</v>
      </c>
      <c r="B877" s="14" t="s">
        <v>52</v>
      </c>
      <c r="C877" s="14"/>
      <c r="D877" s="14"/>
      <c r="E877" s="14"/>
      <c r="F877" s="14"/>
      <c r="G877" s="17" t="n">
        <f aca="false">Sens!$G$867*(1-tax)/(ext_sh_lo*(Sens!$D$864+Sens!$G$864)/2)</f>
        <v>0.0896547637162112</v>
      </c>
      <c r="H877" s="17" t="n">
        <f aca="false">Sens!$H$867*(1-tax)/(ext_sh_lo*(Sens!$G$864+Sens!$H$864)/2)</f>
        <v>0.112156428366807</v>
      </c>
      <c r="I877" s="17" t="n">
        <f aca="false">Sens!$I$867*(1-tax)/(ext_sh_lo*(Sens!$H$864+Sens!$I$864)/2)</f>
        <v>0.0917255785312511</v>
      </c>
      <c r="J877" s="17" t="n">
        <f aca="false">Sens!$J$867*(1-tax)/(ext_sh_lo*(Sens!$I$864+Sens!$J$864)/2)</f>
        <v>0.0877637705948687</v>
      </c>
      <c r="K877" s="17" t="n">
        <f aca="false">Sens!$K$867*(1-tax)/(ext_sh_lo*(Sens!$J$864+Sens!$K$864)/2)</f>
        <v>0.0837486376817718</v>
      </c>
      <c r="L877" s="17" t="n">
        <f aca="false">Sens!$L$867*(1-tax)/(ext_sh_lo*(Sens!$K$864+Sens!$L$864)/2)</f>
        <v>0.0842111429562065</v>
      </c>
      <c r="M877" s="17" t="n">
        <f aca="false">Sens!$M$867*(1-tax)/(ext_sh_lo*(Sens!$L$864+Sens!$M$864)/2)</f>
        <v>0.0831081579888569</v>
      </c>
      <c r="N877" s="14"/>
      <c r="O877" s="14"/>
      <c r="P877" s="8" t="s">
        <v>668</v>
      </c>
    </row>
    <row r="878" customFormat="false" ht="17.15" hidden="false" customHeight="false" outlineLevel="0" collapsed="false">
      <c r="A878" s="5" t="s">
        <v>669</v>
      </c>
      <c r="B878" s="0" t="s">
        <v>57</v>
      </c>
      <c r="H878" s="36" t="n">
        <f aca="false">Sens!$H$842*1000/(mw_open*he_open+Sens!$H$840*Sens!$H$837)</f>
        <v>0.991949006767191</v>
      </c>
      <c r="I878" s="36" t="n">
        <f aca="false">Sens!$I$842*1000/(mw_open*he_open+Sens!$I$840*Sens!$I$837)</f>
        <v>0.991949006767191</v>
      </c>
      <c r="J878" s="36" t="n">
        <f aca="false">Sens!$J$842*1000/(mw_open*he_open+Sens!$J$840*Sens!$J$837)</f>
        <v>0.991949006767191</v>
      </c>
      <c r="K878" s="36" t="n">
        <f aca="false">Sens!$K$842*1000/(mw_open*he_open+Sens!$K$840*Sens!$K$837)</f>
        <v>0.991949006767191</v>
      </c>
      <c r="L878" s="36" t="n">
        <f aca="false">Sens!$L$842*1000/(mw_open*he_open+Sens!$L$840*Sens!$L$837)</f>
        <v>0.991949006767191</v>
      </c>
      <c r="M878" s="36" t="n">
        <f aca="false">Sens!$M$842*1000/(mw_open*he_open+Sens!$M$840*Sens!$M$837)</f>
        <v>0.991949006767191</v>
      </c>
    </row>
    <row r="879" customFormat="false" ht="17.15" hidden="false" customHeight="false" outlineLevel="0" collapsed="false">
      <c r="A879" s="5" t="s">
        <v>670</v>
      </c>
      <c r="B879" s="0" t="s">
        <v>57</v>
      </c>
      <c r="H879" s="36" t="n">
        <f aca="false">Sens!$H$878*(Sens!$H$842+wacc*ext_sh_lo*(Sens!$G$864+Sens!$H$864)/2/(1-tax)-Sens!$H$867)/Sens!$H$842</f>
        <v>0.996737372858977</v>
      </c>
      <c r="I879" s="36" t="n">
        <f aca="false">Sens!$I$878*(Sens!$I$842+wacc*ext_sh_lo*(Sens!$H$864+Sens!$I$864)/2/(1-tax)-Sens!$I$867)/Sens!$I$842</f>
        <v>1.07888401288652</v>
      </c>
      <c r="J879" s="36" t="n">
        <f aca="false">Sens!$J$878*(Sens!$J$842+wacc*ext_sh_lo*(Sens!$I$864+Sens!$J$864)/2/(1-tax)-Sens!$J$867)/Sens!$J$842</f>
        <v>1.08888887056893</v>
      </c>
      <c r="K879" s="36" t="n">
        <f aca="false">Sens!$K$878*(Sens!$K$842+wacc*ext_sh_lo*(Sens!$J$864+Sens!$K$864)/2/(1-tax)-Sens!$K$867)/Sens!$K$842</f>
        <v>1.09548705526066</v>
      </c>
      <c r="L879" s="36" t="n">
        <f aca="false">Sens!$L$878*(Sens!$L$842+wacc*ext_sh_lo*(Sens!$K$864+Sens!$L$864)/2/(1-tax)-Sens!$L$867)/Sens!$L$842</f>
        <v>1.08510391907015</v>
      </c>
      <c r="M879" s="36" t="n">
        <f aca="false">Sens!$M$878*(Sens!$M$842+wacc*ext_sh_lo*(Sens!$L$864+Sens!$M$864)/2/(1-tax)-Sens!$M$867)/Sens!$M$842</f>
        <v>1.08270296556957</v>
      </c>
    </row>
    <row r="880" customFormat="false" ht="17.15" hidden="false" customHeight="false" outlineLevel="0" collapsed="false">
      <c r="A880" s="5" t="s">
        <v>671</v>
      </c>
      <c r="B880" s="0" t="s">
        <v>52</v>
      </c>
      <c r="C880" s="13" t="n">
        <f aca="false">Sens!$C$843/tk_pq</f>
        <v>0.195316432429398</v>
      </c>
      <c r="D880" s="13" t="n">
        <f aca="false">Sens!$D$843/tk_pq</f>
        <v>0.195316432429398</v>
      </c>
      <c r="E880" s="13" t="n">
        <f aca="false">Sens!$E$843/tk_pq</f>
        <v>0.195316432429398</v>
      </c>
      <c r="F880" s="13" t="n">
        <f aca="false">Sens!$F$843/tk_pq</f>
        <v>0.202241827274866</v>
      </c>
      <c r="G880" s="13" t="n">
        <f aca="false">Sens!$G$843/tk_pq</f>
        <v>0.199675016194063</v>
      </c>
      <c r="H880" s="13" t="n">
        <f aca="false">Sens!$H$843/tk_pq</f>
        <v>0.212647947710325</v>
      </c>
      <c r="I880" s="13" t="n">
        <f aca="false">Sens!$I$843/tk_pq</f>
        <v>0.219285125475351</v>
      </c>
      <c r="J880" s="13" t="n">
        <f aca="false">Sens!$J$843/tk_pq</f>
        <v>0.222492493217189</v>
      </c>
      <c r="K880" s="13" t="n">
        <f aca="false">Sens!$K$843/tk_pq</f>
        <v>0.224053502812094</v>
      </c>
      <c r="L880" s="13" t="n">
        <f aca="false">Sens!$L$843/tk_pq</f>
        <v>0.224786916785614</v>
      </c>
      <c r="M880" s="13" t="n">
        <f aca="false">Sens!$M$843/tk_pq</f>
        <v>0.225048671566937</v>
      </c>
      <c r="N880" s="13" t="n">
        <f aca="false">Sens!$N$843/tk_pq</f>
        <v>0.195316432429398</v>
      </c>
      <c r="O880" s="13" t="n">
        <f aca="false">Sens!$O$843/tk_pq</f>
        <v>0.195316432429398</v>
      </c>
      <c r="P880" s="5" t="s">
        <v>672</v>
      </c>
    </row>
    <row r="883" customFormat="false" ht="17.15" hidden="false" customHeight="false" outlineLevel="0" collapsed="false">
      <c r="A883" s="1" t="s">
        <v>701</v>
      </c>
    </row>
    <row r="884" customFormat="false" ht="17.15" hidden="false" customHeight="false" outlineLevel="0" collapsed="false">
      <c r="A884" s="0" t="s">
        <v>702</v>
      </c>
      <c r="B884" s="0" t="s">
        <v>86</v>
      </c>
      <c r="C884" s="38" t="n">
        <f aca="false">Sens!$C$842</f>
        <v>2.32100535697364</v>
      </c>
      <c r="D884" s="38" t="n">
        <f aca="false">Sens!$D$842</f>
        <v>8.70377008865116</v>
      </c>
      <c r="E884" s="38" t="n">
        <f aca="false">Sens!$E$842</f>
        <v>8.51035297557002</v>
      </c>
      <c r="F884" s="38" t="n">
        <f aca="false">Sens!$F$842</f>
        <v>14.9634336447205</v>
      </c>
      <c r="G884" s="38" t="n">
        <f aca="false">Sens!$G$842</f>
        <v>23.4737866202905</v>
      </c>
      <c r="H884" s="38" t="n">
        <f aca="false">Sens!$H$842</f>
        <v>60.1658907497746</v>
      </c>
      <c r="I884" s="38" t="n">
        <f aca="false">Sens!$I$842</f>
        <v>101.503699136432</v>
      </c>
      <c r="J884" s="38" t="n">
        <f aca="false">Sens!$J$842</f>
        <v>143.025407151278</v>
      </c>
      <c r="K884" s="38" t="n">
        <f aca="false">Sens!$K$842</f>
        <v>178.44812038318</v>
      </c>
      <c r="L884" s="38" t="n">
        <f aca="false">Sens!$L$842</f>
        <v>201.728101802396</v>
      </c>
      <c r="M884" s="38" t="n">
        <f aca="false">Sens!$M$842</f>
        <v>212.835441368865</v>
      </c>
      <c r="N884" s="38" t="n">
        <f aca="false">Sens!$N$842</f>
        <v>3.04631953102791</v>
      </c>
      <c r="O884" s="38" t="n">
        <f aca="false">Sens!$O$842</f>
        <v>5.65745055762326</v>
      </c>
      <c r="P884" s="8" t="s">
        <v>703</v>
      </c>
    </row>
    <row r="885" customFormat="false" ht="17.15" hidden="false" customHeight="false" outlineLevel="0" collapsed="false">
      <c r="A885" s="0" t="s">
        <v>704</v>
      </c>
      <c r="B885" s="0" t="s">
        <v>86</v>
      </c>
      <c r="C885" s="38" t="n">
        <f aca="false">Sens!$C$846</f>
        <v>105.234994643026</v>
      </c>
      <c r="D885" s="38" t="n">
        <f aca="false">Sens!$D$846</f>
        <v>120.021229911349</v>
      </c>
      <c r="E885" s="38" t="n">
        <f aca="false">Sens!$E$846</f>
        <v>71.30864702443</v>
      </c>
      <c r="F885" s="38" t="n">
        <f aca="false">Sens!$F$846</f>
        <v>71.7692997942464</v>
      </c>
      <c r="G885" s="38" t="n">
        <f aca="false">Sens!$G$846</f>
        <v>143.077946818676</v>
      </c>
      <c r="H885" s="38" t="n">
        <f aca="false">Sens!$H$846</f>
        <v>161.017077079203</v>
      </c>
      <c r="I885" s="38" t="n">
        <f aca="false">Sens!$I$846</f>
        <v>178.769759521457</v>
      </c>
      <c r="J885" s="38" t="n">
        <f aca="false">Sens!$J$846</f>
        <v>195.775538045907</v>
      </c>
      <c r="K885" s="38" t="n">
        <f aca="false">Sens!$K$846</f>
        <v>211.43758108958</v>
      </c>
      <c r="L885" s="38" t="n">
        <f aca="false">Sens!$L$846</f>
        <v>228.352587576746</v>
      </c>
      <c r="M885" s="38" t="n">
        <f aca="false">Sens!$M$846</f>
        <v>246.620794582886</v>
      </c>
      <c r="N885" s="38" t="n">
        <f aca="false">Sens!$N$846</f>
        <v>57.0936804689721</v>
      </c>
      <c r="O885" s="38" t="n">
        <f aca="false">Sens!$O$846</f>
        <v>62.9275494423768</v>
      </c>
      <c r="P885" s="8" t="s">
        <v>703</v>
      </c>
    </row>
    <row r="886" customFormat="false" ht="17.15" hidden="false" customHeight="false" outlineLevel="0" collapsed="false">
      <c r="A886" s="1" t="s">
        <v>523</v>
      </c>
      <c r="B886" s="8" t="s">
        <v>86</v>
      </c>
      <c r="C886" s="38" t="n">
        <f aca="false">Q!$D$7</f>
        <v>107.556</v>
      </c>
      <c r="D886" s="38" t="n">
        <f aca="false">Q!$E$7</f>
        <v>128.725</v>
      </c>
      <c r="E886" s="38" t="n">
        <f aca="false">Q!$P$7</f>
        <v>79.819</v>
      </c>
      <c r="F886" s="38" t="n">
        <f aca="false">Sens!$F$884+Sens!$F$885</f>
        <v>86.7327334389669</v>
      </c>
      <c r="G886" s="38" t="n">
        <f aca="false">Sens!$G$884+Sens!$G$885</f>
        <v>166.551733438967</v>
      </c>
      <c r="H886" s="38" t="n">
        <f aca="false">Sens!$H$884+Sens!$H$885</f>
        <v>221.182967828978</v>
      </c>
      <c r="I886" s="38" t="n">
        <f aca="false">Sens!$I$884+Sens!$I$885</f>
        <v>280.27345865789</v>
      </c>
      <c r="J886" s="38" t="n">
        <f aca="false">Sens!$J$884+Sens!$J$885</f>
        <v>338.800945197185</v>
      </c>
      <c r="K886" s="38" t="n">
        <f aca="false">Sens!$K$884+Sens!$K$885</f>
        <v>389.88570147276</v>
      </c>
      <c r="L886" s="38" t="n">
        <f aca="false">Sens!$L$884+Sens!$L$885</f>
        <v>430.080689379143</v>
      </c>
      <c r="M886" s="38" t="n">
        <f aca="false">Sens!$M$884+Sens!$M$885</f>
        <v>459.456235951751</v>
      </c>
      <c r="N886" s="38" t="n">
        <f aca="false">Q!$N$7</f>
        <v>60.14</v>
      </c>
      <c r="O886" s="38" t="n">
        <f aca="false">Q!$O$7</f>
        <v>68.585</v>
      </c>
      <c r="P886" s="5" t="s">
        <v>705</v>
      </c>
    </row>
    <row r="887" customFormat="false" ht="15" hidden="false" customHeight="false" outlineLevel="0" collapsed="false">
      <c r="A887" s="3" t="s">
        <v>706</v>
      </c>
      <c r="B887" s="8" t="s">
        <v>86</v>
      </c>
      <c r="C887" s="38" t="n">
        <f aca="false">Q!$D$8</f>
        <v>637.959</v>
      </c>
      <c r="D887" s="38" t="n">
        <f aca="false">Q!$E$8</f>
        <v>716.924</v>
      </c>
      <c r="E887" s="38" t="n">
        <f aca="false">Q!$P$8</f>
        <v>382.125</v>
      </c>
      <c r="F887" s="38" t="n">
        <f aca="false">Sens!$F$814+Sens!$F$886</f>
        <v>435.780975084504</v>
      </c>
      <c r="G887" s="38" t="n">
        <f aca="false">Sens!$G$814+Sens!$G$886</f>
        <v>817.905975084504</v>
      </c>
      <c r="H887" s="38" t="n">
        <f aca="false">Sens!$H$814+Sens!$H$886</f>
        <v>942.279857350364</v>
      </c>
      <c r="I887" s="38" t="n">
        <f aca="false">Sens!$I$814+Sens!$I$886</f>
        <v>1068.80284981042</v>
      </c>
      <c r="J887" s="38" t="n">
        <f aca="false">Sens!$J$814+Sens!$J$886</f>
        <v>1189.90935093863</v>
      </c>
      <c r="K887" s="38" t="n">
        <f aca="false">Sens!$K$814+Sens!$K$886</f>
        <v>1296.06215690385</v>
      </c>
      <c r="L887" s="38" t="n">
        <f aca="false">Sens!$L$814+Sens!$L$886</f>
        <v>1395.17379585473</v>
      </c>
      <c r="M887" s="38" t="n">
        <f aca="false">Sens!$M$814+Sens!$M$886</f>
        <v>1487.60414389864</v>
      </c>
      <c r="N887" s="38" t="n">
        <f aca="false">Q!$N$8</f>
        <v>323.369</v>
      </c>
      <c r="O887" s="38" t="n">
        <f aca="false">Q!$O$8</f>
        <v>393.555</v>
      </c>
    </row>
    <row r="888" customFormat="false" ht="17.15" hidden="false" customHeight="false" outlineLevel="0" collapsed="false">
      <c r="A888" s="24" t="s">
        <v>714</v>
      </c>
      <c r="B888" s="25" t="s">
        <v>86</v>
      </c>
      <c r="C888" s="41" t="n">
        <f aca="false">Sens!$C$814-(Sens!$C$816+Sens!$C$817)</f>
        <v>0</v>
      </c>
      <c r="D888" s="41" t="n">
        <f aca="false">Sens!$D$814-(Sens!$D$816+Sens!$D$817)</f>
        <v>0</v>
      </c>
      <c r="E888" s="41" t="n">
        <f aca="false">Sens!$E$814-(Sens!$E$816+Sens!$E$817)</f>
        <v>0</v>
      </c>
      <c r="F888" s="41" t="n">
        <f aca="false">Sens!$F$814-(Sens!$F$816+Sens!$F$817)</f>
        <v>0</v>
      </c>
      <c r="G888" s="41" t="n">
        <f aca="false">Sens!$G$814-(Sens!$G$816+Sens!$G$817)</f>
        <v>0</v>
      </c>
      <c r="H888" s="41" t="n">
        <f aca="false">Sens!$H$814-(Sens!$H$816+Sens!$H$817)</f>
        <v>0</v>
      </c>
      <c r="I888" s="41" t="n">
        <f aca="false">Sens!$I$814-(Sens!$I$816+Sens!$I$817)</f>
        <v>0</v>
      </c>
      <c r="J888" s="41" t="n">
        <f aca="false">Sens!$J$814-(Sens!$J$816+Sens!$J$817)</f>
        <v>0</v>
      </c>
      <c r="K888" s="41" t="n">
        <f aca="false">Sens!$K$814-(Sens!$K$816+Sens!$K$817)</f>
        <v>0</v>
      </c>
      <c r="L888" s="41" t="n">
        <f aca="false">Sens!$L$814-(Sens!$L$816+Sens!$L$817)</f>
        <v>0</v>
      </c>
      <c r="M888" s="41" t="n">
        <f aca="false">Sens!$M$814-(Sens!$M$816+Sens!$M$817)</f>
        <v>0</v>
      </c>
      <c r="N888" s="41" t="n">
        <f aca="false">Sens!$N$814-(Sens!$N$816+Sens!$N$817)</f>
        <v>0</v>
      </c>
      <c r="O888" s="41" t="n">
        <f aca="false">Sens!$O$814-(Sens!$O$816+Sens!$O$817)</f>
        <v>0</v>
      </c>
    </row>
    <row r="889" customFormat="false" ht="17.15" hidden="false" customHeight="false" outlineLevel="0" collapsed="false">
      <c r="A889" s="24" t="s">
        <v>715</v>
      </c>
      <c r="B889" s="25" t="s">
        <v>86</v>
      </c>
      <c r="C889" s="41" t="n">
        <f aca="false">Sens!$C$884+Sens!$C$885-Sens!$C$886</f>
        <v>0</v>
      </c>
      <c r="D889" s="41" t="n">
        <f aca="false">Sens!$D$884+Sens!$D$885-Sens!$D$886</f>
        <v>0</v>
      </c>
      <c r="E889" s="41" t="n">
        <f aca="false">Sens!$E$884+Sens!$E$885-Sens!$E$886</f>
        <v>0</v>
      </c>
      <c r="F889" s="41" t="n">
        <f aca="false">Sens!$F$884+Sens!$F$885-Sens!$F$886</f>
        <v>0</v>
      </c>
      <c r="G889" s="41" t="n">
        <f aca="false">Sens!$G$884+Sens!$G$885-Sens!$G$886</f>
        <v>0</v>
      </c>
      <c r="H889" s="41" t="n">
        <f aca="false">Sens!$H$884+Sens!$H$885-Sens!$H$886</f>
        <v>0</v>
      </c>
      <c r="I889" s="41" t="n">
        <f aca="false">Sens!$I$884+Sens!$I$885-Sens!$I$886</f>
        <v>0</v>
      </c>
      <c r="J889" s="41" t="n">
        <f aca="false">Sens!$J$884+Sens!$J$885-Sens!$J$886</f>
        <v>0</v>
      </c>
      <c r="K889" s="41" t="n">
        <f aca="false">Sens!$K$884+Sens!$K$885-Sens!$K$886</f>
        <v>0</v>
      </c>
      <c r="L889" s="41" t="n">
        <f aca="false">Sens!$L$884+Sens!$L$885-Sens!$L$886</f>
        <v>0</v>
      </c>
      <c r="M889" s="41" t="n">
        <f aca="false">Sens!$M$884+Sens!$M$885-Sens!$M$886</f>
        <v>0</v>
      </c>
      <c r="N889" s="41" t="n">
        <f aca="false">Sens!$N$884+Sens!$N$885-Sens!$N$886</f>
        <v>0</v>
      </c>
      <c r="O889" s="41" t="n">
        <f aca="false">Sens!$O$884+Sens!$O$885-Sens!$O$886</f>
        <v>0</v>
      </c>
    </row>
    <row r="890" customFormat="false" ht="17.15" hidden="false" customHeight="false" outlineLevel="0" collapsed="false">
      <c r="A890" s="24" t="s">
        <v>716</v>
      </c>
      <c r="B890" s="25" t="s">
        <v>86</v>
      </c>
      <c r="C890" s="41" t="n">
        <f aca="false">Sens!$C$816+Sens!$C$817+Sens!$C$886-Sens!$C$887</f>
        <v>0</v>
      </c>
      <c r="D890" s="41" t="n">
        <f aca="false">Sens!$D$816+Sens!$D$817+Sens!$D$886-Sens!$D$887</f>
        <v>0</v>
      </c>
      <c r="E890" s="41" t="n">
        <f aca="false">Sens!$E$816+Sens!$E$817+Sens!$E$886-Sens!$E$887</f>
        <v>0</v>
      </c>
      <c r="F890" s="41" t="n">
        <f aca="false">Sens!$F$816+Sens!$F$817+Sens!$F$886-Sens!$F$887</f>
        <v>0</v>
      </c>
      <c r="G890" s="41" t="n">
        <f aca="false">Sens!$G$816+Sens!$G$817+Sens!$G$886-Sens!$G$887</f>
        <v>0</v>
      </c>
      <c r="H890" s="41" t="n">
        <f aca="false">Sens!$H$816+Sens!$H$817+Sens!$H$886-Sens!$H$887</f>
        <v>0</v>
      </c>
      <c r="I890" s="41" t="n">
        <f aca="false">Sens!$I$816+Sens!$I$817+Sens!$I$886-Sens!$I$887</f>
        <v>0</v>
      </c>
      <c r="J890" s="41" t="n">
        <f aca="false">Sens!$J$816+Sens!$J$817+Sens!$J$886-Sens!$J$887</f>
        <v>0</v>
      </c>
      <c r="K890" s="41" t="n">
        <f aca="false">Sens!$K$816+Sens!$K$817+Sens!$K$886-Sens!$K$887</f>
        <v>0</v>
      </c>
      <c r="L890" s="41" t="n">
        <f aca="false">Sens!$L$816+Sens!$L$817+Sens!$L$886-Sens!$L$887</f>
        <v>0</v>
      </c>
      <c r="M890" s="41" t="n">
        <f aca="false">Sens!$M$816+Sens!$M$817+Sens!$M$886-Sens!$M$887</f>
        <v>0</v>
      </c>
      <c r="N890" s="41" t="n">
        <f aca="false">Sens!$N$816+Sens!$N$817+Sens!$N$886-Sens!$N$887</f>
        <v>0</v>
      </c>
      <c r="O890" s="41" t="n">
        <f aca="false">Sens!$O$816+Sens!$O$817+Sens!$O$886-Sens!$O$887</f>
        <v>0</v>
      </c>
    </row>
    <row r="891" customFormat="false" ht="15" hidden="false" customHeight="false" outlineLevel="0" collapsed="false">
      <c r="A891" s="5" t="s">
        <v>710</v>
      </c>
      <c r="B891" s="0" t="s">
        <v>52</v>
      </c>
      <c r="G891" s="13" t="n">
        <f aca="false">Sens!$G$887/Sens!$D$887-1</f>
        <v>0.140854504918937</v>
      </c>
      <c r="H891" s="13" t="n">
        <f aca="false">Sens!$H$887/Sens!$G$887-1</f>
        <v>0.152063789793209</v>
      </c>
      <c r="I891" s="13" t="n">
        <f aca="false">Sens!$I$887/Sens!$H$887-1</f>
        <v>0.134273264437417</v>
      </c>
      <c r="J891" s="13" t="n">
        <f aca="false">Sens!$J$887/Sens!$I$887-1</f>
        <v>0.113310421234083</v>
      </c>
      <c r="K891" s="13" t="n">
        <f aca="false">Sens!$K$887/Sens!$J$887-1</f>
        <v>0.0892108343223652</v>
      </c>
      <c r="L891" s="13" t="n">
        <f aca="false">Sens!$L$887/Sens!$K$887-1</f>
        <v>0.076471362444261</v>
      </c>
      <c r="M891" s="13" t="n">
        <f aca="false">Sens!$M$887/Sens!$L$887-1</f>
        <v>0.066250060256672</v>
      </c>
    </row>
    <row r="892" customFormat="false" ht="17.15" hidden="false" customHeight="false" outlineLevel="0" collapsed="false">
      <c r="A892" s="0" t="s">
        <v>711</v>
      </c>
      <c r="B892" s="0" t="s">
        <v>52</v>
      </c>
      <c r="C892" s="13" t="n">
        <f aca="false">Sens!$C$886/Sens!$C$887</f>
        <v>0.168593906504964</v>
      </c>
      <c r="D892" s="13" t="n">
        <f aca="false">Sens!$D$886/Sens!$D$887</f>
        <v>0.179551807444025</v>
      </c>
      <c r="E892" s="13" t="n">
        <f aca="false">Sens!$E$886/Sens!$E$887</f>
        <v>0.208881910369643</v>
      </c>
      <c r="F892" s="13" t="n">
        <f aca="false">Sens!$F$886/Sens!$F$887</f>
        <v>0.199028269699356</v>
      </c>
      <c r="G892" s="13" t="n">
        <f aca="false">Sens!$G$886/Sens!$G$887</f>
        <v>0.203631882529968</v>
      </c>
      <c r="H892" s="13" t="n">
        <f aca="false">Sens!$H$886/Sens!$H$887</f>
        <v>0.234731715958496</v>
      </c>
      <c r="I892" s="13" t="n">
        <f aca="false">Sens!$I$886/Sens!$I$887</f>
        <v>0.262231204480418</v>
      </c>
      <c r="J892" s="13" t="n">
        <f aca="false">Sens!$J$886/Sens!$J$887</f>
        <v>0.284728366013706</v>
      </c>
      <c r="K892" s="13" t="n">
        <f aca="false">Sens!$K$886/Sens!$K$887</f>
        <v>0.300823304959505</v>
      </c>
      <c r="L892" s="13" t="n">
        <f aca="false">Sens!$L$886/Sens!$L$887</f>
        <v>0.308263164529735</v>
      </c>
      <c r="M892" s="13" t="n">
        <f aca="false">Sens!$M$886/Sens!$M$887</f>
        <v>0.308856517936036</v>
      </c>
      <c r="N892" s="13" t="n">
        <f aca="false">Sens!$N$886/Sens!$N$887</f>
        <v>0.185979484737251</v>
      </c>
      <c r="O892" s="13" t="n">
        <f aca="false">Sens!$O$886/Sens!$O$887</f>
        <v>0.174270432341096</v>
      </c>
    </row>
    <row r="893" customFormat="false" ht="17.15" hidden="false" customHeight="false" outlineLevel="0" collapsed="false">
      <c r="A893" s="0" t="s">
        <v>712</v>
      </c>
      <c r="B893" s="0" t="s">
        <v>52</v>
      </c>
      <c r="C893" s="13" t="n">
        <f aca="false">Sens!$C$884/Sens!$C$886</f>
        <v>0.0215795060896058</v>
      </c>
      <c r="D893" s="13" t="n">
        <f aca="false">Sens!$D$884/Sens!$D$886</f>
        <v>0.0676152269462122</v>
      </c>
      <c r="E893" s="13" t="n">
        <f aca="false">Sens!$E$884/Sens!$E$886</f>
        <v>0.106620641395783</v>
      </c>
      <c r="F893" s="13" t="n">
        <f aca="false">Sens!$F$884/Sens!$F$886</f>
        <v>0.172523487401099</v>
      </c>
      <c r="G893" s="13" t="n">
        <f aca="false">Sens!$G$884/Sens!$G$886</f>
        <v>0.140939911795589</v>
      </c>
      <c r="H893" s="13" t="n">
        <f aca="false">Sens!$H$884/Sens!$H$886</f>
        <v>0.272018642937714</v>
      </c>
      <c r="I893" s="13" t="n">
        <f aca="false">Sens!$I$884/Sens!$I$886</f>
        <v>0.362159512436497</v>
      </c>
      <c r="J893" s="13" t="n">
        <f aca="false">Sens!$J$884/Sens!$J$886</f>
        <v>0.422151735934609</v>
      </c>
      <c r="K893" s="13" t="n">
        <f aca="false">Sens!$K$884/Sens!$K$886</f>
        <v>0.45769342068485</v>
      </c>
      <c r="L893" s="13" t="n">
        <f aca="false">Sens!$L$884/Sens!$L$886</f>
        <v>0.469047103913472</v>
      </c>
      <c r="M893" s="13" t="n">
        <f aca="false">Sens!$M$884/Sens!$M$886</f>
        <v>0.463233328258093</v>
      </c>
      <c r="N893" s="13" t="n">
        <f aca="false">Sens!$N$884/Sens!$N$886</f>
        <v>0.0506537999838362</v>
      </c>
      <c r="O893" s="13" t="n">
        <f aca="false">Sens!$O$884/Sens!$O$886</f>
        <v>0.0824881615167056</v>
      </c>
    </row>
    <row r="896" customFormat="false" ht="19.4" hidden="false" customHeight="false" outlineLevel="0" collapsed="false">
      <c r="A896" s="31" t="s">
        <v>1169</v>
      </c>
    </row>
    <row r="897" customFormat="false" ht="17.15" hidden="false" customHeight="false" outlineLevel="0" collapsed="false">
      <c r="A897" s="6" t="s">
        <v>16</v>
      </c>
      <c r="B897" s="6" t="s">
        <v>17</v>
      </c>
      <c r="C897" s="20" t="s">
        <v>504</v>
      </c>
      <c r="D897" s="20" t="s">
        <v>505</v>
      </c>
      <c r="E897" s="20" t="s">
        <v>587</v>
      </c>
      <c r="F897" s="20" t="s">
        <v>588</v>
      </c>
      <c r="G897" s="20" t="s">
        <v>589</v>
      </c>
      <c r="H897" s="20" t="s">
        <v>590</v>
      </c>
      <c r="I897" s="20" t="s">
        <v>591</v>
      </c>
      <c r="J897" s="20" t="s">
        <v>592</v>
      </c>
      <c r="K897" s="20" t="s">
        <v>593</v>
      </c>
      <c r="L897" s="20" t="s">
        <v>594</v>
      </c>
      <c r="M897" s="20" t="s">
        <v>595</v>
      </c>
      <c r="N897" s="20" t="s">
        <v>596</v>
      </c>
      <c r="O897" s="20" t="s">
        <v>597</v>
      </c>
      <c r="P897" s="6" t="s">
        <v>23</v>
      </c>
      <c r="R897" s="20" t="n">
        <v>2023</v>
      </c>
      <c r="S897" s="20" t="n">
        <v>2024</v>
      </c>
      <c r="T897" s="20" t="n">
        <v>2025</v>
      </c>
      <c r="U897" s="20" t="n">
        <v>2026</v>
      </c>
      <c r="V897" s="20" t="n">
        <v>2027</v>
      </c>
      <c r="W897" s="20" t="n">
        <v>2028</v>
      </c>
      <c r="X897" s="20" t="n">
        <v>2029</v>
      </c>
      <c r="Y897" s="20" t="n">
        <v>2030</v>
      </c>
      <c r="Z897" s="20" t="n">
        <v>2031</v>
      </c>
      <c r="AA897" s="20" t="n">
        <v>2032</v>
      </c>
    </row>
    <row r="898" customFormat="false" ht="17.15" hidden="false" customHeight="false" outlineLevel="0" collapsed="false">
      <c r="A898" s="1" t="s">
        <v>727</v>
      </c>
    </row>
    <row r="899" customFormat="false" ht="15" hidden="false" customHeight="false" outlineLevel="0" collapsed="false">
      <c r="A899" s="0" t="s">
        <v>526</v>
      </c>
      <c r="B899" s="0" t="s">
        <v>86</v>
      </c>
      <c r="C899" s="38" t="n">
        <f aca="false">Sens!$C$801</f>
        <v>247.029</v>
      </c>
      <c r="D899" s="38" t="n">
        <f aca="false">Sens!$D$801</f>
        <v>269.287</v>
      </c>
      <c r="E899" s="38" t="n">
        <f aca="false">Sens!$E$801</f>
        <v>134.686</v>
      </c>
      <c r="F899" s="38" t="n">
        <f aca="false">Sens!$F$801</f>
        <v>158.293876822267</v>
      </c>
      <c r="G899" s="38" t="n">
        <f aca="false">Sens!$G$801</f>
        <v>292.979876822267</v>
      </c>
      <c r="H899" s="38" t="n">
        <f aca="false">Sens!$H$801</f>
        <v>318.184543087396</v>
      </c>
      <c r="I899" s="38" t="n">
        <f aca="false">Sens!$I$801</f>
        <v>341.736278761793</v>
      </c>
      <c r="J899" s="38" t="n">
        <f aca="false">Sens!$J$801</f>
        <v>362.927192787048</v>
      </c>
      <c r="K899" s="38" t="n">
        <f aca="false">Sens!$K$801</f>
        <v>381.0735524264</v>
      </c>
      <c r="L899" s="38" t="n">
        <f aca="false">Sens!$L$801</f>
        <v>400.12723004772</v>
      </c>
      <c r="M899" s="38" t="n">
        <f aca="false">Sens!$M$801</f>
        <v>420.133591550106</v>
      </c>
      <c r="N899" s="38" t="n">
        <f aca="false">Sens!$N$801</f>
        <v>118.892</v>
      </c>
      <c r="O899" s="38" t="n">
        <f aca="false">Sens!$O$801</f>
        <v>150.395</v>
      </c>
    </row>
    <row r="900" customFormat="false" ht="15" hidden="false" customHeight="false" outlineLevel="0" collapsed="false">
      <c r="A900" s="0" t="s">
        <v>527</v>
      </c>
      <c r="B900" s="0" t="s">
        <v>86</v>
      </c>
      <c r="C900" s="38" t="n">
        <f aca="false">Sens!$C$803</f>
        <v>21.215</v>
      </c>
      <c r="D900" s="38" t="n">
        <f aca="false">Sens!$D$803</f>
        <v>22.561</v>
      </c>
      <c r="E900" s="38" t="n">
        <f aca="false">Sens!$E$803</f>
        <v>11.579</v>
      </c>
      <c r="F900" s="38" t="n">
        <f aca="false">Sens!$F$803</f>
        <v>11.5938724610325</v>
      </c>
      <c r="G900" s="38" t="n">
        <f aca="false">Sens!$G$803</f>
        <v>23.1728724610325</v>
      </c>
      <c r="H900" s="38" t="n">
        <f aca="false">Sens!$H$803</f>
        <v>24.353392759506</v>
      </c>
      <c r="I900" s="38" t="n">
        <f aca="false">Sens!$I$803</f>
        <v>25.4240338872015</v>
      </c>
      <c r="J900" s="38" t="n">
        <f aca="false">Sens!$J$803</f>
        <v>26.3642491017174</v>
      </c>
      <c r="K900" s="38" t="n">
        <f aca="false">Sens!$K$803</f>
        <v>27.155176574769</v>
      </c>
      <c r="L900" s="38" t="n">
        <f aca="false">Sens!$L$803</f>
        <v>27.969831872012</v>
      </c>
      <c r="M900" s="38" t="n">
        <f aca="false">Sens!$M$803</f>
        <v>28.8089268281724</v>
      </c>
      <c r="N900" s="38" t="n">
        <f aca="false">Sens!$N$803</f>
        <v>11.128</v>
      </c>
      <c r="O900" s="38" t="n">
        <f aca="false">Sens!$O$803</f>
        <v>11.433</v>
      </c>
    </row>
    <row r="901" customFormat="false" ht="15" hidden="false" customHeight="false" outlineLevel="0" collapsed="false">
      <c r="A901" s="0" t="s">
        <v>528</v>
      </c>
      <c r="B901" s="0" t="s">
        <v>86</v>
      </c>
      <c r="C901" s="38" t="n">
        <f aca="false">Sens!$C$805</f>
        <v>156.146</v>
      </c>
      <c r="D901" s="38" t="n">
        <f aca="false">Sens!$D$805</f>
        <v>172.162</v>
      </c>
      <c r="E901" s="38" t="n">
        <f aca="false">Sens!$E$805</f>
        <v>88.358</v>
      </c>
      <c r="F901" s="38" t="n">
        <f aca="false">Sens!$F$805</f>
        <v>102.004388260171</v>
      </c>
      <c r="G901" s="38" t="n">
        <f aca="false">Sens!$G$805</f>
        <v>190.362388260171</v>
      </c>
      <c r="H901" s="38" t="n">
        <f aca="false">Sens!$H$805</f>
        <v>210.343106588311</v>
      </c>
      <c r="I901" s="38" t="n">
        <f aca="false">Sens!$I$805</f>
        <v>229.969728494648</v>
      </c>
      <c r="J901" s="38" t="n">
        <f aca="false">Sens!$J$805</f>
        <v>248.747636972598</v>
      </c>
      <c r="K901" s="38" t="n">
        <f aca="false">Sens!$K$805</f>
        <v>266.15997156068</v>
      </c>
      <c r="L901" s="38" t="n">
        <f aca="false">Sens!$L$805</f>
        <v>284.791169569927</v>
      </c>
      <c r="M901" s="38" t="n">
        <f aca="false">Sens!$M$805</f>
        <v>304.726551439822</v>
      </c>
      <c r="N901" s="38" t="n">
        <f aca="false">Sens!$N$805</f>
        <v>76.86</v>
      </c>
      <c r="O901" s="38" t="n">
        <f aca="false">Sens!$O$805</f>
        <v>95.302</v>
      </c>
    </row>
    <row r="902" customFormat="false" ht="15" hidden="false" customHeight="false" outlineLevel="0" collapsed="false">
      <c r="A902" s="0" t="s">
        <v>529</v>
      </c>
      <c r="B902" s="0" t="s">
        <v>86</v>
      </c>
      <c r="C902" s="38" t="n">
        <f aca="false">Sens!$C$807</f>
        <v>56.214</v>
      </c>
      <c r="D902" s="38" t="n">
        <f aca="false">Sens!$D$807</f>
        <v>68.635</v>
      </c>
      <c r="E902" s="38" t="n">
        <f aca="false">Sens!$E$807</f>
        <v>37.052</v>
      </c>
      <c r="F902" s="38" t="n">
        <f aca="false">Sens!$F$807</f>
        <v>46.1572219944148</v>
      </c>
      <c r="G902" s="38" t="n">
        <f aca="false">Sens!$G$807</f>
        <v>83.2092219944148</v>
      </c>
      <c r="H902" s="38" t="n">
        <f aca="false">Sens!$H$807</f>
        <v>99.8969223878976</v>
      </c>
      <c r="I902" s="38" t="n">
        <f aca="false">Sens!$I$807</f>
        <v>116.583111095496</v>
      </c>
      <c r="J902" s="38" t="n">
        <f aca="false">Sens!$J$807</f>
        <v>132.148941941952</v>
      </c>
      <c r="K902" s="38" t="n">
        <f aca="false">Sens!$K$807</f>
        <v>145.363836136147</v>
      </c>
      <c r="L902" s="38" t="n">
        <f aca="false">Sens!$L$807</f>
        <v>159.900219749762</v>
      </c>
      <c r="M902" s="38" t="n">
        <f aca="false">Sens!$M$807</f>
        <v>175.890241724738</v>
      </c>
      <c r="N902" s="38" t="n">
        <f aca="false">Sens!$N$807</f>
        <v>29.615</v>
      </c>
      <c r="O902" s="38" t="n">
        <f aca="false">Sens!$O$807</f>
        <v>39.02</v>
      </c>
    </row>
    <row r="903" customFormat="false" ht="15" hidden="false" customHeight="false" outlineLevel="0" collapsed="false">
      <c r="A903" s="0" t="s">
        <v>530</v>
      </c>
      <c r="B903" s="0" t="s">
        <v>86</v>
      </c>
      <c r="C903" s="38" t="n">
        <f aca="false">Sens!$C$809</f>
        <v>44.374</v>
      </c>
      <c r="D903" s="38" t="n">
        <f aca="false">Sens!$D$809</f>
        <v>49.619</v>
      </c>
      <c r="E903" s="38" t="n">
        <f aca="false">Sens!$E$809</f>
        <v>27.157</v>
      </c>
      <c r="F903" s="38" t="n">
        <f aca="false">Sens!$F$809</f>
        <v>27.7764165988154</v>
      </c>
      <c r="G903" s="38" t="n">
        <f aca="false">Sens!$G$809</f>
        <v>54.9334165988154</v>
      </c>
      <c r="H903" s="38" t="n">
        <f aca="false">Sens!$H$809</f>
        <v>61.1564112561829</v>
      </c>
      <c r="I903" s="38" t="n">
        <f aca="false">Sens!$I$809</f>
        <v>67.2020282103945</v>
      </c>
      <c r="J903" s="38" t="n">
        <f aca="false">Sens!$J$809</f>
        <v>72.8757274028885</v>
      </c>
      <c r="K903" s="38" t="n">
        <f aca="false">Sens!$K$809</f>
        <v>77.9770283210907</v>
      </c>
      <c r="L903" s="38" t="n">
        <f aca="false">Sens!$L$809</f>
        <v>83.4354203035671</v>
      </c>
      <c r="M903" s="38" t="n">
        <f aca="false">Sens!$M$809</f>
        <v>89.2758997248168</v>
      </c>
      <c r="N903" s="38" t="n">
        <f aca="false">Sens!$N$809</f>
        <v>23.923</v>
      </c>
      <c r="O903" s="38" t="n">
        <f aca="false">Sens!$O$809</f>
        <v>25.696</v>
      </c>
    </row>
    <row r="904" customFormat="false" ht="15" hidden="false" customHeight="false" outlineLevel="0" collapsed="false">
      <c r="A904" s="0" t="s">
        <v>531</v>
      </c>
      <c r="B904" s="0" t="s">
        <v>86</v>
      </c>
      <c r="C904" s="38" t="n">
        <f aca="false">Sens!$C$811</f>
        <v>5.425</v>
      </c>
      <c r="D904" s="38" t="n">
        <f aca="false">Sens!$D$811</f>
        <v>5.935</v>
      </c>
      <c r="E904" s="38" t="n">
        <f aca="false">Sens!$E$811</f>
        <v>3.474</v>
      </c>
      <c r="F904" s="38" t="n">
        <f aca="false">Sens!$F$811</f>
        <v>3.22246550883619</v>
      </c>
      <c r="G904" s="38" t="n">
        <f aca="false">Sens!$G$811</f>
        <v>6.69646550883619</v>
      </c>
      <c r="H904" s="38" t="n">
        <f aca="false">Sens!$H$811</f>
        <v>7.16251344209196</v>
      </c>
      <c r="I904" s="38" t="n">
        <f aca="false">Sens!$I$811</f>
        <v>7.61421070299826</v>
      </c>
      <c r="J904" s="38" t="n">
        <f aca="false">Sens!$J$811</f>
        <v>8.04465753523932</v>
      </c>
      <c r="K904" s="38" t="n">
        <f aca="false">Sens!$K$811</f>
        <v>8.44689041200128</v>
      </c>
      <c r="L904" s="38" t="n">
        <f aca="false">Sens!$L$811</f>
        <v>8.86923493260135</v>
      </c>
      <c r="M904" s="38" t="n">
        <f aca="false">Sens!$M$811</f>
        <v>9.31269667923142</v>
      </c>
      <c r="N904" s="38" t="n">
        <f aca="false">Sens!$N$811</f>
        <v>2.811</v>
      </c>
      <c r="O904" s="38" t="n">
        <f aca="false">Sens!$O$811</f>
        <v>3.124</v>
      </c>
    </row>
    <row r="905" customFormat="false" ht="17.15" hidden="false" customHeight="false" outlineLevel="0" collapsed="false">
      <c r="A905" s="0" t="s">
        <v>728</v>
      </c>
      <c r="B905" s="0" t="s">
        <v>86</v>
      </c>
      <c r="C905" s="38" t="n">
        <f aca="false">Sens!$C$886</f>
        <v>107.556</v>
      </c>
      <c r="D905" s="38" t="n">
        <f aca="false">Sens!$D$886</f>
        <v>128.725</v>
      </c>
      <c r="E905" s="38" t="n">
        <f aca="false">Sens!$E$886</f>
        <v>79.819</v>
      </c>
      <c r="F905" s="38" t="n">
        <f aca="false">Sens!$F$886</f>
        <v>86.7327334389669</v>
      </c>
      <c r="G905" s="38" t="n">
        <f aca="false">Sens!$G$886</f>
        <v>166.551733438967</v>
      </c>
      <c r="H905" s="38" t="n">
        <f aca="false">Sens!$H$886</f>
        <v>221.182967828978</v>
      </c>
      <c r="I905" s="38" t="n">
        <f aca="false">Sens!$I$886</f>
        <v>280.27345865789</v>
      </c>
      <c r="J905" s="38" t="n">
        <f aca="false">Sens!$J$886</f>
        <v>338.800945197185</v>
      </c>
      <c r="K905" s="38" t="n">
        <f aca="false">Sens!$K$886</f>
        <v>389.88570147276</v>
      </c>
      <c r="L905" s="38" t="n">
        <f aca="false">Sens!$L$886</f>
        <v>430.080689379143</v>
      </c>
      <c r="M905" s="38" t="n">
        <f aca="false">Sens!$M$886</f>
        <v>459.456235951751</v>
      </c>
      <c r="N905" s="38" t="n">
        <f aca="false">Sens!$N$886</f>
        <v>60.14</v>
      </c>
      <c r="O905" s="38" t="n">
        <f aca="false">Sens!$O$886</f>
        <v>68.585</v>
      </c>
    </row>
    <row r="906" customFormat="false" ht="15" hidden="false" customHeight="false" outlineLevel="0" collapsed="false">
      <c r="A906" s="1" t="s">
        <v>519</v>
      </c>
      <c r="B906" s="8" t="s">
        <v>86</v>
      </c>
      <c r="C906" s="38" t="n">
        <f aca="false">Sens!$C$816</f>
        <v>387.497</v>
      </c>
      <c r="D906" s="38" t="n">
        <f aca="false">Sens!$D$816</f>
        <v>426.305</v>
      </c>
      <c r="E906" s="38" t="n">
        <f aca="false">Sens!$E$816</f>
        <v>220.32</v>
      </c>
      <c r="F906" s="38" t="n">
        <f aca="false">Sens!$F$816</f>
        <v>250.639773480586</v>
      </c>
      <c r="G906" s="38" t="n">
        <f aca="false">Sens!$G$816</f>
        <v>470.959773480586</v>
      </c>
      <c r="H906" s="38" t="n">
        <f aca="false">Sens!$H$816</f>
        <v>521.386990416437</v>
      </c>
      <c r="I906" s="38" t="n">
        <f aca="false">Sens!$I$816</f>
        <v>570.143862887555</v>
      </c>
      <c r="J906" s="38" t="n">
        <f aca="false">Sens!$J$816</f>
        <v>615.391435791933</v>
      </c>
      <c r="K906" s="38" t="n">
        <f aca="false">Sens!$K$816</f>
        <v>655.208227561543</v>
      </c>
      <c r="L906" s="38" t="n">
        <f aca="false">Sens!$L$816</f>
        <v>697.807739249767</v>
      </c>
      <c r="M906" s="38" t="n">
        <f aca="false">Sens!$M$816</f>
        <v>743.399328463592</v>
      </c>
      <c r="N906" s="38" t="n">
        <f aca="false">Sens!$N$816</f>
        <v>192.955</v>
      </c>
      <c r="O906" s="38" t="n">
        <f aca="false">Sens!$O$816</f>
        <v>233.35</v>
      </c>
    </row>
    <row r="907" customFormat="false" ht="15" hidden="false" customHeight="false" outlineLevel="0" collapsed="false">
      <c r="A907" s="1" t="s">
        <v>522</v>
      </c>
      <c r="B907" s="8" t="s">
        <v>86</v>
      </c>
      <c r="C907" s="38" t="n">
        <f aca="false">Sens!$C$817</f>
        <v>142.906</v>
      </c>
      <c r="D907" s="38" t="n">
        <f aca="false">Sens!$D$817</f>
        <v>161.894</v>
      </c>
      <c r="E907" s="38" t="n">
        <f aca="false">Sens!$E$817</f>
        <v>81.986</v>
      </c>
      <c r="F907" s="38" t="n">
        <f aca="false">Sens!$F$817</f>
        <v>98.408468164951</v>
      </c>
      <c r="G907" s="38" t="n">
        <f aca="false">Sens!$G$817</f>
        <v>180.394468164951</v>
      </c>
      <c r="H907" s="38" t="n">
        <f aca="false">Sens!$H$817</f>
        <v>199.709899104949</v>
      </c>
      <c r="I907" s="38" t="n">
        <f aca="false">Sens!$I$817</f>
        <v>218.385528264976</v>
      </c>
      <c r="J907" s="38" t="n">
        <f aca="false">Sens!$J$817</f>
        <v>235.71696994951</v>
      </c>
      <c r="K907" s="38" t="n">
        <f aca="false">Sens!$K$817</f>
        <v>250.968227869545</v>
      </c>
      <c r="L907" s="38" t="n">
        <f aca="false">Sens!$L$817</f>
        <v>267.285367225822</v>
      </c>
      <c r="M907" s="38" t="n">
        <f aca="false">Sens!$M$817</f>
        <v>284.748579483295</v>
      </c>
      <c r="N907" s="38" t="n">
        <f aca="false">Sens!$N$817</f>
        <v>70.274</v>
      </c>
      <c r="O907" s="38" t="n">
        <f aca="false">Sens!$O$817</f>
        <v>91.62</v>
      </c>
    </row>
    <row r="908" customFormat="false" ht="15" hidden="false" customHeight="false" outlineLevel="0" collapsed="false">
      <c r="A908" s="1" t="s">
        <v>523</v>
      </c>
      <c r="B908" s="8" t="s">
        <v>86</v>
      </c>
      <c r="C908" s="38" t="n">
        <f aca="false">Sens!$C$886</f>
        <v>107.556</v>
      </c>
      <c r="D908" s="38" t="n">
        <f aca="false">Sens!$D$886</f>
        <v>128.725</v>
      </c>
      <c r="E908" s="38" t="n">
        <f aca="false">Sens!$E$886</f>
        <v>79.819</v>
      </c>
      <c r="F908" s="38" t="n">
        <f aca="false">Sens!$F$886</f>
        <v>86.7327334389669</v>
      </c>
      <c r="G908" s="38" t="n">
        <f aca="false">Sens!$G$886</f>
        <v>166.551733438967</v>
      </c>
      <c r="H908" s="38" t="n">
        <f aca="false">Sens!$H$886</f>
        <v>221.182967828978</v>
      </c>
      <c r="I908" s="38" t="n">
        <f aca="false">Sens!$I$886</f>
        <v>280.27345865789</v>
      </c>
      <c r="J908" s="38" t="n">
        <f aca="false">Sens!$J$886</f>
        <v>338.800945197185</v>
      </c>
      <c r="K908" s="38" t="n">
        <f aca="false">Sens!$K$886</f>
        <v>389.88570147276</v>
      </c>
      <c r="L908" s="38" t="n">
        <f aca="false">Sens!$L$886</f>
        <v>430.080689379143</v>
      </c>
      <c r="M908" s="38" t="n">
        <f aca="false">Sens!$M$886</f>
        <v>459.456235951751</v>
      </c>
      <c r="N908" s="38" t="n">
        <f aca="false">Sens!$N$886</f>
        <v>60.14</v>
      </c>
      <c r="O908" s="38" t="n">
        <f aca="false">Sens!$O$886</f>
        <v>68.585</v>
      </c>
    </row>
    <row r="909" customFormat="false" ht="17.15" hidden="false" customHeight="false" outlineLevel="0" collapsed="false">
      <c r="A909" s="0" t="s">
        <v>702</v>
      </c>
      <c r="B909" s="0" t="s">
        <v>86</v>
      </c>
      <c r="C909" s="38" t="n">
        <f aca="false">Sens!$C$884</f>
        <v>2.32100535697364</v>
      </c>
      <c r="D909" s="38" t="n">
        <f aca="false">Sens!$D$884</f>
        <v>8.70377008865116</v>
      </c>
      <c r="E909" s="38" t="n">
        <f aca="false">Sens!$E$884</f>
        <v>8.51035297557002</v>
      </c>
      <c r="F909" s="38" t="n">
        <f aca="false">Sens!$F$884</f>
        <v>14.9634336447205</v>
      </c>
      <c r="G909" s="38" t="n">
        <f aca="false">Sens!$G$884</f>
        <v>23.4737866202905</v>
      </c>
      <c r="H909" s="38" t="n">
        <f aca="false">Sens!$H$884</f>
        <v>60.1658907497746</v>
      </c>
      <c r="I909" s="38" t="n">
        <f aca="false">Sens!$I$884</f>
        <v>101.503699136432</v>
      </c>
      <c r="J909" s="38" t="n">
        <f aca="false">Sens!$J$884</f>
        <v>143.025407151278</v>
      </c>
      <c r="K909" s="38" t="n">
        <f aca="false">Sens!$K$884</f>
        <v>178.44812038318</v>
      </c>
      <c r="L909" s="38" t="n">
        <f aca="false">Sens!$L$884</f>
        <v>201.728101802396</v>
      </c>
      <c r="M909" s="38" t="n">
        <f aca="false">Sens!$M$884</f>
        <v>212.835441368865</v>
      </c>
      <c r="N909" s="38" t="n">
        <f aca="false">Sens!$N$884</f>
        <v>3.04631953102791</v>
      </c>
      <c r="O909" s="38" t="n">
        <f aca="false">Sens!$O$884</f>
        <v>5.65745055762326</v>
      </c>
    </row>
    <row r="910" customFormat="false" ht="17.15" hidden="false" customHeight="false" outlineLevel="0" collapsed="false">
      <c r="A910" s="0" t="s">
        <v>704</v>
      </c>
      <c r="B910" s="0" t="s">
        <v>86</v>
      </c>
      <c r="C910" s="38" t="n">
        <f aca="false">Sens!$C$885</f>
        <v>105.234994643026</v>
      </c>
      <c r="D910" s="38" t="n">
        <f aca="false">Sens!$D$885</f>
        <v>120.021229911349</v>
      </c>
      <c r="E910" s="38" t="n">
        <f aca="false">Sens!$E$885</f>
        <v>71.30864702443</v>
      </c>
      <c r="F910" s="38" t="n">
        <f aca="false">Sens!$F$885</f>
        <v>71.7692997942464</v>
      </c>
      <c r="G910" s="38" t="n">
        <f aca="false">Sens!$G$885</f>
        <v>143.077946818676</v>
      </c>
      <c r="H910" s="38" t="n">
        <f aca="false">Sens!$H$885</f>
        <v>161.017077079203</v>
      </c>
      <c r="I910" s="38" t="n">
        <f aca="false">Sens!$I$885</f>
        <v>178.769759521457</v>
      </c>
      <c r="J910" s="38" t="n">
        <f aca="false">Sens!$J$885</f>
        <v>195.775538045907</v>
      </c>
      <c r="K910" s="38" t="n">
        <f aca="false">Sens!$K$885</f>
        <v>211.43758108958</v>
      </c>
      <c r="L910" s="38" t="n">
        <f aca="false">Sens!$L$885</f>
        <v>228.352587576746</v>
      </c>
      <c r="M910" s="38" t="n">
        <f aca="false">Sens!$M$885</f>
        <v>246.620794582886</v>
      </c>
      <c r="N910" s="38" t="n">
        <f aca="false">Sens!$N$885</f>
        <v>57.0936804689721</v>
      </c>
      <c r="O910" s="38" t="n">
        <f aca="false">Sens!$O$885</f>
        <v>62.9275494423768</v>
      </c>
    </row>
    <row r="911" customFormat="false" ht="15" hidden="false" customHeight="false" outlineLevel="0" collapsed="false">
      <c r="A911" s="3" t="s">
        <v>524</v>
      </c>
      <c r="B911" s="8" t="s">
        <v>86</v>
      </c>
      <c r="C911" s="38" t="n">
        <f aca="false">Sens!$C$887</f>
        <v>637.959</v>
      </c>
      <c r="D911" s="38" t="n">
        <f aca="false">Sens!$D$887</f>
        <v>716.924</v>
      </c>
      <c r="E911" s="38" t="n">
        <f aca="false">Sens!$E$887</f>
        <v>382.125</v>
      </c>
      <c r="F911" s="38" t="n">
        <f aca="false">Sens!$F$887</f>
        <v>435.780975084504</v>
      </c>
      <c r="G911" s="38" t="n">
        <f aca="false">Sens!$G$887</f>
        <v>817.905975084504</v>
      </c>
      <c r="H911" s="38" t="n">
        <f aca="false">Sens!$H$887</f>
        <v>942.279857350364</v>
      </c>
      <c r="I911" s="38" t="n">
        <f aca="false">Sens!$I$887</f>
        <v>1068.80284981042</v>
      </c>
      <c r="J911" s="38" t="n">
        <f aca="false">Sens!$J$887</f>
        <v>1189.90935093863</v>
      </c>
      <c r="K911" s="38" t="n">
        <f aca="false">Sens!$K$887</f>
        <v>1296.06215690385</v>
      </c>
      <c r="L911" s="38" t="n">
        <f aca="false">Sens!$L$887</f>
        <v>1395.17379585473</v>
      </c>
      <c r="M911" s="38" t="n">
        <f aca="false">Sens!$M$887</f>
        <v>1487.60414389864</v>
      </c>
      <c r="N911" s="38" t="n">
        <f aca="false">Sens!$N$887</f>
        <v>323.369</v>
      </c>
      <c r="O911" s="38" t="n">
        <f aca="false">Sens!$O$887</f>
        <v>393.555</v>
      </c>
    </row>
    <row r="912" customFormat="false" ht="17.15" hidden="false" customHeight="false" outlineLevel="0" collapsed="false">
      <c r="A912" s="24" t="s">
        <v>714</v>
      </c>
      <c r="B912" s="25" t="s">
        <v>86</v>
      </c>
      <c r="C912" s="41" t="n">
        <f aca="false">Sens!$C$899+Sens!$C$900+Sens!$C$901+Sens!$C$902+Sens!$C$903+Sens!$C$904-(Sens!$C$906+Sens!$C$907)</f>
        <v>0</v>
      </c>
      <c r="D912" s="41" t="n">
        <f aca="false">Sens!$D$899+Sens!$D$900+Sens!$D$901+Sens!$D$902+Sens!$D$903+Sens!$D$904-(Sens!$D$906+Sens!$D$907)</f>
        <v>0</v>
      </c>
      <c r="E912" s="41" t="n">
        <f aca="false">Sens!$E$899+Sens!$E$900+Sens!$E$901+Sens!$E$902+Sens!$E$903+Sens!$E$904-(Sens!$E$906+Sens!$E$907)</f>
        <v>0</v>
      </c>
      <c r="F912" s="41" t="n">
        <f aca="false">Sens!$F$899+Sens!$F$900+Sens!$F$901+Sens!$F$902+Sens!$F$903+Sens!$F$904-(Sens!$F$906+Sens!$F$907)</f>
        <v>0</v>
      </c>
      <c r="G912" s="41" t="n">
        <f aca="false">Sens!$G$899+Sens!$G$900+Sens!$G$901+Sens!$G$902+Sens!$G$903+Sens!$G$904-(Sens!$G$906+Sens!$G$907)</f>
        <v>0</v>
      </c>
      <c r="H912" s="41" t="n">
        <f aca="false">Sens!$H$899+Sens!$H$900+Sens!$H$901+Sens!$H$902+Sens!$H$903+Sens!$H$904-(Sens!$H$906+Sens!$H$907)</f>
        <v>0</v>
      </c>
      <c r="I912" s="41" t="n">
        <f aca="false">Sens!$I$899+Sens!$I$900+Sens!$I$901+Sens!$I$902+Sens!$I$903+Sens!$I$904-(Sens!$I$906+Sens!$I$907)</f>
        <v>0</v>
      </c>
      <c r="J912" s="41" t="n">
        <f aca="false">Sens!$J$899+Sens!$J$900+Sens!$J$901+Sens!$J$902+Sens!$J$903+Sens!$J$904-(Sens!$J$906+Sens!$J$907)</f>
        <v>0</v>
      </c>
      <c r="K912" s="41" t="n">
        <f aca="false">Sens!$K$899+Sens!$K$900+Sens!$K$901+Sens!$K$902+Sens!$K$903+Sens!$K$904-(Sens!$K$906+Sens!$K$907)</f>
        <v>0</v>
      </c>
      <c r="L912" s="41" t="n">
        <f aca="false">Sens!$L$899+Sens!$L$900+Sens!$L$901+Sens!$L$902+Sens!$L$903+Sens!$L$904-(Sens!$L$906+Sens!$L$907)</f>
        <v>0</v>
      </c>
      <c r="M912" s="41" t="n">
        <f aca="false">Sens!$M$899+Sens!$M$900+Sens!$M$901+Sens!$M$902+Sens!$M$903+Sens!$M$904-(Sens!$M$906+Sens!$M$907)</f>
        <v>0</v>
      </c>
      <c r="N912" s="41" t="n">
        <f aca="false">Sens!$N$899+Sens!$N$900+Sens!$N$901+Sens!$N$902+Sens!$N$903+Sens!$N$904-(Sens!$N$906+Sens!$N$907)</f>
        <v>0</v>
      </c>
      <c r="O912" s="41" t="n">
        <f aca="false">Sens!$O$899+Sens!$O$900+Sens!$O$901+Sens!$O$902+Sens!$O$903+Sens!$O$904-(Sens!$O$906+Sens!$O$907)</f>
        <v>0</v>
      </c>
    </row>
    <row r="913" customFormat="false" ht="17.15" hidden="false" customHeight="false" outlineLevel="0" collapsed="false">
      <c r="A913" s="24" t="s">
        <v>715</v>
      </c>
      <c r="B913" s="25" t="s">
        <v>86</v>
      </c>
      <c r="C913" s="41" t="n">
        <f aca="false">Sens!$C$909+Sens!$C$910-Sens!$C$908</f>
        <v>0</v>
      </c>
      <c r="D913" s="41" t="n">
        <f aca="false">Sens!$D$909+Sens!$D$910-Sens!$D$908</f>
        <v>0</v>
      </c>
      <c r="E913" s="41" t="n">
        <f aca="false">Sens!$E$909+Sens!$E$910-Sens!$E$908</f>
        <v>0</v>
      </c>
      <c r="F913" s="41" t="n">
        <f aca="false">Sens!$F$909+Sens!$F$910-Sens!$F$908</f>
        <v>0</v>
      </c>
      <c r="G913" s="41" t="n">
        <f aca="false">Sens!$G$909+Sens!$G$910-Sens!$G$908</f>
        <v>0</v>
      </c>
      <c r="H913" s="41" t="n">
        <f aca="false">Sens!$H$909+Sens!$H$910-Sens!$H$908</f>
        <v>0</v>
      </c>
      <c r="I913" s="41" t="n">
        <f aca="false">Sens!$I$909+Sens!$I$910-Sens!$I$908</f>
        <v>0</v>
      </c>
      <c r="J913" s="41" t="n">
        <f aca="false">Sens!$J$909+Sens!$J$910-Sens!$J$908</f>
        <v>0</v>
      </c>
      <c r="K913" s="41" t="n">
        <f aca="false">Sens!$K$909+Sens!$K$910-Sens!$K$908</f>
        <v>0</v>
      </c>
      <c r="L913" s="41" t="n">
        <f aca="false">Sens!$L$909+Sens!$L$910-Sens!$L$908</f>
        <v>0</v>
      </c>
      <c r="M913" s="41" t="n">
        <f aca="false">Sens!$M$909+Sens!$M$910-Sens!$M$908</f>
        <v>0</v>
      </c>
      <c r="N913" s="41" t="n">
        <f aca="false">Sens!$N$909+Sens!$N$910-Sens!$N$908</f>
        <v>0</v>
      </c>
      <c r="O913" s="41" t="n">
        <f aca="false">Sens!$O$909+Sens!$O$910-Sens!$O$908</f>
        <v>0</v>
      </c>
    </row>
    <row r="914" customFormat="false" ht="17.15" hidden="false" customHeight="false" outlineLevel="0" collapsed="false">
      <c r="A914" s="24" t="s">
        <v>774</v>
      </c>
      <c r="B914" s="25" t="s">
        <v>86</v>
      </c>
      <c r="C914" s="41" t="n">
        <f aca="false">Sens!$C$899+Sens!$C$900+Sens!$C$901+Sens!$C$902+Sens!$C$903+Sens!$C$904+Sens!$C$905-Sens!$C$911</f>
        <v>0</v>
      </c>
      <c r="D914" s="41" t="n">
        <f aca="false">Sens!$D$899+Sens!$D$900+Sens!$D$901+Sens!$D$902+Sens!$D$903+Sens!$D$904+Sens!$D$905-Sens!$D$911</f>
        <v>0</v>
      </c>
      <c r="E914" s="41" t="n">
        <f aca="false">Sens!$E$899+Sens!$E$900+Sens!$E$901+Sens!$E$902+Sens!$E$903+Sens!$E$904+Sens!$E$905-Sens!$E$911</f>
        <v>0</v>
      </c>
      <c r="F914" s="41" t="n">
        <f aca="false">Sens!$F$899+Sens!$F$900+Sens!$F$901+Sens!$F$902+Sens!$F$903+Sens!$F$904+Sens!$F$905-Sens!$F$911</f>
        <v>0</v>
      </c>
      <c r="G914" s="41" t="n">
        <f aca="false">Sens!$G$899+Sens!$G$900+Sens!$G$901+Sens!$G$902+Sens!$G$903+Sens!$G$904+Sens!$G$905-Sens!$G$911</f>
        <v>0</v>
      </c>
      <c r="H914" s="41" t="n">
        <f aca="false">Sens!$H$899+Sens!$H$900+Sens!$H$901+Sens!$H$902+Sens!$H$903+Sens!$H$904+Sens!$H$905-Sens!$H$911</f>
        <v>0</v>
      </c>
      <c r="I914" s="41" t="n">
        <f aca="false">Sens!$I$899+Sens!$I$900+Sens!$I$901+Sens!$I$902+Sens!$I$903+Sens!$I$904+Sens!$I$905-Sens!$I$911</f>
        <v>0</v>
      </c>
      <c r="J914" s="41" t="n">
        <f aca="false">Sens!$J$899+Sens!$J$900+Sens!$J$901+Sens!$J$902+Sens!$J$903+Sens!$J$904+Sens!$J$905-Sens!$J$911</f>
        <v>0</v>
      </c>
      <c r="K914" s="41" t="n">
        <f aca="false">Sens!$K$899+Sens!$K$900+Sens!$K$901+Sens!$K$902+Sens!$K$903+Sens!$K$904+Sens!$K$905-Sens!$K$911</f>
        <v>0</v>
      </c>
      <c r="L914" s="41" t="n">
        <f aca="false">Sens!$L$899+Sens!$L$900+Sens!$L$901+Sens!$L$902+Sens!$L$903+Sens!$L$904+Sens!$L$905-Sens!$L$911</f>
        <v>0</v>
      </c>
      <c r="M914" s="41" t="n">
        <f aca="false">Sens!$M$899+Sens!$M$900+Sens!$M$901+Sens!$M$902+Sens!$M$903+Sens!$M$904+Sens!$M$905-Sens!$M$911</f>
        <v>0</v>
      </c>
      <c r="N914" s="41" t="n">
        <f aca="false">Sens!$N$899+Sens!$N$900+Sens!$N$901+Sens!$N$902+Sens!$N$903+Sens!$N$904+Sens!$N$905-Sens!$N$911</f>
        <v>0</v>
      </c>
      <c r="O914" s="41" t="n">
        <f aca="false">Sens!$O$899+Sens!$O$900+Sens!$O$901+Sens!$O$902+Sens!$O$903+Sens!$O$904+Sens!$O$905-Sens!$O$911</f>
        <v>0</v>
      </c>
    </row>
    <row r="915" customFormat="false" ht="17.15" hidden="false" customHeight="false" outlineLevel="0" collapsed="false">
      <c r="A915" s="24" t="s">
        <v>716</v>
      </c>
      <c r="B915" s="25" t="s">
        <v>86</v>
      </c>
      <c r="C915" s="41" t="n">
        <f aca="false">Sens!$C$906+Sens!$C$907+Sens!$C$908-Sens!$C$911</f>
        <v>0</v>
      </c>
      <c r="D915" s="41" t="n">
        <f aca="false">Sens!$D$906+Sens!$D$907+Sens!$D$908-Sens!$D$911</f>
        <v>0</v>
      </c>
      <c r="E915" s="41" t="n">
        <f aca="false">Sens!$E$906+Sens!$E$907+Sens!$E$908-Sens!$E$911</f>
        <v>0</v>
      </c>
      <c r="F915" s="41" t="n">
        <f aca="false">Sens!$F$906+Sens!$F$907+Sens!$F$908-Sens!$F$911</f>
        <v>0</v>
      </c>
      <c r="G915" s="41" t="n">
        <f aca="false">Sens!$G$906+Sens!$G$907+Sens!$G$908-Sens!$G$911</f>
        <v>0</v>
      </c>
      <c r="H915" s="41" t="n">
        <f aca="false">Sens!$H$906+Sens!$H$907+Sens!$H$908-Sens!$H$911</f>
        <v>0</v>
      </c>
      <c r="I915" s="41" t="n">
        <f aca="false">Sens!$I$906+Sens!$I$907+Sens!$I$908-Sens!$I$911</f>
        <v>0</v>
      </c>
      <c r="J915" s="41" t="n">
        <f aca="false">Sens!$J$906+Sens!$J$907+Sens!$J$908-Sens!$J$911</f>
        <v>0</v>
      </c>
      <c r="K915" s="41" t="n">
        <f aca="false">Sens!$K$906+Sens!$K$907+Sens!$K$908-Sens!$K$911</f>
        <v>0</v>
      </c>
      <c r="L915" s="41" t="n">
        <f aca="false">Sens!$L$906+Sens!$L$907+Sens!$L$908-Sens!$L$911</f>
        <v>0</v>
      </c>
      <c r="M915" s="41" t="n">
        <f aca="false">Sens!$M$906+Sens!$M$907+Sens!$M$908-Sens!$M$911</f>
        <v>0</v>
      </c>
      <c r="N915" s="41" t="n">
        <f aca="false">Sens!$N$906+Sens!$N$907+Sens!$N$908-Sens!$N$911</f>
        <v>0</v>
      </c>
      <c r="O915" s="41" t="n">
        <f aca="false">Sens!$O$906+Sens!$O$907+Sens!$O$908-Sens!$O$911</f>
        <v>0</v>
      </c>
    </row>
    <row r="916" customFormat="false" ht="17.15" hidden="false" customHeight="false" outlineLevel="0" collapsed="false">
      <c r="A916" s="1" t="s">
        <v>730</v>
      </c>
    </row>
    <row r="917" customFormat="false" ht="17.15" hidden="false" customHeight="false" outlineLevel="0" collapsed="false">
      <c r="A917" s="0" t="s">
        <v>731</v>
      </c>
      <c r="B917" s="0" t="s">
        <v>86</v>
      </c>
      <c r="C917" s="38" t="n">
        <f aca="false">Sens!$C$818*m_ad</f>
        <v>20.5341564414228</v>
      </c>
      <c r="D917" s="38" t="n">
        <f aca="false">Sens!$D$818*m_ad</f>
        <v>24.8720617299587</v>
      </c>
      <c r="E917" s="38" t="n">
        <f aca="false">Sens!$E$818*m_ad</f>
        <v>13.5017112462207</v>
      </c>
      <c r="F917" s="38" t="n">
        <f aca="false">Sens!$F$818*m_ad</f>
        <v>16.5719724165257</v>
      </c>
      <c r="G917" s="38" t="n">
        <f aca="false">Sens!$G$818*m_ad</f>
        <v>30.0820919220415</v>
      </c>
      <c r="H917" s="38" t="n">
        <f aca="false">Sens!$H$818*m_ad</f>
        <v>36.1150883276314</v>
      </c>
      <c r="I917" s="38" t="n">
        <f aca="false">Sens!$I$818*m_ad</f>
        <v>42.1475382231996</v>
      </c>
      <c r="J917" s="38" t="n">
        <f aca="false">Sens!$J$818*m_ad</f>
        <v>47.7749523864693</v>
      </c>
      <c r="K917" s="38" t="n">
        <f aca="false">Sens!$K$818*m_ad</f>
        <v>52.5524476251162</v>
      </c>
      <c r="L917" s="38" t="n">
        <f aca="false">Sens!$L$818*m_ad</f>
        <v>57.8076923876279</v>
      </c>
      <c r="M917" s="38" t="n">
        <f aca="false">Sens!$M$818*m_ad</f>
        <v>63.5884616263907</v>
      </c>
      <c r="N917" s="38" t="n">
        <f aca="false">Sens!$N$818*m_ad</f>
        <v>10.8543555706248</v>
      </c>
      <c r="O917" s="38" t="n">
        <f aca="false">Sens!$O$818*m_ad</f>
        <v>14.0094731821399</v>
      </c>
    </row>
    <row r="918" customFormat="false" ht="17.15" hidden="false" customHeight="false" outlineLevel="0" collapsed="false">
      <c r="A918" s="0" t="s">
        <v>732</v>
      </c>
      <c r="B918" s="0" t="s">
        <v>86</v>
      </c>
      <c r="C918" s="38" t="n">
        <f aca="false">Sens!$C$816-Sens!$C$818</f>
        <v>346.428687117154</v>
      </c>
      <c r="D918" s="38" t="n">
        <f aca="false">Sens!$D$816-Sens!$D$818</f>
        <v>376.560876540083</v>
      </c>
      <c r="E918" s="38" t="n">
        <f aca="false">Sens!$E$816-Sens!$E$818</f>
        <v>193.316577507559</v>
      </c>
      <c r="F918" s="38" t="n">
        <f aca="false">Sens!$F$816-Sens!$F$818</f>
        <v>217.495828647535</v>
      </c>
      <c r="G918" s="38" t="n">
        <f aca="false">Sens!$G$816-Sens!$G$818</f>
        <v>410.795589636503</v>
      </c>
      <c r="H918" s="38" t="n">
        <f aca="false">Sens!$H$816-Sens!$H$818</f>
        <v>449.156813761174</v>
      </c>
      <c r="I918" s="38" t="n">
        <f aca="false">Sens!$I$816-Sens!$I$818</f>
        <v>485.848786441156</v>
      </c>
      <c r="J918" s="38" t="n">
        <f aca="false">Sens!$J$816-Sens!$J$818</f>
        <v>519.841531018994</v>
      </c>
      <c r="K918" s="38" t="n">
        <f aca="false">Sens!$K$816-Sens!$K$818</f>
        <v>550.103332311311</v>
      </c>
      <c r="L918" s="38" t="n">
        <f aca="false">Sens!$L$816-Sens!$L$818</f>
        <v>582.192354474511</v>
      </c>
      <c r="M918" s="38" t="n">
        <f aca="false">Sens!$M$816-Sens!$M$818</f>
        <v>616.22240521081</v>
      </c>
      <c r="N918" s="38" t="n">
        <f aca="false">Sens!$N$816-Sens!$N$818</f>
        <v>171.24628885875</v>
      </c>
      <c r="O918" s="38" t="n">
        <f aca="false">Sens!$O$816-Sens!$O$818</f>
        <v>205.33105363572</v>
      </c>
    </row>
    <row r="919" customFormat="false" ht="17.15" hidden="false" customHeight="false" outlineLevel="0" collapsed="false">
      <c r="A919" s="0" t="s">
        <v>733</v>
      </c>
      <c r="B919" s="0" t="s">
        <v>86</v>
      </c>
      <c r="C919" s="38" t="n">
        <f aca="false">Sens!$C$870*Sens!$C$815</f>
        <v>0.30982720052789</v>
      </c>
      <c r="D919" s="38" t="n">
        <f aca="false">Sens!$D$870*Sens!$D$815</f>
        <v>1.58086636458222</v>
      </c>
      <c r="E919" s="38" t="n">
        <f aca="false">Sens!$E$870*Sens!$E$815</f>
        <v>2.77973097200747</v>
      </c>
      <c r="F919" s="38" t="n">
        <f aca="false">Sens!$F$870*Sens!$F$815</f>
        <v>3.38913058670169</v>
      </c>
      <c r="G919" s="38" t="n">
        <f aca="false">Sens!$G$870*Sens!$G$815</f>
        <v>6.1704351565853</v>
      </c>
      <c r="H919" s="38" t="n">
        <f aca="false">Sens!$H$870*Sens!$H$815</f>
        <v>15.2403937043277</v>
      </c>
      <c r="I919" s="38" t="n">
        <f aca="false">Sens!$I$870*Sens!$I$815</f>
        <v>30.6946499974282</v>
      </c>
      <c r="J919" s="38" t="n">
        <f aca="false">Sens!$J$870*Sens!$J$815</f>
        <v>45.7845822750046</v>
      </c>
      <c r="K919" s="38" t="n">
        <f aca="false">Sens!$K$870*Sens!$K$815</f>
        <v>60.5706256849952</v>
      </c>
      <c r="L919" s="38" t="n">
        <f aca="false">Sens!$L$870*Sens!$L$815</f>
        <v>70.8006105577671</v>
      </c>
      <c r="M919" s="38" t="n">
        <f aca="false">Sens!$M$870*Sens!$M$815</f>
        <v>76.7537120280455</v>
      </c>
      <c r="N919" s="38" t="n">
        <f aca="false">Sens!$N$870*Sens!$N$815</f>
        <v>0.658143095016965</v>
      </c>
      <c r="O919" s="38" t="n">
        <f aca="false">Sens!$O$870*Sens!$O$815</f>
        <v>0.921551631263785</v>
      </c>
    </row>
    <row r="920" customFormat="false" ht="17.15" hidden="false" customHeight="false" outlineLevel="0" collapsed="false">
      <c r="A920" s="0" t="s">
        <v>734</v>
      </c>
      <c r="B920" s="0" t="s">
        <v>52</v>
      </c>
      <c r="C920" s="28" t="n">
        <f aca="false">(Sens!$C$921-Sens!$C$917+Sens!$C$919)/Sens!$C$918</f>
        <v>0.0136901790627437</v>
      </c>
      <c r="D920" s="28" t="n">
        <f aca="false">(Sens!$D$921-Sens!$D$917+Sens!$D$919)/Sens!$D$918</f>
        <v>0.0168042009376137</v>
      </c>
      <c r="E920" s="28" t="n">
        <f aca="false">(Sens!$E$921-Sens!$E$917+Sens!$E$919)/Sens!$E$918</f>
        <v>0.0344927466219292</v>
      </c>
      <c r="F920" s="28" t="n">
        <f aca="false">Sens!$O$920+(Sens!$E$920-Sens!$N$920)</f>
        <v>0.0314828293668359</v>
      </c>
      <c r="G920" s="28" t="n">
        <f aca="false">(Sens!$G$921-Sens!$G$917+Sens!$G$919)/Sens!$G$918</f>
        <v>0.0328839195611371</v>
      </c>
      <c r="H920" s="28" t="n">
        <f aca="false">Sens!$G$920+step_na</f>
        <v>0.0358839195611371</v>
      </c>
      <c r="I920" s="28" t="n">
        <f aca="false">Sens!$H$920+step_na</f>
        <v>0.0388839195611371</v>
      </c>
      <c r="J920" s="28" t="n">
        <f aca="false">Sens!$I$920+step_na</f>
        <v>0.0418839195611371</v>
      </c>
      <c r="K920" s="28" t="n">
        <f aca="false">Sens!$J$920+step_na</f>
        <v>0.0448839195611371</v>
      </c>
      <c r="L920" s="28" t="n">
        <f aca="false">Sens!$K$920</f>
        <v>0.0448839195611371</v>
      </c>
      <c r="M920" s="28" t="n">
        <f aca="false">Sens!$L$920</f>
        <v>0.0448839195611371</v>
      </c>
      <c r="N920" s="28" t="n">
        <f aca="false">(Sens!$N$921-Sens!$N$917+Sens!$N$919)/Sens!$N$918</f>
        <v>0.0184633929614679</v>
      </c>
      <c r="O920" s="28" t="n">
        <f aca="false">(Sens!$O$921-Sens!$O$917+Sens!$O$919)/Sens!$O$918</f>
        <v>0.0154534757063746</v>
      </c>
      <c r="P920" s="8" t="s">
        <v>735</v>
      </c>
    </row>
    <row r="921" customFormat="false" ht="17.15" hidden="false" customHeight="false" outlineLevel="0" collapsed="false">
      <c r="A921" s="1" t="s">
        <v>736</v>
      </c>
      <c r="B921" s="8" t="s">
        <v>86</v>
      </c>
      <c r="C921" s="38" t="n">
        <f aca="false">Q!$D$22</f>
        <v>24.967</v>
      </c>
      <c r="D921" s="38" t="n">
        <f aca="false">Q!$E$22</f>
        <v>29.619</v>
      </c>
      <c r="E921" s="38" t="n">
        <f aca="false">Q!$P$22</f>
        <v>17.39</v>
      </c>
      <c r="F921" s="38" t="n">
        <f aca="false">Sens!$F$917+Sens!$F$918*Sens!$F$920-Sens!$F$919</f>
        <v>20.0302258911329</v>
      </c>
      <c r="G921" s="38" t="n">
        <f aca="false">Sens!$E$921+Sens!$F$921</f>
        <v>37.4202258911329</v>
      </c>
      <c r="H921" s="38" t="n">
        <f aca="false">Sens!$H$917+Sens!$H$918*Sens!$H$920-Sens!$H$919</f>
        <v>36.9922015986463</v>
      </c>
      <c r="I921" s="38" t="n">
        <f aca="false">Sens!$I$917+Sens!$I$918*Sens!$I$920-Sens!$I$919</f>
        <v>30.3445933566254</v>
      </c>
      <c r="J921" s="38" t="n">
        <f aca="false">Sens!$J$917+Sens!$J$918*Sens!$J$920-Sens!$J$919</f>
        <v>23.7633709812026</v>
      </c>
      <c r="K921" s="38" t="n">
        <f aca="false">Sens!$K$917+Sens!$K$918*Sens!$K$920-Sens!$K$919</f>
        <v>16.6726156578955</v>
      </c>
      <c r="L921" s="38" t="n">
        <f aca="false">Sens!$L$917+Sens!$L$918*Sens!$L$920-Sens!$L$919</f>
        <v>13.1381566372038</v>
      </c>
      <c r="M921" s="38" t="n">
        <f aca="false">Sens!$M$917+Sens!$M$918*Sens!$M$920-Sens!$M$919</f>
        <v>14.4932264655977</v>
      </c>
      <c r="N921" s="38" t="n">
        <f aca="false">Q!$N$22</f>
        <v>13.358</v>
      </c>
      <c r="O921" s="38" t="n">
        <f aca="false">Q!$O$22</f>
        <v>16.261</v>
      </c>
    </row>
    <row r="922" customFormat="false" ht="17.15" hidden="false" customHeight="false" outlineLevel="0" collapsed="false">
      <c r="A922" s="0" t="s">
        <v>737</v>
      </c>
      <c r="B922" s="0" t="s">
        <v>86</v>
      </c>
      <c r="C922" s="38" t="n">
        <f aca="false">Sens!$C$819*m_ad</f>
        <v>7.57284355857716</v>
      </c>
      <c r="D922" s="38" t="n">
        <f aca="false">Sens!$D$819*m_ad</f>
        <v>9.44543827004127</v>
      </c>
      <c r="E922" s="38" t="n">
        <f aca="false">Sens!$E$819*m_ad</f>
        <v>5.02428875377928</v>
      </c>
      <c r="F922" s="38" t="n">
        <f aca="false">Sens!$F$819*m_ad</f>
        <v>6.50663858068173</v>
      </c>
      <c r="G922" s="38" t="n">
        <f aca="false">Sens!$G$819*m_ad</f>
        <v>11.5225190751659</v>
      </c>
      <c r="H922" s="38" t="n">
        <f aca="false">Sens!$H$819*m_ad</f>
        <v>13.8333728663174</v>
      </c>
      <c r="I922" s="38" t="n">
        <f aca="false">Sens!$I$819*m_ad</f>
        <v>16.1440173245485</v>
      </c>
      <c r="J922" s="38" t="n">
        <f aca="false">Sens!$J$819*m_ad</f>
        <v>18.2995185845066</v>
      </c>
      <c r="K922" s="38" t="n">
        <f aca="false">Sens!$K$819*m_ad</f>
        <v>20.1294704429572</v>
      </c>
      <c r="L922" s="38" t="n">
        <f aca="false">Sens!$L$819*m_ad</f>
        <v>22.142417487253</v>
      </c>
      <c r="M922" s="38" t="n">
        <f aca="false">Sens!$M$819*m_ad</f>
        <v>24.3566592359783</v>
      </c>
      <c r="N922" s="38" t="n">
        <f aca="false">Sens!$N$819*m_ad</f>
        <v>3.95314442937518</v>
      </c>
      <c r="O922" s="38" t="n">
        <f aca="false">Sens!$O$819*m_ad</f>
        <v>5.50052681786011</v>
      </c>
    </row>
    <row r="923" customFormat="false" ht="17.15" hidden="false" customHeight="false" outlineLevel="0" collapsed="false">
      <c r="A923" s="0" t="s">
        <v>738</v>
      </c>
      <c r="B923" s="0" t="s">
        <v>86</v>
      </c>
      <c r="C923" s="38" t="n">
        <f aca="false">Sens!$C$817-Sens!$C$819</f>
        <v>127.760312882846</v>
      </c>
      <c r="D923" s="38" t="n">
        <f aca="false">Sens!$D$817-Sens!$D$819</f>
        <v>143.003123459917</v>
      </c>
      <c r="E923" s="38" t="n">
        <f aca="false">Sens!$E$817-Sens!$E$819</f>
        <v>71.9374224924414</v>
      </c>
      <c r="F923" s="38" t="n">
        <f aca="false">Sens!$F$817-Sens!$F$819</f>
        <v>85.3951910035875</v>
      </c>
      <c r="G923" s="38" t="n">
        <f aca="false">Sens!$G$817-Sens!$G$819</f>
        <v>157.349430014619</v>
      </c>
      <c r="H923" s="38" t="n">
        <f aca="false">Sens!$H$817-Sens!$H$819</f>
        <v>172.043153372315</v>
      </c>
      <c r="I923" s="38" t="n">
        <f aca="false">Sens!$I$817-Sens!$I$819</f>
        <v>186.097493615879</v>
      </c>
      <c r="J923" s="38" t="n">
        <f aca="false">Sens!$J$817-Sens!$J$819</f>
        <v>199.117932780497</v>
      </c>
      <c r="K923" s="38" t="n">
        <f aca="false">Sens!$K$817-Sens!$K$819</f>
        <v>210.70928698363</v>
      </c>
      <c r="L923" s="38" t="n">
        <f aca="false">Sens!$L$817-Sens!$L$819</f>
        <v>223.000532251316</v>
      </c>
      <c r="M923" s="38" t="n">
        <f aca="false">Sens!$M$817-Sens!$M$819</f>
        <v>236.035261011339</v>
      </c>
      <c r="N923" s="38" t="n">
        <f aca="false">Sens!$N$817-Sens!$N$819</f>
        <v>62.3677111412496</v>
      </c>
      <c r="O923" s="38" t="n">
        <f aca="false">Sens!$O$817-Sens!$O$819</f>
        <v>80.6189463642798</v>
      </c>
    </row>
    <row r="924" customFormat="false" ht="17.15" hidden="false" customHeight="false" outlineLevel="0" collapsed="false">
      <c r="A924" s="0" t="s">
        <v>739</v>
      </c>
      <c r="B924" s="0" t="s">
        <v>86</v>
      </c>
      <c r="C924" s="38" t="n">
        <f aca="false">Sens!$C$870*(1-Sens!$C$815)</f>
        <v>0.114261957947129</v>
      </c>
      <c r="D924" s="38" t="n">
        <f aca="false">Sens!$D$870*(1-Sens!$D$815)</f>
        <v>0.60035134288285</v>
      </c>
      <c r="E924" s="38" t="n">
        <f aca="false">Sens!$E$870*(1-Sens!$E$815)</f>
        <v>1.03440007022061</v>
      </c>
      <c r="F924" s="38" t="n">
        <f aca="false">Sens!$F$870*(1-Sens!$F$815)</f>
        <v>1.33067128499511</v>
      </c>
      <c r="G924" s="38" t="n">
        <f aca="false">Sens!$G$870*(1-Sens!$G$815)</f>
        <v>2.36349775733958</v>
      </c>
      <c r="H924" s="38" t="n">
        <f aca="false">Sens!$H$870*(1-Sens!$H$815)</f>
        <v>5.83761686608251</v>
      </c>
      <c r="I924" s="38" t="n">
        <f aca="false">Sens!$I$870*(1-Sens!$I$815)</f>
        <v>11.7571507665582</v>
      </c>
      <c r="J924" s="38" t="n">
        <f aca="false">Sens!$J$870*(1-Sens!$J$815)</f>
        <v>17.5371355150237</v>
      </c>
      <c r="K924" s="38" t="n">
        <f aca="false">Sens!$K$870*(1-Sens!$K$815)</f>
        <v>23.2007199385861</v>
      </c>
      <c r="L924" s="38" t="n">
        <f aca="false">Sens!$L$870*(1-Sens!$L$815)</f>
        <v>27.1191706946256</v>
      </c>
      <c r="M924" s="38" t="n">
        <f aca="false">Sens!$M$870*(1-Sens!$M$815)</f>
        <v>29.3994218628437</v>
      </c>
      <c r="N924" s="38" t="n">
        <f aca="false">Sens!$N$870*(1-Sens!$N$815)</f>
        <v>0.239694995513058</v>
      </c>
      <c r="O924" s="38" t="n">
        <f aca="false">Sens!$O$870*(1-Sens!$O$815)</f>
        <v>0.361827985671258</v>
      </c>
    </row>
    <row r="925" customFormat="false" ht="17.15" hidden="false" customHeight="false" outlineLevel="0" collapsed="false">
      <c r="A925" s="0" t="s">
        <v>740</v>
      </c>
      <c r="B925" s="0" t="s">
        <v>52</v>
      </c>
      <c r="C925" s="28" t="n">
        <f aca="false">(Sens!$C$926-Sens!$C$922+Sens!$C$924)/Sens!$C$923</f>
        <v>-0.0286989090578717</v>
      </c>
      <c r="D925" s="28" t="n">
        <f aca="false">(Sens!$D$926-Sens!$D$922+Sens!$D$924)/Sens!$D$923</f>
        <v>-0.0286363460327231</v>
      </c>
      <c r="E925" s="28" t="n">
        <f aca="false">(Sens!$E$926-Sens!$E$922+Sens!$E$924)/Sens!$E$923</f>
        <v>-0.0118003766905587</v>
      </c>
      <c r="F925" s="28" t="n">
        <f aca="false">Sens!$O$925+(Sens!$E$925-Sens!$N$925)</f>
        <v>-0.0284883347290829</v>
      </c>
      <c r="G925" s="28" t="n">
        <f aca="false">(Sens!$G$926-Sens!$G$922+Sens!$G$924)/Sens!$G$923</f>
        <v>-0.0208124097265531</v>
      </c>
      <c r="H925" s="28" t="n">
        <f aca="false">Sens!$G$925+step_in</f>
        <v>-0.0208124097265531</v>
      </c>
      <c r="I925" s="28" t="n">
        <f aca="false">Sens!$H$925+step_in</f>
        <v>-0.0208124097265531</v>
      </c>
      <c r="J925" s="28" t="n">
        <f aca="false">Sens!$I$925+step_in</f>
        <v>-0.0208124097265531</v>
      </c>
      <c r="K925" s="28" t="n">
        <f aca="false">Sens!$J$925+step_in</f>
        <v>-0.0208124097265531</v>
      </c>
      <c r="L925" s="28" t="n">
        <f aca="false">Sens!$K$925</f>
        <v>-0.0208124097265531</v>
      </c>
      <c r="M925" s="28" t="n">
        <f aca="false">Sens!$L$925</f>
        <v>-0.0208124097265531</v>
      </c>
      <c r="N925" s="28" t="n">
        <f aca="false">(Sens!$N$926-Sens!$N$922+Sens!$N$924)/Sens!$N$923</f>
        <v>-0.0192799994076876</v>
      </c>
      <c r="O925" s="28" t="n">
        <f aca="false">(Sens!$O$926-Sens!$O$922+Sens!$O$924)/Sens!$O$923</f>
        <v>-0.0359679574462119</v>
      </c>
      <c r="P925" s="8" t="s">
        <v>735</v>
      </c>
    </row>
    <row r="926" customFormat="false" ht="17.15" hidden="false" customHeight="false" outlineLevel="0" collapsed="false">
      <c r="A926" s="1" t="s">
        <v>741</v>
      </c>
      <c r="B926" s="8" t="s">
        <v>86</v>
      </c>
      <c r="C926" s="38" t="n">
        <f aca="false">Q!$D$23</f>
        <v>3.792</v>
      </c>
      <c r="D926" s="38" t="n">
        <f aca="false">Q!$E$23</f>
        <v>4.75</v>
      </c>
      <c r="E926" s="38" t="n">
        <f aca="false">Q!$P$23</f>
        <v>3.141</v>
      </c>
      <c r="F926" s="38" t="n">
        <f aca="false">Sens!$F$922+Sens!$F$923*Sens!$F$925-Sens!$F$924</f>
        <v>2.74320051012244</v>
      </c>
      <c r="G926" s="38" t="n">
        <f aca="false">Sens!$E$926+Sens!$F$926</f>
        <v>5.88420051012245</v>
      </c>
      <c r="H926" s="38" t="n">
        <f aca="false">Sens!$H$922+Sens!$H$923*Sens!$H$925-Sens!$H$924</f>
        <v>4.41512340160202</v>
      </c>
      <c r="I926" s="38" t="n">
        <f aca="false">Sens!$I$922+Sens!$I$923*Sens!$I$925-Sens!$I$924</f>
        <v>0.513729271772009</v>
      </c>
      <c r="J926" s="38" t="n">
        <f aca="false">Sens!$J$922+Sens!$J$923*Sens!$J$925-Sens!$J$924</f>
        <v>-3.38174093144907</v>
      </c>
      <c r="K926" s="38" t="n">
        <f aca="false">Sens!$K$922+Sens!$K$923*Sens!$K$925-Sens!$K$924</f>
        <v>-7.45661750952204</v>
      </c>
      <c r="L926" s="38" t="n">
        <f aca="false">Sens!$L$922+Sens!$L$923*Sens!$L$925-Sens!$L$924</f>
        <v>-9.61793165382646</v>
      </c>
      <c r="M926" s="38" t="n">
        <f aca="false">Sens!$M$922+Sens!$M$923*Sens!$M$925-Sens!$M$924</f>
        <v>-9.95522518894735</v>
      </c>
      <c r="N926" s="38" t="n">
        <f aca="false">Q!$N$23</f>
        <v>2.511</v>
      </c>
      <c r="O926" s="38" t="n">
        <f aca="false">Q!$O$23</f>
        <v>2.239</v>
      </c>
    </row>
    <row r="927" customFormat="false" ht="17.15" hidden="false" customHeight="false" outlineLevel="0" collapsed="false">
      <c r="A927" s="0" t="s">
        <v>742</v>
      </c>
      <c r="B927" s="0" t="s">
        <v>86</v>
      </c>
      <c r="C927" s="38" t="n">
        <f aca="false">Sens!$C$867</f>
        <v>1.68487161926111</v>
      </c>
      <c r="D927" s="38" t="n">
        <f aca="false">Sens!$D$867</f>
        <v>5.43194352745356</v>
      </c>
      <c r="E927" s="38" t="n">
        <f aca="false">Sens!$E$867</f>
        <v>2.78915641222791</v>
      </c>
      <c r="F927" s="38" t="n">
        <f aca="false">Sens!$F$867</f>
        <v>7.88373083717524</v>
      </c>
      <c r="G927" s="38" t="n">
        <f aca="false">Sens!$G$867</f>
        <v>10.6728872494032</v>
      </c>
      <c r="H927" s="38" t="n">
        <f aca="false">Sens!$H$867</f>
        <v>28.5488748941593</v>
      </c>
      <c r="I927" s="38" t="n">
        <f aca="false">Sens!$I$867</f>
        <v>37.8259979904524</v>
      </c>
      <c r="J927" s="38" t="n">
        <f aca="false">Sens!$J$867</f>
        <v>48.0428304662358</v>
      </c>
      <c r="K927" s="38" t="n">
        <f aca="false">Sens!$K$867</f>
        <v>52.7911019478078</v>
      </c>
      <c r="L927" s="38" t="n">
        <f aca="false">Sens!$L$867</f>
        <v>54.8484299238074</v>
      </c>
      <c r="M927" s="38" t="n">
        <f aca="false">Sens!$M$867</f>
        <v>53.6057405325314</v>
      </c>
      <c r="N927" s="38" t="n">
        <f aca="false">Sens!$N$867</f>
        <v>1.69956239523287</v>
      </c>
      <c r="O927" s="38" t="n">
        <f aca="false">Sens!$O$867</f>
        <v>3.73238113222069</v>
      </c>
    </row>
    <row r="928" customFormat="false" ht="17.15" hidden="false" customHeight="false" outlineLevel="0" collapsed="false">
      <c r="A928" s="0" t="s">
        <v>660</v>
      </c>
      <c r="B928" s="0" t="s">
        <v>86</v>
      </c>
      <c r="C928" s="38" t="n">
        <f aca="false">Sens!$C$872</f>
        <v>38.1491283807389</v>
      </c>
      <c r="D928" s="38" t="n">
        <f aca="false">Sens!$D$872</f>
        <v>40.1740564725464</v>
      </c>
      <c r="E928" s="38" t="n">
        <f aca="false">Sens!$E$872</f>
        <v>27.9928435877721</v>
      </c>
      <c r="F928" s="38" t="n">
        <f aca="false">Sens!$F$872</f>
        <v>25.7484269509744</v>
      </c>
      <c r="G928" s="38" t="n">
        <f aca="false">Sens!$G$872</f>
        <v>53.7412705387465</v>
      </c>
      <c r="H928" s="38" t="n">
        <f aca="false">Sens!$H$872</f>
        <v>57.7675476689777</v>
      </c>
      <c r="I928" s="38" t="n">
        <f aca="false">Sens!$I$872</f>
        <v>64.136617011422</v>
      </c>
      <c r="J928" s="38" t="n">
        <f aca="false">Sens!$J$872</f>
        <v>70.2377221822481</v>
      </c>
      <c r="K928" s="38" t="n">
        <f aca="false">Sens!$K$872</f>
        <v>75.8567399568279</v>
      </c>
      <c r="L928" s="38" t="n">
        <f aca="false">Sens!$L$872</f>
        <v>81.9252791533742</v>
      </c>
      <c r="M928" s="38" t="n">
        <f aca="false">Sens!$M$872</f>
        <v>88.4793014856441</v>
      </c>
      <c r="N928" s="38" t="n">
        <f aca="false">Sens!$N$872</f>
        <v>20.0074376047671</v>
      </c>
      <c r="O928" s="38" t="n">
        <f aca="false">Sens!$O$872</f>
        <v>20.1666188677793</v>
      </c>
    </row>
    <row r="929" customFormat="false" ht="17.15" hidden="false" customHeight="false" outlineLevel="0" collapsed="false">
      <c r="A929" s="1" t="s">
        <v>743</v>
      </c>
      <c r="B929" s="8" t="s">
        <v>86</v>
      </c>
      <c r="C929" s="38" t="n">
        <f aca="false">Q!$D$24</f>
        <v>39.834</v>
      </c>
      <c r="D929" s="38" t="n">
        <f aca="false">Q!$E$24</f>
        <v>45.606</v>
      </c>
      <c r="E929" s="38" t="n">
        <f aca="false">Q!$P$24</f>
        <v>30.782</v>
      </c>
      <c r="F929" s="38" t="n">
        <f aca="false">Sens!$F$927+Sens!$F$928</f>
        <v>33.6321577881497</v>
      </c>
      <c r="G929" s="38" t="n">
        <f aca="false">Sens!$G$927+Sens!$G$928</f>
        <v>64.4141577881497</v>
      </c>
      <c r="H929" s="38" t="n">
        <f aca="false">Sens!$H$927+Sens!$H$928</f>
        <v>86.3164225631369</v>
      </c>
      <c r="I929" s="38" t="n">
        <f aca="false">Sens!$I$927+Sens!$I$928</f>
        <v>101.962615001874</v>
      </c>
      <c r="J929" s="38" t="n">
        <f aca="false">Sens!$J$927+Sens!$J$928</f>
        <v>118.280552648484</v>
      </c>
      <c r="K929" s="38" t="n">
        <f aca="false">Sens!$K$927+Sens!$K$928</f>
        <v>128.647841904636</v>
      </c>
      <c r="L929" s="38" t="n">
        <f aca="false">Sens!$L$927+Sens!$L$928</f>
        <v>136.773709077182</v>
      </c>
      <c r="M929" s="38" t="n">
        <f aca="false">Sens!$M$927+Sens!$M$928</f>
        <v>142.085042018176</v>
      </c>
      <c r="N929" s="38" t="n">
        <f aca="false">Q!$N$24</f>
        <v>21.707</v>
      </c>
      <c r="O929" s="38" t="n">
        <f aca="false">Q!$O$24</f>
        <v>23.899</v>
      </c>
    </row>
    <row r="930" customFormat="false" ht="17.15" hidden="false" customHeight="false" outlineLevel="0" collapsed="false">
      <c r="A930" s="5" t="s">
        <v>744</v>
      </c>
      <c r="B930" s="0" t="s">
        <v>86</v>
      </c>
      <c r="C930" s="38" t="n">
        <f aca="false">Q!$D$26</f>
        <v>0</v>
      </c>
      <c r="D930" s="38" t="n">
        <f aca="false">Q!$E$26</f>
        <v>0</v>
      </c>
      <c r="E930" s="38" t="n">
        <f aca="false">Q!$P$26</f>
        <v>0</v>
      </c>
      <c r="F930" s="39" t="n">
        <v>0</v>
      </c>
      <c r="G930" s="38" t="n">
        <f aca="false">Sens!$E$930+Sens!$F$930</f>
        <v>0</v>
      </c>
      <c r="H930" s="39" t="n">
        <v>0</v>
      </c>
      <c r="I930" s="39" t="n">
        <v>0</v>
      </c>
      <c r="J930" s="39" t="n">
        <v>0</v>
      </c>
      <c r="K930" s="39" t="n">
        <v>0</v>
      </c>
      <c r="L930" s="39" t="n">
        <v>0</v>
      </c>
      <c r="M930" s="39" t="n">
        <v>0</v>
      </c>
      <c r="N930" s="38" t="n">
        <f aca="false">Q!$N$26</f>
        <v>0</v>
      </c>
      <c r="O930" s="38" t="n">
        <f aca="false">Q!$O$26</f>
        <v>0</v>
      </c>
    </row>
    <row r="931" customFormat="false" ht="15" hidden="false" customHeight="false" outlineLevel="0" collapsed="false">
      <c r="A931" s="3" t="s">
        <v>541</v>
      </c>
      <c r="B931" s="8" t="s">
        <v>86</v>
      </c>
      <c r="C931" s="38" t="n">
        <f aca="false">Q!$D$25</f>
        <v>68.593</v>
      </c>
      <c r="D931" s="38" t="n">
        <f aca="false">Q!$E$25</f>
        <v>79.975</v>
      </c>
      <c r="E931" s="38" t="n">
        <f aca="false">Q!$P$25</f>
        <v>51.313</v>
      </c>
      <c r="F931" s="38" t="n">
        <f aca="false">Sens!$F$921+Sens!$F$926+Sens!$F$929+Sens!$F$930</f>
        <v>56.405584189405</v>
      </c>
      <c r="G931" s="38" t="n">
        <f aca="false">Sens!$G$921+Sens!$G$926+Sens!$G$929+Sens!$G$930</f>
        <v>107.718584189405</v>
      </c>
      <c r="H931" s="38" t="n">
        <f aca="false">Sens!$H$921+Sens!$H$926+Sens!$H$929+Sens!$H$930</f>
        <v>127.723747563385</v>
      </c>
      <c r="I931" s="38" t="n">
        <f aca="false">Sens!$I$921+Sens!$I$926+Sens!$I$929+Sens!$I$930</f>
        <v>132.820937630272</v>
      </c>
      <c r="J931" s="38" t="n">
        <f aca="false">Sens!$J$921+Sens!$J$926+Sens!$J$929+Sens!$J$930</f>
        <v>138.662182698237</v>
      </c>
      <c r="K931" s="38" t="n">
        <f aca="false">Sens!$K$921+Sens!$K$926+Sens!$K$929+Sens!$K$930</f>
        <v>137.863840053009</v>
      </c>
      <c r="L931" s="38" t="n">
        <f aca="false">Sens!$L$921+Sens!$L$926+Sens!$L$929+Sens!$L$930</f>
        <v>140.293934060559</v>
      </c>
      <c r="M931" s="38" t="n">
        <f aca="false">Sens!$M$921+Sens!$M$926+Sens!$M$929+Sens!$M$930</f>
        <v>146.623043294826</v>
      </c>
      <c r="N931" s="38" t="n">
        <f aca="false">Q!$N$25</f>
        <v>37.576</v>
      </c>
      <c r="O931" s="38" t="n">
        <f aca="false">Q!$O$25</f>
        <v>42.399</v>
      </c>
    </row>
    <row r="932" customFormat="false" ht="17.15" hidden="false" customHeight="false" outlineLevel="0" collapsed="false">
      <c r="A932" s="24" t="s">
        <v>775</v>
      </c>
      <c r="B932" s="25" t="s">
        <v>86</v>
      </c>
      <c r="C932" s="41" t="n">
        <f aca="false">Sens!$C$921+Sens!$C$926+Sens!$C$929+Sens!$C$930-Sens!$C$931</f>
        <v>0</v>
      </c>
      <c r="D932" s="41" t="n">
        <f aca="false">Sens!$D$921+Sens!$D$926+Sens!$D$929+Sens!$D$930-Sens!$D$931</f>
        <v>0</v>
      </c>
      <c r="E932" s="41" t="n">
        <f aca="false">Sens!$E$921+Sens!$E$926+Sens!$E$929+Sens!$E$930-Sens!$E$931</f>
        <v>0</v>
      </c>
      <c r="F932" s="41" t="n">
        <f aca="false">Sens!$F$921+Sens!$F$926+Sens!$F$929+Sens!$F$930-Sens!$F$931</f>
        <v>0</v>
      </c>
      <c r="G932" s="41" t="n">
        <f aca="false">Sens!$G$921+Sens!$G$926+Sens!$G$929+Sens!$G$930-Sens!$G$931</f>
        <v>0</v>
      </c>
      <c r="H932" s="41" t="n">
        <f aca="false">Sens!$H$921+Sens!$H$926+Sens!$H$929+Sens!$H$930-Sens!$H$931</f>
        <v>0</v>
      </c>
      <c r="I932" s="41" t="n">
        <f aca="false">Sens!$I$921+Sens!$I$926+Sens!$I$929+Sens!$I$930-Sens!$I$931</f>
        <v>0</v>
      </c>
      <c r="J932" s="41" t="n">
        <f aca="false">Sens!$J$921+Sens!$J$926+Sens!$J$929+Sens!$J$930-Sens!$J$931</f>
        <v>0</v>
      </c>
      <c r="K932" s="41" t="n">
        <f aca="false">Sens!$K$921+Sens!$K$926+Sens!$K$929+Sens!$K$930-Sens!$K$931</f>
        <v>0</v>
      </c>
      <c r="L932" s="41" t="n">
        <f aca="false">Sens!$L$921+Sens!$L$926+Sens!$L$929+Sens!$L$930-Sens!$L$931</f>
        <v>0</v>
      </c>
      <c r="M932" s="41" t="n">
        <f aca="false">Sens!$M$921+Sens!$M$926+Sens!$M$929+Sens!$M$930-Sens!$M$931</f>
        <v>0</v>
      </c>
      <c r="N932" s="41" t="n">
        <f aca="false">Sens!$N$921+Sens!$N$926+Sens!$N$929+Sens!$N$930-Sens!$N$931</f>
        <v>0</v>
      </c>
      <c r="O932" s="41" t="n">
        <f aca="false">Sens!$O$921+Sens!$O$926+Sens!$O$929+Sens!$O$930-Sens!$O$931</f>
        <v>0</v>
      </c>
    </row>
    <row r="933" customFormat="false" ht="17.15" hidden="false" customHeight="false" outlineLevel="0" collapsed="false">
      <c r="A933" s="5" t="s">
        <v>746</v>
      </c>
      <c r="B933" s="0" t="s">
        <v>86</v>
      </c>
      <c r="C933" s="38" t="n">
        <f aca="false">Sens!$C$869</f>
        <v>0</v>
      </c>
      <c r="D933" s="38" t="n">
        <f aca="false">Sens!$D$869</f>
        <v>0</v>
      </c>
      <c r="E933" s="38" t="n">
        <f aca="false">Sens!$E$869</f>
        <v>0</v>
      </c>
      <c r="F933" s="38" t="n">
        <f aca="false">Sens!$F$869</f>
        <v>10.0565879513551</v>
      </c>
      <c r="G933" s="38" t="n">
        <f aca="false">Sens!$G$869</f>
        <v>10.0565879513551</v>
      </c>
      <c r="H933" s="38" t="n">
        <f aca="false">Sens!$H$869</f>
        <v>40.4361449626381</v>
      </c>
      <c r="I933" s="38" t="n">
        <f aca="false">Sens!$I$869</f>
        <v>68.218358298637</v>
      </c>
      <c r="J933" s="38" t="n">
        <f aca="false">Sens!$J$869</f>
        <v>96.1241664477658</v>
      </c>
      <c r="K933" s="38" t="n">
        <f aca="false">Sens!$K$869</f>
        <v>119.93097707361</v>
      </c>
      <c r="L933" s="38" t="n">
        <f aca="false">Sens!$L$869</f>
        <v>135.57693014875</v>
      </c>
      <c r="M933" s="38" t="n">
        <f aca="false">Sens!$M$869</f>
        <v>143.041923806484</v>
      </c>
      <c r="N933" s="38" t="n">
        <f aca="false">Sens!$N$869</f>
        <v>0</v>
      </c>
      <c r="O933" s="38" t="n">
        <f aca="false">Sens!$O$869</f>
        <v>0</v>
      </c>
      <c r="P933" s="5" t="s">
        <v>747</v>
      </c>
    </row>
    <row r="934" customFormat="false" ht="17.15" hidden="false" customHeight="false" outlineLevel="0" collapsed="false">
      <c r="A934" s="5" t="s">
        <v>748</v>
      </c>
      <c r="B934" s="0" t="s">
        <v>86</v>
      </c>
      <c r="C934" s="38" t="n">
        <f aca="false">Sens!$C$931+Sens!$C$933</f>
        <v>68.593</v>
      </c>
      <c r="D934" s="38" t="n">
        <f aca="false">Sens!$D$931+Sens!$D$933</f>
        <v>79.975</v>
      </c>
      <c r="E934" s="38" t="n">
        <f aca="false">Sens!$E$931+Sens!$E$933</f>
        <v>51.313</v>
      </c>
      <c r="F934" s="38" t="n">
        <f aca="false">Sens!$F$931+Sens!$F$933</f>
        <v>66.4621721407601</v>
      </c>
      <c r="G934" s="38" t="n">
        <f aca="false">Sens!$G$931+Sens!$G$933</f>
        <v>117.77517214076</v>
      </c>
      <c r="H934" s="38" t="n">
        <f aca="false">Sens!$H$931+Sens!$H$933</f>
        <v>168.159892526023</v>
      </c>
      <c r="I934" s="38" t="n">
        <f aca="false">Sens!$I$931+Sens!$I$933</f>
        <v>201.039295928909</v>
      </c>
      <c r="J934" s="38" t="n">
        <f aca="false">Sens!$J$931+Sens!$J$933</f>
        <v>234.786349146003</v>
      </c>
      <c r="K934" s="38" t="n">
        <f aca="false">Sens!$K$931+Sens!$K$933</f>
        <v>257.794817126619</v>
      </c>
      <c r="L934" s="38" t="n">
        <f aca="false">Sens!$L$931+Sens!$L$933</f>
        <v>275.870864209309</v>
      </c>
      <c r="M934" s="38" t="n">
        <f aca="false">Sens!$M$931+Sens!$M$933</f>
        <v>289.66496710131</v>
      </c>
      <c r="N934" s="38" t="n">
        <f aca="false">Sens!$N$931+Sens!$N$933</f>
        <v>37.576</v>
      </c>
      <c r="O934" s="38" t="n">
        <f aca="false">Sens!$O$931+Sens!$O$933</f>
        <v>42.399</v>
      </c>
    </row>
    <row r="935" customFormat="false" ht="17.15" hidden="false" customHeight="false" outlineLevel="0" collapsed="false">
      <c r="A935" s="0" t="s">
        <v>749</v>
      </c>
      <c r="B935" s="0" t="s">
        <v>52</v>
      </c>
      <c r="C935" s="13" t="n">
        <f aca="false">Sens!$C$921/Sens!$C$906</f>
        <v>0.0644314665661928</v>
      </c>
      <c r="D935" s="13" t="n">
        <f aca="false">Sens!$D$921/Sens!$D$906</f>
        <v>0.0694784250712518</v>
      </c>
      <c r="E935" s="13" t="n">
        <f aca="false">Sens!$E$921/Sens!$E$906</f>
        <v>0.0789306463326071</v>
      </c>
      <c r="F935" s="13" t="n">
        <f aca="false">Sens!$F$921/Sens!$F$906</f>
        <v>0.0799163900165444</v>
      </c>
      <c r="G935" s="13" t="n">
        <f aca="false">Sens!$G$921/Sens!$G$906</f>
        <v>0.0794552486183311</v>
      </c>
      <c r="H935" s="13" t="n">
        <f aca="false">Sens!$H$921/Sens!$H$906</f>
        <v>0.0709496061056305</v>
      </c>
      <c r="I935" s="13" t="n">
        <f aca="false">Sens!$I$921/Sens!$I$906</f>
        <v>0.0532226957647881</v>
      </c>
      <c r="J935" s="13" t="n">
        <f aca="false">Sens!$J$921/Sens!$J$906</f>
        <v>0.0386150498676052</v>
      </c>
      <c r="K935" s="13" t="n">
        <f aca="false">Sens!$K$921/Sens!$K$906</f>
        <v>0.0254462855571047</v>
      </c>
      <c r="L935" s="13" t="n">
        <f aca="false">Sens!$L$921/Sens!$L$906</f>
        <v>0.0188277599949364</v>
      </c>
      <c r="M935" s="13" t="n">
        <f aca="false">Sens!$M$921/Sens!$M$906</f>
        <v>0.0194958831823958</v>
      </c>
      <c r="N935" s="13" t="n">
        <f aca="false">Sens!$N$921/Sens!$N$906</f>
        <v>0.069228576611127</v>
      </c>
      <c r="O935" s="13" t="n">
        <f aca="false">Sens!$O$921/Sens!$O$906</f>
        <v>0.069685022498393</v>
      </c>
    </row>
    <row r="936" customFormat="false" ht="17.15" hidden="false" customHeight="false" outlineLevel="0" collapsed="false">
      <c r="A936" s="0" t="s">
        <v>750</v>
      </c>
      <c r="B936" s="0" t="s">
        <v>52</v>
      </c>
      <c r="C936" s="13" t="n">
        <f aca="false">Sens!$C$926/Sens!$C$907</f>
        <v>0.026534925055631</v>
      </c>
      <c r="D936" s="13" t="n">
        <f aca="false">Sens!$D$926/Sens!$D$907</f>
        <v>0.0293401855535103</v>
      </c>
      <c r="E936" s="13" t="n">
        <f aca="false">Sens!$E$926/Sens!$E$907</f>
        <v>0.03831141902276</v>
      </c>
      <c r="F936" s="13" t="n">
        <f aca="false">Sens!$F$926/Sens!$F$907</f>
        <v>0.0278756550251786</v>
      </c>
      <c r="G936" s="13" t="n">
        <f aca="false">Sens!$G$926/Sens!$G$907</f>
        <v>0.03261851968067</v>
      </c>
      <c r="H936" s="13" t="n">
        <f aca="false">Sens!$H$926/Sens!$H$907</f>
        <v>0.0221076843030291</v>
      </c>
      <c r="I936" s="13" t="n">
        <f aca="false">Sens!$I$926/Sens!$I$907</f>
        <v>0.00235239613106909</v>
      </c>
      <c r="J936" s="13" t="n">
        <f aca="false">Sens!$J$926/Sens!$J$907</f>
        <v>-0.0143466163347231</v>
      </c>
      <c r="K936" s="13" t="n">
        <f aca="false">Sens!$K$926/Sens!$K$907</f>
        <v>-0.0297114004143905</v>
      </c>
      <c r="L936" s="13" t="n">
        <f aca="false">Sens!$L$926/Sens!$L$907</f>
        <v>-0.0359837568126224</v>
      </c>
      <c r="M936" s="13" t="n">
        <f aca="false">Sens!$M$926/Sens!$M$907</f>
        <v>-0.0349614569000207</v>
      </c>
      <c r="N936" s="13" t="n">
        <f aca="false">Sens!$N$926/Sens!$N$907</f>
        <v>0.0357315650169337</v>
      </c>
      <c r="O936" s="13" t="n">
        <f aca="false">Sens!$O$926/Sens!$O$907</f>
        <v>0.0244378956559703</v>
      </c>
    </row>
    <row r="937" customFormat="false" ht="17.15" hidden="false" customHeight="false" outlineLevel="0" collapsed="false">
      <c r="A937" s="14" t="s">
        <v>751</v>
      </c>
      <c r="B937" s="14" t="s">
        <v>52</v>
      </c>
      <c r="C937" s="17" t="n">
        <f aca="false">Sens!$C$929/Sens!$C$908</f>
        <v>0.370355907620217</v>
      </c>
      <c r="D937" s="17" t="n">
        <f aca="false">Sens!$D$929/Sens!$D$908</f>
        <v>0.35429015342785</v>
      </c>
      <c r="E937" s="17" t="n">
        <f aca="false">Sens!$E$929/Sens!$E$908</f>
        <v>0.385647527531039</v>
      </c>
      <c r="F937" s="17" t="n">
        <f aca="false">Sens!$F$929/Sens!$F$908</f>
        <v>0.387767760274918</v>
      </c>
      <c r="G937" s="17" t="n">
        <f aca="false">Sens!$G$929/Sens!$G$908</f>
        <v>0.386751650421905</v>
      </c>
      <c r="H937" s="17" t="n">
        <f aca="false">Sens!$H$929/Sens!$H$908</f>
        <v>0.390248957279017</v>
      </c>
      <c r="I937" s="17" t="n">
        <f aca="false">Sens!$I$929/Sens!$I$908</f>
        <v>0.363796898536629</v>
      </c>
      <c r="J937" s="17" t="n">
        <f aca="false">Sens!$J$929/Sens!$J$908</f>
        <v>0.349115179060801</v>
      </c>
      <c r="K937" s="17" t="n">
        <f aca="false">Sens!$K$929/Sens!$K$908</f>
        <v>0.329962964578284</v>
      </c>
      <c r="L937" s="17" t="n">
        <f aca="false">Sens!$L$929/Sens!$L$908</f>
        <v>0.318018717079871</v>
      </c>
      <c r="M937" s="17" t="n">
        <f aca="false">Sens!$M$929/Sens!$M$908</f>
        <v>0.309246084610976</v>
      </c>
      <c r="N937" s="17" t="n">
        <f aca="false">Sens!$N$929/Sens!$N$908</f>
        <v>0.360941137346192</v>
      </c>
      <c r="O937" s="17" t="n">
        <f aca="false">Sens!$O$929/Sens!$O$908</f>
        <v>0.348458117664212</v>
      </c>
    </row>
    <row r="938" customFormat="false" ht="17.15" hidden="false" customHeight="false" outlineLevel="0" collapsed="false">
      <c r="A938" s="0" t="s">
        <v>752</v>
      </c>
      <c r="B938" s="0" t="s">
        <v>52</v>
      </c>
      <c r="C938" s="13" t="n">
        <f aca="false">Sens!$C$927/Sens!$C$909</f>
        <v>0.725923192809006</v>
      </c>
      <c r="D938" s="13" t="n">
        <f aca="false">Sens!$D$927/Sens!$D$909</f>
        <v>0.624090879254298</v>
      </c>
      <c r="E938" s="13" t="n">
        <f aca="false">Sens!$E$927/Sens!$E$909</f>
        <v>0.327736865936644</v>
      </c>
      <c r="F938" s="13" t="n">
        <f aca="false">Sens!$F$927/Sens!$F$909</f>
        <v>0.526866428144777</v>
      </c>
      <c r="G938" s="13" t="n">
        <f aca="false">Sens!$G$927/Sens!$G$909</f>
        <v>0.454672585298941</v>
      </c>
      <c r="H938" s="13" t="n">
        <f aca="false">Sens!$H$927/Sens!$H$909</f>
        <v>0.474502654882845</v>
      </c>
      <c r="I938" s="13" t="n">
        <f aca="false">Sens!$I$927/Sens!$I$909</f>
        <v>0.372656349593823</v>
      </c>
      <c r="J938" s="13" t="n">
        <f aca="false">Sens!$J$927/Sens!$J$909</f>
        <v>0.33590416851896</v>
      </c>
      <c r="K938" s="13" t="n">
        <f aca="false">Sens!$K$927/Sens!$K$909</f>
        <v>0.29583445224556</v>
      </c>
      <c r="L938" s="13" t="n">
        <f aca="false">Sens!$L$927/Sens!$L$909</f>
        <v>0.271892856938367</v>
      </c>
      <c r="M938" s="13" t="n">
        <f aca="false">Sens!$M$927/Sens!$M$909</f>
        <v>0.251864727922016</v>
      </c>
      <c r="N938" s="13" t="n">
        <f aca="false">Sens!$N$927/Sens!$N$909</f>
        <v>0.557906804562749</v>
      </c>
      <c r="O938" s="13" t="n">
        <f aca="false">Sens!$O$927/Sens!$O$909</f>
        <v>0.659728457934363</v>
      </c>
    </row>
    <row r="939" customFormat="false" ht="15" hidden="false" customHeight="false" outlineLevel="0" collapsed="false">
      <c r="A939" s="5" t="s">
        <v>753</v>
      </c>
      <c r="B939" s="0" t="s">
        <v>52</v>
      </c>
      <c r="C939" s="13" t="n">
        <f aca="false">Sens!$C$931/Sens!$C$911</f>
        <v>0.107519448742004</v>
      </c>
      <c r="D939" s="13" t="n">
        <f aca="false">Sens!$D$931/Sens!$D$911</f>
        <v>0.111552967957552</v>
      </c>
      <c r="E939" s="13" t="n">
        <f aca="false">Sens!$E$931/Sens!$E$911</f>
        <v>0.13428328426562</v>
      </c>
      <c r="F939" s="13" t="n">
        <f aca="false">Sens!$F$931/Sens!$F$911</f>
        <v>0.1294356280204</v>
      </c>
      <c r="G939" s="13" t="n">
        <f aca="false">Sens!$G$931/Sens!$G$911</f>
        <v>0.131700449037893</v>
      </c>
      <c r="H939" s="13" t="n">
        <f aca="false">Sens!$H$931/Sens!$H$911</f>
        <v>0.135547572801288</v>
      </c>
      <c r="I939" s="13" t="n">
        <f aca="false">Sens!$I$931/Sens!$I$911</f>
        <v>0.124270755503535</v>
      </c>
      <c r="J939" s="13" t="n">
        <f aca="false">Sens!$J$931/Sens!$J$911</f>
        <v>0.116531719486747</v>
      </c>
      <c r="K939" s="13" t="n">
        <f aca="false">Sens!$K$931/Sens!$K$911</f>
        <v>0.106371318164517</v>
      </c>
      <c r="L939" s="13" t="n">
        <f aca="false">Sens!$L$931/Sens!$L$911</f>
        <v>0.100556600530624</v>
      </c>
      <c r="M939" s="13" t="n">
        <f aca="false">Sens!$M$931/Sens!$M$911</f>
        <v>0.098563212462264</v>
      </c>
      <c r="N939" s="13" t="n">
        <f aca="false">Sens!$N$931/Sens!$N$911</f>
        <v>0.116201614873411</v>
      </c>
      <c r="O939" s="13" t="n">
        <f aca="false">Sens!$O$931/Sens!$O$911</f>
        <v>0.107733353660861</v>
      </c>
    </row>
    <row r="940" customFormat="false" ht="17.15" hidden="false" customHeight="false" outlineLevel="0" collapsed="false">
      <c r="A940" s="1" t="s">
        <v>754</v>
      </c>
    </row>
    <row r="941" customFormat="false" ht="17.15" hidden="false" customHeight="false" outlineLevel="0" collapsed="false">
      <c r="A941" s="5" t="s">
        <v>755</v>
      </c>
      <c r="B941" s="0" t="s">
        <v>52</v>
      </c>
      <c r="D941" s="28" t="n">
        <f aca="false">(Q!$E$29+Q!$E$30-(1-ext_sh_lo)*Sens!$D$863)/Sens!$D$814</f>
        <v>0.0331757121550445</v>
      </c>
    </row>
    <row r="942" customFormat="false" ht="17.15" hidden="false" customHeight="false" outlineLevel="0" collapsed="false">
      <c r="A942" s="0" t="s">
        <v>545</v>
      </c>
      <c r="B942" s="0" t="s">
        <v>86</v>
      </c>
      <c r="C942" s="38" t="n">
        <f aca="false">Q!$D$29</f>
        <v>14.285</v>
      </c>
      <c r="D942" s="38" t="n">
        <f aca="false">Q!$E$29</f>
        <v>15.503</v>
      </c>
      <c r="E942" s="38" t="n">
        <f aca="false">Q!$P$29</f>
        <v>8.78</v>
      </c>
      <c r="F942" s="38" t="n">
        <f aca="false">(Sens!$D$941*Sens!$F$814+(1-ext_sh_lo)*Sens!$F$863)*Sens!$F$815</f>
        <v>10.1516443011422</v>
      </c>
      <c r="G942" s="38" t="n">
        <f aca="false">Sens!$E$942+Sens!$F$942</f>
        <v>18.9316443011422</v>
      </c>
      <c r="H942" s="38" t="n">
        <f aca="false">(Sens!$D$941*Sens!$H$814+(1-ext_sh_lo)*Sens!$H$863)*Sens!$H$815</f>
        <v>26.440699437938</v>
      </c>
      <c r="I942" s="38" t="n">
        <f aca="false">(Sens!$D$941*Sens!$I$814+(1-ext_sh_lo)*Sens!$I$863)*Sens!$I$815</f>
        <v>39.5111515317248</v>
      </c>
      <c r="J942" s="38" t="n">
        <f aca="false">(Sens!$D$941*Sens!$J$814+(1-ext_sh_lo)*Sens!$J$863)*Sens!$J$815</f>
        <v>52.0934575831861</v>
      </c>
      <c r="K942" s="38" t="n">
        <f aca="false">(Sens!$D$941*Sens!$K$814+(1-ext_sh_lo)*Sens!$K$863)*Sens!$K$815</f>
        <v>64.7791765575942</v>
      </c>
      <c r="L942" s="38" t="n">
        <f aca="false">(Sens!$D$941*Sens!$L$814+(1-ext_sh_lo)*Sens!$L$863)*Sens!$L$815</f>
        <v>74.1738762650228</v>
      </c>
      <c r="M942" s="38" t="n">
        <f aca="false">(Sens!$D$941*Sens!$M$814+(1-ext_sh_lo)*Sens!$M$863)*Sens!$M$815</f>
        <v>80.5648807466246</v>
      </c>
      <c r="N942" s="38" t="n">
        <f aca="false">Q!$N$29</f>
        <v>7.272</v>
      </c>
      <c r="O942" s="38" t="n">
        <f aca="false">Q!$O$29</f>
        <v>8.231</v>
      </c>
    </row>
    <row r="943" customFormat="false" ht="17.15" hidden="false" customHeight="false" outlineLevel="0" collapsed="false">
      <c r="A943" s="0" t="s">
        <v>547</v>
      </c>
      <c r="B943" s="0" t="s">
        <v>86</v>
      </c>
      <c r="C943" s="38" t="n">
        <f aca="false">Q!$D$30</f>
        <v>4.462</v>
      </c>
      <c r="D943" s="38" t="n">
        <f aca="false">Q!$E$30</f>
        <v>4.907</v>
      </c>
      <c r="E943" s="38" t="n">
        <f aca="false">Q!$P$30</f>
        <v>2.57</v>
      </c>
      <c r="F943" s="38" t="n">
        <f aca="false">(Sens!$D$941*Sens!$F$814+(1-ext_sh_lo)*Sens!$F$863)*(1-Sens!$F$815)</f>
        <v>3.98583094437816</v>
      </c>
      <c r="G943" s="38" t="n">
        <f aca="false">Sens!$E$943+Sens!$F$943</f>
        <v>6.55583094437816</v>
      </c>
      <c r="H943" s="38" t="n">
        <f aca="false">(Sens!$D$941*Sens!$H$814+(1-ext_sh_lo)*Sens!$H$863)*(1-Sens!$H$815)</f>
        <v>10.1277352793121</v>
      </c>
      <c r="I943" s="38" t="n">
        <f aca="false">(Sens!$D$941*Sens!$I$814+(1-ext_sh_lo)*Sens!$I$863)*(1-Sens!$I$815)</f>
        <v>15.1341867575535</v>
      </c>
      <c r="J943" s="38" t="n">
        <f aca="false">(Sens!$D$941*Sens!$J$814+(1-ext_sh_lo)*Sens!$J$863)*(1-Sens!$J$815)</f>
        <v>19.9536608108626</v>
      </c>
      <c r="K943" s="38" t="n">
        <f aca="false">(Sens!$D$941*Sens!$K$814+(1-ext_sh_lo)*Sens!$K$863)*(1-Sens!$K$815)</f>
        <v>24.8127457190405</v>
      </c>
      <c r="L943" s="38" t="n">
        <f aca="false">(Sens!$D$941*Sens!$L$814+(1-ext_sh_lo)*Sens!$L$863)*(1-Sens!$L$815)</f>
        <v>28.4112523277176</v>
      </c>
      <c r="M943" s="38" t="n">
        <f aca="false">(Sens!$D$941*Sens!$M$814+(1-ext_sh_lo)*Sens!$M$863)*(1-Sens!$M$815)</f>
        <v>30.8592360397404</v>
      </c>
      <c r="N943" s="38" t="n">
        <f aca="false">Q!$N$30</f>
        <v>2.316</v>
      </c>
      <c r="O943" s="38" t="n">
        <f aca="false">Q!$O$30</f>
        <v>2.591</v>
      </c>
    </row>
    <row r="944" customFormat="false" ht="17.15" hidden="false" customHeight="false" outlineLevel="0" collapsed="false">
      <c r="A944" s="0" t="s">
        <v>548</v>
      </c>
      <c r="B944" s="0" t="s">
        <v>86</v>
      </c>
      <c r="C944" s="38" t="n">
        <f aca="false">Sens!$C$875</f>
        <v>13.32</v>
      </c>
      <c r="D944" s="38" t="n">
        <f aca="false">Sens!$D$875</f>
        <v>21.45</v>
      </c>
      <c r="E944" s="38" t="n">
        <f aca="false">Sens!$E$875</f>
        <v>15.353</v>
      </c>
      <c r="F944" s="38" t="n">
        <f aca="false">Sens!$F$875</f>
        <v>15.8590749147346</v>
      </c>
      <c r="G944" s="38" t="n">
        <f aca="false">Sens!$G$875</f>
        <v>31.2120749147346</v>
      </c>
      <c r="H944" s="38" t="n">
        <f aca="false">Sens!$H$875</f>
        <v>45.9417774580949</v>
      </c>
      <c r="I944" s="38" t="n">
        <f aca="false">Sens!$I$875</f>
        <v>72.675369135557</v>
      </c>
      <c r="J944" s="38" t="n">
        <f aca="false">Sens!$J$875</f>
        <v>98.5126815704106</v>
      </c>
      <c r="K944" s="38" t="n">
        <f aca="false">Sens!$K$875</f>
        <v>124.713200362266</v>
      </c>
      <c r="L944" s="38" t="n">
        <f aca="false">Sens!$L$875</f>
        <v>144.104698317569</v>
      </c>
      <c r="M944" s="38" t="n">
        <f aca="false">Sens!$M$875</f>
        <v>157.285627259265</v>
      </c>
      <c r="N944" s="38" t="n">
        <f aca="false">Sens!$N$875</f>
        <v>9.234</v>
      </c>
      <c r="O944" s="38" t="n">
        <f aca="false">Sens!$O$875</f>
        <v>12.216</v>
      </c>
    </row>
    <row r="945" customFormat="false" ht="17.15" hidden="false" customHeight="false" outlineLevel="0" collapsed="false">
      <c r="A945" s="5" t="s">
        <v>756</v>
      </c>
      <c r="B945" s="0" t="s">
        <v>86</v>
      </c>
      <c r="C945" s="38" t="n">
        <f aca="false">Sens!$C$942+Sens!$C$943+Sens!$C$944</f>
        <v>32.067</v>
      </c>
      <c r="D945" s="38" t="n">
        <f aca="false">Sens!$D$942+Sens!$D$943+Sens!$D$944</f>
        <v>41.86</v>
      </c>
      <c r="E945" s="38" t="n">
        <f aca="false">Sens!$E$942+Sens!$E$943+Sens!$E$944</f>
        <v>26.703</v>
      </c>
      <c r="F945" s="38" t="n">
        <f aca="false">Sens!$F$942+Sens!$F$943+Sens!$F$944</f>
        <v>29.9965501602549</v>
      </c>
      <c r="G945" s="38" t="n">
        <f aca="false">Sens!$G$942+Sens!$G$943+Sens!$G$944</f>
        <v>56.6995501602549</v>
      </c>
      <c r="H945" s="38" t="n">
        <f aca="false">Sens!$H$942+Sens!$H$943+Sens!$H$944</f>
        <v>82.510212175345</v>
      </c>
      <c r="I945" s="38" t="n">
        <f aca="false">Sens!$I$942+Sens!$I$943+Sens!$I$944</f>
        <v>127.320707424835</v>
      </c>
      <c r="J945" s="38" t="n">
        <f aca="false">Sens!$J$942+Sens!$J$943+Sens!$J$944</f>
        <v>170.559799964459</v>
      </c>
      <c r="K945" s="38" t="n">
        <f aca="false">Sens!$K$942+Sens!$K$943+Sens!$K$944</f>
        <v>214.3051226389</v>
      </c>
      <c r="L945" s="38" t="n">
        <f aca="false">Sens!$L$942+Sens!$L$943+Sens!$L$944</f>
        <v>246.68982691031</v>
      </c>
      <c r="M945" s="38" t="n">
        <f aca="false">Sens!$M$942+Sens!$M$943+Sens!$M$944</f>
        <v>268.70974404563</v>
      </c>
      <c r="N945" s="38" t="n">
        <f aca="false">Sens!$N$942+Sens!$N$943+Sens!$N$944</f>
        <v>18.822</v>
      </c>
      <c r="O945" s="38" t="n">
        <f aca="false">Sens!$O$942+Sens!$O$943+Sens!$O$944</f>
        <v>23.038</v>
      </c>
    </row>
    <row r="946" customFormat="false" ht="17.15" hidden="false" customHeight="false" outlineLevel="0" collapsed="false">
      <c r="A946" s="0" t="s">
        <v>757</v>
      </c>
      <c r="B946" s="0" t="s">
        <v>86</v>
      </c>
      <c r="C946" s="38" t="n">
        <f aca="false">Sens!$C$917+Sens!$C$922</f>
        <v>28.107</v>
      </c>
      <c r="D946" s="38" t="n">
        <f aca="false">Sens!$D$917+Sens!$D$922</f>
        <v>34.3175</v>
      </c>
      <c r="E946" s="38" t="n">
        <f aca="false">Sens!$E$917+Sens!$E$922</f>
        <v>18.526</v>
      </c>
      <c r="F946" s="38" t="n">
        <f aca="false">Sens!$F$917+Sens!$F$922</f>
        <v>23.0786109972074</v>
      </c>
      <c r="G946" s="38" t="n">
        <f aca="false">Sens!$G$917+Sens!$G$922</f>
        <v>41.6046109972074</v>
      </c>
      <c r="H946" s="38" t="n">
        <f aca="false">Sens!$H$917+Sens!$H$922</f>
        <v>49.9484611939488</v>
      </c>
      <c r="I946" s="38" t="n">
        <f aca="false">Sens!$I$917+Sens!$I$922</f>
        <v>58.2915555477481</v>
      </c>
      <c r="J946" s="38" t="n">
        <f aca="false">Sens!$J$917+Sens!$J$922</f>
        <v>66.0744709709759</v>
      </c>
      <c r="K946" s="38" t="n">
        <f aca="false">Sens!$K$917+Sens!$K$922</f>
        <v>72.6819180680735</v>
      </c>
      <c r="L946" s="38" t="n">
        <f aca="false">Sens!$L$917+Sens!$L$922</f>
        <v>79.9501098748808</v>
      </c>
      <c r="M946" s="38" t="n">
        <f aca="false">Sens!$M$917+Sens!$M$922</f>
        <v>87.9451208623689</v>
      </c>
      <c r="N946" s="38" t="n">
        <f aca="false">Sens!$N$917+Sens!$N$922</f>
        <v>14.8075</v>
      </c>
      <c r="O946" s="38" t="n">
        <f aca="false">Sens!$O$917+Sens!$O$922</f>
        <v>19.51</v>
      </c>
    </row>
    <row r="947" customFormat="false" ht="17.15" hidden="false" customHeight="false" outlineLevel="0" collapsed="false">
      <c r="A947" s="0" t="s">
        <v>758</v>
      </c>
      <c r="B947" s="0" t="s">
        <v>86</v>
      </c>
      <c r="C947" s="38" t="n">
        <f aca="false">Sens!$C$921+Sens!$C$926+Sens!$C$942+Sens!$C$943-Sens!$C$946</f>
        <v>19.399</v>
      </c>
      <c r="D947" s="38" t="n">
        <f aca="false">Sens!$D$921+Sens!$D$926+Sens!$D$942+Sens!$D$943-Sens!$D$946</f>
        <v>20.4615</v>
      </c>
      <c r="E947" s="38" t="n">
        <f aca="false">Sens!$E$921+Sens!$E$926+Sens!$E$942+Sens!$E$943-Sens!$E$946</f>
        <v>13.355</v>
      </c>
      <c r="F947" s="38" t="n">
        <f aca="false">Sens!$F$921+Sens!$F$926+Sens!$F$942+Sens!$F$943-Sens!$F$946</f>
        <v>13.8322906495682</v>
      </c>
      <c r="G947" s="38" t="n">
        <f aca="false">Sens!$G$921+Sens!$G$926+Sens!$G$942+Sens!$G$943-Sens!$G$946</f>
        <v>27.1872906495682</v>
      </c>
      <c r="H947" s="38" t="n">
        <f aca="false">Sens!$H$921+Sens!$H$926+Sens!$H$942+Sens!$H$943-Sens!$H$946</f>
        <v>28.0272985235497</v>
      </c>
      <c r="I947" s="38" t="n">
        <f aca="false">Sens!$I$921+Sens!$I$926+Sens!$I$942+Sens!$I$943-Sens!$I$946</f>
        <v>27.2121053699277</v>
      </c>
      <c r="J947" s="38" t="n">
        <f aca="false">Sens!$J$921+Sens!$J$926+Sens!$J$942+Sens!$J$943-Sens!$J$946</f>
        <v>26.3542774728263</v>
      </c>
      <c r="K947" s="38" t="n">
        <f aca="false">Sens!$K$921+Sens!$K$926+Sens!$K$942+Sens!$K$943-Sens!$K$946</f>
        <v>26.1260023569346</v>
      </c>
      <c r="L947" s="38" t="n">
        <f aca="false">Sens!$L$921+Sens!$L$926+Sens!$L$942+Sens!$L$943-Sens!$L$946</f>
        <v>26.1552437012369</v>
      </c>
      <c r="M947" s="38" t="n">
        <f aca="false">Sens!$M$921+Sens!$M$926+Sens!$M$942+Sens!$M$943-Sens!$M$946</f>
        <v>28.0169972006464</v>
      </c>
      <c r="N947" s="38" t="n">
        <f aca="false">Sens!$N$921+Sens!$N$926+Sens!$N$942+Sens!$N$943-Sens!$N$946</f>
        <v>10.6495</v>
      </c>
      <c r="O947" s="38" t="n">
        <f aca="false">Sens!$O$921+Sens!$O$926+Sens!$O$942+Sens!$O$943-Sens!$O$946</f>
        <v>9.81200000000001</v>
      </c>
    </row>
    <row r="948" customFormat="false" ht="17.15" hidden="false" customHeight="false" outlineLevel="0" collapsed="false">
      <c r="A948" s="0" t="s">
        <v>759</v>
      </c>
      <c r="B948" s="0" t="s">
        <v>86</v>
      </c>
      <c r="C948" s="38" t="n">
        <f aca="false">Sens!$C$928+Sens!$C$944-ext_sh_lo*Sens!$C$863</f>
        <v>51.3470500115664</v>
      </c>
      <c r="D948" s="38" t="n">
        <f aca="false">Sens!$D$928+Sens!$D$944-ext_sh_lo*Sens!$D$863</f>
        <v>60.2799375433739</v>
      </c>
      <c r="E948" s="38" t="n">
        <f aca="false">Sens!$E$928+Sens!$E$944-ext_sh_lo*Sens!$E$863</f>
        <v>39.5095167090767</v>
      </c>
      <c r="F948" s="38" t="n">
        <f aca="false">Sens!$F$928+Sens!$F$944-ext_sh_lo*Sens!$F$863</f>
        <v>37.7711749870136</v>
      </c>
      <c r="G948" s="38" t="n">
        <f aca="false">Sens!$G$928+Sens!$G$944-ext_sh_lo*Sens!$G$863</f>
        <v>77.2806916960904</v>
      </c>
      <c r="H948" s="38" t="n">
        <f aca="false">Sens!$H$928+Sens!$H$944-ext_sh_lo*Sens!$H$863</f>
        <v>84.7410273151865</v>
      </c>
      <c r="I948" s="38" t="n">
        <f aca="false">Sens!$I$928+Sens!$I$944-ext_sh_lo*Sens!$I$863</f>
        <v>94.0840148730647</v>
      </c>
      <c r="J948" s="38" t="n">
        <f aca="false">Sens!$J$928+Sens!$J$944-ext_sh_lo*Sens!$J$863</f>
        <v>103.033917384011</v>
      </c>
      <c r="K948" s="38" t="n">
        <f aca="false">Sens!$K$928+Sens!$K$944-ext_sh_lo*Sens!$K$863</f>
        <v>111.276630774732</v>
      </c>
      <c r="L948" s="38" t="n">
        <f aca="false">Sens!$L$928+Sens!$L$944-ext_sh_lo*Sens!$L$863</f>
        <v>120.178761236711</v>
      </c>
      <c r="M948" s="38" t="n">
        <f aca="false">Sens!$M$928+Sens!$M$944-ext_sh_lo*Sens!$M$863</f>
        <v>129.793062135647</v>
      </c>
      <c r="N948" s="38" t="n">
        <f aca="false">Sens!$N$928+Sens!$N$944-ext_sh_lo*Sens!$N$863</f>
        <v>28.5693781401809</v>
      </c>
      <c r="O948" s="38" t="n">
        <f aca="false">Sens!$O$928+Sens!$O$944-ext_sh_lo*Sens!$O$863</f>
        <v>31.7105594031931</v>
      </c>
    </row>
    <row r="949" customFormat="false" ht="17.15" hidden="false" customHeight="false" outlineLevel="0" collapsed="false">
      <c r="A949" s="0" t="s">
        <v>760</v>
      </c>
      <c r="B949" s="0" t="s">
        <v>86</v>
      </c>
      <c r="C949" s="38" t="n">
        <f aca="false">Sens!$C$866</f>
        <v>1.80694998843362</v>
      </c>
      <c r="D949" s="38" t="n">
        <f aca="false">Sens!$D$866</f>
        <v>6.77606245662607</v>
      </c>
      <c r="E949" s="38" t="n">
        <f aca="false">Sens!$E$866</f>
        <v>6.62548329092326</v>
      </c>
      <c r="F949" s="38" t="n">
        <f aca="false">Sens!$F$866</f>
        <v>11.7200577158706</v>
      </c>
      <c r="G949" s="38" t="n">
        <f aca="false">Sens!$G$866</f>
        <v>18.3455410067939</v>
      </c>
      <c r="H949" s="38" t="n">
        <f aca="false">Sens!$H$866</f>
        <v>47.5171727060453</v>
      </c>
      <c r="I949" s="38" t="n">
        <f aca="false">Sens!$I$866</f>
        <v>80.5539692643667</v>
      </c>
      <c r="J949" s="38" t="n">
        <f aca="false">Sens!$J$866</f>
        <v>113.759316834883</v>
      </c>
      <c r="K949" s="38" t="n">
        <f aca="false">Sens!$K$866</f>
        <v>142.084411492169</v>
      </c>
      <c r="L949" s="38" t="n">
        <f aca="false">Sens!$L$866</f>
        <v>160.69964615804</v>
      </c>
      <c r="M949" s="38" t="n">
        <f aca="false">Sens!$M$866</f>
        <v>169.577607141793</v>
      </c>
      <c r="N949" s="38" t="n">
        <f aca="false">Sens!$N$866</f>
        <v>2.37162185981912</v>
      </c>
      <c r="O949" s="38" t="n">
        <f aca="false">Sens!$O$866</f>
        <v>4.40444059680694</v>
      </c>
    </row>
    <row r="950" customFormat="false" ht="17.15" hidden="false" customHeight="false" outlineLevel="0" collapsed="false">
      <c r="A950" s="0" t="s">
        <v>761</v>
      </c>
      <c r="B950" s="0" t="s">
        <v>86</v>
      </c>
      <c r="C950" s="38" t="n">
        <f aca="false">Sens!$C$931+Sens!$C$945</f>
        <v>100.66</v>
      </c>
      <c r="D950" s="38" t="n">
        <f aca="false">Sens!$D$931+Sens!$D$945</f>
        <v>121.835</v>
      </c>
      <c r="E950" s="38" t="n">
        <f aca="false">Sens!$E$931+Sens!$E$945</f>
        <v>78.016</v>
      </c>
      <c r="F950" s="38" t="n">
        <f aca="false">Sens!$F$931+Sens!$F$945</f>
        <v>86.4021343496599</v>
      </c>
      <c r="G950" s="38" t="n">
        <f aca="false">Sens!$G$931+Sens!$G$945</f>
        <v>164.41813434966</v>
      </c>
      <c r="H950" s="38" t="n">
        <f aca="false">Sens!$H$931+Sens!$H$945</f>
        <v>210.23395973873</v>
      </c>
      <c r="I950" s="38" t="n">
        <f aca="false">Sens!$I$931+Sens!$I$945</f>
        <v>260.141645055107</v>
      </c>
      <c r="J950" s="38" t="n">
        <f aca="false">Sens!$J$931+Sens!$J$945</f>
        <v>309.221982662697</v>
      </c>
      <c r="K950" s="38" t="n">
        <f aca="false">Sens!$K$931+Sens!$K$945</f>
        <v>352.16896269191</v>
      </c>
      <c r="L950" s="38" t="n">
        <f aca="false">Sens!$L$931+Sens!$L$945</f>
        <v>386.983760970869</v>
      </c>
      <c r="M950" s="38" t="n">
        <f aca="false">Sens!$M$931+Sens!$M$945</f>
        <v>415.332787340456</v>
      </c>
      <c r="N950" s="38" t="n">
        <f aca="false">Sens!$N$931+Sens!$N$945</f>
        <v>56.398</v>
      </c>
      <c r="O950" s="38" t="n">
        <f aca="false">Sens!$O$931+Sens!$O$945</f>
        <v>65.437</v>
      </c>
    </row>
    <row r="951" customFormat="false" ht="17.15" hidden="false" customHeight="false" outlineLevel="0" collapsed="false">
      <c r="A951" s="1" t="s">
        <v>762</v>
      </c>
    </row>
    <row r="952" customFormat="false" ht="15" hidden="false" customHeight="false" outlineLevel="0" collapsed="false">
      <c r="A952" s="5" t="s">
        <v>551</v>
      </c>
      <c r="B952" s="0" t="s">
        <v>86</v>
      </c>
      <c r="C952" s="38" t="n">
        <f aca="false">Q!$D$34</f>
        <v>2.406</v>
      </c>
      <c r="D952" s="38" t="n">
        <f aca="false">Q!$E$34</f>
        <v>2.274</v>
      </c>
      <c r="E952" s="38" t="n">
        <f aca="false">Q!$P$34</f>
        <v>2.114</v>
      </c>
      <c r="F952" s="38" t="n">
        <f aca="false">Sens!$F$990</f>
        <v>3.24888962733561</v>
      </c>
      <c r="G952" s="38" t="n">
        <f aca="false">Sens!$E$952+Sens!$F$952</f>
        <v>5.36288962733561</v>
      </c>
      <c r="H952" s="38" t="n">
        <f aca="false">Sens!$H$990</f>
        <v>7.42354172302123</v>
      </c>
      <c r="I952" s="38" t="n">
        <f aca="false">Sens!$I$990</f>
        <v>12.0102928796539</v>
      </c>
      <c r="J952" s="38" t="n">
        <f aca="false">Sens!$J$990</f>
        <v>17.6107422010854</v>
      </c>
      <c r="K952" s="38" t="n">
        <f aca="false">Sens!$K$990</f>
        <v>21.0700883634903</v>
      </c>
      <c r="L952" s="38" t="n">
        <f aca="false">Sens!$L$990</f>
        <v>21.0700883634903</v>
      </c>
      <c r="M952" s="38" t="n">
        <f aca="false">Sens!$M$990</f>
        <v>21.0700883634903</v>
      </c>
      <c r="N952" s="38" t="n">
        <f aca="false">Q!$N$34</f>
        <v>1.057</v>
      </c>
      <c r="O952" s="38" t="n">
        <f aca="false">Q!$O$34</f>
        <v>1.217</v>
      </c>
    </row>
    <row r="953" customFormat="false" ht="15" hidden="false" customHeight="false" outlineLevel="0" collapsed="false">
      <c r="A953" s="5" t="s">
        <v>763</v>
      </c>
      <c r="B953" s="0" t="s">
        <v>86</v>
      </c>
      <c r="F953" s="38" t="n">
        <f aca="false">Sens!$F$991</f>
        <v>2.59</v>
      </c>
      <c r="H953" s="38" t="n">
        <f aca="false">Sens!$H$991</f>
        <v>4.15231560519676</v>
      </c>
      <c r="I953" s="38" t="n">
        <f aca="false">Sens!$I$991</f>
        <v>2.10589651022864</v>
      </c>
      <c r="J953" s="38" t="n">
        <f aca="false">Sens!$J$991</f>
        <v>2.10589651022864</v>
      </c>
      <c r="K953" s="38" t="n">
        <f aca="false">Sens!$K$991</f>
        <v>2.10589651022864</v>
      </c>
      <c r="L953" s="38" t="n">
        <f aca="false">Sens!$L$991</f>
        <v>4.46308316019827</v>
      </c>
      <c r="M953" s="38" t="n">
        <f aca="false">Sens!$M$991</f>
        <v>9.51998080099581</v>
      </c>
    </row>
    <row r="954" customFormat="false" ht="17.15" hidden="false" customHeight="false" outlineLevel="0" collapsed="false">
      <c r="A954" s="5" t="s">
        <v>764</v>
      </c>
      <c r="B954" s="0" t="s">
        <v>86</v>
      </c>
      <c r="C954" s="38" t="n">
        <f aca="false">Q!$D$39</f>
        <v>2.427</v>
      </c>
      <c r="D954" s="38" t="n">
        <f aca="false">Q!$E$39</f>
        <v>19.61</v>
      </c>
      <c r="E954" s="38" t="n">
        <f aca="false">Q!$P$39</f>
        <v>71.492</v>
      </c>
      <c r="F954" s="39" t="n">
        <v>0</v>
      </c>
      <c r="G954" s="38" t="n">
        <f aca="false">Sens!$E$954+Sens!$F$954</f>
        <v>71.492</v>
      </c>
      <c r="H954" s="39" t="n">
        <v>0</v>
      </c>
      <c r="I954" s="39" t="n">
        <v>0</v>
      </c>
      <c r="J954" s="39" t="n">
        <v>0</v>
      </c>
      <c r="K954" s="39" t="n">
        <v>0</v>
      </c>
      <c r="L954" s="39" t="n">
        <v>0</v>
      </c>
      <c r="M954" s="39" t="n">
        <v>0</v>
      </c>
      <c r="N954" s="38" t="n">
        <f aca="false">Q!$N$39</f>
        <v>6.017</v>
      </c>
      <c r="O954" s="38" t="n">
        <f aca="false">Q!$O$39</f>
        <v>13.593</v>
      </c>
      <c r="P954" s="5" t="s">
        <v>765</v>
      </c>
    </row>
    <row r="955" customFormat="false" ht="15" hidden="false" customHeight="false" outlineLevel="0" collapsed="false">
      <c r="A955" s="5" t="s">
        <v>554</v>
      </c>
      <c r="B955" s="0" t="s">
        <v>86</v>
      </c>
      <c r="C955" s="38" t="n">
        <f aca="false">Q!$D$36</f>
        <v>68.614</v>
      </c>
      <c r="D955" s="38" t="n">
        <f aca="false">Q!$E$36</f>
        <v>97.311</v>
      </c>
      <c r="E955" s="38" t="n">
        <f aca="false">Q!$P$36</f>
        <v>120.691</v>
      </c>
      <c r="F955" s="38" t="n">
        <f aca="false">Sens!$F$931-Sens!$F$952+Sens!$F$953+Sens!$F$954</f>
        <v>55.7466945620694</v>
      </c>
      <c r="G955" s="38" t="n">
        <f aca="false">Sens!$E$955+Sens!$F$955</f>
        <v>176.437694562069</v>
      </c>
      <c r="H955" s="38" t="n">
        <f aca="false">Sens!$H$931-Sens!$H$952+Sens!$H$953+Sens!$H$954</f>
        <v>124.452521445561</v>
      </c>
      <c r="I955" s="38" t="n">
        <f aca="false">Sens!$I$931-Sens!$I$952+Sens!$I$953+Sens!$I$954</f>
        <v>122.916541260847</v>
      </c>
      <c r="J955" s="38" t="n">
        <f aca="false">Sens!$J$931-Sens!$J$952+Sens!$J$953+Sens!$J$954</f>
        <v>123.157337007381</v>
      </c>
      <c r="K955" s="38" t="n">
        <f aca="false">Sens!$K$931-Sens!$K$952+Sens!$K$953+Sens!$K$954</f>
        <v>118.899648199748</v>
      </c>
      <c r="L955" s="38" t="n">
        <f aca="false">Sens!$L$931-Sens!$L$952+Sens!$L$953+Sens!$L$954</f>
        <v>123.686928857267</v>
      </c>
      <c r="M955" s="38" t="n">
        <f aca="false">Sens!$M$931-Sens!$M$952+Sens!$M$953+Sens!$M$954</f>
        <v>135.072935732331</v>
      </c>
      <c r="N955" s="38" t="n">
        <f aca="false">Q!$N$36</f>
        <v>42.536</v>
      </c>
      <c r="O955" s="38" t="n">
        <f aca="false">Q!$O$36</f>
        <v>54.775</v>
      </c>
    </row>
    <row r="956" customFormat="false" ht="15" hidden="false" customHeight="false" outlineLevel="0" collapsed="false">
      <c r="A956" s="5" t="s">
        <v>555</v>
      </c>
      <c r="B956" s="0" t="s">
        <v>86</v>
      </c>
      <c r="C956" s="38" t="n">
        <f aca="false">Q!$D$37</f>
        <v>9.265</v>
      </c>
      <c r="D956" s="38" t="n">
        <f aca="false">Q!$E$37</f>
        <v>19.087</v>
      </c>
      <c r="E956" s="38" t="n">
        <f aca="false">Q!$P$37</f>
        <v>27.759</v>
      </c>
      <c r="F956" s="38" t="n">
        <f aca="false">Sens!$F$955*tax</f>
        <v>9.67676358624372</v>
      </c>
      <c r="G956" s="38" t="n">
        <f aca="false">Sens!$E$956+Sens!$F$956</f>
        <v>37.4357635862437</v>
      </c>
      <c r="H956" s="38" t="n">
        <f aca="false">Sens!$H$955*tax</f>
        <v>21.6030320219207</v>
      </c>
      <c r="I956" s="38" t="n">
        <f aca="false">Sens!$I$955*tax</f>
        <v>21.3364096286578</v>
      </c>
      <c r="J956" s="38" t="n">
        <f aca="false">Sens!$J$955*tax</f>
        <v>21.3782080443323</v>
      </c>
      <c r="K956" s="38" t="n">
        <f aca="false">Sens!$K$955*tax</f>
        <v>20.6391391481597</v>
      </c>
      <c r="L956" s="38" t="n">
        <f aca="false">Sens!$L$955*tax</f>
        <v>21.4701369948972</v>
      </c>
      <c r="M956" s="38" t="n">
        <f aca="false">Sens!$M$955*tax</f>
        <v>23.446571608409</v>
      </c>
      <c r="N956" s="38" t="n">
        <f aca="false">Q!$N$37</f>
        <v>7.231</v>
      </c>
      <c r="O956" s="38" t="n">
        <f aca="false">Q!$O$37</f>
        <v>11.856</v>
      </c>
    </row>
    <row r="957" customFormat="false" ht="15" hidden="false" customHeight="false" outlineLevel="0" collapsed="false">
      <c r="A957" s="3" t="s">
        <v>556</v>
      </c>
      <c r="B957" s="8" t="s">
        <v>86</v>
      </c>
      <c r="C957" s="38" t="n">
        <f aca="false">Q!$D$38</f>
        <v>59.248</v>
      </c>
      <c r="D957" s="38" t="n">
        <f aca="false">Q!$E$38</f>
        <v>77.67</v>
      </c>
      <c r="E957" s="38" t="n">
        <f aca="false">Q!$P$38</f>
        <v>92.902</v>
      </c>
      <c r="F957" s="38" t="n">
        <f aca="false">Sens!$F$955-Sens!$F$956</f>
        <v>46.0699309758256</v>
      </c>
      <c r="G957" s="38" t="n">
        <f aca="false">Sens!$E$957+Sens!$F$957</f>
        <v>138.971930975826</v>
      </c>
      <c r="H957" s="38" t="n">
        <f aca="false">Sens!$H$955-Sens!$H$956</f>
        <v>102.84948942364</v>
      </c>
      <c r="I957" s="38" t="n">
        <f aca="false">Sens!$I$955-Sens!$I$956</f>
        <v>101.580131632189</v>
      </c>
      <c r="J957" s="38" t="n">
        <f aca="false">Sens!$J$955-Sens!$J$956</f>
        <v>101.779128963048</v>
      </c>
      <c r="K957" s="38" t="n">
        <f aca="false">Sens!$K$955-Sens!$K$956</f>
        <v>98.2605090515878</v>
      </c>
      <c r="L957" s="38" t="n">
        <f aca="false">Sens!$L$955-Sens!$L$956</f>
        <v>102.21679186237</v>
      </c>
      <c r="M957" s="38" t="n">
        <f aca="false">Sens!$M$955-Sens!$M$956</f>
        <v>111.626364123922</v>
      </c>
      <c r="N957" s="38" t="n">
        <f aca="false">Q!$N$38</f>
        <v>35.291</v>
      </c>
      <c r="O957" s="38" t="n">
        <f aca="false">Q!$O$38</f>
        <v>42.379</v>
      </c>
    </row>
    <row r="958" customFormat="false" ht="17.15" hidden="false" customHeight="false" outlineLevel="0" collapsed="false">
      <c r="A958" s="5" t="s">
        <v>559</v>
      </c>
      <c r="B958" s="5" t="s">
        <v>33</v>
      </c>
      <c r="C958" s="22" t="n">
        <f aca="false">Q!$D$41</f>
        <v>10.721</v>
      </c>
      <c r="D958" s="22" t="n">
        <f aca="false">Q!$E$41</f>
        <v>10.827</v>
      </c>
      <c r="E958" s="22" t="n">
        <f aca="false">(Q!$L$41+Q!$M$41)/2</f>
        <v>10.8885</v>
      </c>
      <c r="F958" s="22" t="n">
        <f aca="false">Sens!$G$958</f>
        <v>10.924806</v>
      </c>
      <c r="G958" s="22" t="n">
        <f aca="false">Q!$M$41*(1+sh_g*0.25)</f>
        <v>10.924806</v>
      </c>
      <c r="H958" s="22" t="n">
        <f aca="false">Sens!$G$958*(1+sh_g)</f>
        <v>11.012204448</v>
      </c>
      <c r="I958" s="22" t="n">
        <f aca="false">Sens!$H$958*(1+sh_g)</f>
        <v>11.100302083584</v>
      </c>
      <c r="J958" s="22" t="n">
        <f aca="false">Sens!$I$958*(1+sh_g)</f>
        <v>11.1891045002527</v>
      </c>
      <c r="K958" s="22" t="n">
        <f aca="false">Sens!$J$958*(1+sh_g)</f>
        <v>11.2786173362547</v>
      </c>
      <c r="L958" s="22" t="n">
        <f aca="false">Sens!$K$958*(1+sh_g)</f>
        <v>11.3688462749447</v>
      </c>
      <c r="M958" s="22" t="n">
        <f aca="false">Sens!$L$958*(1+sh_g)</f>
        <v>11.4597970451443</v>
      </c>
      <c r="P958" s="5" t="s">
        <v>766</v>
      </c>
    </row>
    <row r="959" customFormat="false" ht="17.15" hidden="false" customHeight="false" outlineLevel="0" collapsed="false">
      <c r="A959" s="5" t="s">
        <v>767</v>
      </c>
      <c r="B959" s="0" t="s">
        <v>86</v>
      </c>
      <c r="C959" s="38" t="n">
        <f aca="false">Sens!$C$957+Sens!$C$933*(1-tax)</f>
        <v>59.248</v>
      </c>
      <c r="D959" s="38" t="n">
        <f aca="false">Sens!$D$957+Sens!$D$933*(1-tax)</f>
        <v>77.67</v>
      </c>
      <c r="E959" s="38" t="n">
        <f aca="false">Sens!$E$957+Sens!$E$933*(1-tax)</f>
        <v>92.902</v>
      </c>
      <c r="F959" s="38" t="n">
        <f aca="false">Sens!$F$957+Sens!$F$933*(1-tax)</f>
        <v>54.3808508682221</v>
      </c>
      <c r="G959" s="38" t="n">
        <f aca="false">Sens!$G$957+Sens!$G$933*(1-tax)</f>
        <v>147.282850868222</v>
      </c>
      <c r="H959" s="38" t="n">
        <f aca="false">Sens!$H$957+Sens!$H$933*(1-tax)</f>
        <v>136.26654530456</v>
      </c>
      <c r="I959" s="38" t="n">
        <f aca="false">Sens!$I$957+Sens!$I$933*(1-tax)</f>
        <v>157.956838498693</v>
      </c>
      <c r="J959" s="38" t="n">
        <f aca="false">Sens!$J$957+Sens!$J$933*(1-tax)</f>
        <v>181.217627481138</v>
      </c>
      <c r="K959" s="38" t="n">
        <f aca="false">Sens!$K$957+Sens!$K$933*(1-tax)</f>
        <v>197.373324242678</v>
      </c>
      <c r="L959" s="38" t="n">
        <f aca="false">Sens!$L$957+Sens!$L$933*(1-tax)</f>
        <v>214.259664770517</v>
      </c>
      <c r="M959" s="38" t="n">
        <f aca="false">Sens!$M$957+Sens!$M$933*(1-tax)</f>
        <v>229.838423299497</v>
      </c>
      <c r="N959" s="38" t="n">
        <f aca="false">Sens!$N$957+Sens!$N$933*(1-tax)</f>
        <v>35.291</v>
      </c>
      <c r="O959" s="38" t="n">
        <f aca="false">Sens!$O$957+Sens!$O$933*(1-tax)</f>
        <v>42.379</v>
      </c>
    </row>
    <row r="960" customFormat="false" ht="17.15" hidden="false" customHeight="false" outlineLevel="0" collapsed="false">
      <c r="A960" s="43" t="s">
        <v>768</v>
      </c>
      <c r="B960" s="14" t="s">
        <v>27</v>
      </c>
      <c r="C960" s="44" t="n">
        <f aca="false">Sens!$C$959/Sens!$C$958</f>
        <v>5.52635015390355</v>
      </c>
      <c r="D960" s="44" t="n">
        <f aca="false">Sens!$D$959/Sens!$D$958</f>
        <v>7.1737323358271</v>
      </c>
      <c r="E960" s="44" t="n">
        <f aca="false">Sens!$E$959/Sens!$E$958</f>
        <v>8.53212104513937</v>
      </c>
      <c r="F960" s="14"/>
      <c r="G960" s="44" t="n">
        <f aca="false">Sens!$G$959/Sens!$G$958</f>
        <v>13.4815072110408</v>
      </c>
      <c r="H960" s="44" t="n">
        <f aca="false">Sens!$H$959/Sens!$H$958</f>
        <v>12.374138706561</v>
      </c>
      <c r="I960" s="44" t="n">
        <f aca="false">Sens!$I$959/Sens!$I$958</f>
        <v>14.2299585461095</v>
      </c>
      <c r="J960" s="44" t="n">
        <f aca="false">Sens!$J$959/Sens!$J$958</f>
        <v>16.1959008852805</v>
      </c>
      <c r="K960" s="44" t="n">
        <f aca="false">Sens!$K$959/Sens!$K$958</f>
        <v>17.499780190984</v>
      </c>
      <c r="L960" s="44" t="n">
        <f aca="false">Sens!$L$959/Sens!$L$958</f>
        <v>18.8462100365201</v>
      </c>
      <c r="M960" s="44" t="n">
        <f aca="false">Sens!$M$959/Sens!$M$958</f>
        <v>20.0560640292389</v>
      </c>
      <c r="N960" s="14"/>
      <c r="O960" s="14"/>
    </row>
    <row r="961" customFormat="false" ht="17.15" hidden="false" customHeight="false" outlineLevel="0" collapsed="false">
      <c r="A961" s="0" t="s">
        <v>769</v>
      </c>
      <c r="B961" s="0" t="s">
        <v>27</v>
      </c>
      <c r="C961" s="30" t="n">
        <f aca="false">Sens!$C$957/Sens!$C$958</f>
        <v>5.52635015390355</v>
      </c>
      <c r="D961" s="30" t="n">
        <f aca="false">Sens!$D$957/Sens!$D$958</f>
        <v>7.1737323358271</v>
      </c>
      <c r="E961" s="30" t="n">
        <f aca="false">Sens!$E$957/Sens!$E$958</f>
        <v>8.53212104513937</v>
      </c>
      <c r="G961" s="30" t="n">
        <f aca="false">Sens!$G$957/Sens!$G$958</f>
        <v>12.7207687693334</v>
      </c>
      <c r="H961" s="30" t="n">
        <f aca="false">Sens!$H$957/Sens!$H$958</f>
        <v>9.33959135151357</v>
      </c>
      <c r="I961" s="30" t="n">
        <f aca="false">Sens!$I$957/Sens!$I$958</f>
        <v>9.15111416493912</v>
      </c>
      <c r="J961" s="30" t="n">
        <f aca="false">Sens!$J$957/Sens!$J$958</f>
        <v>9.09627119496024</v>
      </c>
      <c r="K961" s="30" t="n">
        <f aca="false">Sens!$K$957/Sens!$K$958</f>
        <v>8.71210593657904</v>
      </c>
      <c r="L961" s="30" t="n">
        <f aca="false">Sens!$L$957/Sens!$L$958</f>
        <v>8.99095558074706</v>
      </c>
      <c r="M961" s="30" t="n">
        <f aca="false">Sens!$M$957/Sens!$M$958</f>
        <v>9.74069293585094</v>
      </c>
    </row>
    <row r="962" customFormat="false" ht="17.15" hidden="false" customHeight="false" outlineLevel="0" collapsed="false">
      <c r="A962" s="0" t="s">
        <v>770</v>
      </c>
      <c r="B962" s="0" t="s">
        <v>27</v>
      </c>
      <c r="C962" s="30" t="n">
        <f aca="false">(Sens!$C$957-Sens!$C$954*(1-tax))/Sens!$C$958</f>
        <v>5.33926775917445</v>
      </c>
      <c r="D962" s="30" t="n">
        <f aca="false">(Sens!$D$957-Sens!$D$954*(1-tax))/Sens!$D$958</f>
        <v>5.67691812755503</v>
      </c>
      <c r="E962" s="30" t="n">
        <f aca="false">(Sens!$E$957-Sens!$E$954*(1-tax))/Sens!$E$958</f>
        <v>3.10602057006846</v>
      </c>
      <c r="G962" s="30" t="n">
        <f aca="false">(Sens!$G$957-Sens!$G$954*(1-tax))/Sens!$G$958</f>
        <v>7.31270065143637</v>
      </c>
      <c r="H962" s="30" t="n">
        <f aca="false">(Sens!$H$957-Sens!$H$954*(1-tax))/Sens!$H$958</f>
        <v>9.33959135151357</v>
      </c>
      <c r="I962" s="30" t="n">
        <f aca="false">(Sens!$I$957-Sens!$I$954*(1-tax))/Sens!$I$958</f>
        <v>9.15111416493912</v>
      </c>
      <c r="J962" s="30" t="n">
        <f aca="false">(Sens!$J$957-Sens!$J$954*(1-tax))/Sens!$J$958</f>
        <v>9.09627119496024</v>
      </c>
      <c r="K962" s="30" t="n">
        <f aca="false">(Sens!$K$957-Sens!$K$954*(1-tax))/Sens!$K$958</f>
        <v>8.71210593657904</v>
      </c>
      <c r="L962" s="30" t="n">
        <f aca="false">(Sens!$L$957-Sens!$L$954*(1-tax))/Sens!$L$958</f>
        <v>8.99095558074706</v>
      </c>
      <c r="M962" s="30" t="n">
        <f aca="false">(Sens!$M$957-Sens!$M$954*(1-tax))/Sens!$M$958</f>
        <v>9.74069293585094</v>
      </c>
      <c r="P962" s="5" t="s">
        <v>771</v>
      </c>
    </row>
    <row r="963" customFormat="false" ht="17.15" hidden="false" customHeight="false" outlineLevel="0" collapsed="false">
      <c r="A963" s="0" t="s">
        <v>772</v>
      </c>
      <c r="B963" s="0" t="s">
        <v>52</v>
      </c>
      <c r="H963" s="13" t="n">
        <f aca="false">Sens!$H$960/Sens!$G$960-1</f>
        <v>-0.0821398147213821</v>
      </c>
      <c r="I963" s="13" t="n">
        <f aca="false">Sens!$I$960/Sens!$H$960-1</f>
        <v>0.149975677787139</v>
      </c>
      <c r="J963" s="13" t="n">
        <f aca="false">Sens!$J$960/Sens!$I$960-1</f>
        <v>0.138155169799034</v>
      </c>
      <c r="K963" s="13" t="n">
        <f aca="false">Sens!$K$960/Sens!$J$960-1</f>
        <v>0.0805067476603607</v>
      </c>
      <c r="L963" s="13" t="n">
        <f aca="false">Sens!$L$960/Sens!$K$960-1</f>
        <v>0.0769398147200613</v>
      </c>
      <c r="M963" s="13" t="n">
        <f aca="false">Sens!$M$960/Sens!$L$960-1</f>
        <v>0.0641961429048292</v>
      </c>
    </row>
    <row r="966" customFormat="false" ht="19.4" hidden="false" customHeight="false" outlineLevel="0" collapsed="false">
      <c r="A966" s="31" t="s">
        <v>1170</v>
      </c>
    </row>
    <row r="967" customFormat="false" ht="17.15" hidden="false" customHeight="false" outlineLevel="0" collapsed="false">
      <c r="A967" s="6" t="s">
        <v>16</v>
      </c>
      <c r="B967" s="6" t="s">
        <v>17</v>
      </c>
      <c r="C967" s="20" t="s">
        <v>504</v>
      </c>
      <c r="D967" s="20" t="s">
        <v>505</v>
      </c>
      <c r="E967" s="20" t="s">
        <v>587</v>
      </c>
      <c r="F967" s="20" t="s">
        <v>588</v>
      </c>
      <c r="G967" s="20" t="s">
        <v>589</v>
      </c>
      <c r="H967" s="20" t="s">
        <v>590</v>
      </c>
      <c r="I967" s="20" t="s">
        <v>591</v>
      </c>
      <c r="J967" s="20" t="s">
        <v>592</v>
      </c>
      <c r="K967" s="20" t="s">
        <v>593</v>
      </c>
      <c r="L967" s="20" t="s">
        <v>594</v>
      </c>
      <c r="M967" s="20" t="s">
        <v>595</v>
      </c>
      <c r="N967" s="20" t="s">
        <v>596</v>
      </c>
      <c r="O967" s="20" t="s">
        <v>597</v>
      </c>
      <c r="P967" s="6" t="s">
        <v>23</v>
      </c>
      <c r="R967" s="20" t="n">
        <v>2023</v>
      </c>
      <c r="S967" s="20" t="n">
        <v>2024</v>
      </c>
      <c r="T967" s="20" t="n">
        <v>2025</v>
      </c>
      <c r="U967" s="20" t="n">
        <v>2026</v>
      </c>
      <c r="V967" s="20" t="n">
        <v>2027</v>
      </c>
      <c r="W967" s="20" t="n">
        <v>2028</v>
      </c>
      <c r="X967" s="20" t="n">
        <v>2029</v>
      </c>
      <c r="Y967" s="20" t="n">
        <v>2030</v>
      </c>
      <c r="Z967" s="20" t="n">
        <v>2031</v>
      </c>
      <c r="AA967" s="20" t="n">
        <v>2032</v>
      </c>
    </row>
    <row r="968" customFormat="false" ht="15" hidden="false" customHeight="false" outlineLevel="0" collapsed="false">
      <c r="A968" s="5" t="s">
        <v>556</v>
      </c>
      <c r="B968" s="0" t="s">
        <v>86</v>
      </c>
      <c r="C968" s="38" t="n">
        <f aca="false">Sens!$C$957</f>
        <v>59.248</v>
      </c>
      <c r="D968" s="38" t="n">
        <f aca="false">Sens!$D$957</f>
        <v>77.67</v>
      </c>
      <c r="E968" s="38" t="n">
        <f aca="false">Sens!$E$957</f>
        <v>92.902</v>
      </c>
      <c r="F968" s="38" t="n">
        <f aca="false">Sens!$F$957</f>
        <v>46.0699309758256</v>
      </c>
      <c r="G968" s="38" t="n">
        <f aca="false">Sens!$G$957</f>
        <v>138.971930975826</v>
      </c>
      <c r="H968" s="38" t="n">
        <f aca="false">Sens!$H$957</f>
        <v>102.84948942364</v>
      </c>
      <c r="I968" s="38" t="n">
        <f aca="false">Sens!$I$957</f>
        <v>101.580131632189</v>
      </c>
      <c r="J968" s="38" t="n">
        <f aca="false">Sens!$J$957</f>
        <v>101.779128963048</v>
      </c>
      <c r="K968" s="38" t="n">
        <f aca="false">Sens!$K$957</f>
        <v>98.2605090515878</v>
      </c>
      <c r="L968" s="38" t="n">
        <f aca="false">Sens!$L$957</f>
        <v>102.21679186237</v>
      </c>
      <c r="M968" s="38" t="n">
        <f aca="false">Sens!$M$957</f>
        <v>111.626364123922</v>
      </c>
    </row>
    <row r="969" customFormat="false" ht="17.15" hidden="false" customHeight="false" outlineLevel="0" collapsed="false">
      <c r="A969" s="5" t="s">
        <v>795</v>
      </c>
      <c r="B969" s="0" t="s">
        <v>86</v>
      </c>
      <c r="C969" s="38" t="n">
        <f aca="false">Sens!$C$945</f>
        <v>32.067</v>
      </c>
      <c r="D969" s="38" t="n">
        <f aca="false">Sens!$D$945</f>
        <v>41.86</v>
      </c>
      <c r="E969" s="38" t="n">
        <f aca="false">Sens!$E$945</f>
        <v>26.703</v>
      </c>
      <c r="F969" s="38" t="n">
        <f aca="false">Sens!$F$945</f>
        <v>29.9965501602549</v>
      </c>
      <c r="G969" s="38" t="n">
        <f aca="false">Sens!$G$945</f>
        <v>56.6995501602549</v>
      </c>
      <c r="H969" s="38" t="n">
        <f aca="false">Sens!$H$945</f>
        <v>82.510212175345</v>
      </c>
      <c r="I969" s="38" t="n">
        <f aca="false">Sens!$I$945</f>
        <v>127.320707424835</v>
      </c>
      <c r="J969" s="38" t="n">
        <f aca="false">Sens!$J$945</f>
        <v>170.559799964459</v>
      </c>
      <c r="K969" s="38" t="n">
        <f aca="false">Sens!$K$945</f>
        <v>214.3051226389</v>
      </c>
      <c r="L969" s="38" t="n">
        <f aca="false">Sens!$L$945</f>
        <v>246.68982691031</v>
      </c>
      <c r="M969" s="38" t="n">
        <f aca="false">Sens!$M$945</f>
        <v>268.70974404563</v>
      </c>
    </row>
    <row r="970" customFormat="false" ht="15" hidden="false" customHeight="false" outlineLevel="0" collapsed="false">
      <c r="A970" s="5" t="s">
        <v>796</v>
      </c>
      <c r="B970" s="0" t="s">
        <v>86</v>
      </c>
      <c r="C970" s="38" t="n">
        <f aca="false">Q!$D$48</f>
        <v>22.011</v>
      </c>
      <c r="D970" s="38" t="n">
        <f aca="false">Q!$E$48</f>
        <v>19.467</v>
      </c>
      <c r="E970" s="38" t="n">
        <f aca="false">Q!$P$48</f>
        <v>10.07</v>
      </c>
      <c r="F970" s="38" t="n">
        <f aca="false">sbc_r*Sens!$F$887</f>
        <v>10.8507035798037</v>
      </c>
      <c r="G970" s="38" t="n">
        <f aca="false">Sens!$E$970+Sens!$F$970</f>
        <v>20.9207035798037</v>
      </c>
      <c r="H970" s="38" t="n">
        <f aca="false">sbc_r*Sens!$H$887</f>
        <v>23.46224366345</v>
      </c>
      <c r="I970" s="38" t="n">
        <f aca="false">sbc_r*Sens!$I$887</f>
        <v>26.6125957111676</v>
      </c>
      <c r="J970" s="38" t="n">
        <f aca="false">sbc_r*Sens!$J$887</f>
        <v>29.6280801413323</v>
      </c>
      <c r="K970" s="38" t="n">
        <f aca="false">sbc_r*Sens!$K$887</f>
        <v>32.2712258901105</v>
      </c>
      <c r="L970" s="38" t="n">
        <f aca="false">sbc_r*Sens!$L$887</f>
        <v>34.7390505016737</v>
      </c>
      <c r="M970" s="38" t="n">
        <f aca="false">sbc_r*Sens!$M$887</f>
        <v>37.0405146906692</v>
      </c>
    </row>
    <row r="971" customFormat="false" ht="17.15" hidden="false" customHeight="false" outlineLevel="0" collapsed="false">
      <c r="A971" s="5" t="s">
        <v>797</v>
      </c>
      <c r="B971" s="0" t="s">
        <v>86</v>
      </c>
      <c r="C971" s="38" t="n">
        <f aca="false">Q!$D$44-Sens!$C$968-Sens!$C$969-Sens!$C$970</f>
        <v>2.551</v>
      </c>
      <c r="D971" s="38" t="n">
        <f aca="false">Q!$E$44-Sens!$D$968-Sens!$D$969-Sens!$D$970</f>
        <v>0.51700000000001</v>
      </c>
      <c r="E971" s="38" t="n">
        <f aca="false">Q!$P$44-Sens!$E$968-Sens!$E$969-Sens!$E$970</f>
        <v>-58.256</v>
      </c>
      <c r="F971" s="38" t="n">
        <f aca="false">oth_r*Sens!$F$887</f>
        <v>5.22265251035878</v>
      </c>
      <c r="G971" s="38" t="n">
        <f aca="false">Sens!$E$971+Sens!$F$971</f>
        <v>-53.0333474896412</v>
      </c>
      <c r="H971" s="38" t="n">
        <f aca="false">oth_r*Sens!$H$887</f>
        <v>11.2928295263397</v>
      </c>
      <c r="I971" s="38" t="n">
        <f aca="false">oth_r*Sens!$I$887</f>
        <v>12.8091546115766</v>
      </c>
      <c r="J971" s="38" t="n">
        <f aca="false">oth_r*Sens!$J$887</f>
        <v>14.2605653162668</v>
      </c>
      <c r="K971" s="38" t="n">
        <f aca="false">oth_r*Sens!$K$887</f>
        <v>15.5327622460396</v>
      </c>
      <c r="L971" s="38" t="n">
        <f aca="false">oth_r*Sens!$L$887</f>
        <v>16.720573737517</v>
      </c>
      <c r="M971" s="38" t="n">
        <f aca="false">oth_r*Sens!$M$887</f>
        <v>17.8283127551536</v>
      </c>
      <c r="P971" s="8" t="s">
        <v>798</v>
      </c>
    </row>
    <row r="972" customFormat="false" ht="15" hidden="false" customHeight="false" outlineLevel="0" collapsed="false">
      <c r="A972" s="3" t="s">
        <v>562</v>
      </c>
      <c r="B972" s="8" t="s">
        <v>86</v>
      </c>
      <c r="C972" s="38" t="n">
        <f aca="false">Q!$D$44</f>
        <v>115.877</v>
      </c>
      <c r="D972" s="38" t="n">
        <f aca="false">Q!$E$44</f>
        <v>139.514</v>
      </c>
      <c r="E972" s="38" t="n">
        <f aca="false">Q!$P$44</f>
        <v>71.419</v>
      </c>
      <c r="F972" s="38" t="n">
        <f aca="false">Sens!$F$968+Sens!$F$969+Sens!$F$970+Sens!$F$971</f>
        <v>92.139837226243</v>
      </c>
      <c r="G972" s="38" t="n">
        <f aca="false">Sens!$E$972+Sens!$F$972</f>
        <v>163.558837226243</v>
      </c>
      <c r="H972" s="38" t="n">
        <f aca="false">Sens!$H$968+Sens!$H$969+Sens!$H$970+Sens!$H$971</f>
        <v>220.114774788775</v>
      </c>
      <c r="I972" s="38" t="n">
        <f aca="false">Sens!$I$968+Sens!$I$969+Sens!$I$970+Sens!$I$971</f>
        <v>268.322589379768</v>
      </c>
      <c r="J972" s="38" t="n">
        <f aca="false">Sens!$J$968+Sens!$J$969+Sens!$J$970+Sens!$J$971</f>
        <v>316.227574385107</v>
      </c>
      <c r="K972" s="38" t="n">
        <f aca="false">Sens!$K$968+Sens!$K$969+Sens!$K$970+Sens!$K$971</f>
        <v>360.369619826638</v>
      </c>
      <c r="L972" s="38" t="n">
        <f aca="false">Sens!$L$968+Sens!$L$969+Sens!$L$970+Sens!$L$971</f>
        <v>400.36624301187</v>
      </c>
      <c r="M972" s="38" t="n">
        <f aca="false">Sens!$M$968+Sens!$M$969+Sens!$M$970+Sens!$M$971</f>
        <v>435.204935615375</v>
      </c>
    </row>
    <row r="973" customFormat="false" ht="17.15" hidden="false" customHeight="false" outlineLevel="0" collapsed="false">
      <c r="A973" s="5" t="s">
        <v>799</v>
      </c>
      <c r="B973" s="0" t="s">
        <v>86</v>
      </c>
      <c r="C973" s="38" t="n">
        <f aca="false">Sens!$C$851</f>
        <v>25.2781053077374</v>
      </c>
      <c r="D973" s="38" t="n">
        <f aca="false">Sens!$D$851</f>
        <v>69.5686316310026</v>
      </c>
      <c r="E973" s="38" t="n">
        <f aca="false">Sens!$E$851</f>
        <v>64.1899206485108</v>
      </c>
      <c r="F973" s="38" t="n">
        <f aca="false">Sens!$F$851</f>
        <v>88.7165504612134</v>
      </c>
      <c r="G973" s="38" t="n">
        <f aca="false">Sens!$G$851</f>
        <v>152.906471109724</v>
      </c>
      <c r="H973" s="38" t="n">
        <f aca="false">Sens!$H$851</f>
        <v>264.761819926333</v>
      </c>
      <c r="I973" s="38" t="n">
        <f aca="false">Sens!$I$851</f>
        <v>272.861959880667</v>
      </c>
      <c r="J973" s="38" t="n">
        <f aca="false">Sens!$J$851</f>
        <v>279.844317480667</v>
      </c>
      <c r="K973" s="38" t="n">
        <f aca="false">Sens!$K$851</f>
        <v>206.984513700268</v>
      </c>
      <c r="L973" s="38" t="n">
        <f aca="false">Sens!$L$851</f>
        <v>176.018855519869</v>
      </c>
      <c r="M973" s="38" t="n">
        <f aca="false">Sens!$M$851</f>
        <v>176.30797554647</v>
      </c>
    </row>
    <row r="974" customFormat="false" ht="17.15" hidden="false" customHeight="false" outlineLevel="0" collapsed="false">
      <c r="A974" s="5" t="s">
        <v>800</v>
      </c>
      <c r="B974" s="0" t="s">
        <v>86</v>
      </c>
      <c r="C974" s="38" t="n">
        <f aca="false">cx_awso*Sens!$C$885</f>
        <v>21.0469989286053</v>
      </c>
      <c r="D974" s="38" t="n">
        <f aca="false">cx_awso*Sens!$D$885</f>
        <v>24.0042459822698</v>
      </c>
      <c r="E974" s="38" t="n">
        <f aca="false">cx_awso*Sens!$E$885</f>
        <v>14.261729404886</v>
      </c>
      <c r="F974" s="38" t="n">
        <f aca="false">cx_awso*Sens!$F$885</f>
        <v>14.3538599588493</v>
      </c>
      <c r="G974" s="38" t="n">
        <f aca="false">Sens!$E$974+Sens!$F$974</f>
        <v>28.6155893637353</v>
      </c>
      <c r="H974" s="38" t="n">
        <f aca="false">cx_awso*Sens!$H$885</f>
        <v>32.2034154158406</v>
      </c>
      <c r="I974" s="38" t="n">
        <f aca="false">cx_awso*Sens!$I$885</f>
        <v>35.7539519042915</v>
      </c>
      <c r="J974" s="38" t="n">
        <f aca="false">cx_awso*Sens!$J$885</f>
        <v>39.1551076091815</v>
      </c>
      <c r="K974" s="38" t="n">
        <f aca="false">cx_awso*Sens!$K$885</f>
        <v>42.287516217916</v>
      </c>
      <c r="L974" s="38" t="n">
        <f aca="false">cx_awso*Sens!$L$885</f>
        <v>45.6705175153492</v>
      </c>
      <c r="M974" s="38" t="n">
        <f aca="false">cx_awso*Sens!$M$885</f>
        <v>49.3241589165772</v>
      </c>
    </row>
    <row r="975" customFormat="false" ht="17.15" hidden="false" customHeight="false" outlineLevel="0" collapsed="false">
      <c r="A975" s="5" t="s">
        <v>801</v>
      </c>
      <c r="B975" s="0" t="s">
        <v>86</v>
      </c>
      <c r="C975" s="38" t="n">
        <f aca="false">Q!$D$46-Sens!$C$973-Sens!$C$974</f>
        <v>31.3328957636573</v>
      </c>
      <c r="D975" s="38" t="n">
        <f aca="false">Q!$E$46-Sens!$D$973-Sens!$D$974</f>
        <v>34.7471223867276</v>
      </c>
      <c r="E975" s="38" t="n">
        <f aca="false">Q!$P$46-Sens!$E$973-Sens!$E$974</f>
        <v>17.8583499466032</v>
      </c>
      <c r="F975" s="38" t="n">
        <f aca="false">cx_rt*Sens!$F$814</f>
        <v>20.6195895799373</v>
      </c>
      <c r="G975" s="38" t="n">
        <f aca="false">Sens!$E$975+Sens!$F$975</f>
        <v>38.4779395265405</v>
      </c>
      <c r="H975" s="38" t="n">
        <f aca="false">cx_rt*Sens!$H$814</f>
        <v>42.5978994743075</v>
      </c>
      <c r="I975" s="38" t="n">
        <f aca="false">cx_rt*Sens!$I$814</f>
        <v>46.5813904136335</v>
      </c>
      <c r="J975" s="38" t="n">
        <f aca="false">cx_rt*Sens!$J$814</f>
        <v>50.2781676586844</v>
      </c>
      <c r="K975" s="38" t="n">
        <f aca="false">cx_rt*Sens!$K$814</f>
        <v>53.5312440191755</v>
      </c>
      <c r="L975" s="38" t="n">
        <f aca="false">cx_rt*Sens!$L$814</f>
        <v>57.0116717051447</v>
      </c>
      <c r="M975" s="38" t="n">
        <f aca="false">cx_rt*Sens!$M$814</f>
        <v>60.7365554669226</v>
      </c>
    </row>
    <row r="976" customFormat="false" ht="15" hidden="false" customHeight="false" outlineLevel="0" collapsed="false">
      <c r="A976" s="3" t="s">
        <v>802</v>
      </c>
      <c r="B976" s="8" t="s">
        <v>86</v>
      </c>
      <c r="C976" s="38" t="n">
        <f aca="false">Q!$D$46</f>
        <v>77.658</v>
      </c>
      <c r="D976" s="38" t="n">
        <f aca="false">Q!$E$46</f>
        <v>128.32</v>
      </c>
      <c r="E976" s="38" t="n">
        <f aca="false">Q!$P$46</f>
        <v>96.31</v>
      </c>
      <c r="F976" s="38" t="n">
        <f aca="false">Sens!$F$973+Sens!$F$974+Sens!$F$975</f>
        <v>123.69</v>
      </c>
      <c r="G976" s="38" t="n">
        <f aca="false">Sens!$E$976+Sens!$F$976</f>
        <v>220</v>
      </c>
      <c r="H976" s="38" t="n">
        <f aca="false">Sens!$H$973+Sens!$H$974+Sens!$H$975</f>
        <v>339.563134816481</v>
      </c>
      <c r="I976" s="38" t="n">
        <f aca="false">Sens!$I$973+Sens!$I$974+Sens!$I$975</f>
        <v>355.197302198592</v>
      </c>
      <c r="J976" s="38" t="n">
        <f aca="false">Sens!$J$973+Sens!$J$974+Sens!$J$975</f>
        <v>369.277592748533</v>
      </c>
      <c r="K976" s="38" t="n">
        <f aca="false">Sens!$K$973+Sens!$K$974+Sens!$K$975</f>
        <v>302.803273937359</v>
      </c>
      <c r="L976" s="38" t="n">
        <f aca="false">Sens!$L$973+Sens!$L$974+Sens!$L$975</f>
        <v>278.701044740363</v>
      </c>
      <c r="M976" s="38" t="n">
        <f aca="false">Sens!$M$973+Sens!$M$974+Sens!$M$975</f>
        <v>286.36868992997</v>
      </c>
    </row>
    <row r="977" customFormat="false" ht="17.15" hidden="false" customHeight="false" outlineLevel="0" collapsed="false">
      <c r="A977" s="5" t="s">
        <v>570</v>
      </c>
      <c r="B977" s="0" t="s">
        <v>86</v>
      </c>
      <c r="C977" s="38" t="n">
        <f aca="false">Q!$D$50</f>
        <v>2.043</v>
      </c>
      <c r="D977" s="38" t="n">
        <f aca="false">Q!$E$50</f>
        <v>1.557</v>
      </c>
      <c r="E977" s="38" t="n">
        <f aca="false">lease_pr/2</f>
        <v>0.8</v>
      </c>
      <c r="F977" s="38" t="n">
        <f aca="false">lease_pr/2</f>
        <v>0.8</v>
      </c>
      <c r="G977" s="38" t="n">
        <f aca="false">Sens!$E$977+Sens!$F$977</f>
        <v>1.6</v>
      </c>
      <c r="H977" s="38" t="n">
        <f aca="false">lease_pr</f>
        <v>1.6</v>
      </c>
      <c r="I977" s="38" t="n">
        <f aca="false">lease_pr</f>
        <v>1.6</v>
      </c>
      <c r="J977" s="38" t="n">
        <f aca="false">lease_pr</f>
        <v>1.6</v>
      </c>
      <c r="K977" s="38" t="n">
        <f aca="false">lease_pr</f>
        <v>1.6</v>
      </c>
      <c r="L977" s="38" t="n">
        <f aca="false">lease_pr</f>
        <v>1.6</v>
      </c>
      <c r="M977" s="38" t="n">
        <f aca="false">lease_pr</f>
        <v>1.6</v>
      </c>
      <c r="P977" s="8" t="s">
        <v>803</v>
      </c>
    </row>
    <row r="978" customFormat="false" ht="15" hidden="false" customHeight="false" outlineLevel="0" collapsed="false">
      <c r="A978" s="47" t="s">
        <v>804</v>
      </c>
      <c r="B978" s="14" t="s">
        <v>86</v>
      </c>
      <c r="C978" s="48" t="n">
        <f aca="false">Sens!$C$972-Sens!$C$976-Sens!$C$977</f>
        <v>36.176</v>
      </c>
      <c r="D978" s="48" t="n">
        <f aca="false">Sens!$D$972-Sens!$D$976-Sens!$D$977</f>
        <v>9.63700000000002</v>
      </c>
      <c r="E978" s="48" t="n">
        <f aca="false">Sens!$E$972-Sens!$E$976-Sens!$E$977</f>
        <v>-25.691</v>
      </c>
      <c r="F978" s="48" t="n">
        <f aca="false">Sens!$F$972-Sens!$F$976-Sens!$F$977</f>
        <v>-32.350162773757</v>
      </c>
      <c r="G978" s="48" t="n">
        <f aca="false">Sens!$G$972-Sens!$G$976-Sens!$G$977</f>
        <v>-58.041162773757</v>
      </c>
      <c r="H978" s="48" t="n">
        <f aca="false">Sens!$H$972-Sens!$H$976-Sens!$H$977</f>
        <v>-121.048360027707</v>
      </c>
      <c r="I978" s="48" t="n">
        <f aca="false">Sens!$I$972-Sens!$I$976-Sens!$I$977</f>
        <v>-88.4747128188234</v>
      </c>
      <c r="J978" s="48" t="n">
        <f aca="false">Sens!$J$972-Sens!$J$976-Sens!$J$977</f>
        <v>-54.6500183634258</v>
      </c>
      <c r="K978" s="48" t="n">
        <f aca="false">Sens!$K$972-Sens!$K$976-Sens!$K$977</f>
        <v>55.966345889279</v>
      </c>
      <c r="L978" s="48" t="n">
        <f aca="false">Sens!$L$972-Sens!$L$976-Sens!$L$977</f>
        <v>120.065198271507</v>
      </c>
      <c r="M978" s="48" t="n">
        <f aca="false">Sens!$M$972-Sens!$M$976-Sens!$M$977</f>
        <v>147.236245685406</v>
      </c>
      <c r="N978" s="14"/>
      <c r="O978" s="14"/>
    </row>
    <row r="979" customFormat="false" ht="17.15" hidden="false" customHeight="false" outlineLevel="0" collapsed="false">
      <c r="A979" s="5" t="s">
        <v>805</v>
      </c>
      <c r="B979" s="0" t="s">
        <v>86</v>
      </c>
      <c r="C979" s="38" t="n">
        <f aca="false">dps*Sens!$C$958</f>
        <v>0</v>
      </c>
      <c r="D979" s="38" t="n">
        <f aca="false">dps*Sens!$D$958</f>
        <v>0</v>
      </c>
      <c r="E979" s="38" t="n">
        <f aca="false">dps*Sens!$E$958</f>
        <v>0</v>
      </c>
      <c r="F979" s="38" t="n">
        <f aca="false">0</f>
        <v>0</v>
      </c>
      <c r="G979" s="38" t="n">
        <f aca="false">dps*Sens!$G$958</f>
        <v>0</v>
      </c>
      <c r="H979" s="38" t="n">
        <f aca="false">dps*Sens!$H$958</f>
        <v>0</v>
      </c>
      <c r="I979" s="38" t="n">
        <f aca="false">dps*Sens!$I$958</f>
        <v>0</v>
      </c>
      <c r="J979" s="38" t="n">
        <f aca="false">dps*Sens!$J$958</f>
        <v>0</v>
      </c>
      <c r="K979" s="38" t="n">
        <f aca="false">dps*Sens!$K$958</f>
        <v>0</v>
      </c>
      <c r="L979" s="38" t="n">
        <f aca="false">dps*Sens!$L$958</f>
        <v>0</v>
      </c>
      <c r="M979" s="38" t="n">
        <f aca="false">dps*Sens!$M$958</f>
        <v>0</v>
      </c>
      <c r="P979" s="8" t="s">
        <v>806</v>
      </c>
    </row>
    <row r="980" customFormat="false" ht="17.15" hidden="false" customHeight="false" outlineLevel="0" collapsed="false">
      <c r="A980" s="5" t="s">
        <v>807</v>
      </c>
      <c r="B980" s="0" t="s">
        <v>86</v>
      </c>
      <c r="C980" s="38" t="n">
        <f aca="false">0</f>
        <v>0</v>
      </c>
      <c r="D980" s="38" t="n">
        <f aca="false">0</f>
        <v>0</v>
      </c>
      <c r="E980" s="38" t="n">
        <f aca="false">0</f>
        <v>0</v>
      </c>
      <c r="F980" s="38" t="n">
        <f aca="false">0</f>
        <v>0</v>
      </c>
      <c r="G980" s="38" t="n">
        <f aca="false">0</f>
        <v>0</v>
      </c>
      <c r="H980" s="38" t="n">
        <f aca="false">0</f>
        <v>0</v>
      </c>
      <c r="I980" s="38" t="n">
        <f aca="false">0</f>
        <v>0</v>
      </c>
      <c r="J980" s="38" t="n">
        <f aca="false">0</f>
        <v>0</v>
      </c>
      <c r="K980" s="38" t="n">
        <f aca="false">0</f>
        <v>0</v>
      </c>
      <c r="L980" s="38" t="n">
        <f aca="false">0</f>
        <v>0</v>
      </c>
      <c r="M980" s="38" t="n">
        <f aca="false">0</f>
        <v>0</v>
      </c>
      <c r="P980" s="8" t="s">
        <v>808</v>
      </c>
    </row>
    <row r="981" customFormat="false" ht="15" hidden="false" customHeight="false" outlineLevel="0" collapsed="false">
      <c r="A981" s="3" t="s">
        <v>809</v>
      </c>
      <c r="B981" s="8" t="s">
        <v>86</v>
      </c>
      <c r="C981" s="38" t="n">
        <f aca="false">Sens!$C$978-Sens!$C$979</f>
        <v>36.176</v>
      </c>
      <c r="D981" s="38" t="n">
        <f aca="false">Sens!$D$978-Sens!$D$979</f>
        <v>9.63700000000002</v>
      </c>
      <c r="E981" s="38" t="n">
        <f aca="false">Sens!$E$978-Sens!$E$979</f>
        <v>-25.691</v>
      </c>
      <c r="F981" s="38" t="n">
        <f aca="false">Sens!$F$978-Sens!$F$979</f>
        <v>-32.350162773757</v>
      </c>
      <c r="G981" s="38" t="n">
        <f aca="false">Sens!$G$978-Sens!$G$979</f>
        <v>-58.041162773757</v>
      </c>
      <c r="H981" s="38" t="n">
        <f aca="false">Sens!$H$978-Sens!$H$979</f>
        <v>-121.048360027707</v>
      </c>
      <c r="I981" s="38" t="n">
        <f aca="false">Sens!$I$978-Sens!$I$979</f>
        <v>-88.4747128188234</v>
      </c>
      <c r="J981" s="38" t="n">
        <f aca="false">Sens!$J$978-Sens!$J$979</f>
        <v>-54.6500183634258</v>
      </c>
      <c r="K981" s="38" t="n">
        <f aca="false">Sens!$K$978-Sens!$K$979</f>
        <v>55.966345889279</v>
      </c>
      <c r="L981" s="38" t="n">
        <f aca="false">Sens!$L$978-Sens!$L$979</f>
        <v>120.065198271507</v>
      </c>
      <c r="M981" s="38" t="n">
        <f aca="false">Sens!$M$978-Sens!$M$979</f>
        <v>147.236245685406</v>
      </c>
    </row>
    <row r="982" customFormat="false" ht="17.15" hidden="false" customHeight="false" outlineLevel="0" collapsed="false">
      <c r="A982" s="5" t="s">
        <v>810</v>
      </c>
      <c r="B982" s="0" t="s">
        <v>86</v>
      </c>
      <c r="E982" s="38" t="n">
        <f aca="false">Q!$P$53</f>
        <v>39.767</v>
      </c>
      <c r="F982" s="38" t="n">
        <f aca="false">inv_2h26</f>
        <v>21.3</v>
      </c>
      <c r="G982" s="38" t="n">
        <f aca="false">Sens!$E$982+Sens!$F$982</f>
        <v>61.067</v>
      </c>
      <c r="H982" s="39" t="n">
        <v>0</v>
      </c>
      <c r="I982" s="39" t="n">
        <v>0</v>
      </c>
      <c r="J982" s="39" t="n">
        <v>0</v>
      </c>
      <c r="K982" s="39" t="n">
        <v>0</v>
      </c>
      <c r="L982" s="39" t="n">
        <v>0</v>
      </c>
      <c r="M982" s="39" t="n">
        <v>0</v>
      </c>
    </row>
    <row r="983" customFormat="false" ht="17.15" hidden="false" customHeight="false" outlineLevel="0" collapsed="false">
      <c r="A983" s="5" t="s">
        <v>811</v>
      </c>
      <c r="B983" s="0" t="s">
        <v>86</v>
      </c>
      <c r="F983" s="38" t="n">
        <f aca="false">iss_2h26</f>
        <v>29.249999</v>
      </c>
      <c r="G983" s="38" t="n">
        <f aca="false">Sens!$F$983</f>
        <v>29.249999</v>
      </c>
      <c r="H983" s="39" t="n">
        <v>0</v>
      </c>
      <c r="I983" s="39" t="n">
        <v>0</v>
      </c>
      <c r="J983" s="39" t="n">
        <v>0</v>
      </c>
      <c r="K983" s="39" t="n">
        <v>0</v>
      </c>
      <c r="L983" s="39" t="n">
        <v>0</v>
      </c>
      <c r="M983" s="39" t="n">
        <v>0</v>
      </c>
    </row>
    <row r="984" customFormat="false" ht="17.15" hidden="false" customHeight="false" outlineLevel="0" collapsed="false">
      <c r="A984" s="5" t="s">
        <v>812</v>
      </c>
      <c r="B984" s="0" t="s">
        <v>86</v>
      </c>
      <c r="F984" s="38" t="n">
        <f aca="false">cash_q2</f>
        <v>122.988</v>
      </c>
      <c r="G984" s="38" t="n">
        <f aca="false">cash_q2</f>
        <v>122.988</v>
      </c>
      <c r="H984" s="38" t="n">
        <f aca="false">Sens!$G$987</f>
        <v>98.587836226243</v>
      </c>
      <c r="I984" s="38" t="n">
        <f aca="false">Sens!$H$987</f>
        <v>50</v>
      </c>
      <c r="J984" s="38" t="n">
        <f aca="false">Sens!$I$987</f>
        <v>50</v>
      </c>
      <c r="K984" s="38" t="n">
        <f aca="false">Sens!$J$987</f>
        <v>50</v>
      </c>
      <c r="L984" s="38" t="n">
        <f aca="false">Sens!$K$987</f>
        <v>105.966345889279</v>
      </c>
      <c r="M984" s="38" t="n">
        <f aca="false">Sens!$L$987</f>
        <v>226.031544160786</v>
      </c>
    </row>
    <row r="985" customFormat="false" ht="15" hidden="false" customHeight="false" outlineLevel="0" collapsed="false">
      <c r="A985" s="5" t="s">
        <v>813</v>
      </c>
      <c r="B985" s="0" t="s">
        <v>86</v>
      </c>
      <c r="F985" s="38" t="n">
        <f aca="false">Sens!$F$984+Sens!$F$981-Sens!$F$980-Sens!$F$982+Sens!$F$983</f>
        <v>98.587836226243</v>
      </c>
      <c r="H985" s="38" t="n">
        <f aca="false">Sens!$H$984+Sens!$H$981-Sens!$H$980-Sens!$H$982+Sens!$H$983</f>
        <v>-22.4605238014636</v>
      </c>
      <c r="I985" s="38" t="n">
        <f aca="false">Sens!$I$984+Sens!$I$981-Sens!$I$980-Sens!$I$982+Sens!$I$983</f>
        <v>-38.4747128188234</v>
      </c>
      <c r="J985" s="38" t="n">
        <f aca="false">Sens!$J$984+Sens!$J$981-Sens!$J$980-Sens!$J$982+Sens!$J$983</f>
        <v>-4.65001836342581</v>
      </c>
      <c r="K985" s="38" t="n">
        <f aca="false">Sens!$K$984+Sens!$K$981-Sens!$K$980-Sens!$K$982+Sens!$K$983</f>
        <v>105.966345889279</v>
      </c>
      <c r="L985" s="38" t="n">
        <f aca="false">Sens!$L$984+Sens!$L$981-Sens!$L$980-Sens!$L$982+Sens!$L$983</f>
        <v>226.031544160786</v>
      </c>
      <c r="M985" s="38" t="n">
        <f aca="false">Sens!$M$984+Sens!$M$981-Sens!$M$980-Sens!$M$982+Sens!$M$983</f>
        <v>373.267789846192</v>
      </c>
    </row>
    <row r="986" customFormat="false" ht="17.15" hidden="false" customHeight="false" outlineLevel="0" collapsed="false">
      <c r="A986" s="5" t="s">
        <v>814</v>
      </c>
      <c r="B986" s="0" t="s">
        <v>86</v>
      </c>
      <c r="F986" s="38" t="n">
        <f aca="false">MAX(0,min_cash-Sens!$F$985)</f>
        <v>0</v>
      </c>
      <c r="G986" s="38" t="n">
        <f aca="false">Sens!$F$986</f>
        <v>0</v>
      </c>
      <c r="H986" s="38" t="n">
        <f aca="false">MAX(0,min_cash-Sens!$H$985)</f>
        <v>72.4605238014636</v>
      </c>
      <c r="I986" s="38" t="n">
        <f aca="false">MAX(0,min_cash-Sens!$I$985)</f>
        <v>88.4747128188234</v>
      </c>
      <c r="J986" s="38" t="n">
        <f aca="false">MAX(0,min_cash-Sens!$J$985)</f>
        <v>54.6500183634258</v>
      </c>
      <c r="K986" s="38" t="n">
        <f aca="false">MAX(0,min_cash-Sens!$K$985)</f>
        <v>0</v>
      </c>
      <c r="L986" s="38" t="n">
        <f aca="false">MAX(0,min_cash-Sens!$L$985)</f>
        <v>0</v>
      </c>
      <c r="M986" s="38" t="n">
        <f aca="false">MAX(0,min_cash-Sens!$M$985)</f>
        <v>0</v>
      </c>
      <c r="P986" s="5" t="s">
        <v>815</v>
      </c>
    </row>
    <row r="987" customFormat="false" ht="15" hidden="false" customHeight="false" outlineLevel="0" collapsed="false">
      <c r="A987" s="5" t="s">
        <v>816</v>
      </c>
      <c r="B987" s="0" t="s">
        <v>86</v>
      </c>
      <c r="D987" s="38" t="n">
        <f aca="false">Q!$E$61</f>
        <v>123.029</v>
      </c>
      <c r="E987" s="38" t="n">
        <f aca="false">Q!$M$61</f>
        <v>122.988</v>
      </c>
      <c r="F987" s="38" t="n">
        <f aca="false">Sens!$F$985+Sens!$F$986</f>
        <v>98.587836226243</v>
      </c>
      <c r="G987" s="38" t="n">
        <f aca="false">Sens!$F$987</f>
        <v>98.587836226243</v>
      </c>
      <c r="H987" s="38" t="n">
        <f aca="false">Sens!$H$985+Sens!$H$986</f>
        <v>50</v>
      </c>
      <c r="I987" s="38" t="n">
        <f aca="false">Sens!$I$985+Sens!$I$986</f>
        <v>50</v>
      </c>
      <c r="J987" s="38" t="n">
        <f aca="false">Sens!$J$985+Sens!$J$986</f>
        <v>50</v>
      </c>
      <c r="K987" s="38" t="n">
        <f aca="false">Sens!$K$985+Sens!$K$986</f>
        <v>105.966345889279</v>
      </c>
      <c r="L987" s="38" t="n">
        <f aca="false">Sens!$L$985+Sens!$L$986</f>
        <v>226.031544160786</v>
      </c>
      <c r="M987" s="38" t="n">
        <f aca="false">Sens!$M$985+Sens!$M$986</f>
        <v>373.267789846192</v>
      </c>
    </row>
    <row r="988" customFormat="false" ht="15" hidden="false" customHeight="false" outlineLevel="0" collapsed="false">
      <c r="A988" s="5" t="s">
        <v>817</v>
      </c>
      <c r="B988" s="0" t="s">
        <v>86</v>
      </c>
      <c r="D988" s="38" t="n">
        <f aca="false">Q!$E$62</f>
        <v>68.836</v>
      </c>
      <c r="E988" s="38" t="n">
        <f aca="false">Q!$M$62</f>
        <v>132.995</v>
      </c>
      <c r="F988" s="38" t="n">
        <f aca="false">debt_q2+Sens!$F$983+Sens!$F$986</f>
        <v>162.244999</v>
      </c>
      <c r="G988" s="38" t="n">
        <f aca="false">Sens!$F$988</f>
        <v>162.244999</v>
      </c>
      <c r="H988" s="38" t="n">
        <f aca="false">Sens!$G$988+Sens!$H$986</f>
        <v>234.705522801464</v>
      </c>
      <c r="I988" s="38" t="n">
        <f aca="false">Sens!$H$988+Sens!$I$986</f>
        <v>323.180235620287</v>
      </c>
      <c r="J988" s="38" t="n">
        <f aca="false">Sens!$I$988+Sens!$J$986</f>
        <v>377.830253983713</v>
      </c>
      <c r="K988" s="38" t="n">
        <f aca="false">Sens!$J$988+Sens!$K$986</f>
        <v>377.830253983713</v>
      </c>
      <c r="L988" s="38" t="n">
        <f aca="false">Sens!$K$988+Sens!$L$986</f>
        <v>377.830253983713</v>
      </c>
      <c r="M988" s="38" t="n">
        <f aca="false">Sens!$L$988+Sens!$M$986</f>
        <v>377.830253983713</v>
      </c>
    </row>
    <row r="989" customFormat="false" ht="15" hidden="false" customHeight="false" outlineLevel="0" collapsed="false">
      <c r="A989" s="5" t="s">
        <v>818</v>
      </c>
      <c r="B989" s="0" t="s">
        <v>86</v>
      </c>
      <c r="D989" s="38" t="n">
        <f aca="false">Sens!$D$988-Sens!$D$987</f>
        <v>-54.193</v>
      </c>
      <c r="E989" s="38" t="n">
        <f aca="false">Sens!$E$988-Sens!$E$987</f>
        <v>10.007</v>
      </c>
      <c r="F989" s="38" t="n">
        <f aca="false">Sens!$F$988-Sens!$F$987</f>
        <v>63.657162773757</v>
      </c>
      <c r="G989" s="38" t="n">
        <f aca="false">Sens!$G$988-Sens!$G$987</f>
        <v>63.657162773757</v>
      </c>
      <c r="H989" s="38" t="n">
        <f aca="false">Sens!$H$988-Sens!$H$987</f>
        <v>184.705522801464</v>
      </c>
      <c r="I989" s="38" t="n">
        <f aca="false">Sens!$I$988-Sens!$I$987</f>
        <v>273.180235620287</v>
      </c>
      <c r="J989" s="38" t="n">
        <f aca="false">Sens!$J$988-Sens!$J$987</f>
        <v>327.830253983713</v>
      </c>
      <c r="K989" s="38" t="n">
        <f aca="false">Sens!$K$988-Sens!$K$987</f>
        <v>271.863908094434</v>
      </c>
      <c r="L989" s="38" t="n">
        <f aca="false">Sens!$L$988-Sens!$L$987</f>
        <v>151.798709822927</v>
      </c>
      <c r="M989" s="38" t="n">
        <f aca="false">Sens!$M$988-Sens!$M$987</f>
        <v>4.56246413752092</v>
      </c>
    </row>
    <row r="990" customFormat="false" ht="17.15" hidden="false" customHeight="false" outlineLevel="0" collapsed="false">
      <c r="A990" s="5" t="s">
        <v>819</v>
      </c>
      <c r="B990" s="0" t="s">
        <v>86</v>
      </c>
      <c r="F990" s="38" t="n">
        <f aca="false">debt_q2*kd_book*0.5+iss_2h26*kd_new*iss_t</f>
        <v>3.24888962733561</v>
      </c>
      <c r="H990" s="38" t="n">
        <f aca="false">debt_q2*kd_book+(Sens!$G$988-debt_q2)*kd_new</f>
        <v>7.42354172302123</v>
      </c>
      <c r="I990" s="38" t="n">
        <f aca="false">debt_q2*kd_book+(Sens!$H$988-debt_q2)*kd_new</f>
        <v>12.0102928796539</v>
      </c>
      <c r="J990" s="38" t="n">
        <f aca="false">debt_q2*kd_book+(Sens!$I$988-debt_q2)*kd_new</f>
        <v>17.6107422010854</v>
      </c>
      <c r="K990" s="38" t="n">
        <f aca="false">debt_q2*kd_book+(Sens!$J$988-debt_q2)*kd_new</f>
        <v>21.0700883634903</v>
      </c>
      <c r="L990" s="38" t="n">
        <f aca="false">debt_q2*kd_book+(Sens!$K$988-debt_q2)*kd_new</f>
        <v>21.0700883634903</v>
      </c>
      <c r="M990" s="38" t="n">
        <f aca="false">debt_q2*kd_book+(Sens!$L$988-debt_q2)*kd_new</f>
        <v>21.0700883634903</v>
      </c>
    </row>
    <row r="991" customFormat="false" ht="17.15" hidden="false" customHeight="false" outlineLevel="0" collapsed="false">
      <c r="A991" s="5" t="s">
        <v>820</v>
      </c>
      <c r="B991" s="0" t="s">
        <v>86</v>
      </c>
      <c r="F991" s="38" t="n">
        <f aca="false">cash_q2*y_cash*0.5</f>
        <v>2.59</v>
      </c>
      <c r="H991" s="38" t="n">
        <f aca="false">Sens!$G$987*y_cash</f>
        <v>4.15231560519676</v>
      </c>
      <c r="I991" s="38" t="n">
        <f aca="false">Sens!$H$987*y_cash</f>
        <v>2.10589651022864</v>
      </c>
      <c r="J991" s="38" t="n">
        <f aca="false">Sens!$I$987*y_cash</f>
        <v>2.10589651022864</v>
      </c>
      <c r="K991" s="38" t="n">
        <f aca="false">Sens!$J$987*y_cash</f>
        <v>2.10589651022864</v>
      </c>
      <c r="L991" s="38" t="n">
        <f aca="false">Sens!$K$987*y_cash</f>
        <v>4.46308316019827</v>
      </c>
      <c r="M991" s="38" t="n">
        <f aca="false">Sens!$L$987*y_cash</f>
        <v>9.51998080099581</v>
      </c>
    </row>
    <row r="992" customFormat="false" ht="17.15" hidden="false" customHeight="false" outlineLevel="0" collapsed="false">
      <c r="A992" s="47" t="s">
        <v>821</v>
      </c>
      <c r="B992" s="14" t="s">
        <v>86</v>
      </c>
      <c r="C992" s="14"/>
      <c r="D992" s="14"/>
      <c r="E992" s="14"/>
      <c r="F992" s="14"/>
      <c r="G992" s="48" t="n">
        <f aca="false">SUM(Sens!$G$981:$K$981)</f>
        <v>-266.247908094434</v>
      </c>
      <c r="H992" s="14"/>
      <c r="I992" s="14"/>
      <c r="J992" s="14"/>
      <c r="K992" s="14"/>
      <c r="L992" s="14"/>
      <c r="M992" s="14"/>
      <c r="N992" s="14"/>
      <c r="O992" s="14"/>
    </row>
    <row r="993" customFormat="false" ht="17.15" hidden="false" customHeight="false" outlineLevel="0" collapsed="false">
      <c r="A993" s="0" t="s">
        <v>787</v>
      </c>
      <c r="B993" s="0" t="s">
        <v>86</v>
      </c>
      <c r="G993" s="38" t="n">
        <f aca="false">SUM(Sens!$G$986:$K$986)</f>
        <v>215.585254983713</v>
      </c>
    </row>
    <row r="994" customFormat="false" ht="17.15" hidden="false" customHeight="false" outlineLevel="0" collapsed="false">
      <c r="A994" s="24" t="s">
        <v>824</v>
      </c>
      <c r="B994" s="25" t="s">
        <v>86</v>
      </c>
      <c r="C994" s="25"/>
      <c r="D994" s="25"/>
      <c r="E994" s="25"/>
      <c r="F994" s="25"/>
      <c r="G994" s="41" t="n">
        <f aca="false">Sens!$G$992-(Sens!$G$981+Sens!$H$981+Sens!$I$981+Sens!$J$981+Sens!$K$981)</f>
        <v>0</v>
      </c>
      <c r="H994" s="25"/>
      <c r="I994" s="25"/>
      <c r="J994" s="25"/>
      <c r="K994" s="25"/>
      <c r="L994" s="25"/>
      <c r="M994" s="25"/>
      <c r="N994" s="25"/>
      <c r="O994" s="25"/>
    </row>
    <row r="997" customFormat="false" ht="19.4" hidden="false" customHeight="false" outlineLevel="0" collapsed="false">
      <c r="A997" s="31" t="s">
        <v>1171</v>
      </c>
    </row>
    <row r="998" customFormat="false" ht="17.15" hidden="false" customHeight="false" outlineLevel="0" collapsed="false">
      <c r="A998" s="6" t="s">
        <v>16</v>
      </c>
      <c r="B998" s="6" t="s">
        <v>17</v>
      </c>
      <c r="C998" s="20" t="s">
        <v>504</v>
      </c>
      <c r="D998" s="20" t="s">
        <v>505</v>
      </c>
      <c r="E998" s="20" t="s">
        <v>587</v>
      </c>
      <c r="F998" s="20" t="s">
        <v>588</v>
      </c>
      <c r="G998" s="20" t="s">
        <v>589</v>
      </c>
      <c r="H998" s="20" t="s">
        <v>590</v>
      </c>
      <c r="I998" s="20" t="s">
        <v>591</v>
      </c>
      <c r="J998" s="20" t="s">
        <v>592</v>
      </c>
      <c r="K998" s="20" t="s">
        <v>593</v>
      </c>
      <c r="L998" s="20" t="s">
        <v>594</v>
      </c>
      <c r="M998" s="20" t="s">
        <v>595</v>
      </c>
      <c r="N998" s="20" t="s">
        <v>596</v>
      </c>
      <c r="O998" s="20" t="s">
        <v>597</v>
      </c>
      <c r="P998" s="6" t="s">
        <v>23</v>
      </c>
      <c r="R998" s="20" t="n">
        <v>2023</v>
      </c>
      <c r="S998" s="20" t="n">
        <v>2024</v>
      </c>
      <c r="T998" s="20" t="n">
        <v>2025</v>
      </c>
      <c r="U998" s="20" t="n">
        <v>2026</v>
      </c>
      <c r="V998" s="20" t="n">
        <v>2027</v>
      </c>
      <c r="W998" s="20" t="n">
        <v>2028</v>
      </c>
      <c r="X998" s="20" t="n">
        <v>2029</v>
      </c>
      <c r="Y998" s="20" t="n">
        <v>2030</v>
      </c>
      <c r="Z998" s="20" t="n">
        <v>2031</v>
      </c>
      <c r="AA998" s="20" t="n">
        <v>2032</v>
      </c>
    </row>
    <row r="999" customFormat="false" ht="17.15" hidden="false" customHeight="false" outlineLevel="0" collapsed="false">
      <c r="A999" s="1" t="s">
        <v>926</v>
      </c>
    </row>
    <row r="1000" customFormat="false" ht="17.15" hidden="false" customHeight="false" outlineLevel="0" collapsed="false">
      <c r="A1000" s="0" t="s">
        <v>927</v>
      </c>
      <c r="B1000" s="0" t="s">
        <v>86</v>
      </c>
      <c r="H1000" s="38" t="n">
        <f aca="false">Sens!$H$934*(1-tax)</f>
        <v>138.969937185251</v>
      </c>
      <c r="I1000" s="38" t="n">
        <f aca="false">Sens!$I$934*(1-tax)</f>
        <v>166.141984912865</v>
      </c>
      <c r="J1000" s="38" t="n">
        <f aca="false">Sens!$J$934*(1-tax)</f>
        <v>194.031071872415</v>
      </c>
      <c r="K1000" s="38" t="n">
        <f aca="false">Sens!$K$934*(1-tax)</f>
        <v>213.045625830341</v>
      </c>
      <c r="L1000" s="38" t="n">
        <f aca="false">Sens!$L$934*(1-tax)</f>
        <v>227.983950837003</v>
      </c>
      <c r="M1000" s="38" t="n">
        <f aca="false">Sens!$M$934*(1-tax)</f>
        <v>239.383610908334</v>
      </c>
    </row>
    <row r="1001" customFormat="false" ht="15" hidden="false" customHeight="false" outlineLevel="0" collapsed="false">
      <c r="A1001" s="5" t="s">
        <v>928</v>
      </c>
      <c r="B1001" s="0" t="s">
        <v>86</v>
      </c>
      <c r="H1001" s="38" t="n">
        <f aca="false">Sens!$H$945</f>
        <v>82.510212175345</v>
      </c>
      <c r="I1001" s="38" t="n">
        <f aca="false">Sens!$I$945</f>
        <v>127.320707424835</v>
      </c>
      <c r="J1001" s="38" t="n">
        <f aca="false">Sens!$J$945</f>
        <v>170.559799964459</v>
      </c>
      <c r="K1001" s="38" t="n">
        <f aca="false">Sens!$K$945</f>
        <v>214.3051226389</v>
      </c>
      <c r="L1001" s="38" t="n">
        <f aca="false">Sens!$L$945</f>
        <v>246.68982691031</v>
      </c>
      <c r="M1001" s="38" t="n">
        <f aca="false">Sens!$M$945</f>
        <v>268.70974404563</v>
      </c>
    </row>
    <row r="1002" customFormat="false" ht="15" hidden="false" customHeight="false" outlineLevel="0" collapsed="false">
      <c r="A1002" s="5" t="s">
        <v>929</v>
      </c>
      <c r="B1002" s="0" t="s">
        <v>86</v>
      </c>
      <c r="H1002" s="38" t="n">
        <f aca="false">Sens!$H$976</f>
        <v>339.563134816481</v>
      </c>
      <c r="I1002" s="38" t="n">
        <f aca="false">Sens!$I$976</f>
        <v>355.197302198592</v>
      </c>
      <c r="J1002" s="38" t="n">
        <f aca="false">Sens!$J$976</f>
        <v>369.277592748533</v>
      </c>
      <c r="K1002" s="38" t="n">
        <f aca="false">Sens!$K$976</f>
        <v>302.803273937359</v>
      </c>
      <c r="L1002" s="38" t="n">
        <f aca="false">Sens!$L$976</f>
        <v>278.701044740363</v>
      </c>
      <c r="M1002" s="38" t="n">
        <f aca="false">Sens!$M$976</f>
        <v>286.36868992997</v>
      </c>
    </row>
    <row r="1003" customFormat="false" ht="15" hidden="false" customHeight="false" outlineLevel="0" collapsed="false">
      <c r="A1003" s="5" t="s">
        <v>930</v>
      </c>
      <c r="B1003" s="0" t="s">
        <v>86</v>
      </c>
      <c r="H1003" s="38" t="n">
        <f aca="false">Sens!$H$977</f>
        <v>1.6</v>
      </c>
      <c r="I1003" s="38" t="n">
        <f aca="false">Sens!$I$977</f>
        <v>1.6</v>
      </c>
      <c r="J1003" s="38" t="n">
        <f aca="false">Sens!$J$977</f>
        <v>1.6</v>
      </c>
      <c r="K1003" s="38" t="n">
        <f aca="false">Sens!$K$977</f>
        <v>1.6</v>
      </c>
      <c r="L1003" s="38" t="n">
        <f aca="false">Sens!$L$977</f>
        <v>1.6</v>
      </c>
      <c r="M1003" s="38" t="n">
        <f aca="false">Sens!$M$977</f>
        <v>1.6</v>
      </c>
    </row>
    <row r="1004" customFormat="false" ht="15" hidden="false" customHeight="false" outlineLevel="0" collapsed="false">
      <c r="A1004" s="5" t="s">
        <v>931</v>
      </c>
      <c r="B1004" s="0" t="s">
        <v>86</v>
      </c>
      <c r="H1004" s="38" t="n">
        <f aca="false">Sens!$H$971</f>
        <v>11.2928295263397</v>
      </c>
      <c r="I1004" s="38" t="n">
        <f aca="false">Sens!$I$971</f>
        <v>12.8091546115766</v>
      </c>
      <c r="J1004" s="38" t="n">
        <f aca="false">Sens!$J$971</f>
        <v>14.2605653162668</v>
      </c>
      <c r="K1004" s="38" t="n">
        <f aca="false">Sens!$K$971</f>
        <v>15.5327622460396</v>
      </c>
      <c r="L1004" s="38" t="n">
        <f aca="false">Sens!$L$971</f>
        <v>16.720573737517</v>
      </c>
      <c r="M1004" s="38" t="n">
        <f aca="false">Sens!$M$971</f>
        <v>17.8283127551536</v>
      </c>
    </row>
    <row r="1005" customFormat="false" ht="17.15" hidden="false" customHeight="false" outlineLevel="0" collapsed="false">
      <c r="A1005" s="1" t="s">
        <v>932</v>
      </c>
      <c r="B1005" s="8" t="s">
        <v>86</v>
      </c>
      <c r="H1005" s="38" t="n">
        <f aca="false">Sens!$H$1000+Sens!$H$1001-Sens!$H$1002-Sens!$H$1003+Sens!$H$1004</f>
        <v>-108.390155929546</v>
      </c>
      <c r="I1005" s="38" t="n">
        <f aca="false">Sens!$I$1000+Sens!$I$1001-Sens!$I$1002-Sens!$I$1003+Sens!$I$1004</f>
        <v>-50.5254552493149</v>
      </c>
      <c r="J1005" s="38" t="n">
        <f aca="false">Sens!$J$1000+Sens!$J$1001-Sens!$J$1002-Sens!$J$1003+Sens!$J$1004</f>
        <v>7.97384440460885</v>
      </c>
      <c r="K1005" s="38" t="n">
        <f aca="false">Sens!$K$1000+Sens!$K$1001-Sens!$K$1002-Sens!$K$1003+Sens!$K$1004</f>
        <v>138.480236777922</v>
      </c>
      <c r="L1005" s="38" t="n">
        <f aca="false">Sens!$L$1000+Sens!$L$1001-Sens!$L$1002-Sens!$L$1003+Sens!$L$1004</f>
        <v>211.093306744467</v>
      </c>
      <c r="M1005" s="38" t="n">
        <f aca="false">Sens!$M$1000+Sens!$M$1001-Sens!$M$1002-Sens!$M$1003+Sens!$M$1004</f>
        <v>237.952977779148</v>
      </c>
    </row>
    <row r="1006" customFormat="false" ht="15" hidden="false" customHeight="false" outlineLevel="0" collapsed="false">
      <c r="A1006" s="5" t="s">
        <v>933</v>
      </c>
      <c r="B1006" s="0" t="s">
        <v>57</v>
      </c>
      <c r="H1006" s="40" t="n">
        <f aca="false">1/(1+wacc)^(2027-2026-0.5)</f>
        <v>0.947751320380232</v>
      </c>
      <c r="I1006" s="40" t="n">
        <f aca="false">1/(1+wacc)^(2028-2026-0.5)</f>
        <v>0.851301099754987</v>
      </c>
      <c r="J1006" s="40" t="n">
        <f aca="false">1/(1+wacc)^(2029-2026-0.5)</f>
        <v>0.764666370660713</v>
      </c>
      <c r="K1006" s="40" t="n">
        <f aca="false">1/(1+wacc)^(2030-2026-0.5)</f>
        <v>0.686848235703811</v>
      </c>
      <c r="L1006" s="40" t="n">
        <f aca="false">1/(1+wacc)^(2031-2026-0.5)</f>
        <v>0.616949452715975</v>
      </c>
      <c r="M1006" s="40" t="n">
        <f aca="false">1/(1+wacc)^(2032-2026-0.5)</f>
        <v>0.554164089562688</v>
      </c>
    </row>
    <row r="1007" customFormat="false" ht="15" hidden="false" customHeight="false" outlineLevel="0" collapsed="false">
      <c r="A1007" s="5" t="s">
        <v>934</v>
      </c>
      <c r="B1007" s="0" t="s">
        <v>86</v>
      </c>
      <c r="H1007" s="38" t="n">
        <f aca="false">Sens!$H$1005*Sens!$H$1006</f>
        <v>-102.726913398446</v>
      </c>
      <c r="I1007" s="38" t="n">
        <f aca="false">Sens!$I$1005*Sens!$I$1006</f>
        <v>-43.0123756193632</v>
      </c>
      <c r="J1007" s="38" t="n">
        <f aca="false">Sens!$J$1005*Sens!$J$1006</f>
        <v>6.09733066108549</v>
      </c>
      <c r="K1007" s="38" t="n">
        <f aca="false">Sens!$K$1005*Sens!$K$1006</f>
        <v>95.1149063107616</v>
      </c>
      <c r="L1007" s="38" t="n">
        <f aca="false">Sens!$L$1005*Sens!$L$1006</f>
        <v>130.233900068004</v>
      </c>
      <c r="M1007" s="38" t="n">
        <f aca="false">Sens!$M$1005*Sens!$M$1006</f>
        <v>131.864995289712</v>
      </c>
    </row>
    <row r="1008" customFormat="false" ht="15" hidden="false" customHeight="false" outlineLevel="0" collapsed="false">
      <c r="A1008" s="5" t="s">
        <v>935</v>
      </c>
      <c r="B1008" s="0" t="s">
        <v>86</v>
      </c>
      <c r="C1008" s="38" t="n">
        <f aca="false">SUM(Sens!$H$1007:$M$1007)</f>
        <v>217.571843311754</v>
      </c>
    </row>
    <row r="1009" customFormat="false" ht="17.15" hidden="false" customHeight="false" outlineLevel="0" collapsed="false">
      <c r="A1009" s="5" t="s">
        <v>936</v>
      </c>
      <c r="B1009" s="0" t="s">
        <v>86</v>
      </c>
      <c r="C1009" s="38" t="n">
        <f aca="false">Sens!$M$1000*(1+tg)*(1-tg/ronic)/(wacc-tg)</f>
        <v>2176.26414751334</v>
      </c>
    </row>
    <row r="1010" customFormat="false" ht="15" hidden="false" customHeight="false" outlineLevel="0" collapsed="false">
      <c r="A1010" s="5" t="s">
        <v>937</v>
      </c>
      <c r="B1010" s="0" t="s">
        <v>86</v>
      </c>
      <c r="C1010" s="38" t="n">
        <f aca="false">Sens!$C$1009/(1+wacc)^6</f>
        <v>1142.9951436054</v>
      </c>
    </row>
    <row r="1011" customFormat="false" ht="17.15" hidden="false" customHeight="false" outlineLevel="0" collapsed="false">
      <c r="A1011" s="5" t="s">
        <v>938</v>
      </c>
      <c r="B1011" s="0" t="s">
        <v>86</v>
      </c>
      <c r="C1011" s="38" t="n">
        <f aca="false">Sens!$C$1008+Sens!$C$1010</f>
        <v>1360.56698691716</v>
      </c>
    </row>
    <row r="1012" customFormat="false" ht="17.15" hidden="false" customHeight="false" outlineLevel="0" collapsed="false">
      <c r="A1012" s="5" t="s">
        <v>939</v>
      </c>
      <c r="B1012" s="0" t="s">
        <v>52</v>
      </c>
      <c r="C1012" s="13" t="n">
        <f aca="false">Sens!$C$1010/Sens!$C$1011</f>
        <v>0.840087371365125</v>
      </c>
    </row>
    <row r="1013" customFormat="false" ht="17.15" hidden="false" customHeight="false" outlineLevel="0" collapsed="false">
      <c r="A1013" s="5" t="s">
        <v>940</v>
      </c>
      <c r="B1013" s="0" t="s">
        <v>86</v>
      </c>
      <c r="C1013" s="38" t="n">
        <f aca="false">Sens!$G$989+fin_debt</f>
        <v>88.178162773757</v>
      </c>
    </row>
    <row r="1014" customFormat="false" ht="17.15" hidden="false" customHeight="false" outlineLevel="0" collapsed="false">
      <c r="A1014" s="5" t="s">
        <v>941</v>
      </c>
      <c r="B1014" s="0" t="s">
        <v>86</v>
      </c>
      <c r="C1014" s="38" t="n">
        <f aca="false">(ant_val*ant_sh+oai_val*oai_sh)*(1-liq_disc)</f>
        <v>178.944</v>
      </c>
    </row>
    <row r="1015" customFormat="false" ht="15" hidden="false" customHeight="false" outlineLevel="0" collapsed="false">
      <c r="A1015" s="5" t="s">
        <v>942</v>
      </c>
      <c r="B1015" s="0" t="s">
        <v>86</v>
      </c>
      <c r="C1015" s="38" t="n">
        <f aca="false">Sens!$C$1011-Sens!$C$1013+Sens!$C$1014</f>
        <v>1451.3328241434</v>
      </c>
    </row>
    <row r="1016" customFormat="false" ht="17.15" hidden="false" customHeight="false" outlineLevel="0" collapsed="false">
      <c r="A1016" s="5" t="s">
        <v>943</v>
      </c>
      <c r="B1016" s="0" t="s">
        <v>27</v>
      </c>
      <c r="C1016" s="30" t="n">
        <f aca="false">Sens!$C$1015/sh_out</f>
        <v>134.553177678992</v>
      </c>
    </row>
    <row r="1017" customFormat="false" ht="17.15" hidden="false" customHeight="false" outlineLevel="0" collapsed="false">
      <c r="A1017" s="1" t="s">
        <v>944</v>
      </c>
      <c r="B1017" s="8" t="s">
        <v>27</v>
      </c>
      <c r="C1017" s="30" t="n">
        <f aca="false">Sens!$C$1016*(1+ke)^tp_yf-dps*tp_yf</f>
        <v>147.385359023734</v>
      </c>
    </row>
    <row r="1018" customFormat="false" ht="17.15" hidden="false" customHeight="false" outlineLevel="0" collapsed="false">
      <c r="A1018" s="3" t="s">
        <v>945</v>
      </c>
    </row>
    <row r="1019" customFormat="false" ht="17.15" hidden="false" customHeight="false" outlineLevel="0" collapsed="false">
      <c r="A1019" s="5" t="s">
        <v>946</v>
      </c>
      <c r="B1019" s="0" t="s">
        <v>86</v>
      </c>
      <c r="C1019" s="38" t="n">
        <f aca="false">(1-tp_yf)*(Sens!$H$946+sbc_ab*Sens!$H$970*Sens!$H$807/Sens!$H$887)+tp_yf*(Sens!$I$946+sbc_ab*Sens!$I$970*Sens!$I$807/Sens!$I$887)</f>
        <v>59.634664536349</v>
      </c>
    </row>
    <row r="1020" customFormat="false" ht="15" hidden="false" customHeight="false" outlineLevel="0" collapsed="false">
      <c r="A1020" s="5" t="s">
        <v>947</v>
      </c>
      <c r="B1020" s="0" t="s">
        <v>57</v>
      </c>
      <c r="C1020" s="30" t="n">
        <f aca="false">m_ads*m_x</f>
        <v>9.11</v>
      </c>
    </row>
    <row r="1021" customFormat="false" ht="17.15" hidden="false" customHeight="false" outlineLevel="0" collapsed="false">
      <c r="A1021" s="5" t="s">
        <v>948</v>
      </c>
      <c r="B1021" s="0" t="s">
        <v>86</v>
      </c>
      <c r="C1021" s="38" t="n">
        <f aca="false">Sens!$C$1019*Sens!$C$1020</f>
        <v>543.271793926139</v>
      </c>
    </row>
    <row r="1022" customFormat="false" ht="17.15" hidden="false" customHeight="false" outlineLevel="0" collapsed="false">
      <c r="A1022" s="5" t="s">
        <v>949</v>
      </c>
      <c r="B1022" s="0" t="s">
        <v>86</v>
      </c>
      <c r="C1022" s="38" t="n">
        <f aca="false">(1-tp_yf)*(Sens!$H$947+sbc_ab*Sens!$H$970*(Sens!$H$814-Sens!$H$807)/Sens!$H$887+IF(internal_ai_reading=2,1,0)*(1-ext_sh_lo)*Sens!$H$844)+tp_yf*(Sens!$I$947+sbc_ab*Sens!$I$970*(Sens!$I$814-Sens!$I$807)/Sens!$I$887+IF(internal_ai_reading=2,1,0)*(1-ext_sh_lo)*Sens!$I$844)</f>
        <v>56.8443265958449</v>
      </c>
    </row>
    <row r="1023" customFormat="false" ht="17.15" hidden="false" customHeight="false" outlineLevel="0" collapsed="false">
      <c r="A1023" s="5" t="s">
        <v>950</v>
      </c>
      <c r="B1023" s="0" t="s">
        <v>57</v>
      </c>
      <c r="C1023" s="30" t="n">
        <f aca="false">m_retail*m_x</f>
        <v>17.72</v>
      </c>
    </row>
    <row r="1024" customFormat="false" ht="17.15" hidden="false" customHeight="false" outlineLevel="0" collapsed="false">
      <c r="A1024" s="5" t="s">
        <v>951</v>
      </c>
      <c r="B1024" s="0" t="s">
        <v>86</v>
      </c>
      <c r="C1024" s="38" t="n">
        <f aca="false">Sens!$C$1022*Sens!$C$1023</f>
        <v>1007.28146727837</v>
      </c>
    </row>
    <row r="1025" customFormat="false" ht="17.15" hidden="false" customHeight="false" outlineLevel="0" collapsed="false">
      <c r="A1025" s="0" t="s">
        <v>952</v>
      </c>
      <c r="B1025" s="0" t="s">
        <v>86</v>
      </c>
      <c r="C1025" s="38" t="n">
        <f aca="false">(1-tp_yf)*(Sens!$H$948+sbc_ab*Sens!$H$970*Sens!$H$885/Sens!$H$887)+tp_yf*(Sens!$I$948+sbc_ab*Sens!$I$970*Sens!$I$885/Sens!$I$887)</f>
        <v>96.7927446100734</v>
      </c>
    </row>
    <row r="1026" customFormat="false" ht="17.15" hidden="false" customHeight="false" outlineLevel="0" collapsed="false">
      <c r="A1026" s="0" t="s">
        <v>953</v>
      </c>
      <c r="B1026" s="0" t="s">
        <v>57</v>
      </c>
      <c r="C1026" s="30" t="n">
        <f aca="false">m_cloud*m_x</f>
        <v>13.82</v>
      </c>
    </row>
    <row r="1027" customFormat="false" ht="17.15" hidden="false" customHeight="false" outlineLevel="0" collapsed="false">
      <c r="A1027" s="0" t="s">
        <v>954</v>
      </c>
      <c r="B1027" s="0" t="s">
        <v>86</v>
      </c>
      <c r="C1027" s="38" t="n">
        <f aca="false">Sens!$C$1025*Sens!$C$1026</f>
        <v>1337.67573051121</v>
      </c>
    </row>
    <row r="1028" customFormat="false" ht="17.15" hidden="false" customHeight="false" outlineLevel="0" collapsed="false">
      <c r="A1028" s="0" t="s">
        <v>955</v>
      </c>
      <c r="B1028" s="0" t="s">
        <v>86</v>
      </c>
      <c r="H1028" s="38" t="n">
        <f aca="false">Sens!$H$866-tax*Sens!$H$867-ext_sh_lo*Sens!$H$851</f>
        <v>-116.29556218382</v>
      </c>
      <c r="I1028" s="38" t="n">
        <f aca="false">Sens!$I$866-tax*Sens!$I$867-ext_sh_lo*Sens!$I$851</f>
        <v>-89.7292146191739</v>
      </c>
      <c r="J1028" s="38" t="n">
        <f aca="false">Sens!$J$866-tax*Sens!$J$867-ext_sh_lo*Sens!$J$851</f>
        <v>-62.4867656375324</v>
      </c>
      <c r="K1028" s="38" t="n">
        <f aca="false">Sens!$K$866-tax*Sens!$K$867-ext_sh_lo*Sens!$K$851</f>
        <v>8.72998483059619</v>
      </c>
      <c r="L1028" s="38" t="n">
        <f aca="false">Sens!$L$866-tax*Sens!$L$867-ext_sh_lo*Sens!$L$851</f>
        <v>45.5674941018882</v>
      </c>
      <c r="M1028" s="38" t="n">
        <f aca="false">Sens!$M$866-tax*Sens!$M$867-ext_sh_lo*Sens!$M$851</f>
        <v>54.4876947194024</v>
      </c>
    </row>
    <row r="1029" customFormat="false" ht="17.15" hidden="false" customHeight="false" outlineLevel="0" collapsed="false">
      <c r="A1029" s="5" t="s">
        <v>956</v>
      </c>
      <c r="B1029" s="0" t="s">
        <v>86</v>
      </c>
      <c r="H1029" s="38" t="n">
        <f aca="false">Sens!$H$1028*Sens!$H$1006</f>
        <v>-110.219272614077</v>
      </c>
      <c r="I1029" s="38" t="n">
        <f aca="false">Sens!$I$1028*Sens!$I$1006</f>
        <v>-76.386579085454</v>
      </c>
      <c r="J1029" s="38" t="n">
        <f aca="false">Sens!$J$1028*Sens!$J$1006</f>
        <v>-47.7815282943784</v>
      </c>
      <c r="K1029" s="38" t="n">
        <f aca="false">Sens!$K$1028*Sens!$K$1006</f>
        <v>5.99617467861603</v>
      </c>
      <c r="L1029" s="38" t="n">
        <f aca="false">Sens!$L$1028*Sens!$L$1006</f>
        <v>28.1128405477984</v>
      </c>
      <c r="M1029" s="38" t="n">
        <f aca="false">Sens!$M$1028*Sens!$M$1006</f>
        <v>30.1951237365473</v>
      </c>
    </row>
    <row r="1030" customFormat="false" ht="17.15" hidden="false" customHeight="false" outlineLevel="0" collapsed="false">
      <c r="A1030" s="5" t="s">
        <v>957</v>
      </c>
      <c r="B1030" s="0" t="s">
        <v>86</v>
      </c>
      <c r="C1030" s="38" t="n">
        <f aca="false">Sens!$M$867*(1-tax)*(1+tg)*(1-tg/ronic)/(wacc-tg)</f>
        <v>402.742010500183</v>
      </c>
    </row>
    <row r="1031" customFormat="false" ht="17.15" hidden="false" customHeight="false" outlineLevel="0" collapsed="false">
      <c r="A1031" s="0" t="s">
        <v>958</v>
      </c>
      <c r="B1031" s="0" t="s">
        <v>86</v>
      </c>
      <c r="C1031" s="38" t="n">
        <f aca="false">(SUM(Sens!$I$1029:$M$1029)+Sens!$C$1030/(1+wacc)^6)*(1+wacc)^tp_yf</f>
        <v>165.646325124676</v>
      </c>
    </row>
    <row r="1032" customFormat="false" ht="17.15" hidden="false" customHeight="false" outlineLevel="0" collapsed="false">
      <c r="A1032" s="5" t="s">
        <v>959</v>
      </c>
      <c r="B1032" s="0" t="s">
        <v>86</v>
      </c>
      <c r="C1032" s="38" t="n">
        <f aca="false">(1-tp_yf)*(Sens!$H$949)+tp_yf*(Sens!$I$949)</f>
        <v>74.6707041238437</v>
      </c>
    </row>
    <row r="1033" customFormat="false" ht="17.15" hidden="false" customHeight="false" outlineLevel="0" collapsed="false">
      <c r="A1033" s="5" t="s">
        <v>960</v>
      </c>
      <c r="B1033" s="0" t="s">
        <v>86</v>
      </c>
      <c r="C1033" s="38" t="n">
        <f aca="false">Sens!$C$1032*m_ai</f>
        <v>448.024224743062</v>
      </c>
    </row>
    <row r="1034" customFormat="false" ht="17.15" hidden="false" customHeight="false" outlineLevel="0" collapsed="false">
      <c r="A1034" s="0" t="s">
        <v>961</v>
      </c>
      <c r="B1034" s="0" t="s">
        <v>86</v>
      </c>
      <c r="C1034" s="38" t="n">
        <f aca="false">IF(ai_leg=1,Sens!$C$1031,Sens!$C$1033)</f>
        <v>165.646325124676</v>
      </c>
    </row>
    <row r="1035" customFormat="false" ht="17.15" hidden="false" customHeight="false" outlineLevel="0" collapsed="false">
      <c r="A1035" s="5" t="s">
        <v>962</v>
      </c>
      <c r="B1035" s="0" t="s">
        <v>86</v>
      </c>
      <c r="C1035" s="38" t="n">
        <f aca="false">Sens!$C$1021+Sens!$C$1024+Sens!$C$1027+Sens!$C$1034</f>
        <v>3053.8753168404</v>
      </c>
    </row>
    <row r="1036" customFormat="false" ht="17.15" hidden="false" customHeight="false" outlineLevel="0" collapsed="false">
      <c r="A1036" s="5" t="s">
        <v>963</v>
      </c>
      <c r="B1036" s="0" t="s">
        <v>86</v>
      </c>
      <c r="C1036" s="38" t="n">
        <f aca="false">Sens!$H$989+fin_debt</f>
        <v>209.226522801464</v>
      </c>
    </row>
    <row r="1037" customFormat="false" ht="15" hidden="false" customHeight="false" outlineLevel="0" collapsed="false">
      <c r="A1037" s="5" t="s">
        <v>964</v>
      </c>
      <c r="B1037" s="0" t="s">
        <v>86</v>
      </c>
      <c r="C1037" s="38" t="n">
        <f aca="false">Sens!$C$1035-Sens!$C$1036+Sens!$C$1014</f>
        <v>3023.59279403894</v>
      </c>
    </row>
    <row r="1038" customFormat="false" ht="15" hidden="false" customHeight="false" outlineLevel="0" collapsed="false">
      <c r="A1038" s="3" t="s">
        <v>965</v>
      </c>
      <c r="B1038" s="8" t="s">
        <v>27</v>
      </c>
      <c r="C1038" s="30" t="n">
        <f aca="false">Sens!$C$1037/sh_val</f>
        <v>274.116656519383</v>
      </c>
    </row>
    <row r="1039" customFormat="false" ht="17.15" hidden="false" customHeight="false" outlineLevel="0" collapsed="false">
      <c r="A1039" s="47" t="s">
        <v>966</v>
      </c>
      <c r="B1039" s="14" t="s">
        <v>27</v>
      </c>
      <c r="C1039" s="44" t="n">
        <f aca="false">w_dcf*Sens!$C$1017+(1-w_dcf)*Sens!$C$1038</f>
        <v>210.751007771558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</row>
    <row r="1040" customFormat="false" ht="17.15" hidden="false" customHeight="false" outlineLevel="0" collapsed="false">
      <c r="A1040" s="5" t="s">
        <v>967</v>
      </c>
      <c r="B1040" s="0" t="s">
        <v>27</v>
      </c>
      <c r="C1040" s="30" t="n">
        <f aca="false">v022_wdcf*Sens!$C$1017+(1-v022_wdcf)*Sens!$C$1038</f>
        <v>217.087572646341</v>
      </c>
    </row>
    <row r="1041" customFormat="false" ht="17.15" hidden="false" customHeight="false" outlineLevel="0" collapsed="false">
      <c r="A1041" s="5" t="s">
        <v>968</v>
      </c>
      <c r="B1041" s="0" t="s">
        <v>27</v>
      </c>
      <c r="C1041" s="30" t="n">
        <f aca="false">(Sens!$C$1037-Sens!$C$1034+Sens!$C$1033)/sh_val</f>
        <v>299.716825256047</v>
      </c>
    </row>
    <row r="1044" customFormat="false" ht="19.4" hidden="false" customHeight="false" outlineLevel="0" collapsed="false">
      <c r="A1044" s="31" t="s">
        <v>1172</v>
      </c>
    </row>
    <row r="1045" customFormat="false" ht="17.15" hidden="false" customHeight="false" outlineLevel="0" collapsed="false">
      <c r="A1045" s="6" t="s">
        <v>16</v>
      </c>
      <c r="B1045" s="6" t="s">
        <v>17</v>
      </c>
      <c r="C1045" s="20" t="s">
        <v>504</v>
      </c>
      <c r="D1045" s="20" t="s">
        <v>505</v>
      </c>
      <c r="E1045" s="20" t="s">
        <v>587</v>
      </c>
      <c r="F1045" s="20" t="s">
        <v>588</v>
      </c>
      <c r="G1045" s="20" t="s">
        <v>589</v>
      </c>
      <c r="H1045" s="20" t="s">
        <v>590</v>
      </c>
      <c r="I1045" s="20" t="s">
        <v>591</v>
      </c>
      <c r="J1045" s="20" t="s">
        <v>592</v>
      </c>
      <c r="K1045" s="20" t="s">
        <v>593</v>
      </c>
      <c r="L1045" s="20" t="s">
        <v>594</v>
      </c>
      <c r="M1045" s="20" t="s">
        <v>595</v>
      </c>
      <c r="N1045" s="20" t="s">
        <v>596</v>
      </c>
      <c r="O1045" s="20" t="s">
        <v>597</v>
      </c>
      <c r="P1045" s="6" t="s">
        <v>23</v>
      </c>
      <c r="R1045" s="20" t="n">
        <v>2023</v>
      </c>
      <c r="S1045" s="20" t="n">
        <v>2024</v>
      </c>
      <c r="T1045" s="20" t="n">
        <v>2025</v>
      </c>
      <c r="U1045" s="20" t="n">
        <v>2026</v>
      </c>
      <c r="V1045" s="20" t="n">
        <v>2027</v>
      </c>
      <c r="W1045" s="20" t="n">
        <v>2028</v>
      </c>
      <c r="X1045" s="20" t="n">
        <v>2029</v>
      </c>
      <c r="Y1045" s="20" t="n">
        <v>2030</v>
      </c>
      <c r="Z1045" s="20" t="n">
        <v>2031</v>
      </c>
      <c r="AA1045" s="20" t="n">
        <v>2032</v>
      </c>
    </row>
    <row r="1046" customFormat="false" ht="17.15" hidden="false" customHeight="false" outlineLevel="0" collapsed="false">
      <c r="A1046" s="1" t="s">
        <v>677</v>
      </c>
    </row>
    <row r="1047" customFormat="false" ht="17.15" hidden="false" customHeight="false" outlineLevel="0" collapsed="false">
      <c r="A1047" s="0" t="s">
        <v>526</v>
      </c>
      <c r="B1047" s="0" t="s">
        <v>86</v>
      </c>
      <c r="C1047" s="38" t="n">
        <f aca="false">Q!$D$10</f>
        <v>247.029</v>
      </c>
      <c r="D1047" s="38" t="n">
        <f aca="false">Q!$E$10</f>
        <v>269.287</v>
      </c>
      <c r="E1047" s="38" t="n">
        <f aca="false">Q!$P$10</f>
        <v>134.686</v>
      </c>
      <c r="F1047" s="38" t="n">
        <f aca="false">Sens!$O$1047*(1+Sens!$F$1048)*Sens!$F$1059</f>
        <v>158.293876822267</v>
      </c>
      <c r="G1047" s="38" t="n">
        <f aca="false">Sens!$E$1047+Sens!$F$1047</f>
        <v>292.979876822267</v>
      </c>
      <c r="H1047" s="38" t="n">
        <f aca="false">Sens!$G$1047*(1+Sens!$H$1048)</f>
        <v>318.184543087396</v>
      </c>
      <c r="I1047" s="38" t="n">
        <f aca="false">Sens!$H$1047*(1+Sens!$I$1048)</f>
        <v>341.736278761793</v>
      </c>
      <c r="J1047" s="38" t="n">
        <f aca="false">Sens!$I$1047*(1+Sens!$J$1048)</f>
        <v>362.927192787048</v>
      </c>
      <c r="K1047" s="38" t="n">
        <f aca="false">Sens!$J$1047*(1+Sens!$K$1048)</f>
        <v>381.0735524264</v>
      </c>
      <c r="L1047" s="38" t="n">
        <f aca="false">Sens!$K$1047*(1+Sens!$L$1048)</f>
        <v>400.12723004772</v>
      </c>
      <c r="M1047" s="38" t="n">
        <f aca="false">Sens!$L$1047*(1+Sens!$M$1048)</f>
        <v>420.133591550106</v>
      </c>
      <c r="N1047" s="38" t="n">
        <f aca="false">Q!$N$10</f>
        <v>118.892</v>
      </c>
      <c r="O1047" s="38" t="n">
        <f aca="false">Q!$O$10</f>
        <v>150.395</v>
      </c>
      <c r="P1047" s="8" t="s">
        <v>678</v>
      </c>
    </row>
    <row r="1048" customFormat="false" ht="17.15" hidden="false" customHeight="false" outlineLevel="0" collapsed="false">
      <c r="A1048" s="0" t="s">
        <v>679</v>
      </c>
      <c r="B1048" s="0" t="s">
        <v>52</v>
      </c>
      <c r="E1048" s="13" t="n">
        <f aca="false">Sens!$E$1047/Sens!$N$1047-1</f>
        <v>0.132843252699929</v>
      </c>
      <c r="F1048" s="13" t="n">
        <f aca="false">Sens!$O$1047/(Q!$F$10+Q!$G$10)-1</f>
        <v>0.0980382135842941</v>
      </c>
      <c r="G1048" s="13" t="n">
        <f aca="false">Sens!$G$1047/Sens!$D$1047-1</f>
        <v>0.0879837378791657</v>
      </c>
      <c r="H1048" s="13" t="n">
        <f aca="false">Sens!$F$1048+(g_os-Sens!$F$1048)*1/4</f>
        <v>0.0860286601882206</v>
      </c>
      <c r="I1048" s="13" t="n">
        <f aca="false">Sens!$F$1048+(g_os-Sens!$F$1048)*2/4</f>
        <v>0.074019106792147</v>
      </c>
      <c r="J1048" s="13" t="n">
        <f aca="false">Sens!$F$1048+(g_os-Sens!$F$1048)*3/4</f>
        <v>0.0620095533960735</v>
      </c>
      <c r="K1048" s="13" t="n">
        <f aca="false">Sens!$F$1048+(g_os-Sens!$F$1048)*4/4</f>
        <v>0.05</v>
      </c>
      <c r="L1048" s="13" t="n">
        <f aca="false">g_os</f>
        <v>0.05</v>
      </c>
      <c r="M1048" s="13" t="n">
        <f aca="false">g_os</f>
        <v>0.05</v>
      </c>
      <c r="P1048" s="8" t="s">
        <v>680</v>
      </c>
    </row>
    <row r="1049" customFormat="false" ht="17.15" hidden="false" customHeight="false" outlineLevel="0" collapsed="false">
      <c r="A1049" s="0" t="s">
        <v>527</v>
      </c>
      <c r="B1049" s="0" t="s">
        <v>86</v>
      </c>
      <c r="C1049" s="38" t="n">
        <f aca="false">Q!$D$11</f>
        <v>21.215</v>
      </c>
      <c r="D1049" s="38" t="n">
        <f aca="false">Q!$E$11</f>
        <v>22.561</v>
      </c>
      <c r="E1049" s="38" t="n">
        <f aca="false">Q!$P$11</f>
        <v>11.579</v>
      </c>
      <c r="F1049" s="38" t="n">
        <f aca="false">Sens!$O$1049*(1+Sens!$F$1050)*Sens!$F$1059</f>
        <v>11.5938724610325</v>
      </c>
      <c r="G1049" s="38" t="n">
        <f aca="false">Sens!$E$1049+Sens!$F$1049</f>
        <v>23.1728724610325</v>
      </c>
      <c r="H1049" s="38" t="n">
        <f aca="false">Sens!$G$1049*(1+Sens!$H$1050)</f>
        <v>24.353392759506</v>
      </c>
      <c r="I1049" s="38" t="n">
        <f aca="false">Sens!$H$1049*(1+Sens!$I$1050)</f>
        <v>25.4240338872015</v>
      </c>
      <c r="J1049" s="38" t="n">
        <f aca="false">Sens!$I$1049*(1+Sens!$J$1050)</f>
        <v>26.3642491017174</v>
      </c>
      <c r="K1049" s="38" t="n">
        <f aca="false">Sens!$J$1049*(1+Sens!$K$1050)</f>
        <v>27.155176574769</v>
      </c>
      <c r="L1049" s="38" t="n">
        <f aca="false">Sens!$K$1049*(1+Sens!$L$1050)</f>
        <v>27.969831872012</v>
      </c>
      <c r="M1049" s="38" t="n">
        <f aca="false">Sens!$L$1049*(1+Sens!$M$1050)</f>
        <v>28.8089268281724</v>
      </c>
      <c r="N1049" s="38" t="n">
        <f aca="false">Q!$N$11</f>
        <v>11.128</v>
      </c>
      <c r="O1049" s="38" t="n">
        <f aca="false">Q!$O$11</f>
        <v>11.433</v>
      </c>
      <c r="P1049" s="8" t="s">
        <v>678</v>
      </c>
    </row>
    <row r="1050" customFormat="false" ht="17.15" hidden="false" customHeight="false" outlineLevel="0" collapsed="false">
      <c r="A1050" s="0" t="s">
        <v>681</v>
      </c>
      <c r="B1050" s="0" t="s">
        <v>52</v>
      </c>
      <c r="E1050" s="13" t="n">
        <f aca="false">Sens!$E$1049/Sens!$N$1049-1</f>
        <v>0.0405283968368082</v>
      </c>
      <c r="F1050" s="13" t="n">
        <f aca="false">Sens!$O$1049/(Q!$F$11+Q!$G$11)-1</f>
        <v>0.0579254187100955</v>
      </c>
      <c r="G1050" s="13" t="n">
        <f aca="false">Sens!$G$1049/Sens!$D$1049-1</f>
        <v>0.0271208040881397</v>
      </c>
      <c r="H1050" s="13" t="n">
        <f aca="false">Sens!$F$1050+(g_ps-Sens!$F$1050)*1/4</f>
        <v>0.0509440640325716</v>
      </c>
      <c r="I1050" s="13" t="n">
        <f aca="false">Sens!$F$1050+(g_ps-Sens!$F$1050)*2/4</f>
        <v>0.0439627093550477</v>
      </c>
      <c r="J1050" s="13" t="n">
        <f aca="false">Sens!$F$1050+(g_ps-Sens!$F$1050)*3/4</f>
        <v>0.0369813546775239</v>
      </c>
      <c r="K1050" s="13" t="n">
        <f aca="false">Sens!$F$1050+(g_ps-Sens!$F$1050)*4/4</f>
        <v>0.03</v>
      </c>
      <c r="L1050" s="13" t="n">
        <f aca="false">g_ps</f>
        <v>0.03</v>
      </c>
      <c r="M1050" s="13" t="n">
        <f aca="false">g_ps</f>
        <v>0.03</v>
      </c>
      <c r="P1050" s="8" t="s">
        <v>682</v>
      </c>
    </row>
    <row r="1051" customFormat="false" ht="17.15" hidden="false" customHeight="false" outlineLevel="0" collapsed="false">
      <c r="A1051" s="0" t="s">
        <v>528</v>
      </c>
      <c r="B1051" s="0" t="s">
        <v>86</v>
      </c>
      <c r="C1051" s="38" t="n">
        <f aca="false">Q!$D$12</f>
        <v>156.146</v>
      </c>
      <c r="D1051" s="38" t="n">
        <f aca="false">Q!$E$12</f>
        <v>172.162</v>
      </c>
      <c r="E1051" s="38" t="n">
        <f aca="false">Q!$P$12</f>
        <v>88.358</v>
      </c>
      <c r="F1051" s="38" t="n">
        <f aca="false">Sens!$O$1051*(1+Sens!$F$1052)*Sens!$F$1059</f>
        <v>102.004388260171</v>
      </c>
      <c r="G1051" s="38" t="n">
        <f aca="false">Sens!$E$1051+Sens!$F$1051</f>
        <v>190.362388260171</v>
      </c>
      <c r="H1051" s="38" t="n">
        <f aca="false">Sens!$G$1051*(1+Sens!$H$1052)</f>
        <v>210.343106588311</v>
      </c>
      <c r="I1051" s="38" t="n">
        <f aca="false">Sens!$H$1051*(1+Sens!$I$1052)</f>
        <v>229.969728494648</v>
      </c>
      <c r="J1051" s="38" t="n">
        <f aca="false">Sens!$I$1051*(1+Sens!$J$1052)</f>
        <v>248.747636972598</v>
      </c>
      <c r="K1051" s="38" t="n">
        <f aca="false">Sens!$J$1051*(1+Sens!$K$1052)</f>
        <v>266.15997156068</v>
      </c>
      <c r="L1051" s="38" t="n">
        <f aca="false">Sens!$K$1051*(1+Sens!$L$1052)</f>
        <v>284.791169569927</v>
      </c>
      <c r="M1051" s="38" t="n">
        <f aca="false">Sens!$L$1051*(1+Sens!$M$1052)</f>
        <v>304.726551439822</v>
      </c>
      <c r="N1051" s="38" t="n">
        <f aca="false">Q!$N$12</f>
        <v>76.86</v>
      </c>
      <c r="O1051" s="38" t="n">
        <f aca="false">Q!$O$12</f>
        <v>95.302</v>
      </c>
      <c r="P1051" s="8" t="s">
        <v>678</v>
      </c>
    </row>
    <row r="1052" customFormat="false" ht="17.15" hidden="false" customHeight="false" outlineLevel="0" collapsed="false">
      <c r="A1052" s="0" t="s">
        <v>683</v>
      </c>
      <c r="B1052" s="0" t="s">
        <v>52</v>
      </c>
      <c r="E1052" s="13" t="n">
        <f aca="false">Sens!$E$1051/Sens!$N$1051-1</f>
        <v>0.1495966692688</v>
      </c>
      <c r="F1052" s="13" t="n">
        <f aca="false">Sens!$O$1051/(Q!$F$12+Q!$G$12)-1</f>
        <v>0.11661530890813</v>
      </c>
      <c r="G1052" s="13" t="n">
        <f aca="false">Sens!$G$1051/Sens!$D$1051-1</f>
        <v>0.105716640490767</v>
      </c>
      <c r="H1052" s="13" t="n">
        <f aca="false">Sens!$F$1052+(g_sp-Sens!$F$1052)*1/4</f>
        <v>0.104961481681098</v>
      </c>
      <c r="I1052" s="13" t="n">
        <f aca="false">Sens!$F$1052+(g_sp-Sens!$F$1052)*2/4</f>
        <v>0.0933076544540651</v>
      </c>
      <c r="J1052" s="13" t="n">
        <f aca="false">Sens!$F$1052+(g_sp-Sens!$F$1052)*3/4</f>
        <v>0.0816538272270325</v>
      </c>
      <c r="K1052" s="13" t="n">
        <f aca="false">Sens!$F$1052+(g_sp-Sens!$F$1052)*4/4</f>
        <v>0.07</v>
      </c>
      <c r="L1052" s="13" t="n">
        <f aca="false">g_sp</f>
        <v>0.07</v>
      </c>
      <c r="M1052" s="13" t="n">
        <f aca="false">g_sp</f>
        <v>0.07</v>
      </c>
      <c r="P1052" s="8" t="s">
        <v>684</v>
      </c>
    </row>
    <row r="1053" customFormat="false" ht="17.15" hidden="false" customHeight="false" outlineLevel="0" collapsed="false">
      <c r="A1053" s="0" t="s">
        <v>529</v>
      </c>
      <c r="B1053" s="0" t="s">
        <v>86</v>
      </c>
      <c r="C1053" s="38" t="n">
        <f aca="false">Q!$D$13</f>
        <v>56.214</v>
      </c>
      <c r="D1053" s="38" t="n">
        <f aca="false">Q!$E$13</f>
        <v>68.635</v>
      </c>
      <c r="E1053" s="38" t="n">
        <f aca="false">Q!$P$13</f>
        <v>37.052</v>
      </c>
      <c r="F1053" s="38" t="n">
        <f aca="false">Sens!$O$1053*(1+Sens!$F$1054)*Sens!$F$1059</f>
        <v>46.1572219944148</v>
      </c>
      <c r="G1053" s="38" t="n">
        <f aca="false">Sens!$E$1053+Sens!$F$1053</f>
        <v>83.2092219944148</v>
      </c>
      <c r="H1053" s="38" t="n">
        <f aca="false">Sens!$G$1053*(1+Sens!$H$1054)</f>
        <v>99.8969223878976</v>
      </c>
      <c r="I1053" s="38" t="n">
        <f aca="false">Sens!$H$1053*(1+Sens!$I$1054)</f>
        <v>116.583111095496</v>
      </c>
      <c r="J1053" s="38" t="n">
        <f aca="false">Sens!$I$1053*(1+Sens!$J$1054)</f>
        <v>132.148941941952</v>
      </c>
      <c r="K1053" s="38" t="n">
        <f aca="false">Sens!$J$1053*(1+Sens!$K$1054)</f>
        <v>145.363836136147</v>
      </c>
      <c r="L1053" s="38" t="n">
        <f aca="false">Sens!$K$1053*(1+Sens!$L$1054)</f>
        <v>159.900219749762</v>
      </c>
      <c r="M1053" s="38" t="n">
        <f aca="false">Sens!$L$1053*(1+Sens!$M$1054)</f>
        <v>175.890241724738</v>
      </c>
      <c r="N1053" s="38" t="n">
        <f aca="false">Q!$N$13</f>
        <v>29.615</v>
      </c>
      <c r="O1053" s="38" t="n">
        <f aca="false">Q!$O$13</f>
        <v>39.02</v>
      </c>
      <c r="P1053" s="8" t="s">
        <v>678</v>
      </c>
    </row>
    <row r="1054" customFormat="false" ht="17.15" hidden="false" customHeight="false" outlineLevel="0" collapsed="false">
      <c r="A1054" s="0" t="s">
        <v>685</v>
      </c>
      <c r="B1054" s="0" t="s">
        <v>52</v>
      </c>
      <c r="E1054" s="13" t="n">
        <f aca="false">Sens!$E$1053/Sens!$N$1053-1</f>
        <v>0.25112274185379</v>
      </c>
      <c r="F1054" s="13" t="n">
        <f aca="false">Sens!$O$1053/(Q!$F$13+Q!$G$13)-1</f>
        <v>0.234068123596572</v>
      </c>
      <c r="G1054" s="13" t="n">
        <f aca="false">Sens!$G$1053/Sens!$D$1053-1</f>
        <v>0.212343876949294</v>
      </c>
      <c r="H1054" s="13" t="n">
        <f aca="false">Sens!$F$1054+(g_ad-Sens!$F$1054)*1/4</f>
        <v>0.200551092697429</v>
      </c>
      <c r="I1054" s="13" t="n">
        <f aca="false">Sens!$F$1054+(g_ad-Sens!$F$1054)*2/4</f>
        <v>0.167034061798286</v>
      </c>
      <c r="J1054" s="13" t="n">
        <f aca="false">Sens!$F$1054+(g_ad-Sens!$F$1054)*3/4</f>
        <v>0.133517030899143</v>
      </c>
      <c r="K1054" s="13" t="n">
        <f aca="false">Sens!$F$1054+(g_ad-Sens!$F$1054)*4/4</f>
        <v>0.1</v>
      </c>
      <c r="L1054" s="13" t="n">
        <f aca="false">g_ad</f>
        <v>0.1</v>
      </c>
      <c r="M1054" s="13" t="n">
        <f aca="false">g_ad</f>
        <v>0.1</v>
      </c>
      <c r="P1054" s="8" t="s">
        <v>686</v>
      </c>
    </row>
    <row r="1055" customFormat="false" ht="17.15" hidden="false" customHeight="false" outlineLevel="0" collapsed="false">
      <c r="A1055" s="0" t="s">
        <v>530</v>
      </c>
      <c r="B1055" s="0" t="s">
        <v>86</v>
      </c>
      <c r="C1055" s="38" t="n">
        <f aca="false">Q!$D$14</f>
        <v>44.374</v>
      </c>
      <c r="D1055" s="38" t="n">
        <f aca="false">Q!$E$14</f>
        <v>49.619</v>
      </c>
      <c r="E1055" s="38" t="n">
        <f aca="false">Q!$P$14</f>
        <v>27.157</v>
      </c>
      <c r="F1055" s="38" t="n">
        <f aca="false">Sens!$O$1055*(1+Sens!$F$1056)*Sens!$F$1059</f>
        <v>27.7764165988154</v>
      </c>
      <c r="G1055" s="38" t="n">
        <f aca="false">Sens!$E$1055+Sens!$F$1055</f>
        <v>54.9334165988154</v>
      </c>
      <c r="H1055" s="38" t="n">
        <f aca="false">Sens!$G$1055*(1+Sens!$H$1056)</f>
        <v>61.1564112561829</v>
      </c>
      <c r="I1055" s="38" t="n">
        <f aca="false">Sens!$H$1055*(1+Sens!$I$1056)</f>
        <v>67.2020282103945</v>
      </c>
      <c r="J1055" s="38" t="n">
        <f aca="false">Sens!$I$1055*(1+Sens!$J$1056)</f>
        <v>72.8757274028885</v>
      </c>
      <c r="K1055" s="38" t="n">
        <f aca="false">Sens!$J$1055*(1+Sens!$K$1056)</f>
        <v>77.9770283210907</v>
      </c>
      <c r="L1055" s="38" t="n">
        <f aca="false">Sens!$K$1055*(1+Sens!$L$1056)</f>
        <v>83.4354203035671</v>
      </c>
      <c r="M1055" s="38" t="n">
        <f aca="false">Sens!$L$1055*(1+Sens!$M$1056)</f>
        <v>89.2758997248168</v>
      </c>
      <c r="N1055" s="38" t="n">
        <f aca="false">Q!$N$14</f>
        <v>23.923</v>
      </c>
      <c r="O1055" s="38" t="n">
        <f aca="false">Q!$O$14</f>
        <v>25.696</v>
      </c>
      <c r="P1055" s="8" t="s">
        <v>678</v>
      </c>
    </row>
    <row r="1056" customFormat="false" ht="17.15" hidden="false" customHeight="false" outlineLevel="0" collapsed="false">
      <c r="A1056" s="0" t="s">
        <v>687</v>
      </c>
      <c r="B1056" s="0" t="s">
        <v>52</v>
      </c>
      <c r="E1056" s="13" t="n">
        <f aca="false">Sens!$E$1055/Sens!$N$1055-1</f>
        <v>0.135183714417088</v>
      </c>
      <c r="F1056" s="13" t="n">
        <f aca="false">Sens!$O$1055/(Q!$F$14+Q!$G$14)-1</f>
        <v>0.127709997366804</v>
      </c>
      <c r="G1056" s="13" t="n">
        <f aca="false">Sens!$G$1055/Sens!$D$1055-1</f>
        <v>0.107104468022641</v>
      </c>
      <c r="H1056" s="13" t="n">
        <f aca="false">Sens!$F$1056+(g_sub-Sens!$F$1056)*1/4</f>
        <v>0.113282498025103</v>
      </c>
      <c r="I1056" s="13" t="n">
        <f aca="false">Sens!$F$1056+(g_sub-Sens!$F$1056)*2/4</f>
        <v>0.0988549986834021</v>
      </c>
      <c r="J1056" s="13" t="n">
        <f aca="false">Sens!$F$1056+(g_sub-Sens!$F$1056)*3/4</f>
        <v>0.084427499341701</v>
      </c>
      <c r="K1056" s="13" t="n">
        <f aca="false">Sens!$F$1056+(g_sub-Sens!$F$1056)*4/4</f>
        <v>0.07</v>
      </c>
      <c r="L1056" s="13" t="n">
        <f aca="false">g_sub</f>
        <v>0.07</v>
      </c>
      <c r="M1056" s="13" t="n">
        <f aca="false">g_sub</f>
        <v>0.07</v>
      </c>
      <c r="P1056" s="8" t="s">
        <v>688</v>
      </c>
    </row>
    <row r="1057" customFormat="false" ht="17.15" hidden="false" customHeight="false" outlineLevel="0" collapsed="false">
      <c r="A1057" s="0" t="s">
        <v>531</v>
      </c>
      <c r="B1057" s="0" t="s">
        <v>86</v>
      </c>
      <c r="C1057" s="38" t="n">
        <f aca="false">Q!$D$15</f>
        <v>5.425</v>
      </c>
      <c r="D1057" s="38" t="n">
        <f aca="false">Q!$E$15</f>
        <v>5.935</v>
      </c>
      <c r="E1057" s="38" t="n">
        <f aca="false">Q!$P$15</f>
        <v>3.474</v>
      </c>
      <c r="F1057" s="38" t="n">
        <f aca="false">Sens!$O$1057*(1+Sens!$F$1058)*Sens!$F$1059</f>
        <v>3.22246550883619</v>
      </c>
      <c r="G1057" s="38" t="n">
        <f aca="false">Sens!$E$1057+Sens!$F$1057</f>
        <v>6.69646550883619</v>
      </c>
      <c r="H1057" s="38" t="n">
        <f aca="false">Sens!$G$1057*(1+Sens!$H$1058)</f>
        <v>7.16251344209196</v>
      </c>
      <c r="I1057" s="38" t="n">
        <f aca="false">Sens!$H$1057*(1+Sens!$I$1058)</f>
        <v>7.61421070299826</v>
      </c>
      <c r="J1057" s="38" t="n">
        <f aca="false">Sens!$I$1057*(1+Sens!$J$1058)</f>
        <v>8.04465753523932</v>
      </c>
      <c r="K1057" s="38" t="n">
        <f aca="false">Sens!$J$1057*(1+Sens!$K$1058)</f>
        <v>8.44689041200128</v>
      </c>
      <c r="L1057" s="38" t="n">
        <f aca="false">Sens!$K$1057*(1+Sens!$L$1058)</f>
        <v>8.86923493260135</v>
      </c>
      <c r="M1057" s="38" t="n">
        <f aca="false">Sens!$L$1057*(1+Sens!$M$1058)</f>
        <v>9.31269667923142</v>
      </c>
      <c r="N1057" s="38" t="n">
        <f aca="false">Q!$N$15</f>
        <v>2.811</v>
      </c>
      <c r="O1057" s="38" t="n">
        <f aca="false">Q!$O$15</f>
        <v>3.124</v>
      </c>
      <c r="P1057" s="8" t="s">
        <v>678</v>
      </c>
    </row>
    <row r="1058" customFormat="false" ht="17.15" hidden="false" customHeight="false" outlineLevel="0" collapsed="false">
      <c r="A1058" s="0" t="s">
        <v>689</v>
      </c>
      <c r="B1058" s="0" t="s">
        <v>52</v>
      </c>
      <c r="E1058" s="13" t="n">
        <f aca="false">Sens!$E$1057/Sens!$N$1057-1</f>
        <v>0.235859124866596</v>
      </c>
      <c r="F1058" s="13" t="n">
        <f aca="false">Sens!$O$1057/(Q!$F$15+Q!$G$15)-1</f>
        <v>0.0761281433000345</v>
      </c>
      <c r="G1058" s="13" t="n">
        <f aca="false">Sens!$G$1057/Sens!$D$1057-1</f>
        <v>0.128300843948811</v>
      </c>
      <c r="H1058" s="13" t="n">
        <f aca="false">Sens!$F$1058+(g_ot-Sens!$F$1058)*1/4</f>
        <v>0.0695961074750259</v>
      </c>
      <c r="I1058" s="13" t="n">
        <f aca="false">Sens!$F$1058+(g_ot-Sens!$F$1058)*2/4</f>
        <v>0.0630640716500172</v>
      </c>
      <c r="J1058" s="13" t="n">
        <f aca="false">Sens!$F$1058+(g_ot-Sens!$F$1058)*3/4</f>
        <v>0.0565320358250086</v>
      </c>
      <c r="K1058" s="13" t="n">
        <f aca="false">Sens!$F$1058+(g_ot-Sens!$F$1058)*4/4</f>
        <v>0.05</v>
      </c>
      <c r="L1058" s="13" t="n">
        <f aca="false">g_ot</f>
        <v>0.05</v>
      </c>
      <c r="M1058" s="13" t="n">
        <f aca="false">g_ot</f>
        <v>0.05</v>
      </c>
      <c r="P1058" s="8" t="s">
        <v>690</v>
      </c>
    </row>
    <row r="1059" customFormat="false" ht="17.15" hidden="false" customHeight="false" outlineLevel="0" collapsed="false">
      <c r="A1059" s="0" t="s">
        <v>691</v>
      </c>
      <c r="B1059" s="0" t="s">
        <v>57</v>
      </c>
      <c r="F1059" s="40" t="n">
        <f aca="false">(g26q3_mid*Q!$O$8/Q!$J$8-Thesis!$F$89-Thesis!$F$93)/(Sens!$O$1047*(1+Sens!$F$1048)+Sens!$O$1049*(1+Sens!$F$1050)+Sens!$O$1051*(1+Sens!$F$1052)+Sens!$O$1053*(1+Sens!$F$1054)+Sens!$O$1055*(1+Sens!$F$1056)+Sens!$O$1057*(1+Sens!$F$1058))</f>
        <v>0.958546670622329</v>
      </c>
      <c r="P1059" s="8" t="s">
        <v>692</v>
      </c>
    </row>
    <row r="1060" customFormat="false" ht="17.15" hidden="false" customHeight="false" outlineLevel="0" collapsed="false">
      <c r="A1060" s="3" t="s">
        <v>693</v>
      </c>
      <c r="B1060" s="8" t="s">
        <v>86</v>
      </c>
      <c r="C1060" s="38" t="n">
        <f aca="false">Sens!$C$1047+Sens!$C$1049+Sens!$C$1051+Sens!$C$1053+Sens!$C$1055+Sens!$C$1057</f>
        <v>530.403</v>
      </c>
      <c r="D1060" s="38" t="n">
        <f aca="false">Sens!$D$1047+Sens!$D$1049+Sens!$D$1051+Sens!$D$1053+Sens!$D$1055+Sens!$D$1057</f>
        <v>588.199</v>
      </c>
      <c r="E1060" s="38" t="n">
        <f aca="false">Sens!$E$1047+Sens!$E$1049+Sens!$E$1051+Sens!$E$1053+Sens!$E$1055+Sens!$E$1057</f>
        <v>302.306</v>
      </c>
      <c r="F1060" s="38" t="n">
        <f aca="false">Sens!$F$1047+Sens!$F$1049+Sens!$F$1051+Sens!$F$1053+Sens!$F$1055+Sens!$F$1057</f>
        <v>349.048241645537</v>
      </c>
      <c r="G1060" s="38" t="n">
        <f aca="false">Sens!$G$1047+Sens!$G$1049+Sens!$G$1051+Sens!$G$1053+Sens!$G$1055+Sens!$G$1057</f>
        <v>651.354241645537</v>
      </c>
      <c r="H1060" s="38" t="n">
        <f aca="false">Sens!$H$1047+Sens!$H$1049+Sens!$H$1051+Sens!$H$1053+Sens!$H$1055+Sens!$H$1057</f>
        <v>721.096889521386</v>
      </c>
      <c r="I1060" s="38" t="n">
        <f aca="false">Sens!$I$1047+Sens!$I$1049+Sens!$I$1051+Sens!$I$1053+Sens!$I$1055+Sens!$I$1057</f>
        <v>788.529391152531</v>
      </c>
      <c r="J1060" s="38" t="n">
        <f aca="false">Sens!$J$1047+Sens!$J$1049+Sens!$J$1051+Sens!$J$1053+Sens!$J$1055+Sens!$J$1057</f>
        <v>851.108405741443</v>
      </c>
      <c r="K1060" s="38" t="n">
        <f aca="false">Sens!$K$1047+Sens!$K$1049+Sens!$K$1051+Sens!$K$1053+Sens!$K$1055+Sens!$K$1057</f>
        <v>906.176455431088</v>
      </c>
      <c r="L1060" s="38" t="n">
        <f aca="false">Sens!$L$1047+Sens!$L$1049+Sens!$L$1051+Sens!$L$1053+Sens!$L$1055+Sens!$L$1057</f>
        <v>965.093106475589</v>
      </c>
      <c r="M1060" s="38" t="n">
        <f aca="false">Sens!$M$1047+Sens!$M$1049+Sens!$M$1051+Sens!$M$1053+Sens!$M$1055+Sens!$M$1057</f>
        <v>1028.14790794689</v>
      </c>
      <c r="N1060" s="38" t="n">
        <f aca="false">Sens!$N$1047+Sens!$N$1049+Sens!$N$1051+Sens!$N$1053+Sens!$N$1055+Sens!$N$1057</f>
        <v>263.229</v>
      </c>
      <c r="O1060" s="38" t="n">
        <f aca="false">Sens!$O$1047+Sens!$O$1049+Sens!$O$1051+Sens!$O$1053+Sens!$O$1055+Sens!$O$1057</f>
        <v>324.97</v>
      </c>
    </row>
    <row r="1061" customFormat="false" ht="17.15" hidden="false" customHeight="false" outlineLevel="0" collapsed="false">
      <c r="A1061" s="5" t="s">
        <v>694</v>
      </c>
      <c r="B1061" s="0" t="s">
        <v>52</v>
      </c>
      <c r="C1061" s="13" t="n">
        <f aca="false">Q!$D$5/(Q!$D$5+Q!$D$6)</f>
        <v>0.730570905519011</v>
      </c>
      <c r="D1061" s="13" t="n">
        <f aca="false">Q!$E$5/(Q!$E$5+Q!$E$6)</f>
        <v>0.724763217890544</v>
      </c>
      <c r="E1061" s="13" t="n">
        <f aca="false">Q!$P$5/(Q!$P$5+Q!$P$6)</f>
        <v>0.728797972914861</v>
      </c>
      <c r="F1061" s="13" t="n">
        <f aca="false">Sens!$O$1061</f>
        <v>0.718066283041511</v>
      </c>
      <c r="G1061" s="13" t="n">
        <f aca="false">Sens!$G$1062/Sens!$G$1060</f>
        <v>0.723047066202847</v>
      </c>
      <c r="H1061" s="13" t="n">
        <f aca="false">Sens!$G$1061</f>
        <v>0.723047066202847</v>
      </c>
      <c r="I1061" s="13" t="n">
        <f aca="false">Sens!$G$1061</f>
        <v>0.723047066202847</v>
      </c>
      <c r="J1061" s="13" t="n">
        <f aca="false">Sens!$G$1061</f>
        <v>0.723047066202847</v>
      </c>
      <c r="K1061" s="13" t="n">
        <f aca="false">Sens!$G$1061</f>
        <v>0.723047066202847</v>
      </c>
      <c r="L1061" s="13" t="n">
        <f aca="false">Sens!$G$1061</f>
        <v>0.723047066202847</v>
      </c>
      <c r="M1061" s="13" t="n">
        <f aca="false">Sens!$G$1061</f>
        <v>0.723047066202847</v>
      </c>
      <c r="N1061" s="13" t="n">
        <f aca="false">Q!$N$5/(Q!$N$5+Q!$N$6)</f>
        <v>0.733030935041352</v>
      </c>
      <c r="O1061" s="13" t="n">
        <f aca="false">Q!$O$5/(Q!$O$5+Q!$O$6)</f>
        <v>0.718066283041511</v>
      </c>
      <c r="P1061" s="8" t="s">
        <v>695</v>
      </c>
    </row>
    <row r="1062" customFormat="false" ht="17.15" hidden="false" customHeight="false" outlineLevel="0" collapsed="false">
      <c r="A1062" s="1" t="s">
        <v>519</v>
      </c>
      <c r="B1062" s="8" t="s">
        <v>86</v>
      </c>
      <c r="C1062" s="38" t="n">
        <f aca="false">Q!$D$5</f>
        <v>387.497</v>
      </c>
      <c r="D1062" s="38" t="n">
        <f aca="false">Q!$E$5</f>
        <v>426.305</v>
      </c>
      <c r="E1062" s="38" t="n">
        <f aca="false">Q!$P$5</f>
        <v>220.32</v>
      </c>
      <c r="F1062" s="38" t="n">
        <f aca="false">Sens!$F$1060*Sens!$F$1061</f>
        <v>250.639773480586</v>
      </c>
      <c r="G1062" s="38" t="n">
        <f aca="false">Sens!$E$1062+Sens!$F$1062</f>
        <v>470.959773480586</v>
      </c>
      <c r="H1062" s="38" t="n">
        <f aca="false">Sens!$H$1060*Sens!$H$1061</f>
        <v>521.386990416437</v>
      </c>
      <c r="I1062" s="38" t="n">
        <f aca="false">Sens!$I$1060*Sens!$I$1061</f>
        <v>570.143862887555</v>
      </c>
      <c r="J1062" s="38" t="n">
        <f aca="false">Sens!$J$1060*Sens!$J$1061</f>
        <v>615.391435791933</v>
      </c>
      <c r="K1062" s="38" t="n">
        <f aca="false">Sens!$K$1060*Sens!$K$1061</f>
        <v>655.208227561543</v>
      </c>
      <c r="L1062" s="38" t="n">
        <f aca="false">Sens!$L$1060*Sens!$L$1061</f>
        <v>697.807739249767</v>
      </c>
      <c r="M1062" s="38" t="n">
        <f aca="false">Sens!$M$1060*Sens!$M$1061</f>
        <v>743.399328463592</v>
      </c>
      <c r="N1062" s="38" t="n">
        <f aca="false">Q!$N$5</f>
        <v>192.955</v>
      </c>
      <c r="O1062" s="38" t="n">
        <f aca="false">Q!$O$5</f>
        <v>233.35</v>
      </c>
      <c r="P1062" s="5" t="s">
        <v>696</v>
      </c>
    </row>
    <row r="1063" customFormat="false" ht="17.15" hidden="false" customHeight="false" outlineLevel="0" collapsed="false">
      <c r="A1063" s="1" t="s">
        <v>522</v>
      </c>
      <c r="B1063" s="8" t="s">
        <v>86</v>
      </c>
      <c r="C1063" s="38" t="n">
        <f aca="false">Q!$D$6</f>
        <v>142.906</v>
      </c>
      <c r="D1063" s="38" t="n">
        <f aca="false">Q!$E$6</f>
        <v>161.894</v>
      </c>
      <c r="E1063" s="38" t="n">
        <f aca="false">Q!$P$6</f>
        <v>81.986</v>
      </c>
      <c r="F1063" s="38" t="n">
        <f aca="false">Sens!$F$1060*(1-Sens!$F$1061)</f>
        <v>98.408468164951</v>
      </c>
      <c r="G1063" s="38" t="n">
        <f aca="false">Sens!$E$1063+Sens!$F$1063</f>
        <v>180.394468164951</v>
      </c>
      <c r="H1063" s="38" t="n">
        <f aca="false">Sens!$H$1060*(1-Sens!$H$1061)</f>
        <v>199.709899104949</v>
      </c>
      <c r="I1063" s="38" t="n">
        <f aca="false">Sens!$I$1060*(1-Sens!$I$1061)</f>
        <v>218.385528264976</v>
      </c>
      <c r="J1063" s="38" t="n">
        <f aca="false">Sens!$J$1060*(1-Sens!$J$1061)</f>
        <v>235.71696994951</v>
      </c>
      <c r="K1063" s="38" t="n">
        <f aca="false">Sens!$K$1060*(1-Sens!$K$1061)</f>
        <v>250.968227869545</v>
      </c>
      <c r="L1063" s="38" t="n">
        <f aca="false">Sens!$L$1060*(1-Sens!$L$1061)</f>
        <v>267.285367225822</v>
      </c>
      <c r="M1063" s="38" t="n">
        <f aca="false">Sens!$M$1060*(1-Sens!$M$1061)</f>
        <v>284.748579483295</v>
      </c>
      <c r="N1063" s="38" t="n">
        <f aca="false">Q!$N$6</f>
        <v>70.274</v>
      </c>
      <c r="O1063" s="38" t="n">
        <f aca="false">Q!$O$6</f>
        <v>91.62</v>
      </c>
      <c r="P1063" s="5" t="s">
        <v>697</v>
      </c>
    </row>
    <row r="1064" customFormat="false" ht="17.15" hidden="false" customHeight="false" outlineLevel="0" collapsed="false">
      <c r="A1064" s="5" t="s">
        <v>698</v>
      </c>
      <c r="B1064" s="0" t="s">
        <v>86</v>
      </c>
      <c r="C1064" s="38" t="n">
        <f aca="false">Sens!$C$1053*Sens!$C$1061</f>
        <v>41.0683128828457</v>
      </c>
      <c r="D1064" s="38" t="n">
        <f aca="false">Sens!$D$1053*Sens!$D$1061</f>
        <v>49.7441234599175</v>
      </c>
      <c r="E1064" s="38" t="n">
        <f aca="false">Sens!$E$1053*Sens!$E$1061</f>
        <v>27.0034224924414</v>
      </c>
      <c r="F1064" s="38" t="n">
        <f aca="false">Sens!$F$1053*Sens!$F$1061</f>
        <v>33.1439448330513</v>
      </c>
      <c r="G1064" s="38" t="n">
        <f aca="false">Sens!$G$1053*Sens!$G$1061</f>
        <v>60.164183844083</v>
      </c>
      <c r="H1064" s="38" t="n">
        <f aca="false">Sens!$H$1053*Sens!$H$1061</f>
        <v>72.2301766552629</v>
      </c>
      <c r="I1064" s="38" t="n">
        <f aca="false">Sens!$I$1053*Sens!$I$1061</f>
        <v>84.2950764463991</v>
      </c>
      <c r="J1064" s="38" t="n">
        <f aca="false">Sens!$J$1053*Sens!$J$1061</f>
        <v>95.5499047729386</v>
      </c>
      <c r="K1064" s="38" t="n">
        <f aca="false">Sens!$K$1053*Sens!$K$1061</f>
        <v>105.104895250232</v>
      </c>
      <c r="L1064" s="38" t="n">
        <f aca="false">Sens!$L$1053*Sens!$L$1061</f>
        <v>115.615384775256</v>
      </c>
      <c r="M1064" s="38" t="n">
        <f aca="false">Sens!$M$1053*Sens!$M$1061</f>
        <v>127.176923252781</v>
      </c>
      <c r="N1064" s="38" t="n">
        <f aca="false">Sens!$N$1053*Sens!$N$1061</f>
        <v>21.7087111412496</v>
      </c>
      <c r="O1064" s="38" t="n">
        <f aca="false">Sens!$O$1053*Sens!$O$1061</f>
        <v>28.0189463642798</v>
      </c>
      <c r="P1064" s="5" t="s">
        <v>699</v>
      </c>
    </row>
    <row r="1065" customFormat="false" ht="15" hidden="false" customHeight="false" outlineLevel="0" collapsed="false">
      <c r="A1065" s="5" t="s">
        <v>700</v>
      </c>
      <c r="B1065" s="0" t="s">
        <v>86</v>
      </c>
      <c r="C1065" s="38" t="n">
        <f aca="false">Sens!$C$1053-Sens!$C$1064</f>
        <v>15.1456871171543</v>
      </c>
      <c r="D1065" s="38" t="n">
        <f aca="false">Sens!$D$1053-Sens!$D$1064</f>
        <v>18.8908765400825</v>
      </c>
      <c r="E1065" s="38" t="n">
        <f aca="false">Sens!$E$1053-Sens!$E$1064</f>
        <v>10.0485775075586</v>
      </c>
      <c r="F1065" s="38" t="n">
        <f aca="false">Sens!$F$1053-Sens!$F$1064</f>
        <v>13.0132771613635</v>
      </c>
      <c r="G1065" s="38" t="n">
        <f aca="false">Sens!$G$1053-Sens!$G$1064</f>
        <v>23.0450381503318</v>
      </c>
      <c r="H1065" s="38" t="n">
        <f aca="false">Sens!$H$1053-Sens!$H$1064</f>
        <v>27.6667457326347</v>
      </c>
      <c r="I1065" s="38" t="n">
        <f aca="false">Sens!$I$1053-Sens!$I$1064</f>
        <v>32.2880346490971</v>
      </c>
      <c r="J1065" s="38" t="n">
        <f aca="false">Sens!$J$1053-Sens!$J$1064</f>
        <v>36.5990371690132</v>
      </c>
      <c r="K1065" s="38" t="n">
        <f aca="false">Sens!$K$1053-Sens!$K$1064</f>
        <v>40.2589408859145</v>
      </c>
      <c r="L1065" s="38" t="n">
        <f aca="false">Sens!$L$1053-Sens!$L$1064</f>
        <v>44.2848349745059</v>
      </c>
      <c r="M1065" s="38" t="n">
        <f aca="false">Sens!$M$1053-Sens!$M$1064</f>
        <v>48.7133184719565</v>
      </c>
      <c r="N1065" s="38" t="n">
        <f aca="false">Sens!$N$1053-Sens!$N$1064</f>
        <v>7.90628885875037</v>
      </c>
      <c r="O1065" s="38" t="n">
        <f aca="false">Sens!$O$1053-Sens!$O$1064</f>
        <v>11.0010536357202</v>
      </c>
    </row>
    <row r="1066" customFormat="false" ht="19.4" hidden="false" customHeight="false" outlineLevel="0" collapsed="false">
      <c r="A1066" s="31" t="s">
        <v>1173</v>
      </c>
    </row>
    <row r="1067" customFormat="false" ht="17.15" hidden="false" customHeight="false" outlineLevel="0" collapsed="false">
      <c r="A1067" s="6" t="s">
        <v>16</v>
      </c>
      <c r="B1067" s="6" t="s">
        <v>17</v>
      </c>
      <c r="C1067" s="20" t="s">
        <v>504</v>
      </c>
      <c r="D1067" s="20" t="s">
        <v>505</v>
      </c>
      <c r="E1067" s="20" t="s">
        <v>587</v>
      </c>
      <c r="F1067" s="20" t="s">
        <v>588</v>
      </c>
      <c r="G1067" s="20" t="s">
        <v>589</v>
      </c>
      <c r="H1067" s="20" t="s">
        <v>590</v>
      </c>
      <c r="I1067" s="20" t="s">
        <v>591</v>
      </c>
      <c r="J1067" s="20" t="s">
        <v>592</v>
      </c>
      <c r="K1067" s="20" t="s">
        <v>593</v>
      </c>
      <c r="L1067" s="20" t="s">
        <v>594</v>
      </c>
      <c r="M1067" s="20" t="s">
        <v>595</v>
      </c>
      <c r="N1067" s="20" t="s">
        <v>596</v>
      </c>
      <c r="O1067" s="20" t="s">
        <v>597</v>
      </c>
      <c r="P1067" s="6" t="s">
        <v>23</v>
      </c>
      <c r="R1067" s="20" t="n">
        <v>2023</v>
      </c>
      <c r="S1067" s="20" t="n">
        <v>2024</v>
      </c>
      <c r="T1067" s="20" t="n">
        <v>2025</v>
      </c>
      <c r="U1067" s="20" t="n">
        <v>2026</v>
      </c>
      <c r="V1067" s="20" t="n">
        <v>2027</v>
      </c>
      <c r="W1067" s="20" t="n">
        <v>2028</v>
      </c>
      <c r="X1067" s="20" t="n">
        <v>2029</v>
      </c>
      <c r="Y1067" s="20" t="n">
        <v>2030</v>
      </c>
      <c r="Z1067" s="20" t="n">
        <v>2031</v>
      </c>
      <c r="AA1067" s="20" t="n">
        <v>2032</v>
      </c>
    </row>
    <row r="1068" customFormat="false" ht="17.15" hidden="false" customHeight="false" outlineLevel="0" collapsed="false">
      <c r="A1068" s="1" t="s">
        <v>598</v>
      </c>
    </row>
    <row r="1069" customFormat="false" ht="17.15" hidden="false" customHeight="false" outlineLevel="0" collapsed="false">
      <c r="A1069" s="5" t="s">
        <v>599</v>
      </c>
      <c r="B1069" s="0" t="s">
        <v>144</v>
      </c>
      <c r="H1069" s="32" t="n">
        <f aca="false">pace_B</f>
        <v>3634.3</v>
      </c>
      <c r="I1069" s="32" t="n">
        <f aca="false">pace_B</f>
        <v>3634.3</v>
      </c>
      <c r="J1069" s="32" t="n">
        <f aca="false">pace_B</f>
        <v>3634.3</v>
      </c>
      <c r="K1069" s="32" t="n">
        <f aca="false">pace_B+(Sens!$J$1070*tg-pace_B)*1/3</f>
        <v>2570.86716666667</v>
      </c>
      <c r="L1069" s="32" t="n">
        <f aca="false">pace_B+(Sens!$J$1070*tg-pace_B)*2/3</f>
        <v>1507.43433333333</v>
      </c>
      <c r="M1069" s="32" t="n">
        <f aca="false">pace_B+(Sens!$J$1070*tg-pace_B)*3/3</f>
        <v>444.0015</v>
      </c>
      <c r="P1069" s="5" t="s">
        <v>600</v>
      </c>
    </row>
    <row r="1070" customFormat="false" ht="17.15" hidden="false" customHeight="false" outlineLevel="0" collapsed="false">
      <c r="A1070" s="15" t="s">
        <v>601</v>
      </c>
      <c r="B1070" s="14" t="s">
        <v>129</v>
      </c>
      <c r="C1070" s="33" t="n">
        <f aca="false">mw_ye24</f>
        <v>360</v>
      </c>
      <c r="D1070" s="33" t="n">
        <f aca="false">mw_ye25</f>
        <v>1440</v>
      </c>
      <c r="E1070" s="33" t="n">
        <f aca="false">mw_open</f>
        <v>2080</v>
      </c>
      <c r="F1070" s="33" t="n">
        <f aca="false">Sens!$E$1070+pace_B*0.5</f>
        <v>3897.15</v>
      </c>
      <c r="G1070" s="33" t="n">
        <f aca="false">Sens!$F$1070</f>
        <v>3897.15</v>
      </c>
      <c r="H1070" s="33" t="n">
        <f aca="false">Sens!$G$1070+Sens!$H$1069</f>
        <v>7531.45</v>
      </c>
      <c r="I1070" s="33" t="n">
        <f aca="false">Sens!$H$1070+Sens!$I$1069</f>
        <v>11165.75</v>
      </c>
      <c r="J1070" s="33" t="n">
        <f aca="false">Sens!$I$1070+Sens!$J$1069</f>
        <v>14800.05</v>
      </c>
      <c r="K1070" s="33" t="n">
        <f aca="false">Sens!$J$1070+Sens!$K$1069</f>
        <v>17370.9171666667</v>
      </c>
      <c r="L1070" s="33" t="n">
        <f aca="false">Sens!$K$1070+Sens!$L$1069</f>
        <v>18878.3515</v>
      </c>
      <c r="M1070" s="33" t="n">
        <f aca="false">Sens!$L$1070+Sens!$M$1069</f>
        <v>19322.353</v>
      </c>
      <c r="N1070" s="33" t="n">
        <f aca="false">(mw_ye24+mw_ye25)/2</f>
        <v>900</v>
      </c>
      <c r="O1070" s="33" t="n">
        <f aca="false">mw_ye25</f>
        <v>1440</v>
      </c>
      <c r="P1070" s="5" t="s">
        <v>602</v>
      </c>
    </row>
    <row r="1071" customFormat="false" ht="17.15" hidden="false" customHeight="false" outlineLevel="0" collapsed="false">
      <c r="A1071" s="5" t="s">
        <v>603</v>
      </c>
      <c r="B1071" s="0" t="s">
        <v>129</v>
      </c>
      <c r="C1071" s="32" t="n">
        <f aca="false">(mw_ye23+mw_ye24)/2</f>
        <v>240</v>
      </c>
      <c r="D1071" s="32" t="n">
        <f aca="false">(Sens!$C$1070+Sens!$D$1070)/2</f>
        <v>900</v>
      </c>
      <c r="E1071" s="32" t="n">
        <f aca="false">(Sens!$D$1070+Sens!$E$1070)/2</f>
        <v>1760</v>
      </c>
      <c r="F1071" s="32" t="n">
        <f aca="false">(Sens!$E$1070+Sens!$F$1070)/2</f>
        <v>2988.575</v>
      </c>
      <c r="G1071" s="32" t="n">
        <f aca="false">(Sens!$E$1071+Sens!$F$1071)/2</f>
        <v>2374.2875</v>
      </c>
      <c r="H1071" s="32" t="n">
        <f aca="false">(Sens!$G$1070+Sens!$H$1070)/2</f>
        <v>5714.3</v>
      </c>
      <c r="I1071" s="32" t="n">
        <f aca="false">(Sens!$H$1070+Sens!$I$1070)/2</f>
        <v>9348.6</v>
      </c>
      <c r="J1071" s="32" t="n">
        <f aca="false">(Sens!$I$1070+Sens!$J$1070)/2</f>
        <v>12982.9</v>
      </c>
      <c r="K1071" s="32" t="n">
        <f aca="false">(Sens!$J$1070+Sens!$K$1070)/2</f>
        <v>16085.4835833333</v>
      </c>
      <c r="L1071" s="32" t="n">
        <f aca="false">(Sens!$K$1070+Sens!$L$1070)/2</f>
        <v>18124.6343333333</v>
      </c>
      <c r="M1071" s="32" t="n">
        <f aca="false">(Sens!$L$1070+Sens!$M$1070)/2</f>
        <v>19100.35225</v>
      </c>
      <c r="N1071" s="32" t="n">
        <f aca="false">(Sens!$C$1070+Sens!$N$1070)/2</f>
        <v>630</v>
      </c>
      <c r="O1071" s="32" t="n">
        <f aca="false">(Sens!$N$1070+Sens!$O$1070)/2</f>
        <v>1170</v>
      </c>
    </row>
    <row r="1072" customFormat="false" ht="15" hidden="false" customHeight="false" outlineLevel="0" collapsed="false">
      <c r="A1072" s="5" t="s">
        <v>604</v>
      </c>
      <c r="B1072" s="5" t="s">
        <v>123</v>
      </c>
      <c r="C1072" s="34" t="n">
        <v>1</v>
      </c>
      <c r="D1072" s="34" t="n">
        <v>1</v>
      </c>
      <c r="E1072" s="34" t="n">
        <v>0.5</v>
      </c>
      <c r="F1072" s="34" t="n">
        <v>0.5</v>
      </c>
      <c r="G1072" s="34" t="n">
        <v>1</v>
      </c>
      <c r="H1072" s="34" t="n">
        <v>1</v>
      </c>
      <c r="I1072" s="34" t="n">
        <v>1</v>
      </c>
      <c r="J1072" s="34" t="n">
        <v>1</v>
      </c>
      <c r="K1072" s="34" t="n">
        <v>1</v>
      </c>
      <c r="L1072" s="34" t="n">
        <v>1</v>
      </c>
      <c r="M1072" s="34" t="n">
        <v>1</v>
      </c>
      <c r="N1072" s="34" t="n">
        <v>0.5</v>
      </c>
      <c r="O1072" s="34" t="n">
        <v>0.5</v>
      </c>
    </row>
    <row r="1073" customFormat="false" ht="17.15" hidden="false" customHeight="false" outlineLevel="0" collapsed="false">
      <c r="A1073" s="5" t="s">
        <v>605</v>
      </c>
      <c r="B1073" s="0" t="s">
        <v>129</v>
      </c>
      <c r="C1073" s="32" t="n">
        <f aca="false">Sens!$C$1070-mw_ye23</f>
        <v>240</v>
      </c>
      <c r="D1073" s="32" t="n">
        <f aca="false">Sens!$D$1070-Sens!$C$1070</f>
        <v>1080</v>
      </c>
      <c r="E1073" s="32" t="n">
        <f aca="false">Sens!$E$1070-Sens!$D$1070</f>
        <v>640</v>
      </c>
      <c r="F1073" s="32" t="n">
        <f aca="false">Sens!$F$1070-Sens!$E$1070</f>
        <v>1817.15</v>
      </c>
      <c r="G1073" s="32" t="n">
        <f aca="false">Sens!$E$1073+Sens!$F$1073</f>
        <v>2457.15</v>
      </c>
      <c r="H1073" s="32" t="n">
        <f aca="false">Sens!$H$1070-Sens!$G$1070</f>
        <v>3634.3</v>
      </c>
      <c r="I1073" s="32" t="n">
        <f aca="false">Sens!$I$1070-Sens!$H$1070</f>
        <v>3634.3</v>
      </c>
      <c r="J1073" s="32" t="n">
        <f aca="false">Sens!$J$1070-Sens!$I$1070</f>
        <v>3634.3</v>
      </c>
      <c r="K1073" s="32" t="n">
        <f aca="false">Sens!$K$1070-Sens!$J$1070</f>
        <v>2570.86716666667</v>
      </c>
      <c r="L1073" s="32" t="n">
        <f aca="false">Sens!$L$1070-Sens!$K$1070</f>
        <v>1507.43433333333</v>
      </c>
      <c r="M1073" s="32" t="n">
        <f aca="false">Sens!$M$1070-Sens!$L$1070</f>
        <v>444.001499999999</v>
      </c>
      <c r="N1073" s="32" t="n">
        <f aca="false">Sens!$N$1070-Sens!$C$1070</f>
        <v>540</v>
      </c>
      <c r="O1073" s="32" t="n">
        <f aca="false">Sens!$O$1070-Sens!$N$1070</f>
        <v>540</v>
      </c>
    </row>
    <row r="1074" customFormat="false" ht="17.15" hidden="false" customHeight="false" outlineLevel="0" collapsed="false">
      <c r="A1074" s="5" t="s">
        <v>606</v>
      </c>
      <c r="B1074" s="0" t="s">
        <v>129</v>
      </c>
      <c r="C1074" s="32" t="n">
        <f aca="false">Sens!$C$1073/ext_sh_hi</f>
        <v>240</v>
      </c>
      <c r="D1074" s="32" t="n">
        <f aca="false">Sens!$D$1073/ext_sh_hi</f>
        <v>1080</v>
      </c>
      <c r="E1074" s="32" t="n">
        <f aca="false">Sens!$E$1073/ext_sh_hi</f>
        <v>640</v>
      </c>
      <c r="F1074" s="32" t="n">
        <f aca="false">Sens!$F$1073/ext_sh_hi</f>
        <v>1817.15</v>
      </c>
      <c r="G1074" s="32" t="n">
        <f aca="false">Sens!$G$1073/ext_sh_hi</f>
        <v>2457.15</v>
      </c>
      <c r="H1074" s="32" t="n">
        <f aca="false">Sens!$H$1073/ext_sh_hi</f>
        <v>3634.3</v>
      </c>
      <c r="I1074" s="32" t="n">
        <f aca="false">Sens!$I$1073/ext_sh_hi</f>
        <v>3634.3</v>
      </c>
      <c r="J1074" s="32" t="n">
        <f aca="false">Sens!$J$1073/ext_sh_hi</f>
        <v>3634.3</v>
      </c>
      <c r="K1074" s="32" t="n">
        <f aca="false">Sens!$K$1073/ext_sh_hi</f>
        <v>2570.86716666667</v>
      </c>
      <c r="L1074" s="32" t="n">
        <f aca="false">Sens!$L$1073/ext_sh_hi</f>
        <v>1507.43433333333</v>
      </c>
      <c r="M1074" s="32" t="n">
        <f aca="false">Sens!$M$1073/ext_sh_hi</f>
        <v>444.001499999999</v>
      </c>
      <c r="N1074" s="32" t="n">
        <f aca="false">Sens!$N$1073/ext_sh_hi</f>
        <v>540</v>
      </c>
      <c r="O1074" s="32" t="n">
        <f aca="false">Sens!$O$1073/ext_sh_hi</f>
        <v>540</v>
      </c>
      <c r="P1074" s="8" t="s">
        <v>607</v>
      </c>
      <c r="R1074" s="32" t="n">
        <f aca="false">mw_ye23/ext_sh_hi</f>
        <v>120</v>
      </c>
      <c r="S1074" s="32" t="n">
        <f aca="false">Sens!$C$1074</f>
        <v>240</v>
      </c>
      <c r="T1074" s="32" t="n">
        <f aca="false">Sens!$D$1074</f>
        <v>1080</v>
      </c>
      <c r="U1074" s="32" t="n">
        <f aca="false">Sens!$G$1074</f>
        <v>2457.15</v>
      </c>
      <c r="V1074" s="32" t="n">
        <f aca="false">Sens!$H$1074</f>
        <v>3634.3</v>
      </c>
      <c r="W1074" s="32" t="n">
        <f aca="false">Sens!$I$1074</f>
        <v>3634.3</v>
      </c>
      <c r="X1074" s="32" t="n">
        <f aca="false">Sens!$J$1074</f>
        <v>3634.3</v>
      </c>
      <c r="Y1074" s="32" t="n">
        <f aca="false">Sens!$K$1074</f>
        <v>2570.86716666667</v>
      </c>
      <c r="Z1074" s="32" t="n">
        <f aca="false">Sens!$L$1074</f>
        <v>1507.43433333333</v>
      </c>
      <c r="AA1074" s="32" t="n">
        <f aca="false">Sens!$M$1074</f>
        <v>444.001499999999</v>
      </c>
    </row>
    <row r="1075" customFormat="false" ht="17.15" hidden="false" customHeight="false" outlineLevel="0" collapsed="false">
      <c r="A1075" s="1" t="s">
        <v>608</v>
      </c>
    </row>
    <row r="1076" customFormat="false" ht="17.15" hidden="false" customHeight="false" outlineLevel="0" collapsed="false">
      <c r="A1076" s="0" t="s">
        <v>609</v>
      </c>
      <c r="B1076" s="0" t="s">
        <v>52</v>
      </c>
      <c r="F1076" s="35" t="n">
        <f aca="false">na_vr26</f>
        <v>0</v>
      </c>
      <c r="G1076" s="35" t="n">
        <f aca="false">na_vr26</f>
        <v>0</v>
      </c>
      <c r="H1076" s="35" t="n">
        <f aca="false">na_vr27</f>
        <v>0.5</v>
      </c>
      <c r="I1076" s="35" t="n">
        <f aca="false">na_vr28</f>
        <v>1</v>
      </c>
      <c r="J1076" s="35" t="n">
        <f aca="false">na_vr28</f>
        <v>1</v>
      </c>
      <c r="K1076" s="35" t="n">
        <f aca="false">na_vr28</f>
        <v>1</v>
      </c>
      <c r="L1076" s="35" t="n">
        <f aca="false">na_vr28</f>
        <v>1</v>
      </c>
      <c r="M1076" s="35" t="n">
        <f aca="false">na_vr28</f>
        <v>1</v>
      </c>
    </row>
    <row r="1077" customFormat="false" ht="17.15" hidden="false" customHeight="false" outlineLevel="0" collapsed="false">
      <c r="A1077" s="5" t="s">
        <v>610</v>
      </c>
      <c r="B1077" s="0" t="s">
        <v>173</v>
      </c>
      <c r="F1077" s="36" t="n">
        <f aca="false">cust_sh*tk_he_gb300*cf_chip+(1-cust_sh)*((1-Sens!$F$1076)*tk_he_gb300+Sens!$F$1076*tk_he_vr200)</f>
        <v>10.8864110021101</v>
      </c>
      <c r="G1077" s="36" t="n">
        <f aca="false">cust_sh*tk_he_gb300*cf_chip+(1-cust_sh)*((1-Sens!$G$1076)*tk_he_gb300+Sens!$G$1076*tk_he_vr200)</f>
        <v>10.8864110021101</v>
      </c>
      <c r="H1077" s="36" t="n">
        <f aca="false">cust_sh*tk_he_gb300*cf_chip+(1-cust_sh)*((1-Sens!$H$1076)*tk_he_gb300+Sens!$H$1076*tk_he_vr200)</f>
        <v>11.2211760027286</v>
      </c>
      <c r="I1077" s="36" t="n">
        <f aca="false">cust_sh*tk_he_gb300*cf_chip+(1-cust_sh)*((1-Sens!$I$1076)*tk_he_gb300+Sens!$I$1076*tk_he_vr200)</f>
        <v>11.5559410033471</v>
      </c>
      <c r="J1077" s="36" t="n">
        <f aca="false">cust_sh*tk_he_gb300*cf_chip+(1-cust_sh)*((1-Sens!$J$1076)*tk_he_gb300+Sens!$J$1076*tk_he_vr200)</f>
        <v>11.5559410033471</v>
      </c>
      <c r="K1077" s="36" t="n">
        <f aca="false">cust_sh*tk_he_gb300*cf_chip+(1-cust_sh)*((1-Sens!$K$1076)*tk_he_gb300+Sens!$K$1076*tk_he_vr200)</f>
        <v>11.5559410033471</v>
      </c>
      <c r="L1077" s="36" t="n">
        <f aca="false">cust_sh*tk_he_gb300*cf_chip+(1-cust_sh)*((1-Sens!$L$1076)*tk_he_gb300+Sens!$L$1076*tk_he_vr200)</f>
        <v>11.5559410033471</v>
      </c>
      <c r="M1077" s="36" t="n">
        <f aca="false">cust_sh*tk_he_gb300*cf_chip+(1-cust_sh)*((1-Sens!$M$1076)*tk_he_gb300+Sens!$M$1076*tk_he_vr200)</f>
        <v>11.5559410033471</v>
      </c>
    </row>
    <row r="1078" customFormat="false" ht="17.15" hidden="false" customHeight="false" outlineLevel="0" collapsed="false">
      <c r="A1078" s="5" t="s">
        <v>611</v>
      </c>
      <c r="B1078" s="0" t="s">
        <v>173</v>
      </c>
      <c r="F1078" s="36" t="n">
        <f aca="false">cust_sh*tk_ox_gb300+(1-cust_sh)*((1-Sens!$F$1076)*tk_ox_gb300+Sens!$F$1076*tk_ox_vr200)</f>
        <v>1.98263481314457</v>
      </c>
      <c r="G1078" s="36" t="n">
        <f aca="false">cust_sh*tk_ox_gb300+(1-cust_sh)*((1-Sens!$G$1076)*tk_ox_gb300+Sens!$G$1076*tk_ox_vr200)</f>
        <v>1.98263481314457</v>
      </c>
      <c r="H1078" s="36" t="n">
        <f aca="false">cust_sh*tk_ox_gb300+(1-cust_sh)*((1-Sens!$H$1076)*tk_ox_gb300+Sens!$H$1076*tk_ox_vr200)</f>
        <v>2.01034999693694</v>
      </c>
      <c r="I1078" s="36" t="n">
        <f aca="false">cust_sh*tk_ox_gb300+(1-cust_sh)*((1-Sens!$I$1076)*tk_ox_gb300+Sens!$I$1076*tk_ox_vr200)</f>
        <v>2.0380651807293</v>
      </c>
      <c r="J1078" s="36" t="n">
        <f aca="false">cust_sh*tk_ox_gb300+(1-cust_sh)*((1-Sens!$J$1076)*tk_ox_gb300+Sens!$J$1076*tk_ox_vr200)</f>
        <v>2.0380651807293</v>
      </c>
      <c r="K1078" s="36" t="n">
        <f aca="false">cust_sh*tk_ox_gb300+(1-cust_sh)*((1-Sens!$K$1076)*tk_ox_gb300+Sens!$K$1076*tk_ox_vr200)</f>
        <v>2.0380651807293</v>
      </c>
      <c r="L1078" s="36" t="n">
        <f aca="false">cust_sh*tk_ox_gb300+(1-cust_sh)*((1-Sens!$L$1076)*tk_ox_gb300+Sens!$L$1076*tk_ox_vr200)</f>
        <v>2.0380651807293</v>
      </c>
      <c r="M1078" s="36" t="n">
        <f aca="false">cust_sh*tk_ox_gb300+(1-cust_sh)*((1-Sens!$M$1076)*tk_ox_gb300+Sens!$M$1076*tk_ox_vr200)</f>
        <v>2.0380651807293</v>
      </c>
    </row>
    <row r="1079" customFormat="false" ht="17.15" hidden="false" customHeight="false" outlineLevel="0" collapsed="false">
      <c r="A1079" s="5" t="s">
        <v>612</v>
      </c>
      <c r="B1079" s="0" t="s">
        <v>192</v>
      </c>
      <c r="F1079" s="36" t="n">
        <f aca="false">cust_sh*tk_cx_gb300*cf_cx+(1-cust_sh)*((1-Sens!$F$1076)*tk_cx_gb300+Sens!$F$1076*tk_cx_vr200)</f>
        <v>32.237224</v>
      </c>
      <c r="G1079" s="36" t="n">
        <f aca="false">cust_sh*tk_cx_gb300*cf_cx+(1-cust_sh)*((1-Sens!$G$1076)*tk_cx_gb300+Sens!$G$1076*tk_cx_vr200)</f>
        <v>32.237224</v>
      </c>
      <c r="H1079" s="36" t="n">
        <f aca="false">cust_sh*tk_cx_gb300*cf_cx+(1-cust_sh)*((1-Sens!$H$1076)*tk_cx_gb300+Sens!$H$1076*tk_cx_vr200)</f>
        <v>33.574506</v>
      </c>
      <c r="I1079" s="36" t="n">
        <f aca="false">cust_sh*tk_cx_gb300*cf_cx+(1-cust_sh)*((1-Sens!$I$1076)*tk_cx_gb300+Sens!$I$1076*tk_cx_vr200)</f>
        <v>34.911788</v>
      </c>
      <c r="J1079" s="36" t="n">
        <f aca="false">cust_sh*tk_cx_gb300*cf_cx+(1-cust_sh)*((1-Sens!$J$1076)*tk_cx_gb300+Sens!$J$1076*tk_cx_vr200)</f>
        <v>34.911788</v>
      </c>
      <c r="K1079" s="36" t="n">
        <f aca="false">cust_sh*tk_cx_gb300*cf_cx+(1-cust_sh)*((1-Sens!$K$1076)*tk_cx_gb300+Sens!$K$1076*tk_cx_vr200)</f>
        <v>34.911788</v>
      </c>
      <c r="L1079" s="36" t="n">
        <f aca="false">cust_sh*tk_cx_gb300*cf_cx+(1-cust_sh)*((1-Sens!$L$1076)*tk_cx_gb300+Sens!$L$1076*tk_cx_vr200)</f>
        <v>34.911788</v>
      </c>
      <c r="M1079" s="36" t="n">
        <f aca="false">cust_sh*tk_cx_gb300*cf_cx+(1-cust_sh)*((1-Sens!$M$1076)*tk_cx_gb300+Sens!$M$1076*tk_cx_vr200)</f>
        <v>34.911788</v>
      </c>
    </row>
    <row r="1080" customFormat="false" ht="17.15" hidden="false" customHeight="false" outlineLevel="0" collapsed="false">
      <c r="A1080" s="5" t="s">
        <v>613</v>
      </c>
      <c r="B1080" s="0" t="s">
        <v>129</v>
      </c>
      <c r="F1080" s="32" t="n">
        <f aca="false">Sens!$F$1070-mw_open</f>
        <v>1817.15</v>
      </c>
      <c r="G1080" s="32" t="n">
        <f aca="false">Sens!$F$1080</f>
        <v>1817.15</v>
      </c>
      <c r="H1080" s="32" t="n">
        <f aca="false">Sens!$H$1070-mw_open</f>
        <v>5451.45</v>
      </c>
      <c r="I1080" s="32" t="n">
        <f aca="false">Sens!$I$1070-mw_open</f>
        <v>9085.75</v>
      </c>
      <c r="J1080" s="32" t="n">
        <f aca="false">Sens!$J$1070-mw_open</f>
        <v>12720.05</v>
      </c>
      <c r="K1080" s="32" t="n">
        <f aca="false">Sens!$K$1070-mw_open</f>
        <v>15290.9171666667</v>
      </c>
      <c r="L1080" s="32" t="n">
        <f aca="false">Sens!$L$1070-mw_open</f>
        <v>16798.3515</v>
      </c>
      <c r="M1080" s="32" t="n">
        <f aca="false">Sens!$M$1070-mw_open</f>
        <v>17242.353</v>
      </c>
    </row>
    <row r="1081" customFormat="false" ht="17.15" hidden="false" customHeight="false" outlineLevel="0" collapsed="false">
      <c r="A1081" s="0" t="s">
        <v>614</v>
      </c>
      <c r="B1081" s="0" t="s">
        <v>615</v>
      </c>
      <c r="F1081" s="32" t="n">
        <f aca="false">Sens!$F$1073*Sens!$F$1077</f>
        <v>19782.2417524844</v>
      </c>
      <c r="G1081" s="32" t="n">
        <f aca="false">Sens!$F$1081</f>
        <v>19782.2417524844</v>
      </c>
      <c r="H1081" s="32" t="n">
        <f aca="false">Sens!$G$1081+Sens!$H$1073*Sens!$H$1077</f>
        <v>60563.3616992009</v>
      </c>
      <c r="I1081" s="32" t="n">
        <f aca="false">Sens!$H$1081+Sens!$I$1073*Sens!$I$1077</f>
        <v>102561.118087665</v>
      </c>
      <c r="J1081" s="32" t="n">
        <f aca="false">Sens!$I$1081+Sens!$J$1073*Sens!$J$1077</f>
        <v>144558.87447613</v>
      </c>
      <c r="K1081" s="32" t="n">
        <f aca="false">Sens!$J$1081+Sens!$K$1073*Sens!$K$1077</f>
        <v>174267.663781572</v>
      </c>
      <c r="L1081" s="32" t="n">
        <f aca="false">Sens!$K$1081+Sens!$L$1073*Sens!$L$1077</f>
        <v>191687.486003992</v>
      </c>
      <c r="M1081" s="32" t="n">
        <f aca="false">Sens!$L$1081+Sens!$M$1073*Sens!$M$1077</f>
        <v>196818.341143389</v>
      </c>
    </row>
    <row r="1082" customFormat="false" ht="17.15" hidden="false" customHeight="false" outlineLevel="0" collapsed="false">
      <c r="A1082" s="0" t="s">
        <v>616</v>
      </c>
      <c r="B1082" s="0" t="s">
        <v>615</v>
      </c>
      <c r="F1082" s="32" t="n">
        <f aca="false">Sens!$F$1073*Sens!$F$1078</f>
        <v>3602.74485070566</v>
      </c>
      <c r="G1082" s="32" t="n">
        <f aca="false">Sens!$F$1082</f>
        <v>3602.74485070566</v>
      </c>
      <c r="H1082" s="32" t="n">
        <f aca="false">Sens!$G$1082+Sens!$H$1073*Sens!$H$1078</f>
        <v>10908.9598445736</v>
      </c>
      <c r="I1082" s="32" t="n">
        <f aca="false">Sens!$H$1082+Sens!$I$1073*Sens!$I$1078</f>
        <v>18315.9001308981</v>
      </c>
      <c r="J1082" s="32" t="n">
        <f aca="false">Sens!$I$1082+Sens!$J$1073*Sens!$J$1078</f>
        <v>25722.8404172225</v>
      </c>
      <c r="K1082" s="32" t="n">
        <f aca="false">Sens!$J$1082+Sens!$K$1073*Sens!$K$1078</f>
        <v>30962.4352738861</v>
      </c>
      <c r="L1082" s="32" t="n">
        <f aca="false">Sens!$K$1082+Sens!$L$1073*Sens!$L$1078</f>
        <v>34034.6847008886</v>
      </c>
      <c r="M1082" s="32" t="n">
        <f aca="false">Sens!$L$1082+Sens!$M$1073*Sens!$M$1078</f>
        <v>34939.5886982302</v>
      </c>
    </row>
    <row r="1083" customFormat="false" ht="17.15" hidden="false" customHeight="false" outlineLevel="0" collapsed="false">
      <c r="A1083" s="5" t="s">
        <v>617</v>
      </c>
      <c r="B1083" s="0" t="s">
        <v>173</v>
      </c>
      <c r="F1083" s="36" t="n">
        <f aca="false">IF(Sens!$F$1080&gt;0,Sens!$F$1081/Sens!$F$1080,Sens!$F$1077)</f>
        <v>10.8864110021101</v>
      </c>
      <c r="G1083" s="36" t="n">
        <f aca="false">IF(Sens!$G$1080&gt;0,Sens!$G$1081/Sens!$G$1080,Sens!$G$1077)</f>
        <v>10.8864110021101</v>
      </c>
      <c r="H1083" s="36" t="n">
        <f aca="false">IF(Sens!$H$1080&gt;0,Sens!$H$1081/Sens!$H$1080,Sens!$H$1077)</f>
        <v>11.1095876691891</v>
      </c>
      <c r="I1083" s="36" t="n">
        <f aca="false">IF(Sens!$I$1080&gt;0,Sens!$I$1081/Sens!$I$1080,Sens!$I$1077)</f>
        <v>11.2881290028523</v>
      </c>
      <c r="J1083" s="36" t="n">
        <f aca="false">IF(Sens!$J$1080&gt;0,Sens!$J$1081/Sens!$J$1080,Sens!$J$1077)</f>
        <v>11.3646467172794</v>
      </c>
      <c r="K1083" s="36" t="n">
        <f aca="false">IF(Sens!$K$1080&gt;0,Sens!$K$1081/Sens!$K$1080,Sens!$K$1077)</f>
        <v>11.3968090914432</v>
      </c>
      <c r="L1083" s="36" t="n">
        <f aca="false">IF(Sens!$L$1080&gt;0,Sens!$L$1081/Sens!$L$1080,Sens!$L$1077)</f>
        <v>11.4110891181192</v>
      </c>
      <c r="M1083" s="36" t="n">
        <f aca="false">IF(Sens!$M$1080&gt;0,Sens!$M$1081/Sens!$M$1080,Sens!$M$1077)</f>
        <v>11.4148191458201</v>
      </c>
    </row>
    <row r="1084" customFormat="false" ht="17.15" hidden="false" customHeight="false" outlineLevel="0" collapsed="false">
      <c r="A1084" s="5" t="s">
        <v>618</v>
      </c>
      <c r="B1084" s="0" t="s">
        <v>173</v>
      </c>
      <c r="F1084" s="36" t="n">
        <f aca="false">IF(Sens!$F$1080&gt;0,Sens!$F$1082/Sens!$F$1080,Sens!$F$1078)</f>
        <v>1.98263481314457</v>
      </c>
      <c r="G1084" s="36" t="n">
        <f aca="false">IF(Sens!$G$1080&gt;0,Sens!$G$1082/Sens!$G$1080,Sens!$G$1078)</f>
        <v>1.98263481314457</v>
      </c>
      <c r="H1084" s="36" t="n">
        <f aca="false">IF(Sens!$H$1080&gt;0,Sens!$H$1082/Sens!$H$1080,Sens!$H$1078)</f>
        <v>2.00111160233948</v>
      </c>
      <c r="I1084" s="36" t="n">
        <f aca="false">IF(Sens!$I$1080&gt;0,Sens!$I$1082/Sens!$I$1080,Sens!$I$1078)</f>
        <v>2.01589303369541</v>
      </c>
      <c r="J1084" s="36" t="n">
        <f aca="false">IF(Sens!$J$1080&gt;0,Sens!$J$1082/Sens!$J$1080,Sens!$J$1078)</f>
        <v>2.02222793284795</v>
      </c>
      <c r="K1084" s="36" t="n">
        <f aca="false">IF(Sens!$K$1080&gt;0,Sens!$K$1082/Sens!$K$1080,Sens!$K$1078)</f>
        <v>2.02489065478573</v>
      </c>
      <c r="L1084" s="36" t="n">
        <f aca="false">IF(Sens!$L$1080&gt;0,Sens!$L$1082/Sens!$L$1080,Sens!$L$1078)</f>
        <v>2.0260728977417</v>
      </c>
      <c r="M1084" s="36" t="n">
        <f aca="false">IF(Sens!$M$1080&gt;0,Sens!$M$1082/Sens!$M$1080,Sens!$M$1078)</f>
        <v>2.02638170661685</v>
      </c>
    </row>
    <row r="1085" customFormat="false" ht="17.15" hidden="false" customHeight="false" outlineLevel="0" collapsed="false">
      <c r="A1085" s="15" t="s">
        <v>619</v>
      </c>
      <c r="B1085" s="14" t="s">
        <v>173</v>
      </c>
      <c r="C1085" s="14"/>
      <c r="D1085" s="14"/>
      <c r="E1085" s="14"/>
      <c r="F1085" s="37" t="n">
        <f aca="false">Sens!$F$1083*k_B</f>
        <v>10.7987645808025</v>
      </c>
      <c r="G1085" s="37" t="n">
        <f aca="false">Sens!$G$1083*k_B</f>
        <v>10.7987645808025</v>
      </c>
      <c r="H1085" s="37" t="n">
        <f aca="false">Sens!$H$1083*k_B</f>
        <v>11.0201444540452</v>
      </c>
      <c r="I1085" s="37" t="n">
        <f aca="false">Sens!$I$1083*k_B</f>
        <v>11.1972483526393</v>
      </c>
      <c r="J1085" s="37" t="n">
        <f aca="false">Sens!$J$1083*k_B</f>
        <v>11.2731500234653</v>
      </c>
      <c r="K1085" s="37" t="n">
        <f aca="false">Sens!$K$1083*k_B</f>
        <v>11.3050534585724</v>
      </c>
      <c r="L1085" s="37" t="n">
        <f aca="false">Sens!$L$1083*k_B</f>
        <v>11.3192185168503</v>
      </c>
      <c r="M1085" s="37" t="n">
        <f aca="false">Sens!$M$1083*k_B</f>
        <v>11.3229185141234</v>
      </c>
      <c r="N1085" s="14"/>
      <c r="O1085" s="14"/>
      <c r="P1085" s="5" t="s">
        <v>620</v>
      </c>
    </row>
    <row r="1086" customFormat="false" ht="17.15" hidden="false" customHeight="false" outlineLevel="0" collapsed="false">
      <c r="A1086" s="5" t="s">
        <v>621</v>
      </c>
      <c r="B1086" s="0" t="s">
        <v>129</v>
      </c>
      <c r="F1086" s="32" t="n">
        <f aca="false">Sens!$F$1080/2</f>
        <v>908.575</v>
      </c>
      <c r="H1086" s="32" t="n">
        <f aca="false">(Sens!$G$1080+Sens!$H$1080)/2</f>
        <v>3634.3</v>
      </c>
      <c r="I1086" s="32" t="n">
        <f aca="false">(Sens!$H$1080+Sens!$I$1080)/2</f>
        <v>7268.6</v>
      </c>
      <c r="J1086" s="32" t="n">
        <f aca="false">(Sens!$I$1080+Sens!$J$1080)/2</f>
        <v>10902.9</v>
      </c>
      <c r="K1086" s="32" t="n">
        <f aca="false">(Sens!$J$1080+Sens!$K$1080)/2</f>
        <v>14005.4835833333</v>
      </c>
      <c r="L1086" s="32" t="n">
        <f aca="false">(Sens!$K$1080+Sens!$L$1080)/2</f>
        <v>16044.6343333333</v>
      </c>
      <c r="M1086" s="32" t="n">
        <f aca="false">(Sens!$L$1080+Sens!$M$1080)/2</f>
        <v>17020.35225</v>
      </c>
    </row>
    <row r="1087" customFormat="false" ht="17.15" hidden="false" customHeight="false" outlineLevel="0" collapsed="false">
      <c r="A1087" s="1" t="s">
        <v>622</v>
      </c>
    </row>
    <row r="1088" customFormat="false" ht="17.15" hidden="false" customHeight="false" outlineLevel="0" collapsed="false">
      <c r="A1088" s="1" t="s">
        <v>623</v>
      </c>
      <c r="B1088" s="8" t="s">
        <v>86</v>
      </c>
      <c r="C1088" s="38" t="n">
        <f aca="false">Sens!$C$1071*rpm_open*Sens!$C$1072/1000</f>
        <v>2.32100535697364</v>
      </c>
      <c r="D1088" s="38" t="n">
        <f aca="false">Sens!$D$1071*rpm_open*Sens!$D$1072/1000</f>
        <v>8.70377008865116</v>
      </c>
      <c r="E1088" s="38" t="n">
        <f aca="false">Sens!$E$1071*rpm_open*Sens!$E$1072/1000</f>
        <v>8.51035297557002</v>
      </c>
      <c r="F1088" s="38" t="n">
        <f aca="false">(mw_open*rpm_open+Sens!$F$1086*Sens!$F$1085)*Sens!$F$1072/1000</f>
        <v>14.9634336447205</v>
      </c>
      <c r="G1088" s="38" t="n">
        <f aca="false">Sens!$E$1088+Sens!$F$1088</f>
        <v>23.4737866202905</v>
      </c>
      <c r="H1088" s="38" t="n">
        <f aca="false">(mw_open*rpm_open+Sens!$H$1086*Sens!$H$1085)/1000</f>
        <v>60.1658907497746</v>
      </c>
      <c r="I1088" s="38" t="n">
        <f aca="false">(mw_open*rpm_open+Sens!$I$1086*Sens!$I$1085)/1000</f>
        <v>101.503699136432</v>
      </c>
      <c r="J1088" s="38" t="n">
        <f aca="false">(mw_open*rpm_open+Sens!$J$1086*Sens!$J$1085)/1000</f>
        <v>143.025407151278</v>
      </c>
      <c r="K1088" s="38" t="n">
        <f aca="false">(mw_open*rpm_open+Sens!$K$1086*Sens!$K$1085)/1000</f>
        <v>178.44812038318</v>
      </c>
      <c r="L1088" s="38" t="n">
        <f aca="false">(mw_open*rpm_open+Sens!$L$1086*Sens!$L$1085)/1000</f>
        <v>201.728101802396</v>
      </c>
      <c r="M1088" s="38" t="n">
        <f aca="false">(mw_open*rpm_open+Sens!$M$1086*Sens!$M$1085)/1000</f>
        <v>212.835441368865</v>
      </c>
      <c r="N1088" s="38" t="n">
        <f aca="false">Sens!$N$1071*rpm_open*Sens!$N$1072/1000</f>
        <v>3.04631953102791</v>
      </c>
      <c r="O1088" s="38" t="n">
        <f aca="false">Sens!$O$1071*rpm_open*Sens!$O$1072/1000</f>
        <v>5.65745055762326</v>
      </c>
      <c r="P1088" s="5" t="s">
        <v>624</v>
      </c>
    </row>
    <row r="1089" customFormat="false" ht="17.15" hidden="false" customHeight="false" outlineLevel="0" collapsed="false">
      <c r="A1089" s="5" t="s">
        <v>625</v>
      </c>
      <c r="B1089" s="0" t="s">
        <v>173</v>
      </c>
      <c r="C1089" s="36" t="n">
        <f aca="false">Sens!$C$1088*1000/(Sens!$C$1071*Sens!$C$1072)</f>
        <v>9.67085565405685</v>
      </c>
      <c r="D1089" s="36" t="n">
        <f aca="false">Sens!$D$1088*1000/(Sens!$D$1071*Sens!$D$1072)</f>
        <v>9.67085565405685</v>
      </c>
      <c r="E1089" s="36" t="n">
        <f aca="false">Sens!$E$1088*1000/(Sens!$E$1071*Sens!$E$1072)</f>
        <v>9.67085565405685</v>
      </c>
      <c r="F1089" s="36" t="n">
        <f aca="false">Sens!$F$1088*1000/(Sens!$F$1071*Sens!$F$1072)</f>
        <v>10.0137581588017</v>
      </c>
      <c r="G1089" s="36" t="n">
        <f aca="false">Sens!$G$1088*1000/(Sens!$G$1071*Sens!$G$1072)</f>
        <v>9.88666562928478</v>
      </c>
      <c r="H1089" s="36" t="n">
        <f aca="false">Sens!$H$1088*1000/(Sens!$H$1071*Sens!$H$1072)</f>
        <v>10.5290045586992</v>
      </c>
      <c r="I1089" s="36" t="n">
        <f aca="false">Sens!$I$1088*1000/(Sens!$I$1071*Sens!$I$1072)</f>
        <v>10.8576363451674</v>
      </c>
      <c r="J1089" s="36" t="n">
        <f aca="false">Sens!$J$1088*1000/(Sens!$J$1071*Sens!$J$1072)</f>
        <v>11.0164452588619</v>
      </c>
      <c r="K1089" s="36" t="n">
        <f aca="false">Sens!$K$1088*1000/(Sens!$K$1071*Sens!$K$1072)</f>
        <v>11.0937367508227</v>
      </c>
      <c r="L1089" s="36" t="n">
        <f aca="false">Sens!$L$1088*1000/(Sens!$L$1071*Sens!$L$1072)</f>
        <v>11.1300508519168</v>
      </c>
      <c r="M1089" s="36" t="n">
        <f aca="false">Sens!$M$1088*1000/(Sens!$M$1071*Sens!$M$1072)</f>
        <v>11.1430113216297</v>
      </c>
      <c r="N1089" s="36" t="n">
        <f aca="false">Sens!$N$1088*1000/(Sens!$N$1071*Sens!$N$1072)</f>
        <v>9.67085565405685</v>
      </c>
      <c r="O1089" s="36" t="n">
        <f aca="false">Sens!$O$1088*1000/(Sens!$O$1071*Sens!$O$1072)</f>
        <v>9.67085565405685</v>
      </c>
    </row>
    <row r="1090" customFormat="false" ht="17.15" hidden="false" customHeight="false" outlineLevel="0" collapsed="false">
      <c r="A1090" s="0" t="s">
        <v>626</v>
      </c>
      <c r="B1090" s="0" t="s">
        <v>86</v>
      </c>
      <c r="C1090" s="38" t="n">
        <f aca="false">Sens!$C$1071/ext_sh_hi*(ox_open+rent_mw)*Sens!$C$1072/1000</f>
        <v>0.514055368540026</v>
      </c>
      <c r="D1090" s="38" t="n">
        <f aca="false">Sens!$D$1071/ext_sh_hi*(ox_open+rent_mw)*Sens!$D$1072/1000</f>
        <v>1.9277076320251</v>
      </c>
      <c r="E1090" s="38" t="n">
        <f aca="false">Sens!$E$1071/ext_sh_hi*(ox_open+rent_mw)*Sens!$E$1072/1000</f>
        <v>1.88486968464676</v>
      </c>
      <c r="F1090" s="38" t="n">
        <f aca="false">((mw_open*ox_open+Sens!$F$1086*Sens!$F$1084)/ext_sh_hi+Sens!$F$1071/ext_sh_hi*rent_mw)*Sens!$F$1072/1000</f>
        <v>3.24337592884986</v>
      </c>
      <c r="G1090" s="38" t="n">
        <f aca="false">Sens!$E$1090+Sens!$F$1090</f>
        <v>5.12824561349662</v>
      </c>
      <c r="H1090" s="38" t="n">
        <f aca="false">((mw_open*ox_open+Sens!$H$1086*Sens!$H$1084)/ext_sh_hi+Sens!$H$1071/ext_sh_hi*rent_mw)*Sens!$H$1072/1000</f>
        <v>12.6487180437293</v>
      </c>
      <c r="I1090" s="38" t="n">
        <f aca="false">((mw_open*ox_open+Sens!$I$1086*Sens!$I$1084)/ext_sh_hi+Sens!$I$1071/ext_sh_hi*rent_mw)*Sens!$I$1072/1000</f>
        <v>20.9497298720653</v>
      </c>
      <c r="J1090" s="38" t="n">
        <f aca="false">((mw_open*ox_open+Sens!$J$1086*Sens!$J$1084)/ext_sh_hi+Sens!$J$1071/ext_sh_hi*rent_mw)*Sens!$J$1072/1000</f>
        <v>29.2660903163948</v>
      </c>
      <c r="K1090" s="38" t="n">
        <f aca="false">((mw_open*ox_open+Sens!$K$1086*Sens!$K$1084)/ext_sh_hi+Sens!$K$1071/ext_sh_hi*rent_mw)*Sens!$K$1072/1000</f>
        <v>36.3637088910102</v>
      </c>
      <c r="L1090" s="38" t="n">
        <f aca="false">((mw_open*ox_open+Sens!$L$1086*Sens!$L$1084)/ext_sh_hi+Sens!$L$1071/ext_sh_hi*rent_mw)*Sens!$L$1072/1000</f>
        <v>41.0284556443562</v>
      </c>
      <c r="M1090" s="38" t="n">
        <f aca="false">((mw_open*ox_open+Sens!$M$1086*Sens!$M$1084)/ext_sh_hi+Sens!$M$1071/ext_sh_hi*rent_mw)*Sens!$M$1072/1000</f>
        <v>43.2578342270719</v>
      </c>
      <c r="N1090" s="38" t="n">
        <f aca="false">Sens!$N$1071/ext_sh_hi*(ox_open+rent_mw)*Sens!$N$1072/1000</f>
        <v>0.674697671208784</v>
      </c>
      <c r="O1090" s="38" t="n">
        <f aca="false">Sens!$O$1071/ext_sh_hi*(ox_open+rent_mw)*Sens!$O$1072/1000</f>
        <v>1.25300996081631</v>
      </c>
    </row>
    <row r="1091" customFormat="false" ht="17.15" hidden="false" customHeight="false" outlineLevel="0" collapsed="false">
      <c r="A1091" s="0" t="s">
        <v>627</v>
      </c>
      <c r="B1091" s="0" t="s">
        <v>86</v>
      </c>
      <c r="C1091" s="38" t="n">
        <f aca="false">Q!$D$7</f>
        <v>107.556</v>
      </c>
      <c r="D1091" s="38" t="n">
        <f aca="false">Q!$E$7</f>
        <v>128.725</v>
      </c>
      <c r="E1091" s="38" t="n">
        <f aca="false">Q!$P$7</f>
        <v>79.819</v>
      </c>
      <c r="N1091" s="38" t="n">
        <f aca="false">Q!$N$7</f>
        <v>60.14</v>
      </c>
      <c r="O1091" s="38" t="n">
        <f aca="false">Q!$O$7</f>
        <v>68.585</v>
      </c>
    </row>
    <row r="1092" customFormat="false" ht="17.15" hidden="false" customHeight="false" outlineLevel="0" collapsed="false">
      <c r="A1092" s="1" t="s">
        <v>628</v>
      </c>
      <c r="B1092" s="8" t="s">
        <v>86</v>
      </c>
      <c r="C1092" s="38" t="n">
        <f aca="false">Sens!$C$1091-Sens!$C$1088</f>
        <v>105.234994643026</v>
      </c>
      <c r="D1092" s="38" t="n">
        <f aca="false">Sens!$D$1091-Sens!$D$1088</f>
        <v>120.021229911349</v>
      </c>
      <c r="E1092" s="38" t="n">
        <f aca="false">Sens!$E$1091-Sens!$E$1088</f>
        <v>71.30864702443</v>
      </c>
      <c r="F1092" s="38" t="n">
        <f aca="false">Sens!$O$1092*(1+Sens!$F$1093)</f>
        <v>71.7692997942464</v>
      </c>
      <c r="G1092" s="38" t="n">
        <f aca="false">Sens!$E$1092+Sens!$F$1092</f>
        <v>143.077946818676</v>
      </c>
      <c r="H1092" s="38" t="n">
        <f aca="false">Sens!$G$1092*(1+Sens!$H$1093)</f>
        <v>161.017077079203</v>
      </c>
      <c r="I1092" s="38" t="n">
        <f aca="false">Sens!$H$1092*(1+Sens!$I$1093)</f>
        <v>178.769759521457</v>
      </c>
      <c r="J1092" s="38" t="n">
        <f aca="false">Sens!$I$1092*(1+Sens!$J$1093)</f>
        <v>195.775538045907</v>
      </c>
      <c r="K1092" s="38" t="n">
        <f aca="false">Sens!$J$1092*(1+Sens!$K$1093)</f>
        <v>211.43758108958</v>
      </c>
      <c r="L1092" s="38" t="n">
        <f aca="false">Sens!$K$1092*(1+Sens!$L$1093)</f>
        <v>228.352587576746</v>
      </c>
      <c r="M1092" s="38" t="n">
        <f aca="false">Sens!$L$1092*(1+Sens!$M$1093)</f>
        <v>246.620794582886</v>
      </c>
      <c r="N1092" s="38" t="n">
        <f aca="false">Sens!$N$1091-Sens!$N$1088</f>
        <v>57.0936804689721</v>
      </c>
      <c r="O1092" s="38" t="n">
        <f aca="false">Sens!$O$1091-Sens!$O$1088</f>
        <v>62.9275494423768</v>
      </c>
      <c r="P1092" s="5" t="s">
        <v>629</v>
      </c>
    </row>
    <row r="1093" customFormat="false" ht="17.15" hidden="false" customHeight="false" outlineLevel="0" collapsed="false">
      <c r="A1093" s="0" t="s">
        <v>630</v>
      </c>
      <c r="B1093" s="0" t="s">
        <v>52</v>
      </c>
      <c r="D1093" s="13" t="n">
        <f aca="false">Sens!$D$1092/Sens!$C$1092-1</f>
        <v>0.140506827776062</v>
      </c>
      <c r="E1093" s="13" t="n">
        <f aca="false">Sens!$E$1092/Sens!$N$1092-1</f>
        <v>0.248976181579029</v>
      </c>
      <c r="F1093" s="13" t="n">
        <f aca="false">Sens!$D$1093</f>
        <v>0.140506827776062</v>
      </c>
      <c r="G1093" s="13" t="n">
        <f aca="false">Sens!$G$1092/Sens!$D$1092-1</f>
        <v>0.19210532106993</v>
      </c>
      <c r="H1093" s="13" t="n">
        <f aca="false">Sens!$F$1093+(g_awso_lt-Sens!$F$1093)*1/4</f>
        <v>0.125380120832046</v>
      </c>
      <c r="I1093" s="13" t="n">
        <f aca="false">Sens!$F$1093+(g_awso_lt-Sens!$F$1093)*2/4</f>
        <v>0.110253413888031</v>
      </c>
      <c r="J1093" s="13" t="n">
        <f aca="false">Sens!$F$1093+(g_awso_lt-Sens!$F$1093)*3/4</f>
        <v>0.0951267069440154</v>
      </c>
      <c r="K1093" s="13" t="n">
        <f aca="false">Sens!$F$1093+(g_awso_lt-Sens!$F$1093)*4/4</f>
        <v>0.08</v>
      </c>
      <c r="L1093" s="13" t="n">
        <f aca="false">g_awso_lt</f>
        <v>0.08</v>
      </c>
      <c r="M1093" s="13" t="n">
        <f aca="false">g_awso_lt</f>
        <v>0.08</v>
      </c>
      <c r="P1093" s="5" t="s">
        <v>631</v>
      </c>
    </row>
    <row r="1094" customFormat="false" ht="17.15" hidden="false" customHeight="false" outlineLevel="0" collapsed="false">
      <c r="A1094" s="1" t="s">
        <v>632</v>
      </c>
    </row>
    <row r="1095" customFormat="false" ht="17.15" hidden="false" customHeight="false" outlineLevel="0" collapsed="false">
      <c r="A1095" s="0" t="s">
        <v>633</v>
      </c>
      <c r="B1095" s="0" t="s">
        <v>86</v>
      </c>
      <c r="F1095" s="38" t="n">
        <f aca="false">cx_rt*Sens!$F$1060+cx_awso*Sens!$F$1092</f>
        <v>34.9734495387866</v>
      </c>
    </row>
    <row r="1096" customFormat="false" ht="17.15" hidden="false" customHeight="false" outlineLevel="0" collapsed="false">
      <c r="A1096" s="0" t="s">
        <v>634</v>
      </c>
      <c r="B1096" s="0" t="s">
        <v>52</v>
      </c>
      <c r="C1096" s="13" t="n">
        <f aca="false">tk_cx_h100/(tk_cx_h100+tk_fac*(1-colo_sh))</f>
        <v>0.730756458006641</v>
      </c>
      <c r="D1096" s="13" t="n">
        <f aca="false">tk_cx_h100/(tk_cx_h100+tk_fac*(1-colo_sh))</f>
        <v>0.730756458006641</v>
      </c>
      <c r="E1096" s="13" t="n">
        <f aca="false">Sens!$F$1096</f>
        <v>0.760792334328868</v>
      </c>
      <c r="F1096" s="13" t="n">
        <f aca="false">Sens!$F$1079/(Sens!$F$1079+tk_fac*(1-colo_sh))</f>
        <v>0.760792334328868</v>
      </c>
      <c r="G1096" s="13" t="n">
        <f aca="false">Sens!$G$1079/(Sens!$G$1079+tk_fac*(1-colo_sh))</f>
        <v>0.760792334328868</v>
      </c>
      <c r="H1096" s="13" t="n">
        <f aca="false">Sens!$H$1079/(Sens!$H$1079+tk_fac*(1-colo_sh))</f>
        <v>0.768110668862996</v>
      </c>
      <c r="I1096" s="13" t="n">
        <f aca="false">Sens!$I$1079/(Sens!$I$1079+tk_fac*(1-colo_sh))</f>
        <v>0.77499450139483</v>
      </c>
      <c r="J1096" s="13" t="n">
        <f aca="false">Sens!$J$1079/(Sens!$J$1079+tk_fac*(1-colo_sh))</f>
        <v>0.77499450139483</v>
      </c>
      <c r="K1096" s="13" t="n">
        <f aca="false">Sens!$K$1079/(Sens!$K$1079+tk_fac*(1-colo_sh))</f>
        <v>0.77499450139483</v>
      </c>
      <c r="L1096" s="13" t="n">
        <f aca="false">Sens!$L$1079/(Sens!$L$1079+tk_fac*(1-colo_sh))</f>
        <v>0.77499450139483</v>
      </c>
      <c r="M1096" s="13" t="n">
        <f aca="false">Sens!$M$1079/(Sens!$M$1079+tk_fac*(1-colo_sh))</f>
        <v>0.77499450139483</v>
      </c>
    </row>
    <row r="1097" customFormat="false" ht="17.15" hidden="false" customHeight="false" outlineLevel="0" collapsed="false">
      <c r="A1097" s="1" t="s">
        <v>635</v>
      </c>
      <c r="B1097" s="8" t="s">
        <v>86</v>
      </c>
      <c r="C1097" s="38" t="n">
        <f aca="false">Q!$D$46-cx_rt*Q!$D$16-cx_awso*Sens!$C$1092</f>
        <v>25.2781053077374</v>
      </c>
      <c r="D1097" s="38" t="n">
        <f aca="false">Q!$E$46-cx_rt*Q!$E$16-cx_awso*Sens!$D$1092</f>
        <v>69.5686316310026</v>
      </c>
      <c r="E1097" s="38" t="n">
        <f aca="false">Q!$P$46-cx_rt*Q!$P$16-cx_awso*Sens!$E$1092</f>
        <v>64.1899206485108</v>
      </c>
      <c r="F1097" s="38" t="n">
        <f aca="false">capex_g26-Q!$P$46-Sens!$F$1095</f>
        <v>88.7165504612134</v>
      </c>
      <c r="G1097" s="38" t="n">
        <f aca="false">Sens!$E$1097+Sens!$F$1097</f>
        <v>152.906471109724</v>
      </c>
      <c r="H1097" s="38" t="n">
        <f aca="false">Sens!$H$1074*(Sens!$H$1079+tk_fac*(1-colo_sh))/1000+Sens!$H$1098</f>
        <v>158.8570919558</v>
      </c>
      <c r="I1097" s="38" t="n">
        <f aca="false">Sens!$I$1074*(Sens!$I$1079+tk_fac*(1-colo_sh))/1000+Sens!$I$1098</f>
        <v>163.7171759284</v>
      </c>
      <c r="J1097" s="38" t="n">
        <f aca="false">Sens!$J$1074*(Sens!$J$1079+tk_fac*(1-colo_sh))/1000+Sens!$J$1098</f>
        <v>167.9065904884</v>
      </c>
      <c r="K1097" s="38" t="n">
        <f aca="false">Sens!$K$1074*(Sens!$K$1079+tk_fac*(1-colo_sh))/1000+Sens!$K$1098</f>
        <v>124.190708220161</v>
      </c>
      <c r="L1097" s="38" t="n">
        <f aca="false">Sens!$L$1074*(Sens!$L$1079+tk_fac*(1-colo_sh))/1000+Sens!$L$1098</f>
        <v>105.611313311921</v>
      </c>
      <c r="M1097" s="38" t="n">
        <f aca="false">Sens!$M$1074*(Sens!$M$1079+tk_fac*(1-colo_sh))/1000+Sens!$M$1098</f>
        <v>105.784785327882</v>
      </c>
      <c r="P1097" s="5" t="s">
        <v>636</v>
      </c>
      <c r="R1097" s="38" t="n">
        <f aca="false">Q!$C$46-cx_rt*Q!$C$16-cx_awso*(Q!$C$7-mw_ye23/2*rpm_open/1000)</f>
        <v>1.50429979529945</v>
      </c>
      <c r="S1097" s="38" t="n">
        <f aca="false">Sens!$C$1097</f>
        <v>25.2781053077374</v>
      </c>
      <c r="T1097" s="38" t="n">
        <f aca="false">Sens!$D$1097</f>
        <v>69.5686316310026</v>
      </c>
      <c r="U1097" s="38" t="n">
        <f aca="false">Sens!$G$1097</f>
        <v>152.906471109724</v>
      </c>
      <c r="V1097" s="38" t="n">
        <f aca="false">Sens!$H$1097</f>
        <v>158.8570919558</v>
      </c>
      <c r="W1097" s="38" t="n">
        <f aca="false">Sens!$I$1097</f>
        <v>163.7171759284</v>
      </c>
      <c r="X1097" s="38" t="n">
        <f aca="false">Sens!$J$1097</f>
        <v>167.9065904884</v>
      </c>
      <c r="Y1097" s="38" t="n">
        <f aca="false">Sens!$K$1097</f>
        <v>124.190708220161</v>
      </c>
      <c r="Z1097" s="38" t="n">
        <f aca="false">Sens!$L$1097</f>
        <v>105.611313311921</v>
      </c>
      <c r="AA1097" s="38" t="n">
        <f aca="false">Sens!$M$1097</f>
        <v>105.784785327882</v>
      </c>
    </row>
    <row r="1098" customFormat="false" ht="17.15" hidden="false" customHeight="false" outlineLevel="0" collapsed="false">
      <c r="A1098" s="0" t="s">
        <v>637</v>
      </c>
      <c r="B1098" s="0" t="s">
        <v>86</v>
      </c>
      <c r="H1098" s="38" t="n">
        <f aca="false">SUMPRODUCT(--(Sens!$R$1067:$AA$1067=2027-tk_life),Sens!$R$1074:$AA$1074)*Sens!$H$1079/1000</f>
        <v>0</v>
      </c>
      <c r="I1098" s="38" t="n">
        <f aca="false">SUMPRODUCT(--(Sens!$R$1067:$AA$1067=2028-tk_life),Sens!$R$1074:$AA$1074)*Sens!$I$1079/1000</f>
        <v>0</v>
      </c>
      <c r="J1098" s="38" t="n">
        <f aca="false">SUMPRODUCT(--(Sens!$R$1067:$AA$1067=2029-tk_life),Sens!$R$1074:$AA$1074)*Sens!$J$1079/1000</f>
        <v>4.18941456</v>
      </c>
      <c r="K1098" s="38" t="n">
        <f aca="false">SUMPRODUCT(--(Sens!$R$1067:$AA$1067=2030-tk_life),Sens!$R$1074:$AA$1074)*Sens!$K$1079/1000</f>
        <v>8.37882912</v>
      </c>
      <c r="L1098" s="38" t="n">
        <f aca="false">SUMPRODUCT(--(Sens!$R$1067:$AA$1067=2031-tk_life),Sens!$R$1074:$AA$1074)*Sens!$L$1079/1000</f>
        <v>37.70473104</v>
      </c>
      <c r="M1098" s="38" t="n">
        <f aca="false">SUMPRODUCT(--(Sens!$R$1067:$AA$1067=2032-tk_life),Sens!$R$1074:$AA$1074)*Sens!$M$1079/1000</f>
        <v>85.7834998842</v>
      </c>
    </row>
    <row r="1099" customFormat="false" ht="17.15" hidden="false" customHeight="false" outlineLevel="0" collapsed="false">
      <c r="A1099" s="0" t="s">
        <v>638</v>
      </c>
      <c r="B1099" s="0" t="s">
        <v>86</v>
      </c>
      <c r="C1099" s="38" t="n">
        <f aca="false">MIN(Sens!$C$1097,Sens!$C$1074*(tk_cx_h100+tk_fac*(1-colo_sh))/1000)</f>
        <v>9.03509136</v>
      </c>
      <c r="D1099" s="38" t="n">
        <f aca="false">MIN(Sens!$D$1097,Sens!$D$1074*(tk_cx_h100+tk_fac*(1-colo_sh))/1000)</f>
        <v>40.65791112</v>
      </c>
      <c r="E1099" s="38" t="n">
        <f aca="false">MIN(Sens!$E$1097,Sens!$E$1074*(Sens!$F$1079+tk_fac*(1-colo_sh))/1000)</f>
        <v>27.11886336</v>
      </c>
      <c r="F1099" s="38" t="n">
        <f aca="false">Sens!$F$1097</f>
        <v>88.7165504612134</v>
      </c>
      <c r="G1099" s="38" t="n">
        <f aca="false">Sens!$E$1099+Sens!$F$1099</f>
        <v>115.835413821213</v>
      </c>
      <c r="H1099" s="38" t="n">
        <f aca="false">Sens!$H$1097</f>
        <v>158.8570919558</v>
      </c>
      <c r="I1099" s="38" t="n">
        <f aca="false">Sens!$I$1097</f>
        <v>163.7171759284</v>
      </c>
      <c r="J1099" s="38" t="n">
        <f aca="false">Sens!$J$1097</f>
        <v>167.9065904884</v>
      </c>
      <c r="K1099" s="38" t="n">
        <f aca="false">Sens!$K$1097</f>
        <v>124.190708220161</v>
      </c>
      <c r="L1099" s="38" t="n">
        <f aca="false">Sens!$L$1097</f>
        <v>105.611313311921</v>
      </c>
      <c r="M1099" s="38" t="n">
        <f aca="false">Sens!$M$1097</f>
        <v>105.784785327882</v>
      </c>
      <c r="P1099" s="5" t="s">
        <v>639</v>
      </c>
      <c r="R1099" s="38" t="n">
        <f aca="false">MIN(Sens!$R$1097,Sens!$R$1074*(tk_cx_h100+tk_fac*(1-colo_sh))/1000)</f>
        <v>1.50429979529945</v>
      </c>
      <c r="S1099" s="38" t="n">
        <f aca="false">Sens!$C$1099</f>
        <v>9.03509136</v>
      </c>
      <c r="T1099" s="38" t="n">
        <f aca="false">Sens!$D$1099</f>
        <v>40.65791112</v>
      </c>
      <c r="U1099" s="38" t="n">
        <f aca="false">Sens!$G$1099</f>
        <v>115.835413821213</v>
      </c>
      <c r="V1099" s="38" t="n">
        <f aca="false">Sens!$H$1099</f>
        <v>158.8570919558</v>
      </c>
      <c r="W1099" s="38" t="n">
        <f aca="false">Sens!$I$1099</f>
        <v>163.7171759284</v>
      </c>
      <c r="X1099" s="38" t="n">
        <f aca="false">Sens!$J$1099</f>
        <v>167.9065904884</v>
      </c>
      <c r="Y1099" s="38" t="n">
        <f aca="false">Sens!$K$1099</f>
        <v>124.190708220161</v>
      </c>
      <c r="Z1099" s="38" t="n">
        <f aca="false">Sens!$L$1099</f>
        <v>105.611313311921</v>
      </c>
      <c r="AA1099" s="38" t="n">
        <f aca="false">Sens!$M$1099</f>
        <v>105.784785327882</v>
      </c>
    </row>
    <row r="1100" customFormat="false" ht="17.15" hidden="false" customHeight="false" outlineLevel="0" collapsed="false">
      <c r="A1100" s="5" t="s">
        <v>640</v>
      </c>
      <c r="B1100" s="0" t="s">
        <v>86</v>
      </c>
      <c r="C1100" s="38" t="n">
        <f aca="false">Sens!$C$1097-Sens!$C$1099</f>
        <v>16.2430139477374</v>
      </c>
      <c r="D1100" s="38" t="n">
        <f aca="false">Sens!$D$1097-Sens!$D$1099</f>
        <v>28.9107205110026</v>
      </c>
      <c r="E1100" s="38" t="n">
        <f aca="false">Sens!$E$1097-Sens!$E$1099</f>
        <v>37.0710572885108</v>
      </c>
      <c r="F1100" s="38" t="n">
        <f aca="false">Sens!$F$1097-Sens!$F$1099</f>
        <v>0</v>
      </c>
      <c r="G1100" s="38" t="n">
        <f aca="false">Sens!$G$1097-Sens!$G$1099</f>
        <v>37.0710572885108</v>
      </c>
      <c r="H1100" s="38" t="n">
        <f aca="false">Sens!$H$1097-Sens!$H$1099</f>
        <v>0</v>
      </c>
      <c r="I1100" s="38" t="n">
        <f aca="false">Sens!$I$1097-Sens!$I$1099</f>
        <v>0</v>
      </c>
      <c r="J1100" s="38" t="n">
        <f aca="false">Sens!$J$1097-Sens!$J$1099</f>
        <v>0</v>
      </c>
      <c r="K1100" s="38" t="n">
        <f aca="false">Sens!$K$1097-Sens!$K$1099</f>
        <v>0</v>
      </c>
      <c r="L1100" s="38" t="n">
        <f aca="false">Sens!$L$1097-Sens!$L$1099</f>
        <v>0</v>
      </c>
      <c r="M1100" s="38" t="n">
        <f aca="false">Sens!$M$1097-Sens!$M$1099</f>
        <v>0</v>
      </c>
      <c r="P1100" s="5" t="s">
        <v>641</v>
      </c>
      <c r="R1100" s="38" t="n">
        <f aca="false">Sens!$R$1097-Sens!$R$1099</f>
        <v>0</v>
      </c>
      <c r="S1100" s="38" t="n">
        <f aca="false">Sens!$S$1097-Sens!$S$1099</f>
        <v>16.2430139477374</v>
      </c>
      <c r="T1100" s="38" t="n">
        <f aca="false">Sens!$T$1097-Sens!$T$1099</f>
        <v>28.9107205110026</v>
      </c>
      <c r="U1100" s="38" t="n">
        <f aca="false">Sens!$U$1097-Sens!$U$1099</f>
        <v>37.0710572885108</v>
      </c>
      <c r="V1100" s="38" t="n">
        <f aca="false">Sens!$V$1097-Sens!$V$1099</f>
        <v>0</v>
      </c>
      <c r="W1100" s="38" t="n">
        <f aca="false">Sens!$W$1097-Sens!$W$1099</f>
        <v>0</v>
      </c>
      <c r="X1100" s="38" t="n">
        <f aca="false">Sens!$X$1097-Sens!$X$1099</f>
        <v>0</v>
      </c>
      <c r="Y1100" s="38" t="n">
        <f aca="false">Sens!$Y$1097-Sens!$Y$1099</f>
        <v>0</v>
      </c>
      <c r="Z1100" s="38" t="n">
        <f aca="false">Sens!$Z$1097-Sens!$Z$1099</f>
        <v>0</v>
      </c>
      <c r="AA1100" s="38" t="n">
        <f aca="false">Sens!$AA$1097-Sens!$AA$1099</f>
        <v>0</v>
      </c>
    </row>
    <row r="1101" customFormat="false" ht="17.15" hidden="false" customHeight="false" outlineLevel="0" collapsed="false">
      <c r="A1101" s="5" t="s">
        <v>642</v>
      </c>
      <c r="B1101" s="0" t="s">
        <v>86</v>
      </c>
      <c r="R1101" s="38" t="n">
        <f aca="false">Sens!$R$1100*Sens!$C$1096</f>
        <v>0</v>
      </c>
      <c r="S1101" s="38" t="n">
        <f aca="false">Sens!$S$1100*Sens!$C$1096</f>
        <v>11.869687339801</v>
      </c>
      <c r="T1101" s="38" t="n">
        <f aca="false">Sens!$T$1100*Sens!$C$1096</f>
        <v>21.1266957190402</v>
      </c>
      <c r="U1101" s="38" t="n">
        <f aca="false">Sens!$U$1100*Sens!$E$1096</f>
        <v>28.2033762105653</v>
      </c>
      <c r="V1101" s="38" t="n">
        <f aca="false">Sens!$V$1100*Sens!$E$1096</f>
        <v>0</v>
      </c>
      <c r="W1101" s="38" t="n">
        <f aca="false">Sens!$W$1100*Sens!$E$1096</f>
        <v>0</v>
      </c>
      <c r="X1101" s="38" t="n">
        <f aca="false">Sens!$X$1100*Sens!$E$1096</f>
        <v>0</v>
      </c>
      <c r="Y1101" s="38" t="n">
        <f aca="false">Sens!$Y$1100*Sens!$E$1096</f>
        <v>0</v>
      </c>
      <c r="Z1101" s="38" t="n">
        <f aca="false">Sens!$Z$1100*Sens!$E$1096</f>
        <v>0</v>
      </c>
      <c r="AA1101" s="38" t="n">
        <f aca="false">Sens!$AA$1100*Sens!$E$1096</f>
        <v>0</v>
      </c>
    </row>
    <row r="1102" customFormat="false" ht="17.15" hidden="false" customHeight="false" outlineLevel="0" collapsed="false">
      <c r="A1102" s="5" t="s">
        <v>643</v>
      </c>
      <c r="B1102" s="0" t="s">
        <v>86</v>
      </c>
      <c r="R1102" s="38" t="n">
        <f aca="false">SUMPRODUCT(--(Sens!$R$1067:$AA$1067=2023-cip_lag),Sens!$R$1101:$AA$1101)</f>
        <v>0</v>
      </c>
      <c r="S1102" s="38" t="n">
        <f aca="false">SUMPRODUCT(--(Sens!$R$1067:$AA$1067=2024-cip_lag),Sens!$R$1101:$AA$1101)</f>
        <v>0</v>
      </c>
      <c r="T1102" s="38" t="n">
        <f aca="false">SUMPRODUCT(--(Sens!$R$1067:$AA$1067=2025-cip_lag),Sens!$R$1101:$AA$1101)</f>
        <v>11.869687339801</v>
      </c>
      <c r="U1102" s="38" t="n">
        <f aca="false">SUMPRODUCT(--(Sens!$R$1067:$AA$1067=2026-cip_lag),Sens!$R$1101:$AA$1101)</f>
        <v>21.1266957190402</v>
      </c>
      <c r="V1102" s="38" t="n">
        <f aca="false">SUMPRODUCT(--(Sens!$R$1067:$AA$1067=2027-cip_lag),Sens!$R$1101:$AA$1101)</f>
        <v>28.2033762105653</v>
      </c>
      <c r="W1102" s="38" t="n">
        <f aca="false">SUMPRODUCT(--(Sens!$R$1067:$AA$1067=2028-cip_lag),Sens!$R$1101:$AA$1101)</f>
        <v>0</v>
      </c>
      <c r="X1102" s="38" t="n">
        <f aca="false">SUMPRODUCT(--(Sens!$R$1067:$AA$1067=2029-cip_lag),Sens!$R$1101:$AA$1101)</f>
        <v>0</v>
      </c>
      <c r="Y1102" s="38" t="n">
        <f aca="false">SUMPRODUCT(--(Sens!$R$1067:$AA$1067=2030-cip_lag),Sens!$R$1101:$AA$1101)</f>
        <v>0</v>
      </c>
      <c r="Z1102" s="38" t="n">
        <f aca="false">SUMPRODUCT(--(Sens!$R$1067:$AA$1067=2031-cip_lag),Sens!$R$1101:$AA$1101)</f>
        <v>0</v>
      </c>
      <c r="AA1102" s="38" t="n">
        <f aca="false">SUMPRODUCT(--(Sens!$R$1067:$AA$1067=2032-cip_lag),Sens!$R$1101:$AA$1101)</f>
        <v>0</v>
      </c>
    </row>
    <row r="1103" customFormat="false" ht="15" hidden="false" customHeight="false" outlineLevel="0" collapsed="false">
      <c r="A1103" s="5" t="s">
        <v>644</v>
      </c>
      <c r="B1103" s="0" t="s">
        <v>86</v>
      </c>
      <c r="R1103" s="38" t="n">
        <f aca="false">SUMPRODUCT(--(Sens!$R$1067:$AA$1067=2023-cip_lag),Sens!$R$1100:$AA$1100)-Sens!$R$1102</f>
        <v>0</v>
      </c>
      <c r="S1103" s="38" t="n">
        <f aca="false">SUMPRODUCT(--(Sens!$R$1067:$AA$1067=2024-cip_lag),Sens!$R$1100:$AA$1100)-Sens!$S$1102</f>
        <v>0</v>
      </c>
      <c r="T1103" s="38" t="n">
        <f aca="false">SUMPRODUCT(--(Sens!$R$1067:$AA$1067=2025-cip_lag),Sens!$R$1100:$AA$1100)-Sens!$T$1102</f>
        <v>4.37332660793636</v>
      </c>
      <c r="U1103" s="38" t="n">
        <f aca="false">SUMPRODUCT(--(Sens!$R$1067:$AA$1067=2026-cip_lag),Sens!$R$1100:$AA$1100)-Sens!$U$1102</f>
        <v>7.78402479196242</v>
      </c>
      <c r="V1103" s="38" t="n">
        <f aca="false">SUMPRODUCT(--(Sens!$R$1067:$AA$1067=2027-cip_lag),Sens!$R$1100:$AA$1100)-Sens!$V$1102</f>
        <v>8.86768107794548</v>
      </c>
      <c r="W1103" s="38" t="n">
        <f aca="false">SUMPRODUCT(--(Sens!$R$1067:$AA$1067=2028-cip_lag),Sens!$R$1100:$AA$1100)-Sens!$W$1102</f>
        <v>0</v>
      </c>
      <c r="X1103" s="38" t="n">
        <f aca="false">SUMPRODUCT(--(Sens!$R$1067:$AA$1067=2029-cip_lag),Sens!$R$1100:$AA$1100)-Sens!$X$1102</f>
        <v>0</v>
      </c>
      <c r="Y1103" s="38" t="n">
        <f aca="false">SUMPRODUCT(--(Sens!$R$1067:$AA$1067=2030-cip_lag),Sens!$R$1100:$AA$1100)-Sens!$Y$1102</f>
        <v>0</v>
      </c>
      <c r="Z1103" s="38" t="n">
        <f aca="false">SUMPRODUCT(--(Sens!$R$1067:$AA$1067=2031-cip_lag),Sens!$R$1100:$AA$1100)-Sens!$Z$1102</f>
        <v>0</v>
      </c>
      <c r="AA1103" s="38" t="n">
        <f aca="false">SUMPRODUCT(--(Sens!$R$1067:$AA$1067=2032-cip_lag),Sens!$R$1100:$AA$1100)-Sens!$AA$1102</f>
        <v>0</v>
      </c>
    </row>
    <row r="1104" customFormat="false" ht="17.15" hidden="false" customHeight="false" outlineLevel="0" collapsed="false">
      <c r="A1104" s="5" t="s">
        <v>645</v>
      </c>
      <c r="B1104" s="0" t="s">
        <v>86</v>
      </c>
      <c r="C1104" s="38" t="n">
        <f aca="false">Sens!$C$1099*Sens!$C$1096</f>
        <v>6.60245136</v>
      </c>
      <c r="D1104" s="38" t="n">
        <f aca="false">Sens!$D$1099*Sens!$D$1096</f>
        <v>29.71103112</v>
      </c>
      <c r="E1104" s="38" t="n">
        <f aca="false">Sens!$E$1099*Sens!$E$1096</f>
        <v>20.63182336</v>
      </c>
      <c r="F1104" s="38" t="n">
        <f aca="false">Sens!$F$1099*Sens!$F$1096</f>
        <v>67.4948715189913</v>
      </c>
      <c r="G1104" s="38" t="n">
        <f aca="false">Sens!$E$1104+Sens!$F$1104</f>
        <v>88.1266948789913</v>
      </c>
      <c r="H1104" s="38" t="n">
        <f aca="false">(Sens!$H$1099-Sens!$H$1098)*Sens!$H$1096+Sens!$H$1098</f>
        <v>122.0198271558</v>
      </c>
      <c r="I1104" s="38" t="n">
        <f aca="false">(Sens!$I$1099-Sens!$I$1098)*Sens!$I$1096+Sens!$I$1098</f>
        <v>126.8799111284</v>
      </c>
      <c r="J1104" s="38" t="n">
        <f aca="false">(Sens!$J$1099-Sens!$J$1098)*Sens!$J$1096+Sens!$J$1098</f>
        <v>131.0693256884</v>
      </c>
      <c r="K1104" s="38" t="n">
        <f aca="false">(Sens!$K$1099-Sens!$K$1098)*Sens!$K$1096+Sens!$K$1098</f>
        <v>98.1323986188274</v>
      </c>
      <c r="L1104" s="38" t="n">
        <f aca="false">(Sens!$L$1099-Sens!$L$1098)*Sens!$L$1096+Sens!$L$1098</f>
        <v>90.3319589092547</v>
      </c>
      <c r="M1104" s="38" t="n">
        <f aca="false">(Sens!$M$1099-Sens!$M$1098)*Sens!$M$1096+Sens!$M$1098</f>
        <v>101.284386123882</v>
      </c>
      <c r="R1104" s="38" t="n">
        <f aca="false">Sens!$R$1099*Sens!$C$1096</f>
        <v>1.09927679019314</v>
      </c>
      <c r="S1104" s="38" t="n">
        <f aca="false">Sens!$C$1104</f>
        <v>6.60245136</v>
      </c>
      <c r="T1104" s="38" t="n">
        <f aca="false">Sens!$D$1104</f>
        <v>29.71103112</v>
      </c>
      <c r="U1104" s="38" t="n">
        <f aca="false">Sens!$G$1104</f>
        <v>88.1266948789913</v>
      </c>
      <c r="V1104" s="38" t="n">
        <f aca="false">Sens!$H$1104</f>
        <v>122.0198271558</v>
      </c>
      <c r="W1104" s="38" t="n">
        <f aca="false">Sens!$I$1104</f>
        <v>126.8799111284</v>
      </c>
      <c r="X1104" s="38" t="n">
        <f aca="false">Sens!$J$1104</f>
        <v>131.0693256884</v>
      </c>
      <c r="Y1104" s="38" t="n">
        <f aca="false">Sens!$K$1104</f>
        <v>98.1323986188274</v>
      </c>
      <c r="Z1104" s="38" t="n">
        <f aca="false">Sens!$L$1104</f>
        <v>90.3319589092547</v>
      </c>
      <c r="AA1104" s="38" t="n">
        <f aca="false">Sens!$M$1104</f>
        <v>101.284386123882</v>
      </c>
    </row>
    <row r="1105" customFormat="false" ht="15" hidden="false" customHeight="false" outlineLevel="0" collapsed="false">
      <c r="A1105" s="5" t="s">
        <v>646</v>
      </c>
      <c r="B1105" s="0" t="s">
        <v>86</v>
      </c>
      <c r="C1105" s="38" t="n">
        <f aca="false">Sens!$C$1099-Sens!$C$1104</f>
        <v>2.43264</v>
      </c>
      <c r="D1105" s="38" t="n">
        <f aca="false">Sens!$D$1099-Sens!$D$1104</f>
        <v>10.94688</v>
      </c>
      <c r="E1105" s="38" t="n">
        <f aca="false">Sens!$E$1099-Sens!$E$1104</f>
        <v>6.48704</v>
      </c>
      <c r="F1105" s="38" t="n">
        <f aca="false">Sens!$F$1099-Sens!$F$1104</f>
        <v>21.2216789422221</v>
      </c>
      <c r="G1105" s="38" t="n">
        <f aca="false">Sens!$G$1099-Sens!$G$1104</f>
        <v>27.7087189422221</v>
      </c>
      <c r="H1105" s="38" t="n">
        <f aca="false">Sens!$H$1099-Sens!$H$1104</f>
        <v>36.8372648</v>
      </c>
      <c r="I1105" s="38" t="n">
        <f aca="false">Sens!$I$1099-Sens!$I$1104</f>
        <v>36.8372648</v>
      </c>
      <c r="J1105" s="38" t="n">
        <f aca="false">Sens!$J$1099-Sens!$J$1104</f>
        <v>36.8372648</v>
      </c>
      <c r="K1105" s="38" t="n">
        <f aca="false">Sens!$K$1099-Sens!$K$1104</f>
        <v>26.0583096013333</v>
      </c>
      <c r="L1105" s="38" t="n">
        <f aca="false">Sens!$L$1099-Sens!$L$1104</f>
        <v>15.2793544026667</v>
      </c>
      <c r="M1105" s="38" t="n">
        <f aca="false">Sens!$M$1099-Sens!$M$1104</f>
        <v>4.50039920399999</v>
      </c>
      <c r="R1105" s="38" t="n">
        <f aca="false">Sens!$R$1099-Sens!$R$1104</f>
        <v>0.405023005106309</v>
      </c>
      <c r="S1105" s="38" t="n">
        <f aca="false">Sens!$S$1099-Sens!$S$1104</f>
        <v>2.43264</v>
      </c>
      <c r="T1105" s="38" t="n">
        <f aca="false">Sens!$T$1099-Sens!$T$1104</f>
        <v>10.94688</v>
      </c>
      <c r="U1105" s="38" t="n">
        <f aca="false">Sens!$U$1099-Sens!$U$1104</f>
        <v>27.7087189422221</v>
      </c>
      <c r="V1105" s="38" t="n">
        <f aca="false">Sens!$V$1099-Sens!$V$1104</f>
        <v>36.8372648</v>
      </c>
      <c r="W1105" s="38" t="n">
        <f aca="false">Sens!$W$1099-Sens!$W$1104</f>
        <v>36.8372648</v>
      </c>
      <c r="X1105" s="38" t="n">
        <f aca="false">Sens!$X$1099-Sens!$X$1104</f>
        <v>36.8372648</v>
      </c>
      <c r="Y1105" s="38" t="n">
        <f aca="false">Sens!$Y$1099-Sens!$Y$1104</f>
        <v>26.0583096013333</v>
      </c>
      <c r="Z1105" s="38" t="n">
        <f aca="false">Sens!$Z$1099-Sens!$Z$1104</f>
        <v>15.2793544026667</v>
      </c>
      <c r="AA1105" s="38" t="n">
        <f aca="false">Sens!$AA$1099-Sens!$AA$1104</f>
        <v>4.50039920399999</v>
      </c>
    </row>
    <row r="1106" customFormat="false" ht="17.15" hidden="false" customHeight="false" outlineLevel="0" collapsed="false">
      <c r="A1106" s="0" t="s">
        <v>647</v>
      </c>
      <c r="B1106" s="0" t="s">
        <v>52</v>
      </c>
      <c r="C1106" s="13" t="n">
        <f aca="false">Sens!$C$1097/Sens!$C$1222</f>
        <v>0.325505489553393</v>
      </c>
      <c r="D1106" s="13" t="n">
        <f aca="false">Sens!$D$1097/Sens!$D$1222</f>
        <v>0.54214956071542</v>
      </c>
      <c r="E1106" s="13" t="n">
        <f aca="false">Sens!$E$1097/Sens!$E$1222</f>
        <v>0.666492790452817</v>
      </c>
      <c r="F1106" s="13" t="n">
        <f aca="false">Sens!$F$1097/Sens!$F$1222</f>
        <v>0.71724917504417</v>
      </c>
      <c r="G1106" s="13" t="n">
        <f aca="false">Sens!$G$1097/Sens!$G$1222</f>
        <v>0.69502941413511</v>
      </c>
      <c r="H1106" s="13" t="n">
        <f aca="false">Sens!$H$1097/Sens!$H$1222</f>
        <v>0.67986893388576</v>
      </c>
      <c r="I1106" s="13" t="n">
        <f aca="false">Sens!$I$1097/Sens!$I$1222</f>
        <v>0.665374925220239</v>
      </c>
      <c r="J1106" s="13" t="n">
        <f aca="false">Sens!$J$1097/Sens!$J$1222</f>
        <v>0.652470187605636</v>
      </c>
      <c r="K1106" s="13" t="n">
        <f aca="false">Sens!$K$1097/Sens!$K$1222</f>
        <v>0.564478924889048</v>
      </c>
      <c r="L1106" s="13" t="n">
        <f aca="false">Sens!$L$1097/Sens!$L$1222</f>
        <v>0.507031242107448</v>
      </c>
      <c r="M1106" s="13" t="n">
        <f aca="false">Sens!$M$1097/Sens!$M$1222</f>
        <v>0.490094931186114</v>
      </c>
    </row>
    <row r="1107" customFormat="false" ht="17.15" hidden="false" customHeight="false" outlineLevel="0" collapsed="false">
      <c r="A1107" s="0" t="s">
        <v>648</v>
      </c>
      <c r="B1107" s="0" t="s">
        <v>86</v>
      </c>
      <c r="C1107" s="38" t="n">
        <f aca="false">Sens!$S$1107</f>
        <v>0.183212798365523</v>
      </c>
      <c r="D1107" s="38" t="n">
        <f aca="false">Sens!$T$1107</f>
        <v>1.28362135836552</v>
      </c>
      <c r="E1107" s="38" t="n">
        <f aca="false">Sens!$G$1107/2</f>
        <v>4.10687055083285</v>
      </c>
      <c r="F1107" s="38" t="n">
        <f aca="false">Sens!$G$1107/2</f>
        <v>4.10687055083285</v>
      </c>
      <c r="G1107" s="38" t="n">
        <f aca="false">Sens!$U$1107</f>
        <v>8.2137411016657</v>
      </c>
      <c r="H1107" s="38" t="n">
        <f aca="false">Sens!$V$1107</f>
        <v>26.422639534671</v>
      </c>
      <c r="I1107" s="38" t="n">
        <f aca="false">Sens!$W$1107</f>
        <v>51.4598400957318</v>
      </c>
      <c r="J1107" s="38" t="n">
        <f aca="false">Sens!$X$1107</f>
        <v>72.6064919504652</v>
      </c>
      <c r="K1107" s="38" t="n">
        <f aca="false">Sens!$Y$1107</f>
        <v>94.268166766833</v>
      </c>
      <c r="L1107" s="38" t="n">
        <f aca="false">Sens!$Z$1107</f>
        <v>109.523157976638</v>
      </c>
      <c r="M1107" s="38" t="n">
        <f aca="false">Sens!$AA$1107</f>
        <v>117.648364718213</v>
      </c>
      <c r="N1107" s="38" t="n">
        <f aca="false">Sens!$D$1107/2</f>
        <v>0.641810679182762</v>
      </c>
      <c r="O1107" s="38" t="n">
        <f aca="false">Sens!$D$1107/2</f>
        <v>0.641810679182762</v>
      </c>
      <c r="R1107" s="38" t="n">
        <f aca="false">(SUMPRODUCT(--(Sens!$R$1067:$AA$1067&lt;Sens!R$1067),--(Sens!$R$1067:$AA$1067&gt;=Sens!R$1067-tk_life),Sens!$R$1104:$AA$1104)+SUMPRODUCT(--(Sens!$R$1067:$AA$1067&lt;Sens!R$1067),--(Sens!$R$1067:$AA$1067&gt;=Sens!R$1067-tk_life),Sens!$R$1102:$AA$1102))/tk_life</f>
        <v>0</v>
      </c>
      <c r="S1107" s="38" t="n">
        <f aca="false">(SUMPRODUCT(--(Sens!$R$1067:$AA$1067&lt;Sens!S$1067),--(Sens!$R$1067:$AA$1067&gt;=Sens!S$1067-tk_life),Sens!$R$1104:$AA$1104)+SUMPRODUCT(--(Sens!$R$1067:$AA$1067&lt;Sens!S$1067),--(Sens!$R$1067:$AA$1067&gt;=Sens!S$1067-tk_life),Sens!$R$1102:$AA$1102))/tk_life</f>
        <v>0.183212798365523</v>
      </c>
      <c r="T1107" s="38" t="n">
        <f aca="false">(SUMPRODUCT(--(Sens!$R$1067:$AA$1067&lt;Sens!T$1067),--(Sens!$R$1067:$AA$1067&gt;=Sens!T$1067-tk_life),Sens!$R$1104:$AA$1104)+SUMPRODUCT(--(Sens!$R$1067:$AA$1067&lt;Sens!T$1067),--(Sens!$R$1067:$AA$1067&gt;=Sens!T$1067-tk_life),Sens!$R$1102:$AA$1102))/tk_life</f>
        <v>1.28362135836552</v>
      </c>
      <c r="U1107" s="38" t="n">
        <f aca="false">(SUMPRODUCT(--(Sens!$R$1067:$AA$1067&lt;Sens!U$1067),--(Sens!$R$1067:$AA$1067&gt;=Sens!U$1067-tk_life),Sens!$R$1104:$AA$1104)+SUMPRODUCT(--(Sens!$R$1067:$AA$1067&lt;Sens!U$1067),--(Sens!$R$1067:$AA$1067&gt;=Sens!U$1067-tk_life),Sens!$R$1102:$AA$1102))/tk_life</f>
        <v>8.2137411016657</v>
      </c>
      <c r="V1107" s="38" t="n">
        <f aca="false">(SUMPRODUCT(--(Sens!$R$1067:$AA$1067&lt;Sens!V$1067),--(Sens!$R$1067:$AA$1067&gt;=Sens!V$1067-tk_life),Sens!$R$1104:$AA$1104)+SUMPRODUCT(--(Sens!$R$1067:$AA$1067&lt;Sens!V$1067),--(Sens!$R$1067:$AA$1067&gt;=Sens!V$1067-tk_life),Sens!$R$1102:$AA$1102))/tk_life</f>
        <v>26.422639534671</v>
      </c>
      <c r="W1107" s="38" t="n">
        <f aca="false">(SUMPRODUCT(--(Sens!$R$1067:$AA$1067&lt;Sens!W$1067),--(Sens!$R$1067:$AA$1067&gt;=Sens!W$1067-tk_life),Sens!$R$1104:$AA$1104)+SUMPRODUCT(--(Sens!$R$1067:$AA$1067&lt;Sens!W$1067),--(Sens!$R$1067:$AA$1067&gt;=Sens!W$1067-tk_life),Sens!$R$1102:$AA$1102))/tk_life</f>
        <v>51.4598400957318</v>
      </c>
      <c r="X1107" s="38" t="n">
        <f aca="false">(SUMPRODUCT(--(Sens!$R$1067:$AA$1067&lt;Sens!X$1067),--(Sens!$R$1067:$AA$1067&gt;=Sens!X$1067-tk_life),Sens!$R$1104:$AA$1104)+SUMPRODUCT(--(Sens!$R$1067:$AA$1067&lt;Sens!X$1067),--(Sens!$R$1067:$AA$1067&gt;=Sens!X$1067-tk_life),Sens!$R$1102:$AA$1102))/tk_life</f>
        <v>72.6064919504652</v>
      </c>
      <c r="Y1107" s="38" t="n">
        <f aca="false">(SUMPRODUCT(--(Sens!$R$1067:$AA$1067&lt;Sens!Y$1067),--(Sens!$R$1067:$AA$1067&gt;=Sens!Y$1067-tk_life),Sens!$R$1104:$AA$1104)+SUMPRODUCT(--(Sens!$R$1067:$AA$1067&lt;Sens!Y$1067),--(Sens!$R$1067:$AA$1067&gt;=Sens!Y$1067-tk_life),Sens!$R$1102:$AA$1102))/tk_life</f>
        <v>94.268166766833</v>
      </c>
      <c r="Z1107" s="38" t="n">
        <f aca="false">(SUMPRODUCT(--(Sens!$R$1067:$AA$1067&lt;Sens!Z$1067),--(Sens!$R$1067:$AA$1067&gt;=Sens!Z$1067-tk_life),Sens!$R$1104:$AA$1104)+SUMPRODUCT(--(Sens!$R$1067:$AA$1067&lt;Sens!Z$1067),--(Sens!$R$1067:$AA$1067&gt;=Sens!Z$1067-tk_life),Sens!$R$1102:$AA$1102))/tk_life</f>
        <v>109.523157976638</v>
      </c>
      <c r="AA1107" s="38" t="n">
        <f aca="false">(SUMPRODUCT(--(Sens!$R$1067:$AA$1067&lt;Sens!AA$1067),--(Sens!$R$1067:$AA$1067&gt;=Sens!AA$1067-tk_life),Sens!$R$1104:$AA$1104)+SUMPRODUCT(--(Sens!$R$1067:$AA$1067&lt;Sens!AA$1067),--(Sens!$R$1067:$AA$1067&gt;=Sens!AA$1067-tk_life),Sens!$R$1102:$AA$1102))/tk_life</f>
        <v>117.648364718213</v>
      </c>
    </row>
    <row r="1108" customFormat="false" ht="17.15" hidden="false" customHeight="false" outlineLevel="0" collapsed="false">
      <c r="A1108" s="0" t="s">
        <v>649</v>
      </c>
      <c r="B1108" s="0" t="s">
        <v>86</v>
      </c>
      <c r="C1108" s="38" t="n">
        <f aca="false">Sens!$S$1108</f>
        <v>0.0202511502553155</v>
      </c>
      <c r="D1108" s="38" t="n">
        <f aca="false">Sens!$T$1108</f>
        <v>0.141883150255315</v>
      </c>
      <c r="E1108" s="38" t="n">
        <f aca="false">Sens!$G$1108/2</f>
        <v>0.453946740326067</v>
      </c>
      <c r="F1108" s="38" t="n">
        <f aca="false">Sens!$G$1108/2</f>
        <v>0.453946740326067</v>
      </c>
      <c r="G1108" s="38" t="n">
        <f aca="false">Sens!$U$1108</f>
        <v>0.907893480652133</v>
      </c>
      <c r="H1108" s="38" t="n">
        <f aca="false">Sens!$V$1108</f>
        <v>2.68253066736136</v>
      </c>
      <c r="I1108" s="38" t="n">
        <f aca="false">Sens!$W$1108</f>
        <v>4.96777796125863</v>
      </c>
      <c r="J1108" s="38" t="n">
        <f aca="false">Sens!$X$1108</f>
        <v>6.80964120125863</v>
      </c>
      <c r="K1108" s="38" t="n">
        <f aca="false">Sens!$Y$1108</f>
        <v>8.65150444125863</v>
      </c>
      <c r="L1108" s="38" t="n">
        <f aca="false">Sens!$Z$1108</f>
        <v>9.9544199213253</v>
      </c>
      <c r="M1108" s="38" t="n">
        <f aca="false">Sens!$AA$1108</f>
        <v>10.7183876414586</v>
      </c>
      <c r="N1108" s="38" t="n">
        <f aca="false">Sens!$D$1108/2</f>
        <v>0.0709415751276577</v>
      </c>
      <c r="O1108" s="38" t="n">
        <f aca="false">Sens!$D$1108/2</f>
        <v>0.0709415751276577</v>
      </c>
      <c r="R1108" s="38" t="n">
        <f aca="false">(SUMPRODUCT(--(Sens!$R$1067:$AA$1067&lt;Sens!R$1067),Sens!$R$1105:$AA$1105)+SUMPRODUCT(--(Sens!$R$1067:$AA$1067&lt;Sens!R$1067),Sens!$R$1103:$AA$1103))/fac_life</f>
        <v>0</v>
      </c>
      <c r="S1108" s="38" t="n">
        <f aca="false">(SUMPRODUCT(--(Sens!$R$1067:$AA$1067&lt;Sens!S$1067),Sens!$R$1105:$AA$1105)+SUMPRODUCT(--(Sens!$R$1067:$AA$1067&lt;Sens!S$1067),Sens!$R$1103:$AA$1103))/fac_life</f>
        <v>0.0202511502553155</v>
      </c>
      <c r="T1108" s="38" t="n">
        <f aca="false">(SUMPRODUCT(--(Sens!$R$1067:$AA$1067&lt;Sens!T$1067),Sens!$R$1105:$AA$1105)+SUMPRODUCT(--(Sens!$R$1067:$AA$1067&lt;Sens!T$1067),Sens!$R$1103:$AA$1103))/fac_life</f>
        <v>0.141883150255315</v>
      </c>
      <c r="U1108" s="38" t="n">
        <f aca="false">(SUMPRODUCT(--(Sens!$R$1067:$AA$1067&lt;Sens!U$1067),Sens!$R$1105:$AA$1105)+SUMPRODUCT(--(Sens!$R$1067:$AA$1067&lt;Sens!U$1067),Sens!$R$1103:$AA$1103))/fac_life</f>
        <v>0.907893480652133</v>
      </c>
      <c r="V1108" s="38" t="n">
        <f aca="false">(SUMPRODUCT(--(Sens!$R$1067:$AA$1067&lt;Sens!V$1067),Sens!$R$1105:$AA$1105)+SUMPRODUCT(--(Sens!$R$1067:$AA$1067&lt;Sens!V$1067),Sens!$R$1103:$AA$1103))/fac_life</f>
        <v>2.68253066736136</v>
      </c>
      <c r="W1108" s="38" t="n">
        <f aca="false">(SUMPRODUCT(--(Sens!$R$1067:$AA$1067&lt;Sens!W$1067),Sens!$R$1105:$AA$1105)+SUMPRODUCT(--(Sens!$R$1067:$AA$1067&lt;Sens!W$1067),Sens!$R$1103:$AA$1103))/fac_life</f>
        <v>4.96777796125863</v>
      </c>
      <c r="X1108" s="38" t="n">
        <f aca="false">(SUMPRODUCT(--(Sens!$R$1067:$AA$1067&lt;Sens!X$1067),Sens!$R$1105:$AA$1105)+SUMPRODUCT(--(Sens!$R$1067:$AA$1067&lt;Sens!X$1067),Sens!$R$1103:$AA$1103))/fac_life</f>
        <v>6.80964120125863</v>
      </c>
      <c r="Y1108" s="38" t="n">
        <f aca="false">(SUMPRODUCT(--(Sens!$R$1067:$AA$1067&lt;Sens!Y$1067),Sens!$R$1105:$AA$1105)+SUMPRODUCT(--(Sens!$R$1067:$AA$1067&lt;Sens!Y$1067),Sens!$R$1103:$AA$1103))/fac_life</f>
        <v>8.65150444125863</v>
      </c>
      <c r="Z1108" s="38" t="n">
        <f aca="false">(SUMPRODUCT(--(Sens!$R$1067:$AA$1067&lt;Sens!Z$1067),Sens!$R$1105:$AA$1105)+SUMPRODUCT(--(Sens!$R$1067:$AA$1067&lt;Sens!Z$1067),Sens!$R$1103:$AA$1103))/fac_life</f>
        <v>9.9544199213253</v>
      </c>
      <c r="AA1108" s="38" t="n">
        <f aca="false">(SUMPRODUCT(--(Sens!$R$1067:$AA$1067&lt;Sens!AA$1067),Sens!$R$1105:$AA$1105)+SUMPRODUCT(--(Sens!$R$1067:$AA$1067&lt;Sens!AA$1067),Sens!$R$1103:$AA$1103))/fac_life</f>
        <v>10.7183876414586</v>
      </c>
    </row>
    <row r="1109" customFormat="false" ht="17.15" hidden="false" customHeight="false" outlineLevel="0" collapsed="false">
      <c r="A1109" s="1" t="s">
        <v>650</v>
      </c>
      <c r="B1109" s="8" t="s">
        <v>86</v>
      </c>
      <c r="C1109" s="38" t="n">
        <f aca="false">Sens!$C$1107+Sens!$C$1108</f>
        <v>0.203463948620839</v>
      </c>
      <c r="D1109" s="38" t="n">
        <f aca="false">Sens!$D$1107+Sens!$D$1108</f>
        <v>1.42550450862084</v>
      </c>
      <c r="E1109" s="38" t="n">
        <f aca="false">Sens!$E$1107+Sens!$E$1108</f>
        <v>4.56081729115892</v>
      </c>
      <c r="F1109" s="38" t="n">
        <f aca="false">Sens!$F$1107+Sens!$F$1108</f>
        <v>4.56081729115892</v>
      </c>
      <c r="G1109" s="38" t="n">
        <f aca="false">Sens!$G$1107+Sens!$G$1108</f>
        <v>9.12163458231783</v>
      </c>
      <c r="H1109" s="38" t="n">
        <f aca="false">Sens!$H$1107+Sens!$H$1108</f>
        <v>29.1051702020323</v>
      </c>
      <c r="I1109" s="38" t="n">
        <f aca="false">Sens!$I$1107+Sens!$I$1108</f>
        <v>56.4276180569905</v>
      </c>
      <c r="J1109" s="38" t="n">
        <f aca="false">Sens!$J$1107+Sens!$J$1108</f>
        <v>79.4161331517238</v>
      </c>
      <c r="K1109" s="38" t="n">
        <f aca="false">Sens!$K$1107+Sens!$K$1108</f>
        <v>102.919671208092</v>
      </c>
      <c r="L1109" s="38" t="n">
        <f aca="false">Sens!$L$1107+Sens!$L$1108</f>
        <v>119.477577897963</v>
      </c>
      <c r="M1109" s="38" t="n">
        <f aca="false">Sens!$M$1107+Sens!$M$1108</f>
        <v>128.366752359672</v>
      </c>
      <c r="N1109" s="38" t="n">
        <f aca="false">Sens!$N$1107+Sens!$N$1108</f>
        <v>0.712752254310419</v>
      </c>
      <c r="O1109" s="38" t="n">
        <f aca="false">Sens!$O$1107+Sens!$O$1108</f>
        <v>0.712752254310419</v>
      </c>
      <c r="R1109" s="38" t="n">
        <f aca="false">Sens!$R$1107+Sens!$R$1108</f>
        <v>0</v>
      </c>
      <c r="S1109" s="38" t="n">
        <f aca="false">Sens!$S$1107+Sens!$S$1108</f>
        <v>0.203463948620839</v>
      </c>
      <c r="T1109" s="38" t="n">
        <f aca="false">Sens!$T$1107+Sens!$T$1108</f>
        <v>1.42550450862084</v>
      </c>
      <c r="U1109" s="38" t="n">
        <f aca="false">Sens!$U$1107+Sens!$U$1108</f>
        <v>9.12163458231783</v>
      </c>
      <c r="V1109" s="38" t="n">
        <f aca="false">Sens!$V$1107+Sens!$V$1108</f>
        <v>29.1051702020323</v>
      </c>
      <c r="W1109" s="38" t="n">
        <f aca="false">Sens!$W$1107+Sens!$W$1108</f>
        <v>56.4276180569905</v>
      </c>
      <c r="X1109" s="38" t="n">
        <f aca="false">Sens!$X$1107+Sens!$X$1108</f>
        <v>79.4161331517238</v>
      </c>
      <c r="Y1109" s="38" t="n">
        <f aca="false">Sens!$Y$1107+Sens!$Y$1108</f>
        <v>102.919671208092</v>
      </c>
      <c r="Z1109" s="38" t="n">
        <f aca="false">Sens!$Z$1107+Sens!$Z$1108</f>
        <v>119.477577897963</v>
      </c>
      <c r="AA1109" s="38" t="n">
        <f aca="false">Sens!$AA$1107+Sens!$AA$1108</f>
        <v>128.366752359672</v>
      </c>
    </row>
    <row r="1110" customFormat="false" ht="17.15" hidden="false" customHeight="false" outlineLevel="0" collapsed="false">
      <c r="A1110" s="0" t="s">
        <v>651</v>
      </c>
      <c r="B1110" s="0" t="s">
        <v>86</v>
      </c>
      <c r="C1110" s="38" t="n">
        <f aca="false">Sens!$S$1110</f>
        <v>26.578941154416</v>
      </c>
      <c r="D1110" s="38" t="n">
        <f aca="false">Sens!$T$1110</f>
        <v>94.7220682767978</v>
      </c>
      <c r="G1110" s="38" t="n">
        <f aca="false">Sens!$U$1110</f>
        <v>238.506904804204</v>
      </c>
      <c r="H1110" s="38" t="n">
        <f aca="false">Sens!$V$1110</f>
        <v>368.258826557972</v>
      </c>
      <c r="I1110" s="38" t="n">
        <f aca="false">Sens!$W$1110</f>
        <v>475.548384429382</v>
      </c>
      <c r="J1110" s="38" t="n">
        <f aca="false">Sens!$X$1110</f>
        <v>564.038841766058</v>
      </c>
      <c r="K1110" s="38" t="n">
        <f aca="false">Sens!$Y$1110</f>
        <v>585.309878778127</v>
      </c>
      <c r="L1110" s="38" t="n">
        <f aca="false">Sens!$Z$1110</f>
        <v>571.443614192085</v>
      </c>
      <c r="M1110" s="38" t="n">
        <f aca="false">Sens!$AA$1110</f>
        <v>548.861647160295</v>
      </c>
      <c r="R1110" s="38" t="n">
        <f aca="false">SUM(Sens!$R$1097:$R$1097)-SUM(Sens!$R$1109:$R$1109)</f>
        <v>1.50429979529945</v>
      </c>
      <c r="S1110" s="38" t="n">
        <f aca="false">SUM(Sens!$R$1097:$S$1097)-SUM(Sens!$R$1109:$S$1109)</f>
        <v>26.578941154416</v>
      </c>
      <c r="T1110" s="38" t="n">
        <f aca="false">SUM(Sens!$R$1097:$T$1097)-SUM(Sens!$R$1109:$T$1109)</f>
        <v>94.7220682767978</v>
      </c>
      <c r="U1110" s="38" t="n">
        <f aca="false">SUM(Sens!$R$1097:$U$1097)-SUM(Sens!$R$1109:$U$1109)</f>
        <v>238.506904804204</v>
      </c>
      <c r="V1110" s="38" t="n">
        <f aca="false">SUM(Sens!$R$1097:$V$1097)-SUM(Sens!$R$1109:$V$1109)</f>
        <v>368.258826557972</v>
      </c>
      <c r="W1110" s="38" t="n">
        <f aca="false">SUM(Sens!$R$1097:$W$1097)-SUM(Sens!$R$1109:$W$1109)</f>
        <v>475.548384429382</v>
      </c>
      <c r="X1110" s="38" t="n">
        <f aca="false">SUM(Sens!$R$1097:$X$1097)-SUM(Sens!$R$1109:$X$1109)</f>
        <v>564.038841766058</v>
      </c>
      <c r="Y1110" s="38" t="n">
        <f aca="false">SUM(Sens!$R$1097:$Y$1097)-SUM(Sens!$R$1109:$Y$1109)</f>
        <v>585.309878778127</v>
      </c>
      <c r="Z1110" s="38" t="n">
        <f aca="false">SUM(Sens!$R$1097:$Z$1097)-SUM(Sens!$R$1109:$Z$1109)</f>
        <v>571.443614192085</v>
      </c>
      <c r="AA1110" s="38" t="n">
        <f aca="false">SUM(Sens!$R$1097:$AA$1097)-SUM(Sens!$R$1109:$AA$1109)</f>
        <v>548.861647160295</v>
      </c>
    </row>
    <row r="1111" customFormat="false" ht="17.15" hidden="false" customHeight="false" outlineLevel="0" collapsed="false">
      <c r="A1111" s="1" t="s">
        <v>652</v>
      </c>
    </row>
    <row r="1112" customFormat="false" ht="17.15" hidden="false" customHeight="false" outlineLevel="0" collapsed="false">
      <c r="A1112" s="0" t="s">
        <v>653</v>
      </c>
      <c r="B1112" s="0" t="s">
        <v>86</v>
      </c>
      <c r="C1112" s="38" t="n">
        <f aca="false">Sens!$C$1088-ext_sh_hi*Sens!$C$1090</f>
        <v>1.80694998843362</v>
      </c>
      <c r="D1112" s="38" t="n">
        <f aca="false">Sens!$D$1088-ext_sh_hi*Sens!$D$1090</f>
        <v>6.77606245662606</v>
      </c>
      <c r="E1112" s="38" t="n">
        <f aca="false">Sens!$E$1088-ext_sh_hi*Sens!$E$1090</f>
        <v>6.62548329092326</v>
      </c>
      <c r="F1112" s="38" t="n">
        <f aca="false">Sens!$F$1088-ext_sh_hi*Sens!$F$1090</f>
        <v>11.7200577158706</v>
      </c>
      <c r="G1112" s="38" t="n">
        <f aca="false">Sens!$G$1088-ext_sh_hi*Sens!$G$1090</f>
        <v>18.3455410067939</v>
      </c>
      <c r="H1112" s="38" t="n">
        <f aca="false">Sens!$H$1088-ext_sh_hi*Sens!$H$1090</f>
        <v>47.5171727060453</v>
      </c>
      <c r="I1112" s="38" t="n">
        <f aca="false">Sens!$I$1088-ext_sh_hi*Sens!$I$1090</f>
        <v>80.5539692643667</v>
      </c>
      <c r="J1112" s="38" t="n">
        <f aca="false">Sens!$J$1088-ext_sh_hi*Sens!$J$1090</f>
        <v>113.759316834883</v>
      </c>
      <c r="K1112" s="38" t="n">
        <f aca="false">Sens!$K$1088-ext_sh_hi*Sens!$K$1090</f>
        <v>142.084411492169</v>
      </c>
      <c r="L1112" s="38" t="n">
        <f aca="false">Sens!$L$1088-ext_sh_hi*Sens!$L$1090</f>
        <v>160.69964615804</v>
      </c>
      <c r="M1112" s="38" t="n">
        <f aca="false">Sens!$M$1088-ext_sh_hi*Sens!$M$1090</f>
        <v>169.577607141793</v>
      </c>
      <c r="N1112" s="38" t="n">
        <f aca="false">Sens!$N$1088-ext_sh_hi*Sens!$N$1090</f>
        <v>2.37162185981912</v>
      </c>
      <c r="O1112" s="38" t="n">
        <f aca="false">Sens!$O$1088-ext_sh_hi*Sens!$O$1090</f>
        <v>4.40444059680694</v>
      </c>
    </row>
    <row r="1113" customFormat="false" ht="17.15" hidden="false" customHeight="false" outlineLevel="0" collapsed="false">
      <c r="A1113" s="1" t="s">
        <v>654</v>
      </c>
      <c r="B1113" s="8" t="s">
        <v>86</v>
      </c>
      <c r="C1113" s="38" t="n">
        <f aca="false">Sens!$C$1112-ext_sh_hi*Sens!$C$1109</f>
        <v>1.60348603981278</v>
      </c>
      <c r="D1113" s="38" t="n">
        <f aca="false">Sens!$D$1112-ext_sh_hi*Sens!$D$1109</f>
        <v>5.35055794800523</v>
      </c>
      <c r="E1113" s="38" t="n">
        <f aca="false">Sens!$E$1112-ext_sh_hi*Sens!$E$1109</f>
        <v>2.06466599976435</v>
      </c>
      <c r="F1113" s="38" t="n">
        <f aca="false">Sens!$F$1112-ext_sh_hi*Sens!$F$1109</f>
        <v>7.15924042471168</v>
      </c>
      <c r="G1113" s="38" t="n">
        <f aca="false">Sens!$G$1112-ext_sh_hi*Sens!$G$1109</f>
        <v>9.22390642447603</v>
      </c>
      <c r="H1113" s="38" t="n">
        <f aca="false">Sens!$H$1112-ext_sh_hi*Sens!$H$1109</f>
        <v>18.412002504013</v>
      </c>
      <c r="I1113" s="38" t="n">
        <f aca="false">Sens!$I$1112-ext_sh_hi*Sens!$I$1109</f>
        <v>24.1263512073762</v>
      </c>
      <c r="J1113" s="38" t="n">
        <f aca="false">Sens!$J$1112-ext_sh_hi*Sens!$J$1109</f>
        <v>34.3431836831596</v>
      </c>
      <c r="K1113" s="38" t="n">
        <f aca="false">Sens!$K$1112-ext_sh_hi*Sens!$K$1109</f>
        <v>39.1647402840778</v>
      </c>
      <c r="L1113" s="38" t="n">
        <f aca="false">Sens!$L$1112-ext_sh_hi*Sens!$L$1109</f>
        <v>41.2220682600775</v>
      </c>
      <c r="M1113" s="38" t="n">
        <f aca="false">Sens!$M$1112-ext_sh_hi*Sens!$M$1109</f>
        <v>41.2108547821215</v>
      </c>
      <c r="N1113" s="38" t="n">
        <f aca="false">Sens!$N$1112-ext_sh_hi*Sens!$N$1109</f>
        <v>1.6588696055087</v>
      </c>
      <c r="O1113" s="38" t="n">
        <f aca="false">Sens!$O$1112-ext_sh_hi*Sens!$O$1109</f>
        <v>3.69168834249652</v>
      </c>
    </row>
    <row r="1114" customFormat="false" ht="17.15" hidden="false" customHeight="false" outlineLevel="0" collapsed="false">
      <c r="A1114" s="0" t="s">
        <v>655</v>
      </c>
      <c r="B1114" s="0" t="s">
        <v>52</v>
      </c>
      <c r="C1114" s="13" t="n">
        <f aca="false">Sens!$C$1113/Sens!$C$1088</f>
        <v>0.690858396769735</v>
      </c>
      <c r="D1114" s="13" t="n">
        <f aca="false">Sens!$D$1113/Sens!$D$1088</f>
        <v>0.614740266977159</v>
      </c>
      <c r="E1114" s="13" t="n">
        <f aca="false">Sens!$E$1113/Sens!$E$1088</f>
        <v>0.242606388441374</v>
      </c>
      <c r="F1114" s="13" t="n">
        <f aca="false">Sens!$F$1113/Sens!$F$1088</f>
        <v>0.478449037479955</v>
      </c>
      <c r="G1114" s="13" t="n">
        <f aca="false">Sens!$G$1113/Sens!$G$1088</f>
        <v>0.392944971924682</v>
      </c>
      <c r="H1114" s="13" t="n">
        <f aca="false">Sens!$H$1113/Sens!$H$1088</f>
        <v>0.306020608596774</v>
      </c>
      <c r="I1114" s="13" t="n">
        <f aca="false">Sens!$I$1113/Sens!$I$1088</f>
        <v>0.237689378935321</v>
      </c>
      <c r="J1114" s="13" t="n">
        <f aca="false">Sens!$J$1113/Sens!$J$1088</f>
        <v>0.240119461060752</v>
      </c>
      <c r="K1114" s="13" t="n">
        <f aca="false">Sens!$K$1113/Sens!$K$1088</f>
        <v>0.21947409812992</v>
      </c>
      <c r="L1114" s="13" t="n">
        <f aca="false">Sens!$L$1113/Sens!$L$1088</f>
        <v>0.204344699086381</v>
      </c>
      <c r="M1114" s="13" t="n">
        <f aca="false">Sens!$M$1113/Sens!$M$1088</f>
        <v>0.193627783592202</v>
      </c>
      <c r="N1114" s="13" t="n">
        <f aca="false">Sens!$N$1113/Sens!$N$1088</f>
        <v>0.544548787023979</v>
      </c>
      <c r="O1114" s="13" t="n">
        <f aca="false">Sens!$O$1113/Sens!$O$1088</f>
        <v>0.652535679259641</v>
      </c>
    </row>
    <row r="1115" customFormat="false" ht="17.15" hidden="false" customHeight="false" outlineLevel="0" collapsed="false">
      <c r="A1115" s="5" t="s">
        <v>656</v>
      </c>
      <c r="B1115" s="0" t="s">
        <v>86</v>
      </c>
      <c r="C1115" s="39" t="n">
        <v>0</v>
      </c>
      <c r="D1115" s="39" t="n">
        <v>0</v>
      </c>
      <c r="E1115" s="39" t="n">
        <v>0</v>
      </c>
      <c r="F1115" s="38" t="n">
        <f aca="false">IF(internal_ai_reading=2,1,0)*(1-ext_sh_hi)/ext_sh_hi*(mw_open*he_open+Sens!$F$1086*Sens!$F$1083)*Sens!$F$1072/1000</f>
        <v>0</v>
      </c>
      <c r="G1115" s="38" t="n">
        <f aca="false">Sens!$E$1115+Sens!$F$1115</f>
        <v>0</v>
      </c>
      <c r="H1115" s="38" t="n">
        <f aca="false">IF(internal_ai_reading=2,1,0)*(1-ext_sh_hi)/ext_sh_hi*(mw_open*he_open+Sens!$H$1086*Sens!$H$1083)*Sens!$H$1072/1000</f>
        <v>0</v>
      </c>
      <c r="I1115" s="38" t="n">
        <f aca="false">IF(internal_ai_reading=2,1,0)*(1-ext_sh_hi)/ext_sh_hi*(mw_open*he_open+Sens!$I$1086*Sens!$I$1083)*Sens!$I$1072/1000</f>
        <v>0</v>
      </c>
      <c r="J1115" s="38" t="n">
        <f aca="false">IF(internal_ai_reading=2,1,0)*(1-ext_sh_hi)/ext_sh_hi*(mw_open*he_open+Sens!$J$1086*Sens!$J$1083)*Sens!$J$1072/1000</f>
        <v>0</v>
      </c>
      <c r="K1115" s="38" t="n">
        <f aca="false">IF(internal_ai_reading=2,1,0)*(1-ext_sh_hi)/ext_sh_hi*(mw_open*he_open+Sens!$K$1086*Sens!$K$1083)*Sens!$K$1072/1000</f>
        <v>0</v>
      </c>
      <c r="L1115" s="38" t="n">
        <f aca="false">IF(internal_ai_reading=2,1,0)*(1-ext_sh_hi)/ext_sh_hi*(mw_open*he_open+Sens!$L$1086*Sens!$L$1083)*Sens!$L$1072/1000</f>
        <v>0</v>
      </c>
      <c r="M1115" s="38" t="n">
        <f aca="false">IF(internal_ai_reading=2,1,0)*(1-ext_sh_hi)/ext_sh_hi*(mw_open*he_open+Sens!$M$1086*Sens!$M$1083)*Sens!$M$1072/1000</f>
        <v>0</v>
      </c>
      <c r="N1115" s="39" t="n">
        <v>0</v>
      </c>
      <c r="O1115" s="39" t="n">
        <v>0</v>
      </c>
      <c r="P1115" s="8" t="s">
        <v>657</v>
      </c>
    </row>
    <row r="1116" customFormat="false" ht="17.15" hidden="false" customHeight="false" outlineLevel="0" collapsed="false">
      <c r="A1116" s="5" t="s">
        <v>658</v>
      </c>
      <c r="B1116" s="0" t="s">
        <v>86</v>
      </c>
      <c r="C1116" s="38" t="n">
        <f aca="false">(1-ext_sh_hi)*(Sens!$C$1090+Sens!$C$1109)</f>
        <v>0</v>
      </c>
      <c r="D1116" s="38" t="n">
        <f aca="false">(1-ext_sh_hi)*(Sens!$D$1090+Sens!$D$1109)</f>
        <v>0</v>
      </c>
      <c r="E1116" s="38" t="n">
        <f aca="false">(1-ext_sh_hi)*(Sens!$E$1090+Sens!$E$1109)</f>
        <v>0</v>
      </c>
      <c r="F1116" s="38" t="n">
        <f aca="false">(1-ext_sh_hi)*(Sens!$F$1090+Sens!$F$1109)</f>
        <v>0</v>
      </c>
      <c r="G1116" s="38" t="n">
        <f aca="false">(1-ext_sh_hi)*(Sens!$G$1090+Sens!$G$1109)</f>
        <v>0</v>
      </c>
      <c r="H1116" s="38" t="n">
        <f aca="false">(1-ext_sh_hi)*(Sens!$H$1090+Sens!$H$1109)</f>
        <v>0</v>
      </c>
      <c r="I1116" s="38" t="n">
        <f aca="false">(1-ext_sh_hi)*(Sens!$I$1090+Sens!$I$1109)</f>
        <v>0</v>
      </c>
      <c r="J1116" s="38" t="n">
        <f aca="false">(1-ext_sh_hi)*(Sens!$J$1090+Sens!$J$1109)</f>
        <v>0</v>
      </c>
      <c r="K1116" s="38" t="n">
        <f aca="false">(1-ext_sh_hi)*(Sens!$K$1090+Sens!$K$1109)</f>
        <v>0</v>
      </c>
      <c r="L1116" s="38" t="n">
        <f aca="false">(1-ext_sh_hi)*(Sens!$L$1090+Sens!$L$1109)</f>
        <v>0</v>
      </c>
      <c r="M1116" s="38" t="n">
        <f aca="false">(1-ext_sh_hi)*(Sens!$M$1090+Sens!$M$1109)</f>
        <v>0</v>
      </c>
      <c r="N1116" s="38" t="n">
        <f aca="false">(1-ext_sh_hi)*(Sens!$N$1090+Sens!$N$1109)</f>
        <v>0</v>
      </c>
      <c r="O1116" s="38" t="n">
        <f aca="false">(1-ext_sh_hi)*(Sens!$O$1090+Sens!$O$1109)</f>
        <v>0</v>
      </c>
    </row>
    <row r="1117" customFormat="false" ht="17.15" hidden="false" customHeight="false" outlineLevel="0" collapsed="false">
      <c r="A1117" s="0" t="s">
        <v>659</v>
      </c>
      <c r="B1117" s="0" t="s">
        <v>86</v>
      </c>
      <c r="C1117" s="38" t="n">
        <f aca="false">Q!$D$24</f>
        <v>39.834</v>
      </c>
      <c r="D1117" s="38" t="n">
        <f aca="false">Q!$E$24</f>
        <v>45.606</v>
      </c>
      <c r="E1117" s="38" t="n">
        <f aca="false">Q!$P$24</f>
        <v>30.782</v>
      </c>
      <c r="N1117" s="38" t="n">
        <f aca="false">Q!$N$24</f>
        <v>21.707</v>
      </c>
      <c r="O1117" s="38" t="n">
        <f aca="false">Q!$O$24</f>
        <v>23.899</v>
      </c>
    </row>
    <row r="1118" customFormat="false" ht="17.15" hidden="false" customHeight="false" outlineLevel="0" collapsed="false">
      <c r="A1118" s="0" t="s">
        <v>660</v>
      </c>
      <c r="B1118" s="0" t="s">
        <v>86</v>
      </c>
      <c r="C1118" s="38" t="n">
        <f aca="false">Sens!$C$1117-Sens!$C$1113</f>
        <v>38.2305139601872</v>
      </c>
      <c r="D1118" s="38" t="n">
        <f aca="false">Sens!$D$1117-Sens!$D$1113</f>
        <v>40.2554420519948</v>
      </c>
      <c r="E1118" s="38" t="n">
        <f aca="false">Sens!$E$1117-Sens!$E$1113</f>
        <v>28.7173340002357</v>
      </c>
      <c r="F1118" s="38" t="n">
        <f aca="false">Sens!$F$1092*Sens!$F$1119</f>
        <v>26.157531678915</v>
      </c>
      <c r="G1118" s="38" t="n">
        <f aca="false">Sens!$E$1118+Sens!$F$1118</f>
        <v>54.8748656791506</v>
      </c>
      <c r="H1118" s="38" t="n">
        <f aca="false">Sens!$H$1092*Sens!$H$1119</f>
        <v>58.6853892488889</v>
      </c>
      <c r="I1118" s="38" t="n">
        <f aca="false">Sens!$I$1092*Sens!$I$1119</f>
        <v>65.1556537589269</v>
      </c>
      <c r="J1118" s="38" t="n">
        <f aca="false">Sens!$J$1092*Sens!$J$1119</f>
        <v>71.3536965397981</v>
      </c>
      <c r="K1118" s="38" t="n">
        <f aca="false">Sens!$K$1092*Sens!$K$1119</f>
        <v>77.0619922629819</v>
      </c>
      <c r="L1118" s="38" t="n">
        <f aca="false">Sens!$L$1092*Sens!$L$1119</f>
        <v>83.2269516440205</v>
      </c>
      <c r="M1118" s="38" t="n">
        <f aca="false">Sens!$M$1092*Sens!$M$1119</f>
        <v>89.8851077755421</v>
      </c>
      <c r="N1118" s="38" t="n">
        <f aca="false">Sens!$N$1117-Sens!$N$1113</f>
        <v>20.0481303944913</v>
      </c>
      <c r="O1118" s="38" t="n">
        <f aca="false">Sens!$O$1117-Sens!$O$1113</f>
        <v>20.2073116575035</v>
      </c>
      <c r="P1118" s="5" t="s">
        <v>661</v>
      </c>
    </row>
    <row r="1119" customFormat="false" ht="17.15" hidden="false" customHeight="false" outlineLevel="0" collapsed="false">
      <c r="A1119" s="0" t="s">
        <v>662</v>
      </c>
      <c r="B1119" s="0" t="s">
        <v>52</v>
      </c>
      <c r="C1119" s="13" t="n">
        <f aca="false">Sens!$C$1118/Sens!$C$1092</f>
        <v>0.36328708040392</v>
      </c>
      <c r="D1119" s="13" t="n">
        <f aca="false">Sens!$D$1118/Sens!$D$1092</f>
        <v>0.335402679023775</v>
      </c>
      <c r="E1119" s="13" t="n">
        <f aca="false">Sens!$E$1118/Sens!$E$1092</f>
        <v>0.402718817402288</v>
      </c>
      <c r="F1119" s="13" t="n">
        <f aca="false">(Sens!$O$1118+Sens!$E$1118)/(Sens!$O$1092+Sens!$E$1092)</f>
        <v>0.364466864716604</v>
      </c>
      <c r="G1119" s="13" t="n">
        <f aca="false">Sens!$G$1118/Sens!$G$1092</f>
        <v>0.383531263198052</v>
      </c>
      <c r="H1119" s="13" t="n">
        <f aca="false">Sens!$F$1119</f>
        <v>0.364466864716604</v>
      </c>
      <c r="I1119" s="13" t="n">
        <f aca="false">Sens!$F$1119</f>
        <v>0.364466864716604</v>
      </c>
      <c r="J1119" s="13" t="n">
        <f aca="false">Sens!$F$1119</f>
        <v>0.364466864716604</v>
      </c>
      <c r="K1119" s="13" t="n">
        <f aca="false">Sens!$F$1119</f>
        <v>0.364466864716604</v>
      </c>
      <c r="L1119" s="13" t="n">
        <f aca="false">Sens!$F$1119</f>
        <v>0.364466864716604</v>
      </c>
      <c r="M1119" s="13" t="n">
        <f aca="false">Sens!$F$1119</f>
        <v>0.364466864716604</v>
      </c>
      <c r="N1119" s="13" t="n">
        <f aca="false">Sens!$N$1118/Sens!$N$1092</f>
        <v>0.351144473956038</v>
      </c>
      <c r="O1119" s="13" t="n">
        <f aca="false">Sens!$O$1118/Sens!$O$1092</f>
        <v>0.321120269843139</v>
      </c>
      <c r="P1119" s="8" t="s">
        <v>663</v>
      </c>
    </row>
    <row r="1120" customFormat="false" ht="17.15" hidden="false" customHeight="false" outlineLevel="0" collapsed="false">
      <c r="A1120" s="0" t="s">
        <v>664</v>
      </c>
      <c r="B1120" s="0" t="s">
        <v>52</v>
      </c>
      <c r="D1120" s="13" t="n">
        <f aca="false">(Q!$E$31-ext_sh_hi*Sens!$D$1109)/Sens!$D$1092</f>
        <v>0.166841278881826</v>
      </c>
    </row>
    <row r="1121" customFormat="false" ht="17.15" hidden="false" customHeight="false" outlineLevel="0" collapsed="false">
      <c r="A1121" s="0" t="s">
        <v>665</v>
      </c>
      <c r="B1121" s="0" t="s">
        <v>86</v>
      </c>
      <c r="C1121" s="38" t="n">
        <f aca="false">Q!$D$31</f>
        <v>13.32</v>
      </c>
      <c r="D1121" s="38" t="n">
        <f aca="false">Q!$E$31</f>
        <v>21.45</v>
      </c>
      <c r="E1121" s="38" t="n">
        <f aca="false">Q!$P$31</f>
        <v>15.353</v>
      </c>
      <c r="F1121" s="38" t="n">
        <f aca="false">ext_sh_hi*Sens!$F$1109+Sens!$D$1120*Sens!$F$1092</f>
        <v>16.5348990532842</v>
      </c>
      <c r="G1121" s="38" t="n">
        <f aca="false">Sens!$E$1121+Sens!$F$1121</f>
        <v>31.8878990532842</v>
      </c>
      <c r="H1121" s="38" t="n">
        <f aca="false">ext_sh_hi*Sens!$H$1109+Sens!$D$1120*Sens!$H$1092</f>
        <v>55.9694652637402</v>
      </c>
      <c r="I1121" s="38" t="n">
        <f aca="false">ext_sh_hi*Sens!$I$1109+Sens!$D$1120*Sens!$I$1092</f>
        <v>86.253793360947</v>
      </c>
      <c r="J1121" s="38" t="n">
        <f aca="false">ext_sh_hi*Sens!$J$1109+Sens!$D$1120*Sens!$J$1092</f>
        <v>112.079574293081</v>
      </c>
      <c r="K1121" s="38" t="n">
        <f aca="false">ext_sh_hi*Sens!$K$1109+Sens!$D$1120*Sens!$K$1092</f>
        <v>138.196187640757</v>
      </c>
      <c r="L1121" s="38" t="n">
        <f aca="false">ext_sh_hi*Sens!$L$1109+Sens!$D$1120*Sens!$L$1092</f>
        <v>157.576215645241</v>
      </c>
      <c r="M1121" s="38" t="n">
        <f aca="false">ext_sh_hi*Sens!$M$1109+Sens!$D$1120*Sens!$M$1092</f>
        <v>169.513281126733</v>
      </c>
      <c r="N1121" s="38" t="n">
        <f aca="false">Q!$N$31</f>
        <v>9.234</v>
      </c>
      <c r="O1121" s="38" t="n">
        <f aca="false">Q!$O$31</f>
        <v>12.216</v>
      </c>
    </row>
    <row r="1122" customFormat="false" ht="17.15" hidden="false" customHeight="false" outlineLevel="0" collapsed="false">
      <c r="A1122" s="1" t="s">
        <v>666</v>
      </c>
    </row>
    <row r="1123" customFormat="false" ht="17.15" hidden="false" customHeight="false" outlineLevel="0" collapsed="false">
      <c r="A1123" s="15" t="s">
        <v>667</v>
      </c>
      <c r="B1123" s="14" t="s">
        <v>52</v>
      </c>
      <c r="C1123" s="14"/>
      <c r="D1123" s="14"/>
      <c r="E1123" s="14"/>
      <c r="F1123" s="14"/>
      <c r="G1123" s="17" t="n">
        <f aca="false">Sens!$G$1113*(1-tax)/(ext_sh_hi*(Sens!$D$1110+Sens!$G$1110)/2)</f>
        <v>0.0457509977221204</v>
      </c>
      <c r="H1123" s="17" t="n">
        <f aca="false">Sens!$H$1113*(1-tax)/(ext_sh_hi*(Sens!$G$1110+Sens!$H$1110)/2)</f>
        <v>0.0501543280338171</v>
      </c>
      <c r="I1123" s="17" t="n">
        <f aca="false">Sens!$I$1113*(1-tax)/(ext_sh_hi*(Sens!$H$1110+Sens!$I$1110)/2)</f>
        <v>0.0472581644108515</v>
      </c>
      <c r="J1123" s="17" t="n">
        <f aca="false">Sens!$J$1113*(1-tax)/(ext_sh_hi*(Sens!$I$1110+Sens!$J$1110)/2)</f>
        <v>0.0546019375492474</v>
      </c>
      <c r="K1123" s="17" t="n">
        <f aca="false">Sens!$K$1113*(1-tax)/(ext_sh_hi*(Sens!$J$1110+Sens!$K$1110)/2)</f>
        <v>0.0563211961750063</v>
      </c>
      <c r="L1123" s="17" t="n">
        <f aca="false">Sens!$L$1113*(1-tax)/(ext_sh_hi*(Sens!$K$1110+Sens!$L$1110)/2)</f>
        <v>0.0589002847397316</v>
      </c>
      <c r="M1123" s="17" t="n">
        <f aca="false">Sens!$M$1113*(1-tax)/(ext_sh_hi*(Sens!$L$1110+Sens!$M$1110)/2)</f>
        <v>0.0608000144924906</v>
      </c>
      <c r="N1123" s="14"/>
      <c r="O1123" s="14"/>
      <c r="P1123" s="8" t="s">
        <v>668</v>
      </c>
    </row>
    <row r="1124" customFormat="false" ht="17.15" hidden="false" customHeight="false" outlineLevel="0" collapsed="false">
      <c r="A1124" s="5" t="s">
        <v>669</v>
      </c>
      <c r="B1124" s="0" t="s">
        <v>57</v>
      </c>
      <c r="H1124" s="36" t="n">
        <f aca="false">Sens!$H$1088*1000/(mw_open*he_open+Sens!$H$1086*Sens!$H$1083)</f>
        <v>0.991949006767191</v>
      </c>
      <c r="I1124" s="36" t="n">
        <f aca="false">Sens!$I$1088*1000/(mw_open*he_open+Sens!$I$1086*Sens!$I$1083)</f>
        <v>0.991949006767191</v>
      </c>
      <c r="J1124" s="36" t="n">
        <f aca="false">Sens!$J$1088*1000/(mw_open*he_open+Sens!$J$1086*Sens!$J$1083)</f>
        <v>0.991949006767191</v>
      </c>
      <c r="K1124" s="36" t="n">
        <f aca="false">Sens!$K$1088*1000/(mw_open*he_open+Sens!$K$1086*Sens!$K$1083)</f>
        <v>0.991949006767191</v>
      </c>
      <c r="L1124" s="36" t="n">
        <f aca="false">Sens!$L$1088*1000/(mw_open*he_open+Sens!$L$1086*Sens!$L$1083)</f>
        <v>0.991949006767191</v>
      </c>
      <c r="M1124" s="36" t="n">
        <f aca="false">Sens!$M$1088*1000/(mw_open*he_open+Sens!$M$1086*Sens!$M$1083)</f>
        <v>0.991949006767191</v>
      </c>
    </row>
    <row r="1125" customFormat="false" ht="17.15" hidden="false" customHeight="false" outlineLevel="0" collapsed="false">
      <c r="A1125" s="5" t="s">
        <v>670</v>
      </c>
      <c r="B1125" s="0" t="s">
        <v>57</v>
      </c>
      <c r="H1125" s="36" t="n">
        <f aca="false">Sens!$H$1124*(Sens!$H$1088+wacc*ext_sh_hi*(Sens!$G$1110+Sens!$H$1110)/2/(1-tax)-Sens!$H$1113)/Sens!$H$1088</f>
        <v>1.37411977818496</v>
      </c>
      <c r="I1125" s="36" t="n">
        <f aca="false">Sens!$I$1124*(Sens!$I$1088+wacc*ext_sh_hi*(Sens!$H$1110+Sens!$I$1110)/2/(1-tax)-Sens!$I$1113)/Sens!$I$1088</f>
        <v>1.32142552009153</v>
      </c>
      <c r="J1125" s="36" t="n">
        <f aca="false">Sens!$J$1124*(Sens!$J$1088+wacc*ext_sh_hi*(Sens!$I$1110+Sens!$J$1110)/2/(1-tax)-Sens!$J$1113)/Sens!$J$1088</f>
        <v>1.24799226805604</v>
      </c>
      <c r="K1125" s="36" t="n">
        <f aca="false">Sens!$K$1124*(Sens!$K$1088+wacc*ext_sh_hi*(Sens!$J$1110+Sens!$K$1110)/2/(1-tax)-Sens!$K$1113)/Sens!$K$1088</f>
        <v>1.2121881118768</v>
      </c>
      <c r="L1125" s="36" t="n">
        <f aca="false">Sens!$L$1124*(Sens!$L$1088+wacc*ext_sh_hi*(Sens!$K$1110+Sens!$L$1110)/2/(1-tax)-Sens!$L$1113)/Sens!$L$1088</f>
        <v>1.17915139284316</v>
      </c>
      <c r="M1125" s="36" t="n">
        <f aca="false">Sens!$M$1124*(Sens!$M$1088+wacc*ext_sh_hi*(Sens!$L$1110+Sens!$M$1110)/2/(1-tax)-Sens!$M$1113)/Sens!$M$1088</f>
        <v>1.15778973722914</v>
      </c>
    </row>
    <row r="1126" customFormat="false" ht="17.15" hidden="false" customHeight="false" outlineLevel="0" collapsed="false">
      <c r="A1126" s="5" t="s">
        <v>671</v>
      </c>
      <c r="B1126" s="0" t="s">
        <v>52</v>
      </c>
      <c r="C1126" s="13" t="n">
        <f aca="false">Sens!$C$1089/tk_pq</f>
        <v>0.195316432429398</v>
      </c>
      <c r="D1126" s="13" t="n">
        <f aca="false">Sens!$D$1089/tk_pq</f>
        <v>0.195316432429398</v>
      </c>
      <c r="E1126" s="13" t="n">
        <f aca="false">Sens!$E$1089/tk_pq</f>
        <v>0.195316432429398</v>
      </c>
      <c r="F1126" s="13" t="n">
        <f aca="false">Sens!$F$1089/tk_pq</f>
        <v>0.202241827274866</v>
      </c>
      <c r="G1126" s="13" t="n">
        <f aca="false">Sens!$G$1089/tk_pq</f>
        <v>0.199675016194063</v>
      </c>
      <c r="H1126" s="13" t="n">
        <f aca="false">Sens!$H$1089/tk_pq</f>
        <v>0.212647947710325</v>
      </c>
      <c r="I1126" s="13" t="n">
        <f aca="false">Sens!$I$1089/tk_pq</f>
        <v>0.219285125475351</v>
      </c>
      <c r="J1126" s="13" t="n">
        <f aca="false">Sens!$J$1089/tk_pq</f>
        <v>0.222492493217189</v>
      </c>
      <c r="K1126" s="13" t="n">
        <f aca="false">Sens!$K$1089/tk_pq</f>
        <v>0.224053502812094</v>
      </c>
      <c r="L1126" s="13" t="n">
        <f aca="false">Sens!$L$1089/tk_pq</f>
        <v>0.224786916785614</v>
      </c>
      <c r="M1126" s="13" t="n">
        <f aca="false">Sens!$M$1089/tk_pq</f>
        <v>0.225048671566937</v>
      </c>
      <c r="N1126" s="13" t="n">
        <f aca="false">Sens!$N$1089/tk_pq</f>
        <v>0.195316432429398</v>
      </c>
      <c r="O1126" s="13" t="n">
        <f aca="false">Sens!$O$1089/tk_pq</f>
        <v>0.195316432429398</v>
      </c>
      <c r="P1126" s="5" t="s">
        <v>672</v>
      </c>
    </row>
    <row r="1129" customFormat="false" ht="17.15" hidden="false" customHeight="false" outlineLevel="0" collapsed="false">
      <c r="A1129" s="1" t="s">
        <v>701</v>
      </c>
    </row>
    <row r="1130" customFormat="false" ht="17.15" hidden="false" customHeight="false" outlineLevel="0" collapsed="false">
      <c r="A1130" s="0" t="s">
        <v>702</v>
      </c>
      <c r="B1130" s="0" t="s">
        <v>86</v>
      </c>
      <c r="C1130" s="38" t="n">
        <f aca="false">Sens!$C$1088</f>
        <v>2.32100535697364</v>
      </c>
      <c r="D1130" s="38" t="n">
        <f aca="false">Sens!$D$1088</f>
        <v>8.70377008865116</v>
      </c>
      <c r="E1130" s="38" t="n">
        <f aca="false">Sens!$E$1088</f>
        <v>8.51035297557002</v>
      </c>
      <c r="F1130" s="38" t="n">
        <f aca="false">Sens!$F$1088</f>
        <v>14.9634336447205</v>
      </c>
      <c r="G1130" s="38" t="n">
        <f aca="false">Sens!$G$1088</f>
        <v>23.4737866202905</v>
      </c>
      <c r="H1130" s="38" t="n">
        <f aca="false">Sens!$H$1088</f>
        <v>60.1658907497746</v>
      </c>
      <c r="I1130" s="38" t="n">
        <f aca="false">Sens!$I$1088</f>
        <v>101.503699136432</v>
      </c>
      <c r="J1130" s="38" t="n">
        <f aca="false">Sens!$J$1088</f>
        <v>143.025407151278</v>
      </c>
      <c r="K1130" s="38" t="n">
        <f aca="false">Sens!$K$1088</f>
        <v>178.44812038318</v>
      </c>
      <c r="L1130" s="38" t="n">
        <f aca="false">Sens!$L$1088</f>
        <v>201.728101802396</v>
      </c>
      <c r="M1130" s="38" t="n">
        <f aca="false">Sens!$M$1088</f>
        <v>212.835441368865</v>
      </c>
      <c r="N1130" s="38" t="n">
        <f aca="false">Sens!$N$1088</f>
        <v>3.04631953102791</v>
      </c>
      <c r="O1130" s="38" t="n">
        <f aca="false">Sens!$O$1088</f>
        <v>5.65745055762326</v>
      </c>
      <c r="P1130" s="8" t="s">
        <v>703</v>
      </c>
    </row>
    <row r="1131" customFormat="false" ht="17.15" hidden="false" customHeight="false" outlineLevel="0" collapsed="false">
      <c r="A1131" s="0" t="s">
        <v>704</v>
      </c>
      <c r="B1131" s="0" t="s">
        <v>86</v>
      </c>
      <c r="C1131" s="38" t="n">
        <f aca="false">Sens!$C$1092</f>
        <v>105.234994643026</v>
      </c>
      <c r="D1131" s="38" t="n">
        <f aca="false">Sens!$D$1092</f>
        <v>120.021229911349</v>
      </c>
      <c r="E1131" s="38" t="n">
        <f aca="false">Sens!$E$1092</f>
        <v>71.30864702443</v>
      </c>
      <c r="F1131" s="38" t="n">
        <f aca="false">Sens!$F$1092</f>
        <v>71.7692997942464</v>
      </c>
      <c r="G1131" s="38" t="n">
        <f aca="false">Sens!$G$1092</f>
        <v>143.077946818676</v>
      </c>
      <c r="H1131" s="38" t="n">
        <f aca="false">Sens!$H$1092</f>
        <v>161.017077079203</v>
      </c>
      <c r="I1131" s="38" t="n">
        <f aca="false">Sens!$I$1092</f>
        <v>178.769759521457</v>
      </c>
      <c r="J1131" s="38" t="n">
        <f aca="false">Sens!$J$1092</f>
        <v>195.775538045907</v>
      </c>
      <c r="K1131" s="38" t="n">
        <f aca="false">Sens!$K$1092</f>
        <v>211.43758108958</v>
      </c>
      <c r="L1131" s="38" t="n">
        <f aca="false">Sens!$L$1092</f>
        <v>228.352587576746</v>
      </c>
      <c r="M1131" s="38" t="n">
        <f aca="false">Sens!$M$1092</f>
        <v>246.620794582886</v>
      </c>
      <c r="N1131" s="38" t="n">
        <f aca="false">Sens!$N$1092</f>
        <v>57.0936804689721</v>
      </c>
      <c r="O1131" s="38" t="n">
        <f aca="false">Sens!$O$1092</f>
        <v>62.9275494423768</v>
      </c>
      <c r="P1131" s="8" t="s">
        <v>703</v>
      </c>
    </row>
    <row r="1132" customFormat="false" ht="17.15" hidden="false" customHeight="false" outlineLevel="0" collapsed="false">
      <c r="A1132" s="1" t="s">
        <v>523</v>
      </c>
      <c r="B1132" s="8" t="s">
        <v>86</v>
      </c>
      <c r="C1132" s="38" t="n">
        <f aca="false">Q!$D$7</f>
        <v>107.556</v>
      </c>
      <c r="D1132" s="38" t="n">
        <f aca="false">Q!$E$7</f>
        <v>128.725</v>
      </c>
      <c r="E1132" s="38" t="n">
        <f aca="false">Q!$P$7</f>
        <v>79.819</v>
      </c>
      <c r="F1132" s="38" t="n">
        <f aca="false">Sens!$F$1130+Sens!$F$1131</f>
        <v>86.7327334389669</v>
      </c>
      <c r="G1132" s="38" t="n">
        <f aca="false">Sens!$G$1130+Sens!$G$1131</f>
        <v>166.551733438967</v>
      </c>
      <c r="H1132" s="38" t="n">
        <f aca="false">Sens!$H$1130+Sens!$H$1131</f>
        <v>221.182967828978</v>
      </c>
      <c r="I1132" s="38" t="n">
        <f aca="false">Sens!$I$1130+Sens!$I$1131</f>
        <v>280.27345865789</v>
      </c>
      <c r="J1132" s="38" t="n">
        <f aca="false">Sens!$J$1130+Sens!$J$1131</f>
        <v>338.800945197185</v>
      </c>
      <c r="K1132" s="38" t="n">
        <f aca="false">Sens!$K$1130+Sens!$K$1131</f>
        <v>389.88570147276</v>
      </c>
      <c r="L1132" s="38" t="n">
        <f aca="false">Sens!$L$1130+Sens!$L$1131</f>
        <v>430.080689379143</v>
      </c>
      <c r="M1132" s="38" t="n">
        <f aca="false">Sens!$M$1130+Sens!$M$1131</f>
        <v>459.456235951751</v>
      </c>
      <c r="N1132" s="38" t="n">
        <f aca="false">Q!$N$7</f>
        <v>60.14</v>
      </c>
      <c r="O1132" s="38" t="n">
        <f aca="false">Q!$O$7</f>
        <v>68.585</v>
      </c>
      <c r="P1132" s="5" t="s">
        <v>705</v>
      </c>
    </row>
    <row r="1133" customFormat="false" ht="15" hidden="false" customHeight="false" outlineLevel="0" collapsed="false">
      <c r="A1133" s="3" t="s">
        <v>706</v>
      </c>
      <c r="B1133" s="8" t="s">
        <v>86</v>
      </c>
      <c r="C1133" s="38" t="n">
        <f aca="false">Q!$D$8</f>
        <v>637.959</v>
      </c>
      <c r="D1133" s="38" t="n">
        <f aca="false">Q!$E$8</f>
        <v>716.924</v>
      </c>
      <c r="E1133" s="38" t="n">
        <f aca="false">Q!$P$8</f>
        <v>382.125</v>
      </c>
      <c r="F1133" s="38" t="n">
        <f aca="false">Sens!$F$1060+Sens!$F$1132</f>
        <v>435.780975084504</v>
      </c>
      <c r="G1133" s="38" t="n">
        <f aca="false">Sens!$G$1060+Sens!$G$1132</f>
        <v>817.905975084504</v>
      </c>
      <c r="H1133" s="38" t="n">
        <f aca="false">Sens!$H$1060+Sens!$H$1132</f>
        <v>942.279857350364</v>
      </c>
      <c r="I1133" s="38" t="n">
        <f aca="false">Sens!$I$1060+Sens!$I$1132</f>
        <v>1068.80284981042</v>
      </c>
      <c r="J1133" s="38" t="n">
        <f aca="false">Sens!$J$1060+Sens!$J$1132</f>
        <v>1189.90935093863</v>
      </c>
      <c r="K1133" s="38" t="n">
        <f aca="false">Sens!$K$1060+Sens!$K$1132</f>
        <v>1296.06215690385</v>
      </c>
      <c r="L1133" s="38" t="n">
        <f aca="false">Sens!$L$1060+Sens!$L$1132</f>
        <v>1395.17379585473</v>
      </c>
      <c r="M1133" s="38" t="n">
        <f aca="false">Sens!$M$1060+Sens!$M$1132</f>
        <v>1487.60414389864</v>
      </c>
      <c r="N1133" s="38" t="n">
        <f aca="false">Q!$N$8</f>
        <v>323.369</v>
      </c>
      <c r="O1133" s="38" t="n">
        <f aca="false">Q!$O$8</f>
        <v>393.555</v>
      </c>
    </row>
    <row r="1134" customFormat="false" ht="17.15" hidden="false" customHeight="false" outlineLevel="0" collapsed="false">
      <c r="A1134" s="24" t="s">
        <v>714</v>
      </c>
      <c r="B1134" s="25" t="s">
        <v>86</v>
      </c>
      <c r="C1134" s="41" t="n">
        <f aca="false">Sens!$C$1060-(Sens!$C$1062+Sens!$C$1063)</f>
        <v>0</v>
      </c>
      <c r="D1134" s="41" t="n">
        <f aca="false">Sens!$D$1060-(Sens!$D$1062+Sens!$D$1063)</f>
        <v>0</v>
      </c>
      <c r="E1134" s="41" t="n">
        <f aca="false">Sens!$E$1060-(Sens!$E$1062+Sens!$E$1063)</f>
        <v>0</v>
      </c>
      <c r="F1134" s="41" t="n">
        <f aca="false">Sens!$F$1060-(Sens!$F$1062+Sens!$F$1063)</f>
        <v>0</v>
      </c>
      <c r="G1134" s="41" t="n">
        <f aca="false">Sens!$G$1060-(Sens!$G$1062+Sens!$G$1063)</f>
        <v>0</v>
      </c>
      <c r="H1134" s="41" t="n">
        <f aca="false">Sens!$H$1060-(Sens!$H$1062+Sens!$H$1063)</f>
        <v>0</v>
      </c>
      <c r="I1134" s="41" t="n">
        <f aca="false">Sens!$I$1060-(Sens!$I$1062+Sens!$I$1063)</f>
        <v>0</v>
      </c>
      <c r="J1134" s="41" t="n">
        <f aca="false">Sens!$J$1060-(Sens!$J$1062+Sens!$J$1063)</f>
        <v>0</v>
      </c>
      <c r="K1134" s="41" t="n">
        <f aca="false">Sens!$K$1060-(Sens!$K$1062+Sens!$K$1063)</f>
        <v>0</v>
      </c>
      <c r="L1134" s="41" t="n">
        <f aca="false">Sens!$L$1060-(Sens!$L$1062+Sens!$L$1063)</f>
        <v>0</v>
      </c>
      <c r="M1134" s="41" t="n">
        <f aca="false">Sens!$M$1060-(Sens!$M$1062+Sens!$M$1063)</f>
        <v>0</v>
      </c>
      <c r="N1134" s="41" t="n">
        <f aca="false">Sens!$N$1060-(Sens!$N$1062+Sens!$N$1063)</f>
        <v>0</v>
      </c>
      <c r="O1134" s="41" t="n">
        <f aca="false">Sens!$O$1060-(Sens!$O$1062+Sens!$O$1063)</f>
        <v>0</v>
      </c>
    </row>
    <row r="1135" customFormat="false" ht="17.15" hidden="false" customHeight="false" outlineLevel="0" collapsed="false">
      <c r="A1135" s="24" t="s">
        <v>715</v>
      </c>
      <c r="B1135" s="25" t="s">
        <v>86</v>
      </c>
      <c r="C1135" s="41" t="n">
        <f aca="false">Sens!$C$1130+Sens!$C$1131-Sens!$C$1132</f>
        <v>0</v>
      </c>
      <c r="D1135" s="41" t="n">
        <f aca="false">Sens!$D$1130+Sens!$D$1131-Sens!$D$1132</f>
        <v>0</v>
      </c>
      <c r="E1135" s="41" t="n">
        <f aca="false">Sens!$E$1130+Sens!$E$1131-Sens!$E$1132</f>
        <v>0</v>
      </c>
      <c r="F1135" s="41" t="n">
        <f aca="false">Sens!$F$1130+Sens!$F$1131-Sens!$F$1132</f>
        <v>0</v>
      </c>
      <c r="G1135" s="41" t="n">
        <f aca="false">Sens!$G$1130+Sens!$G$1131-Sens!$G$1132</f>
        <v>0</v>
      </c>
      <c r="H1135" s="41" t="n">
        <f aca="false">Sens!$H$1130+Sens!$H$1131-Sens!$H$1132</f>
        <v>0</v>
      </c>
      <c r="I1135" s="41" t="n">
        <f aca="false">Sens!$I$1130+Sens!$I$1131-Sens!$I$1132</f>
        <v>0</v>
      </c>
      <c r="J1135" s="41" t="n">
        <f aca="false">Sens!$J$1130+Sens!$J$1131-Sens!$J$1132</f>
        <v>0</v>
      </c>
      <c r="K1135" s="41" t="n">
        <f aca="false">Sens!$K$1130+Sens!$K$1131-Sens!$K$1132</f>
        <v>0</v>
      </c>
      <c r="L1135" s="41" t="n">
        <f aca="false">Sens!$L$1130+Sens!$L$1131-Sens!$L$1132</f>
        <v>0</v>
      </c>
      <c r="M1135" s="41" t="n">
        <f aca="false">Sens!$M$1130+Sens!$M$1131-Sens!$M$1132</f>
        <v>0</v>
      </c>
      <c r="N1135" s="41" t="n">
        <f aca="false">Sens!$N$1130+Sens!$N$1131-Sens!$N$1132</f>
        <v>0</v>
      </c>
      <c r="O1135" s="41" t="n">
        <f aca="false">Sens!$O$1130+Sens!$O$1131-Sens!$O$1132</f>
        <v>0</v>
      </c>
    </row>
    <row r="1136" customFormat="false" ht="17.15" hidden="false" customHeight="false" outlineLevel="0" collapsed="false">
      <c r="A1136" s="24" t="s">
        <v>716</v>
      </c>
      <c r="B1136" s="25" t="s">
        <v>86</v>
      </c>
      <c r="C1136" s="41" t="n">
        <f aca="false">Sens!$C$1062+Sens!$C$1063+Sens!$C$1132-Sens!$C$1133</f>
        <v>0</v>
      </c>
      <c r="D1136" s="41" t="n">
        <f aca="false">Sens!$D$1062+Sens!$D$1063+Sens!$D$1132-Sens!$D$1133</f>
        <v>0</v>
      </c>
      <c r="E1136" s="41" t="n">
        <f aca="false">Sens!$E$1062+Sens!$E$1063+Sens!$E$1132-Sens!$E$1133</f>
        <v>0</v>
      </c>
      <c r="F1136" s="41" t="n">
        <f aca="false">Sens!$F$1062+Sens!$F$1063+Sens!$F$1132-Sens!$F$1133</f>
        <v>0</v>
      </c>
      <c r="G1136" s="41" t="n">
        <f aca="false">Sens!$G$1062+Sens!$G$1063+Sens!$G$1132-Sens!$G$1133</f>
        <v>0</v>
      </c>
      <c r="H1136" s="41" t="n">
        <f aca="false">Sens!$H$1062+Sens!$H$1063+Sens!$H$1132-Sens!$H$1133</f>
        <v>0</v>
      </c>
      <c r="I1136" s="41" t="n">
        <f aca="false">Sens!$I$1062+Sens!$I$1063+Sens!$I$1132-Sens!$I$1133</f>
        <v>0</v>
      </c>
      <c r="J1136" s="41" t="n">
        <f aca="false">Sens!$J$1062+Sens!$J$1063+Sens!$J$1132-Sens!$J$1133</f>
        <v>0</v>
      </c>
      <c r="K1136" s="41" t="n">
        <f aca="false">Sens!$K$1062+Sens!$K$1063+Sens!$K$1132-Sens!$K$1133</f>
        <v>0</v>
      </c>
      <c r="L1136" s="41" t="n">
        <f aca="false">Sens!$L$1062+Sens!$L$1063+Sens!$L$1132-Sens!$L$1133</f>
        <v>0</v>
      </c>
      <c r="M1136" s="41" t="n">
        <f aca="false">Sens!$M$1062+Sens!$M$1063+Sens!$M$1132-Sens!$M$1133</f>
        <v>0</v>
      </c>
      <c r="N1136" s="41" t="n">
        <f aca="false">Sens!$N$1062+Sens!$N$1063+Sens!$N$1132-Sens!$N$1133</f>
        <v>0</v>
      </c>
      <c r="O1136" s="41" t="n">
        <f aca="false">Sens!$O$1062+Sens!$O$1063+Sens!$O$1132-Sens!$O$1133</f>
        <v>0</v>
      </c>
    </row>
    <row r="1137" customFormat="false" ht="15" hidden="false" customHeight="false" outlineLevel="0" collapsed="false">
      <c r="A1137" s="5" t="s">
        <v>710</v>
      </c>
      <c r="B1137" s="0" t="s">
        <v>52</v>
      </c>
      <c r="G1137" s="13" t="n">
        <f aca="false">Sens!$G$1133/Sens!$D$1133-1</f>
        <v>0.140854504918937</v>
      </c>
      <c r="H1137" s="13" t="n">
        <f aca="false">Sens!$H$1133/Sens!$G$1133-1</f>
        <v>0.152063789793209</v>
      </c>
      <c r="I1137" s="13" t="n">
        <f aca="false">Sens!$I$1133/Sens!$H$1133-1</f>
        <v>0.134273264437417</v>
      </c>
      <c r="J1137" s="13" t="n">
        <f aca="false">Sens!$J$1133/Sens!$I$1133-1</f>
        <v>0.113310421234083</v>
      </c>
      <c r="K1137" s="13" t="n">
        <f aca="false">Sens!$K$1133/Sens!$J$1133-1</f>
        <v>0.0892108343223652</v>
      </c>
      <c r="L1137" s="13" t="n">
        <f aca="false">Sens!$L$1133/Sens!$K$1133-1</f>
        <v>0.076471362444261</v>
      </c>
      <c r="M1137" s="13" t="n">
        <f aca="false">Sens!$M$1133/Sens!$L$1133-1</f>
        <v>0.066250060256672</v>
      </c>
    </row>
    <row r="1138" customFormat="false" ht="17.15" hidden="false" customHeight="false" outlineLevel="0" collapsed="false">
      <c r="A1138" s="0" t="s">
        <v>711</v>
      </c>
      <c r="B1138" s="0" t="s">
        <v>52</v>
      </c>
      <c r="C1138" s="13" t="n">
        <f aca="false">Sens!$C$1132/Sens!$C$1133</f>
        <v>0.168593906504964</v>
      </c>
      <c r="D1138" s="13" t="n">
        <f aca="false">Sens!$D$1132/Sens!$D$1133</f>
        <v>0.179551807444025</v>
      </c>
      <c r="E1138" s="13" t="n">
        <f aca="false">Sens!$E$1132/Sens!$E$1133</f>
        <v>0.208881910369643</v>
      </c>
      <c r="F1138" s="13" t="n">
        <f aca="false">Sens!$F$1132/Sens!$F$1133</f>
        <v>0.199028269699356</v>
      </c>
      <c r="G1138" s="13" t="n">
        <f aca="false">Sens!$G$1132/Sens!$G$1133</f>
        <v>0.203631882529968</v>
      </c>
      <c r="H1138" s="13" t="n">
        <f aca="false">Sens!$H$1132/Sens!$H$1133</f>
        <v>0.234731715958496</v>
      </c>
      <c r="I1138" s="13" t="n">
        <f aca="false">Sens!$I$1132/Sens!$I$1133</f>
        <v>0.262231204480418</v>
      </c>
      <c r="J1138" s="13" t="n">
        <f aca="false">Sens!$J$1132/Sens!$J$1133</f>
        <v>0.284728366013706</v>
      </c>
      <c r="K1138" s="13" t="n">
        <f aca="false">Sens!$K$1132/Sens!$K$1133</f>
        <v>0.300823304959505</v>
      </c>
      <c r="L1138" s="13" t="n">
        <f aca="false">Sens!$L$1132/Sens!$L$1133</f>
        <v>0.308263164529735</v>
      </c>
      <c r="M1138" s="13" t="n">
        <f aca="false">Sens!$M$1132/Sens!$M$1133</f>
        <v>0.308856517936036</v>
      </c>
      <c r="N1138" s="13" t="n">
        <f aca="false">Sens!$N$1132/Sens!$N$1133</f>
        <v>0.185979484737251</v>
      </c>
      <c r="O1138" s="13" t="n">
        <f aca="false">Sens!$O$1132/Sens!$O$1133</f>
        <v>0.174270432341096</v>
      </c>
    </row>
    <row r="1139" customFormat="false" ht="17.15" hidden="false" customHeight="false" outlineLevel="0" collapsed="false">
      <c r="A1139" s="0" t="s">
        <v>712</v>
      </c>
      <c r="B1139" s="0" t="s">
        <v>52</v>
      </c>
      <c r="C1139" s="13" t="n">
        <f aca="false">Sens!$C$1130/Sens!$C$1132</f>
        <v>0.0215795060896058</v>
      </c>
      <c r="D1139" s="13" t="n">
        <f aca="false">Sens!$D$1130/Sens!$D$1132</f>
        <v>0.0676152269462122</v>
      </c>
      <c r="E1139" s="13" t="n">
        <f aca="false">Sens!$E$1130/Sens!$E$1132</f>
        <v>0.106620641395783</v>
      </c>
      <c r="F1139" s="13" t="n">
        <f aca="false">Sens!$F$1130/Sens!$F$1132</f>
        <v>0.172523487401099</v>
      </c>
      <c r="G1139" s="13" t="n">
        <f aca="false">Sens!$G$1130/Sens!$G$1132</f>
        <v>0.140939911795589</v>
      </c>
      <c r="H1139" s="13" t="n">
        <f aca="false">Sens!$H$1130/Sens!$H$1132</f>
        <v>0.272018642937714</v>
      </c>
      <c r="I1139" s="13" t="n">
        <f aca="false">Sens!$I$1130/Sens!$I$1132</f>
        <v>0.362159512436497</v>
      </c>
      <c r="J1139" s="13" t="n">
        <f aca="false">Sens!$J$1130/Sens!$J$1132</f>
        <v>0.422151735934609</v>
      </c>
      <c r="K1139" s="13" t="n">
        <f aca="false">Sens!$K$1130/Sens!$K$1132</f>
        <v>0.45769342068485</v>
      </c>
      <c r="L1139" s="13" t="n">
        <f aca="false">Sens!$L$1130/Sens!$L$1132</f>
        <v>0.469047103913472</v>
      </c>
      <c r="M1139" s="13" t="n">
        <f aca="false">Sens!$M$1130/Sens!$M$1132</f>
        <v>0.463233328258093</v>
      </c>
      <c r="N1139" s="13" t="n">
        <f aca="false">Sens!$N$1130/Sens!$N$1132</f>
        <v>0.0506537999838362</v>
      </c>
      <c r="O1139" s="13" t="n">
        <f aca="false">Sens!$O$1130/Sens!$O$1132</f>
        <v>0.0824881615167056</v>
      </c>
    </row>
    <row r="1142" customFormat="false" ht="19.4" hidden="false" customHeight="false" outlineLevel="0" collapsed="false">
      <c r="A1142" s="31" t="s">
        <v>1174</v>
      </c>
    </row>
    <row r="1143" customFormat="false" ht="17.15" hidden="false" customHeight="false" outlineLevel="0" collapsed="false">
      <c r="A1143" s="6" t="s">
        <v>16</v>
      </c>
      <c r="B1143" s="6" t="s">
        <v>17</v>
      </c>
      <c r="C1143" s="20" t="s">
        <v>504</v>
      </c>
      <c r="D1143" s="20" t="s">
        <v>505</v>
      </c>
      <c r="E1143" s="20" t="s">
        <v>587</v>
      </c>
      <c r="F1143" s="20" t="s">
        <v>588</v>
      </c>
      <c r="G1143" s="20" t="s">
        <v>589</v>
      </c>
      <c r="H1143" s="20" t="s">
        <v>590</v>
      </c>
      <c r="I1143" s="20" t="s">
        <v>591</v>
      </c>
      <c r="J1143" s="20" t="s">
        <v>592</v>
      </c>
      <c r="K1143" s="20" t="s">
        <v>593</v>
      </c>
      <c r="L1143" s="20" t="s">
        <v>594</v>
      </c>
      <c r="M1143" s="20" t="s">
        <v>595</v>
      </c>
      <c r="N1143" s="20" t="s">
        <v>596</v>
      </c>
      <c r="O1143" s="20" t="s">
        <v>597</v>
      </c>
      <c r="P1143" s="6" t="s">
        <v>23</v>
      </c>
      <c r="R1143" s="20" t="n">
        <v>2023</v>
      </c>
      <c r="S1143" s="20" t="n">
        <v>2024</v>
      </c>
      <c r="T1143" s="20" t="n">
        <v>2025</v>
      </c>
      <c r="U1143" s="20" t="n">
        <v>2026</v>
      </c>
      <c r="V1143" s="20" t="n">
        <v>2027</v>
      </c>
      <c r="W1143" s="20" t="n">
        <v>2028</v>
      </c>
      <c r="X1143" s="20" t="n">
        <v>2029</v>
      </c>
      <c r="Y1143" s="20" t="n">
        <v>2030</v>
      </c>
      <c r="Z1143" s="20" t="n">
        <v>2031</v>
      </c>
      <c r="AA1143" s="20" t="n">
        <v>2032</v>
      </c>
    </row>
    <row r="1144" customFormat="false" ht="17.15" hidden="false" customHeight="false" outlineLevel="0" collapsed="false">
      <c r="A1144" s="1" t="s">
        <v>727</v>
      </c>
    </row>
    <row r="1145" customFormat="false" ht="15" hidden="false" customHeight="false" outlineLevel="0" collapsed="false">
      <c r="A1145" s="0" t="s">
        <v>526</v>
      </c>
      <c r="B1145" s="0" t="s">
        <v>86</v>
      </c>
      <c r="C1145" s="38" t="n">
        <f aca="false">Sens!$C$1047</f>
        <v>247.029</v>
      </c>
      <c r="D1145" s="38" t="n">
        <f aca="false">Sens!$D$1047</f>
        <v>269.287</v>
      </c>
      <c r="E1145" s="38" t="n">
        <f aca="false">Sens!$E$1047</f>
        <v>134.686</v>
      </c>
      <c r="F1145" s="38" t="n">
        <f aca="false">Sens!$F$1047</f>
        <v>158.293876822267</v>
      </c>
      <c r="G1145" s="38" t="n">
        <f aca="false">Sens!$G$1047</f>
        <v>292.979876822267</v>
      </c>
      <c r="H1145" s="38" t="n">
        <f aca="false">Sens!$H$1047</f>
        <v>318.184543087396</v>
      </c>
      <c r="I1145" s="38" t="n">
        <f aca="false">Sens!$I$1047</f>
        <v>341.736278761793</v>
      </c>
      <c r="J1145" s="38" t="n">
        <f aca="false">Sens!$J$1047</f>
        <v>362.927192787048</v>
      </c>
      <c r="K1145" s="38" t="n">
        <f aca="false">Sens!$K$1047</f>
        <v>381.0735524264</v>
      </c>
      <c r="L1145" s="38" t="n">
        <f aca="false">Sens!$L$1047</f>
        <v>400.12723004772</v>
      </c>
      <c r="M1145" s="38" t="n">
        <f aca="false">Sens!$M$1047</f>
        <v>420.133591550106</v>
      </c>
      <c r="N1145" s="38" t="n">
        <f aca="false">Sens!$N$1047</f>
        <v>118.892</v>
      </c>
      <c r="O1145" s="38" t="n">
        <f aca="false">Sens!$O$1047</f>
        <v>150.395</v>
      </c>
    </row>
    <row r="1146" customFormat="false" ht="15" hidden="false" customHeight="false" outlineLevel="0" collapsed="false">
      <c r="A1146" s="0" t="s">
        <v>527</v>
      </c>
      <c r="B1146" s="0" t="s">
        <v>86</v>
      </c>
      <c r="C1146" s="38" t="n">
        <f aca="false">Sens!$C$1049</f>
        <v>21.215</v>
      </c>
      <c r="D1146" s="38" t="n">
        <f aca="false">Sens!$D$1049</f>
        <v>22.561</v>
      </c>
      <c r="E1146" s="38" t="n">
        <f aca="false">Sens!$E$1049</f>
        <v>11.579</v>
      </c>
      <c r="F1146" s="38" t="n">
        <f aca="false">Sens!$F$1049</f>
        <v>11.5938724610325</v>
      </c>
      <c r="G1146" s="38" t="n">
        <f aca="false">Sens!$G$1049</f>
        <v>23.1728724610325</v>
      </c>
      <c r="H1146" s="38" t="n">
        <f aca="false">Sens!$H$1049</f>
        <v>24.353392759506</v>
      </c>
      <c r="I1146" s="38" t="n">
        <f aca="false">Sens!$I$1049</f>
        <v>25.4240338872015</v>
      </c>
      <c r="J1146" s="38" t="n">
        <f aca="false">Sens!$J$1049</f>
        <v>26.3642491017174</v>
      </c>
      <c r="K1146" s="38" t="n">
        <f aca="false">Sens!$K$1049</f>
        <v>27.155176574769</v>
      </c>
      <c r="L1146" s="38" t="n">
        <f aca="false">Sens!$L$1049</f>
        <v>27.969831872012</v>
      </c>
      <c r="M1146" s="38" t="n">
        <f aca="false">Sens!$M$1049</f>
        <v>28.8089268281724</v>
      </c>
      <c r="N1146" s="38" t="n">
        <f aca="false">Sens!$N$1049</f>
        <v>11.128</v>
      </c>
      <c r="O1146" s="38" t="n">
        <f aca="false">Sens!$O$1049</f>
        <v>11.433</v>
      </c>
    </row>
    <row r="1147" customFormat="false" ht="15" hidden="false" customHeight="false" outlineLevel="0" collapsed="false">
      <c r="A1147" s="0" t="s">
        <v>528</v>
      </c>
      <c r="B1147" s="0" t="s">
        <v>86</v>
      </c>
      <c r="C1147" s="38" t="n">
        <f aca="false">Sens!$C$1051</f>
        <v>156.146</v>
      </c>
      <c r="D1147" s="38" t="n">
        <f aca="false">Sens!$D$1051</f>
        <v>172.162</v>
      </c>
      <c r="E1147" s="38" t="n">
        <f aca="false">Sens!$E$1051</f>
        <v>88.358</v>
      </c>
      <c r="F1147" s="38" t="n">
        <f aca="false">Sens!$F$1051</f>
        <v>102.004388260171</v>
      </c>
      <c r="G1147" s="38" t="n">
        <f aca="false">Sens!$G$1051</f>
        <v>190.362388260171</v>
      </c>
      <c r="H1147" s="38" t="n">
        <f aca="false">Sens!$H$1051</f>
        <v>210.343106588311</v>
      </c>
      <c r="I1147" s="38" t="n">
        <f aca="false">Sens!$I$1051</f>
        <v>229.969728494648</v>
      </c>
      <c r="J1147" s="38" t="n">
        <f aca="false">Sens!$J$1051</f>
        <v>248.747636972598</v>
      </c>
      <c r="K1147" s="38" t="n">
        <f aca="false">Sens!$K$1051</f>
        <v>266.15997156068</v>
      </c>
      <c r="L1147" s="38" t="n">
        <f aca="false">Sens!$L$1051</f>
        <v>284.791169569927</v>
      </c>
      <c r="M1147" s="38" t="n">
        <f aca="false">Sens!$M$1051</f>
        <v>304.726551439822</v>
      </c>
      <c r="N1147" s="38" t="n">
        <f aca="false">Sens!$N$1051</f>
        <v>76.86</v>
      </c>
      <c r="O1147" s="38" t="n">
        <f aca="false">Sens!$O$1051</f>
        <v>95.302</v>
      </c>
    </row>
    <row r="1148" customFormat="false" ht="15" hidden="false" customHeight="false" outlineLevel="0" collapsed="false">
      <c r="A1148" s="0" t="s">
        <v>529</v>
      </c>
      <c r="B1148" s="0" t="s">
        <v>86</v>
      </c>
      <c r="C1148" s="38" t="n">
        <f aca="false">Sens!$C$1053</f>
        <v>56.214</v>
      </c>
      <c r="D1148" s="38" t="n">
        <f aca="false">Sens!$D$1053</f>
        <v>68.635</v>
      </c>
      <c r="E1148" s="38" t="n">
        <f aca="false">Sens!$E$1053</f>
        <v>37.052</v>
      </c>
      <c r="F1148" s="38" t="n">
        <f aca="false">Sens!$F$1053</f>
        <v>46.1572219944148</v>
      </c>
      <c r="G1148" s="38" t="n">
        <f aca="false">Sens!$G$1053</f>
        <v>83.2092219944148</v>
      </c>
      <c r="H1148" s="38" t="n">
        <f aca="false">Sens!$H$1053</f>
        <v>99.8969223878976</v>
      </c>
      <c r="I1148" s="38" t="n">
        <f aca="false">Sens!$I$1053</f>
        <v>116.583111095496</v>
      </c>
      <c r="J1148" s="38" t="n">
        <f aca="false">Sens!$J$1053</f>
        <v>132.148941941952</v>
      </c>
      <c r="K1148" s="38" t="n">
        <f aca="false">Sens!$K$1053</f>
        <v>145.363836136147</v>
      </c>
      <c r="L1148" s="38" t="n">
        <f aca="false">Sens!$L$1053</f>
        <v>159.900219749762</v>
      </c>
      <c r="M1148" s="38" t="n">
        <f aca="false">Sens!$M$1053</f>
        <v>175.890241724738</v>
      </c>
      <c r="N1148" s="38" t="n">
        <f aca="false">Sens!$N$1053</f>
        <v>29.615</v>
      </c>
      <c r="O1148" s="38" t="n">
        <f aca="false">Sens!$O$1053</f>
        <v>39.02</v>
      </c>
    </row>
    <row r="1149" customFormat="false" ht="15" hidden="false" customHeight="false" outlineLevel="0" collapsed="false">
      <c r="A1149" s="0" t="s">
        <v>530</v>
      </c>
      <c r="B1149" s="0" t="s">
        <v>86</v>
      </c>
      <c r="C1149" s="38" t="n">
        <f aca="false">Sens!$C$1055</f>
        <v>44.374</v>
      </c>
      <c r="D1149" s="38" t="n">
        <f aca="false">Sens!$D$1055</f>
        <v>49.619</v>
      </c>
      <c r="E1149" s="38" t="n">
        <f aca="false">Sens!$E$1055</f>
        <v>27.157</v>
      </c>
      <c r="F1149" s="38" t="n">
        <f aca="false">Sens!$F$1055</f>
        <v>27.7764165988154</v>
      </c>
      <c r="G1149" s="38" t="n">
        <f aca="false">Sens!$G$1055</f>
        <v>54.9334165988154</v>
      </c>
      <c r="H1149" s="38" t="n">
        <f aca="false">Sens!$H$1055</f>
        <v>61.1564112561829</v>
      </c>
      <c r="I1149" s="38" t="n">
        <f aca="false">Sens!$I$1055</f>
        <v>67.2020282103945</v>
      </c>
      <c r="J1149" s="38" t="n">
        <f aca="false">Sens!$J$1055</f>
        <v>72.8757274028885</v>
      </c>
      <c r="K1149" s="38" t="n">
        <f aca="false">Sens!$K$1055</f>
        <v>77.9770283210907</v>
      </c>
      <c r="L1149" s="38" t="n">
        <f aca="false">Sens!$L$1055</f>
        <v>83.4354203035671</v>
      </c>
      <c r="M1149" s="38" t="n">
        <f aca="false">Sens!$M$1055</f>
        <v>89.2758997248168</v>
      </c>
      <c r="N1149" s="38" t="n">
        <f aca="false">Sens!$N$1055</f>
        <v>23.923</v>
      </c>
      <c r="O1149" s="38" t="n">
        <f aca="false">Sens!$O$1055</f>
        <v>25.696</v>
      </c>
    </row>
    <row r="1150" customFormat="false" ht="15" hidden="false" customHeight="false" outlineLevel="0" collapsed="false">
      <c r="A1150" s="0" t="s">
        <v>531</v>
      </c>
      <c r="B1150" s="0" t="s">
        <v>86</v>
      </c>
      <c r="C1150" s="38" t="n">
        <f aca="false">Sens!$C$1057</f>
        <v>5.425</v>
      </c>
      <c r="D1150" s="38" t="n">
        <f aca="false">Sens!$D$1057</f>
        <v>5.935</v>
      </c>
      <c r="E1150" s="38" t="n">
        <f aca="false">Sens!$E$1057</f>
        <v>3.474</v>
      </c>
      <c r="F1150" s="38" t="n">
        <f aca="false">Sens!$F$1057</f>
        <v>3.22246550883619</v>
      </c>
      <c r="G1150" s="38" t="n">
        <f aca="false">Sens!$G$1057</f>
        <v>6.69646550883619</v>
      </c>
      <c r="H1150" s="38" t="n">
        <f aca="false">Sens!$H$1057</f>
        <v>7.16251344209196</v>
      </c>
      <c r="I1150" s="38" t="n">
        <f aca="false">Sens!$I$1057</f>
        <v>7.61421070299826</v>
      </c>
      <c r="J1150" s="38" t="n">
        <f aca="false">Sens!$J$1057</f>
        <v>8.04465753523932</v>
      </c>
      <c r="K1150" s="38" t="n">
        <f aca="false">Sens!$K$1057</f>
        <v>8.44689041200128</v>
      </c>
      <c r="L1150" s="38" t="n">
        <f aca="false">Sens!$L$1057</f>
        <v>8.86923493260135</v>
      </c>
      <c r="M1150" s="38" t="n">
        <f aca="false">Sens!$M$1057</f>
        <v>9.31269667923142</v>
      </c>
      <c r="N1150" s="38" t="n">
        <f aca="false">Sens!$N$1057</f>
        <v>2.811</v>
      </c>
      <c r="O1150" s="38" t="n">
        <f aca="false">Sens!$O$1057</f>
        <v>3.124</v>
      </c>
    </row>
    <row r="1151" customFormat="false" ht="17.15" hidden="false" customHeight="false" outlineLevel="0" collapsed="false">
      <c r="A1151" s="0" t="s">
        <v>728</v>
      </c>
      <c r="B1151" s="0" t="s">
        <v>86</v>
      </c>
      <c r="C1151" s="38" t="n">
        <f aca="false">Sens!$C$1132</f>
        <v>107.556</v>
      </c>
      <c r="D1151" s="38" t="n">
        <f aca="false">Sens!$D$1132</f>
        <v>128.725</v>
      </c>
      <c r="E1151" s="38" t="n">
        <f aca="false">Sens!$E$1132</f>
        <v>79.819</v>
      </c>
      <c r="F1151" s="38" t="n">
        <f aca="false">Sens!$F$1132</f>
        <v>86.7327334389669</v>
      </c>
      <c r="G1151" s="38" t="n">
        <f aca="false">Sens!$G$1132</f>
        <v>166.551733438967</v>
      </c>
      <c r="H1151" s="38" t="n">
        <f aca="false">Sens!$H$1132</f>
        <v>221.182967828978</v>
      </c>
      <c r="I1151" s="38" t="n">
        <f aca="false">Sens!$I$1132</f>
        <v>280.27345865789</v>
      </c>
      <c r="J1151" s="38" t="n">
        <f aca="false">Sens!$J$1132</f>
        <v>338.800945197185</v>
      </c>
      <c r="K1151" s="38" t="n">
        <f aca="false">Sens!$K$1132</f>
        <v>389.88570147276</v>
      </c>
      <c r="L1151" s="38" t="n">
        <f aca="false">Sens!$L$1132</f>
        <v>430.080689379143</v>
      </c>
      <c r="M1151" s="38" t="n">
        <f aca="false">Sens!$M$1132</f>
        <v>459.456235951751</v>
      </c>
      <c r="N1151" s="38" t="n">
        <f aca="false">Sens!$N$1132</f>
        <v>60.14</v>
      </c>
      <c r="O1151" s="38" t="n">
        <f aca="false">Sens!$O$1132</f>
        <v>68.585</v>
      </c>
    </row>
    <row r="1152" customFormat="false" ht="15" hidden="false" customHeight="false" outlineLevel="0" collapsed="false">
      <c r="A1152" s="1" t="s">
        <v>519</v>
      </c>
      <c r="B1152" s="8" t="s">
        <v>86</v>
      </c>
      <c r="C1152" s="38" t="n">
        <f aca="false">Sens!$C$1062</f>
        <v>387.497</v>
      </c>
      <c r="D1152" s="38" t="n">
        <f aca="false">Sens!$D$1062</f>
        <v>426.305</v>
      </c>
      <c r="E1152" s="38" t="n">
        <f aca="false">Sens!$E$1062</f>
        <v>220.32</v>
      </c>
      <c r="F1152" s="38" t="n">
        <f aca="false">Sens!$F$1062</f>
        <v>250.639773480586</v>
      </c>
      <c r="G1152" s="38" t="n">
        <f aca="false">Sens!$G$1062</f>
        <v>470.959773480586</v>
      </c>
      <c r="H1152" s="38" t="n">
        <f aca="false">Sens!$H$1062</f>
        <v>521.386990416437</v>
      </c>
      <c r="I1152" s="38" t="n">
        <f aca="false">Sens!$I$1062</f>
        <v>570.143862887555</v>
      </c>
      <c r="J1152" s="38" t="n">
        <f aca="false">Sens!$J$1062</f>
        <v>615.391435791933</v>
      </c>
      <c r="K1152" s="38" t="n">
        <f aca="false">Sens!$K$1062</f>
        <v>655.208227561543</v>
      </c>
      <c r="L1152" s="38" t="n">
        <f aca="false">Sens!$L$1062</f>
        <v>697.807739249767</v>
      </c>
      <c r="M1152" s="38" t="n">
        <f aca="false">Sens!$M$1062</f>
        <v>743.399328463592</v>
      </c>
      <c r="N1152" s="38" t="n">
        <f aca="false">Sens!$N$1062</f>
        <v>192.955</v>
      </c>
      <c r="O1152" s="38" t="n">
        <f aca="false">Sens!$O$1062</f>
        <v>233.35</v>
      </c>
    </row>
    <row r="1153" customFormat="false" ht="15" hidden="false" customHeight="false" outlineLevel="0" collapsed="false">
      <c r="A1153" s="1" t="s">
        <v>522</v>
      </c>
      <c r="B1153" s="8" t="s">
        <v>86</v>
      </c>
      <c r="C1153" s="38" t="n">
        <f aca="false">Sens!$C$1063</f>
        <v>142.906</v>
      </c>
      <c r="D1153" s="38" t="n">
        <f aca="false">Sens!$D$1063</f>
        <v>161.894</v>
      </c>
      <c r="E1153" s="38" t="n">
        <f aca="false">Sens!$E$1063</f>
        <v>81.986</v>
      </c>
      <c r="F1153" s="38" t="n">
        <f aca="false">Sens!$F$1063</f>
        <v>98.408468164951</v>
      </c>
      <c r="G1153" s="38" t="n">
        <f aca="false">Sens!$G$1063</f>
        <v>180.394468164951</v>
      </c>
      <c r="H1153" s="38" t="n">
        <f aca="false">Sens!$H$1063</f>
        <v>199.709899104949</v>
      </c>
      <c r="I1153" s="38" t="n">
        <f aca="false">Sens!$I$1063</f>
        <v>218.385528264976</v>
      </c>
      <c r="J1153" s="38" t="n">
        <f aca="false">Sens!$J$1063</f>
        <v>235.71696994951</v>
      </c>
      <c r="K1153" s="38" t="n">
        <f aca="false">Sens!$K$1063</f>
        <v>250.968227869545</v>
      </c>
      <c r="L1153" s="38" t="n">
        <f aca="false">Sens!$L$1063</f>
        <v>267.285367225822</v>
      </c>
      <c r="M1153" s="38" t="n">
        <f aca="false">Sens!$M$1063</f>
        <v>284.748579483295</v>
      </c>
      <c r="N1153" s="38" t="n">
        <f aca="false">Sens!$N$1063</f>
        <v>70.274</v>
      </c>
      <c r="O1153" s="38" t="n">
        <f aca="false">Sens!$O$1063</f>
        <v>91.62</v>
      </c>
    </row>
    <row r="1154" customFormat="false" ht="15" hidden="false" customHeight="false" outlineLevel="0" collapsed="false">
      <c r="A1154" s="1" t="s">
        <v>523</v>
      </c>
      <c r="B1154" s="8" t="s">
        <v>86</v>
      </c>
      <c r="C1154" s="38" t="n">
        <f aca="false">Sens!$C$1132</f>
        <v>107.556</v>
      </c>
      <c r="D1154" s="38" t="n">
        <f aca="false">Sens!$D$1132</f>
        <v>128.725</v>
      </c>
      <c r="E1154" s="38" t="n">
        <f aca="false">Sens!$E$1132</f>
        <v>79.819</v>
      </c>
      <c r="F1154" s="38" t="n">
        <f aca="false">Sens!$F$1132</f>
        <v>86.7327334389669</v>
      </c>
      <c r="G1154" s="38" t="n">
        <f aca="false">Sens!$G$1132</f>
        <v>166.551733438967</v>
      </c>
      <c r="H1154" s="38" t="n">
        <f aca="false">Sens!$H$1132</f>
        <v>221.182967828978</v>
      </c>
      <c r="I1154" s="38" t="n">
        <f aca="false">Sens!$I$1132</f>
        <v>280.27345865789</v>
      </c>
      <c r="J1154" s="38" t="n">
        <f aca="false">Sens!$J$1132</f>
        <v>338.800945197185</v>
      </c>
      <c r="K1154" s="38" t="n">
        <f aca="false">Sens!$K$1132</f>
        <v>389.88570147276</v>
      </c>
      <c r="L1154" s="38" t="n">
        <f aca="false">Sens!$L$1132</f>
        <v>430.080689379143</v>
      </c>
      <c r="M1154" s="38" t="n">
        <f aca="false">Sens!$M$1132</f>
        <v>459.456235951751</v>
      </c>
      <c r="N1154" s="38" t="n">
        <f aca="false">Sens!$N$1132</f>
        <v>60.14</v>
      </c>
      <c r="O1154" s="38" t="n">
        <f aca="false">Sens!$O$1132</f>
        <v>68.585</v>
      </c>
    </row>
    <row r="1155" customFormat="false" ht="17.15" hidden="false" customHeight="false" outlineLevel="0" collapsed="false">
      <c r="A1155" s="0" t="s">
        <v>702</v>
      </c>
      <c r="B1155" s="0" t="s">
        <v>86</v>
      </c>
      <c r="C1155" s="38" t="n">
        <f aca="false">Sens!$C$1130</f>
        <v>2.32100535697364</v>
      </c>
      <c r="D1155" s="38" t="n">
        <f aca="false">Sens!$D$1130</f>
        <v>8.70377008865116</v>
      </c>
      <c r="E1155" s="38" t="n">
        <f aca="false">Sens!$E$1130</f>
        <v>8.51035297557002</v>
      </c>
      <c r="F1155" s="38" t="n">
        <f aca="false">Sens!$F$1130</f>
        <v>14.9634336447205</v>
      </c>
      <c r="G1155" s="38" t="n">
        <f aca="false">Sens!$G$1130</f>
        <v>23.4737866202905</v>
      </c>
      <c r="H1155" s="38" t="n">
        <f aca="false">Sens!$H$1130</f>
        <v>60.1658907497746</v>
      </c>
      <c r="I1155" s="38" t="n">
        <f aca="false">Sens!$I$1130</f>
        <v>101.503699136432</v>
      </c>
      <c r="J1155" s="38" t="n">
        <f aca="false">Sens!$J$1130</f>
        <v>143.025407151278</v>
      </c>
      <c r="K1155" s="38" t="n">
        <f aca="false">Sens!$K$1130</f>
        <v>178.44812038318</v>
      </c>
      <c r="L1155" s="38" t="n">
        <f aca="false">Sens!$L$1130</f>
        <v>201.728101802396</v>
      </c>
      <c r="M1155" s="38" t="n">
        <f aca="false">Sens!$M$1130</f>
        <v>212.835441368865</v>
      </c>
      <c r="N1155" s="38" t="n">
        <f aca="false">Sens!$N$1130</f>
        <v>3.04631953102791</v>
      </c>
      <c r="O1155" s="38" t="n">
        <f aca="false">Sens!$O$1130</f>
        <v>5.65745055762326</v>
      </c>
    </row>
    <row r="1156" customFormat="false" ht="17.15" hidden="false" customHeight="false" outlineLevel="0" collapsed="false">
      <c r="A1156" s="0" t="s">
        <v>704</v>
      </c>
      <c r="B1156" s="0" t="s">
        <v>86</v>
      </c>
      <c r="C1156" s="38" t="n">
        <f aca="false">Sens!$C$1131</f>
        <v>105.234994643026</v>
      </c>
      <c r="D1156" s="38" t="n">
        <f aca="false">Sens!$D$1131</f>
        <v>120.021229911349</v>
      </c>
      <c r="E1156" s="38" t="n">
        <f aca="false">Sens!$E$1131</f>
        <v>71.30864702443</v>
      </c>
      <c r="F1156" s="38" t="n">
        <f aca="false">Sens!$F$1131</f>
        <v>71.7692997942464</v>
      </c>
      <c r="G1156" s="38" t="n">
        <f aca="false">Sens!$G$1131</f>
        <v>143.077946818676</v>
      </c>
      <c r="H1156" s="38" t="n">
        <f aca="false">Sens!$H$1131</f>
        <v>161.017077079203</v>
      </c>
      <c r="I1156" s="38" t="n">
        <f aca="false">Sens!$I$1131</f>
        <v>178.769759521457</v>
      </c>
      <c r="J1156" s="38" t="n">
        <f aca="false">Sens!$J$1131</f>
        <v>195.775538045907</v>
      </c>
      <c r="K1156" s="38" t="n">
        <f aca="false">Sens!$K$1131</f>
        <v>211.43758108958</v>
      </c>
      <c r="L1156" s="38" t="n">
        <f aca="false">Sens!$L$1131</f>
        <v>228.352587576746</v>
      </c>
      <c r="M1156" s="38" t="n">
        <f aca="false">Sens!$M$1131</f>
        <v>246.620794582886</v>
      </c>
      <c r="N1156" s="38" t="n">
        <f aca="false">Sens!$N$1131</f>
        <v>57.0936804689721</v>
      </c>
      <c r="O1156" s="38" t="n">
        <f aca="false">Sens!$O$1131</f>
        <v>62.9275494423768</v>
      </c>
    </row>
    <row r="1157" customFormat="false" ht="15" hidden="false" customHeight="false" outlineLevel="0" collapsed="false">
      <c r="A1157" s="3" t="s">
        <v>524</v>
      </c>
      <c r="B1157" s="8" t="s">
        <v>86</v>
      </c>
      <c r="C1157" s="38" t="n">
        <f aca="false">Sens!$C$1133</f>
        <v>637.959</v>
      </c>
      <c r="D1157" s="38" t="n">
        <f aca="false">Sens!$D$1133</f>
        <v>716.924</v>
      </c>
      <c r="E1157" s="38" t="n">
        <f aca="false">Sens!$E$1133</f>
        <v>382.125</v>
      </c>
      <c r="F1157" s="38" t="n">
        <f aca="false">Sens!$F$1133</f>
        <v>435.780975084504</v>
      </c>
      <c r="G1157" s="38" t="n">
        <f aca="false">Sens!$G$1133</f>
        <v>817.905975084504</v>
      </c>
      <c r="H1157" s="38" t="n">
        <f aca="false">Sens!$H$1133</f>
        <v>942.279857350364</v>
      </c>
      <c r="I1157" s="38" t="n">
        <f aca="false">Sens!$I$1133</f>
        <v>1068.80284981042</v>
      </c>
      <c r="J1157" s="38" t="n">
        <f aca="false">Sens!$J$1133</f>
        <v>1189.90935093863</v>
      </c>
      <c r="K1157" s="38" t="n">
        <f aca="false">Sens!$K$1133</f>
        <v>1296.06215690385</v>
      </c>
      <c r="L1157" s="38" t="n">
        <f aca="false">Sens!$L$1133</f>
        <v>1395.17379585473</v>
      </c>
      <c r="M1157" s="38" t="n">
        <f aca="false">Sens!$M$1133</f>
        <v>1487.60414389864</v>
      </c>
      <c r="N1157" s="38" t="n">
        <f aca="false">Sens!$N$1133</f>
        <v>323.369</v>
      </c>
      <c r="O1157" s="38" t="n">
        <f aca="false">Sens!$O$1133</f>
        <v>393.555</v>
      </c>
    </row>
    <row r="1158" customFormat="false" ht="17.15" hidden="false" customHeight="false" outlineLevel="0" collapsed="false">
      <c r="A1158" s="24" t="s">
        <v>714</v>
      </c>
      <c r="B1158" s="25" t="s">
        <v>86</v>
      </c>
      <c r="C1158" s="41" t="n">
        <f aca="false">Sens!$C$1145+Sens!$C$1146+Sens!$C$1147+Sens!$C$1148+Sens!$C$1149+Sens!$C$1150-(Sens!$C$1152+Sens!$C$1153)</f>
        <v>0</v>
      </c>
      <c r="D1158" s="41" t="n">
        <f aca="false">Sens!$D$1145+Sens!$D$1146+Sens!$D$1147+Sens!$D$1148+Sens!$D$1149+Sens!$D$1150-(Sens!$D$1152+Sens!$D$1153)</f>
        <v>0</v>
      </c>
      <c r="E1158" s="41" t="n">
        <f aca="false">Sens!$E$1145+Sens!$E$1146+Sens!$E$1147+Sens!$E$1148+Sens!$E$1149+Sens!$E$1150-(Sens!$E$1152+Sens!$E$1153)</f>
        <v>0</v>
      </c>
      <c r="F1158" s="41" t="n">
        <f aca="false">Sens!$F$1145+Sens!$F$1146+Sens!$F$1147+Sens!$F$1148+Sens!$F$1149+Sens!$F$1150-(Sens!$F$1152+Sens!$F$1153)</f>
        <v>0</v>
      </c>
      <c r="G1158" s="41" t="n">
        <f aca="false">Sens!$G$1145+Sens!$G$1146+Sens!$G$1147+Sens!$G$1148+Sens!$G$1149+Sens!$G$1150-(Sens!$G$1152+Sens!$G$1153)</f>
        <v>0</v>
      </c>
      <c r="H1158" s="41" t="n">
        <f aca="false">Sens!$H$1145+Sens!$H$1146+Sens!$H$1147+Sens!$H$1148+Sens!$H$1149+Sens!$H$1150-(Sens!$H$1152+Sens!$H$1153)</f>
        <v>0</v>
      </c>
      <c r="I1158" s="41" t="n">
        <f aca="false">Sens!$I$1145+Sens!$I$1146+Sens!$I$1147+Sens!$I$1148+Sens!$I$1149+Sens!$I$1150-(Sens!$I$1152+Sens!$I$1153)</f>
        <v>0</v>
      </c>
      <c r="J1158" s="41" t="n">
        <f aca="false">Sens!$J$1145+Sens!$J$1146+Sens!$J$1147+Sens!$J$1148+Sens!$J$1149+Sens!$J$1150-(Sens!$J$1152+Sens!$J$1153)</f>
        <v>0</v>
      </c>
      <c r="K1158" s="41" t="n">
        <f aca="false">Sens!$K$1145+Sens!$K$1146+Sens!$K$1147+Sens!$K$1148+Sens!$K$1149+Sens!$K$1150-(Sens!$K$1152+Sens!$K$1153)</f>
        <v>0</v>
      </c>
      <c r="L1158" s="41" t="n">
        <f aca="false">Sens!$L$1145+Sens!$L$1146+Sens!$L$1147+Sens!$L$1148+Sens!$L$1149+Sens!$L$1150-(Sens!$L$1152+Sens!$L$1153)</f>
        <v>0</v>
      </c>
      <c r="M1158" s="41" t="n">
        <f aca="false">Sens!$M$1145+Sens!$M$1146+Sens!$M$1147+Sens!$M$1148+Sens!$M$1149+Sens!$M$1150-(Sens!$M$1152+Sens!$M$1153)</f>
        <v>0</v>
      </c>
      <c r="N1158" s="41" t="n">
        <f aca="false">Sens!$N$1145+Sens!$N$1146+Sens!$N$1147+Sens!$N$1148+Sens!$N$1149+Sens!$N$1150-(Sens!$N$1152+Sens!$N$1153)</f>
        <v>0</v>
      </c>
      <c r="O1158" s="41" t="n">
        <f aca="false">Sens!$O$1145+Sens!$O$1146+Sens!$O$1147+Sens!$O$1148+Sens!$O$1149+Sens!$O$1150-(Sens!$O$1152+Sens!$O$1153)</f>
        <v>0</v>
      </c>
    </row>
    <row r="1159" customFormat="false" ht="17.15" hidden="false" customHeight="false" outlineLevel="0" collapsed="false">
      <c r="A1159" s="24" t="s">
        <v>715</v>
      </c>
      <c r="B1159" s="25" t="s">
        <v>86</v>
      </c>
      <c r="C1159" s="41" t="n">
        <f aca="false">Sens!$C$1155+Sens!$C$1156-Sens!$C$1154</f>
        <v>0</v>
      </c>
      <c r="D1159" s="41" t="n">
        <f aca="false">Sens!$D$1155+Sens!$D$1156-Sens!$D$1154</f>
        <v>0</v>
      </c>
      <c r="E1159" s="41" t="n">
        <f aca="false">Sens!$E$1155+Sens!$E$1156-Sens!$E$1154</f>
        <v>0</v>
      </c>
      <c r="F1159" s="41" t="n">
        <f aca="false">Sens!$F$1155+Sens!$F$1156-Sens!$F$1154</f>
        <v>0</v>
      </c>
      <c r="G1159" s="41" t="n">
        <f aca="false">Sens!$G$1155+Sens!$G$1156-Sens!$G$1154</f>
        <v>0</v>
      </c>
      <c r="H1159" s="41" t="n">
        <f aca="false">Sens!$H$1155+Sens!$H$1156-Sens!$H$1154</f>
        <v>0</v>
      </c>
      <c r="I1159" s="41" t="n">
        <f aca="false">Sens!$I$1155+Sens!$I$1156-Sens!$I$1154</f>
        <v>0</v>
      </c>
      <c r="J1159" s="41" t="n">
        <f aca="false">Sens!$J$1155+Sens!$J$1156-Sens!$J$1154</f>
        <v>0</v>
      </c>
      <c r="K1159" s="41" t="n">
        <f aca="false">Sens!$K$1155+Sens!$K$1156-Sens!$K$1154</f>
        <v>0</v>
      </c>
      <c r="L1159" s="41" t="n">
        <f aca="false">Sens!$L$1155+Sens!$L$1156-Sens!$L$1154</f>
        <v>0</v>
      </c>
      <c r="M1159" s="41" t="n">
        <f aca="false">Sens!$M$1155+Sens!$M$1156-Sens!$M$1154</f>
        <v>0</v>
      </c>
      <c r="N1159" s="41" t="n">
        <f aca="false">Sens!$N$1155+Sens!$N$1156-Sens!$N$1154</f>
        <v>0</v>
      </c>
      <c r="O1159" s="41" t="n">
        <f aca="false">Sens!$O$1155+Sens!$O$1156-Sens!$O$1154</f>
        <v>0</v>
      </c>
    </row>
    <row r="1160" customFormat="false" ht="17.15" hidden="false" customHeight="false" outlineLevel="0" collapsed="false">
      <c r="A1160" s="24" t="s">
        <v>774</v>
      </c>
      <c r="B1160" s="25" t="s">
        <v>86</v>
      </c>
      <c r="C1160" s="41" t="n">
        <f aca="false">Sens!$C$1145+Sens!$C$1146+Sens!$C$1147+Sens!$C$1148+Sens!$C$1149+Sens!$C$1150+Sens!$C$1151-Sens!$C$1157</f>
        <v>0</v>
      </c>
      <c r="D1160" s="41" t="n">
        <f aca="false">Sens!$D$1145+Sens!$D$1146+Sens!$D$1147+Sens!$D$1148+Sens!$D$1149+Sens!$D$1150+Sens!$D$1151-Sens!$D$1157</f>
        <v>0</v>
      </c>
      <c r="E1160" s="41" t="n">
        <f aca="false">Sens!$E$1145+Sens!$E$1146+Sens!$E$1147+Sens!$E$1148+Sens!$E$1149+Sens!$E$1150+Sens!$E$1151-Sens!$E$1157</f>
        <v>0</v>
      </c>
      <c r="F1160" s="41" t="n">
        <f aca="false">Sens!$F$1145+Sens!$F$1146+Sens!$F$1147+Sens!$F$1148+Sens!$F$1149+Sens!$F$1150+Sens!$F$1151-Sens!$F$1157</f>
        <v>0</v>
      </c>
      <c r="G1160" s="41" t="n">
        <f aca="false">Sens!$G$1145+Sens!$G$1146+Sens!$G$1147+Sens!$G$1148+Sens!$G$1149+Sens!$G$1150+Sens!$G$1151-Sens!$G$1157</f>
        <v>0</v>
      </c>
      <c r="H1160" s="41" t="n">
        <f aca="false">Sens!$H$1145+Sens!$H$1146+Sens!$H$1147+Sens!$H$1148+Sens!$H$1149+Sens!$H$1150+Sens!$H$1151-Sens!$H$1157</f>
        <v>0</v>
      </c>
      <c r="I1160" s="41" t="n">
        <f aca="false">Sens!$I$1145+Sens!$I$1146+Sens!$I$1147+Sens!$I$1148+Sens!$I$1149+Sens!$I$1150+Sens!$I$1151-Sens!$I$1157</f>
        <v>0</v>
      </c>
      <c r="J1160" s="41" t="n">
        <f aca="false">Sens!$J$1145+Sens!$J$1146+Sens!$J$1147+Sens!$J$1148+Sens!$J$1149+Sens!$J$1150+Sens!$J$1151-Sens!$J$1157</f>
        <v>0</v>
      </c>
      <c r="K1160" s="41" t="n">
        <f aca="false">Sens!$K$1145+Sens!$K$1146+Sens!$K$1147+Sens!$K$1148+Sens!$K$1149+Sens!$K$1150+Sens!$K$1151-Sens!$K$1157</f>
        <v>0</v>
      </c>
      <c r="L1160" s="41" t="n">
        <f aca="false">Sens!$L$1145+Sens!$L$1146+Sens!$L$1147+Sens!$L$1148+Sens!$L$1149+Sens!$L$1150+Sens!$L$1151-Sens!$L$1157</f>
        <v>0</v>
      </c>
      <c r="M1160" s="41" t="n">
        <f aca="false">Sens!$M$1145+Sens!$M$1146+Sens!$M$1147+Sens!$M$1148+Sens!$M$1149+Sens!$M$1150+Sens!$M$1151-Sens!$M$1157</f>
        <v>0</v>
      </c>
      <c r="N1160" s="41" t="n">
        <f aca="false">Sens!$N$1145+Sens!$N$1146+Sens!$N$1147+Sens!$N$1148+Sens!$N$1149+Sens!$N$1150+Sens!$N$1151-Sens!$N$1157</f>
        <v>0</v>
      </c>
      <c r="O1160" s="41" t="n">
        <f aca="false">Sens!$O$1145+Sens!$O$1146+Sens!$O$1147+Sens!$O$1148+Sens!$O$1149+Sens!$O$1150+Sens!$O$1151-Sens!$O$1157</f>
        <v>0</v>
      </c>
    </row>
    <row r="1161" customFormat="false" ht="17.15" hidden="false" customHeight="false" outlineLevel="0" collapsed="false">
      <c r="A1161" s="24" t="s">
        <v>716</v>
      </c>
      <c r="B1161" s="25" t="s">
        <v>86</v>
      </c>
      <c r="C1161" s="41" t="n">
        <f aca="false">Sens!$C$1152+Sens!$C$1153+Sens!$C$1154-Sens!$C$1157</f>
        <v>0</v>
      </c>
      <c r="D1161" s="41" t="n">
        <f aca="false">Sens!$D$1152+Sens!$D$1153+Sens!$D$1154-Sens!$D$1157</f>
        <v>0</v>
      </c>
      <c r="E1161" s="41" t="n">
        <f aca="false">Sens!$E$1152+Sens!$E$1153+Sens!$E$1154-Sens!$E$1157</f>
        <v>0</v>
      </c>
      <c r="F1161" s="41" t="n">
        <f aca="false">Sens!$F$1152+Sens!$F$1153+Sens!$F$1154-Sens!$F$1157</f>
        <v>0</v>
      </c>
      <c r="G1161" s="41" t="n">
        <f aca="false">Sens!$G$1152+Sens!$G$1153+Sens!$G$1154-Sens!$G$1157</f>
        <v>0</v>
      </c>
      <c r="H1161" s="41" t="n">
        <f aca="false">Sens!$H$1152+Sens!$H$1153+Sens!$H$1154-Sens!$H$1157</f>
        <v>0</v>
      </c>
      <c r="I1161" s="41" t="n">
        <f aca="false">Sens!$I$1152+Sens!$I$1153+Sens!$I$1154-Sens!$I$1157</f>
        <v>0</v>
      </c>
      <c r="J1161" s="41" t="n">
        <f aca="false">Sens!$J$1152+Sens!$J$1153+Sens!$J$1154-Sens!$J$1157</f>
        <v>0</v>
      </c>
      <c r="K1161" s="41" t="n">
        <f aca="false">Sens!$K$1152+Sens!$K$1153+Sens!$K$1154-Sens!$K$1157</f>
        <v>0</v>
      </c>
      <c r="L1161" s="41" t="n">
        <f aca="false">Sens!$L$1152+Sens!$L$1153+Sens!$L$1154-Sens!$L$1157</f>
        <v>0</v>
      </c>
      <c r="M1161" s="41" t="n">
        <f aca="false">Sens!$M$1152+Sens!$M$1153+Sens!$M$1154-Sens!$M$1157</f>
        <v>0</v>
      </c>
      <c r="N1161" s="41" t="n">
        <f aca="false">Sens!$N$1152+Sens!$N$1153+Sens!$N$1154-Sens!$N$1157</f>
        <v>0</v>
      </c>
      <c r="O1161" s="41" t="n">
        <f aca="false">Sens!$O$1152+Sens!$O$1153+Sens!$O$1154-Sens!$O$1157</f>
        <v>0</v>
      </c>
    </row>
    <row r="1162" customFormat="false" ht="17.15" hidden="false" customHeight="false" outlineLevel="0" collapsed="false">
      <c r="A1162" s="1" t="s">
        <v>730</v>
      </c>
    </row>
    <row r="1163" customFormat="false" ht="17.15" hidden="false" customHeight="false" outlineLevel="0" collapsed="false">
      <c r="A1163" s="0" t="s">
        <v>731</v>
      </c>
      <c r="B1163" s="0" t="s">
        <v>86</v>
      </c>
      <c r="C1163" s="38" t="n">
        <f aca="false">Sens!$C$1064*m_ad</f>
        <v>20.5341564414228</v>
      </c>
      <c r="D1163" s="38" t="n">
        <f aca="false">Sens!$D$1064*m_ad</f>
        <v>24.8720617299587</v>
      </c>
      <c r="E1163" s="38" t="n">
        <f aca="false">Sens!$E$1064*m_ad</f>
        <v>13.5017112462207</v>
      </c>
      <c r="F1163" s="38" t="n">
        <f aca="false">Sens!$F$1064*m_ad</f>
        <v>16.5719724165257</v>
      </c>
      <c r="G1163" s="38" t="n">
        <f aca="false">Sens!$G$1064*m_ad</f>
        <v>30.0820919220415</v>
      </c>
      <c r="H1163" s="38" t="n">
        <f aca="false">Sens!$H$1064*m_ad</f>
        <v>36.1150883276314</v>
      </c>
      <c r="I1163" s="38" t="n">
        <f aca="false">Sens!$I$1064*m_ad</f>
        <v>42.1475382231996</v>
      </c>
      <c r="J1163" s="38" t="n">
        <f aca="false">Sens!$J$1064*m_ad</f>
        <v>47.7749523864693</v>
      </c>
      <c r="K1163" s="38" t="n">
        <f aca="false">Sens!$K$1064*m_ad</f>
        <v>52.5524476251162</v>
      </c>
      <c r="L1163" s="38" t="n">
        <f aca="false">Sens!$L$1064*m_ad</f>
        <v>57.8076923876279</v>
      </c>
      <c r="M1163" s="38" t="n">
        <f aca="false">Sens!$M$1064*m_ad</f>
        <v>63.5884616263907</v>
      </c>
      <c r="N1163" s="38" t="n">
        <f aca="false">Sens!$N$1064*m_ad</f>
        <v>10.8543555706248</v>
      </c>
      <c r="O1163" s="38" t="n">
        <f aca="false">Sens!$O$1064*m_ad</f>
        <v>14.0094731821399</v>
      </c>
    </row>
    <row r="1164" customFormat="false" ht="17.15" hidden="false" customHeight="false" outlineLevel="0" collapsed="false">
      <c r="A1164" s="0" t="s">
        <v>732</v>
      </c>
      <c r="B1164" s="0" t="s">
        <v>86</v>
      </c>
      <c r="C1164" s="38" t="n">
        <f aca="false">Sens!$C$1062-Sens!$C$1064</f>
        <v>346.428687117154</v>
      </c>
      <c r="D1164" s="38" t="n">
        <f aca="false">Sens!$D$1062-Sens!$D$1064</f>
        <v>376.560876540083</v>
      </c>
      <c r="E1164" s="38" t="n">
        <f aca="false">Sens!$E$1062-Sens!$E$1064</f>
        <v>193.316577507559</v>
      </c>
      <c r="F1164" s="38" t="n">
        <f aca="false">Sens!$F$1062-Sens!$F$1064</f>
        <v>217.495828647535</v>
      </c>
      <c r="G1164" s="38" t="n">
        <f aca="false">Sens!$G$1062-Sens!$G$1064</f>
        <v>410.795589636503</v>
      </c>
      <c r="H1164" s="38" t="n">
        <f aca="false">Sens!$H$1062-Sens!$H$1064</f>
        <v>449.156813761174</v>
      </c>
      <c r="I1164" s="38" t="n">
        <f aca="false">Sens!$I$1062-Sens!$I$1064</f>
        <v>485.848786441156</v>
      </c>
      <c r="J1164" s="38" t="n">
        <f aca="false">Sens!$J$1062-Sens!$J$1064</f>
        <v>519.841531018994</v>
      </c>
      <c r="K1164" s="38" t="n">
        <f aca="false">Sens!$K$1062-Sens!$K$1064</f>
        <v>550.103332311311</v>
      </c>
      <c r="L1164" s="38" t="n">
        <f aca="false">Sens!$L$1062-Sens!$L$1064</f>
        <v>582.192354474511</v>
      </c>
      <c r="M1164" s="38" t="n">
        <f aca="false">Sens!$M$1062-Sens!$M$1064</f>
        <v>616.22240521081</v>
      </c>
      <c r="N1164" s="38" t="n">
        <f aca="false">Sens!$N$1062-Sens!$N$1064</f>
        <v>171.24628885875</v>
      </c>
      <c r="O1164" s="38" t="n">
        <f aca="false">Sens!$O$1062-Sens!$O$1064</f>
        <v>205.33105363572</v>
      </c>
    </row>
    <row r="1165" customFormat="false" ht="17.15" hidden="false" customHeight="false" outlineLevel="0" collapsed="false">
      <c r="A1165" s="0" t="s">
        <v>733</v>
      </c>
      <c r="B1165" s="0" t="s">
        <v>86</v>
      </c>
      <c r="C1165" s="38" t="n">
        <f aca="false">Sens!$C$1116*Sens!$C$1061</f>
        <v>0</v>
      </c>
      <c r="D1165" s="38" t="n">
        <f aca="false">Sens!$D$1116*Sens!$D$1061</f>
        <v>0</v>
      </c>
      <c r="E1165" s="38" t="n">
        <f aca="false">Sens!$E$1116*Sens!$E$1061</f>
        <v>0</v>
      </c>
      <c r="F1165" s="38" t="n">
        <f aca="false">Sens!$F$1116*Sens!$F$1061</f>
        <v>0</v>
      </c>
      <c r="G1165" s="38" t="n">
        <f aca="false">Sens!$G$1116*Sens!$G$1061</f>
        <v>0</v>
      </c>
      <c r="H1165" s="38" t="n">
        <f aca="false">Sens!$H$1116*Sens!$H$1061</f>
        <v>0</v>
      </c>
      <c r="I1165" s="38" t="n">
        <f aca="false">Sens!$I$1116*Sens!$I$1061</f>
        <v>0</v>
      </c>
      <c r="J1165" s="38" t="n">
        <f aca="false">Sens!$J$1116*Sens!$J$1061</f>
        <v>0</v>
      </c>
      <c r="K1165" s="38" t="n">
        <f aca="false">Sens!$K$1116*Sens!$K$1061</f>
        <v>0</v>
      </c>
      <c r="L1165" s="38" t="n">
        <f aca="false">Sens!$L$1116*Sens!$L$1061</f>
        <v>0</v>
      </c>
      <c r="M1165" s="38" t="n">
        <f aca="false">Sens!$M$1116*Sens!$M$1061</f>
        <v>0</v>
      </c>
      <c r="N1165" s="38" t="n">
        <f aca="false">Sens!$N$1116*Sens!$N$1061</f>
        <v>0</v>
      </c>
      <c r="O1165" s="38" t="n">
        <f aca="false">Sens!$O$1116*Sens!$O$1061</f>
        <v>0</v>
      </c>
    </row>
    <row r="1166" customFormat="false" ht="17.15" hidden="false" customHeight="false" outlineLevel="0" collapsed="false">
      <c r="A1166" s="0" t="s">
        <v>734</v>
      </c>
      <c r="B1166" s="0" t="s">
        <v>52</v>
      </c>
      <c r="C1166" s="28" t="n">
        <f aca="false">(Sens!$C$1167-Sens!$C$1163+Sens!$C$1165)/Sens!$C$1164</f>
        <v>0.0127958328031826</v>
      </c>
      <c r="D1166" s="28" t="n">
        <f aca="false">(Sens!$D$1167-Sens!$D$1163+Sens!$D$1165)/Sens!$D$1164</f>
        <v>0.0126060314965726</v>
      </c>
      <c r="E1166" s="28" t="n">
        <f aca="false">(Sens!$E$1167-Sens!$E$1163+Sens!$E$1165)/Sens!$E$1164</f>
        <v>0.0201135815868003</v>
      </c>
      <c r="F1166" s="28" t="n">
        <f aca="false">Sens!$O$1166+(Sens!$E$1166-Sens!$N$1166)</f>
        <v>0.0164587930208895</v>
      </c>
      <c r="G1166" s="28" t="n">
        <f aca="false">(Sens!$G$1167-Sens!$G$1163+Sens!$G$1165)/Sens!$G$1164</f>
        <v>0.0181589080050774</v>
      </c>
      <c r="H1166" s="28" t="n">
        <f aca="false">Sens!$G$1166+step_na</f>
        <v>0.0211589080050774</v>
      </c>
      <c r="I1166" s="28" t="n">
        <f aca="false">Sens!$H$1166+step_na</f>
        <v>0.0241589080050774</v>
      </c>
      <c r="J1166" s="28" t="n">
        <f aca="false">Sens!$I$1166+step_na</f>
        <v>0.0271589080050774</v>
      </c>
      <c r="K1166" s="28" t="n">
        <f aca="false">Sens!$J$1166+step_na</f>
        <v>0.0301589080050774</v>
      </c>
      <c r="L1166" s="28" t="n">
        <f aca="false">Sens!$K$1166</f>
        <v>0.0301589080050774</v>
      </c>
      <c r="M1166" s="28" t="n">
        <f aca="false">Sens!$L$1166</f>
        <v>0.0301589080050774</v>
      </c>
      <c r="N1166" s="28" t="n">
        <f aca="false">(Sens!$N$1167-Sens!$N$1163+Sens!$N$1165)/Sens!$N$1164</f>
        <v>0.0146201383169259</v>
      </c>
      <c r="O1166" s="28" t="n">
        <f aca="false">(Sens!$O$1167-Sens!$O$1163+Sens!$O$1165)/Sens!$O$1164</f>
        <v>0.0109653497510151</v>
      </c>
      <c r="P1166" s="8" t="s">
        <v>735</v>
      </c>
    </row>
    <row r="1167" customFormat="false" ht="17.15" hidden="false" customHeight="false" outlineLevel="0" collapsed="false">
      <c r="A1167" s="1" t="s">
        <v>736</v>
      </c>
      <c r="B1167" s="8" t="s">
        <v>86</v>
      </c>
      <c r="C1167" s="38" t="n">
        <f aca="false">Q!$D$22</f>
        <v>24.967</v>
      </c>
      <c r="D1167" s="38" t="n">
        <f aca="false">Q!$E$22</f>
        <v>29.619</v>
      </c>
      <c r="E1167" s="38" t="n">
        <f aca="false">Q!$P$22</f>
        <v>17.39</v>
      </c>
      <c r="F1167" s="38" t="n">
        <f aca="false">Sens!$F$1163+Sens!$F$1164*Sens!$F$1166-Sens!$F$1165</f>
        <v>20.1516912431423</v>
      </c>
      <c r="G1167" s="38" t="n">
        <f aca="false">Sens!$E$1167+Sens!$F$1167</f>
        <v>37.5416912431423</v>
      </c>
      <c r="H1167" s="38" t="n">
        <f aca="false">Sens!$H$1163+Sens!$H$1164*Sens!$H$1166-Sens!$H$1165</f>
        <v>45.6187560298578</v>
      </c>
      <c r="I1167" s="38" t="n">
        <f aca="false">Sens!$I$1163+Sens!$I$1164*Sens!$I$1166-Sens!$I$1165</f>
        <v>53.8851143592099</v>
      </c>
      <c r="J1167" s="38" t="n">
        <f aca="false">Sens!$J$1163+Sens!$J$1164*Sens!$J$1166-Sens!$J$1165</f>
        <v>61.8932807046327</v>
      </c>
      <c r="K1167" s="38" t="n">
        <f aca="false">Sens!$K$1163+Sens!$K$1164*Sens!$K$1166-Sens!$K$1165</f>
        <v>69.1429634175796</v>
      </c>
      <c r="L1167" s="38" t="n">
        <f aca="false">Sens!$L$1163+Sens!$L$1164*Sens!$L$1166-Sens!$L$1165</f>
        <v>75.365978047484</v>
      </c>
      <c r="M1167" s="38" t="n">
        <f aca="false">Sens!$M$1163+Sens!$M$1164*Sens!$M$1166-Sens!$M$1165</f>
        <v>82.173056455811</v>
      </c>
      <c r="N1167" s="38" t="n">
        <f aca="false">Q!$N$22</f>
        <v>13.358</v>
      </c>
      <c r="O1167" s="38" t="n">
        <f aca="false">Q!$O$22</f>
        <v>16.261</v>
      </c>
    </row>
    <row r="1168" customFormat="false" ht="17.15" hidden="false" customHeight="false" outlineLevel="0" collapsed="false">
      <c r="A1168" s="0" t="s">
        <v>737</v>
      </c>
      <c r="B1168" s="0" t="s">
        <v>86</v>
      </c>
      <c r="C1168" s="38" t="n">
        <f aca="false">Sens!$C$1065*m_ad</f>
        <v>7.57284355857716</v>
      </c>
      <c r="D1168" s="38" t="n">
        <f aca="false">Sens!$D$1065*m_ad</f>
        <v>9.44543827004127</v>
      </c>
      <c r="E1168" s="38" t="n">
        <f aca="false">Sens!$E$1065*m_ad</f>
        <v>5.02428875377928</v>
      </c>
      <c r="F1168" s="38" t="n">
        <f aca="false">Sens!$F$1065*m_ad</f>
        <v>6.50663858068173</v>
      </c>
      <c r="G1168" s="38" t="n">
        <f aca="false">Sens!$G$1065*m_ad</f>
        <v>11.5225190751659</v>
      </c>
      <c r="H1168" s="38" t="n">
        <f aca="false">Sens!$H$1065*m_ad</f>
        <v>13.8333728663174</v>
      </c>
      <c r="I1168" s="38" t="n">
        <f aca="false">Sens!$I$1065*m_ad</f>
        <v>16.1440173245485</v>
      </c>
      <c r="J1168" s="38" t="n">
        <f aca="false">Sens!$J$1065*m_ad</f>
        <v>18.2995185845066</v>
      </c>
      <c r="K1168" s="38" t="n">
        <f aca="false">Sens!$K$1065*m_ad</f>
        <v>20.1294704429572</v>
      </c>
      <c r="L1168" s="38" t="n">
        <f aca="false">Sens!$L$1065*m_ad</f>
        <v>22.142417487253</v>
      </c>
      <c r="M1168" s="38" t="n">
        <f aca="false">Sens!$M$1065*m_ad</f>
        <v>24.3566592359783</v>
      </c>
      <c r="N1168" s="38" t="n">
        <f aca="false">Sens!$N$1065*m_ad</f>
        <v>3.95314442937518</v>
      </c>
      <c r="O1168" s="38" t="n">
        <f aca="false">Sens!$O$1065*m_ad</f>
        <v>5.50052681786011</v>
      </c>
    </row>
    <row r="1169" customFormat="false" ht="17.15" hidden="false" customHeight="false" outlineLevel="0" collapsed="false">
      <c r="A1169" s="0" t="s">
        <v>738</v>
      </c>
      <c r="B1169" s="0" t="s">
        <v>86</v>
      </c>
      <c r="C1169" s="38" t="n">
        <f aca="false">Sens!$C$1063-Sens!$C$1065</f>
        <v>127.760312882846</v>
      </c>
      <c r="D1169" s="38" t="n">
        <f aca="false">Sens!$D$1063-Sens!$D$1065</f>
        <v>143.003123459917</v>
      </c>
      <c r="E1169" s="38" t="n">
        <f aca="false">Sens!$E$1063-Sens!$E$1065</f>
        <v>71.9374224924414</v>
      </c>
      <c r="F1169" s="38" t="n">
        <f aca="false">Sens!$F$1063-Sens!$F$1065</f>
        <v>85.3951910035875</v>
      </c>
      <c r="G1169" s="38" t="n">
        <f aca="false">Sens!$G$1063-Sens!$G$1065</f>
        <v>157.349430014619</v>
      </c>
      <c r="H1169" s="38" t="n">
        <f aca="false">Sens!$H$1063-Sens!$H$1065</f>
        <v>172.043153372315</v>
      </c>
      <c r="I1169" s="38" t="n">
        <f aca="false">Sens!$I$1063-Sens!$I$1065</f>
        <v>186.097493615879</v>
      </c>
      <c r="J1169" s="38" t="n">
        <f aca="false">Sens!$J$1063-Sens!$J$1065</f>
        <v>199.117932780497</v>
      </c>
      <c r="K1169" s="38" t="n">
        <f aca="false">Sens!$K$1063-Sens!$K$1065</f>
        <v>210.70928698363</v>
      </c>
      <c r="L1169" s="38" t="n">
        <f aca="false">Sens!$L$1063-Sens!$L$1065</f>
        <v>223.000532251316</v>
      </c>
      <c r="M1169" s="38" t="n">
        <f aca="false">Sens!$M$1063-Sens!$M$1065</f>
        <v>236.035261011339</v>
      </c>
      <c r="N1169" s="38" t="n">
        <f aca="false">Sens!$N$1063-Sens!$N$1065</f>
        <v>62.3677111412496</v>
      </c>
      <c r="O1169" s="38" t="n">
        <f aca="false">Sens!$O$1063-Sens!$O$1065</f>
        <v>80.6189463642798</v>
      </c>
    </row>
    <row r="1170" customFormat="false" ht="17.15" hidden="false" customHeight="false" outlineLevel="0" collapsed="false">
      <c r="A1170" s="0" t="s">
        <v>739</v>
      </c>
      <c r="B1170" s="0" t="s">
        <v>86</v>
      </c>
      <c r="C1170" s="38" t="n">
        <f aca="false">Sens!$C$1116*(1-Sens!$C$1061)</f>
        <v>0</v>
      </c>
      <c r="D1170" s="38" t="n">
        <f aca="false">Sens!$D$1116*(1-Sens!$D$1061)</f>
        <v>0</v>
      </c>
      <c r="E1170" s="38" t="n">
        <f aca="false">Sens!$E$1116*(1-Sens!$E$1061)</f>
        <v>0</v>
      </c>
      <c r="F1170" s="38" t="n">
        <f aca="false">Sens!$F$1116*(1-Sens!$F$1061)</f>
        <v>0</v>
      </c>
      <c r="G1170" s="38" t="n">
        <f aca="false">Sens!$G$1116*(1-Sens!$G$1061)</f>
        <v>0</v>
      </c>
      <c r="H1170" s="38" t="n">
        <f aca="false">Sens!$H$1116*(1-Sens!$H$1061)</f>
        <v>0</v>
      </c>
      <c r="I1170" s="38" t="n">
        <f aca="false">Sens!$I$1116*(1-Sens!$I$1061)</f>
        <v>0</v>
      </c>
      <c r="J1170" s="38" t="n">
        <f aca="false">Sens!$J$1116*(1-Sens!$J$1061)</f>
        <v>0</v>
      </c>
      <c r="K1170" s="38" t="n">
        <f aca="false">Sens!$K$1116*(1-Sens!$K$1061)</f>
        <v>0</v>
      </c>
      <c r="L1170" s="38" t="n">
        <f aca="false">Sens!$L$1116*(1-Sens!$L$1061)</f>
        <v>0</v>
      </c>
      <c r="M1170" s="38" t="n">
        <f aca="false">Sens!$M$1116*(1-Sens!$M$1061)</f>
        <v>0</v>
      </c>
      <c r="N1170" s="38" t="n">
        <f aca="false">Sens!$N$1116*(1-Sens!$N$1061)</f>
        <v>0</v>
      </c>
      <c r="O1170" s="38" t="n">
        <f aca="false">Sens!$O$1116*(1-Sens!$O$1061)</f>
        <v>0</v>
      </c>
    </row>
    <row r="1171" customFormat="false" ht="17.15" hidden="false" customHeight="false" outlineLevel="0" collapsed="false">
      <c r="A1171" s="0" t="s">
        <v>740</v>
      </c>
      <c r="B1171" s="0" t="s">
        <v>52</v>
      </c>
      <c r="C1171" s="28" t="n">
        <f aca="false">(Sens!$C$1172-Sens!$C$1168+Sens!$C$1170)/Sens!$C$1169</f>
        <v>-0.0295932553174328</v>
      </c>
      <c r="D1171" s="28" t="n">
        <f aca="false">(Sens!$D$1172-Sens!$D$1168+Sens!$D$1170)/Sens!$D$1169</f>
        <v>-0.0328345154737642</v>
      </c>
      <c r="E1171" s="28" t="n">
        <f aca="false">(Sens!$E$1172-Sens!$E$1168+Sens!$E$1170)/Sens!$E$1169</f>
        <v>-0.0261795417256875</v>
      </c>
      <c r="F1171" s="28" t="n">
        <f aca="false">Sens!$O$1171+(Sens!$E$1171-Sens!$N$1171)</f>
        <v>-0.0435123710750293</v>
      </c>
      <c r="G1171" s="28" t="n">
        <f aca="false">(Sens!$G$1172-Sens!$G$1168+Sens!$G$1170)/Sens!$G$1169</f>
        <v>-0.0355300157931035</v>
      </c>
      <c r="H1171" s="28" t="n">
        <f aca="false">Sens!$G$1171+step_in</f>
        <v>-0.0355300157931035</v>
      </c>
      <c r="I1171" s="28" t="n">
        <f aca="false">Sens!$H$1171+step_in</f>
        <v>-0.0355300157931035</v>
      </c>
      <c r="J1171" s="28" t="n">
        <f aca="false">Sens!$I$1171+step_in</f>
        <v>-0.0355300157931035</v>
      </c>
      <c r="K1171" s="28" t="n">
        <f aca="false">Sens!$J$1171+step_in</f>
        <v>-0.0355300157931035</v>
      </c>
      <c r="L1171" s="28" t="n">
        <f aca="false">Sens!$K$1171</f>
        <v>-0.0355300157931035</v>
      </c>
      <c r="M1171" s="28" t="n">
        <f aca="false">Sens!$L$1171</f>
        <v>-0.0355300157931035</v>
      </c>
      <c r="N1171" s="28" t="n">
        <f aca="false">(Sens!$N$1172-Sens!$N$1168+Sens!$N$1170)/Sens!$N$1169</f>
        <v>-0.0231232540522295</v>
      </c>
      <c r="O1171" s="28" t="n">
        <f aca="false">(Sens!$O$1172-Sens!$O$1168+Sens!$O$1170)/Sens!$O$1169</f>
        <v>-0.0404560834015714</v>
      </c>
      <c r="P1171" s="8" t="s">
        <v>735</v>
      </c>
    </row>
    <row r="1172" customFormat="false" ht="17.15" hidden="false" customHeight="false" outlineLevel="0" collapsed="false">
      <c r="A1172" s="1" t="s">
        <v>741</v>
      </c>
      <c r="B1172" s="8" t="s">
        <v>86</v>
      </c>
      <c r="C1172" s="38" t="n">
        <f aca="false">Q!$D$23</f>
        <v>3.792</v>
      </c>
      <c r="D1172" s="38" t="n">
        <f aca="false">Q!$E$23</f>
        <v>4.75</v>
      </c>
      <c r="E1172" s="38" t="n">
        <f aca="false">Q!$P$23</f>
        <v>3.141</v>
      </c>
      <c r="F1172" s="38" t="n">
        <f aca="false">Sens!$F$1168+Sens!$F$1169*Sens!$F$1171-Sens!$F$1170</f>
        <v>2.79089134171062</v>
      </c>
      <c r="G1172" s="38" t="n">
        <f aca="false">Sens!$E$1172+Sens!$F$1172</f>
        <v>5.93189134171062</v>
      </c>
      <c r="H1172" s="38" t="n">
        <f aca="false">Sens!$H$1168+Sens!$H$1169*Sens!$H$1171-Sens!$H$1170</f>
        <v>7.7206769099037</v>
      </c>
      <c r="I1172" s="38" t="n">
        <f aca="false">Sens!$I$1168+Sens!$I$1169*Sens!$I$1171-Sens!$I$1170</f>
        <v>9.53197043731938</v>
      </c>
      <c r="J1172" s="38" t="n">
        <f aca="false">Sens!$J$1168+Sens!$J$1169*Sens!$J$1171-Sens!$J$1170</f>
        <v>11.2248552881254</v>
      </c>
      <c r="K1172" s="38" t="n">
        <f aca="false">Sens!$K$1168+Sens!$K$1169*Sens!$K$1171-Sens!$K$1170</f>
        <v>12.6429661486753</v>
      </c>
      <c r="L1172" s="38" t="n">
        <f aca="false">Sens!$L$1168+Sens!$L$1169*Sens!$L$1171-Sens!$L$1170</f>
        <v>14.2192050544932</v>
      </c>
      <c r="M1172" s="38" t="n">
        <f aca="false">Sens!$M$1168+Sens!$M$1169*Sens!$M$1171-Sens!$M$1170</f>
        <v>15.9703226845161</v>
      </c>
      <c r="N1172" s="38" t="n">
        <f aca="false">Q!$N$23</f>
        <v>2.511</v>
      </c>
      <c r="O1172" s="38" t="n">
        <f aca="false">Q!$O$23</f>
        <v>2.239</v>
      </c>
    </row>
    <row r="1173" customFormat="false" ht="17.15" hidden="false" customHeight="false" outlineLevel="0" collapsed="false">
      <c r="A1173" s="0" t="s">
        <v>742</v>
      </c>
      <c r="B1173" s="0" t="s">
        <v>86</v>
      </c>
      <c r="C1173" s="38" t="n">
        <f aca="false">Sens!$C$1113</f>
        <v>1.60348603981278</v>
      </c>
      <c r="D1173" s="38" t="n">
        <f aca="false">Sens!$D$1113</f>
        <v>5.35055794800523</v>
      </c>
      <c r="E1173" s="38" t="n">
        <f aca="false">Sens!$E$1113</f>
        <v>2.06466599976435</v>
      </c>
      <c r="F1173" s="38" t="n">
        <f aca="false">Sens!$F$1113</f>
        <v>7.15924042471168</v>
      </c>
      <c r="G1173" s="38" t="n">
        <f aca="false">Sens!$G$1113</f>
        <v>9.22390642447603</v>
      </c>
      <c r="H1173" s="38" t="n">
        <f aca="false">Sens!$H$1113</f>
        <v>18.412002504013</v>
      </c>
      <c r="I1173" s="38" t="n">
        <f aca="false">Sens!$I$1113</f>
        <v>24.1263512073762</v>
      </c>
      <c r="J1173" s="38" t="n">
        <f aca="false">Sens!$J$1113</f>
        <v>34.3431836831596</v>
      </c>
      <c r="K1173" s="38" t="n">
        <f aca="false">Sens!$K$1113</f>
        <v>39.1647402840778</v>
      </c>
      <c r="L1173" s="38" t="n">
        <f aca="false">Sens!$L$1113</f>
        <v>41.2220682600775</v>
      </c>
      <c r="M1173" s="38" t="n">
        <f aca="false">Sens!$M$1113</f>
        <v>41.2108547821215</v>
      </c>
      <c r="N1173" s="38" t="n">
        <f aca="false">Sens!$N$1113</f>
        <v>1.6588696055087</v>
      </c>
      <c r="O1173" s="38" t="n">
        <f aca="false">Sens!$O$1113</f>
        <v>3.69168834249652</v>
      </c>
    </row>
    <row r="1174" customFormat="false" ht="17.15" hidden="false" customHeight="false" outlineLevel="0" collapsed="false">
      <c r="A1174" s="0" t="s">
        <v>660</v>
      </c>
      <c r="B1174" s="0" t="s">
        <v>86</v>
      </c>
      <c r="C1174" s="38" t="n">
        <f aca="false">Sens!$C$1118</f>
        <v>38.2305139601872</v>
      </c>
      <c r="D1174" s="38" t="n">
        <f aca="false">Sens!$D$1118</f>
        <v>40.2554420519948</v>
      </c>
      <c r="E1174" s="38" t="n">
        <f aca="false">Sens!$E$1118</f>
        <v>28.7173340002357</v>
      </c>
      <c r="F1174" s="38" t="n">
        <f aca="false">Sens!$F$1118</f>
        <v>26.157531678915</v>
      </c>
      <c r="G1174" s="38" t="n">
        <f aca="false">Sens!$G$1118</f>
        <v>54.8748656791506</v>
      </c>
      <c r="H1174" s="38" t="n">
        <f aca="false">Sens!$H$1118</f>
        <v>58.6853892488889</v>
      </c>
      <c r="I1174" s="38" t="n">
        <f aca="false">Sens!$I$1118</f>
        <v>65.1556537589269</v>
      </c>
      <c r="J1174" s="38" t="n">
        <f aca="false">Sens!$J$1118</f>
        <v>71.3536965397981</v>
      </c>
      <c r="K1174" s="38" t="n">
        <f aca="false">Sens!$K$1118</f>
        <v>77.0619922629819</v>
      </c>
      <c r="L1174" s="38" t="n">
        <f aca="false">Sens!$L$1118</f>
        <v>83.2269516440205</v>
      </c>
      <c r="M1174" s="38" t="n">
        <f aca="false">Sens!$M$1118</f>
        <v>89.8851077755421</v>
      </c>
      <c r="N1174" s="38" t="n">
        <f aca="false">Sens!$N$1118</f>
        <v>20.0481303944913</v>
      </c>
      <c r="O1174" s="38" t="n">
        <f aca="false">Sens!$O$1118</f>
        <v>20.2073116575035</v>
      </c>
    </row>
    <row r="1175" customFormat="false" ht="17.15" hidden="false" customHeight="false" outlineLevel="0" collapsed="false">
      <c r="A1175" s="1" t="s">
        <v>743</v>
      </c>
      <c r="B1175" s="8" t="s">
        <v>86</v>
      </c>
      <c r="C1175" s="38" t="n">
        <f aca="false">Q!$D$24</f>
        <v>39.834</v>
      </c>
      <c r="D1175" s="38" t="n">
        <f aca="false">Q!$E$24</f>
        <v>45.606</v>
      </c>
      <c r="E1175" s="38" t="n">
        <f aca="false">Q!$P$24</f>
        <v>30.782</v>
      </c>
      <c r="F1175" s="38" t="n">
        <f aca="false">Sens!$F$1173+Sens!$F$1174</f>
        <v>33.3167721036267</v>
      </c>
      <c r="G1175" s="38" t="n">
        <f aca="false">Sens!$G$1173+Sens!$G$1174</f>
        <v>64.0987721036267</v>
      </c>
      <c r="H1175" s="38" t="n">
        <f aca="false">Sens!$H$1173+Sens!$H$1174</f>
        <v>77.0973917529019</v>
      </c>
      <c r="I1175" s="38" t="n">
        <f aca="false">Sens!$I$1173+Sens!$I$1174</f>
        <v>89.2820049663031</v>
      </c>
      <c r="J1175" s="38" t="n">
        <f aca="false">Sens!$J$1173+Sens!$J$1174</f>
        <v>105.696880222958</v>
      </c>
      <c r="K1175" s="38" t="n">
        <f aca="false">Sens!$K$1173+Sens!$K$1174</f>
        <v>116.22673254706</v>
      </c>
      <c r="L1175" s="38" t="n">
        <f aca="false">Sens!$L$1173+Sens!$L$1174</f>
        <v>124.449019904098</v>
      </c>
      <c r="M1175" s="38" t="n">
        <f aca="false">Sens!$M$1173+Sens!$M$1174</f>
        <v>131.095962557664</v>
      </c>
      <c r="N1175" s="38" t="n">
        <f aca="false">Q!$N$24</f>
        <v>21.707</v>
      </c>
      <c r="O1175" s="38" t="n">
        <f aca="false">Q!$O$24</f>
        <v>23.899</v>
      </c>
    </row>
    <row r="1176" customFormat="false" ht="17.15" hidden="false" customHeight="false" outlineLevel="0" collapsed="false">
      <c r="A1176" s="5" t="s">
        <v>744</v>
      </c>
      <c r="B1176" s="0" t="s">
        <v>86</v>
      </c>
      <c r="C1176" s="38" t="n">
        <f aca="false">Q!$D$26</f>
        <v>0</v>
      </c>
      <c r="D1176" s="38" t="n">
        <f aca="false">Q!$E$26</f>
        <v>0</v>
      </c>
      <c r="E1176" s="38" t="n">
        <f aca="false">Q!$P$26</f>
        <v>0</v>
      </c>
      <c r="F1176" s="39" t="n">
        <v>0</v>
      </c>
      <c r="G1176" s="38" t="n">
        <f aca="false">Sens!$E$1176+Sens!$F$1176</f>
        <v>0</v>
      </c>
      <c r="H1176" s="39" t="n">
        <v>0</v>
      </c>
      <c r="I1176" s="39" t="n">
        <v>0</v>
      </c>
      <c r="J1176" s="39" t="n">
        <v>0</v>
      </c>
      <c r="K1176" s="39" t="n">
        <v>0</v>
      </c>
      <c r="L1176" s="39" t="n">
        <v>0</v>
      </c>
      <c r="M1176" s="39" t="n">
        <v>0</v>
      </c>
      <c r="N1176" s="38" t="n">
        <f aca="false">Q!$N$26</f>
        <v>0</v>
      </c>
      <c r="O1176" s="38" t="n">
        <f aca="false">Q!$O$26</f>
        <v>0</v>
      </c>
    </row>
    <row r="1177" customFormat="false" ht="15" hidden="false" customHeight="false" outlineLevel="0" collapsed="false">
      <c r="A1177" s="3" t="s">
        <v>541</v>
      </c>
      <c r="B1177" s="8" t="s">
        <v>86</v>
      </c>
      <c r="C1177" s="38" t="n">
        <f aca="false">Q!$D$25</f>
        <v>68.593</v>
      </c>
      <c r="D1177" s="38" t="n">
        <f aca="false">Q!$E$25</f>
        <v>79.975</v>
      </c>
      <c r="E1177" s="38" t="n">
        <f aca="false">Q!$P$25</f>
        <v>51.313</v>
      </c>
      <c r="F1177" s="38" t="n">
        <f aca="false">Sens!$F$1167+Sens!$F$1172+Sens!$F$1175+Sens!$F$1176</f>
        <v>56.2593546884796</v>
      </c>
      <c r="G1177" s="38" t="n">
        <f aca="false">Sens!$G$1167+Sens!$G$1172+Sens!$G$1175+Sens!$G$1176</f>
        <v>107.57235468848</v>
      </c>
      <c r="H1177" s="38" t="n">
        <f aca="false">Sens!$H$1167+Sens!$H$1172+Sens!$H$1175+Sens!$H$1176</f>
        <v>130.436824692663</v>
      </c>
      <c r="I1177" s="38" t="n">
        <f aca="false">Sens!$I$1167+Sens!$I$1172+Sens!$I$1175+Sens!$I$1176</f>
        <v>152.699089762832</v>
      </c>
      <c r="J1177" s="38" t="n">
        <f aca="false">Sens!$J$1167+Sens!$J$1172+Sens!$J$1175+Sens!$J$1176</f>
        <v>178.815016215716</v>
      </c>
      <c r="K1177" s="38" t="n">
        <f aca="false">Sens!$K$1167+Sens!$K$1172+Sens!$K$1175+Sens!$K$1176</f>
        <v>198.012662113315</v>
      </c>
      <c r="L1177" s="38" t="n">
        <f aca="false">Sens!$L$1167+Sens!$L$1172+Sens!$L$1175+Sens!$L$1176</f>
        <v>214.034203006075</v>
      </c>
      <c r="M1177" s="38" t="n">
        <f aca="false">Sens!$M$1167+Sens!$M$1172+Sens!$M$1175+Sens!$M$1176</f>
        <v>229.239341697991</v>
      </c>
      <c r="N1177" s="38" t="n">
        <f aca="false">Q!$N$25</f>
        <v>37.576</v>
      </c>
      <c r="O1177" s="38" t="n">
        <f aca="false">Q!$O$25</f>
        <v>42.399</v>
      </c>
    </row>
    <row r="1178" customFormat="false" ht="17.15" hidden="false" customHeight="false" outlineLevel="0" collapsed="false">
      <c r="A1178" s="24" t="s">
        <v>775</v>
      </c>
      <c r="B1178" s="25" t="s">
        <v>86</v>
      </c>
      <c r="C1178" s="41" t="n">
        <f aca="false">Sens!$C$1167+Sens!$C$1172+Sens!$C$1175+Sens!$C$1176-Sens!$C$1177</f>
        <v>0</v>
      </c>
      <c r="D1178" s="41" t="n">
        <f aca="false">Sens!$D$1167+Sens!$D$1172+Sens!$D$1175+Sens!$D$1176-Sens!$D$1177</f>
        <v>0</v>
      </c>
      <c r="E1178" s="41" t="n">
        <f aca="false">Sens!$E$1167+Sens!$E$1172+Sens!$E$1175+Sens!$E$1176-Sens!$E$1177</f>
        <v>0</v>
      </c>
      <c r="F1178" s="41" t="n">
        <f aca="false">Sens!$F$1167+Sens!$F$1172+Sens!$F$1175+Sens!$F$1176-Sens!$F$1177</f>
        <v>0</v>
      </c>
      <c r="G1178" s="41" t="n">
        <f aca="false">Sens!$G$1167+Sens!$G$1172+Sens!$G$1175+Sens!$G$1176-Sens!$G$1177</f>
        <v>0</v>
      </c>
      <c r="H1178" s="41" t="n">
        <f aca="false">Sens!$H$1167+Sens!$H$1172+Sens!$H$1175+Sens!$H$1176-Sens!$H$1177</f>
        <v>0</v>
      </c>
      <c r="I1178" s="41" t="n">
        <f aca="false">Sens!$I$1167+Sens!$I$1172+Sens!$I$1175+Sens!$I$1176-Sens!$I$1177</f>
        <v>0</v>
      </c>
      <c r="J1178" s="41" t="n">
        <f aca="false">Sens!$J$1167+Sens!$J$1172+Sens!$J$1175+Sens!$J$1176-Sens!$J$1177</f>
        <v>0</v>
      </c>
      <c r="K1178" s="41" t="n">
        <f aca="false">Sens!$K$1167+Sens!$K$1172+Sens!$K$1175+Sens!$K$1176-Sens!$K$1177</f>
        <v>0</v>
      </c>
      <c r="L1178" s="41" t="n">
        <f aca="false">Sens!$L$1167+Sens!$L$1172+Sens!$L$1175+Sens!$L$1176-Sens!$L$1177</f>
        <v>0</v>
      </c>
      <c r="M1178" s="41" t="n">
        <f aca="false">Sens!$M$1167+Sens!$M$1172+Sens!$M$1175+Sens!$M$1176-Sens!$M$1177</f>
        <v>0</v>
      </c>
      <c r="N1178" s="41" t="n">
        <f aca="false">Sens!$N$1167+Sens!$N$1172+Sens!$N$1175+Sens!$N$1176-Sens!$N$1177</f>
        <v>0</v>
      </c>
      <c r="O1178" s="41" t="n">
        <f aca="false">Sens!$O$1167+Sens!$O$1172+Sens!$O$1175+Sens!$O$1176-Sens!$O$1177</f>
        <v>0</v>
      </c>
    </row>
    <row r="1179" customFormat="false" ht="17.15" hidden="false" customHeight="false" outlineLevel="0" collapsed="false">
      <c r="A1179" s="5" t="s">
        <v>746</v>
      </c>
      <c r="B1179" s="0" t="s">
        <v>86</v>
      </c>
      <c r="C1179" s="38" t="n">
        <f aca="false">Sens!$C$1115</f>
        <v>0</v>
      </c>
      <c r="D1179" s="38" t="n">
        <f aca="false">Sens!$D$1115</f>
        <v>0</v>
      </c>
      <c r="E1179" s="38" t="n">
        <f aca="false">Sens!$E$1115</f>
        <v>0</v>
      </c>
      <c r="F1179" s="38" t="n">
        <f aca="false">Sens!$F$1115</f>
        <v>0</v>
      </c>
      <c r="G1179" s="38" t="n">
        <f aca="false">Sens!$G$1115</f>
        <v>0</v>
      </c>
      <c r="H1179" s="38" t="n">
        <f aca="false">Sens!$H$1115</f>
        <v>0</v>
      </c>
      <c r="I1179" s="38" t="n">
        <f aca="false">Sens!$I$1115</f>
        <v>0</v>
      </c>
      <c r="J1179" s="38" t="n">
        <f aca="false">Sens!$J$1115</f>
        <v>0</v>
      </c>
      <c r="K1179" s="38" t="n">
        <f aca="false">Sens!$K$1115</f>
        <v>0</v>
      </c>
      <c r="L1179" s="38" t="n">
        <f aca="false">Sens!$L$1115</f>
        <v>0</v>
      </c>
      <c r="M1179" s="38" t="n">
        <f aca="false">Sens!$M$1115</f>
        <v>0</v>
      </c>
      <c r="N1179" s="38" t="n">
        <f aca="false">Sens!$N$1115</f>
        <v>0</v>
      </c>
      <c r="O1179" s="38" t="n">
        <f aca="false">Sens!$O$1115</f>
        <v>0</v>
      </c>
      <c r="P1179" s="5" t="s">
        <v>747</v>
      </c>
    </row>
    <row r="1180" customFormat="false" ht="17.15" hidden="false" customHeight="false" outlineLevel="0" collapsed="false">
      <c r="A1180" s="5" t="s">
        <v>748</v>
      </c>
      <c r="B1180" s="0" t="s">
        <v>86</v>
      </c>
      <c r="C1180" s="38" t="n">
        <f aca="false">Sens!$C$1177+Sens!$C$1179</f>
        <v>68.593</v>
      </c>
      <c r="D1180" s="38" t="n">
        <f aca="false">Sens!$D$1177+Sens!$D$1179</f>
        <v>79.975</v>
      </c>
      <c r="E1180" s="38" t="n">
        <f aca="false">Sens!$E$1177+Sens!$E$1179</f>
        <v>51.313</v>
      </c>
      <c r="F1180" s="38" t="n">
        <f aca="false">Sens!$F$1177+Sens!$F$1179</f>
        <v>56.2593546884796</v>
      </c>
      <c r="G1180" s="38" t="n">
        <f aca="false">Sens!$G$1177+Sens!$G$1179</f>
        <v>107.57235468848</v>
      </c>
      <c r="H1180" s="38" t="n">
        <f aca="false">Sens!$H$1177+Sens!$H$1179</f>
        <v>130.436824692663</v>
      </c>
      <c r="I1180" s="38" t="n">
        <f aca="false">Sens!$I$1177+Sens!$I$1179</f>
        <v>152.699089762832</v>
      </c>
      <c r="J1180" s="38" t="n">
        <f aca="false">Sens!$J$1177+Sens!$J$1179</f>
        <v>178.815016215716</v>
      </c>
      <c r="K1180" s="38" t="n">
        <f aca="false">Sens!$K$1177+Sens!$K$1179</f>
        <v>198.012662113315</v>
      </c>
      <c r="L1180" s="38" t="n">
        <f aca="false">Sens!$L$1177+Sens!$L$1179</f>
        <v>214.034203006075</v>
      </c>
      <c r="M1180" s="38" t="n">
        <f aca="false">Sens!$M$1177+Sens!$M$1179</f>
        <v>229.239341697991</v>
      </c>
      <c r="N1180" s="38" t="n">
        <f aca="false">Sens!$N$1177+Sens!$N$1179</f>
        <v>37.576</v>
      </c>
      <c r="O1180" s="38" t="n">
        <f aca="false">Sens!$O$1177+Sens!$O$1179</f>
        <v>42.399</v>
      </c>
    </row>
    <row r="1181" customFormat="false" ht="17.15" hidden="false" customHeight="false" outlineLevel="0" collapsed="false">
      <c r="A1181" s="0" t="s">
        <v>749</v>
      </c>
      <c r="B1181" s="0" t="s">
        <v>52</v>
      </c>
      <c r="C1181" s="13" t="n">
        <f aca="false">Sens!$C$1167/Sens!$C$1152</f>
        <v>0.0644314665661928</v>
      </c>
      <c r="D1181" s="13" t="n">
        <f aca="false">Sens!$D$1167/Sens!$D$1152</f>
        <v>0.0694784250712518</v>
      </c>
      <c r="E1181" s="13" t="n">
        <f aca="false">Sens!$E$1167/Sens!$E$1152</f>
        <v>0.0789306463326071</v>
      </c>
      <c r="F1181" s="13" t="n">
        <f aca="false">Sens!$F$1167/Sens!$F$1152</f>
        <v>0.0804010112333714</v>
      </c>
      <c r="G1181" s="13" t="n">
        <f aca="false">Sens!$G$1167/Sens!$G$1152</f>
        <v>0.0797131588664012</v>
      </c>
      <c r="H1181" s="13" t="n">
        <f aca="false">Sens!$H$1167/Sens!$H$1152</f>
        <v>0.0874950024998162</v>
      </c>
      <c r="I1181" s="13" t="n">
        <f aca="false">Sens!$I$1167/Sens!$I$1152</f>
        <v>0.0945114345111126</v>
      </c>
      <c r="J1181" s="13" t="n">
        <f aca="false">Sens!$J$1167/Sens!$J$1152</f>
        <v>0.100575466450851</v>
      </c>
      <c r="K1181" s="13" t="n">
        <f aca="false">Sens!$K$1167/Sens!$K$1152</f>
        <v>0.10552822829302</v>
      </c>
      <c r="L1181" s="13" t="n">
        <f aca="false">Sens!$L$1167/Sens!$L$1152</f>
        <v>0.108003929747916</v>
      </c>
      <c r="M1181" s="13" t="n">
        <f aca="false">Sens!$M$1167/Sens!$M$1152</f>
        <v>0.110536898957981</v>
      </c>
      <c r="N1181" s="13" t="n">
        <f aca="false">Sens!$N$1167/Sens!$N$1152</f>
        <v>0.069228576611127</v>
      </c>
      <c r="O1181" s="13" t="n">
        <f aca="false">Sens!$O$1167/Sens!$O$1152</f>
        <v>0.069685022498393</v>
      </c>
    </row>
    <row r="1182" customFormat="false" ht="17.15" hidden="false" customHeight="false" outlineLevel="0" collapsed="false">
      <c r="A1182" s="0" t="s">
        <v>750</v>
      </c>
      <c r="B1182" s="0" t="s">
        <v>52</v>
      </c>
      <c r="C1182" s="13" t="n">
        <f aca="false">Sens!$C$1172/Sens!$C$1153</f>
        <v>0.026534925055631</v>
      </c>
      <c r="D1182" s="13" t="n">
        <f aca="false">Sens!$D$1172/Sens!$D$1153</f>
        <v>0.0293401855535103</v>
      </c>
      <c r="E1182" s="13" t="n">
        <f aca="false">Sens!$E$1172/Sens!$E$1153</f>
        <v>0.03831141902276</v>
      </c>
      <c r="F1182" s="13" t="n">
        <f aca="false">Sens!$F$1172/Sens!$F$1153</f>
        <v>0.0283602762420056</v>
      </c>
      <c r="G1182" s="13" t="n">
        <f aca="false">Sens!$G$1172/Sens!$G$1153</f>
        <v>0.0328828893815444</v>
      </c>
      <c r="H1182" s="13" t="n">
        <f aca="false">Sens!$H$1172/Sens!$H$1153</f>
        <v>0.0386594602696505</v>
      </c>
      <c r="I1182" s="13" t="n">
        <f aca="false">Sens!$I$1172/Sens!$I$1153</f>
        <v>0.0436474454742892</v>
      </c>
      <c r="J1182" s="13" t="n">
        <f aca="false">Sens!$J$1172/Sens!$J$1153</f>
        <v>0.0476200559108228</v>
      </c>
      <c r="K1182" s="13" t="n">
        <f aca="false">Sens!$K$1172/Sens!$K$1153</f>
        <v>0.0503767598631936</v>
      </c>
      <c r="L1182" s="13" t="n">
        <f aca="false">Sens!$L$1172/Sens!$L$1153</f>
        <v>0.053198591460788</v>
      </c>
      <c r="M1182" s="13" t="n">
        <f aca="false">Sens!$M$1172/Sens!$M$1153</f>
        <v>0.0560856974721203</v>
      </c>
      <c r="N1182" s="13" t="n">
        <f aca="false">Sens!$N$1172/Sens!$N$1153</f>
        <v>0.0357315650169337</v>
      </c>
      <c r="O1182" s="13" t="n">
        <f aca="false">Sens!$O$1172/Sens!$O$1153</f>
        <v>0.0244378956559703</v>
      </c>
    </row>
    <row r="1183" customFormat="false" ht="17.15" hidden="false" customHeight="false" outlineLevel="0" collapsed="false">
      <c r="A1183" s="14" t="s">
        <v>751</v>
      </c>
      <c r="B1183" s="14" t="s">
        <v>52</v>
      </c>
      <c r="C1183" s="17" t="n">
        <f aca="false">Sens!$C$1175/Sens!$C$1154</f>
        <v>0.370355907620217</v>
      </c>
      <c r="D1183" s="17" t="n">
        <f aca="false">Sens!$D$1175/Sens!$D$1154</f>
        <v>0.35429015342785</v>
      </c>
      <c r="E1183" s="17" t="n">
        <f aca="false">Sens!$E$1175/Sens!$E$1154</f>
        <v>0.385647527531039</v>
      </c>
      <c r="F1183" s="17" t="n">
        <f aca="false">Sens!$F$1175/Sens!$F$1154</f>
        <v>0.384131466663292</v>
      </c>
      <c r="G1183" s="17" t="n">
        <f aca="false">Sens!$G$1175/Sens!$G$1154</f>
        <v>0.384858030475653</v>
      </c>
      <c r="H1183" s="17" t="n">
        <f aca="false">Sens!$H$1175/Sens!$H$1154</f>
        <v>0.348568393442098</v>
      </c>
      <c r="I1183" s="17" t="n">
        <f aca="false">Sens!$I$1175/Sens!$I$1154</f>
        <v>0.31855319227813</v>
      </c>
      <c r="J1183" s="17" t="n">
        <f aca="false">Sens!$J$1175/Sens!$J$1154</f>
        <v>0.311973392404325</v>
      </c>
      <c r="K1183" s="17" t="n">
        <f aca="false">Sens!$K$1175/Sens!$K$1154</f>
        <v>0.298104629402985</v>
      </c>
      <c r="L1183" s="17" t="n">
        <f aca="false">Sens!$L$1175/Sens!$L$1154</f>
        <v>0.289362026655394</v>
      </c>
      <c r="M1183" s="17" t="n">
        <f aca="false">Sens!$M$1175/Sens!$M$1154</f>
        <v>0.285328508570793</v>
      </c>
      <c r="N1183" s="17" t="n">
        <f aca="false">Sens!$N$1175/Sens!$N$1154</f>
        <v>0.360941137346192</v>
      </c>
      <c r="O1183" s="17" t="n">
        <f aca="false">Sens!$O$1175/Sens!$O$1154</f>
        <v>0.348458117664212</v>
      </c>
    </row>
    <row r="1184" customFormat="false" ht="17.15" hidden="false" customHeight="false" outlineLevel="0" collapsed="false">
      <c r="A1184" s="0" t="s">
        <v>752</v>
      </c>
      <c r="B1184" s="0" t="s">
        <v>52</v>
      </c>
      <c r="C1184" s="13" t="n">
        <f aca="false">Sens!$C$1173/Sens!$C$1155</f>
        <v>0.690858396769735</v>
      </c>
      <c r="D1184" s="13" t="n">
        <f aca="false">Sens!$D$1173/Sens!$D$1155</f>
        <v>0.614740266977159</v>
      </c>
      <c r="E1184" s="13" t="n">
        <f aca="false">Sens!$E$1173/Sens!$E$1155</f>
        <v>0.242606388441374</v>
      </c>
      <c r="F1184" s="13" t="n">
        <f aca="false">Sens!$F$1173/Sens!$F$1155</f>
        <v>0.478449037479955</v>
      </c>
      <c r="G1184" s="13" t="n">
        <f aca="false">Sens!$G$1173/Sens!$G$1155</f>
        <v>0.392944971924682</v>
      </c>
      <c r="H1184" s="13" t="n">
        <f aca="false">Sens!$H$1173/Sens!$H$1155</f>
        <v>0.306020608596774</v>
      </c>
      <c r="I1184" s="13" t="n">
        <f aca="false">Sens!$I$1173/Sens!$I$1155</f>
        <v>0.237689378935321</v>
      </c>
      <c r="J1184" s="13" t="n">
        <f aca="false">Sens!$J$1173/Sens!$J$1155</f>
        <v>0.240119461060752</v>
      </c>
      <c r="K1184" s="13" t="n">
        <f aca="false">Sens!$K$1173/Sens!$K$1155</f>
        <v>0.21947409812992</v>
      </c>
      <c r="L1184" s="13" t="n">
        <f aca="false">Sens!$L$1173/Sens!$L$1155</f>
        <v>0.204344699086381</v>
      </c>
      <c r="M1184" s="13" t="n">
        <f aca="false">Sens!$M$1173/Sens!$M$1155</f>
        <v>0.193627783592202</v>
      </c>
      <c r="N1184" s="13" t="n">
        <f aca="false">Sens!$N$1173/Sens!$N$1155</f>
        <v>0.544548787023979</v>
      </c>
      <c r="O1184" s="13" t="n">
        <f aca="false">Sens!$O$1173/Sens!$O$1155</f>
        <v>0.652535679259641</v>
      </c>
    </row>
    <row r="1185" customFormat="false" ht="15" hidden="false" customHeight="false" outlineLevel="0" collapsed="false">
      <c r="A1185" s="5" t="s">
        <v>753</v>
      </c>
      <c r="B1185" s="0" t="s">
        <v>52</v>
      </c>
      <c r="C1185" s="13" t="n">
        <f aca="false">Sens!$C$1177/Sens!$C$1157</f>
        <v>0.107519448742004</v>
      </c>
      <c r="D1185" s="13" t="n">
        <f aca="false">Sens!$D$1177/Sens!$D$1157</f>
        <v>0.111552967957552</v>
      </c>
      <c r="E1185" s="13" t="n">
        <f aca="false">Sens!$E$1177/Sens!$E$1157</f>
        <v>0.13428328426562</v>
      </c>
      <c r="F1185" s="13" t="n">
        <f aca="false">Sens!$F$1177/Sens!$F$1157</f>
        <v>0.129100070689341</v>
      </c>
      <c r="G1185" s="13" t="n">
        <f aca="false">Sens!$G$1177/Sens!$G$1157</f>
        <v>0.131521663816389</v>
      </c>
      <c r="H1185" s="13" t="n">
        <f aca="false">Sens!$H$1177/Sens!$H$1157</f>
        <v>0.138426841744706</v>
      </c>
      <c r="I1185" s="13" t="n">
        <f aca="false">Sens!$I$1177/Sens!$I$1157</f>
        <v>0.142869276396407</v>
      </c>
      <c r="J1185" s="13" t="n">
        <f aca="false">Sens!$J$1177/Sens!$J$1157</f>
        <v>0.15027616689848</v>
      </c>
      <c r="K1185" s="13" t="n">
        <f aca="false">Sens!$K$1177/Sens!$K$1157</f>
        <v>0.152780220499876</v>
      </c>
      <c r="L1185" s="13" t="n">
        <f aca="false">Sens!$L$1177/Sens!$L$1157</f>
        <v>0.153410423591672</v>
      </c>
      <c r="M1185" s="13" t="n">
        <f aca="false">Sens!$M$1177/Sens!$M$1157</f>
        <v>0.154099692877442</v>
      </c>
      <c r="N1185" s="13" t="n">
        <f aca="false">Sens!$N$1177/Sens!$N$1157</f>
        <v>0.116201614873411</v>
      </c>
      <c r="O1185" s="13" t="n">
        <f aca="false">Sens!$O$1177/Sens!$O$1157</f>
        <v>0.107733353660861</v>
      </c>
    </row>
    <row r="1186" customFormat="false" ht="17.15" hidden="false" customHeight="false" outlineLevel="0" collapsed="false">
      <c r="A1186" s="1" t="s">
        <v>754</v>
      </c>
    </row>
    <row r="1187" customFormat="false" ht="17.15" hidden="false" customHeight="false" outlineLevel="0" collapsed="false">
      <c r="A1187" s="5" t="s">
        <v>755</v>
      </c>
      <c r="B1187" s="0" t="s">
        <v>52</v>
      </c>
      <c r="D1187" s="28" t="n">
        <f aca="false">(Q!$E$29+Q!$E$30-(1-ext_sh_hi)*Sens!$D$1109)/Sens!$D$1060</f>
        <v>0.0346991409369958</v>
      </c>
    </row>
    <row r="1188" customFormat="false" ht="17.15" hidden="false" customHeight="false" outlineLevel="0" collapsed="false">
      <c r="A1188" s="0" t="s">
        <v>545</v>
      </c>
      <c r="B1188" s="0" t="s">
        <v>86</v>
      </c>
      <c r="C1188" s="38" t="n">
        <f aca="false">Q!$D$29</f>
        <v>14.285</v>
      </c>
      <c r="D1188" s="38" t="n">
        <f aca="false">Q!$E$29</f>
        <v>15.503</v>
      </c>
      <c r="E1188" s="38" t="n">
        <f aca="false">Q!$P$29</f>
        <v>8.78</v>
      </c>
      <c r="F1188" s="38" t="n">
        <f aca="false">(Sens!$D$1187*Sens!$F$1060+(1-ext_sh_hi)*Sens!$F$1109)*Sens!$F$1061</f>
        <v>8.69698482441957</v>
      </c>
      <c r="G1188" s="38" t="n">
        <f aca="false">Sens!$E$1188+Sens!$F$1188</f>
        <v>17.4769848244196</v>
      </c>
      <c r="H1188" s="38" t="n">
        <f aca="false">(Sens!$D$1187*Sens!$H$1060+(1-ext_sh_hi)*Sens!$H$1109)*Sens!$H$1061</f>
        <v>18.091680663176</v>
      </c>
      <c r="I1188" s="38" t="n">
        <f aca="false">(Sens!$D$1187*Sens!$I$1060+(1-ext_sh_hi)*Sens!$I$1109)*Sens!$I$1061</f>
        <v>19.7835022526985</v>
      </c>
      <c r="J1188" s="38" t="n">
        <f aca="false">(Sens!$D$1187*Sens!$J$1060+(1-ext_sh_hi)*Sens!$J$1109)*Sens!$J$1061</f>
        <v>21.3535541619645</v>
      </c>
      <c r="K1188" s="38" t="n">
        <f aca="false">(Sens!$D$1187*Sens!$K$1060+(1-ext_sh_hi)*Sens!$K$1109)*Sens!$K$1061</f>
        <v>22.7351626312372</v>
      </c>
      <c r="L1188" s="38" t="n">
        <f aca="false">(Sens!$D$1187*Sens!$L$1060+(1-ext_sh_hi)*Sens!$L$1109)*Sens!$L$1061</f>
        <v>24.2133290911541</v>
      </c>
      <c r="M1188" s="38" t="n">
        <f aca="false">(Sens!$D$1187*Sens!$M$1060+(1-ext_sh_hi)*Sens!$M$1109)*Sens!$M$1061</f>
        <v>25.7953180708262</v>
      </c>
      <c r="N1188" s="38" t="n">
        <f aca="false">Q!$N$29</f>
        <v>7.272</v>
      </c>
      <c r="O1188" s="38" t="n">
        <f aca="false">Q!$O$29</f>
        <v>8.231</v>
      </c>
    </row>
    <row r="1189" customFormat="false" ht="17.15" hidden="false" customHeight="false" outlineLevel="0" collapsed="false">
      <c r="A1189" s="0" t="s">
        <v>547</v>
      </c>
      <c r="B1189" s="0" t="s">
        <v>86</v>
      </c>
      <c r="C1189" s="38" t="n">
        <f aca="false">Q!$D$30</f>
        <v>4.462</v>
      </c>
      <c r="D1189" s="38" t="n">
        <f aca="false">Q!$E$30</f>
        <v>4.907</v>
      </c>
      <c r="E1189" s="38" t="n">
        <f aca="false">Q!$P$30</f>
        <v>2.57</v>
      </c>
      <c r="F1189" s="38" t="n">
        <f aca="false">(Sens!$D$1187*Sens!$F$1060+(1-ext_sh_hi)*Sens!$F$1109)*(1-Sens!$F$1061)</f>
        <v>3.4146893062495</v>
      </c>
      <c r="G1189" s="38" t="n">
        <f aca="false">Sens!$E$1189+Sens!$F$1189</f>
        <v>5.9846893062495</v>
      </c>
      <c r="H1189" s="38" t="n">
        <f aca="false">(Sens!$D$1187*Sens!$H$1060+(1-ext_sh_hi)*Sens!$H$1109)*(1-Sens!$H$1061)</f>
        <v>6.92976193555585</v>
      </c>
      <c r="I1189" s="38" t="n">
        <f aca="false">(Sens!$D$1187*Sens!$I$1060+(1-ext_sh_hi)*Sens!$I$1109)*(1-Sens!$I$1061)</f>
        <v>7.57779022386669</v>
      </c>
      <c r="J1189" s="38" t="n">
        <f aca="false">(Sens!$D$1187*Sens!$J$1060+(1-ext_sh_hi)*Sens!$J$1109)*(1-Sens!$J$1061)</f>
        <v>8.17917636151966</v>
      </c>
      <c r="K1189" s="38" t="n">
        <f aca="false">(Sens!$D$1187*Sens!$K$1060+(1-ext_sh_hi)*Sens!$K$1109)*(1-Sens!$K$1061)</f>
        <v>8.70838190955341</v>
      </c>
      <c r="L1189" s="38" t="n">
        <f aca="false">(Sens!$D$1187*Sens!$L$1060+(1-ext_sh_hi)*Sens!$L$1109)*(1-Sens!$L$1061)</f>
        <v>9.2745726277655</v>
      </c>
      <c r="M1189" s="38" t="n">
        <f aca="false">(Sens!$D$1187*Sens!$M$1060+(1-ext_sh_hi)*Sens!$M$1109)*(1-Sens!$M$1061)</f>
        <v>9.88053109110022</v>
      </c>
      <c r="N1189" s="38" t="n">
        <f aca="false">Q!$N$30</f>
        <v>2.316</v>
      </c>
      <c r="O1189" s="38" t="n">
        <f aca="false">Q!$O$30</f>
        <v>2.591</v>
      </c>
    </row>
    <row r="1190" customFormat="false" ht="17.15" hidden="false" customHeight="false" outlineLevel="0" collapsed="false">
      <c r="A1190" s="0" t="s">
        <v>548</v>
      </c>
      <c r="B1190" s="0" t="s">
        <v>86</v>
      </c>
      <c r="C1190" s="38" t="n">
        <f aca="false">Sens!$C$1121</f>
        <v>13.32</v>
      </c>
      <c r="D1190" s="38" t="n">
        <f aca="false">Sens!$D$1121</f>
        <v>21.45</v>
      </c>
      <c r="E1190" s="38" t="n">
        <f aca="false">Sens!$E$1121</f>
        <v>15.353</v>
      </c>
      <c r="F1190" s="38" t="n">
        <f aca="false">Sens!$F$1121</f>
        <v>16.5348990532842</v>
      </c>
      <c r="G1190" s="38" t="n">
        <f aca="false">Sens!$G$1121</f>
        <v>31.8878990532842</v>
      </c>
      <c r="H1190" s="38" t="n">
        <f aca="false">Sens!$H$1121</f>
        <v>55.9694652637402</v>
      </c>
      <c r="I1190" s="38" t="n">
        <f aca="false">Sens!$I$1121</f>
        <v>86.253793360947</v>
      </c>
      <c r="J1190" s="38" t="n">
        <f aca="false">Sens!$J$1121</f>
        <v>112.079574293081</v>
      </c>
      <c r="K1190" s="38" t="n">
        <f aca="false">Sens!$K$1121</f>
        <v>138.196187640757</v>
      </c>
      <c r="L1190" s="38" t="n">
        <f aca="false">Sens!$L$1121</f>
        <v>157.576215645241</v>
      </c>
      <c r="M1190" s="38" t="n">
        <f aca="false">Sens!$M$1121</f>
        <v>169.513281126733</v>
      </c>
      <c r="N1190" s="38" t="n">
        <f aca="false">Sens!$N$1121</f>
        <v>9.234</v>
      </c>
      <c r="O1190" s="38" t="n">
        <f aca="false">Sens!$O$1121</f>
        <v>12.216</v>
      </c>
    </row>
    <row r="1191" customFormat="false" ht="17.15" hidden="false" customHeight="false" outlineLevel="0" collapsed="false">
      <c r="A1191" s="5" t="s">
        <v>756</v>
      </c>
      <c r="B1191" s="0" t="s">
        <v>86</v>
      </c>
      <c r="C1191" s="38" t="n">
        <f aca="false">Sens!$C$1188+Sens!$C$1189+Sens!$C$1190</f>
        <v>32.067</v>
      </c>
      <c r="D1191" s="38" t="n">
        <f aca="false">Sens!$D$1188+Sens!$D$1189+Sens!$D$1190</f>
        <v>41.86</v>
      </c>
      <c r="E1191" s="38" t="n">
        <f aca="false">Sens!$E$1188+Sens!$E$1189+Sens!$E$1190</f>
        <v>26.703</v>
      </c>
      <c r="F1191" s="38" t="n">
        <f aca="false">Sens!$F$1188+Sens!$F$1189+Sens!$F$1190</f>
        <v>28.6465731839533</v>
      </c>
      <c r="G1191" s="38" t="n">
        <f aca="false">Sens!$G$1188+Sens!$G$1189+Sens!$G$1190</f>
        <v>55.3495731839533</v>
      </c>
      <c r="H1191" s="38" t="n">
        <f aca="false">Sens!$H$1188+Sens!$H$1189+Sens!$H$1190</f>
        <v>80.9909078624721</v>
      </c>
      <c r="I1191" s="38" t="n">
        <f aca="false">Sens!$I$1188+Sens!$I$1189+Sens!$I$1190</f>
        <v>113.615085837512</v>
      </c>
      <c r="J1191" s="38" t="n">
        <f aca="false">Sens!$J$1188+Sens!$J$1189+Sens!$J$1190</f>
        <v>141.612304816565</v>
      </c>
      <c r="K1191" s="38" t="n">
        <f aca="false">Sens!$K$1188+Sens!$K$1189+Sens!$K$1190</f>
        <v>169.639732181548</v>
      </c>
      <c r="L1191" s="38" t="n">
        <f aca="false">Sens!$L$1188+Sens!$L$1189+Sens!$L$1190</f>
        <v>191.064117364161</v>
      </c>
      <c r="M1191" s="38" t="n">
        <f aca="false">Sens!$M$1188+Sens!$M$1189+Sens!$M$1190</f>
        <v>205.189130288659</v>
      </c>
      <c r="N1191" s="38" t="n">
        <f aca="false">Sens!$N$1188+Sens!$N$1189+Sens!$N$1190</f>
        <v>18.822</v>
      </c>
      <c r="O1191" s="38" t="n">
        <f aca="false">Sens!$O$1188+Sens!$O$1189+Sens!$O$1190</f>
        <v>23.038</v>
      </c>
    </row>
    <row r="1192" customFormat="false" ht="17.15" hidden="false" customHeight="false" outlineLevel="0" collapsed="false">
      <c r="A1192" s="0" t="s">
        <v>757</v>
      </c>
      <c r="B1192" s="0" t="s">
        <v>86</v>
      </c>
      <c r="C1192" s="38" t="n">
        <f aca="false">Sens!$C$1163+Sens!$C$1168</f>
        <v>28.107</v>
      </c>
      <c r="D1192" s="38" t="n">
        <f aca="false">Sens!$D$1163+Sens!$D$1168</f>
        <v>34.3175</v>
      </c>
      <c r="E1192" s="38" t="n">
        <f aca="false">Sens!$E$1163+Sens!$E$1168</f>
        <v>18.526</v>
      </c>
      <c r="F1192" s="38" t="n">
        <f aca="false">Sens!$F$1163+Sens!$F$1168</f>
        <v>23.0786109972074</v>
      </c>
      <c r="G1192" s="38" t="n">
        <f aca="false">Sens!$G$1163+Sens!$G$1168</f>
        <v>41.6046109972074</v>
      </c>
      <c r="H1192" s="38" t="n">
        <f aca="false">Sens!$H$1163+Sens!$H$1168</f>
        <v>49.9484611939488</v>
      </c>
      <c r="I1192" s="38" t="n">
        <f aca="false">Sens!$I$1163+Sens!$I$1168</f>
        <v>58.2915555477481</v>
      </c>
      <c r="J1192" s="38" t="n">
        <f aca="false">Sens!$J$1163+Sens!$J$1168</f>
        <v>66.0744709709759</v>
      </c>
      <c r="K1192" s="38" t="n">
        <f aca="false">Sens!$K$1163+Sens!$K$1168</f>
        <v>72.6819180680735</v>
      </c>
      <c r="L1192" s="38" t="n">
        <f aca="false">Sens!$L$1163+Sens!$L$1168</f>
        <v>79.9501098748808</v>
      </c>
      <c r="M1192" s="38" t="n">
        <f aca="false">Sens!$M$1163+Sens!$M$1168</f>
        <v>87.9451208623689</v>
      </c>
      <c r="N1192" s="38" t="n">
        <f aca="false">Sens!$N$1163+Sens!$N$1168</f>
        <v>14.8075</v>
      </c>
      <c r="O1192" s="38" t="n">
        <f aca="false">Sens!$O$1163+Sens!$O$1168</f>
        <v>19.51</v>
      </c>
    </row>
    <row r="1193" customFormat="false" ht="17.15" hidden="false" customHeight="false" outlineLevel="0" collapsed="false">
      <c r="A1193" s="0" t="s">
        <v>758</v>
      </c>
      <c r="B1193" s="0" t="s">
        <v>86</v>
      </c>
      <c r="C1193" s="38" t="n">
        <f aca="false">Sens!$C$1167+Sens!$C$1172+Sens!$C$1188+Sens!$C$1189-Sens!$C$1192</f>
        <v>19.399</v>
      </c>
      <c r="D1193" s="38" t="n">
        <f aca="false">Sens!$D$1167+Sens!$D$1172+Sens!$D$1188+Sens!$D$1189-Sens!$D$1192</f>
        <v>20.4615</v>
      </c>
      <c r="E1193" s="38" t="n">
        <f aca="false">Sens!$E$1167+Sens!$E$1172+Sens!$E$1188+Sens!$E$1189-Sens!$E$1192</f>
        <v>13.355</v>
      </c>
      <c r="F1193" s="38" t="n">
        <f aca="false">Sens!$F$1167+Sens!$F$1172+Sens!$F$1188+Sens!$F$1189-Sens!$F$1192</f>
        <v>11.9756457183146</v>
      </c>
      <c r="G1193" s="38" t="n">
        <f aca="false">Sens!$G$1167+Sens!$G$1172+Sens!$G$1188+Sens!$G$1189-Sens!$G$1192</f>
        <v>25.3306457183146</v>
      </c>
      <c r="H1193" s="38" t="n">
        <f aca="false">Sens!$H$1167+Sens!$H$1172+Sens!$H$1188+Sens!$H$1189-Sens!$H$1192</f>
        <v>28.4124143445446</v>
      </c>
      <c r="I1193" s="38" t="n">
        <f aca="false">Sens!$I$1167+Sens!$I$1172+Sens!$I$1188+Sens!$I$1189-Sens!$I$1192</f>
        <v>32.4868217253464</v>
      </c>
      <c r="J1193" s="38" t="n">
        <f aca="false">Sens!$J$1167+Sens!$J$1172+Sens!$J$1188+Sens!$J$1189-Sens!$J$1192</f>
        <v>36.5763955452664</v>
      </c>
      <c r="K1193" s="38" t="n">
        <f aca="false">Sens!$K$1167+Sens!$K$1172+Sens!$K$1188+Sens!$K$1189-Sens!$K$1192</f>
        <v>40.547556038972</v>
      </c>
      <c r="L1193" s="38" t="n">
        <f aca="false">Sens!$L$1167+Sens!$L$1172+Sens!$L$1188+Sens!$L$1189-Sens!$L$1192</f>
        <v>43.122974946016</v>
      </c>
      <c r="M1193" s="38" t="n">
        <f aca="false">Sens!$M$1167+Sens!$M$1172+Sens!$M$1188+Sens!$M$1189-Sens!$M$1192</f>
        <v>45.8741074398846</v>
      </c>
      <c r="N1193" s="38" t="n">
        <f aca="false">Sens!$N$1167+Sens!$N$1172+Sens!$N$1188+Sens!$N$1189-Sens!$N$1192</f>
        <v>10.6495</v>
      </c>
      <c r="O1193" s="38" t="n">
        <f aca="false">Sens!$O$1167+Sens!$O$1172+Sens!$O$1188+Sens!$O$1189-Sens!$O$1192</f>
        <v>9.81200000000001</v>
      </c>
    </row>
    <row r="1194" customFormat="false" ht="17.15" hidden="false" customHeight="false" outlineLevel="0" collapsed="false">
      <c r="A1194" s="0" t="s">
        <v>759</v>
      </c>
      <c r="B1194" s="0" t="s">
        <v>86</v>
      </c>
      <c r="C1194" s="38" t="n">
        <f aca="false">Sens!$C$1174+Sens!$C$1190-ext_sh_hi*Sens!$C$1109</f>
        <v>51.3470500115664</v>
      </c>
      <c r="D1194" s="38" t="n">
        <f aca="false">Sens!$D$1174+Sens!$D$1190-ext_sh_hi*Sens!$D$1109</f>
        <v>60.2799375433739</v>
      </c>
      <c r="E1194" s="38" t="n">
        <f aca="false">Sens!$E$1174+Sens!$E$1190-ext_sh_hi*Sens!$E$1109</f>
        <v>39.5095167090767</v>
      </c>
      <c r="F1194" s="38" t="n">
        <f aca="false">Sens!$F$1174+Sens!$F$1190-ext_sh_hi*Sens!$F$1109</f>
        <v>38.1316134410403</v>
      </c>
      <c r="G1194" s="38" t="n">
        <f aca="false">Sens!$G$1174+Sens!$G$1190-ext_sh_hi*Sens!$G$1109</f>
        <v>77.641130150117</v>
      </c>
      <c r="H1194" s="38" t="n">
        <f aca="false">Sens!$H$1174+Sens!$H$1190-ext_sh_hi*Sens!$H$1109</f>
        <v>85.5496843105968</v>
      </c>
      <c r="I1194" s="38" t="n">
        <f aca="false">Sens!$I$1174+Sens!$I$1190-ext_sh_hi*Sens!$I$1109</f>
        <v>94.9818290628834</v>
      </c>
      <c r="J1194" s="38" t="n">
        <f aca="false">Sens!$J$1174+Sens!$J$1190-ext_sh_hi*Sens!$J$1109</f>
        <v>104.017137681155</v>
      </c>
      <c r="K1194" s="38" t="n">
        <f aca="false">Sens!$K$1174+Sens!$K$1190-ext_sh_hi*Sens!$K$1109</f>
        <v>112.338508695647</v>
      </c>
      <c r="L1194" s="38" t="n">
        <f aca="false">Sens!$L$1174+Sens!$L$1190-ext_sh_hi*Sens!$L$1109</f>
        <v>121.325589391299</v>
      </c>
      <c r="M1194" s="38" t="n">
        <f aca="false">Sens!$M$1174+Sens!$M$1190-ext_sh_hi*Sens!$M$1109</f>
        <v>131.031636542603</v>
      </c>
      <c r="N1194" s="38" t="n">
        <f aca="false">Sens!$N$1174+Sens!$N$1190-ext_sh_hi*Sens!$N$1109</f>
        <v>28.5693781401809</v>
      </c>
      <c r="O1194" s="38" t="n">
        <f aca="false">Sens!$O$1174+Sens!$O$1190-ext_sh_hi*Sens!$O$1109</f>
        <v>31.7105594031931</v>
      </c>
    </row>
    <row r="1195" customFormat="false" ht="17.15" hidden="false" customHeight="false" outlineLevel="0" collapsed="false">
      <c r="A1195" s="0" t="s">
        <v>760</v>
      </c>
      <c r="B1195" s="0" t="s">
        <v>86</v>
      </c>
      <c r="C1195" s="38" t="n">
        <f aca="false">Sens!$C$1112</f>
        <v>1.80694998843362</v>
      </c>
      <c r="D1195" s="38" t="n">
        <f aca="false">Sens!$D$1112</f>
        <v>6.77606245662606</v>
      </c>
      <c r="E1195" s="38" t="n">
        <f aca="false">Sens!$E$1112</f>
        <v>6.62548329092326</v>
      </c>
      <c r="F1195" s="38" t="n">
        <f aca="false">Sens!$F$1112</f>
        <v>11.7200577158706</v>
      </c>
      <c r="G1195" s="38" t="n">
        <f aca="false">Sens!$G$1112</f>
        <v>18.3455410067939</v>
      </c>
      <c r="H1195" s="38" t="n">
        <f aca="false">Sens!$H$1112</f>
        <v>47.5171727060453</v>
      </c>
      <c r="I1195" s="38" t="n">
        <f aca="false">Sens!$I$1112</f>
        <v>80.5539692643667</v>
      </c>
      <c r="J1195" s="38" t="n">
        <f aca="false">Sens!$J$1112</f>
        <v>113.759316834883</v>
      </c>
      <c r="K1195" s="38" t="n">
        <f aca="false">Sens!$K$1112</f>
        <v>142.084411492169</v>
      </c>
      <c r="L1195" s="38" t="n">
        <f aca="false">Sens!$L$1112</f>
        <v>160.69964615804</v>
      </c>
      <c r="M1195" s="38" t="n">
        <f aca="false">Sens!$M$1112</f>
        <v>169.577607141793</v>
      </c>
      <c r="N1195" s="38" t="n">
        <f aca="false">Sens!$N$1112</f>
        <v>2.37162185981912</v>
      </c>
      <c r="O1195" s="38" t="n">
        <f aca="false">Sens!$O$1112</f>
        <v>4.40444059680694</v>
      </c>
    </row>
    <row r="1196" customFormat="false" ht="17.15" hidden="false" customHeight="false" outlineLevel="0" collapsed="false">
      <c r="A1196" s="0" t="s">
        <v>761</v>
      </c>
      <c r="B1196" s="0" t="s">
        <v>86</v>
      </c>
      <c r="C1196" s="38" t="n">
        <f aca="false">Sens!$C$1177+Sens!$C$1191</f>
        <v>100.66</v>
      </c>
      <c r="D1196" s="38" t="n">
        <f aca="false">Sens!$D$1177+Sens!$D$1191</f>
        <v>121.835</v>
      </c>
      <c r="E1196" s="38" t="n">
        <f aca="false">Sens!$E$1177+Sens!$E$1191</f>
        <v>78.016</v>
      </c>
      <c r="F1196" s="38" t="n">
        <f aca="false">Sens!$F$1177+Sens!$F$1191</f>
        <v>84.9059278724328</v>
      </c>
      <c r="G1196" s="38" t="n">
        <f aca="false">Sens!$G$1177+Sens!$G$1191</f>
        <v>162.921927872433</v>
      </c>
      <c r="H1196" s="38" t="n">
        <f aca="false">Sens!$H$1177+Sens!$H$1191</f>
        <v>211.427732555135</v>
      </c>
      <c r="I1196" s="38" t="n">
        <f aca="false">Sens!$I$1177+Sens!$I$1191</f>
        <v>266.314175600345</v>
      </c>
      <c r="J1196" s="38" t="n">
        <f aca="false">Sens!$J$1177+Sens!$J$1191</f>
        <v>320.427321032281</v>
      </c>
      <c r="K1196" s="38" t="n">
        <f aca="false">Sens!$K$1177+Sens!$K$1191</f>
        <v>367.652394294862</v>
      </c>
      <c r="L1196" s="38" t="n">
        <f aca="false">Sens!$L$1177+Sens!$L$1191</f>
        <v>405.098320370236</v>
      </c>
      <c r="M1196" s="38" t="n">
        <f aca="false">Sens!$M$1177+Sens!$M$1191</f>
        <v>434.42847198665</v>
      </c>
      <c r="N1196" s="38" t="n">
        <f aca="false">Sens!$N$1177+Sens!$N$1191</f>
        <v>56.398</v>
      </c>
      <c r="O1196" s="38" t="n">
        <f aca="false">Sens!$O$1177+Sens!$O$1191</f>
        <v>65.437</v>
      </c>
    </row>
    <row r="1197" customFormat="false" ht="17.15" hidden="false" customHeight="false" outlineLevel="0" collapsed="false">
      <c r="A1197" s="1" t="s">
        <v>762</v>
      </c>
    </row>
    <row r="1198" customFormat="false" ht="15" hidden="false" customHeight="false" outlineLevel="0" collapsed="false">
      <c r="A1198" s="5" t="s">
        <v>551</v>
      </c>
      <c r="B1198" s="0" t="s">
        <v>86</v>
      </c>
      <c r="C1198" s="38" t="n">
        <f aca="false">Q!$D$34</f>
        <v>2.406</v>
      </c>
      <c r="D1198" s="38" t="n">
        <f aca="false">Q!$E$34</f>
        <v>2.274</v>
      </c>
      <c r="E1198" s="38" t="n">
        <f aca="false">Q!$P$34</f>
        <v>2.114</v>
      </c>
      <c r="F1198" s="38" t="n">
        <f aca="false">Sens!$F$1236</f>
        <v>3.24888962733561</v>
      </c>
      <c r="G1198" s="38" t="n">
        <f aca="false">Sens!$E$1198+Sens!$F$1198</f>
        <v>5.36288962733561</v>
      </c>
      <c r="H1198" s="38" t="n">
        <f aca="false">Sens!$H$1236</f>
        <v>7.42354172302123</v>
      </c>
      <c r="I1198" s="38" t="n">
        <f aca="false">Sens!$I$1236</f>
        <v>7.42354172302123</v>
      </c>
      <c r="J1198" s="38" t="n">
        <f aca="false">Sens!$J$1236</f>
        <v>7.42354172302123</v>
      </c>
      <c r="K1198" s="38" t="n">
        <f aca="false">Sens!$K$1236</f>
        <v>7.42354172302123</v>
      </c>
      <c r="L1198" s="38" t="n">
        <f aca="false">Sens!$L$1236</f>
        <v>7.42354172302123</v>
      </c>
      <c r="M1198" s="38" t="n">
        <f aca="false">Sens!$M$1236</f>
        <v>7.42354172302123</v>
      </c>
      <c r="N1198" s="38" t="n">
        <f aca="false">Q!$N$34</f>
        <v>1.057</v>
      </c>
      <c r="O1198" s="38" t="n">
        <f aca="false">Q!$O$34</f>
        <v>1.217</v>
      </c>
    </row>
    <row r="1199" customFormat="false" ht="15" hidden="false" customHeight="false" outlineLevel="0" collapsed="false">
      <c r="A1199" s="5" t="s">
        <v>763</v>
      </c>
      <c r="B1199" s="0" t="s">
        <v>86</v>
      </c>
      <c r="F1199" s="38" t="n">
        <f aca="false">Sens!$F$1237</f>
        <v>2.59</v>
      </c>
      <c r="H1199" s="38" t="n">
        <f aca="false">Sens!$H$1237</f>
        <v>4.09036757216597</v>
      </c>
      <c r="I1199" s="38" t="n">
        <f aca="false">Sens!$I$1237</f>
        <v>3.48083679093326</v>
      </c>
      <c r="J1199" s="38" t="n">
        <f aca="false">Sens!$J$1237</f>
        <v>4.67357008042684</v>
      </c>
      <c r="K1199" s="38" t="n">
        <f aca="false">Sens!$K$1237</f>
        <v>7.70875498848935</v>
      </c>
      <c r="L1199" s="38" t="n">
        <f aca="false">Sens!$L$1237</f>
        <v>14.4354384474637</v>
      </c>
      <c r="M1199" s="38" t="n">
        <f aca="false">Sens!$M$1237</f>
        <v>23.5036881076812</v>
      </c>
    </row>
    <row r="1200" customFormat="false" ht="17.15" hidden="false" customHeight="false" outlineLevel="0" collapsed="false">
      <c r="A1200" s="5" t="s">
        <v>764</v>
      </c>
      <c r="B1200" s="0" t="s">
        <v>86</v>
      </c>
      <c r="C1200" s="38" t="n">
        <f aca="false">Q!$D$39</f>
        <v>2.427</v>
      </c>
      <c r="D1200" s="38" t="n">
        <f aca="false">Q!$E$39</f>
        <v>19.61</v>
      </c>
      <c r="E1200" s="38" t="n">
        <f aca="false">Q!$P$39</f>
        <v>71.492</v>
      </c>
      <c r="F1200" s="39" t="n">
        <v>0</v>
      </c>
      <c r="G1200" s="38" t="n">
        <f aca="false">Sens!$E$1200+Sens!$F$1200</f>
        <v>71.492</v>
      </c>
      <c r="H1200" s="39" t="n">
        <v>0</v>
      </c>
      <c r="I1200" s="39" t="n">
        <v>0</v>
      </c>
      <c r="J1200" s="39" t="n">
        <v>0</v>
      </c>
      <c r="K1200" s="39" t="n">
        <v>0</v>
      </c>
      <c r="L1200" s="39" t="n">
        <v>0</v>
      </c>
      <c r="M1200" s="39" t="n">
        <v>0</v>
      </c>
      <c r="N1200" s="38" t="n">
        <f aca="false">Q!$N$39</f>
        <v>6.017</v>
      </c>
      <c r="O1200" s="38" t="n">
        <f aca="false">Q!$O$39</f>
        <v>13.593</v>
      </c>
      <c r="P1200" s="5" t="s">
        <v>765</v>
      </c>
    </row>
    <row r="1201" customFormat="false" ht="15" hidden="false" customHeight="false" outlineLevel="0" collapsed="false">
      <c r="A1201" s="5" t="s">
        <v>554</v>
      </c>
      <c r="B1201" s="0" t="s">
        <v>86</v>
      </c>
      <c r="C1201" s="38" t="n">
        <f aca="false">Q!$D$36</f>
        <v>68.614</v>
      </c>
      <c r="D1201" s="38" t="n">
        <f aca="false">Q!$E$36</f>
        <v>97.311</v>
      </c>
      <c r="E1201" s="38" t="n">
        <f aca="false">Q!$P$36</f>
        <v>120.691</v>
      </c>
      <c r="F1201" s="38" t="n">
        <f aca="false">Sens!$F$1177-Sens!$F$1198+Sens!$F$1199+Sens!$F$1200</f>
        <v>55.600465061144</v>
      </c>
      <c r="G1201" s="38" t="n">
        <f aca="false">Sens!$E$1201+Sens!$F$1201</f>
        <v>176.291465061144</v>
      </c>
      <c r="H1201" s="38" t="n">
        <f aca="false">Sens!$H$1177-Sens!$H$1198+Sens!$H$1199+Sens!$H$1200</f>
        <v>127.103650541808</v>
      </c>
      <c r="I1201" s="38" t="n">
        <f aca="false">Sens!$I$1177-Sens!$I$1198+Sens!$I$1199+Sens!$I$1200</f>
        <v>148.756384830744</v>
      </c>
      <c r="J1201" s="38" t="n">
        <f aca="false">Sens!$J$1177-Sens!$J$1198+Sens!$J$1199+Sens!$J$1200</f>
        <v>176.065044573121</v>
      </c>
      <c r="K1201" s="38" t="n">
        <f aca="false">Sens!$K$1177-Sens!$K$1198+Sens!$K$1199+Sens!$K$1200</f>
        <v>198.297875378783</v>
      </c>
      <c r="L1201" s="38" t="n">
        <f aca="false">Sens!$L$1177-Sens!$L$1198+Sens!$L$1199+Sens!$L$1200</f>
        <v>221.046099730518</v>
      </c>
      <c r="M1201" s="38" t="n">
        <f aca="false">Sens!$M$1177-Sens!$M$1198+Sens!$M$1199+Sens!$M$1200</f>
        <v>245.319488082651</v>
      </c>
      <c r="N1201" s="38" t="n">
        <f aca="false">Q!$N$36</f>
        <v>42.536</v>
      </c>
      <c r="O1201" s="38" t="n">
        <f aca="false">Q!$O$36</f>
        <v>54.775</v>
      </c>
    </row>
    <row r="1202" customFormat="false" ht="15" hidden="false" customHeight="false" outlineLevel="0" collapsed="false">
      <c r="A1202" s="5" t="s">
        <v>555</v>
      </c>
      <c r="B1202" s="0" t="s">
        <v>86</v>
      </c>
      <c r="C1202" s="38" t="n">
        <f aca="false">Q!$D$37</f>
        <v>9.265</v>
      </c>
      <c r="D1202" s="38" t="n">
        <f aca="false">Q!$E$37</f>
        <v>19.087</v>
      </c>
      <c r="E1202" s="38" t="n">
        <f aca="false">Q!$P$37</f>
        <v>27.759</v>
      </c>
      <c r="F1202" s="38" t="n">
        <f aca="false">Sens!$F$1201*tax</f>
        <v>9.65138040754756</v>
      </c>
      <c r="G1202" s="38" t="n">
        <f aca="false">Sens!$E$1202+Sens!$F$1202</f>
        <v>37.4103804075476</v>
      </c>
      <c r="H1202" s="38" t="n">
        <f aca="false">Sens!$H$1201*tax</f>
        <v>22.0632270111041</v>
      </c>
      <c r="I1202" s="38" t="n">
        <f aca="false">Sens!$I$1201*tax</f>
        <v>25.8218066426999</v>
      </c>
      <c r="J1202" s="38" t="n">
        <f aca="false">Sens!$J$1201*tax</f>
        <v>30.5621674167351</v>
      </c>
      <c r="K1202" s="38" t="n">
        <f aca="false">Sens!$K$1201*tax</f>
        <v>34.4214428275812</v>
      </c>
      <c r="L1202" s="38" t="n">
        <f aca="false">Sens!$L$1201*tax</f>
        <v>38.370182583146</v>
      </c>
      <c r="M1202" s="38" t="n">
        <f aca="false">Sens!$M$1201*tax</f>
        <v>42.5836672097393</v>
      </c>
      <c r="N1202" s="38" t="n">
        <f aca="false">Q!$N$37</f>
        <v>7.231</v>
      </c>
      <c r="O1202" s="38" t="n">
        <f aca="false">Q!$O$37</f>
        <v>11.856</v>
      </c>
    </row>
    <row r="1203" customFormat="false" ht="15" hidden="false" customHeight="false" outlineLevel="0" collapsed="false">
      <c r="A1203" s="3" t="s">
        <v>556</v>
      </c>
      <c r="B1203" s="8" t="s">
        <v>86</v>
      </c>
      <c r="C1203" s="38" t="n">
        <f aca="false">Q!$D$38</f>
        <v>59.248</v>
      </c>
      <c r="D1203" s="38" t="n">
        <f aca="false">Q!$E$38</f>
        <v>77.67</v>
      </c>
      <c r="E1203" s="38" t="n">
        <f aca="false">Q!$P$38</f>
        <v>92.902</v>
      </c>
      <c r="F1203" s="38" t="n">
        <f aca="false">Sens!$F$1201-Sens!$F$1202</f>
        <v>45.9490846535964</v>
      </c>
      <c r="G1203" s="38" t="n">
        <f aca="false">Sens!$E$1203+Sens!$F$1203</f>
        <v>138.851084653596</v>
      </c>
      <c r="H1203" s="38" t="n">
        <f aca="false">Sens!$H$1201-Sens!$H$1202</f>
        <v>105.040423530704</v>
      </c>
      <c r="I1203" s="38" t="n">
        <f aca="false">Sens!$I$1201-Sens!$I$1202</f>
        <v>122.934578188045</v>
      </c>
      <c r="J1203" s="38" t="n">
        <f aca="false">Sens!$J$1201-Sens!$J$1202</f>
        <v>145.502877156386</v>
      </c>
      <c r="K1203" s="38" t="n">
        <f aca="false">Sens!$K$1201-Sens!$K$1202</f>
        <v>163.876432551202</v>
      </c>
      <c r="L1203" s="38" t="n">
        <f aca="false">Sens!$L$1201-Sens!$L$1202</f>
        <v>182.675917147372</v>
      </c>
      <c r="M1203" s="38" t="n">
        <f aca="false">Sens!$M$1201-Sens!$M$1202</f>
        <v>202.735820872911</v>
      </c>
      <c r="N1203" s="38" t="n">
        <f aca="false">Q!$N$38</f>
        <v>35.291</v>
      </c>
      <c r="O1203" s="38" t="n">
        <f aca="false">Q!$O$38</f>
        <v>42.379</v>
      </c>
    </row>
    <row r="1204" customFormat="false" ht="17.15" hidden="false" customHeight="false" outlineLevel="0" collapsed="false">
      <c r="A1204" s="5" t="s">
        <v>559</v>
      </c>
      <c r="B1204" s="5" t="s">
        <v>33</v>
      </c>
      <c r="C1204" s="22" t="n">
        <f aca="false">Q!$D$41</f>
        <v>10.721</v>
      </c>
      <c r="D1204" s="22" t="n">
        <f aca="false">Q!$E$41</f>
        <v>10.827</v>
      </c>
      <c r="E1204" s="22" t="n">
        <f aca="false">(Q!$L$41+Q!$M$41)/2</f>
        <v>10.8885</v>
      </c>
      <c r="F1204" s="22" t="n">
        <f aca="false">Sens!$G$1204</f>
        <v>10.924806</v>
      </c>
      <c r="G1204" s="22" t="n">
        <f aca="false">Q!$M$41*(1+sh_g*0.25)</f>
        <v>10.924806</v>
      </c>
      <c r="H1204" s="22" t="n">
        <f aca="false">Sens!$G$1204*(1+sh_g)</f>
        <v>11.012204448</v>
      </c>
      <c r="I1204" s="22" t="n">
        <f aca="false">Sens!$H$1204*(1+sh_g)</f>
        <v>11.100302083584</v>
      </c>
      <c r="J1204" s="22" t="n">
        <f aca="false">Sens!$I$1204*(1+sh_g)</f>
        <v>11.1891045002527</v>
      </c>
      <c r="K1204" s="22" t="n">
        <f aca="false">Sens!$J$1204*(1+sh_g)</f>
        <v>11.2786173362547</v>
      </c>
      <c r="L1204" s="22" t="n">
        <f aca="false">Sens!$K$1204*(1+sh_g)</f>
        <v>11.3688462749447</v>
      </c>
      <c r="M1204" s="22" t="n">
        <f aca="false">Sens!$L$1204*(1+sh_g)</f>
        <v>11.4597970451443</v>
      </c>
      <c r="P1204" s="5" t="s">
        <v>766</v>
      </c>
    </row>
    <row r="1205" customFormat="false" ht="17.15" hidden="false" customHeight="false" outlineLevel="0" collapsed="false">
      <c r="A1205" s="5" t="s">
        <v>767</v>
      </c>
      <c r="B1205" s="0" t="s">
        <v>86</v>
      </c>
      <c r="C1205" s="38" t="n">
        <f aca="false">Sens!$C$1203+Sens!$C$1179*(1-tax)</f>
        <v>59.248</v>
      </c>
      <c r="D1205" s="38" t="n">
        <f aca="false">Sens!$D$1203+Sens!$D$1179*(1-tax)</f>
        <v>77.67</v>
      </c>
      <c r="E1205" s="38" t="n">
        <f aca="false">Sens!$E$1203+Sens!$E$1179*(1-tax)</f>
        <v>92.902</v>
      </c>
      <c r="F1205" s="38" t="n">
        <f aca="false">Sens!$F$1203+Sens!$F$1179*(1-tax)</f>
        <v>45.9490846535964</v>
      </c>
      <c r="G1205" s="38" t="n">
        <f aca="false">Sens!$G$1203+Sens!$G$1179*(1-tax)</f>
        <v>138.851084653596</v>
      </c>
      <c r="H1205" s="38" t="n">
        <f aca="false">Sens!$H$1203+Sens!$H$1179*(1-tax)</f>
        <v>105.040423530704</v>
      </c>
      <c r="I1205" s="38" t="n">
        <f aca="false">Sens!$I$1203+Sens!$I$1179*(1-tax)</f>
        <v>122.934578188045</v>
      </c>
      <c r="J1205" s="38" t="n">
        <f aca="false">Sens!$J$1203+Sens!$J$1179*(1-tax)</f>
        <v>145.502877156386</v>
      </c>
      <c r="K1205" s="38" t="n">
        <f aca="false">Sens!$K$1203+Sens!$K$1179*(1-tax)</f>
        <v>163.876432551202</v>
      </c>
      <c r="L1205" s="38" t="n">
        <f aca="false">Sens!$L$1203+Sens!$L$1179*(1-tax)</f>
        <v>182.675917147372</v>
      </c>
      <c r="M1205" s="38" t="n">
        <f aca="false">Sens!$M$1203+Sens!$M$1179*(1-tax)</f>
        <v>202.735820872911</v>
      </c>
      <c r="N1205" s="38" t="n">
        <f aca="false">Sens!$N$1203+Sens!$N$1179*(1-tax)</f>
        <v>35.291</v>
      </c>
      <c r="O1205" s="38" t="n">
        <f aca="false">Sens!$O$1203+Sens!$O$1179*(1-tax)</f>
        <v>42.379</v>
      </c>
    </row>
    <row r="1206" customFormat="false" ht="17.15" hidden="false" customHeight="false" outlineLevel="0" collapsed="false">
      <c r="A1206" s="43" t="s">
        <v>768</v>
      </c>
      <c r="B1206" s="14" t="s">
        <v>27</v>
      </c>
      <c r="C1206" s="44" t="n">
        <f aca="false">Sens!$C$1205/Sens!$C$1204</f>
        <v>5.52635015390355</v>
      </c>
      <c r="D1206" s="44" t="n">
        <f aca="false">Sens!$D$1205/Sens!$D$1204</f>
        <v>7.1737323358271</v>
      </c>
      <c r="E1206" s="44" t="n">
        <f aca="false">Sens!$E$1205/Sens!$E$1204</f>
        <v>8.53212104513937</v>
      </c>
      <c r="F1206" s="14"/>
      <c r="G1206" s="44" t="n">
        <f aca="false">Sens!$G$1205/Sens!$G$1204</f>
        <v>12.7097071246479</v>
      </c>
      <c r="H1206" s="44" t="n">
        <f aca="false">Sens!$H$1205/Sens!$H$1204</f>
        <v>9.53854643969866</v>
      </c>
      <c r="I1206" s="44" t="n">
        <f aca="false">Sens!$I$1205/Sens!$I$1204</f>
        <v>11.0748858240399</v>
      </c>
      <c r="J1206" s="44" t="n">
        <f aca="false">Sens!$J$1205/Sens!$J$1204</f>
        <v>13.0039787503192</v>
      </c>
      <c r="K1206" s="44" t="n">
        <f aca="false">Sens!$K$1205/Sens!$K$1204</f>
        <v>14.5298335483399</v>
      </c>
      <c r="L1206" s="44" t="n">
        <f aca="false">Sens!$L$1205/Sens!$L$1204</f>
        <v>16.0681139255056</v>
      </c>
      <c r="M1206" s="44" t="n">
        <f aca="false">Sens!$M$1205/Sens!$M$1204</f>
        <v>17.6910481114335</v>
      </c>
      <c r="N1206" s="14"/>
      <c r="O1206" s="14"/>
    </row>
    <row r="1207" customFormat="false" ht="17.15" hidden="false" customHeight="false" outlineLevel="0" collapsed="false">
      <c r="A1207" s="0" t="s">
        <v>769</v>
      </c>
      <c r="B1207" s="0" t="s">
        <v>27</v>
      </c>
      <c r="C1207" s="30" t="n">
        <f aca="false">Sens!$C$1203/Sens!$C$1204</f>
        <v>5.52635015390355</v>
      </c>
      <c r="D1207" s="30" t="n">
        <f aca="false">Sens!$D$1203/Sens!$D$1204</f>
        <v>7.1737323358271</v>
      </c>
      <c r="E1207" s="30" t="n">
        <f aca="false">Sens!$E$1203/Sens!$E$1204</f>
        <v>8.53212104513937</v>
      </c>
      <c r="G1207" s="30" t="n">
        <f aca="false">Sens!$G$1203/Sens!$G$1204</f>
        <v>12.7097071246479</v>
      </c>
      <c r="H1207" s="30" t="n">
        <f aca="false">Sens!$H$1203/Sens!$H$1204</f>
        <v>9.53854643969866</v>
      </c>
      <c r="I1207" s="30" t="n">
        <f aca="false">Sens!$I$1203/Sens!$I$1204</f>
        <v>11.0748858240399</v>
      </c>
      <c r="J1207" s="30" t="n">
        <f aca="false">Sens!$J$1203/Sens!$J$1204</f>
        <v>13.0039787503192</v>
      </c>
      <c r="K1207" s="30" t="n">
        <f aca="false">Sens!$K$1203/Sens!$K$1204</f>
        <v>14.5298335483399</v>
      </c>
      <c r="L1207" s="30" t="n">
        <f aca="false">Sens!$L$1203/Sens!$L$1204</f>
        <v>16.0681139255056</v>
      </c>
      <c r="M1207" s="30" t="n">
        <f aca="false">Sens!$M$1203/Sens!$M$1204</f>
        <v>17.6910481114335</v>
      </c>
    </row>
    <row r="1208" customFormat="false" ht="17.15" hidden="false" customHeight="false" outlineLevel="0" collapsed="false">
      <c r="A1208" s="0" t="s">
        <v>770</v>
      </c>
      <c r="B1208" s="0" t="s">
        <v>27</v>
      </c>
      <c r="C1208" s="30" t="n">
        <f aca="false">(Sens!$C$1203-Sens!$C$1200*(1-tax))/Sens!$C$1204</f>
        <v>5.33926775917445</v>
      </c>
      <c r="D1208" s="30" t="n">
        <f aca="false">(Sens!$D$1203-Sens!$D$1200*(1-tax))/Sens!$D$1204</f>
        <v>5.67691812755503</v>
      </c>
      <c r="E1208" s="30" t="n">
        <f aca="false">(Sens!$E$1203-Sens!$E$1200*(1-tax))/Sens!$E$1204</f>
        <v>3.10602057006846</v>
      </c>
      <c r="G1208" s="30" t="n">
        <f aca="false">(Sens!$G$1203-Sens!$G$1200*(1-tax))/Sens!$G$1204</f>
        <v>7.30163900675094</v>
      </c>
      <c r="H1208" s="30" t="n">
        <f aca="false">(Sens!$H$1203-Sens!$H$1200*(1-tax))/Sens!$H$1204</f>
        <v>9.53854643969866</v>
      </c>
      <c r="I1208" s="30" t="n">
        <f aca="false">(Sens!$I$1203-Sens!$I$1200*(1-tax))/Sens!$I$1204</f>
        <v>11.0748858240399</v>
      </c>
      <c r="J1208" s="30" t="n">
        <f aca="false">(Sens!$J$1203-Sens!$J$1200*(1-tax))/Sens!$J$1204</f>
        <v>13.0039787503192</v>
      </c>
      <c r="K1208" s="30" t="n">
        <f aca="false">(Sens!$K$1203-Sens!$K$1200*(1-tax))/Sens!$K$1204</f>
        <v>14.5298335483399</v>
      </c>
      <c r="L1208" s="30" t="n">
        <f aca="false">(Sens!$L$1203-Sens!$L$1200*(1-tax))/Sens!$L$1204</f>
        <v>16.0681139255056</v>
      </c>
      <c r="M1208" s="30" t="n">
        <f aca="false">(Sens!$M$1203-Sens!$M$1200*(1-tax))/Sens!$M$1204</f>
        <v>17.6910481114335</v>
      </c>
      <c r="P1208" s="5" t="s">
        <v>771</v>
      </c>
    </row>
    <row r="1209" customFormat="false" ht="17.15" hidden="false" customHeight="false" outlineLevel="0" collapsed="false">
      <c r="A1209" s="0" t="s">
        <v>772</v>
      </c>
      <c r="B1209" s="0" t="s">
        <v>52</v>
      </c>
      <c r="H1209" s="13" t="n">
        <f aca="false">Sens!$H$1206/Sens!$G$1206-1</f>
        <v>-0.249506983429967</v>
      </c>
      <c r="I1209" s="13" t="n">
        <f aca="false">Sens!$I$1206/Sens!$H$1206-1</f>
        <v>0.161066405039145</v>
      </c>
      <c r="J1209" s="13" t="n">
        <f aca="false">Sens!$J$1206/Sens!$I$1206-1</f>
        <v>0.174186258615136</v>
      </c>
      <c r="K1209" s="13" t="n">
        <f aca="false">Sens!$K$1206/Sens!$J$1206-1</f>
        <v>0.117337533943855</v>
      </c>
      <c r="L1209" s="13" t="n">
        <f aca="false">Sens!$L$1206/Sens!$K$1206-1</f>
        <v>0.105870474843907</v>
      </c>
      <c r="M1209" s="13" t="n">
        <f aca="false">Sens!$M$1206/Sens!$L$1206-1</f>
        <v>0.101003402978852</v>
      </c>
    </row>
    <row r="1212" customFormat="false" ht="19.4" hidden="false" customHeight="false" outlineLevel="0" collapsed="false">
      <c r="A1212" s="31" t="s">
        <v>1175</v>
      </c>
    </row>
    <row r="1213" customFormat="false" ht="17.15" hidden="false" customHeight="false" outlineLevel="0" collapsed="false">
      <c r="A1213" s="6" t="s">
        <v>16</v>
      </c>
      <c r="B1213" s="6" t="s">
        <v>17</v>
      </c>
      <c r="C1213" s="20" t="s">
        <v>504</v>
      </c>
      <c r="D1213" s="20" t="s">
        <v>505</v>
      </c>
      <c r="E1213" s="20" t="s">
        <v>587</v>
      </c>
      <c r="F1213" s="20" t="s">
        <v>588</v>
      </c>
      <c r="G1213" s="20" t="s">
        <v>589</v>
      </c>
      <c r="H1213" s="20" t="s">
        <v>590</v>
      </c>
      <c r="I1213" s="20" t="s">
        <v>591</v>
      </c>
      <c r="J1213" s="20" t="s">
        <v>592</v>
      </c>
      <c r="K1213" s="20" t="s">
        <v>593</v>
      </c>
      <c r="L1213" s="20" t="s">
        <v>594</v>
      </c>
      <c r="M1213" s="20" t="s">
        <v>595</v>
      </c>
      <c r="N1213" s="20" t="s">
        <v>596</v>
      </c>
      <c r="O1213" s="20" t="s">
        <v>597</v>
      </c>
      <c r="P1213" s="6" t="s">
        <v>23</v>
      </c>
      <c r="R1213" s="20" t="n">
        <v>2023</v>
      </c>
      <c r="S1213" s="20" t="n">
        <v>2024</v>
      </c>
      <c r="T1213" s="20" t="n">
        <v>2025</v>
      </c>
      <c r="U1213" s="20" t="n">
        <v>2026</v>
      </c>
      <c r="V1213" s="20" t="n">
        <v>2027</v>
      </c>
      <c r="W1213" s="20" t="n">
        <v>2028</v>
      </c>
      <c r="X1213" s="20" t="n">
        <v>2029</v>
      </c>
      <c r="Y1213" s="20" t="n">
        <v>2030</v>
      </c>
      <c r="Z1213" s="20" t="n">
        <v>2031</v>
      </c>
      <c r="AA1213" s="20" t="n">
        <v>2032</v>
      </c>
    </row>
    <row r="1214" customFormat="false" ht="15" hidden="false" customHeight="false" outlineLevel="0" collapsed="false">
      <c r="A1214" s="5" t="s">
        <v>556</v>
      </c>
      <c r="B1214" s="0" t="s">
        <v>86</v>
      </c>
      <c r="C1214" s="38" t="n">
        <f aca="false">Sens!$C$1203</f>
        <v>59.248</v>
      </c>
      <c r="D1214" s="38" t="n">
        <f aca="false">Sens!$D$1203</f>
        <v>77.67</v>
      </c>
      <c r="E1214" s="38" t="n">
        <f aca="false">Sens!$E$1203</f>
        <v>92.902</v>
      </c>
      <c r="F1214" s="38" t="n">
        <f aca="false">Sens!$F$1203</f>
        <v>45.9490846535964</v>
      </c>
      <c r="G1214" s="38" t="n">
        <f aca="false">Sens!$G$1203</f>
        <v>138.851084653596</v>
      </c>
      <c r="H1214" s="38" t="n">
        <f aca="false">Sens!$H$1203</f>
        <v>105.040423530704</v>
      </c>
      <c r="I1214" s="38" t="n">
        <f aca="false">Sens!$I$1203</f>
        <v>122.934578188045</v>
      </c>
      <c r="J1214" s="38" t="n">
        <f aca="false">Sens!$J$1203</f>
        <v>145.502877156386</v>
      </c>
      <c r="K1214" s="38" t="n">
        <f aca="false">Sens!$K$1203</f>
        <v>163.876432551202</v>
      </c>
      <c r="L1214" s="38" t="n">
        <f aca="false">Sens!$L$1203</f>
        <v>182.675917147372</v>
      </c>
      <c r="M1214" s="38" t="n">
        <f aca="false">Sens!$M$1203</f>
        <v>202.735820872911</v>
      </c>
    </row>
    <row r="1215" customFormat="false" ht="17.15" hidden="false" customHeight="false" outlineLevel="0" collapsed="false">
      <c r="A1215" s="5" t="s">
        <v>795</v>
      </c>
      <c r="B1215" s="0" t="s">
        <v>86</v>
      </c>
      <c r="C1215" s="38" t="n">
        <f aca="false">Sens!$C$1191</f>
        <v>32.067</v>
      </c>
      <c r="D1215" s="38" t="n">
        <f aca="false">Sens!$D$1191</f>
        <v>41.86</v>
      </c>
      <c r="E1215" s="38" t="n">
        <f aca="false">Sens!$E$1191</f>
        <v>26.703</v>
      </c>
      <c r="F1215" s="38" t="n">
        <f aca="false">Sens!$F$1191</f>
        <v>28.6465731839533</v>
      </c>
      <c r="G1215" s="38" t="n">
        <f aca="false">Sens!$G$1191</f>
        <v>55.3495731839533</v>
      </c>
      <c r="H1215" s="38" t="n">
        <f aca="false">Sens!$H$1191</f>
        <v>80.9909078624721</v>
      </c>
      <c r="I1215" s="38" t="n">
        <f aca="false">Sens!$I$1191</f>
        <v>113.615085837512</v>
      </c>
      <c r="J1215" s="38" t="n">
        <f aca="false">Sens!$J$1191</f>
        <v>141.612304816565</v>
      </c>
      <c r="K1215" s="38" t="n">
        <f aca="false">Sens!$K$1191</f>
        <v>169.639732181548</v>
      </c>
      <c r="L1215" s="38" t="n">
        <f aca="false">Sens!$L$1191</f>
        <v>191.064117364161</v>
      </c>
      <c r="M1215" s="38" t="n">
        <f aca="false">Sens!$M$1191</f>
        <v>205.189130288659</v>
      </c>
    </row>
    <row r="1216" customFormat="false" ht="15" hidden="false" customHeight="false" outlineLevel="0" collapsed="false">
      <c r="A1216" s="5" t="s">
        <v>796</v>
      </c>
      <c r="B1216" s="0" t="s">
        <v>86</v>
      </c>
      <c r="C1216" s="38" t="n">
        <f aca="false">Q!$D$48</f>
        <v>22.011</v>
      </c>
      <c r="D1216" s="38" t="n">
        <f aca="false">Q!$E$48</f>
        <v>19.467</v>
      </c>
      <c r="E1216" s="38" t="n">
        <f aca="false">Q!$P$48</f>
        <v>10.07</v>
      </c>
      <c r="F1216" s="38" t="n">
        <f aca="false">sbc_r*Sens!$F$1133</f>
        <v>10.8507035798037</v>
      </c>
      <c r="G1216" s="38" t="n">
        <f aca="false">Sens!$E$1216+Sens!$F$1216</f>
        <v>20.9207035798037</v>
      </c>
      <c r="H1216" s="38" t="n">
        <f aca="false">sbc_r*Sens!$H$1133</f>
        <v>23.46224366345</v>
      </c>
      <c r="I1216" s="38" t="n">
        <f aca="false">sbc_r*Sens!$I$1133</f>
        <v>26.6125957111676</v>
      </c>
      <c r="J1216" s="38" t="n">
        <f aca="false">sbc_r*Sens!$J$1133</f>
        <v>29.6280801413323</v>
      </c>
      <c r="K1216" s="38" t="n">
        <f aca="false">sbc_r*Sens!$K$1133</f>
        <v>32.2712258901105</v>
      </c>
      <c r="L1216" s="38" t="n">
        <f aca="false">sbc_r*Sens!$L$1133</f>
        <v>34.7390505016737</v>
      </c>
      <c r="M1216" s="38" t="n">
        <f aca="false">sbc_r*Sens!$M$1133</f>
        <v>37.0405146906692</v>
      </c>
    </row>
    <row r="1217" customFormat="false" ht="17.15" hidden="false" customHeight="false" outlineLevel="0" collapsed="false">
      <c r="A1217" s="5" t="s">
        <v>797</v>
      </c>
      <c r="B1217" s="0" t="s">
        <v>86</v>
      </c>
      <c r="C1217" s="38" t="n">
        <f aca="false">Q!$D$44-Sens!$C$1214-Sens!$C$1215-Sens!$C$1216</f>
        <v>2.551</v>
      </c>
      <c r="D1217" s="38" t="n">
        <f aca="false">Q!$E$44-Sens!$D$1214-Sens!$D$1215-Sens!$D$1216</f>
        <v>0.51700000000001</v>
      </c>
      <c r="E1217" s="38" t="n">
        <f aca="false">Q!$P$44-Sens!$E$1214-Sens!$E$1215-Sens!$E$1216</f>
        <v>-58.256</v>
      </c>
      <c r="F1217" s="38" t="n">
        <f aca="false">oth_r*Sens!$F$1133</f>
        <v>5.22265251035878</v>
      </c>
      <c r="G1217" s="38" t="n">
        <f aca="false">Sens!$E$1217+Sens!$F$1217</f>
        <v>-53.0333474896412</v>
      </c>
      <c r="H1217" s="38" t="n">
        <f aca="false">oth_r*Sens!$H$1133</f>
        <v>11.2928295263397</v>
      </c>
      <c r="I1217" s="38" t="n">
        <f aca="false">oth_r*Sens!$I$1133</f>
        <v>12.8091546115766</v>
      </c>
      <c r="J1217" s="38" t="n">
        <f aca="false">oth_r*Sens!$J$1133</f>
        <v>14.2605653162668</v>
      </c>
      <c r="K1217" s="38" t="n">
        <f aca="false">oth_r*Sens!$K$1133</f>
        <v>15.5327622460396</v>
      </c>
      <c r="L1217" s="38" t="n">
        <f aca="false">oth_r*Sens!$L$1133</f>
        <v>16.720573737517</v>
      </c>
      <c r="M1217" s="38" t="n">
        <f aca="false">oth_r*Sens!$M$1133</f>
        <v>17.8283127551536</v>
      </c>
      <c r="P1217" s="8" t="s">
        <v>798</v>
      </c>
    </row>
    <row r="1218" customFormat="false" ht="15" hidden="false" customHeight="false" outlineLevel="0" collapsed="false">
      <c r="A1218" s="3" t="s">
        <v>562</v>
      </c>
      <c r="B1218" s="8" t="s">
        <v>86</v>
      </c>
      <c r="C1218" s="38" t="n">
        <f aca="false">Q!$D$44</f>
        <v>115.877</v>
      </c>
      <c r="D1218" s="38" t="n">
        <f aca="false">Q!$E$44</f>
        <v>139.514</v>
      </c>
      <c r="E1218" s="38" t="n">
        <f aca="false">Q!$P$44</f>
        <v>71.419</v>
      </c>
      <c r="F1218" s="38" t="n">
        <f aca="false">Sens!$F$1214+Sens!$F$1215+Sens!$F$1216+Sens!$F$1217</f>
        <v>90.6690139277121</v>
      </c>
      <c r="G1218" s="38" t="n">
        <f aca="false">Sens!$E$1218+Sens!$F$1218</f>
        <v>162.088013927712</v>
      </c>
      <c r="H1218" s="38" t="n">
        <f aca="false">Sens!$H$1214+Sens!$H$1215+Sens!$H$1216+Sens!$H$1217</f>
        <v>220.786404582966</v>
      </c>
      <c r="I1218" s="38" t="n">
        <f aca="false">Sens!$I$1214+Sens!$I$1215+Sens!$I$1216+Sens!$I$1217</f>
        <v>275.971414348301</v>
      </c>
      <c r="J1218" s="38" t="n">
        <f aca="false">Sens!$J$1214+Sens!$J$1215+Sens!$J$1216+Sens!$J$1217</f>
        <v>331.00382743055</v>
      </c>
      <c r="K1218" s="38" t="n">
        <f aca="false">Sens!$K$1214+Sens!$K$1215+Sens!$K$1216+Sens!$K$1217</f>
        <v>381.320152868899</v>
      </c>
      <c r="L1218" s="38" t="n">
        <f aca="false">Sens!$L$1214+Sens!$L$1215+Sens!$L$1216+Sens!$L$1217</f>
        <v>425.199658750724</v>
      </c>
      <c r="M1218" s="38" t="n">
        <f aca="false">Sens!$M$1214+Sens!$M$1215+Sens!$M$1216+Sens!$M$1217</f>
        <v>462.793778607393</v>
      </c>
    </row>
    <row r="1219" customFormat="false" ht="17.15" hidden="false" customHeight="false" outlineLevel="0" collapsed="false">
      <c r="A1219" s="5" t="s">
        <v>799</v>
      </c>
      <c r="B1219" s="0" t="s">
        <v>86</v>
      </c>
      <c r="C1219" s="38" t="n">
        <f aca="false">Sens!$C$1097</f>
        <v>25.2781053077374</v>
      </c>
      <c r="D1219" s="38" t="n">
        <f aca="false">Sens!$D$1097</f>
        <v>69.5686316310026</v>
      </c>
      <c r="E1219" s="38" t="n">
        <f aca="false">Sens!$E$1097</f>
        <v>64.1899206485108</v>
      </c>
      <c r="F1219" s="38" t="n">
        <f aca="false">Sens!$F$1097</f>
        <v>88.7165504612134</v>
      </c>
      <c r="G1219" s="38" t="n">
        <f aca="false">Sens!$G$1097</f>
        <v>152.906471109724</v>
      </c>
      <c r="H1219" s="38" t="n">
        <f aca="false">Sens!$H$1097</f>
        <v>158.8570919558</v>
      </c>
      <c r="I1219" s="38" t="n">
        <f aca="false">Sens!$I$1097</f>
        <v>163.7171759284</v>
      </c>
      <c r="J1219" s="38" t="n">
        <f aca="false">Sens!$J$1097</f>
        <v>167.9065904884</v>
      </c>
      <c r="K1219" s="38" t="n">
        <f aca="false">Sens!$K$1097</f>
        <v>124.190708220161</v>
      </c>
      <c r="L1219" s="38" t="n">
        <f aca="false">Sens!$L$1097</f>
        <v>105.611313311921</v>
      </c>
      <c r="M1219" s="38" t="n">
        <f aca="false">Sens!$M$1097</f>
        <v>105.784785327882</v>
      </c>
    </row>
    <row r="1220" customFormat="false" ht="17.15" hidden="false" customHeight="false" outlineLevel="0" collapsed="false">
      <c r="A1220" s="5" t="s">
        <v>800</v>
      </c>
      <c r="B1220" s="0" t="s">
        <v>86</v>
      </c>
      <c r="C1220" s="38" t="n">
        <f aca="false">cx_awso*Sens!$C$1131</f>
        <v>21.0469989286053</v>
      </c>
      <c r="D1220" s="38" t="n">
        <f aca="false">cx_awso*Sens!$D$1131</f>
        <v>24.0042459822698</v>
      </c>
      <c r="E1220" s="38" t="n">
        <f aca="false">cx_awso*Sens!$E$1131</f>
        <v>14.261729404886</v>
      </c>
      <c r="F1220" s="38" t="n">
        <f aca="false">cx_awso*Sens!$F$1131</f>
        <v>14.3538599588493</v>
      </c>
      <c r="G1220" s="38" t="n">
        <f aca="false">Sens!$E$1220+Sens!$F$1220</f>
        <v>28.6155893637353</v>
      </c>
      <c r="H1220" s="38" t="n">
        <f aca="false">cx_awso*Sens!$H$1131</f>
        <v>32.2034154158406</v>
      </c>
      <c r="I1220" s="38" t="n">
        <f aca="false">cx_awso*Sens!$I$1131</f>
        <v>35.7539519042915</v>
      </c>
      <c r="J1220" s="38" t="n">
        <f aca="false">cx_awso*Sens!$J$1131</f>
        <v>39.1551076091815</v>
      </c>
      <c r="K1220" s="38" t="n">
        <f aca="false">cx_awso*Sens!$K$1131</f>
        <v>42.287516217916</v>
      </c>
      <c r="L1220" s="38" t="n">
        <f aca="false">cx_awso*Sens!$L$1131</f>
        <v>45.6705175153492</v>
      </c>
      <c r="M1220" s="38" t="n">
        <f aca="false">cx_awso*Sens!$M$1131</f>
        <v>49.3241589165772</v>
      </c>
    </row>
    <row r="1221" customFormat="false" ht="17.15" hidden="false" customHeight="false" outlineLevel="0" collapsed="false">
      <c r="A1221" s="5" t="s">
        <v>801</v>
      </c>
      <c r="B1221" s="0" t="s">
        <v>86</v>
      </c>
      <c r="C1221" s="38" t="n">
        <f aca="false">Q!$D$46-Sens!$C$1219-Sens!$C$1220</f>
        <v>31.3328957636573</v>
      </c>
      <c r="D1221" s="38" t="n">
        <f aca="false">Q!$E$46-Sens!$D$1219-Sens!$D$1220</f>
        <v>34.7471223867276</v>
      </c>
      <c r="E1221" s="38" t="n">
        <f aca="false">Q!$P$46-Sens!$E$1219-Sens!$E$1220</f>
        <v>17.8583499466032</v>
      </c>
      <c r="F1221" s="38" t="n">
        <f aca="false">cx_rt*Sens!$F$1060</f>
        <v>20.6195895799373</v>
      </c>
      <c r="G1221" s="38" t="n">
        <f aca="false">Sens!$E$1221+Sens!$F$1221</f>
        <v>38.4779395265405</v>
      </c>
      <c r="H1221" s="38" t="n">
        <f aca="false">cx_rt*Sens!$H$1060</f>
        <v>42.5978994743075</v>
      </c>
      <c r="I1221" s="38" t="n">
        <f aca="false">cx_rt*Sens!$I$1060</f>
        <v>46.5813904136335</v>
      </c>
      <c r="J1221" s="38" t="n">
        <f aca="false">cx_rt*Sens!$J$1060</f>
        <v>50.2781676586844</v>
      </c>
      <c r="K1221" s="38" t="n">
        <f aca="false">cx_rt*Sens!$K$1060</f>
        <v>53.5312440191755</v>
      </c>
      <c r="L1221" s="38" t="n">
        <f aca="false">cx_rt*Sens!$L$1060</f>
        <v>57.0116717051447</v>
      </c>
      <c r="M1221" s="38" t="n">
        <f aca="false">cx_rt*Sens!$M$1060</f>
        <v>60.7365554669226</v>
      </c>
    </row>
    <row r="1222" customFormat="false" ht="15" hidden="false" customHeight="false" outlineLevel="0" collapsed="false">
      <c r="A1222" s="3" t="s">
        <v>802</v>
      </c>
      <c r="B1222" s="8" t="s">
        <v>86</v>
      </c>
      <c r="C1222" s="38" t="n">
        <f aca="false">Q!$D$46</f>
        <v>77.658</v>
      </c>
      <c r="D1222" s="38" t="n">
        <f aca="false">Q!$E$46</f>
        <v>128.32</v>
      </c>
      <c r="E1222" s="38" t="n">
        <f aca="false">Q!$P$46</f>
        <v>96.31</v>
      </c>
      <c r="F1222" s="38" t="n">
        <f aca="false">Sens!$F$1219+Sens!$F$1220+Sens!$F$1221</f>
        <v>123.69</v>
      </c>
      <c r="G1222" s="38" t="n">
        <f aca="false">Sens!$E$1222+Sens!$F$1222</f>
        <v>220</v>
      </c>
      <c r="H1222" s="38" t="n">
        <f aca="false">Sens!$H$1219+Sens!$H$1220+Sens!$H$1221</f>
        <v>233.658406845948</v>
      </c>
      <c r="I1222" s="38" t="n">
        <f aca="false">Sens!$I$1219+Sens!$I$1220+Sens!$I$1221</f>
        <v>246.052518246325</v>
      </c>
      <c r="J1222" s="38" t="n">
        <f aca="false">Sens!$J$1219+Sens!$J$1220+Sens!$J$1221</f>
        <v>257.339865756266</v>
      </c>
      <c r="K1222" s="38" t="n">
        <f aca="false">Sens!$K$1219+Sens!$K$1220+Sens!$K$1221</f>
        <v>220.009468457252</v>
      </c>
      <c r="L1222" s="38" t="n">
        <f aca="false">Sens!$L$1219+Sens!$L$1220+Sens!$L$1221</f>
        <v>208.293502532415</v>
      </c>
      <c r="M1222" s="38" t="n">
        <f aca="false">Sens!$M$1219+Sens!$M$1220+Sens!$M$1221</f>
        <v>215.845499711382</v>
      </c>
    </row>
    <row r="1223" customFormat="false" ht="17.15" hidden="false" customHeight="false" outlineLevel="0" collapsed="false">
      <c r="A1223" s="5" t="s">
        <v>570</v>
      </c>
      <c r="B1223" s="0" t="s">
        <v>86</v>
      </c>
      <c r="C1223" s="38" t="n">
        <f aca="false">Q!$D$50</f>
        <v>2.043</v>
      </c>
      <c r="D1223" s="38" t="n">
        <f aca="false">Q!$E$50</f>
        <v>1.557</v>
      </c>
      <c r="E1223" s="38" t="n">
        <f aca="false">lease_pr/2</f>
        <v>0.8</v>
      </c>
      <c r="F1223" s="38" t="n">
        <f aca="false">lease_pr/2</f>
        <v>0.8</v>
      </c>
      <c r="G1223" s="38" t="n">
        <f aca="false">Sens!$E$1223+Sens!$F$1223</f>
        <v>1.6</v>
      </c>
      <c r="H1223" s="38" t="n">
        <f aca="false">lease_pr</f>
        <v>1.6</v>
      </c>
      <c r="I1223" s="38" t="n">
        <f aca="false">lease_pr</f>
        <v>1.6</v>
      </c>
      <c r="J1223" s="38" t="n">
        <f aca="false">lease_pr</f>
        <v>1.6</v>
      </c>
      <c r="K1223" s="38" t="n">
        <f aca="false">lease_pr</f>
        <v>1.6</v>
      </c>
      <c r="L1223" s="38" t="n">
        <f aca="false">lease_pr</f>
        <v>1.6</v>
      </c>
      <c r="M1223" s="38" t="n">
        <f aca="false">lease_pr</f>
        <v>1.6</v>
      </c>
      <c r="P1223" s="8" t="s">
        <v>803</v>
      </c>
    </row>
    <row r="1224" customFormat="false" ht="15" hidden="false" customHeight="false" outlineLevel="0" collapsed="false">
      <c r="A1224" s="47" t="s">
        <v>804</v>
      </c>
      <c r="B1224" s="14" t="s">
        <v>86</v>
      </c>
      <c r="C1224" s="48" t="n">
        <f aca="false">Sens!$C$1218-Sens!$C$1222-Sens!$C$1223</f>
        <v>36.176</v>
      </c>
      <c r="D1224" s="48" t="n">
        <f aca="false">Sens!$D$1218-Sens!$D$1222-Sens!$D$1223</f>
        <v>9.63700000000002</v>
      </c>
      <c r="E1224" s="48" t="n">
        <f aca="false">Sens!$E$1218-Sens!$E$1222-Sens!$E$1223</f>
        <v>-25.691</v>
      </c>
      <c r="F1224" s="48" t="n">
        <f aca="false">Sens!$F$1218-Sens!$F$1222-Sens!$F$1223</f>
        <v>-33.8209860722879</v>
      </c>
      <c r="G1224" s="48" t="n">
        <f aca="false">Sens!$G$1218-Sens!$G$1222-Sens!$G$1223</f>
        <v>-59.5119860722879</v>
      </c>
      <c r="H1224" s="48" t="n">
        <f aca="false">Sens!$H$1218-Sens!$H$1222-Sens!$H$1223</f>
        <v>-14.4720022629823</v>
      </c>
      <c r="I1224" s="48" t="n">
        <f aca="false">Sens!$I$1218-Sens!$I$1222-Sens!$I$1223</f>
        <v>28.3188961019759</v>
      </c>
      <c r="J1224" s="48" t="n">
        <f aca="false">Sens!$J$1218-Sens!$J$1222-Sens!$J$1223</f>
        <v>72.0639616742843</v>
      </c>
      <c r="K1224" s="48" t="n">
        <f aca="false">Sens!$K$1218-Sens!$K$1222-Sens!$K$1223</f>
        <v>159.710684411647</v>
      </c>
      <c r="L1224" s="48" t="n">
        <f aca="false">Sens!$L$1218-Sens!$L$1222-Sens!$L$1223</f>
        <v>215.306156218308</v>
      </c>
      <c r="M1224" s="48" t="n">
        <f aca="false">Sens!$M$1218-Sens!$M$1222-Sens!$M$1223</f>
        <v>245.348278896012</v>
      </c>
      <c r="N1224" s="14"/>
      <c r="O1224" s="14"/>
    </row>
    <row r="1225" customFormat="false" ht="17.15" hidden="false" customHeight="false" outlineLevel="0" collapsed="false">
      <c r="A1225" s="5" t="s">
        <v>805</v>
      </c>
      <c r="B1225" s="0" t="s">
        <v>86</v>
      </c>
      <c r="C1225" s="38" t="n">
        <f aca="false">dps*Sens!$C$1204</f>
        <v>0</v>
      </c>
      <c r="D1225" s="38" t="n">
        <f aca="false">dps*Sens!$D$1204</f>
        <v>0</v>
      </c>
      <c r="E1225" s="38" t="n">
        <f aca="false">dps*Sens!$E$1204</f>
        <v>0</v>
      </c>
      <c r="F1225" s="38" t="n">
        <f aca="false">0</f>
        <v>0</v>
      </c>
      <c r="G1225" s="38" t="n">
        <f aca="false">dps*Sens!$G$1204</f>
        <v>0</v>
      </c>
      <c r="H1225" s="38" t="n">
        <f aca="false">dps*Sens!$H$1204</f>
        <v>0</v>
      </c>
      <c r="I1225" s="38" t="n">
        <f aca="false">dps*Sens!$I$1204</f>
        <v>0</v>
      </c>
      <c r="J1225" s="38" t="n">
        <f aca="false">dps*Sens!$J$1204</f>
        <v>0</v>
      </c>
      <c r="K1225" s="38" t="n">
        <f aca="false">dps*Sens!$K$1204</f>
        <v>0</v>
      </c>
      <c r="L1225" s="38" t="n">
        <f aca="false">dps*Sens!$L$1204</f>
        <v>0</v>
      </c>
      <c r="M1225" s="38" t="n">
        <f aca="false">dps*Sens!$M$1204</f>
        <v>0</v>
      </c>
      <c r="P1225" s="8" t="s">
        <v>806</v>
      </c>
    </row>
    <row r="1226" customFormat="false" ht="17.15" hidden="false" customHeight="false" outlineLevel="0" collapsed="false">
      <c r="A1226" s="5" t="s">
        <v>807</v>
      </c>
      <c r="B1226" s="0" t="s">
        <v>86</v>
      </c>
      <c r="C1226" s="38" t="n">
        <f aca="false">0</f>
        <v>0</v>
      </c>
      <c r="D1226" s="38" t="n">
        <f aca="false">0</f>
        <v>0</v>
      </c>
      <c r="E1226" s="38" t="n">
        <f aca="false">0</f>
        <v>0</v>
      </c>
      <c r="F1226" s="38" t="n">
        <f aca="false">0</f>
        <v>0</v>
      </c>
      <c r="G1226" s="38" t="n">
        <f aca="false">0</f>
        <v>0</v>
      </c>
      <c r="H1226" s="38" t="n">
        <f aca="false">0</f>
        <v>0</v>
      </c>
      <c r="I1226" s="38" t="n">
        <f aca="false">0</f>
        <v>0</v>
      </c>
      <c r="J1226" s="38" t="n">
        <f aca="false">0</f>
        <v>0</v>
      </c>
      <c r="K1226" s="38" t="n">
        <f aca="false">0</f>
        <v>0</v>
      </c>
      <c r="L1226" s="38" t="n">
        <f aca="false">0</f>
        <v>0</v>
      </c>
      <c r="M1226" s="38" t="n">
        <f aca="false">0</f>
        <v>0</v>
      </c>
      <c r="P1226" s="8" t="s">
        <v>808</v>
      </c>
    </row>
    <row r="1227" customFormat="false" ht="15" hidden="false" customHeight="false" outlineLevel="0" collapsed="false">
      <c r="A1227" s="3" t="s">
        <v>809</v>
      </c>
      <c r="B1227" s="8" t="s">
        <v>86</v>
      </c>
      <c r="C1227" s="38" t="n">
        <f aca="false">Sens!$C$1224-Sens!$C$1225</f>
        <v>36.176</v>
      </c>
      <c r="D1227" s="38" t="n">
        <f aca="false">Sens!$D$1224-Sens!$D$1225</f>
        <v>9.63700000000002</v>
      </c>
      <c r="E1227" s="38" t="n">
        <f aca="false">Sens!$E$1224-Sens!$E$1225</f>
        <v>-25.691</v>
      </c>
      <c r="F1227" s="38" t="n">
        <f aca="false">Sens!$F$1224-Sens!$F$1225</f>
        <v>-33.8209860722879</v>
      </c>
      <c r="G1227" s="38" t="n">
        <f aca="false">Sens!$G$1224-Sens!$G$1225</f>
        <v>-59.5119860722879</v>
      </c>
      <c r="H1227" s="38" t="n">
        <f aca="false">Sens!$H$1224-Sens!$H$1225</f>
        <v>-14.4720022629823</v>
      </c>
      <c r="I1227" s="38" t="n">
        <f aca="false">Sens!$I$1224-Sens!$I$1225</f>
        <v>28.3188961019759</v>
      </c>
      <c r="J1227" s="38" t="n">
        <f aca="false">Sens!$J$1224-Sens!$J$1225</f>
        <v>72.0639616742843</v>
      </c>
      <c r="K1227" s="38" t="n">
        <f aca="false">Sens!$K$1224-Sens!$K$1225</f>
        <v>159.710684411647</v>
      </c>
      <c r="L1227" s="38" t="n">
        <f aca="false">Sens!$L$1224-Sens!$L$1225</f>
        <v>215.306156218308</v>
      </c>
      <c r="M1227" s="38" t="n">
        <f aca="false">Sens!$M$1224-Sens!$M$1225</f>
        <v>245.348278896012</v>
      </c>
    </row>
    <row r="1228" customFormat="false" ht="17.15" hidden="false" customHeight="false" outlineLevel="0" collapsed="false">
      <c r="A1228" s="5" t="s">
        <v>810</v>
      </c>
      <c r="B1228" s="0" t="s">
        <v>86</v>
      </c>
      <c r="E1228" s="38" t="n">
        <f aca="false">Q!$P$53</f>
        <v>39.767</v>
      </c>
      <c r="F1228" s="38" t="n">
        <f aca="false">inv_2h26</f>
        <v>21.3</v>
      </c>
      <c r="G1228" s="38" t="n">
        <f aca="false">Sens!$E$1228+Sens!$F$1228</f>
        <v>61.067</v>
      </c>
      <c r="H1228" s="39" t="n">
        <v>0</v>
      </c>
      <c r="I1228" s="39" t="n">
        <v>0</v>
      </c>
      <c r="J1228" s="39" t="n">
        <v>0</v>
      </c>
      <c r="K1228" s="39" t="n">
        <v>0</v>
      </c>
      <c r="L1228" s="39" t="n">
        <v>0</v>
      </c>
      <c r="M1228" s="39" t="n">
        <v>0</v>
      </c>
    </row>
    <row r="1229" customFormat="false" ht="17.15" hidden="false" customHeight="false" outlineLevel="0" collapsed="false">
      <c r="A1229" s="5" t="s">
        <v>811</v>
      </c>
      <c r="B1229" s="0" t="s">
        <v>86</v>
      </c>
      <c r="F1229" s="38" t="n">
        <f aca="false">iss_2h26</f>
        <v>29.249999</v>
      </c>
      <c r="G1229" s="38" t="n">
        <f aca="false">Sens!$F$1229</f>
        <v>29.249999</v>
      </c>
      <c r="H1229" s="39" t="n">
        <v>0</v>
      </c>
      <c r="I1229" s="39" t="n">
        <v>0</v>
      </c>
      <c r="J1229" s="39" t="n">
        <v>0</v>
      </c>
      <c r="K1229" s="39" t="n">
        <v>0</v>
      </c>
      <c r="L1229" s="39" t="n">
        <v>0</v>
      </c>
      <c r="M1229" s="39" t="n">
        <v>0</v>
      </c>
    </row>
    <row r="1230" customFormat="false" ht="17.15" hidden="false" customHeight="false" outlineLevel="0" collapsed="false">
      <c r="A1230" s="5" t="s">
        <v>812</v>
      </c>
      <c r="B1230" s="0" t="s">
        <v>86</v>
      </c>
      <c r="F1230" s="38" t="n">
        <f aca="false">cash_q2</f>
        <v>122.988</v>
      </c>
      <c r="G1230" s="38" t="n">
        <f aca="false">cash_q2</f>
        <v>122.988</v>
      </c>
      <c r="H1230" s="38" t="n">
        <f aca="false">Sens!$G$1233</f>
        <v>97.1170129277121</v>
      </c>
      <c r="I1230" s="38" t="n">
        <f aca="false">Sens!$H$1233</f>
        <v>82.6450106647298</v>
      </c>
      <c r="J1230" s="38" t="n">
        <f aca="false">Sens!$I$1233</f>
        <v>110.963906766706</v>
      </c>
      <c r="K1230" s="38" t="n">
        <f aca="false">Sens!$J$1233</f>
        <v>183.02786844099</v>
      </c>
      <c r="L1230" s="38" t="n">
        <f aca="false">Sens!$K$1233</f>
        <v>342.738552852637</v>
      </c>
      <c r="M1230" s="38" t="n">
        <f aca="false">Sens!$L$1233</f>
        <v>558.044709070945</v>
      </c>
    </row>
    <row r="1231" customFormat="false" ht="15" hidden="false" customHeight="false" outlineLevel="0" collapsed="false">
      <c r="A1231" s="5" t="s">
        <v>813</v>
      </c>
      <c r="B1231" s="0" t="s">
        <v>86</v>
      </c>
      <c r="F1231" s="38" t="n">
        <f aca="false">Sens!$F$1230+Sens!$F$1227-Sens!$F$1226-Sens!$F$1228+Sens!$F$1229</f>
        <v>97.1170129277121</v>
      </c>
      <c r="H1231" s="38" t="n">
        <f aca="false">Sens!$H$1230+Sens!$H$1227-Sens!$H$1226-Sens!$H$1228+Sens!$H$1229</f>
        <v>82.6450106647298</v>
      </c>
      <c r="I1231" s="38" t="n">
        <f aca="false">Sens!$I$1230+Sens!$I$1227-Sens!$I$1226-Sens!$I$1228+Sens!$I$1229</f>
        <v>110.963906766706</v>
      </c>
      <c r="J1231" s="38" t="n">
        <f aca="false">Sens!$J$1230+Sens!$J$1227-Sens!$J$1226-Sens!$J$1228+Sens!$J$1229</f>
        <v>183.02786844099</v>
      </c>
      <c r="K1231" s="38" t="n">
        <f aca="false">Sens!$K$1230+Sens!$K$1227-Sens!$K$1226-Sens!$K$1228+Sens!$K$1229</f>
        <v>342.738552852637</v>
      </c>
      <c r="L1231" s="38" t="n">
        <f aca="false">Sens!$L$1230+Sens!$L$1227-Sens!$L$1226-Sens!$L$1228+Sens!$L$1229</f>
        <v>558.044709070945</v>
      </c>
      <c r="M1231" s="38" t="n">
        <f aca="false">Sens!$M$1230+Sens!$M$1227-Sens!$M$1226-Sens!$M$1228+Sens!$M$1229</f>
        <v>803.392987966957</v>
      </c>
    </row>
    <row r="1232" customFormat="false" ht="17.15" hidden="false" customHeight="false" outlineLevel="0" collapsed="false">
      <c r="A1232" s="5" t="s">
        <v>814</v>
      </c>
      <c r="B1232" s="0" t="s">
        <v>86</v>
      </c>
      <c r="F1232" s="38" t="n">
        <f aca="false">MAX(0,min_cash-Sens!$F$1231)</f>
        <v>0</v>
      </c>
      <c r="G1232" s="38" t="n">
        <f aca="false">Sens!$F$1232</f>
        <v>0</v>
      </c>
      <c r="H1232" s="38" t="n">
        <f aca="false">MAX(0,min_cash-Sens!$H$1231)</f>
        <v>0</v>
      </c>
      <c r="I1232" s="38" t="n">
        <f aca="false">MAX(0,min_cash-Sens!$I$1231)</f>
        <v>0</v>
      </c>
      <c r="J1232" s="38" t="n">
        <f aca="false">MAX(0,min_cash-Sens!$J$1231)</f>
        <v>0</v>
      </c>
      <c r="K1232" s="38" t="n">
        <f aca="false">MAX(0,min_cash-Sens!$K$1231)</f>
        <v>0</v>
      </c>
      <c r="L1232" s="38" t="n">
        <f aca="false">MAX(0,min_cash-Sens!$L$1231)</f>
        <v>0</v>
      </c>
      <c r="M1232" s="38" t="n">
        <f aca="false">MAX(0,min_cash-Sens!$M$1231)</f>
        <v>0</v>
      </c>
      <c r="P1232" s="5" t="s">
        <v>815</v>
      </c>
    </row>
    <row r="1233" customFormat="false" ht="15" hidden="false" customHeight="false" outlineLevel="0" collapsed="false">
      <c r="A1233" s="5" t="s">
        <v>816</v>
      </c>
      <c r="B1233" s="0" t="s">
        <v>86</v>
      </c>
      <c r="D1233" s="38" t="n">
        <f aca="false">Q!$E$61</f>
        <v>123.029</v>
      </c>
      <c r="E1233" s="38" t="n">
        <f aca="false">Q!$M$61</f>
        <v>122.988</v>
      </c>
      <c r="F1233" s="38" t="n">
        <f aca="false">Sens!$F$1231+Sens!$F$1232</f>
        <v>97.1170129277121</v>
      </c>
      <c r="G1233" s="38" t="n">
        <f aca="false">Sens!$F$1233</f>
        <v>97.1170129277121</v>
      </c>
      <c r="H1233" s="38" t="n">
        <f aca="false">Sens!$H$1231+Sens!$H$1232</f>
        <v>82.6450106647298</v>
      </c>
      <c r="I1233" s="38" t="n">
        <f aca="false">Sens!$I$1231+Sens!$I$1232</f>
        <v>110.963906766706</v>
      </c>
      <c r="J1233" s="38" t="n">
        <f aca="false">Sens!$J$1231+Sens!$J$1232</f>
        <v>183.02786844099</v>
      </c>
      <c r="K1233" s="38" t="n">
        <f aca="false">Sens!$K$1231+Sens!$K$1232</f>
        <v>342.738552852637</v>
      </c>
      <c r="L1233" s="38" t="n">
        <f aca="false">Sens!$L$1231+Sens!$L$1232</f>
        <v>558.044709070945</v>
      </c>
      <c r="M1233" s="38" t="n">
        <f aca="false">Sens!$M$1231+Sens!$M$1232</f>
        <v>803.392987966957</v>
      </c>
    </row>
    <row r="1234" customFormat="false" ht="15" hidden="false" customHeight="false" outlineLevel="0" collapsed="false">
      <c r="A1234" s="5" t="s">
        <v>817</v>
      </c>
      <c r="B1234" s="0" t="s">
        <v>86</v>
      </c>
      <c r="D1234" s="38" t="n">
        <f aca="false">Q!$E$62</f>
        <v>68.836</v>
      </c>
      <c r="E1234" s="38" t="n">
        <f aca="false">Q!$M$62</f>
        <v>132.995</v>
      </c>
      <c r="F1234" s="38" t="n">
        <f aca="false">debt_q2+Sens!$F$1229+Sens!$F$1232</f>
        <v>162.244999</v>
      </c>
      <c r="G1234" s="38" t="n">
        <f aca="false">Sens!$F$1234</f>
        <v>162.244999</v>
      </c>
      <c r="H1234" s="38" t="n">
        <f aca="false">Sens!$G$1234+Sens!$H$1232</f>
        <v>162.244999</v>
      </c>
      <c r="I1234" s="38" t="n">
        <f aca="false">Sens!$H$1234+Sens!$I$1232</f>
        <v>162.244999</v>
      </c>
      <c r="J1234" s="38" t="n">
        <f aca="false">Sens!$I$1234+Sens!$J$1232</f>
        <v>162.244999</v>
      </c>
      <c r="K1234" s="38" t="n">
        <f aca="false">Sens!$J$1234+Sens!$K$1232</f>
        <v>162.244999</v>
      </c>
      <c r="L1234" s="38" t="n">
        <f aca="false">Sens!$K$1234+Sens!$L$1232</f>
        <v>162.244999</v>
      </c>
      <c r="M1234" s="38" t="n">
        <f aca="false">Sens!$L$1234+Sens!$M$1232</f>
        <v>162.244999</v>
      </c>
    </row>
    <row r="1235" customFormat="false" ht="15" hidden="false" customHeight="false" outlineLevel="0" collapsed="false">
      <c r="A1235" s="5" t="s">
        <v>818</v>
      </c>
      <c r="B1235" s="0" t="s">
        <v>86</v>
      </c>
      <c r="D1235" s="38" t="n">
        <f aca="false">Sens!$D$1234-Sens!$D$1233</f>
        <v>-54.193</v>
      </c>
      <c r="E1235" s="38" t="n">
        <f aca="false">Sens!$E$1234-Sens!$E$1233</f>
        <v>10.007</v>
      </c>
      <c r="F1235" s="38" t="n">
        <f aca="false">Sens!$F$1234-Sens!$F$1233</f>
        <v>65.1279860722879</v>
      </c>
      <c r="G1235" s="38" t="n">
        <f aca="false">Sens!$G$1234-Sens!$G$1233</f>
        <v>65.1279860722879</v>
      </c>
      <c r="H1235" s="38" t="n">
        <f aca="false">Sens!$H$1234-Sens!$H$1233</f>
        <v>79.5999883352702</v>
      </c>
      <c r="I1235" s="38" t="n">
        <f aca="false">Sens!$I$1234-Sens!$I$1233</f>
        <v>51.2810922332943</v>
      </c>
      <c r="J1235" s="38" t="n">
        <f aca="false">Sens!$J$1234-Sens!$J$1233</f>
        <v>-20.7828694409901</v>
      </c>
      <c r="K1235" s="38" t="n">
        <f aca="false">Sens!$K$1234-Sens!$K$1233</f>
        <v>-180.493553852637</v>
      </c>
      <c r="L1235" s="38" t="n">
        <f aca="false">Sens!$L$1234-Sens!$L$1233</f>
        <v>-395.799710070945</v>
      </c>
      <c r="M1235" s="38" t="n">
        <f aca="false">Sens!$M$1234-Sens!$M$1233</f>
        <v>-641.147988966957</v>
      </c>
    </row>
    <row r="1236" customFormat="false" ht="17.15" hidden="false" customHeight="false" outlineLevel="0" collapsed="false">
      <c r="A1236" s="5" t="s">
        <v>819</v>
      </c>
      <c r="B1236" s="0" t="s">
        <v>86</v>
      </c>
      <c r="F1236" s="38" t="n">
        <f aca="false">debt_q2*kd_book*0.5+iss_2h26*kd_new*iss_t</f>
        <v>3.24888962733561</v>
      </c>
      <c r="H1236" s="38" t="n">
        <f aca="false">debt_q2*kd_book+(Sens!$G$1234-debt_q2)*kd_new</f>
        <v>7.42354172302123</v>
      </c>
      <c r="I1236" s="38" t="n">
        <f aca="false">debt_q2*kd_book+(Sens!$H$1234-debt_q2)*kd_new</f>
        <v>7.42354172302123</v>
      </c>
      <c r="J1236" s="38" t="n">
        <f aca="false">debt_q2*kd_book+(Sens!$I$1234-debt_q2)*kd_new</f>
        <v>7.42354172302123</v>
      </c>
      <c r="K1236" s="38" t="n">
        <f aca="false">debt_q2*kd_book+(Sens!$J$1234-debt_q2)*kd_new</f>
        <v>7.42354172302123</v>
      </c>
      <c r="L1236" s="38" t="n">
        <f aca="false">debt_q2*kd_book+(Sens!$K$1234-debt_q2)*kd_new</f>
        <v>7.42354172302123</v>
      </c>
      <c r="M1236" s="38" t="n">
        <f aca="false">debt_q2*kd_book+(Sens!$L$1234-debt_q2)*kd_new</f>
        <v>7.42354172302123</v>
      </c>
    </row>
    <row r="1237" customFormat="false" ht="17.15" hidden="false" customHeight="false" outlineLevel="0" collapsed="false">
      <c r="A1237" s="5" t="s">
        <v>820</v>
      </c>
      <c r="B1237" s="0" t="s">
        <v>86</v>
      </c>
      <c r="F1237" s="38" t="n">
        <f aca="false">cash_q2*y_cash*0.5</f>
        <v>2.59</v>
      </c>
      <c r="H1237" s="38" t="n">
        <f aca="false">Sens!$G$1233*y_cash</f>
        <v>4.09036757216597</v>
      </c>
      <c r="I1237" s="38" t="n">
        <f aca="false">Sens!$H$1233*y_cash</f>
        <v>3.48083679093326</v>
      </c>
      <c r="J1237" s="38" t="n">
        <f aca="false">Sens!$I$1233*y_cash</f>
        <v>4.67357008042684</v>
      </c>
      <c r="K1237" s="38" t="n">
        <f aca="false">Sens!$J$1233*y_cash</f>
        <v>7.70875498848935</v>
      </c>
      <c r="L1237" s="38" t="n">
        <f aca="false">Sens!$K$1233*y_cash</f>
        <v>14.4354384474637</v>
      </c>
      <c r="M1237" s="38" t="n">
        <f aca="false">Sens!$L$1233*y_cash</f>
        <v>23.5036881076812</v>
      </c>
    </row>
    <row r="1238" customFormat="false" ht="17.15" hidden="false" customHeight="false" outlineLevel="0" collapsed="false">
      <c r="A1238" s="47" t="s">
        <v>821</v>
      </c>
      <c r="B1238" s="14" t="s">
        <v>86</v>
      </c>
      <c r="C1238" s="14"/>
      <c r="D1238" s="14"/>
      <c r="E1238" s="14"/>
      <c r="F1238" s="14"/>
      <c r="G1238" s="48" t="n">
        <f aca="false">SUM(Sens!$G$1227:$K$1227)</f>
        <v>186.109553852637</v>
      </c>
      <c r="H1238" s="14"/>
      <c r="I1238" s="14"/>
      <c r="J1238" s="14"/>
      <c r="K1238" s="14"/>
      <c r="L1238" s="14"/>
      <c r="M1238" s="14"/>
      <c r="N1238" s="14"/>
      <c r="O1238" s="14"/>
    </row>
    <row r="1239" customFormat="false" ht="17.15" hidden="false" customHeight="false" outlineLevel="0" collapsed="false">
      <c r="A1239" s="0" t="s">
        <v>787</v>
      </c>
      <c r="B1239" s="0" t="s">
        <v>86</v>
      </c>
      <c r="G1239" s="38" t="n">
        <f aca="false">SUM(Sens!$G$1232:$K$1232)</f>
        <v>0</v>
      </c>
    </row>
    <row r="1240" customFormat="false" ht="17.15" hidden="false" customHeight="false" outlineLevel="0" collapsed="false">
      <c r="A1240" s="24" t="s">
        <v>824</v>
      </c>
      <c r="B1240" s="25" t="s">
        <v>86</v>
      </c>
      <c r="C1240" s="25"/>
      <c r="D1240" s="25"/>
      <c r="E1240" s="25"/>
      <c r="F1240" s="25"/>
      <c r="G1240" s="41" t="n">
        <f aca="false">Sens!$G$1238-(Sens!$G$1227+Sens!$H$1227+Sens!$I$1227+Sens!$J$1227+Sens!$K$1227)</f>
        <v>0</v>
      </c>
      <c r="H1240" s="25"/>
      <c r="I1240" s="25"/>
      <c r="J1240" s="25"/>
      <c r="K1240" s="25"/>
      <c r="L1240" s="25"/>
      <c r="M1240" s="25"/>
      <c r="N1240" s="25"/>
      <c r="O1240" s="25"/>
    </row>
    <row r="1243" customFormat="false" ht="19.4" hidden="false" customHeight="false" outlineLevel="0" collapsed="false">
      <c r="A1243" s="31" t="s">
        <v>1176</v>
      </c>
    </row>
    <row r="1244" customFormat="false" ht="17.15" hidden="false" customHeight="false" outlineLevel="0" collapsed="false">
      <c r="A1244" s="6" t="s">
        <v>16</v>
      </c>
      <c r="B1244" s="6" t="s">
        <v>17</v>
      </c>
      <c r="C1244" s="20" t="s">
        <v>504</v>
      </c>
      <c r="D1244" s="20" t="s">
        <v>505</v>
      </c>
      <c r="E1244" s="20" t="s">
        <v>587</v>
      </c>
      <c r="F1244" s="20" t="s">
        <v>588</v>
      </c>
      <c r="G1244" s="20" t="s">
        <v>589</v>
      </c>
      <c r="H1244" s="20" t="s">
        <v>590</v>
      </c>
      <c r="I1244" s="20" t="s">
        <v>591</v>
      </c>
      <c r="J1244" s="20" t="s">
        <v>592</v>
      </c>
      <c r="K1244" s="20" t="s">
        <v>593</v>
      </c>
      <c r="L1244" s="20" t="s">
        <v>594</v>
      </c>
      <c r="M1244" s="20" t="s">
        <v>595</v>
      </c>
      <c r="N1244" s="20" t="s">
        <v>596</v>
      </c>
      <c r="O1244" s="20" t="s">
        <v>597</v>
      </c>
      <c r="P1244" s="6" t="s">
        <v>23</v>
      </c>
      <c r="R1244" s="20" t="n">
        <v>2023</v>
      </c>
      <c r="S1244" s="20" t="n">
        <v>2024</v>
      </c>
      <c r="T1244" s="20" t="n">
        <v>2025</v>
      </c>
      <c r="U1244" s="20" t="n">
        <v>2026</v>
      </c>
      <c r="V1244" s="20" t="n">
        <v>2027</v>
      </c>
      <c r="W1244" s="20" t="n">
        <v>2028</v>
      </c>
      <c r="X1244" s="20" t="n">
        <v>2029</v>
      </c>
      <c r="Y1244" s="20" t="n">
        <v>2030</v>
      </c>
      <c r="Z1244" s="20" t="n">
        <v>2031</v>
      </c>
      <c r="AA1244" s="20" t="n">
        <v>2032</v>
      </c>
    </row>
    <row r="1245" customFormat="false" ht="17.15" hidden="false" customHeight="false" outlineLevel="0" collapsed="false">
      <c r="A1245" s="1" t="s">
        <v>926</v>
      </c>
    </row>
    <row r="1246" customFormat="false" ht="17.15" hidden="false" customHeight="false" outlineLevel="0" collapsed="false">
      <c r="A1246" s="0" t="s">
        <v>927</v>
      </c>
      <c r="B1246" s="0" t="s">
        <v>86</v>
      </c>
      <c r="H1246" s="38" t="n">
        <f aca="false">Sens!$H$1180*(1-tax)</f>
        <v>107.795010224438</v>
      </c>
      <c r="I1246" s="38" t="n">
        <f aca="false">Sens!$I$1180*(1-tax)</f>
        <v>126.19289055089</v>
      </c>
      <c r="J1246" s="38" t="n">
        <f aca="false">Sens!$J$1180*(1-tax)</f>
        <v>147.77549627318</v>
      </c>
      <c r="K1246" s="38" t="n">
        <f aca="false">Sens!$K$1180*(1-tax)</f>
        <v>163.640727895406</v>
      </c>
      <c r="L1246" s="38" t="n">
        <f aca="false">Sens!$L$1180*(1-tax)</f>
        <v>176.881177196557</v>
      </c>
      <c r="M1246" s="38" t="n">
        <f aca="false">Sens!$M$1180*(1-tax)</f>
        <v>189.446939086429</v>
      </c>
    </row>
    <row r="1247" customFormat="false" ht="15" hidden="false" customHeight="false" outlineLevel="0" collapsed="false">
      <c r="A1247" s="5" t="s">
        <v>928</v>
      </c>
      <c r="B1247" s="0" t="s">
        <v>86</v>
      </c>
      <c r="H1247" s="38" t="n">
        <f aca="false">Sens!$H$1191</f>
        <v>80.9909078624721</v>
      </c>
      <c r="I1247" s="38" t="n">
        <f aca="false">Sens!$I$1191</f>
        <v>113.615085837512</v>
      </c>
      <c r="J1247" s="38" t="n">
        <f aca="false">Sens!$J$1191</f>
        <v>141.612304816565</v>
      </c>
      <c r="K1247" s="38" t="n">
        <f aca="false">Sens!$K$1191</f>
        <v>169.639732181548</v>
      </c>
      <c r="L1247" s="38" t="n">
        <f aca="false">Sens!$L$1191</f>
        <v>191.064117364161</v>
      </c>
      <c r="M1247" s="38" t="n">
        <f aca="false">Sens!$M$1191</f>
        <v>205.189130288659</v>
      </c>
    </row>
    <row r="1248" customFormat="false" ht="15" hidden="false" customHeight="false" outlineLevel="0" collapsed="false">
      <c r="A1248" s="5" t="s">
        <v>929</v>
      </c>
      <c r="B1248" s="0" t="s">
        <v>86</v>
      </c>
      <c r="H1248" s="38" t="n">
        <f aca="false">Sens!$H$1222</f>
        <v>233.658406845948</v>
      </c>
      <c r="I1248" s="38" t="n">
        <f aca="false">Sens!$I$1222</f>
        <v>246.052518246325</v>
      </c>
      <c r="J1248" s="38" t="n">
        <f aca="false">Sens!$J$1222</f>
        <v>257.339865756266</v>
      </c>
      <c r="K1248" s="38" t="n">
        <f aca="false">Sens!$K$1222</f>
        <v>220.009468457252</v>
      </c>
      <c r="L1248" s="38" t="n">
        <f aca="false">Sens!$L$1222</f>
        <v>208.293502532415</v>
      </c>
      <c r="M1248" s="38" t="n">
        <f aca="false">Sens!$M$1222</f>
        <v>215.845499711382</v>
      </c>
    </row>
    <row r="1249" customFormat="false" ht="15" hidden="false" customHeight="false" outlineLevel="0" collapsed="false">
      <c r="A1249" s="5" t="s">
        <v>930</v>
      </c>
      <c r="B1249" s="0" t="s">
        <v>86</v>
      </c>
      <c r="H1249" s="38" t="n">
        <f aca="false">Sens!$H$1223</f>
        <v>1.6</v>
      </c>
      <c r="I1249" s="38" t="n">
        <f aca="false">Sens!$I$1223</f>
        <v>1.6</v>
      </c>
      <c r="J1249" s="38" t="n">
        <f aca="false">Sens!$J$1223</f>
        <v>1.6</v>
      </c>
      <c r="K1249" s="38" t="n">
        <f aca="false">Sens!$K$1223</f>
        <v>1.6</v>
      </c>
      <c r="L1249" s="38" t="n">
        <f aca="false">Sens!$L$1223</f>
        <v>1.6</v>
      </c>
      <c r="M1249" s="38" t="n">
        <f aca="false">Sens!$M$1223</f>
        <v>1.6</v>
      </c>
    </row>
    <row r="1250" customFormat="false" ht="15" hidden="false" customHeight="false" outlineLevel="0" collapsed="false">
      <c r="A1250" s="5" t="s">
        <v>931</v>
      </c>
      <c r="B1250" s="0" t="s">
        <v>86</v>
      </c>
      <c r="H1250" s="38" t="n">
        <f aca="false">Sens!$H$1217</f>
        <v>11.2928295263397</v>
      </c>
      <c r="I1250" s="38" t="n">
        <f aca="false">Sens!$I$1217</f>
        <v>12.8091546115766</v>
      </c>
      <c r="J1250" s="38" t="n">
        <f aca="false">Sens!$J$1217</f>
        <v>14.2605653162668</v>
      </c>
      <c r="K1250" s="38" t="n">
        <f aca="false">Sens!$K$1217</f>
        <v>15.5327622460396</v>
      </c>
      <c r="L1250" s="38" t="n">
        <f aca="false">Sens!$L$1217</f>
        <v>16.720573737517</v>
      </c>
      <c r="M1250" s="38" t="n">
        <f aca="false">Sens!$M$1217</f>
        <v>17.8283127551536</v>
      </c>
    </row>
    <row r="1251" customFormat="false" ht="17.15" hidden="false" customHeight="false" outlineLevel="0" collapsed="false">
      <c r="A1251" s="1" t="s">
        <v>932</v>
      </c>
      <c r="B1251" s="8" t="s">
        <v>86</v>
      </c>
      <c r="H1251" s="38" t="n">
        <f aca="false">Sens!$H$1246+Sens!$H$1247-Sens!$H$1248-Sens!$H$1249+Sens!$H$1250</f>
        <v>-35.1796592326987</v>
      </c>
      <c r="I1251" s="38" t="n">
        <f aca="false">Sens!$I$1246+Sens!$I$1247-Sens!$I$1248-Sens!$I$1249+Sens!$I$1250</f>
        <v>4.96461275365345</v>
      </c>
      <c r="J1251" s="38" t="n">
        <f aca="false">Sens!$J$1246+Sens!$J$1247-Sens!$J$1248-Sens!$J$1249+Sens!$J$1250</f>
        <v>44.7085006497454</v>
      </c>
      <c r="K1251" s="38" t="n">
        <f aca="false">Sens!$K$1246+Sens!$K$1247-Sens!$K$1248-Sens!$K$1249+Sens!$K$1250</f>
        <v>127.203753865741</v>
      </c>
      <c r="L1251" s="38" t="n">
        <f aca="false">Sens!$L$1246+Sens!$L$1247-Sens!$L$1248-Sens!$L$1249+Sens!$L$1250</f>
        <v>174.77236576582</v>
      </c>
      <c r="M1251" s="38" t="n">
        <f aca="false">Sens!$M$1246+Sens!$M$1247-Sens!$M$1248-Sens!$M$1249+Sens!$M$1250</f>
        <v>195.01888241886</v>
      </c>
    </row>
    <row r="1252" customFormat="false" ht="15" hidden="false" customHeight="false" outlineLevel="0" collapsed="false">
      <c r="A1252" s="5" t="s">
        <v>933</v>
      </c>
      <c r="B1252" s="0" t="s">
        <v>57</v>
      </c>
      <c r="H1252" s="40" t="n">
        <f aca="false">1/(1+wacc)^(2027-2026-0.5)</f>
        <v>0.947751320380232</v>
      </c>
      <c r="I1252" s="40" t="n">
        <f aca="false">1/(1+wacc)^(2028-2026-0.5)</f>
        <v>0.851301099754987</v>
      </c>
      <c r="J1252" s="40" t="n">
        <f aca="false">1/(1+wacc)^(2029-2026-0.5)</f>
        <v>0.764666370660713</v>
      </c>
      <c r="K1252" s="40" t="n">
        <f aca="false">1/(1+wacc)^(2030-2026-0.5)</f>
        <v>0.686848235703811</v>
      </c>
      <c r="L1252" s="40" t="n">
        <f aca="false">1/(1+wacc)^(2031-2026-0.5)</f>
        <v>0.616949452715975</v>
      </c>
      <c r="M1252" s="40" t="n">
        <f aca="false">1/(1+wacc)^(2032-2026-0.5)</f>
        <v>0.554164089562688</v>
      </c>
    </row>
    <row r="1253" customFormat="false" ht="15" hidden="false" customHeight="false" outlineLevel="0" collapsed="false">
      <c r="A1253" s="5" t="s">
        <v>934</v>
      </c>
      <c r="B1253" s="0" t="s">
        <v>86</v>
      </c>
      <c r="H1253" s="38" t="n">
        <f aca="false">Sens!$H$1251*Sens!$H$1252</f>
        <v>-33.3415684883168</v>
      </c>
      <c r="I1253" s="38" t="n">
        <f aca="false">Sens!$I$1251*Sens!$I$1252</f>
        <v>4.22638029704281</v>
      </c>
      <c r="J1253" s="38" t="n">
        <f aca="false">Sens!$J$1251*Sens!$J$1252</f>
        <v>34.187086929523</v>
      </c>
      <c r="K1253" s="38" t="n">
        <f aca="false">Sens!$K$1251*Sens!$K$1252</f>
        <v>87.3696739175858</v>
      </c>
      <c r="L1253" s="38" t="n">
        <f aca="false">Sens!$L$1251*Sens!$L$1252</f>
        <v>107.825715409099</v>
      </c>
      <c r="M1253" s="38" t="n">
        <f aca="false">Sens!$M$1251*Sens!$M$1252</f>
        <v>108.072461423181</v>
      </c>
    </row>
    <row r="1254" customFormat="false" ht="15" hidden="false" customHeight="false" outlineLevel="0" collapsed="false">
      <c r="A1254" s="5" t="s">
        <v>935</v>
      </c>
      <c r="B1254" s="0" t="s">
        <v>86</v>
      </c>
      <c r="C1254" s="38" t="n">
        <f aca="false">SUM(Sens!$H$1253:$M$1253)</f>
        <v>308.339749488114</v>
      </c>
    </row>
    <row r="1255" customFormat="false" ht="17.15" hidden="false" customHeight="false" outlineLevel="0" collapsed="false">
      <c r="A1255" s="5" t="s">
        <v>936</v>
      </c>
      <c r="B1255" s="0" t="s">
        <v>86</v>
      </c>
      <c r="C1255" s="38" t="n">
        <f aca="false">Sens!$M$1246*(1+tg)*(1-tg/ronic)/(wacc-tg)</f>
        <v>1722.28407711593</v>
      </c>
    </row>
    <row r="1256" customFormat="false" ht="15" hidden="false" customHeight="false" outlineLevel="0" collapsed="false">
      <c r="A1256" s="5" t="s">
        <v>937</v>
      </c>
      <c r="B1256" s="0" t="s">
        <v>86</v>
      </c>
      <c r="C1256" s="38" t="n">
        <f aca="false">Sens!$C$1255/(1+wacc)^6</f>
        <v>904.560385420933</v>
      </c>
    </row>
    <row r="1257" customFormat="false" ht="17.15" hidden="false" customHeight="false" outlineLevel="0" collapsed="false">
      <c r="A1257" s="5" t="s">
        <v>938</v>
      </c>
      <c r="B1257" s="0" t="s">
        <v>86</v>
      </c>
      <c r="C1257" s="38" t="n">
        <f aca="false">Sens!$C$1254+Sens!$C$1256</f>
        <v>1212.90013490905</v>
      </c>
    </row>
    <row r="1258" customFormat="false" ht="17.15" hidden="false" customHeight="false" outlineLevel="0" collapsed="false">
      <c r="A1258" s="5" t="s">
        <v>939</v>
      </c>
      <c r="B1258" s="0" t="s">
        <v>52</v>
      </c>
      <c r="C1258" s="13" t="n">
        <f aca="false">Sens!$C$1256/Sens!$C$1257</f>
        <v>0.745783069344587</v>
      </c>
    </row>
    <row r="1259" customFormat="false" ht="17.15" hidden="false" customHeight="false" outlineLevel="0" collapsed="false">
      <c r="A1259" s="5" t="s">
        <v>940</v>
      </c>
      <c r="B1259" s="0" t="s">
        <v>86</v>
      </c>
      <c r="C1259" s="38" t="n">
        <f aca="false">Sens!$G$1235+fin_debt</f>
        <v>89.6489860722879</v>
      </c>
    </row>
    <row r="1260" customFormat="false" ht="17.15" hidden="false" customHeight="false" outlineLevel="0" collapsed="false">
      <c r="A1260" s="5" t="s">
        <v>941</v>
      </c>
      <c r="B1260" s="0" t="s">
        <v>86</v>
      </c>
      <c r="C1260" s="38" t="n">
        <f aca="false">(ant_val*ant_sh+oai_val*oai_sh)*(1-liq_disc)</f>
        <v>178.944</v>
      </c>
    </row>
    <row r="1261" customFormat="false" ht="15" hidden="false" customHeight="false" outlineLevel="0" collapsed="false">
      <c r="A1261" s="5" t="s">
        <v>942</v>
      </c>
      <c r="B1261" s="0" t="s">
        <v>86</v>
      </c>
      <c r="C1261" s="38" t="n">
        <f aca="false">Sens!$C$1257-Sens!$C$1259+Sens!$C$1260</f>
        <v>1302.19514883676</v>
      </c>
    </row>
    <row r="1262" customFormat="false" ht="17.15" hidden="false" customHeight="false" outlineLevel="0" collapsed="false">
      <c r="A1262" s="5" t="s">
        <v>943</v>
      </c>
      <c r="B1262" s="0" t="s">
        <v>27</v>
      </c>
      <c r="C1262" s="30" t="n">
        <f aca="false">Sens!$C$1261/sh_out</f>
        <v>120.726612338261</v>
      </c>
    </row>
    <row r="1263" customFormat="false" ht="17.15" hidden="false" customHeight="false" outlineLevel="0" collapsed="false">
      <c r="A1263" s="1" t="s">
        <v>944</v>
      </c>
      <c r="B1263" s="8" t="s">
        <v>27</v>
      </c>
      <c r="C1263" s="30" t="n">
        <f aca="false">Sens!$C$1262*(1+ke)^tp_yf-dps*tp_yf</f>
        <v>132.240170095752</v>
      </c>
    </row>
    <row r="1264" customFormat="false" ht="17.15" hidden="false" customHeight="false" outlineLevel="0" collapsed="false">
      <c r="A1264" s="3" t="s">
        <v>945</v>
      </c>
    </row>
    <row r="1265" customFormat="false" ht="17.15" hidden="false" customHeight="false" outlineLevel="0" collapsed="false">
      <c r="A1265" s="5" t="s">
        <v>946</v>
      </c>
      <c r="B1265" s="0" t="s">
        <v>86</v>
      </c>
      <c r="C1265" s="38" t="n">
        <f aca="false">(1-tp_yf)*(Sens!$H$1192+sbc_ab*Sens!$H$1216*Sens!$H$1053/Sens!$H$1133)+tp_yf*(Sens!$I$1192+sbc_ab*Sens!$I$1216*Sens!$I$1053/Sens!$I$1133)</f>
        <v>59.634664536349</v>
      </c>
    </row>
    <row r="1266" customFormat="false" ht="15" hidden="false" customHeight="false" outlineLevel="0" collapsed="false">
      <c r="A1266" s="5" t="s">
        <v>947</v>
      </c>
      <c r="B1266" s="0" t="s">
        <v>57</v>
      </c>
      <c r="C1266" s="30" t="n">
        <f aca="false">m_ads*m_x</f>
        <v>9.11</v>
      </c>
    </row>
    <row r="1267" customFormat="false" ht="17.15" hidden="false" customHeight="false" outlineLevel="0" collapsed="false">
      <c r="A1267" s="5" t="s">
        <v>948</v>
      </c>
      <c r="B1267" s="0" t="s">
        <v>86</v>
      </c>
      <c r="C1267" s="38" t="n">
        <f aca="false">Sens!$C$1265*Sens!$C$1266</f>
        <v>543.271793926139</v>
      </c>
    </row>
    <row r="1268" customFormat="false" ht="17.15" hidden="false" customHeight="false" outlineLevel="0" collapsed="false">
      <c r="A1268" s="5" t="s">
        <v>949</v>
      </c>
      <c r="B1268" s="0" t="s">
        <v>86</v>
      </c>
      <c r="C1268" s="38" t="n">
        <f aca="false">(1-tp_yf)*(Sens!$H$1193+sbc_ab*Sens!$H$1216*(Sens!$H$1060-Sens!$H$1053)/Sens!$H$1133+IF(internal_ai_reading=2,1,0)*(1-ext_sh_hi)*Sens!$H$1090)+tp_yf*(Sens!$I$1193+sbc_ab*Sens!$I$1216*(Sens!$I$1060-Sens!$I$1053)/Sens!$I$1133+IF(internal_ai_reading=2,1,0)*(1-ext_sh_hi)*Sens!$I$1090)</f>
        <v>48.2673138433763</v>
      </c>
    </row>
    <row r="1269" customFormat="false" ht="17.15" hidden="false" customHeight="false" outlineLevel="0" collapsed="false">
      <c r="A1269" s="5" t="s">
        <v>950</v>
      </c>
      <c r="B1269" s="0" t="s">
        <v>57</v>
      </c>
      <c r="C1269" s="30" t="n">
        <f aca="false">m_retail*m_x</f>
        <v>17.72</v>
      </c>
    </row>
    <row r="1270" customFormat="false" ht="17.15" hidden="false" customHeight="false" outlineLevel="0" collapsed="false">
      <c r="A1270" s="5" t="s">
        <v>951</v>
      </c>
      <c r="B1270" s="0" t="s">
        <v>86</v>
      </c>
      <c r="C1270" s="38" t="n">
        <f aca="false">Sens!$C$1268*Sens!$C$1269</f>
        <v>855.296801304628</v>
      </c>
    </row>
    <row r="1271" customFormat="false" ht="17.15" hidden="false" customHeight="false" outlineLevel="0" collapsed="false">
      <c r="A1271" s="0" t="s">
        <v>952</v>
      </c>
      <c r="B1271" s="0" t="s">
        <v>86</v>
      </c>
      <c r="C1271" s="38" t="n">
        <f aca="false">(1-tp_yf)*(Sens!$H$1194+sbc_ab*Sens!$H$1216*Sens!$H$1131/Sens!$H$1133)+tp_yf*(Sens!$I$1194+sbc_ab*Sens!$I$1216*Sens!$I$1131/Sens!$I$1133)</f>
        <v>97.6746814912988</v>
      </c>
    </row>
    <row r="1272" customFormat="false" ht="17.15" hidden="false" customHeight="false" outlineLevel="0" collapsed="false">
      <c r="A1272" s="0" t="s">
        <v>953</v>
      </c>
      <c r="B1272" s="0" t="s">
        <v>57</v>
      </c>
      <c r="C1272" s="30" t="n">
        <f aca="false">m_cloud*m_x</f>
        <v>13.82</v>
      </c>
    </row>
    <row r="1273" customFormat="false" ht="17.15" hidden="false" customHeight="false" outlineLevel="0" collapsed="false">
      <c r="A1273" s="0" t="s">
        <v>954</v>
      </c>
      <c r="B1273" s="0" t="s">
        <v>86</v>
      </c>
      <c r="C1273" s="38" t="n">
        <f aca="false">Sens!$C$1271*Sens!$C$1272</f>
        <v>1349.86409820975</v>
      </c>
    </row>
    <row r="1274" customFormat="false" ht="17.15" hidden="false" customHeight="false" outlineLevel="0" collapsed="false">
      <c r="A1274" s="0" t="s">
        <v>955</v>
      </c>
      <c r="B1274" s="0" t="s">
        <v>86</v>
      </c>
      <c r="H1274" s="38" t="n">
        <f aca="false">Sens!$H$1112-tax*Sens!$H$1113-ext_sh_hi*Sens!$H$1097</f>
        <v>-114.535957988559</v>
      </c>
      <c r="I1274" s="38" t="n">
        <f aca="false">Sens!$I$1112-tax*Sens!$I$1113-ext_sh_hi*Sens!$I$1097</f>
        <v>-87.3511679174583</v>
      </c>
      <c r="J1274" s="38" t="n">
        <f aca="false">Sens!$J$1112-tax*Sens!$J$1113-ext_sh_hi*Sens!$J$1097</f>
        <v>-60.1087189358168</v>
      </c>
      <c r="K1274" s="38" t="n">
        <f aca="false">Sens!$K$1112-tax*Sens!$K$1113-ext_sh_hi*Sens!$K$1097</f>
        <v>11.0953103695617</v>
      </c>
      <c r="L1274" s="38" t="n">
        <f aca="false">Sens!$L$1112-tax*Sens!$L$1113-ext_sh_hi*Sens!$L$1097</f>
        <v>47.9328196408537</v>
      </c>
      <c r="M1274" s="38" t="n">
        <f aca="false">Sens!$M$1112-tax*Sens!$M$1113-ext_sh_hi*Sens!$M$1097</f>
        <v>56.639255094909</v>
      </c>
    </row>
    <row r="1275" customFormat="false" ht="17.15" hidden="false" customHeight="false" outlineLevel="0" collapsed="false">
      <c r="A1275" s="5" t="s">
        <v>956</v>
      </c>
      <c r="B1275" s="0" t="s">
        <v>86</v>
      </c>
      <c r="H1275" s="38" t="n">
        <f aca="false">Sens!$H$1274*Sens!$H$1252</f>
        <v>-108.551605414672</v>
      </c>
      <c r="I1275" s="38" t="n">
        <f aca="false">Sens!$I$1274*Sens!$I$1252</f>
        <v>-74.3621453130148</v>
      </c>
      <c r="J1275" s="38" t="n">
        <f aca="false">Sens!$J$1274*Sens!$J$1252</f>
        <v>-45.9631159537159</v>
      </c>
      <c r="K1275" s="38" t="n">
        <f aca="false">Sens!$K$1274*Sens!$K$1252</f>
        <v>7.62079435191962</v>
      </c>
      <c r="L1275" s="38" t="n">
        <f aca="false">Sens!$L$1274*Sens!$L$1252</f>
        <v>29.5721268445583</v>
      </c>
      <c r="M1275" s="38" t="n">
        <f aca="false">Sens!$M$1274*Sens!$M$1252</f>
        <v>31.3874412331791</v>
      </c>
    </row>
    <row r="1276" customFormat="false" ht="17.15" hidden="false" customHeight="false" outlineLevel="0" collapsed="false">
      <c r="A1276" s="5" t="s">
        <v>957</v>
      </c>
      <c r="B1276" s="0" t="s">
        <v>86</v>
      </c>
      <c r="C1276" s="38" t="n">
        <f aca="false">Sens!$M$1113*(1-tax)*(1+tg)*(1-tg/ronic)/(wacc-tg)</f>
        <v>309.618752478764</v>
      </c>
    </row>
    <row r="1277" customFormat="false" ht="17.15" hidden="false" customHeight="false" outlineLevel="0" collapsed="false">
      <c r="A1277" s="0" t="s">
        <v>958</v>
      </c>
      <c r="B1277" s="0" t="s">
        <v>86</v>
      </c>
      <c r="C1277" s="38" t="n">
        <f aca="false">(SUM(Sens!$I$1275:$M$1275)+Sens!$C$1276/(1+wacc)^6)*(1+wacc)^tp_yf</f>
        <v>121.094435552924</v>
      </c>
    </row>
    <row r="1278" customFormat="false" ht="17.15" hidden="false" customHeight="false" outlineLevel="0" collapsed="false">
      <c r="A1278" s="5" t="s">
        <v>959</v>
      </c>
      <c r="B1278" s="0" t="s">
        <v>86</v>
      </c>
      <c r="C1278" s="38" t="n">
        <f aca="false">(1-tp_yf)*(Sens!$H$1195)+tp_yf*(Sens!$I$1195)</f>
        <v>74.6707041238437</v>
      </c>
    </row>
    <row r="1279" customFormat="false" ht="17.15" hidden="false" customHeight="false" outlineLevel="0" collapsed="false">
      <c r="A1279" s="5" t="s">
        <v>960</v>
      </c>
      <c r="B1279" s="0" t="s">
        <v>86</v>
      </c>
      <c r="C1279" s="38" t="n">
        <f aca="false">Sens!$C$1278*m_ai</f>
        <v>448.024224743062</v>
      </c>
    </row>
    <row r="1280" customFormat="false" ht="17.15" hidden="false" customHeight="false" outlineLevel="0" collapsed="false">
      <c r="A1280" s="0" t="s">
        <v>961</v>
      </c>
      <c r="B1280" s="0" t="s">
        <v>86</v>
      </c>
      <c r="C1280" s="38" t="n">
        <f aca="false">IF(ai_leg=1,Sens!$C$1277,Sens!$C$1279)</f>
        <v>121.094435552924</v>
      </c>
    </row>
    <row r="1281" customFormat="false" ht="17.15" hidden="false" customHeight="false" outlineLevel="0" collapsed="false">
      <c r="A1281" s="5" t="s">
        <v>962</v>
      </c>
      <c r="B1281" s="0" t="s">
        <v>86</v>
      </c>
      <c r="C1281" s="38" t="n">
        <f aca="false">Sens!$C$1267+Sens!$C$1270+Sens!$C$1273+Sens!$C$1280</f>
        <v>2869.52712899344</v>
      </c>
    </row>
    <row r="1282" customFormat="false" ht="17.15" hidden="false" customHeight="false" outlineLevel="0" collapsed="false">
      <c r="A1282" s="5" t="s">
        <v>963</v>
      </c>
      <c r="B1282" s="0" t="s">
        <v>86</v>
      </c>
      <c r="C1282" s="38" t="n">
        <f aca="false">Sens!$H$1235+fin_debt</f>
        <v>104.12098833527</v>
      </c>
    </row>
    <row r="1283" customFormat="false" ht="15" hidden="false" customHeight="false" outlineLevel="0" collapsed="false">
      <c r="A1283" s="5" t="s">
        <v>964</v>
      </c>
      <c r="B1283" s="0" t="s">
        <v>86</v>
      </c>
      <c r="C1283" s="38" t="n">
        <f aca="false">Sens!$C$1281-Sens!$C$1282+Sens!$C$1260</f>
        <v>2944.35014065817</v>
      </c>
    </row>
    <row r="1284" customFormat="false" ht="15" hidden="false" customHeight="false" outlineLevel="0" collapsed="false">
      <c r="A1284" s="3" t="s">
        <v>965</v>
      </c>
      <c r="B1284" s="8" t="s">
        <v>27</v>
      </c>
      <c r="C1284" s="30" t="n">
        <f aca="false">Sens!$C$1283/sh_val</f>
        <v>266.932576956392</v>
      </c>
    </row>
    <row r="1285" customFormat="false" ht="17.15" hidden="false" customHeight="false" outlineLevel="0" collapsed="false">
      <c r="A1285" s="47" t="s">
        <v>966</v>
      </c>
      <c r="B1285" s="14" t="s">
        <v>27</v>
      </c>
      <c r="C1285" s="44" t="n">
        <f aca="false">w_dcf*Sens!$C$1263+(1-w_dcf)*Sens!$C$1284</f>
        <v>199.586373526072</v>
      </c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</row>
    <row r="1286" customFormat="false" ht="17.15" hidden="false" customHeight="false" outlineLevel="0" collapsed="false">
      <c r="A1286" s="5" t="s">
        <v>967</v>
      </c>
      <c r="B1286" s="0" t="s">
        <v>27</v>
      </c>
      <c r="C1286" s="30" t="n">
        <f aca="false">v022_wdcf*Sens!$C$1263+(1-v022_wdcf)*Sens!$C$1284</f>
        <v>206.320993869104</v>
      </c>
    </row>
    <row r="1287" customFormat="false" ht="17.15" hidden="false" customHeight="false" outlineLevel="0" collapsed="false">
      <c r="A1287" s="5" t="s">
        <v>968</v>
      </c>
      <c r="B1287" s="0" t="s">
        <v>27</v>
      </c>
      <c r="C1287" s="30" t="n">
        <f aca="false">(Sens!$C$1283-Sens!$C$1280+Sens!$C$1279)/sh_val</f>
        <v>296.571786609911</v>
      </c>
    </row>
    <row r="1290" customFormat="false" ht="19.4" hidden="false" customHeight="false" outlineLevel="0" collapsed="false">
      <c r="A1290" s="31" t="s">
        <v>1177</v>
      </c>
    </row>
    <row r="1291" customFormat="false" ht="17.15" hidden="false" customHeight="false" outlineLevel="0" collapsed="false">
      <c r="A1291" s="6" t="s">
        <v>16</v>
      </c>
      <c r="B1291" s="6" t="s">
        <v>17</v>
      </c>
      <c r="C1291" s="20" t="s">
        <v>504</v>
      </c>
      <c r="D1291" s="20" t="s">
        <v>505</v>
      </c>
      <c r="E1291" s="20" t="s">
        <v>587</v>
      </c>
      <c r="F1291" s="20" t="s">
        <v>588</v>
      </c>
      <c r="G1291" s="20" t="s">
        <v>589</v>
      </c>
      <c r="H1291" s="20" t="s">
        <v>590</v>
      </c>
      <c r="I1291" s="20" t="s">
        <v>591</v>
      </c>
      <c r="J1291" s="20" t="s">
        <v>592</v>
      </c>
      <c r="K1291" s="20" t="s">
        <v>593</v>
      </c>
      <c r="L1291" s="20" t="s">
        <v>594</v>
      </c>
      <c r="M1291" s="20" t="s">
        <v>595</v>
      </c>
      <c r="N1291" s="20" t="s">
        <v>596</v>
      </c>
      <c r="O1291" s="20" t="s">
        <v>597</v>
      </c>
      <c r="P1291" s="6" t="s">
        <v>23</v>
      </c>
      <c r="R1291" s="20" t="n">
        <v>2023</v>
      </c>
      <c r="S1291" s="20" t="n">
        <v>2024</v>
      </c>
      <c r="T1291" s="20" t="n">
        <v>2025</v>
      </c>
      <c r="U1291" s="20" t="n">
        <v>2026</v>
      </c>
      <c r="V1291" s="20" t="n">
        <v>2027</v>
      </c>
      <c r="W1291" s="20" t="n">
        <v>2028</v>
      </c>
      <c r="X1291" s="20" t="n">
        <v>2029</v>
      </c>
      <c r="Y1291" s="20" t="n">
        <v>2030</v>
      </c>
      <c r="Z1291" s="20" t="n">
        <v>2031</v>
      </c>
      <c r="AA1291" s="20" t="n">
        <v>2032</v>
      </c>
    </row>
    <row r="1292" customFormat="false" ht="17.15" hidden="false" customHeight="false" outlineLevel="0" collapsed="false">
      <c r="A1292" s="1" t="s">
        <v>677</v>
      </c>
    </row>
    <row r="1293" customFormat="false" ht="17.15" hidden="false" customHeight="false" outlineLevel="0" collapsed="false">
      <c r="A1293" s="0" t="s">
        <v>526</v>
      </c>
      <c r="B1293" s="0" t="s">
        <v>86</v>
      </c>
      <c r="C1293" s="38" t="n">
        <f aca="false">Q!$D$10</f>
        <v>247.029</v>
      </c>
      <c r="D1293" s="38" t="n">
        <f aca="false">Q!$E$10</f>
        <v>269.287</v>
      </c>
      <c r="E1293" s="38" t="n">
        <f aca="false">Q!$P$10</f>
        <v>134.686</v>
      </c>
      <c r="F1293" s="38" t="n">
        <f aca="false">Sens!$O$1293*(1+Sens!$F$1294)*Sens!$F$1305</f>
        <v>158.293876822267</v>
      </c>
      <c r="G1293" s="38" t="n">
        <f aca="false">Sens!$E$1293+Sens!$F$1293</f>
        <v>292.979876822267</v>
      </c>
      <c r="H1293" s="38" t="n">
        <f aca="false">Sens!$G$1293*(1+Sens!$H$1294)</f>
        <v>318.184543087396</v>
      </c>
      <c r="I1293" s="38" t="n">
        <f aca="false">Sens!$H$1293*(1+Sens!$I$1294)</f>
        <v>341.736278761793</v>
      </c>
      <c r="J1293" s="38" t="n">
        <f aca="false">Sens!$I$1293*(1+Sens!$J$1294)</f>
        <v>362.927192787048</v>
      </c>
      <c r="K1293" s="38" t="n">
        <f aca="false">Sens!$J$1293*(1+Sens!$K$1294)</f>
        <v>381.0735524264</v>
      </c>
      <c r="L1293" s="38" t="n">
        <f aca="false">Sens!$K$1293*(1+Sens!$L$1294)</f>
        <v>400.12723004772</v>
      </c>
      <c r="M1293" s="38" t="n">
        <f aca="false">Sens!$L$1293*(1+Sens!$M$1294)</f>
        <v>420.133591550106</v>
      </c>
      <c r="N1293" s="38" t="n">
        <f aca="false">Q!$N$10</f>
        <v>118.892</v>
      </c>
      <c r="O1293" s="38" t="n">
        <f aca="false">Q!$O$10</f>
        <v>150.395</v>
      </c>
      <c r="P1293" s="8" t="s">
        <v>678</v>
      </c>
    </row>
    <row r="1294" customFormat="false" ht="17.15" hidden="false" customHeight="false" outlineLevel="0" collapsed="false">
      <c r="A1294" s="0" t="s">
        <v>679</v>
      </c>
      <c r="B1294" s="0" t="s">
        <v>52</v>
      </c>
      <c r="E1294" s="13" t="n">
        <f aca="false">Sens!$E$1293/Sens!$N$1293-1</f>
        <v>0.132843252699929</v>
      </c>
      <c r="F1294" s="13" t="n">
        <f aca="false">Sens!$O$1293/(Q!$F$10+Q!$G$10)-1</f>
        <v>0.0980382135842941</v>
      </c>
      <c r="G1294" s="13" t="n">
        <f aca="false">Sens!$G$1293/Sens!$D$1293-1</f>
        <v>0.0879837378791657</v>
      </c>
      <c r="H1294" s="13" t="n">
        <f aca="false">Sens!$F$1294+(g_os-Sens!$F$1294)*1/4</f>
        <v>0.0860286601882206</v>
      </c>
      <c r="I1294" s="13" t="n">
        <f aca="false">Sens!$F$1294+(g_os-Sens!$F$1294)*2/4</f>
        <v>0.074019106792147</v>
      </c>
      <c r="J1294" s="13" t="n">
        <f aca="false">Sens!$F$1294+(g_os-Sens!$F$1294)*3/4</f>
        <v>0.0620095533960735</v>
      </c>
      <c r="K1294" s="13" t="n">
        <f aca="false">Sens!$F$1294+(g_os-Sens!$F$1294)*4/4</f>
        <v>0.05</v>
      </c>
      <c r="L1294" s="13" t="n">
        <f aca="false">g_os</f>
        <v>0.05</v>
      </c>
      <c r="M1294" s="13" t="n">
        <f aca="false">g_os</f>
        <v>0.05</v>
      </c>
      <c r="P1294" s="8" t="s">
        <v>680</v>
      </c>
    </row>
    <row r="1295" customFormat="false" ht="17.15" hidden="false" customHeight="false" outlineLevel="0" collapsed="false">
      <c r="A1295" s="0" t="s">
        <v>527</v>
      </c>
      <c r="B1295" s="0" t="s">
        <v>86</v>
      </c>
      <c r="C1295" s="38" t="n">
        <f aca="false">Q!$D$11</f>
        <v>21.215</v>
      </c>
      <c r="D1295" s="38" t="n">
        <f aca="false">Q!$E$11</f>
        <v>22.561</v>
      </c>
      <c r="E1295" s="38" t="n">
        <f aca="false">Q!$P$11</f>
        <v>11.579</v>
      </c>
      <c r="F1295" s="38" t="n">
        <f aca="false">Sens!$O$1295*(1+Sens!$F$1296)*Sens!$F$1305</f>
        <v>11.5938724610325</v>
      </c>
      <c r="G1295" s="38" t="n">
        <f aca="false">Sens!$E$1295+Sens!$F$1295</f>
        <v>23.1728724610325</v>
      </c>
      <c r="H1295" s="38" t="n">
        <f aca="false">Sens!$G$1295*(1+Sens!$H$1296)</f>
        <v>24.353392759506</v>
      </c>
      <c r="I1295" s="38" t="n">
        <f aca="false">Sens!$H$1295*(1+Sens!$I$1296)</f>
        <v>25.4240338872015</v>
      </c>
      <c r="J1295" s="38" t="n">
        <f aca="false">Sens!$I$1295*(1+Sens!$J$1296)</f>
        <v>26.3642491017174</v>
      </c>
      <c r="K1295" s="38" t="n">
        <f aca="false">Sens!$J$1295*(1+Sens!$K$1296)</f>
        <v>27.155176574769</v>
      </c>
      <c r="L1295" s="38" t="n">
        <f aca="false">Sens!$K$1295*(1+Sens!$L$1296)</f>
        <v>27.969831872012</v>
      </c>
      <c r="M1295" s="38" t="n">
        <f aca="false">Sens!$L$1295*(1+Sens!$M$1296)</f>
        <v>28.8089268281724</v>
      </c>
      <c r="N1295" s="38" t="n">
        <f aca="false">Q!$N$11</f>
        <v>11.128</v>
      </c>
      <c r="O1295" s="38" t="n">
        <f aca="false">Q!$O$11</f>
        <v>11.433</v>
      </c>
      <c r="P1295" s="8" t="s">
        <v>678</v>
      </c>
    </row>
    <row r="1296" customFormat="false" ht="17.15" hidden="false" customHeight="false" outlineLevel="0" collapsed="false">
      <c r="A1296" s="0" t="s">
        <v>681</v>
      </c>
      <c r="B1296" s="0" t="s">
        <v>52</v>
      </c>
      <c r="E1296" s="13" t="n">
        <f aca="false">Sens!$E$1295/Sens!$N$1295-1</f>
        <v>0.0405283968368082</v>
      </c>
      <c r="F1296" s="13" t="n">
        <f aca="false">Sens!$O$1295/(Q!$F$11+Q!$G$11)-1</f>
        <v>0.0579254187100955</v>
      </c>
      <c r="G1296" s="13" t="n">
        <f aca="false">Sens!$G$1295/Sens!$D$1295-1</f>
        <v>0.0271208040881397</v>
      </c>
      <c r="H1296" s="13" t="n">
        <f aca="false">Sens!$F$1296+(g_ps-Sens!$F$1296)*1/4</f>
        <v>0.0509440640325716</v>
      </c>
      <c r="I1296" s="13" t="n">
        <f aca="false">Sens!$F$1296+(g_ps-Sens!$F$1296)*2/4</f>
        <v>0.0439627093550477</v>
      </c>
      <c r="J1296" s="13" t="n">
        <f aca="false">Sens!$F$1296+(g_ps-Sens!$F$1296)*3/4</f>
        <v>0.0369813546775239</v>
      </c>
      <c r="K1296" s="13" t="n">
        <f aca="false">Sens!$F$1296+(g_ps-Sens!$F$1296)*4/4</f>
        <v>0.03</v>
      </c>
      <c r="L1296" s="13" t="n">
        <f aca="false">g_ps</f>
        <v>0.03</v>
      </c>
      <c r="M1296" s="13" t="n">
        <f aca="false">g_ps</f>
        <v>0.03</v>
      </c>
      <c r="P1296" s="8" t="s">
        <v>682</v>
      </c>
    </row>
    <row r="1297" customFormat="false" ht="17.15" hidden="false" customHeight="false" outlineLevel="0" collapsed="false">
      <c r="A1297" s="0" t="s">
        <v>528</v>
      </c>
      <c r="B1297" s="0" t="s">
        <v>86</v>
      </c>
      <c r="C1297" s="38" t="n">
        <f aca="false">Q!$D$12</f>
        <v>156.146</v>
      </c>
      <c r="D1297" s="38" t="n">
        <f aca="false">Q!$E$12</f>
        <v>172.162</v>
      </c>
      <c r="E1297" s="38" t="n">
        <f aca="false">Q!$P$12</f>
        <v>88.358</v>
      </c>
      <c r="F1297" s="38" t="n">
        <f aca="false">Sens!$O$1297*(1+Sens!$F$1298)*Sens!$F$1305</f>
        <v>102.004388260171</v>
      </c>
      <c r="G1297" s="38" t="n">
        <f aca="false">Sens!$E$1297+Sens!$F$1297</f>
        <v>190.362388260171</v>
      </c>
      <c r="H1297" s="38" t="n">
        <f aca="false">Sens!$G$1297*(1+Sens!$H$1298)</f>
        <v>210.343106588311</v>
      </c>
      <c r="I1297" s="38" t="n">
        <f aca="false">Sens!$H$1297*(1+Sens!$I$1298)</f>
        <v>229.969728494648</v>
      </c>
      <c r="J1297" s="38" t="n">
        <f aca="false">Sens!$I$1297*(1+Sens!$J$1298)</f>
        <v>248.747636972598</v>
      </c>
      <c r="K1297" s="38" t="n">
        <f aca="false">Sens!$J$1297*(1+Sens!$K$1298)</f>
        <v>266.15997156068</v>
      </c>
      <c r="L1297" s="38" t="n">
        <f aca="false">Sens!$K$1297*(1+Sens!$L$1298)</f>
        <v>284.791169569927</v>
      </c>
      <c r="M1297" s="38" t="n">
        <f aca="false">Sens!$L$1297*(1+Sens!$M$1298)</f>
        <v>304.726551439822</v>
      </c>
      <c r="N1297" s="38" t="n">
        <f aca="false">Q!$N$12</f>
        <v>76.86</v>
      </c>
      <c r="O1297" s="38" t="n">
        <f aca="false">Q!$O$12</f>
        <v>95.302</v>
      </c>
      <c r="P1297" s="8" t="s">
        <v>678</v>
      </c>
    </row>
    <row r="1298" customFormat="false" ht="17.15" hidden="false" customHeight="false" outlineLevel="0" collapsed="false">
      <c r="A1298" s="0" t="s">
        <v>683</v>
      </c>
      <c r="B1298" s="0" t="s">
        <v>52</v>
      </c>
      <c r="E1298" s="13" t="n">
        <f aca="false">Sens!$E$1297/Sens!$N$1297-1</f>
        <v>0.1495966692688</v>
      </c>
      <c r="F1298" s="13" t="n">
        <f aca="false">Sens!$O$1297/(Q!$F$12+Q!$G$12)-1</f>
        <v>0.11661530890813</v>
      </c>
      <c r="G1298" s="13" t="n">
        <f aca="false">Sens!$G$1297/Sens!$D$1297-1</f>
        <v>0.105716640490767</v>
      </c>
      <c r="H1298" s="13" t="n">
        <f aca="false">Sens!$F$1298+(g_sp-Sens!$F$1298)*1/4</f>
        <v>0.104961481681098</v>
      </c>
      <c r="I1298" s="13" t="n">
        <f aca="false">Sens!$F$1298+(g_sp-Sens!$F$1298)*2/4</f>
        <v>0.0933076544540651</v>
      </c>
      <c r="J1298" s="13" t="n">
        <f aca="false">Sens!$F$1298+(g_sp-Sens!$F$1298)*3/4</f>
        <v>0.0816538272270325</v>
      </c>
      <c r="K1298" s="13" t="n">
        <f aca="false">Sens!$F$1298+(g_sp-Sens!$F$1298)*4/4</f>
        <v>0.07</v>
      </c>
      <c r="L1298" s="13" t="n">
        <f aca="false">g_sp</f>
        <v>0.07</v>
      </c>
      <c r="M1298" s="13" t="n">
        <f aca="false">g_sp</f>
        <v>0.07</v>
      </c>
      <c r="P1298" s="8" t="s">
        <v>684</v>
      </c>
    </row>
    <row r="1299" customFormat="false" ht="17.15" hidden="false" customHeight="false" outlineLevel="0" collapsed="false">
      <c r="A1299" s="0" t="s">
        <v>529</v>
      </c>
      <c r="B1299" s="0" t="s">
        <v>86</v>
      </c>
      <c r="C1299" s="38" t="n">
        <f aca="false">Q!$D$13</f>
        <v>56.214</v>
      </c>
      <c r="D1299" s="38" t="n">
        <f aca="false">Q!$E$13</f>
        <v>68.635</v>
      </c>
      <c r="E1299" s="38" t="n">
        <f aca="false">Q!$P$13</f>
        <v>37.052</v>
      </c>
      <c r="F1299" s="38" t="n">
        <f aca="false">Sens!$O$1299*(1+Sens!$F$1300)*Sens!$F$1305</f>
        <v>46.1572219944148</v>
      </c>
      <c r="G1299" s="38" t="n">
        <f aca="false">Sens!$E$1299+Sens!$F$1299</f>
        <v>83.2092219944148</v>
      </c>
      <c r="H1299" s="38" t="n">
        <f aca="false">Sens!$G$1299*(1+Sens!$H$1300)</f>
        <v>99.8969223878976</v>
      </c>
      <c r="I1299" s="38" t="n">
        <f aca="false">Sens!$H$1299*(1+Sens!$I$1300)</f>
        <v>116.583111095496</v>
      </c>
      <c r="J1299" s="38" t="n">
        <f aca="false">Sens!$I$1299*(1+Sens!$J$1300)</f>
        <v>132.148941941952</v>
      </c>
      <c r="K1299" s="38" t="n">
        <f aca="false">Sens!$J$1299*(1+Sens!$K$1300)</f>
        <v>145.363836136147</v>
      </c>
      <c r="L1299" s="38" t="n">
        <f aca="false">Sens!$K$1299*(1+Sens!$L$1300)</f>
        <v>159.900219749762</v>
      </c>
      <c r="M1299" s="38" t="n">
        <f aca="false">Sens!$L$1299*(1+Sens!$M$1300)</f>
        <v>175.890241724738</v>
      </c>
      <c r="N1299" s="38" t="n">
        <f aca="false">Q!$N$13</f>
        <v>29.615</v>
      </c>
      <c r="O1299" s="38" t="n">
        <f aca="false">Q!$O$13</f>
        <v>39.02</v>
      </c>
      <c r="P1299" s="8" t="s">
        <v>678</v>
      </c>
    </row>
    <row r="1300" customFormat="false" ht="17.15" hidden="false" customHeight="false" outlineLevel="0" collapsed="false">
      <c r="A1300" s="0" t="s">
        <v>685</v>
      </c>
      <c r="B1300" s="0" t="s">
        <v>52</v>
      </c>
      <c r="E1300" s="13" t="n">
        <f aca="false">Sens!$E$1299/Sens!$N$1299-1</f>
        <v>0.25112274185379</v>
      </c>
      <c r="F1300" s="13" t="n">
        <f aca="false">Sens!$O$1299/(Q!$F$13+Q!$G$13)-1</f>
        <v>0.234068123596572</v>
      </c>
      <c r="G1300" s="13" t="n">
        <f aca="false">Sens!$G$1299/Sens!$D$1299-1</f>
        <v>0.212343876949294</v>
      </c>
      <c r="H1300" s="13" t="n">
        <f aca="false">Sens!$F$1300+(g_ad-Sens!$F$1300)*1/4</f>
        <v>0.200551092697429</v>
      </c>
      <c r="I1300" s="13" t="n">
        <f aca="false">Sens!$F$1300+(g_ad-Sens!$F$1300)*2/4</f>
        <v>0.167034061798286</v>
      </c>
      <c r="J1300" s="13" t="n">
        <f aca="false">Sens!$F$1300+(g_ad-Sens!$F$1300)*3/4</f>
        <v>0.133517030899143</v>
      </c>
      <c r="K1300" s="13" t="n">
        <f aca="false">Sens!$F$1300+(g_ad-Sens!$F$1300)*4/4</f>
        <v>0.1</v>
      </c>
      <c r="L1300" s="13" t="n">
        <f aca="false">g_ad</f>
        <v>0.1</v>
      </c>
      <c r="M1300" s="13" t="n">
        <f aca="false">g_ad</f>
        <v>0.1</v>
      </c>
      <c r="P1300" s="8" t="s">
        <v>686</v>
      </c>
    </row>
    <row r="1301" customFormat="false" ht="17.15" hidden="false" customHeight="false" outlineLevel="0" collapsed="false">
      <c r="A1301" s="0" t="s">
        <v>530</v>
      </c>
      <c r="B1301" s="0" t="s">
        <v>86</v>
      </c>
      <c r="C1301" s="38" t="n">
        <f aca="false">Q!$D$14</f>
        <v>44.374</v>
      </c>
      <c r="D1301" s="38" t="n">
        <f aca="false">Q!$E$14</f>
        <v>49.619</v>
      </c>
      <c r="E1301" s="38" t="n">
        <f aca="false">Q!$P$14</f>
        <v>27.157</v>
      </c>
      <c r="F1301" s="38" t="n">
        <f aca="false">Sens!$O$1301*(1+Sens!$F$1302)*Sens!$F$1305</f>
        <v>27.7764165988154</v>
      </c>
      <c r="G1301" s="38" t="n">
        <f aca="false">Sens!$E$1301+Sens!$F$1301</f>
        <v>54.9334165988154</v>
      </c>
      <c r="H1301" s="38" t="n">
        <f aca="false">Sens!$G$1301*(1+Sens!$H$1302)</f>
        <v>61.1564112561829</v>
      </c>
      <c r="I1301" s="38" t="n">
        <f aca="false">Sens!$H$1301*(1+Sens!$I$1302)</f>
        <v>67.2020282103945</v>
      </c>
      <c r="J1301" s="38" t="n">
        <f aca="false">Sens!$I$1301*(1+Sens!$J$1302)</f>
        <v>72.8757274028885</v>
      </c>
      <c r="K1301" s="38" t="n">
        <f aca="false">Sens!$J$1301*(1+Sens!$K$1302)</f>
        <v>77.9770283210907</v>
      </c>
      <c r="L1301" s="38" t="n">
        <f aca="false">Sens!$K$1301*(1+Sens!$L$1302)</f>
        <v>83.4354203035671</v>
      </c>
      <c r="M1301" s="38" t="n">
        <f aca="false">Sens!$L$1301*(1+Sens!$M$1302)</f>
        <v>89.2758997248168</v>
      </c>
      <c r="N1301" s="38" t="n">
        <f aca="false">Q!$N$14</f>
        <v>23.923</v>
      </c>
      <c r="O1301" s="38" t="n">
        <f aca="false">Q!$O$14</f>
        <v>25.696</v>
      </c>
      <c r="P1301" s="8" t="s">
        <v>678</v>
      </c>
    </row>
    <row r="1302" customFormat="false" ht="17.15" hidden="false" customHeight="false" outlineLevel="0" collapsed="false">
      <c r="A1302" s="0" t="s">
        <v>687</v>
      </c>
      <c r="B1302" s="0" t="s">
        <v>52</v>
      </c>
      <c r="E1302" s="13" t="n">
        <f aca="false">Sens!$E$1301/Sens!$N$1301-1</f>
        <v>0.135183714417088</v>
      </c>
      <c r="F1302" s="13" t="n">
        <f aca="false">Sens!$O$1301/(Q!$F$14+Q!$G$14)-1</f>
        <v>0.127709997366804</v>
      </c>
      <c r="G1302" s="13" t="n">
        <f aca="false">Sens!$G$1301/Sens!$D$1301-1</f>
        <v>0.107104468022641</v>
      </c>
      <c r="H1302" s="13" t="n">
        <f aca="false">Sens!$F$1302+(g_sub-Sens!$F$1302)*1/4</f>
        <v>0.113282498025103</v>
      </c>
      <c r="I1302" s="13" t="n">
        <f aca="false">Sens!$F$1302+(g_sub-Sens!$F$1302)*2/4</f>
        <v>0.0988549986834021</v>
      </c>
      <c r="J1302" s="13" t="n">
        <f aca="false">Sens!$F$1302+(g_sub-Sens!$F$1302)*3/4</f>
        <v>0.084427499341701</v>
      </c>
      <c r="K1302" s="13" t="n">
        <f aca="false">Sens!$F$1302+(g_sub-Sens!$F$1302)*4/4</f>
        <v>0.07</v>
      </c>
      <c r="L1302" s="13" t="n">
        <f aca="false">g_sub</f>
        <v>0.07</v>
      </c>
      <c r="M1302" s="13" t="n">
        <f aca="false">g_sub</f>
        <v>0.07</v>
      </c>
      <c r="P1302" s="8" t="s">
        <v>688</v>
      </c>
    </row>
    <row r="1303" customFormat="false" ht="17.15" hidden="false" customHeight="false" outlineLevel="0" collapsed="false">
      <c r="A1303" s="0" t="s">
        <v>531</v>
      </c>
      <c r="B1303" s="0" t="s">
        <v>86</v>
      </c>
      <c r="C1303" s="38" t="n">
        <f aca="false">Q!$D$15</f>
        <v>5.425</v>
      </c>
      <c r="D1303" s="38" t="n">
        <f aca="false">Q!$E$15</f>
        <v>5.935</v>
      </c>
      <c r="E1303" s="38" t="n">
        <f aca="false">Q!$P$15</f>
        <v>3.474</v>
      </c>
      <c r="F1303" s="38" t="n">
        <f aca="false">Sens!$O$1303*(1+Sens!$F$1304)*Sens!$F$1305</f>
        <v>3.22246550883619</v>
      </c>
      <c r="G1303" s="38" t="n">
        <f aca="false">Sens!$E$1303+Sens!$F$1303</f>
        <v>6.69646550883619</v>
      </c>
      <c r="H1303" s="38" t="n">
        <f aca="false">Sens!$G$1303*(1+Sens!$H$1304)</f>
        <v>7.16251344209196</v>
      </c>
      <c r="I1303" s="38" t="n">
        <f aca="false">Sens!$H$1303*(1+Sens!$I$1304)</f>
        <v>7.61421070299826</v>
      </c>
      <c r="J1303" s="38" t="n">
        <f aca="false">Sens!$I$1303*(1+Sens!$J$1304)</f>
        <v>8.04465753523932</v>
      </c>
      <c r="K1303" s="38" t="n">
        <f aca="false">Sens!$J$1303*(1+Sens!$K$1304)</f>
        <v>8.44689041200128</v>
      </c>
      <c r="L1303" s="38" t="n">
        <f aca="false">Sens!$K$1303*(1+Sens!$L$1304)</f>
        <v>8.86923493260135</v>
      </c>
      <c r="M1303" s="38" t="n">
        <f aca="false">Sens!$L$1303*(1+Sens!$M$1304)</f>
        <v>9.31269667923142</v>
      </c>
      <c r="N1303" s="38" t="n">
        <f aca="false">Q!$N$15</f>
        <v>2.811</v>
      </c>
      <c r="O1303" s="38" t="n">
        <f aca="false">Q!$O$15</f>
        <v>3.124</v>
      </c>
      <c r="P1303" s="8" t="s">
        <v>678</v>
      </c>
    </row>
    <row r="1304" customFormat="false" ht="17.15" hidden="false" customHeight="false" outlineLevel="0" collapsed="false">
      <c r="A1304" s="0" t="s">
        <v>689</v>
      </c>
      <c r="B1304" s="0" t="s">
        <v>52</v>
      </c>
      <c r="E1304" s="13" t="n">
        <f aca="false">Sens!$E$1303/Sens!$N$1303-1</f>
        <v>0.235859124866596</v>
      </c>
      <c r="F1304" s="13" t="n">
        <f aca="false">Sens!$O$1303/(Q!$F$15+Q!$G$15)-1</f>
        <v>0.0761281433000345</v>
      </c>
      <c r="G1304" s="13" t="n">
        <f aca="false">Sens!$G$1303/Sens!$D$1303-1</f>
        <v>0.128300843948811</v>
      </c>
      <c r="H1304" s="13" t="n">
        <f aca="false">Sens!$F$1304+(g_ot-Sens!$F$1304)*1/4</f>
        <v>0.0695961074750259</v>
      </c>
      <c r="I1304" s="13" t="n">
        <f aca="false">Sens!$F$1304+(g_ot-Sens!$F$1304)*2/4</f>
        <v>0.0630640716500172</v>
      </c>
      <c r="J1304" s="13" t="n">
        <f aca="false">Sens!$F$1304+(g_ot-Sens!$F$1304)*3/4</f>
        <v>0.0565320358250086</v>
      </c>
      <c r="K1304" s="13" t="n">
        <f aca="false">Sens!$F$1304+(g_ot-Sens!$F$1304)*4/4</f>
        <v>0.05</v>
      </c>
      <c r="L1304" s="13" t="n">
        <f aca="false">g_ot</f>
        <v>0.05</v>
      </c>
      <c r="M1304" s="13" t="n">
        <f aca="false">g_ot</f>
        <v>0.05</v>
      </c>
      <c r="P1304" s="8" t="s">
        <v>690</v>
      </c>
    </row>
    <row r="1305" customFormat="false" ht="17.15" hidden="false" customHeight="false" outlineLevel="0" collapsed="false">
      <c r="A1305" s="0" t="s">
        <v>691</v>
      </c>
      <c r="B1305" s="0" t="s">
        <v>57</v>
      </c>
      <c r="F1305" s="40" t="n">
        <f aca="false">(g26q3_mid*Q!$O$8/Q!$J$8-Thesis!$F$89-Thesis!$F$93)/(Sens!$O$1293*(1+Sens!$F$1294)+Sens!$O$1295*(1+Sens!$F$1296)+Sens!$O$1297*(1+Sens!$F$1298)+Sens!$O$1299*(1+Sens!$F$1300)+Sens!$O$1301*(1+Sens!$F$1302)+Sens!$O$1303*(1+Sens!$F$1304))</f>
        <v>0.958546670622329</v>
      </c>
      <c r="P1305" s="8" t="s">
        <v>692</v>
      </c>
    </row>
    <row r="1306" customFormat="false" ht="17.15" hidden="false" customHeight="false" outlineLevel="0" collapsed="false">
      <c r="A1306" s="3" t="s">
        <v>693</v>
      </c>
      <c r="B1306" s="8" t="s">
        <v>86</v>
      </c>
      <c r="C1306" s="38" t="n">
        <f aca="false">Sens!$C$1293+Sens!$C$1295+Sens!$C$1297+Sens!$C$1299+Sens!$C$1301+Sens!$C$1303</f>
        <v>530.403</v>
      </c>
      <c r="D1306" s="38" t="n">
        <f aca="false">Sens!$D$1293+Sens!$D$1295+Sens!$D$1297+Sens!$D$1299+Sens!$D$1301+Sens!$D$1303</f>
        <v>588.199</v>
      </c>
      <c r="E1306" s="38" t="n">
        <f aca="false">Sens!$E$1293+Sens!$E$1295+Sens!$E$1297+Sens!$E$1299+Sens!$E$1301+Sens!$E$1303</f>
        <v>302.306</v>
      </c>
      <c r="F1306" s="38" t="n">
        <f aca="false">Sens!$F$1293+Sens!$F$1295+Sens!$F$1297+Sens!$F$1299+Sens!$F$1301+Sens!$F$1303</f>
        <v>349.048241645537</v>
      </c>
      <c r="G1306" s="38" t="n">
        <f aca="false">Sens!$G$1293+Sens!$G$1295+Sens!$G$1297+Sens!$G$1299+Sens!$G$1301+Sens!$G$1303</f>
        <v>651.354241645537</v>
      </c>
      <c r="H1306" s="38" t="n">
        <f aca="false">Sens!$H$1293+Sens!$H$1295+Sens!$H$1297+Sens!$H$1299+Sens!$H$1301+Sens!$H$1303</f>
        <v>721.096889521386</v>
      </c>
      <c r="I1306" s="38" t="n">
        <f aca="false">Sens!$I$1293+Sens!$I$1295+Sens!$I$1297+Sens!$I$1299+Sens!$I$1301+Sens!$I$1303</f>
        <v>788.529391152531</v>
      </c>
      <c r="J1306" s="38" t="n">
        <f aca="false">Sens!$J$1293+Sens!$J$1295+Sens!$J$1297+Sens!$J$1299+Sens!$J$1301+Sens!$J$1303</f>
        <v>851.108405741443</v>
      </c>
      <c r="K1306" s="38" t="n">
        <f aca="false">Sens!$K$1293+Sens!$K$1295+Sens!$K$1297+Sens!$K$1299+Sens!$K$1301+Sens!$K$1303</f>
        <v>906.176455431088</v>
      </c>
      <c r="L1306" s="38" t="n">
        <f aca="false">Sens!$L$1293+Sens!$L$1295+Sens!$L$1297+Sens!$L$1299+Sens!$L$1301+Sens!$L$1303</f>
        <v>965.093106475589</v>
      </c>
      <c r="M1306" s="38" t="n">
        <f aca="false">Sens!$M$1293+Sens!$M$1295+Sens!$M$1297+Sens!$M$1299+Sens!$M$1301+Sens!$M$1303</f>
        <v>1028.14790794689</v>
      </c>
      <c r="N1306" s="38" t="n">
        <f aca="false">Sens!$N$1293+Sens!$N$1295+Sens!$N$1297+Sens!$N$1299+Sens!$N$1301+Sens!$N$1303</f>
        <v>263.229</v>
      </c>
      <c r="O1306" s="38" t="n">
        <f aca="false">Sens!$O$1293+Sens!$O$1295+Sens!$O$1297+Sens!$O$1299+Sens!$O$1301+Sens!$O$1303</f>
        <v>324.97</v>
      </c>
    </row>
    <row r="1307" customFormat="false" ht="17.15" hidden="false" customHeight="false" outlineLevel="0" collapsed="false">
      <c r="A1307" s="5" t="s">
        <v>694</v>
      </c>
      <c r="B1307" s="0" t="s">
        <v>52</v>
      </c>
      <c r="C1307" s="13" t="n">
        <f aca="false">Q!$D$5/(Q!$D$5+Q!$D$6)</f>
        <v>0.730570905519011</v>
      </c>
      <c r="D1307" s="13" t="n">
        <f aca="false">Q!$E$5/(Q!$E$5+Q!$E$6)</f>
        <v>0.724763217890544</v>
      </c>
      <c r="E1307" s="13" t="n">
        <f aca="false">Q!$P$5/(Q!$P$5+Q!$P$6)</f>
        <v>0.728797972914861</v>
      </c>
      <c r="F1307" s="13" t="n">
        <f aca="false">Sens!$O$1307</f>
        <v>0.718066283041511</v>
      </c>
      <c r="G1307" s="13" t="n">
        <f aca="false">Sens!$G$1308/Sens!$G$1306</f>
        <v>0.723047066202847</v>
      </c>
      <c r="H1307" s="13" t="n">
        <f aca="false">Sens!$G$1307</f>
        <v>0.723047066202847</v>
      </c>
      <c r="I1307" s="13" t="n">
        <f aca="false">Sens!$G$1307</f>
        <v>0.723047066202847</v>
      </c>
      <c r="J1307" s="13" t="n">
        <f aca="false">Sens!$G$1307</f>
        <v>0.723047066202847</v>
      </c>
      <c r="K1307" s="13" t="n">
        <f aca="false">Sens!$G$1307</f>
        <v>0.723047066202847</v>
      </c>
      <c r="L1307" s="13" t="n">
        <f aca="false">Sens!$G$1307</f>
        <v>0.723047066202847</v>
      </c>
      <c r="M1307" s="13" t="n">
        <f aca="false">Sens!$G$1307</f>
        <v>0.723047066202847</v>
      </c>
      <c r="N1307" s="13" t="n">
        <f aca="false">Q!$N$5/(Q!$N$5+Q!$N$6)</f>
        <v>0.733030935041352</v>
      </c>
      <c r="O1307" s="13" t="n">
        <f aca="false">Q!$O$5/(Q!$O$5+Q!$O$6)</f>
        <v>0.718066283041511</v>
      </c>
      <c r="P1307" s="8" t="s">
        <v>695</v>
      </c>
    </row>
    <row r="1308" customFormat="false" ht="17.15" hidden="false" customHeight="false" outlineLevel="0" collapsed="false">
      <c r="A1308" s="1" t="s">
        <v>519</v>
      </c>
      <c r="B1308" s="8" t="s">
        <v>86</v>
      </c>
      <c r="C1308" s="38" t="n">
        <f aca="false">Q!$D$5</f>
        <v>387.497</v>
      </c>
      <c r="D1308" s="38" t="n">
        <f aca="false">Q!$E$5</f>
        <v>426.305</v>
      </c>
      <c r="E1308" s="38" t="n">
        <f aca="false">Q!$P$5</f>
        <v>220.32</v>
      </c>
      <c r="F1308" s="38" t="n">
        <f aca="false">Sens!$F$1306*Sens!$F$1307</f>
        <v>250.639773480586</v>
      </c>
      <c r="G1308" s="38" t="n">
        <f aca="false">Sens!$E$1308+Sens!$F$1308</f>
        <v>470.959773480586</v>
      </c>
      <c r="H1308" s="38" t="n">
        <f aca="false">Sens!$H$1306*Sens!$H$1307</f>
        <v>521.386990416437</v>
      </c>
      <c r="I1308" s="38" t="n">
        <f aca="false">Sens!$I$1306*Sens!$I$1307</f>
        <v>570.143862887555</v>
      </c>
      <c r="J1308" s="38" t="n">
        <f aca="false">Sens!$J$1306*Sens!$J$1307</f>
        <v>615.391435791933</v>
      </c>
      <c r="K1308" s="38" t="n">
        <f aca="false">Sens!$K$1306*Sens!$K$1307</f>
        <v>655.208227561543</v>
      </c>
      <c r="L1308" s="38" t="n">
        <f aca="false">Sens!$L$1306*Sens!$L$1307</f>
        <v>697.807739249767</v>
      </c>
      <c r="M1308" s="38" t="n">
        <f aca="false">Sens!$M$1306*Sens!$M$1307</f>
        <v>743.399328463592</v>
      </c>
      <c r="N1308" s="38" t="n">
        <f aca="false">Q!$N$5</f>
        <v>192.955</v>
      </c>
      <c r="O1308" s="38" t="n">
        <f aca="false">Q!$O$5</f>
        <v>233.35</v>
      </c>
      <c r="P1308" s="5" t="s">
        <v>696</v>
      </c>
    </row>
    <row r="1309" customFormat="false" ht="17.15" hidden="false" customHeight="false" outlineLevel="0" collapsed="false">
      <c r="A1309" s="1" t="s">
        <v>522</v>
      </c>
      <c r="B1309" s="8" t="s">
        <v>86</v>
      </c>
      <c r="C1309" s="38" t="n">
        <f aca="false">Q!$D$6</f>
        <v>142.906</v>
      </c>
      <c r="D1309" s="38" t="n">
        <f aca="false">Q!$E$6</f>
        <v>161.894</v>
      </c>
      <c r="E1309" s="38" t="n">
        <f aca="false">Q!$P$6</f>
        <v>81.986</v>
      </c>
      <c r="F1309" s="38" t="n">
        <f aca="false">Sens!$F$1306*(1-Sens!$F$1307)</f>
        <v>98.408468164951</v>
      </c>
      <c r="G1309" s="38" t="n">
        <f aca="false">Sens!$E$1309+Sens!$F$1309</f>
        <v>180.394468164951</v>
      </c>
      <c r="H1309" s="38" t="n">
        <f aca="false">Sens!$H$1306*(1-Sens!$H$1307)</f>
        <v>199.709899104949</v>
      </c>
      <c r="I1309" s="38" t="n">
        <f aca="false">Sens!$I$1306*(1-Sens!$I$1307)</f>
        <v>218.385528264976</v>
      </c>
      <c r="J1309" s="38" t="n">
        <f aca="false">Sens!$J$1306*(1-Sens!$J$1307)</f>
        <v>235.71696994951</v>
      </c>
      <c r="K1309" s="38" t="n">
        <f aca="false">Sens!$K$1306*(1-Sens!$K$1307)</f>
        <v>250.968227869545</v>
      </c>
      <c r="L1309" s="38" t="n">
        <f aca="false">Sens!$L$1306*(1-Sens!$L$1307)</f>
        <v>267.285367225822</v>
      </c>
      <c r="M1309" s="38" t="n">
        <f aca="false">Sens!$M$1306*(1-Sens!$M$1307)</f>
        <v>284.748579483295</v>
      </c>
      <c r="N1309" s="38" t="n">
        <f aca="false">Q!$N$6</f>
        <v>70.274</v>
      </c>
      <c r="O1309" s="38" t="n">
        <f aca="false">Q!$O$6</f>
        <v>91.62</v>
      </c>
      <c r="P1309" s="5" t="s">
        <v>697</v>
      </c>
    </row>
    <row r="1310" customFormat="false" ht="17.15" hidden="false" customHeight="false" outlineLevel="0" collapsed="false">
      <c r="A1310" s="5" t="s">
        <v>698</v>
      </c>
      <c r="B1310" s="0" t="s">
        <v>86</v>
      </c>
      <c r="C1310" s="38" t="n">
        <f aca="false">Sens!$C$1299*Sens!$C$1307</f>
        <v>41.0683128828457</v>
      </c>
      <c r="D1310" s="38" t="n">
        <f aca="false">Sens!$D$1299*Sens!$D$1307</f>
        <v>49.7441234599175</v>
      </c>
      <c r="E1310" s="38" t="n">
        <f aca="false">Sens!$E$1299*Sens!$E$1307</f>
        <v>27.0034224924414</v>
      </c>
      <c r="F1310" s="38" t="n">
        <f aca="false">Sens!$F$1299*Sens!$F$1307</f>
        <v>33.1439448330513</v>
      </c>
      <c r="G1310" s="38" t="n">
        <f aca="false">Sens!$G$1299*Sens!$G$1307</f>
        <v>60.164183844083</v>
      </c>
      <c r="H1310" s="38" t="n">
        <f aca="false">Sens!$H$1299*Sens!$H$1307</f>
        <v>72.2301766552629</v>
      </c>
      <c r="I1310" s="38" t="n">
        <f aca="false">Sens!$I$1299*Sens!$I$1307</f>
        <v>84.2950764463991</v>
      </c>
      <c r="J1310" s="38" t="n">
        <f aca="false">Sens!$J$1299*Sens!$J$1307</f>
        <v>95.5499047729386</v>
      </c>
      <c r="K1310" s="38" t="n">
        <f aca="false">Sens!$K$1299*Sens!$K$1307</f>
        <v>105.104895250232</v>
      </c>
      <c r="L1310" s="38" t="n">
        <f aca="false">Sens!$L$1299*Sens!$L$1307</f>
        <v>115.615384775256</v>
      </c>
      <c r="M1310" s="38" t="n">
        <f aca="false">Sens!$M$1299*Sens!$M$1307</f>
        <v>127.176923252781</v>
      </c>
      <c r="N1310" s="38" t="n">
        <f aca="false">Sens!$N$1299*Sens!$N$1307</f>
        <v>21.7087111412496</v>
      </c>
      <c r="O1310" s="38" t="n">
        <f aca="false">Sens!$O$1299*Sens!$O$1307</f>
        <v>28.0189463642798</v>
      </c>
      <c r="P1310" s="5" t="s">
        <v>699</v>
      </c>
    </row>
    <row r="1311" customFormat="false" ht="15" hidden="false" customHeight="false" outlineLevel="0" collapsed="false">
      <c r="A1311" s="5" t="s">
        <v>700</v>
      </c>
      <c r="B1311" s="0" t="s">
        <v>86</v>
      </c>
      <c r="C1311" s="38" t="n">
        <f aca="false">Sens!$C$1299-Sens!$C$1310</f>
        <v>15.1456871171543</v>
      </c>
      <c r="D1311" s="38" t="n">
        <f aca="false">Sens!$D$1299-Sens!$D$1310</f>
        <v>18.8908765400825</v>
      </c>
      <c r="E1311" s="38" t="n">
        <f aca="false">Sens!$E$1299-Sens!$E$1310</f>
        <v>10.0485775075586</v>
      </c>
      <c r="F1311" s="38" t="n">
        <f aca="false">Sens!$F$1299-Sens!$F$1310</f>
        <v>13.0132771613635</v>
      </c>
      <c r="G1311" s="38" t="n">
        <f aca="false">Sens!$G$1299-Sens!$G$1310</f>
        <v>23.0450381503318</v>
      </c>
      <c r="H1311" s="38" t="n">
        <f aca="false">Sens!$H$1299-Sens!$H$1310</f>
        <v>27.6667457326347</v>
      </c>
      <c r="I1311" s="38" t="n">
        <f aca="false">Sens!$I$1299-Sens!$I$1310</f>
        <v>32.2880346490971</v>
      </c>
      <c r="J1311" s="38" t="n">
        <f aca="false">Sens!$J$1299-Sens!$J$1310</f>
        <v>36.5990371690132</v>
      </c>
      <c r="K1311" s="38" t="n">
        <f aca="false">Sens!$K$1299-Sens!$K$1310</f>
        <v>40.2589408859145</v>
      </c>
      <c r="L1311" s="38" t="n">
        <f aca="false">Sens!$L$1299-Sens!$L$1310</f>
        <v>44.2848349745059</v>
      </c>
      <c r="M1311" s="38" t="n">
        <f aca="false">Sens!$M$1299-Sens!$M$1310</f>
        <v>48.7133184719565</v>
      </c>
      <c r="N1311" s="38" t="n">
        <f aca="false">Sens!$N$1299-Sens!$N$1310</f>
        <v>7.90628885875037</v>
      </c>
      <c r="O1311" s="38" t="n">
        <f aca="false">Sens!$O$1299-Sens!$O$1310</f>
        <v>11.0010536357202</v>
      </c>
    </row>
    <row r="1312" customFormat="false" ht="19.4" hidden="false" customHeight="false" outlineLevel="0" collapsed="false">
      <c r="A1312" s="31" t="s">
        <v>1178</v>
      </c>
    </row>
    <row r="1313" customFormat="false" ht="17.15" hidden="false" customHeight="false" outlineLevel="0" collapsed="false">
      <c r="A1313" s="6" t="s">
        <v>16</v>
      </c>
      <c r="B1313" s="6" t="s">
        <v>17</v>
      </c>
      <c r="C1313" s="20" t="s">
        <v>504</v>
      </c>
      <c r="D1313" s="20" t="s">
        <v>505</v>
      </c>
      <c r="E1313" s="20" t="s">
        <v>587</v>
      </c>
      <c r="F1313" s="20" t="s">
        <v>588</v>
      </c>
      <c r="G1313" s="20" t="s">
        <v>589</v>
      </c>
      <c r="H1313" s="20" t="s">
        <v>590</v>
      </c>
      <c r="I1313" s="20" t="s">
        <v>591</v>
      </c>
      <c r="J1313" s="20" t="s">
        <v>592</v>
      </c>
      <c r="K1313" s="20" t="s">
        <v>593</v>
      </c>
      <c r="L1313" s="20" t="s">
        <v>594</v>
      </c>
      <c r="M1313" s="20" t="s">
        <v>595</v>
      </c>
      <c r="N1313" s="20" t="s">
        <v>596</v>
      </c>
      <c r="O1313" s="20" t="s">
        <v>597</v>
      </c>
      <c r="P1313" s="6" t="s">
        <v>23</v>
      </c>
      <c r="R1313" s="20" t="n">
        <v>2023</v>
      </c>
      <c r="S1313" s="20" t="n">
        <v>2024</v>
      </c>
      <c r="T1313" s="20" t="n">
        <v>2025</v>
      </c>
      <c r="U1313" s="20" t="n">
        <v>2026</v>
      </c>
      <c r="V1313" s="20" t="n">
        <v>2027</v>
      </c>
      <c r="W1313" s="20" t="n">
        <v>2028</v>
      </c>
      <c r="X1313" s="20" t="n">
        <v>2029</v>
      </c>
      <c r="Y1313" s="20" t="n">
        <v>2030</v>
      </c>
      <c r="Z1313" s="20" t="n">
        <v>2031</v>
      </c>
      <c r="AA1313" s="20" t="n">
        <v>2032</v>
      </c>
    </row>
    <row r="1314" customFormat="false" ht="17.15" hidden="false" customHeight="false" outlineLevel="0" collapsed="false">
      <c r="A1314" s="1" t="s">
        <v>598</v>
      </c>
    </row>
    <row r="1315" customFormat="false" ht="17.15" hidden="false" customHeight="false" outlineLevel="0" collapsed="false">
      <c r="A1315" s="5" t="s">
        <v>599</v>
      </c>
      <c r="B1315" s="0" t="s">
        <v>144</v>
      </c>
      <c r="H1315" s="32" t="n">
        <f aca="false">(pace_B*0.75)</f>
        <v>2725.725</v>
      </c>
      <c r="I1315" s="32" t="n">
        <f aca="false">(pace_B*0.75)</f>
        <v>2725.725</v>
      </c>
      <c r="J1315" s="32" t="n">
        <f aca="false">(pace_B*0.75)</f>
        <v>2725.725</v>
      </c>
      <c r="K1315" s="32" t="n">
        <f aca="false">(pace_B*0.75)+(Sens!$J$1316*tg-(pace_B*0.75))*1/3</f>
        <v>1933.350375</v>
      </c>
      <c r="L1315" s="32" t="n">
        <f aca="false">(pace_B*0.75)+(Sens!$J$1316*tg-(pace_B*0.75))*2/3</f>
        <v>1140.97575</v>
      </c>
      <c r="M1315" s="32" t="n">
        <f aca="false">(pace_B*0.75)+(Sens!$J$1316*tg-(pace_B*0.75))*3/3</f>
        <v>348.601125</v>
      </c>
      <c r="P1315" s="5" t="s">
        <v>600</v>
      </c>
    </row>
    <row r="1316" customFormat="false" ht="17.15" hidden="false" customHeight="false" outlineLevel="0" collapsed="false">
      <c r="A1316" s="15" t="s">
        <v>601</v>
      </c>
      <c r="B1316" s="14" t="s">
        <v>129</v>
      </c>
      <c r="C1316" s="33" t="n">
        <f aca="false">mw_ye24</f>
        <v>360</v>
      </c>
      <c r="D1316" s="33" t="n">
        <f aca="false">mw_ye25</f>
        <v>1440</v>
      </c>
      <c r="E1316" s="33" t="n">
        <f aca="false">mw_open</f>
        <v>2080</v>
      </c>
      <c r="F1316" s="33" t="n">
        <f aca="false">Sens!$E$1316+(pace_B*0.75)*0.5</f>
        <v>3442.8625</v>
      </c>
      <c r="G1316" s="33" t="n">
        <f aca="false">Sens!$F$1316</f>
        <v>3442.8625</v>
      </c>
      <c r="H1316" s="33" t="n">
        <f aca="false">Sens!$G$1316+Sens!$H$1315</f>
        <v>6168.5875</v>
      </c>
      <c r="I1316" s="33" t="n">
        <f aca="false">Sens!$H$1316+Sens!$I$1315</f>
        <v>8894.3125</v>
      </c>
      <c r="J1316" s="33" t="n">
        <f aca="false">Sens!$I$1316+Sens!$J$1315</f>
        <v>11620.0375</v>
      </c>
      <c r="K1316" s="33" t="n">
        <f aca="false">Sens!$J$1316+Sens!$K$1315</f>
        <v>13553.387875</v>
      </c>
      <c r="L1316" s="33" t="n">
        <f aca="false">Sens!$K$1316+Sens!$L$1315</f>
        <v>14694.363625</v>
      </c>
      <c r="M1316" s="33" t="n">
        <f aca="false">Sens!$L$1316+Sens!$M$1315</f>
        <v>15042.96475</v>
      </c>
      <c r="N1316" s="33" t="n">
        <f aca="false">(mw_ye24+mw_ye25)/2</f>
        <v>900</v>
      </c>
      <c r="O1316" s="33" t="n">
        <f aca="false">mw_ye25</f>
        <v>1440</v>
      </c>
      <c r="P1316" s="5" t="s">
        <v>602</v>
      </c>
    </row>
    <row r="1317" customFormat="false" ht="17.15" hidden="false" customHeight="false" outlineLevel="0" collapsed="false">
      <c r="A1317" s="5" t="s">
        <v>603</v>
      </c>
      <c r="B1317" s="0" t="s">
        <v>129</v>
      </c>
      <c r="C1317" s="32" t="n">
        <f aca="false">(mw_ye23+mw_ye24)/2</f>
        <v>240</v>
      </c>
      <c r="D1317" s="32" t="n">
        <f aca="false">(Sens!$C$1316+Sens!$D$1316)/2</f>
        <v>900</v>
      </c>
      <c r="E1317" s="32" t="n">
        <f aca="false">(Sens!$D$1316+Sens!$E$1316)/2</f>
        <v>1760</v>
      </c>
      <c r="F1317" s="32" t="n">
        <f aca="false">(Sens!$E$1316+Sens!$F$1316)/2</f>
        <v>2761.43125</v>
      </c>
      <c r="G1317" s="32" t="n">
        <f aca="false">(Sens!$E$1317+Sens!$F$1317)/2</f>
        <v>2260.715625</v>
      </c>
      <c r="H1317" s="32" t="n">
        <f aca="false">(Sens!$G$1316+Sens!$H$1316)/2</f>
        <v>4805.725</v>
      </c>
      <c r="I1317" s="32" t="n">
        <f aca="false">(Sens!$H$1316+Sens!$I$1316)/2</f>
        <v>7531.45</v>
      </c>
      <c r="J1317" s="32" t="n">
        <f aca="false">(Sens!$I$1316+Sens!$J$1316)/2</f>
        <v>10257.175</v>
      </c>
      <c r="K1317" s="32" t="n">
        <f aca="false">(Sens!$J$1316+Sens!$K$1316)/2</f>
        <v>12586.7126875</v>
      </c>
      <c r="L1317" s="32" t="n">
        <f aca="false">(Sens!$K$1316+Sens!$L$1316)/2</f>
        <v>14123.87575</v>
      </c>
      <c r="M1317" s="32" t="n">
        <f aca="false">(Sens!$L$1316+Sens!$M$1316)/2</f>
        <v>14868.6641875</v>
      </c>
      <c r="N1317" s="32" t="n">
        <f aca="false">(Sens!$C$1316+Sens!$N$1316)/2</f>
        <v>630</v>
      </c>
      <c r="O1317" s="32" t="n">
        <f aca="false">(Sens!$N$1316+Sens!$O$1316)/2</f>
        <v>1170</v>
      </c>
    </row>
    <row r="1318" customFormat="false" ht="15" hidden="false" customHeight="false" outlineLevel="0" collapsed="false">
      <c r="A1318" s="5" t="s">
        <v>604</v>
      </c>
      <c r="B1318" s="5" t="s">
        <v>123</v>
      </c>
      <c r="C1318" s="34" t="n">
        <v>1</v>
      </c>
      <c r="D1318" s="34" t="n">
        <v>1</v>
      </c>
      <c r="E1318" s="34" t="n">
        <v>0.5</v>
      </c>
      <c r="F1318" s="34" t="n">
        <v>0.5</v>
      </c>
      <c r="G1318" s="34" t="n">
        <v>1</v>
      </c>
      <c r="H1318" s="34" t="n">
        <v>1</v>
      </c>
      <c r="I1318" s="34" t="n">
        <v>1</v>
      </c>
      <c r="J1318" s="34" t="n">
        <v>1</v>
      </c>
      <c r="K1318" s="34" t="n">
        <v>1</v>
      </c>
      <c r="L1318" s="34" t="n">
        <v>1</v>
      </c>
      <c r="M1318" s="34" t="n">
        <v>1</v>
      </c>
      <c r="N1318" s="34" t="n">
        <v>0.5</v>
      </c>
      <c r="O1318" s="34" t="n">
        <v>0.5</v>
      </c>
    </row>
    <row r="1319" customFormat="false" ht="17.15" hidden="false" customHeight="false" outlineLevel="0" collapsed="false">
      <c r="A1319" s="5" t="s">
        <v>605</v>
      </c>
      <c r="B1319" s="0" t="s">
        <v>129</v>
      </c>
      <c r="C1319" s="32" t="n">
        <f aca="false">Sens!$C$1316-mw_ye23</f>
        <v>240</v>
      </c>
      <c r="D1319" s="32" t="n">
        <f aca="false">Sens!$D$1316-Sens!$C$1316</f>
        <v>1080</v>
      </c>
      <c r="E1319" s="32" t="n">
        <f aca="false">Sens!$E$1316-Sens!$D$1316</f>
        <v>640</v>
      </c>
      <c r="F1319" s="32" t="n">
        <f aca="false">Sens!$F$1316-Sens!$E$1316</f>
        <v>1362.8625</v>
      </c>
      <c r="G1319" s="32" t="n">
        <f aca="false">Sens!$E$1319+Sens!$F$1319</f>
        <v>2002.8625</v>
      </c>
      <c r="H1319" s="32" t="n">
        <f aca="false">Sens!$H$1316-Sens!$G$1316</f>
        <v>2725.725</v>
      </c>
      <c r="I1319" s="32" t="n">
        <f aca="false">Sens!$I$1316-Sens!$H$1316</f>
        <v>2725.725</v>
      </c>
      <c r="J1319" s="32" t="n">
        <f aca="false">Sens!$J$1316-Sens!$I$1316</f>
        <v>2725.725</v>
      </c>
      <c r="K1319" s="32" t="n">
        <f aca="false">Sens!$K$1316-Sens!$J$1316</f>
        <v>1933.350375</v>
      </c>
      <c r="L1319" s="32" t="n">
        <f aca="false">Sens!$L$1316-Sens!$K$1316</f>
        <v>1140.97575</v>
      </c>
      <c r="M1319" s="32" t="n">
        <f aca="false">Sens!$M$1316-Sens!$L$1316</f>
        <v>348.601124999999</v>
      </c>
      <c r="N1319" s="32" t="n">
        <f aca="false">Sens!$N$1316-Sens!$C$1316</f>
        <v>540</v>
      </c>
      <c r="O1319" s="32" t="n">
        <f aca="false">Sens!$O$1316-Sens!$N$1316</f>
        <v>540</v>
      </c>
    </row>
    <row r="1320" customFormat="false" ht="17.15" hidden="false" customHeight="false" outlineLevel="0" collapsed="false">
      <c r="A1320" s="5" t="s">
        <v>606</v>
      </c>
      <c r="B1320" s="0" t="s">
        <v>129</v>
      </c>
      <c r="C1320" s="32" t="n">
        <f aca="false">Sens!$C$1319/ext_sh</f>
        <v>300</v>
      </c>
      <c r="D1320" s="32" t="n">
        <f aca="false">Sens!$D$1319/ext_sh</f>
        <v>1350</v>
      </c>
      <c r="E1320" s="32" t="n">
        <f aca="false">Sens!$E$1319/ext_sh</f>
        <v>800</v>
      </c>
      <c r="F1320" s="32" t="n">
        <f aca="false">Sens!$F$1319/ext_sh</f>
        <v>1703.578125</v>
      </c>
      <c r="G1320" s="32" t="n">
        <f aca="false">Sens!$G$1319/ext_sh</f>
        <v>2503.578125</v>
      </c>
      <c r="H1320" s="32" t="n">
        <f aca="false">Sens!$H$1319/ext_sh</f>
        <v>3407.15625</v>
      </c>
      <c r="I1320" s="32" t="n">
        <f aca="false">Sens!$I$1319/ext_sh</f>
        <v>3407.15625</v>
      </c>
      <c r="J1320" s="32" t="n">
        <f aca="false">Sens!$J$1319/ext_sh</f>
        <v>3407.15625</v>
      </c>
      <c r="K1320" s="32" t="n">
        <f aca="false">Sens!$K$1319/ext_sh</f>
        <v>2416.68796875</v>
      </c>
      <c r="L1320" s="32" t="n">
        <f aca="false">Sens!$L$1319/ext_sh</f>
        <v>1426.2196875</v>
      </c>
      <c r="M1320" s="32" t="n">
        <f aca="false">Sens!$M$1319/ext_sh</f>
        <v>435.751406249999</v>
      </c>
      <c r="N1320" s="32" t="n">
        <f aca="false">Sens!$N$1319/ext_sh</f>
        <v>675</v>
      </c>
      <c r="O1320" s="32" t="n">
        <f aca="false">Sens!$O$1319/ext_sh</f>
        <v>675</v>
      </c>
      <c r="P1320" s="8" t="s">
        <v>607</v>
      </c>
      <c r="R1320" s="32" t="n">
        <f aca="false">mw_ye23/ext_sh</f>
        <v>150</v>
      </c>
      <c r="S1320" s="32" t="n">
        <f aca="false">Sens!$C$1320</f>
        <v>300</v>
      </c>
      <c r="T1320" s="32" t="n">
        <f aca="false">Sens!$D$1320</f>
        <v>1350</v>
      </c>
      <c r="U1320" s="32" t="n">
        <f aca="false">Sens!$G$1320</f>
        <v>2503.578125</v>
      </c>
      <c r="V1320" s="32" t="n">
        <f aca="false">Sens!$H$1320</f>
        <v>3407.15625</v>
      </c>
      <c r="W1320" s="32" t="n">
        <f aca="false">Sens!$I$1320</f>
        <v>3407.15625</v>
      </c>
      <c r="X1320" s="32" t="n">
        <f aca="false">Sens!$J$1320</f>
        <v>3407.15625</v>
      </c>
      <c r="Y1320" s="32" t="n">
        <f aca="false">Sens!$K$1320</f>
        <v>2416.68796875</v>
      </c>
      <c r="Z1320" s="32" t="n">
        <f aca="false">Sens!$L$1320</f>
        <v>1426.2196875</v>
      </c>
      <c r="AA1320" s="32" t="n">
        <f aca="false">Sens!$M$1320</f>
        <v>435.751406249999</v>
      </c>
    </row>
    <row r="1321" customFormat="false" ht="17.15" hidden="false" customHeight="false" outlineLevel="0" collapsed="false">
      <c r="A1321" s="1" t="s">
        <v>608</v>
      </c>
    </row>
    <row r="1322" customFormat="false" ht="17.15" hidden="false" customHeight="false" outlineLevel="0" collapsed="false">
      <c r="A1322" s="0" t="s">
        <v>609</v>
      </c>
      <c r="B1322" s="0" t="s">
        <v>52</v>
      </c>
      <c r="F1322" s="35" t="n">
        <f aca="false">na_vr26</f>
        <v>0</v>
      </c>
      <c r="G1322" s="35" t="n">
        <f aca="false">na_vr26</f>
        <v>0</v>
      </c>
      <c r="H1322" s="35" t="n">
        <f aca="false">na_vr27</f>
        <v>0.5</v>
      </c>
      <c r="I1322" s="35" t="n">
        <f aca="false">na_vr28</f>
        <v>1</v>
      </c>
      <c r="J1322" s="35" t="n">
        <f aca="false">na_vr28</f>
        <v>1</v>
      </c>
      <c r="K1322" s="35" t="n">
        <f aca="false">na_vr28</f>
        <v>1</v>
      </c>
      <c r="L1322" s="35" t="n">
        <f aca="false">na_vr28</f>
        <v>1</v>
      </c>
      <c r="M1322" s="35" t="n">
        <f aca="false">na_vr28</f>
        <v>1</v>
      </c>
    </row>
    <row r="1323" customFormat="false" ht="17.15" hidden="false" customHeight="false" outlineLevel="0" collapsed="false">
      <c r="A1323" s="5" t="s">
        <v>610</v>
      </c>
      <c r="B1323" s="0" t="s">
        <v>173</v>
      </c>
      <c r="F1323" s="36" t="n">
        <f aca="false">cust_sh*tk_he_gb300*cf_chip+(1-cust_sh)*((1-Sens!$F$1322)*tk_he_gb300+Sens!$F$1322*tk_he_vr200)</f>
        <v>10.8864110021101</v>
      </c>
      <c r="G1323" s="36" t="n">
        <f aca="false">cust_sh*tk_he_gb300*cf_chip+(1-cust_sh)*((1-Sens!$G$1322)*tk_he_gb300+Sens!$G$1322*tk_he_vr200)</f>
        <v>10.8864110021101</v>
      </c>
      <c r="H1323" s="36" t="n">
        <f aca="false">cust_sh*tk_he_gb300*cf_chip+(1-cust_sh)*((1-Sens!$H$1322)*tk_he_gb300+Sens!$H$1322*tk_he_vr200)</f>
        <v>11.2211760027286</v>
      </c>
      <c r="I1323" s="36" t="n">
        <f aca="false">cust_sh*tk_he_gb300*cf_chip+(1-cust_sh)*((1-Sens!$I$1322)*tk_he_gb300+Sens!$I$1322*tk_he_vr200)</f>
        <v>11.5559410033471</v>
      </c>
      <c r="J1323" s="36" t="n">
        <f aca="false">cust_sh*tk_he_gb300*cf_chip+(1-cust_sh)*((1-Sens!$J$1322)*tk_he_gb300+Sens!$J$1322*tk_he_vr200)</f>
        <v>11.5559410033471</v>
      </c>
      <c r="K1323" s="36" t="n">
        <f aca="false">cust_sh*tk_he_gb300*cf_chip+(1-cust_sh)*((1-Sens!$K$1322)*tk_he_gb300+Sens!$K$1322*tk_he_vr200)</f>
        <v>11.5559410033471</v>
      </c>
      <c r="L1323" s="36" t="n">
        <f aca="false">cust_sh*tk_he_gb300*cf_chip+(1-cust_sh)*((1-Sens!$L$1322)*tk_he_gb300+Sens!$L$1322*tk_he_vr200)</f>
        <v>11.5559410033471</v>
      </c>
      <c r="M1323" s="36" t="n">
        <f aca="false">cust_sh*tk_he_gb300*cf_chip+(1-cust_sh)*((1-Sens!$M$1322)*tk_he_gb300+Sens!$M$1322*tk_he_vr200)</f>
        <v>11.5559410033471</v>
      </c>
    </row>
    <row r="1324" customFormat="false" ht="17.15" hidden="false" customHeight="false" outlineLevel="0" collapsed="false">
      <c r="A1324" s="5" t="s">
        <v>611</v>
      </c>
      <c r="B1324" s="0" t="s">
        <v>173</v>
      </c>
      <c r="F1324" s="36" t="n">
        <f aca="false">cust_sh*tk_ox_gb300+(1-cust_sh)*((1-Sens!$F$1322)*tk_ox_gb300+Sens!$F$1322*tk_ox_vr200)</f>
        <v>1.98263481314457</v>
      </c>
      <c r="G1324" s="36" t="n">
        <f aca="false">cust_sh*tk_ox_gb300+(1-cust_sh)*((1-Sens!$G$1322)*tk_ox_gb300+Sens!$G$1322*tk_ox_vr200)</f>
        <v>1.98263481314457</v>
      </c>
      <c r="H1324" s="36" t="n">
        <f aca="false">cust_sh*tk_ox_gb300+(1-cust_sh)*((1-Sens!$H$1322)*tk_ox_gb300+Sens!$H$1322*tk_ox_vr200)</f>
        <v>2.01034999693694</v>
      </c>
      <c r="I1324" s="36" t="n">
        <f aca="false">cust_sh*tk_ox_gb300+(1-cust_sh)*((1-Sens!$I$1322)*tk_ox_gb300+Sens!$I$1322*tk_ox_vr200)</f>
        <v>2.0380651807293</v>
      </c>
      <c r="J1324" s="36" t="n">
        <f aca="false">cust_sh*tk_ox_gb300+(1-cust_sh)*((1-Sens!$J$1322)*tk_ox_gb300+Sens!$J$1322*tk_ox_vr200)</f>
        <v>2.0380651807293</v>
      </c>
      <c r="K1324" s="36" t="n">
        <f aca="false">cust_sh*tk_ox_gb300+(1-cust_sh)*((1-Sens!$K$1322)*tk_ox_gb300+Sens!$K$1322*tk_ox_vr200)</f>
        <v>2.0380651807293</v>
      </c>
      <c r="L1324" s="36" t="n">
        <f aca="false">cust_sh*tk_ox_gb300+(1-cust_sh)*((1-Sens!$L$1322)*tk_ox_gb300+Sens!$L$1322*tk_ox_vr200)</f>
        <v>2.0380651807293</v>
      </c>
      <c r="M1324" s="36" t="n">
        <f aca="false">cust_sh*tk_ox_gb300+(1-cust_sh)*((1-Sens!$M$1322)*tk_ox_gb300+Sens!$M$1322*tk_ox_vr200)</f>
        <v>2.0380651807293</v>
      </c>
    </row>
    <row r="1325" customFormat="false" ht="17.15" hidden="false" customHeight="false" outlineLevel="0" collapsed="false">
      <c r="A1325" s="5" t="s">
        <v>612</v>
      </c>
      <c r="B1325" s="0" t="s">
        <v>192</v>
      </c>
      <c r="F1325" s="36" t="n">
        <f aca="false">cust_sh*tk_cx_gb300*cf_cx+(1-cust_sh)*((1-Sens!$F$1322)*tk_cx_gb300+Sens!$F$1322*tk_cx_vr200)</f>
        <v>32.237224</v>
      </c>
      <c r="G1325" s="36" t="n">
        <f aca="false">cust_sh*tk_cx_gb300*cf_cx+(1-cust_sh)*((1-Sens!$G$1322)*tk_cx_gb300+Sens!$G$1322*tk_cx_vr200)</f>
        <v>32.237224</v>
      </c>
      <c r="H1325" s="36" t="n">
        <f aca="false">cust_sh*tk_cx_gb300*cf_cx+(1-cust_sh)*((1-Sens!$H$1322)*tk_cx_gb300+Sens!$H$1322*tk_cx_vr200)</f>
        <v>33.574506</v>
      </c>
      <c r="I1325" s="36" t="n">
        <f aca="false">cust_sh*tk_cx_gb300*cf_cx+(1-cust_sh)*((1-Sens!$I$1322)*tk_cx_gb300+Sens!$I$1322*tk_cx_vr200)</f>
        <v>34.911788</v>
      </c>
      <c r="J1325" s="36" t="n">
        <f aca="false">cust_sh*tk_cx_gb300*cf_cx+(1-cust_sh)*((1-Sens!$J$1322)*tk_cx_gb300+Sens!$J$1322*tk_cx_vr200)</f>
        <v>34.911788</v>
      </c>
      <c r="K1325" s="36" t="n">
        <f aca="false">cust_sh*tk_cx_gb300*cf_cx+(1-cust_sh)*((1-Sens!$K$1322)*tk_cx_gb300+Sens!$K$1322*tk_cx_vr200)</f>
        <v>34.911788</v>
      </c>
      <c r="L1325" s="36" t="n">
        <f aca="false">cust_sh*tk_cx_gb300*cf_cx+(1-cust_sh)*((1-Sens!$L$1322)*tk_cx_gb300+Sens!$L$1322*tk_cx_vr200)</f>
        <v>34.911788</v>
      </c>
      <c r="M1325" s="36" t="n">
        <f aca="false">cust_sh*tk_cx_gb300*cf_cx+(1-cust_sh)*((1-Sens!$M$1322)*tk_cx_gb300+Sens!$M$1322*tk_cx_vr200)</f>
        <v>34.911788</v>
      </c>
    </row>
    <row r="1326" customFormat="false" ht="17.15" hidden="false" customHeight="false" outlineLevel="0" collapsed="false">
      <c r="A1326" s="5" t="s">
        <v>613</v>
      </c>
      <c r="B1326" s="0" t="s">
        <v>129</v>
      </c>
      <c r="F1326" s="32" t="n">
        <f aca="false">Sens!$F$1316-mw_open</f>
        <v>1362.8625</v>
      </c>
      <c r="G1326" s="32" t="n">
        <f aca="false">Sens!$F$1326</f>
        <v>1362.8625</v>
      </c>
      <c r="H1326" s="32" t="n">
        <f aca="false">Sens!$H$1316-mw_open</f>
        <v>4088.5875</v>
      </c>
      <c r="I1326" s="32" t="n">
        <f aca="false">Sens!$I$1316-mw_open</f>
        <v>6814.3125</v>
      </c>
      <c r="J1326" s="32" t="n">
        <f aca="false">Sens!$J$1316-mw_open</f>
        <v>9540.0375</v>
      </c>
      <c r="K1326" s="32" t="n">
        <f aca="false">Sens!$K$1316-mw_open</f>
        <v>11473.387875</v>
      </c>
      <c r="L1326" s="32" t="n">
        <f aca="false">Sens!$L$1316-mw_open</f>
        <v>12614.363625</v>
      </c>
      <c r="M1326" s="32" t="n">
        <f aca="false">Sens!$M$1316-mw_open</f>
        <v>12962.96475</v>
      </c>
    </row>
    <row r="1327" customFormat="false" ht="17.15" hidden="false" customHeight="false" outlineLevel="0" collapsed="false">
      <c r="A1327" s="0" t="s">
        <v>614</v>
      </c>
      <c r="B1327" s="0" t="s">
        <v>615</v>
      </c>
      <c r="F1327" s="32" t="n">
        <f aca="false">Sens!$F$1319*Sens!$F$1323</f>
        <v>14836.6813143633</v>
      </c>
      <c r="G1327" s="32" t="n">
        <f aca="false">Sens!$F$1327</f>
        <v>14836.6813143633</v>
      </c>
      <c r="H1327" s="32" t="n">
        <f aca="false">Sens!$G$1327+Sens!$H$1319*Sens!$H$1323</f>
        <v>45422.5212744007</v>
      </c>
      <c r="I1327" s="32" t="n">
        <f aca="false">Sens!$H$1327+Sens!$I$1319*Sens!$I$1323</f>
        <v>76920.838565749</v>
      </c>
      <c r="J1327" s="32" t="n">
        <f aca="false">Sens!$I$1327+Sens!$J$1319*Sens!$J$1323</f>
        <v>108419.155857097</v>
      </c>
      <c r="K1327" s="32" t="n">
        <f aca="false">Sens!$J$1327+Sens!$K$1319*Sens!$K$1323</f>
        <v>130760.838729396</v>
      </c>
      <c r="L1327" s="32" t="n">
        <f aca="false">Sens!$K$1327+Sens!$L$1319*Sens!$L$1323</f>
        <v>143945.887182646</v>
      </c>
      <c r="M1327" s="32" t="n">
        <f aca="false">Sens!$L$1327+Sens!$M$1319*Sens!$M$1323</f>
        <v>147974.301216846</v>
      </c>
    </row>
    <row r="1328" customFormat="false" ht="17.15" hidden="false" customHeight="false" outlineLevel="0" collapsed="false">
      <c r="A1328" s="0" t="s">
        <v>616</v>
      </c>
      <c r="B1328" s="0" t="s">
        <v>615</v>
      </c>
      <c r="F1328" s="32" t="n">
        <f aca="false">Sens!$F$1319*Sens!$F$1324</f>
        <v>2702.05863802924</v>
      </c>
      <c r="G1328" s="32" t="n">
        <f aca="false">Sens!$F$1328</f>
        <v>2702.05863802924</v>
      </c>
      <c r="H1328" s="32" t="n">
        <f aca="false">Sens!$G$1328+Sens!$H$1319*Sens!$H$1324</f>
        <v>8181.71988343017</v>
      </c>
      <c r="I1328" s="32" t="n">
        <f aca="false">Sens!$H$1328+Sens!$I$1319*Sens!$I$1324</f>
        <v>13736.9250981735</v>
      </c>
      <c r="J1328" s="32" t="n">
        <f aca="false">Sens!$I$1328+Sens!$J$1319*Sens!$J$1324</f>
        <v>19292.1303129169</v>
      </c>
      <c r="K1328" s="32" t="n">
        <f aca="false">Sens!$J$1328+Sens!$K$1319*Sens!$K$1324</f>
        <v>23232.4243943543</v>
      </c>
      <c r="L1328" s="32" t="n">
        <f aca="false">Sens!$K$1328+Sens!$L$1319*Sens!$L$1324</f>
        <v>25557.8073424858</v>
      </c>
      <c r="M1328" s="32" t="n">
        <f aca="false">Sens!$L$1328+Sens!$M$1319*Sens!$M$1324</f>
        <v>26268.2791573114</v>
      </c>
    </row>
    <row r="1329" customFormat="false" ht="17.15" hidden="false" customHeight="false" outlineLevel="0" collapsed="false">
      <c r="A1329" s="5" t="s">
        <v>617</v>
      </c>
      <c r="B1329" s="0" t="s">
        <v>173</v>
      </c>
      <c r="F1329" s="36" t="n">
        <f aca="false">IF(Sens!$F$1326&gt;0,Sens!$F$1327/Sens!$F$1326,Sens!$F$1323)</f>
        <v>10.8864110021101</v>
      </c>
      <c r="G1329" s="36" t="n">
        <f aca="false">IF(Sens!$G$1326&gt;0,Sens!$G$1327/Sens!$G$1326,Sens!$G$1323)</f>
        <v>10.8864110021101</v>
      </c>
      <c r="H1329" s="36" t="n">
        <f aca="false">IF(Sens!$H$1326&gt;0,Sens!$H$1327/Sens!$H$1326,Sens!$H$1323)</f>
        <v>11.1095876691891</v>
      </c>
      <c r="I1329" s="36" t="n">
        <f aca="false">IF(Sens!$I$1326&gt;0,Sens!$I$1327/Sens!$I$1326,Sens!$I$1323)</f>
        <v>11.2881290028523</v>
      </c>
      <c r="J1329" s="36" t="n">
        <f aca="false">IF(Sens!$J$1326&gt;0,Sens!$J$1327/Sens!$J$1326,Sens!$J$1323)</f>
        <v>11.3646467172794</v>
      </c>
      <c r="K1329" s="36" t="n">
        <f aca="false">IF(Sens!$K$1326&gt;0,Sens!$K$1327/Sens!$K$1326,Sens!$K$1323)</f>
        <v>11.3968812136403</v>
      </c>
      <c r="L1329" s="36" t="n">
        <f aca="false">IF(Sens!$L$1326&gt;0,Sens!$L$1327/Sens!$L$1326,Sens!$L$1323)</f>
        <v>11.4112682543386</v>
      </c>
      <c r="M1329" s="36" t="n">
        <f aca="false">IF(Sens!$M$1326&gt;0,Sens!$M$1327/Sens!$M$1326,Sens!$M$1323)</f>
        <v>11.4151588059241</v>
      </c>
    </row>
    <row r="1330" customFormat="false" ht="17.15" hidden="false" customHeight="false" outlineLevel="0" collapsed="false">
      <c r="A1330" s="5" t="s">
        <v>618</v>
      </c>
      <c r="B1330" s="0" t="s">
        <v>173</v>
      </c>
      <c r="F1330" s="36" t="n">
        <f aca="false">IF(Sens!$F$1326&gt;0,Sens!$F$1328/Sens!$F$1326,Sens!$F$1324)</f>
        <v>1.98263481314457</v>
      </c>
      <c r="G1330" s="36" t="n">
        <f aca="false">IF(Sens!$G$1326&gt;0,Sens!$G$1328/Sens!$G$1326,Sens!$G$1324)</f>
        <v>1.98263481314457</v>
      </c>
      <c r="H1330" s="36" t="n">
        <f aca="false">IF(Sens!$H$1326&gt;0,Sens!$H$1328/Sens!$H$1326,Sens!$H$1324)</f>
        <v>2.00111160233948</v>
      </c>
      <c r="I1330" s="36" t="n">
        <f aca="false">IF(Sens!$I$1326&gt;0,Sens!$I$1328/Sens!$I$1326,Sens!$I$1324)</f>
        <v>2.01589303369541</v>
      </c>
      <c r="J1330" s="36" t="n">
        <f aca="false">IF(Sens!$J$1326&gt;0,Sens!$J$1328/Sens!$J$1326,Sens!$J$1324)</f>
        <v>2.02222793284795</v>
      </c>
      <c r="K1330" s="36" t="n">
        <f aca="false">IF(Sens!$K$1326&gt;0,Sens!$K$1328/Sens!$K$1326,Sens!$K$1324)</f>
        <v>2.02489662578015</v>
      </c>
      <c r="L1330" s="36" t="n">
        <f aca="false">IF(Sens!$L$1326&gt;0,Sens!$L$1328/Sens!$L$1326,Sens!$L$1324)</f>
        <v>2.02608772842362</v>
      </c>
      <c r="M1330" s="36" t="n">
        <f aca="false">IF(Sens!$M$1326&gt;0,Sens!$M$1328/Sens!$M$1326,Sens!$M$1324)</f>
        <v>2.0264098270661</v>
      </c>
    </row>
    <row r="1331" customFormat="false" ht="17.15" hidden="false" customHeight="false" outlineLevel="0" collapsed="false">
      <c r="A1331" s="15" t="s">
        <v>619</v>
      </c>
      <c r="B1331" s="14" t="s">
        <v>173</v>
      </c>
      <c r="C1331" s="14"/>
      <c r="D1331" s="14"/>
      <c r="E1331" s="14"/>
      <c r="F1331" s="37" t="n">
        <f aca="false">Sens!$F$1329*k_B</f>
        <v>10.7987645808025</v>
      </c>
      <c r="G1331" s="37" t="n">
        <f aca="false">Sens!$G$1329*k_B</f>
        <v>10.7987645808025</v>
      </c>
      <c r="H1331" s="37" t="n">
        <f aca="false">Sens!$H$1329*k_B</f>
        <v>11.0201444540452</v>
      </c>
      <c r="I1331" s="37" t="n">
        <f aca="false">Sens!$I$1329*k_B</f>
        <v>11.1972483526393</v>
      </c>
      <c r="J1331" s="37" t="n">
        <f aca="false">Sens!$J$1329*k_B</f>
        <v>11.2731500234653</v>
      </c>
      <c r="K1331" s="37" t="n">
        <f aca="false">Sens!$K$1329*k_B</f>
        <v>11.3051250001142</v>
      </c>
      <c r="L1331" s="37" t="n">
        <f aca="false">Sens!$L$1329*k_B</f>
        <v>11.3193962108451</v>
      </c>
      <c r="M1331" s="37" t="n">
        <f aca="false">Sens!$M$1329*k_B</f>
        <v>11.3232554396262</v>
      </c>
      <c r="N1331" s="14"/>
      <c r="O1331" s="14"/>
      <c r="P1331" s="5" t="s">
        <v>620</v>
      </c>
    </row>
    <row r="1332" customFormat="false" ht="17.15" hidden="false" customHeight="false" outlineLevel="0" collapsed="false">
      <c r="A1332" s="5" t="s">
        <v>621</v>
      </c>
      <c r="B1332" s="0" t="s">
        <v>129</v>
      </c>
      <c r="F1332" s="32" t="n">
        <f aca="false">Sens!$F$1326/2</f>
        <v>681.43125</v>
      </c>
      <c r="H1332" s="32" t="n">
        <f aca="false">(Sens!$G$1326+Sens!$H$1326)/2</f>
        <v>2725.725</v>
      </c>
      <c r="I1332" s="32" t="n">
        <f aca="false">(Sens!$H$1326+Sens!$I$1326)/2</f>
        <v>5451.45</v>
      </c>
      <c r="J1332" s="32" t="n">
        <f aca="false">(Sens!$I$1326+Sens!$J$1326)/2</f>
        <v>8177.175</v>
      </c>
      <c r="K1332" s="32" t="n">
        <f aca="false">(Sens!$J$1326+Sens!$K$1326)/2</f>
        <v>10506.7126875</v>
      </c>
      <c r="L1332" s="32" t="n">
        <f aca="false">(Sens!$K$1326+Sens!$L$1326)/2</f>
        <v>12043.87575</v>
      </c>
      <c r="M1332" s="32" t="n">
        <f aca="false">(Sens!$L$1326+Sens!$M$1326)/2</f>
        <v>12788.6641875</v>
      </c>
    </row>
    <row r="1333" customFormat="false" ht="17.15" hidden="false" customHeight="false" outlineLevel="0" collapsed="false">
      <c r="A1333" s="1" t="s">
        <v>622</v>
      </c>
    </row>
    <row r="1334" customFormat="false" ht="17.15" hidden="false" customHeight="false" outlineLevel="0" collapsed="false">
      <c r="A1334" s="1" t="s">
        <v>623</v>
      </c>
      <c r="B1334" s="8" t="s">
        <v>86</v>
      </c>
      <c r="C1334" s="38" t="n">
        <f aca="false">Sens!$C$1317*rpm_open*Sens!$C$1318/1000</f>
        <v>2.32100535697364</v>
      </c>
      <c r="D1334" s="38" t="n">
        <f aca="false">Sens!$D$1317*rpm_open*Sens!$D$1318/1000</f>
        <v>8.70377008865116</v>
      </c>
      <c r="E1334" s="38" t="n">
        <f aca="false">Sens!$E$1317*rpm_open*Sens!$E$1318/1000</f>
        <v>8.51035297557002</v>
      </c>
      <c r="F1334" s="38" t="n">
        <f aca="false">(mw_open*rpm_open+Sens!$F$1332*Sens!$F$1331)*Sens!$F$1318/1000</f>
        <v>13.7369977035951</v>
      </c>
      <c r="G1334" s="38" t="n">
        <f aca="false">Sens!$E$1334+Sens!$F$1334</f>
        <v>22.2473506791651</v>
      </c>
      <c r="H1334" s="38" t="n">
        <f aca="false">(mw_open*rpm_open+Sens!$H$1332*Sens!$H$1331)/1000</f>
        <v>50.1532630024405</v>
      </c>
      <c r="I1334" s="38" t="n">
        <f aca="false">(mw_open*rpm_open+Sens!$I$1332*Sens!$I$1331)/1000</f>
        <v>81.1566192924336</v>
      </c>
      <c r="J1334" s="38" t="n">
        <f aca="false">(mw_open*rpm_open+Sens!$J$1332*Sens!$J$1331)/1000</f>
        <v>112.297900303568</v>
      </c>
      <c r="K1334" s="38" t="n">
        <f aca="false">(mw_open*rpm_open+Sens!$K$1332*Sens!$K$1331)/1000</f>
        <v>138.895080032911</v>
      </c>
      <c r="L1334" s="38" t="n">
        <f aca="false">(mw_open*rpm_open+Sens!$L$1332*Sens!$L$1331)/1000</f>
        <v>156.444781288878</v>
      </c>
      <c r="M1334" s="38" t="n">
        <f aca="false">(mw_open*rpm_open+Sens!$M$1332*Sens!$M$1331)/1000</f>
        <v>164.9246910871</v>
      </c>
      <c r="N1334" s="38" t="n">
        <f aca="false">Sens!$N$1317*rpm_open*Sens!$N$1318/1000</f>
        <v>3.04631953102791</v>
      </c>
      <c r="O1334" s="38" t="n">
        <f aca="false">Sens!$O$1317*rpm_open*Sens!$O$1318/1000</f>
        <v>5.65745055762326</v>
      </c>
      <c r="P1334" s="5" t="s">
        <v>624</v>
      </c>
    </row>
    <row r="1335" customFormat="false" ht="17.15" hidden="false" customHeight="false" outlineLevel="0" collapsed="false">
      <c r="A1335" s="5" t="s">
        <v>625</v>
      </c>
      <c r="B1335" s="0" t="s">
        <v>173</v>
      </c>
      <c r="C1335" s="36" t="n">
        <f aca="false">Sens!$C$1334*1000/(Sens!$C$1317*Sens!$C$1318)</f>
        <v>9.67085565405685</v>
      </c>
      <c r="D1335" s="36" t="n">
        <f aca="false">Sens!$D$1334*1000/(Sens!$D$1317*Sens!$D$1318)</f>
        <v>9.67085565405685</v>
      </c>
      <c r="E1335" s="36" t="n">
        <f aca="false">Sens!$E$1334*1000/(Sens!$E$1317*Sens!$E$1318)</f>
        <v>9.67085565405685</v>
      </c>
      <c r="F1335" s="36" t="n">
        <f aca="false">Sens!$F$1334*1000/(Sens!$F$1317*Sens!$F$1318)</f>
        <v>9.94918682374955</v>
      </c>
      <c r="G1335" s="36" t="n">
        <f aca="false">Sens!$G$1334*1000/(Sens!$G$1317*Sens!$G$1318)</f>
        <v>9.84084439154754</v>
      </c>
      <c r="H1335" s="36" t="n">
        <f aca="false">Sens!$H$1334*1000/(Sens!$H$1317*Sens!$H$1318)</f>
        <v>10.4361491767508</v>
      </c>
      <c r="I1335" s="36" t="n">
        <f aca="false">Sens!$I$1334*1000/(Sens!$I$1317*Sens!$I$1318)</f>
        <v>10.7756964850638</v>
      </c>
      <c r="J1335" s="36" t="n">
        <f aca="false">Sens!$J$1334*1000/(Sens!$J$1317*Sens!$J$1318)</f>
        <v>10.9482289522766</v>
      </c>
      <c r="K1335" s="36" t="n">
        <f aca="false">Sens!$K$1334*1000/(Sens!$K$1317*Sens!$K$1318)</f>
        <v>11.0350560532656</v>
      </c>
      <c r="L1335" s="36" t="n">
        <f aca="false">Sens!$L$1334*1000/(Sens!$L$1317*Sens!$L$1318)</f>
        <v>11.0766183488182</v>
      </c>
      <c r="M1335" s="36" t="n">
        <f aca="false">Sens!$M$1334*1000/(Sens!$M$1317*Sens!$M$1318)</f>
        <v>11.0920987257047</v>
      </c>
      <c r="N1335" s="36" t="n">
        <f aca="false">Sens!$N$1334*1000/(Sens!$N$1317*Sens!$N$1318)</f>
        <v>9.67085565405685</v>
      </c>
      <c r="O1335" s="36" t="n">
        <f aca="false">Sens!$O$1334*1000/(Sens!$O$1317*Sens!$O$1318)</f>
        <v>9.67085565405685</v>
      </c>
    </row>
    <row r="1336" customFormat="false" ht="17.15" hidden="false" customHeight="false" outlineLevel="0" collapsed="false">
      <c r="A1336" s="0" t="s">
        <v>626</v>
      </c>
      <c r="B1336" s="0" t="s">
        <v>86</v>
      </c>
      <c r="C1336" s="38" t="n">
        <f aca="false">Sens!$C$1317/ext_sh*(ox_open+rent_mw)*Sens!$C$1318/1000</f>
        <v>0.642569210675032</v>
      </c>
      <c r="D1336" s="38" t="n">
        <f aca="false">Sens!$D$1317/ext_sh*(ox_open+rent_mw)*Sens!$D$1318/1000</f>
        <v>2.40963454003137</v>
      </c>
      <c r="E1336" s="38" t="n">
        <f aca="false">Sens!$E$1317/ext_sh*(ox_open+rent_mw)*Sens!$E$1318/1000</f>
        <v>2.35608710580845</v>
      </c>
      <c r="F1336" s="38" t="n">
        <f aca="false">((mw_open*ox_open+Sens!$F$1332*Sens!$F$1330)/ext_sh+Sens!$F$1317/ext_sh*rent_mw)*Sens!$F$1318/1000</f>
        <v>3.73678157819469</v>
      </c>
      <c r="G1336" s="38" t="n">
        <f aca="false">Sens!$E$1336+Sens!$F$1336</f>
        <v>6.09286868400315</v>
      </c>
      <c r="H1336" s="38" t="n">
        <f aca="false">((mw_open*ox_open+Sens!$H$1332*Sens!$H$1330)/ext_sh+Sens!$H$1317/ext_sh*rent_mw)*Sens!$H$1318/1000</f>
        <v>13.2504064557921</v>
      </c>
      <c r="I1336" s="38" t="n">
        <f aca="false">((mw_open*ox_open+Sens!$I$1332*Sens!$I$1330)/ext_sh+Sens!$I$1317/ext_sh*rent_mw)*Sens!$I$1318/1000</f>
        <v>21.0326050448572</v>
      </c>
      <c r="J1336" s="38" t="n">
        <f aca="false">((mw_open*ox_open+Sens!$J$1332*Sens!$J$1330)/ext_sh+Sens!$J$1317/ext_sh*rent_mw)*Sens!$J$1318/1000</f>
        <v>28.829192961416</v>
      </c>
      <c r="K1336" s="38" t="n">
        <f aca="false">((mw_open*ox_open+Sens!$K$1332*Sens!$K$1330)/ext_sh+Sens!$K$1317/ext_sh*rent_mw)*Sens!$K$1318/1000</f>
        <v>35.4906932391495</v>
      </c>
      <c r="L1336" s="38" t="n">
        <f aca="false">((mw_open*ox_open+Sens!$L$1332*Sens!$L$1330)/ext_sh+Sens!$L$1317/ext_sh*rent_mw)*Sens!$L$1318/1000</f>
        <v>39.8862668776634</v>
      </c>
      <c r="M1336" s="38" t="n">
        <f aca="false">((mw_open*ox_open+Sens!$M$1332*Sens!$M$1330)/ext_sh+Sens!$M$1317/ext_sh*rent_mw)*Sens!$M$1318/1000</f>
        <v>42.0135860213221</v>
      </c>
      <c r="N1336" s="38" t="n">
        <f aca="false">Sens!$N$1317/ext_sh*(ox_open+rent_mw)*Sens!$N$1318/1000</f>
        <v>0.84337208901098</v>
      </c>
      <c r="O1336" s="38" t="n">
        <f aca="false">Sens!$O$1317/ext_sh*(ox_open+rent_mw)*Sens!$O$1318/1000</f>
        <v>1.56626245102039</v>
      </c>
    </row>
    <row r="1337" customFormat="false" ht="17.15" hidden="false" customHeight="false" outlineLevel="0" collapsed="false">
      <c r="A1337" s="0" t="s">
        <v>627</v>
      </c>
      <c r="B1337" s="0" t="s">
        <v>86</v>
      </c>
      <c r="C1337" s="38" t="n">
        <f aca="false">Q!$D$7</f>
        <v>107.556</v>
      </c>
      <c r="D1337" s="38" t="n">
        <f aca="false">Q!$E$7</f>
        <v>128.725</v>
      </c>
      <c r="E1337" s="38" t="n">
        <f aca="false">Q!$P$7</f>
        <v>79.819</v>
      </c>
      <c r="N1337" s="38" t="n">
        <f aca="false">Q!$N$7</f>
        <v>60.14</v>
      </c>
      <c r="O1337" s="38" t="n">
        <f aca="false">Q!$O$7</f>
        <v>68.585</v>
      </c>
    </row>
    <row r="1338" customFormat="false" ht="17.15" hidden="false" customHeight="false" outlineLevel="0" collapsed="false">
      <c r="A1338" s="1" t="s">
        <v>628</v>
      </c>
      <c r="B1338" s="8" t="s">
        <v>86</v>
      </c>
      <c r="C1338" s="38" t="n">
        <f aca="false">Sens!$C$1337-Sens!$C$1334</f>
        <v>105.234994643026</v>
      </c>
      <c r="D1338" s="38" t="n">
        <f aca="false">Sens!$D$1337-Sens!$D$1334</f>
        <v>120.021229911349</v>
      </c>
      <c r="E1338" s="38" t="n">
        <f aca="false">Sens!$E$1337-Sens!$E$1334</f>
        <v>71.30864702443</v>
      </c>
      <c r="F1338" s="38" t="n">
        <f aca="false">Sens!$O$1338*(1+Sens!$F$1339)</f>
        <v>71.7692997942464</v>
      </c>
      <c r="G1338" s="38" t="n">
        <f aca="false">Sens!$E$1338+Sens!$F$1338</f>
        <v>143.077946818676</v>
      </c>
      <c r="H1338" s="38" t="n">
        <f aca="false">Sens!$G$1338*(1+Sens!$H$1339)</f>
        <v>161.017077079203</v>
      </c>
      <c r="I1338" s="38" t="n">
        <f aca="false">Sens!$H$1338*(1+Sens!$I$1339)</f>
        <v>178.769759521457</v>
      </c>
      <c r="J1338" s="38" t="n">
        <f aca="false">Sens!$I$1338*(1+Sens!$J$1339)</f>
        <v>195.775538045907</v>
      </c>
      <c r="K1338" s="38" t="n">
        <f aca="false">Sens!$J$1338*(1+Sens!$K$1339)</f>
        <v>211.43758108958</v>
      </c>
      <c r="L1338" s="38" t="n">
        <f aca="false">Sens!$K$1338*(1+Sens!$L$1339)</f>
        <v>228.352587576746</v>
      </c>
      <c r="M1338" s="38" t="n">
        <f aca="false">Sens!$L$1338*(1+Sens!$M$1339)</f>
        <v>246.620794582886</v>
      </c>
      <c r="N1338" s="38" t="n">
        <f aca="false">Sens!$N$1337-Sens!$N$1334</f>
        <v>57.0936804689721</v>
      </c>
      <c r="O1338" s="38" t="n">
        <f aca="false">Sens!$O$1337-Sens!$O$1334</f>
        <v>62.9275494423768</v>
      </c>
      <c r="P1338" s="5" t="s">
        <v>629</v>
      </c>
    </row>
    <row r="1339" customFormat="false" ht="17.15" hidden="false" customHeight="false" outlineLevel="0" collapsed="false">
      <c r="A1339" s="0" t="s">
        <v>630</v>
      </c>
      <c r="B1339" s="0" t="s">
        <v>52</v>
      </c>
      <c r="D1339" s="13" t="n">
        <f aca="false">Sens!$D$1338/Sens!$C$1338-1</f>
        <v>0.140506827776062</v>
      </c>
      <c r="E1339" s="13" t="n">
        <f aca="false">Sens!$E$1338/Sens!$N$1338-1</f>
        <v>0.248976181579029</v>
      </c>
      <c r="F1339" s="13" t="n">
        <f aca="false">Sens!$D$1339</f>
        <v>0.140506827776062</v>
      </c>
      <c r="G1339" s="13" t="n">
        <f aca="false">Sens!$G$1338/Sens!$D$1338-1</f>
        <v>0.19210532106993</v>
      </c>
      <c r="H1339" s="13" t="n">
        <f aca="false">Sens!$F$1339+(g_awso_lt-Sens!$F$1339)*1/4</f>
        <v>0.125380120832046</v>
      </c>
      <c r="I1339" s="13" t="n">
        <f aca="false">Sens!$F$1339+(g_awso_lt-Sens!$F$1339)*2/4</f>
        <v>0.110253413888031</v>
      </c>
      <c r="J1339" s="13" t="n">
        <f aca="false">Sens!$F$1339+(g_awso_lt-Sens!$F$1339)*3/4</f>
        <v>0.0951267069440154</v>
      </c>
      <c r="K1339" s="13" t="n">
        <f aca="false">Sens!$F$1339+(g_awso_lt-Sens!$F$1339)*4/4</f>
        <v>0.08</v>
      </c>
      <c r="L1339" s="13" t="n">
        <f aca="false">g_awso_lt</f>
        <v>0.08</v>
      </c>
      <c r="M1339" s="13" t="n">
        <f aca="false">g_awso_lt</f>
        <v>0.08</v>
      </c>
      <c r="P1339" s="5" t="s">
        <v>631</v>
      </c>
    </row>
    <row r="1340" customFormat="false" ht="17.15" hidden="false" customHeight="false" outlineLevel="0" collapsed="false">
      <c r="A1340" s="1" t="s">
        <v>632</v>
      </c>
    </row>
    <row r="1341" customFormat="false" ht="17.15" hidden="false" customHeight="false" outlineLevel="0" collapsed="false">
      <c r="A1341" s="0" t="s">
        <v>633</v>
      </c>
      <c r="B1341" s="0" t="s">
        <v>86</v>
      </c>
      <c r="F1341" s="38" t="n">
        <f aca="false">cx_rt*Sens!$F$1306+cx_awso*Sens!$F$1338</f>
        <v>34.9734495387866</v>
      </c>
    </row>
    <row r="1342" customFormat="false" ht="17.15" hidden="false" customHeight="false" outlineLevel="0" collapsed="false">
      <c r="A1342" s="0" t="s">
        <v>634</v>
      </c>
      <c r="B1342" s="0" t="s">
        <v>52</v>
      </c>
      <c r="C1342" s="13" t="n">
        <f aca="false">tk_cx_h100/(tk_cx_h100+tk_fac*(1-colo_sh))</f>
        <v>0.730756458006641</v>
      </c>
      <c r="D1342" s="13" t="n">
        <f aca="false">tk_cx_h100/(tk_cx_h100+tk_fac*(1-colo_sh))</f>
        <v>0.730756458006641</v>
      </c>
      <c r="E1342" s="13" t="n">
        <f aca="false">Sens!$F$1342</f>
        <v>0.760792334328868</v>
      </c>
      <c r="F1342" s="13" t="n">
        <f aca="false">Sens!$F$1325/(Sens!$F$1325+tk_fac*(1-colo_sh))</f>
        <v>0.760792334328868</v>
      </c>
      <c r="G1342" s="13" t="n">
        <f aca="false">Sens!$G$1325/(Sens!$G$1325+tk_fac*(1-colo_sh))</f>
        <v>0.760792334328868</v>
      </c>
      <c r="H1342" s="13" t="n">
        <f aca="false">Sens!$H$1325/(Sens!$H$1325+tk_fac*(1-colo_sh))</f>
        <v>0.768110668862996</v>
      </c>
      <c r="I1342" s="13" t="n">
        <f aca="false">Sens!$I$1325/(Sens!$I$1325+tk_fac*(1-colo_sh))</f>
        <v>0.77499450139483</v>
      </c>
      <c r="J1342" s="13" t="n">
        <f aca="false">Sens!$J$1325/(Sens!$J$1325+tk_fac*(1-colo_sh))</f>
        <v>0.77499450139483</v>
      </c>
      <c r="K1342" s="13" t="n">
        <f aca="false">Sens!$K$1325/(Sens!$K$1325+tk_fac*(1-colo_sh))</f>
        <v>0.77499450139483</v>
      </c>
      <c r="L1342" s="13" t="n">
        <f aca="false">Sens!$L$1325/(Sens!$L$1325+tk_fac*(1-colo_sh))</f>
        <v>0.77499450139483</v>
      </c>
      <c r="M1342" s="13" t="n">
        <f aca="false">Sens!$M$1325/(Sens!$M$1325+tk_fac*(1-colo_sh))</f>
        <v>0.77499450139483</v>
      </c>
    </row>
    <row r="1343" customFormat="false" ht="17.15" hidden="false" customHeight="false" outlineLevel="0" collapsed="false">
      <c r="A1343" s="1" t="s">
        <v>635</v>
      </c>
      <c r="B1343" s="8" t="s">
        <v>86</v>
      </c>
      <c r="C1343" s="38" t="n">
        <f aca="false">Q!$D$46-cx_rt*Q!$D$16-cx_awso*Sens!$C$1338</f>
        <v>25.2781053077374</v>
      </c>
      <c r="D1343" s="38" t="n">
        <f aca="false">Q!$E$46-cx_rt*Q!$E$16-cx_awso*Sens!$D$1338</f>
        <v>69.5686316310026</v>
      </c>
      <c r="E1343" s="38" t="n">
        <f aca="false">Q!$P$46-cx_rt*Q!$P$16-cx_awso*Sens!$E$1338</f>
        <v>64.1899206485108</v>
      </c>
      <c r="F1343" s="38" t="n">
        <f aca="false">capex_g26-Q!$P$46-Sens!$F$1341</f>
        <v>88.7165504612134</v>
      </c>
      <c r="G1343" s="38" t="n">
        <f aca="false">Sens!$E$1343+Sens!$F$1343</f>
        <v>152.906471109724</v>
      </c>
      <c r="H1343" s="38" t="n">
        <f aca="false">Sens!$H$1320*(Sens!$H$1325+tk_fac*(1-colo_sh))/1000+Sens!$H$1344</f>
        <v>148.928523708563</v>
      </c>
      <c r="I1343" s="38" t="n">
        <f aca="false">Sens!$I$1320*(Sens!$I$1325+tk_fac*(1-colo_sh))/1000+Sens!$I$1344</f>
        <v>153.484852432875</v>
      </c>
      <c r="J1343" s="38" t="n">
        <f aca="false">Sens!$J$1320*(Sens!$J$1325+tk_fac*(1-colo_sh))/1000+Sens!$J$1344</f>
        <v>158.721620632875</v>
      </c>
      <c r="K1343" s="38" t="n">
        <f aca="false">Sens!$K$1320*(Sens!$K$1325+tk_fac*(1-colo_sh))/1000+Sens!$K$1344</f>
        <v>119.339983678401</v>
      </c>
      <c r="L1343" s="38" t="n">
        <f aca="false">Sens!$L$1320*(Sens!$L$1325+tk_fac*(1-colo_sh))/1000+Sens!$L$1344</f>
        <v>111.378955923926</v>
      </c>
      <c r="M1343" s="38" t="n">
        <f aca="false">Sens!$M$1320*(Sens!$M$1325+tk_fac*(1-colo_sh))/1000+Sens!$M$1344</f>
        <v>107.034025710889</v>
      </c>
      <c r="P1343" s="5" t="s">
        <v>636</v>
      </c>
      <c r="R1343" s="38" t="n">
        <f aca="false">Q!$C$46-cx_rt*Q!$C$16-cx_awso*(Q!$C$7-mw_ye23/2*rpm_open/1000)</f>
        <v>1.50429979529945</v>
      </c>
      <c r="S1343" s="38" t="n">
        <f aca="false">Sens!$C$1343</f>
        <v>25.2781053077374</v>
      </c>
      <c r="T1343" s="38" t="n">
        <f aca="false">Sens!$D$1343</f>
        <v>69.5686316310026</v>
      </c>
      <c r="U1343" s="38" t="n">
        <f aca="false">Sens!$G$1343</f>
        <v>152.906471109724</v>
      </c>
      <c r="V1343" s="38" t="n">
        <f aca="false">Sens!$H$1343</f>
        <v>148.928523708563</v>
      </c>
      <c r="W1343" s="38" t="n">
        <f aca="false">Sens!$I$1343</f>
        <v>153.484852432875</v>
      </c>
      <c r="X1343" s="38" t="n">
        <f aca="false">Sens!$J$1343</f>
        <v>158.721620632875</v>
      </c>
      <c r="Y1343" s="38" t="n">
        <f aca="false">Sens!$K$1343</f>
        <v>119.339983678401</v>
      </c>
      <c r="Z1343" s="38" t="n">
        <f aca="false">Sens!$L$1343</f>
        <v>111.378955923926</v>
      </c>
      <c r="AA1343" s="38" t="n">
        <f aca="false">Sens!$M$1343</f>
        <v>107.034025710889</v>
      </c>
    </row>
    <row r="1344" customFormat="false" ht="17.15" hidden="false" customHeight="false" outlineLevel="0" collapsed="false">
      <c r="A1344" s="0" t="s">
        <v>637</v>
      </c>
      <c r="B1344" s="0" t="s">
        <v>86</v>
      </c>
      <c r="H1344" s="38" t="n">
        <f aca="false">SUMPRODUCT(--(Sens!$R$1313:$AA$1313=2027-tk_life),Sens!$R$1320:$AA$1320)*Sens!$H$1325/1000</f>
        <v>0</v>
      </c>
      <c r="I1344" s="38" t="n">
        <f aca="false">SUMPRODUCT(--(Sens!$R$1313:$AA$1313=2028-tk_life),Sens!$R$1320:$AA$1320)*Sens!$I$1325/1000</f>
        <v>0</v>
      </c>
      <c r="J1344" s="38" t="n">
        <f aca="false">SUMPRODUCT(--(Sens!$R$1313:$AA$1313=2029-tk_life),Sens!$R$1320:$AA$1320)*Sens!$J$1325/1000</f>
        <v>5.2367682</v>
      </c>
      <c r="K1344" s="38" t="n">
        <f aca="false">SUMPRODUCT(--(Sens!$R$1313:$AA$1313=2030-tk_life),Sens!$R$1320:$AA$1320)*Sens!$K$1325/1000</f>
        <v>10.4735364</v>
      </c>
      <c r="L1344" s="38" t="n">
        <f aca="false">SUMPRODUCT(--(Sens!$R$1313:$AA$1313=2031-tk_life),Sens!$R$1320:$AA$1320)*Sens!$L$1325/1000</f>
        <v>47.1309138</v>
      </c>
      <c r="M1344" s="38" t="n">
        <f aca="false">SUMPRODUCT(--(Sens!$R$1313:$AA$1313=2032-tk_life),Sens!$R$1320:$AA$1320)*Sens!$M$1325/1000</f>
        <v>87.4043887414375</v>
      </c>
    </row>
    <row r="1345" customFormat="false" ht="17.15" hidden="false" customHeight="false" outlineLevel="0" collapsed="false">
      <c r="A1345" s="0" t="s">
        <v>638</v>
      </c>
      <c r="B1345" s="0" t="s">
        <v>86</v>
      </c>
      <c r="C1345" s="38" t="n">
        <f aca="false">MIN(Sens!$C$1343,Sens!$C$1320*(tk_cx_h100+tk_fac*(1-colo_sh))/1000)</f>
        <v>11.2938642</v>
      </c>
      <c r="D1345" s="38" t="n">
        <f aca="false">MIN(Sens!$D$1343,Sens!$D$1320*(tk_cx_h100+tk_fac*(1-colo_sh))/1000)</f>
        <v>50.8223889</v>
      </c>
      <c r="E1345" s="38" t="n">
        <f aca="false">MIN(Sens!$E$1343,Sens!$E$1320*(Sens!$F$1325+tk_fac*(1-colo_sh))/1000)</f>
        <v>33.8985792</v>
      </c>
      <c r="F1345" s="38" t="n">
        <f aca="false">Sens!$F$1343</f>
        <v>88.7165504612134</v>
      </c>
      <c r="G1345" s="38" t="n">
        <f aca="false">Sens!$E$1345+Sens!$F$1345</f>
        <v>122.615129661213</v>
      </c>
      <c r="H1345" s="38" t="n">
        <f aca="false">Sens!$H$1343</f>
        <v>148.928523708563</v>
      </c>
      <c r="I1345" s="38" t="n">
        <f aca="false">Sens!$I$1343</f>
        <v>153.484852432875</v>
      </c>
      <c r="J1345" s="38" t="n">
        <f aca="false">Sens!$J$1343</f>
        <v>158.721620632875</v>
      </c>
      <c r="K1345" s="38" t="n">
        <f aca="false">Sens!$K$1343</f>
        <v>119.339983678401</v>
      </c>
      <c r="L1345" s="38" t="n">
        <f aca="false">Sens!$L$1343</f>
        <v>111.378955923926</v>
      </c>
      <c r="M1345" s="38" t="n">
        <f aca="false">Sens!$M$1343</f>
        <v>107.034025710889</v>
      </c>
      <c r="P1345" s="5" t="s">
        <v>639</v>
      </c>
      <c r="R1345" s="38" t="n">
        <f aca="false">MIN(Sens!$R$1343,Sens!$R$1320*(tk_cx_h100+tk_fac*(1-colo_sh))/1000)</f>
        <v>1.50429979529945</v>
      </c>
      <c r="S1345" s="38" t="n">
        <f aca="false">Sens!$C$1345</f>
        <v>11.2938642</v>
      </c>
      <c r="T1345" s="38" t="n">
        <f aca="false">Sens!$D$1345</f>
        <v>50.8223889</v>
      </c>
      <c r="U1345" s="38" t="n">
        <f aca="false">Sens!$G$1345</f>
        <v>122.615129661213</v>
      </c>
      <c r="V1345" s="38" t="n">
        <f aca="false">Sens!$H$1345</f>
        <v>148.928523708563</v>
      </c>
      <c r="W1345" s="38" t="n">
        <f aca="false">Sens!$I$1345</f>
        <v>153.484852432875</v>
      </c>
      <c r="X1345" s="38" t="n">
        <f aca="false">Sens!$J$1345</f>
        <v>158.721620632875</v>
      </c>
      <c r="Y1345" s="38" t="n">
        <f aca="false">Sens!$K$1345</f>
        <v>119.339983678401</v>
      </c>
      <c r="Z1345" s="38" t="n">
        <f aca="false">Sens!$L$1345</f>
        <v>111.378955923926</v>
      </c>
      <c r="AA1345" s="38" t="n">
        <f aca="false">Sens!$M$1345</f>
        <v>107.034025710889</v>
      </c>
    </row>
    <row r="1346" customFormat="false" ht="17.15" hidden="false" customHeight="false" outlineLevel="0" collapsed="false">
      <c r="A1346" s="5" t="s">
        <v>640</v>
      </c>
      <c r="B1346" s="0" t="s">
        <v>86</v>
      </c>
      <c r="C1346" s="38" t="n">
        <f aca="false">Sens!$C$1343-Sens!$C$1345</f>
        <v>13.9842411077374</v>
      </c>
      <c r="D1346" s="38" t="n">
        <f aca="false">Sens!$D$1343-Sens!$D$1345</f>
        <v>18.7462427310026</v>
      </c>
      <c r="E1346" s="38" t="n">
        <f aca="false">Sens!$E$1343-Sens!$E$1345</f>
        <v>30.2913414485108</v>
      </c>
      <c r="F1346" s="38" t="n">
        <f aca="false">Sens!$F$1343-Sens!$F$1345</f>
        <v>0</v>
      </c>
      <c r="G1346" s="38" t="n">
        <f aca="false">Sens!$G$1343-Sens!$G$1345</f>
        <v>30.2913414485108</v>
      </c>
      <c r="H1346" s="38" t="n">
        <f aca="false">Sens!$H$1343-Sens!$H$1345</f>
        <v>0</v>
      </c>
      <c r="I1346" s="38" t="n">
        <f aca="false">Sens!$I$1343-Sens!$I$1345</f>
        <v>0</v>
      </c>
      <c r="J1346" s="38" t="n">
        <f aca="false">Sens!$J$1343-Sens!$J$1345</f>
        <v>0</v>
      </c>
      <c r="K1346" s="38" t="n">
        <f aca="false">Sens!$K$1343-Sens!$K$1345</f>
        <v>0</v>
      </c>
      <c r="L1346" s="38" t="n">
        <f aca="false">Sens!$L$1343-Sens!$L$1345</f>
        <v>0</v>
      </c>
      <c r="M1346" s="38" t="n">
        <f aca="false">Sens!$M$1343-Sens!$M$1345</f>
        <v>0</v>
      </c>
      <c r="P1346" s="5" t="s">
        <v>641</v>
      </c>
      <c r="R1346" s="38" t="n">
        <f aca="false">Sens!$R$1343-Sens!$R$1345</f>
        <v>0</v>
      </c>
      <c r="S1346" s="38" t="n">
        <f aca="false">Sens!$S$1343-Sens!$S$1345</f>
        <v>13.9842411077374</v>
      </c>
      <c r="T1346" s="38" t="n">
        <f aca="false">Sens!$T$1343-Sens!$T$1345</f>
        <v>18.7462427310026</v>
      </c>
      <c r="U1346" s="38" t="n">
        <f aca="false">Sens!$U$1343-Sens!$U$1345</f>
        <v>30.2913414485108</v>
      </c>
      <c r="V1346" s="38" t="n">
        <f aca="false">Sens!$V$1343-Sens!$V$1345</f>
        <v>0</v>
      </c>
      <c r="W1346" s="38" t="n">
        <f aca="false">Sens!$W$1343-Sens!$W$1345</f>
        <v>0</v>
      </c>
      <c r="X1346" s="38" t="n">
        <f aca="false">Sens!$X$1343-Sens!$X$1345</f>
        <v>0</v>
      </c>
      <c r="Y1346" s="38" t="n">
        <f aca="false">Sens!$Y$1343-Sens!$Y$1345</f>
        <v>0</v>
      </c>
      <c r="Z1346" s="38" t="n">
        <f aca="false">Sens!$Z$1343-Sens!$Z$1345</f>
        <v>0</v>
      </c>
      <c r="AA1346" s="38" t="n">
        <f aca="false">Sens!$AA$1343-Sens!$AA$1345</f>
        <v>0</v>
      </c>
    </row>
    <row r="1347" customFormat="false" ht="17.15" hidden="false" customHeight="false" outlineLevel="0" collapsed="false">
      <c r="A1347" s="5" t="s">
        <v>642</v>
      </c>
      <c r="B1347" s="0" t="s">
        <v>86</v>
      </c>
      <c r="R1347" s="38" t="n">
        <f aca="false">Sens!$R$1346*Sens!$C$1342</f>
        <v>0</v>
      </c>
      <c r="S1347" s="38" t="n">
        <f aca="false">Sens!$S$1346*Sens!$C$1342</f>
        <v>10.219074499801</v>
      </c>
      <c r="T1347" s="38" t="n">
        <f aca="false">Sens!$T$1346*Sens!$C$1342</f>
        <v>13.6989379390402</v>
      </c>
      <c r="U1347" s="38" t="n">
        <f aca="false">Sens!$U$1346*Sens!$E$1342</f>
        <v>23.0454203705653</v>
      </c>
      <c r="V1347" s="38" t="n">
        <f aca="false">Sens!$V$1346*Sens!$E$1342</f>
        <v>0</v>
      </c>
      <c r="W1347" s="38" t="n">
        <f aca="false">Sens!$W$1346*Sens!$E$1342</f>
        <v>0</v>
      </c>
      <c r="X1347" s="38" t="n">
        <f aca="false">Sens!$X$1346*Sens!$E$1342</f>
        <v>0</v>
      </c>
      <c r="Y1347" s="38" t="n">
        <f aca="false">Sens!$Y$1346*Sens!$E$1342</f>
        <v>0</v>
      </c>
      <c r="Z1347" s="38" t="n">
        <f aca="false">Sens!$Z$1346*Sens!$E$1342</f>
        <v>0</v>
      </c>
      <c r="AA1347" s="38" t="n">
        <f aca="false">Sens!$AA$1346*Sens!$E$1342</f>
        <v>0</v>
      </c>
    </row>
    <row r="1348" customFormat="false" ht="17.15" hidden="false" customHeight="false" outlineLevel="0" collapsed="false">
      <c r="A1348" s="5" t="s">
        <v>643</v>
      </c>
      <c r="B1348" s="0" t="s">
        <v>86</v>
      </c>
      <c r="R1348" s="38" t="n">
        <f aca="false">SUMPRODUCT(--(Sens!$R$1313:$AA$1313=2023-cip_lag),Sens!$R$1347:$AA$1347)</f>
        <v>0</v>
      </c>
      <c r="S1348" s="38" t="n">
        <f aca="false">SUMPRODUCT(--(Sens!$R$1313:$AA$1313=2024-cip_lag),Sens!$R$1347:$AA$1347)</f>
        <v>0</v>
      </c>
      <c r="T1348" s="38" t="n">
        <f aca="false">SUMPRODUCT(--(Sens!$R$1313:$AA$1313=2025-cip_lag),Sens!$R$1347:$AA$1347)</f>
        <v>10.219074499801</v>
      </c>
      <c r="U1348" s="38" t="n">
        <f aca="false">SUMPRODUCT(--(Sens!$R$1313:$AA$1313=2026-cip_lag),Sens!$R$1347:$AA$1347)</f>
        <v>13.6989379390402</v>
      </c>
      <c r="V1348" s="38" t="n">
        <f aca="false">SUMPRODUCT(--(Sens!$R$1313:$AA$1313=2027-cip_lag),Sens!$R$1347:$AA$1347)</f>
        <v>23.0454203705653</v>
      </c>
      <c r="W1348" s="38" t="n">
        <f aca="false">SUMPRODUCT(--(Sens!$R$1313:$AA$1313=2028-cip_lag),Sens!$R$1347:$AA$1347)</f>
        <v>0</v>
      </c>
      <c r="X1348" s="38" t="n">
        <f aca="false">SUMPRODUCT(--(Sens!$R$1313:$AA$1313=2029-cip_lag),Sens!$R$1347:$AA$1347)</f>
        <v>0</v>
      </c>
      <c r="Y1348" s="38" t="n">
        <f aca="false">SUMPRODUCT(--(Sens!$R$1313:$AA$1313=2030-cip_lag),Sens!$R$1347:$AA$1347)</f>
        <v>0</v>
      </c>
      <c r="Z1348" s="38" t="n">
        <f aca="false">SUMPRODUCT(--(Sens!$R$1313:$AA$1313=2031-cip_lag),Sens!$R$1347:$AA$1347)</f>
        <v>0</v>
      </c>
      <c r="AA1348" s="38" t="n">
        <f aca="false">SUMPRODUCT(--(Sens!$R$1313:$AA$1313=2032-cip_lag),Sens!$R$1347:$AA$1347)</f>
        <v>0</v>
      </c>
    </row>
    <row r="1349" customFormat="false" ht="15" hidden="false" customHeight="false" outlineLevel="0" collapsed="false">
      <c r="A1349" s="5" t="s">
        <v>644</v>
      </c>
      <c r="B1349" s="0" t="s">
        <v>86</v>
      </c>
      <c r="R1349" s="38" t="n">
        <f aca="false">SUMPRODUCT(--(Sens!$R$1313:$AA$1313=2023-cip_lag),Sens!$R$1346:$AA$1346)-Sens!$R$1348</f>
        <v>0</v>
      </c>
      <c r="S1349" s="38" t="n">
        <f aca="false">SUMPRODUCT(--(Sens!$R$1313:$AA$1313=2024-cip_lag),Sens!$R$1346:$AA$1346)-Sens!$S$1348</f>
        <v>0</v>
      </c>
      <c r="T1349" s="38" t="n">
        <f aca="false">SUMPRODUCT(--(Sens!$R$1313:$AA$1313=2025-cip_lag),Sens!$R$1346:$AA$1346)-Sens!$T$1348</f>
        <v>3.76516660793636</v>
      </c>
      <c r="U1349" s="38" t="n">
        <f aca="false">SUMPRODUCT(--(Sens!$R$1313:$AA$1313=2026-cip_lag),Sens!$R$1346:$AA$1346)-Sens!$U$1348</f>
        <v>5.04730479196242</v>
      </c>
      <c r="V1349" s="38" t="n">
        <f aca="false">SUMPRODUCT(--(Sens!$R$1313:$AA$1313=2027-cip_lag),Sens!$R$1346:$AA$1346)-Sens!$V$1348</f>
        <v>7.24592107794548</v>
      </c>
      <c r="W1349" s="38" t="n">
        <f aca="false">SUMPRODUCT(--(Sens!$R$1313:$AA$1313=2028-cip_lag),Sens!$R$1346:$AA$1346)-Sens!$W$1348</f>
        <v>0</v>
      </c>
      <c r="X1349" s="38" t="n">
        <f aca="false">SUMPRODUCT(--(Sens!$R$1313:$AA$1313=2029-cip_lag),Sens!$R$1346:$AA$1346)-Sens!$X$1348</f>
        <v>0</v>
      </c>
      <c r="Y1349" s="38" t="n">
        <f aca="false">SUMPRODUCT(--(Sens!$R$1313:$AA$1313=2030-cip_lag),Sens!$R$1346:$AA$1346)-Sens!$Y$1348</f>
        <v>0</v>
      </c>
      <c r="Z1349" s="38" t="n">
        <f aca="false">SUMPRODUCT(--(Sens!$R$1313:$AA$1313=2031-cip_lag),Sens!$R$1346:$AA$1346)-Sens!$Z$1348</f>
        <v>0</v>
      </c>
      <c r="AA1349" s="38" t="n">
        <f aca="false">SUMPRODUCT(--(Sens!$R$1313:$AA$1313=2032-cip_lag),Sens!$R$1346:$AA$1346)-Sens!$AA$1348</f>
        <v>0</v>
      </c>
    </row>
    <row r="1350" customFormat="false" ht="17.15" hidden="false" customHeight="false" outlineLevel="0" collapsed="false">
      <c r="A1350" s="5" t="s">
        <v>645</v>
      </c>
      <c r="B1350" s="0" t="s">
        <v>86</v>
      </c>
      <c r="C1350" s="38" t="n">
        <f aca="false">Sens!$C$1345*Sens!$C$1342</f>
        <v>8.2530642</v>
      </c>
      <c r="D1350" s="38" t="n">
        <f aca="false">Sens!$D$1345*Sens!$D$1342</f>
        <v>37.1387889</v>
      </c>
      <c r="E1350" s="38" t="n">
        <f aca="false">Sens!$E$1345*Sens!$E$1342</f>
        <v>25.7897792</v>
      </c>
      <c r="F1350" s="38" t="n">
        <f aca="false">Sens!$F$1345*Sens!$F$1342</f>
        <v>67.4948715189913</v>
      </c>
      <c r="G1350" s="38" t="n">
        <f aca="false">Sens!$E$1350+Sens!$F$1350</f>
        <v>93.2846507189913</v>
      </c>
      <c r="H1350" s="38" t="n">
        <f aca="false">(Sens!$H$1345-Sens!$H$1344)*Sens!$H$1342+Sens!$H$1344</f>
        <v>114.393587958563</v>
      </c>
      <c r="I1350" s="38" t="n">
        <f aca="false">(Sens!$I$1345-Sens!$I$1344)*Sens!$I$1342+Sens!$I$1344</f>
        <v>118.949916682875</v>
      </c>
      <c r="J1350" s="38" t="n">
        <f aca="false">(Sens!$J$1345-Sens!$J$1344)*Sens!$J$1342+Sens!$J$1344</f>
        <v>124.186684882875</v>
      </c>
      <c r="K1350" s="38" t="n">
        <f aca="false">(Sens!$K$1345-Sens!$K$1344)*Sens!$K$1342+Sens!$K$1344</f>
        <v>94.8444344271506</v>
      </c>
      <c r="L1350" s="38" t="n">
        <f aca="false">(Sens!$L$1345-Sens!$L$1344)*Sens!$L$1342+Sens!$L$1344</f>
        <v>96.9227931714262</v>
      </c>
      <c r="M1350" s="38" t="n">
        <f aca="false">(Sens!$M$1345-Sens!$M$1344)*Sens!$M$1342+Sens!$M$1344</f>
        <v>102.617249457139</v>
      </c>
      <c r="R1350" s="38" t="n">
        <f aca="false">Sens!$R$1345*Sens!$C$1342</f>
        <v>1.09927679019314</v>
      </c>
      <c r="S1350" s="38" t="n">
        <f aca="false">Sens!$C$1350</f>
        <v>8.2530642</v>
      </c>
      <c r="T1350" s="38" t="n">
        <f aca="false">Sens!$D$1350</f>
        <v>37.1387889</v>
      </c>
      <c r="U1350" s="38" t="n">
        <f aca="false">Sens!$G$1350</f>
        <v>93.2846507189913</v>
      </c>
      <c r="V1350" s="38" t="n">
        <f aca="false">Sens!$H$1350</f>
        <v>114.393587958563</v>
      </c>
      <c r="W1350" s="38" t="n">
        <f aca="false">Sens!$I$1350</f>
        <v>118.949916682875</v>
      </c>
      <c r="X1350" s="38" t="n">
        <f aca="false">Sens!$J$1350</f>
        <v>124.186684882875</v>
      </c>
      <c r="Y1350" s="38" t="n">
        <f aca="false">Sens!$K$1350</f>
        <v>94.8444344271506</v>
      </c>
      <c r="Z1350" s="38" t="n">
        <f aca="false">Sens!$L$1350</f>
        <v>96.9227931714262</v>
      </c>
      <c r="AA1350" s="38" t="n">
        <f aca="false">Sens!$M$1350</f>
        <v>102.617249457139</v>
      </c>
    </row>
    <row r="1351" customFormat="false" ht="15" hidden="false" customHeight="false" outlineLevel="0" collapsed="false">
      <c r="A1351" s="5" t="s">
        <v>646</v>
      </c>
      <c r="B1351" s="0" t="s">
        <v>86</v>
      </c>
      <c r="C1351" s="38" t="n">
        <f aca="false">Sens!$C$1345-Sens!$C$1350</f>
        <v>3.0408</v>
      </c>
      <c r="D1351" s="38" t="n">
        <f aca="false">Sens!$D$1345-Sens!$D$1350</f>
        <v>13.6836</v>
      </c>
      <c r="E1351" s="38" t="n">
        <f aca="false">Sens!$E$1345-Sens!$E$1350</f>
        <v>8.1088</v>
      </c>
      <c r="F1351" s="38" t="n">
        <f aca="false">Sens!$F$1345-Sens!$F$1350</f>
        <v>21.2216789422221</v>
      </c>
      <c r="G1351" s="38" t="n">
        <f aca="false">Sens!$G$1345-Sens!$G$1350</f>
        <v>29.3304789422221</v>
      </c>
      <c r="H1351" s="38" t="n">
        <f aca="false">Sens!$H$1345-Sens!$H$1350</f>
        <v>34.53493575</v>
      </c>
      <c r="I1351" s="38" t="n">
        <f aca="false">Sens!$I$1345-Sens!$I$1350</f>
        <v>34.53493575</v>
      </c>
      <c r="J1351" s="38" t="n">
        <f aca="false">Sens!$J$1345-Sens!$J$1350</f>
        <v>34.53493575</v>
      </c>
      <c r="K1351" s="38" t="n">
        <f aca="false">Sens!$K$1345-Sens!$K$1350</f>
        <v>24.49554925125</v>
      </c>
      <c r="L1351" s="38" t="n">
        <f aca="false">Sens!$L$1345-Sens!$L$1350</f>
        <v>14.4561627525</v>
      </c>
      <c r="M1351" s="38" t="n">
        <f aca="false">Sens!$M$1345-Sens!$M$1350</f>
        <v>4.41677625374999</v>
      </c>
      <c r="R1351" s="38" t="n">
        <f aca="false">Sens!$R$1345-Sens!$R$1350</f>
        <v>0.405023005106309</v>
      </c>
      <c r="S1351" s="38" t="n">
        <f aca="false">Sens!$S$1345-Sens!$S$1350</f>
        <v>3.0408</v>
      </c>
      <c r="T1351" s="38" t="n">
        <f aca="false">Sens!$T$1345-Sens!$T$1350</f>
        <v>13.6836</v>
      </c>
      <c r="U1351" s="38" t="n">
        <f aca="false">Sens!$U$1345-Sens!$U$1350</f>
        <v>29.3304789422221</v>
      </c>
      <c r="V1351" s="38" t="n">
        <f aca="false">Sens!$V$1345-Sens!$V$1350</f>
        <v>34.53493575</v>
      </c>
      <c r="W1351" s="38" t="n">
        <f aca="false">Sens!$W$1345-Sens!$W$1350</f>
        <v>34.53493575</v>
      </c>
      <c r="X1351" s="38" t="n">
        <f aca="false">Sens!$X$1345-Sens!$X$1350</f>
        <v>34.53493575</v>
      </c>
      <c r="Y1351" s="38" t="n">
        <f aca="false">Sens!$Y$1345-Sens!$Y$1350</f>
        <v>24.49554925125</v>
      </c>
      <c r="Z1351" s="38" t="n">
        <f aca="false">Sens!$Z$1345-Sens!$Z$1350</f>
        <v>14.4561627525</v>
      </c>
      <c r="AA1351" s="38" t="n">
        <f aca="false">Sens!$AA$1345-Sens!$AA$1350</f>
        <v>4.41677625374999</v>
      </c>
    </row>
    <row r="1352" customFormat="false" ht="17.15" hidden="false" customHeight="false" outlineLevel="0" collapsed="false">
      <c r="A1352" s="0" t="s">
        <v>647</v>
      </c>
      <c r="B1352" s="0" t="s">
        <v>52</v>
      </c>
      <c r="C1352" s="13" t="n">
        <f aca="false">Sens!$C$1343/Sens!$C$1468</f>
        <v>0.325505489553393</v>
      </c>
      <c r="D1352" s="13" t="n">
        <f aca="false">Sens!$D$1343/Sens!$D$1468</f>
        <v>0.54214956071542</v>
      </c>
      <c r="E1352" s="13" t="n">
        <f aca="false">Sens!$E$1343/Sens!$E$1468</f>
        <v>0.666492790452817</v>
      </c>
      <c r="F1352" s="13" t="n">
        <f aca="false">Sens!$F$1343/Sens!$F$1468</f>
        <v>0.71724917504417</v>
      </c>
      <c r="G1352" s="13" t="n">
        <f aca="false">Sens!$G$1343/Sens!$G$1468</f>
        <v>0.69502941413511</v>
      </c>
      <c r="H1352" s="13" t="n">
        <f aca="false">Sens!$H$1343/Sens!$H$1468</f>
        <v>0.66566232131283</v>
      </c>
      <c r="I1352" s="13" t="n">
        <f aca="false">Sens!$I$1343/Sens!$I$1468</f>
        <v>0.650855422263849</v>
      </c>
      <c r="J1352" s="13" t="n">
        <f aca="false">Sens!$J$1343/Sens!$J$1468</f>
        <v>0.639607048882734</v>
      </c>
      <c r="K1352" s="13" t="n">
        <f aca="false">Sens!$K$1343/Sens!$K$1468</f>
        <v>0.554660161639881</v>
      </c>
      <c r="L1352" s="13" t="n">
        <f aca="false">Sens!$L$1343/Sens!$L$1468</f>
        <v>0.520313744228465</v>
      </c>
      <c r="M1352" s="13" t="n">
        <f aca="false">Sens!$M$1343/Sens!$M$1468</f>
        <v>0.493029106390845</v>
      </c>
    </row>
    <row r="1353" customFormat="false" ht="17.15" hidden="false" customHeight="false" outlineLevel="0" collapsed="false">
      <c r="A1353" s="0" t="s">
        <v>648</v>
      </c>
      <c r="B1353" s="0" t="s">
        <v>86</v>
      </c>
      <c r="C1353" s="38" t="n">
        <f aca="false">Sens!$S$1353</f>
        <v>0.183212798365523</v>
      </c>
      <c r="D1353" s="38" t="n">
        <f aca="false">Sens!$T$1353</f>
        <v>1.55872349836552</v>
      </c>
      <c r="E1353" s="38" t="n">
        <f aca="false">Sens!$G$1353/2</f>
        <v>4.72585036583285</v>
      </c>
      <c r="F1353" s="38" t="n">
        <f aca="false">Sens!$G$1353/2</f>
        <v>4.72585036583285</v>
      </c>
      <c r="G1353" s="38" t="n">
        <f aca="false">Sens!$U$1353</f>
        <v>9.4517007316657</v>
      </c>
      <c r="H1353" s="38" t="n">
        <f aca="false">Sens!$V$1353</f>
        <v>27.2822988413376</v>
      </c>
      <c r="I1353" s="38" t="n">
        <f aca="false">Sens!$W$1353</f>
        <v>50.1888002295256</v>
      </c>
      <c r="J1353" s="38" t="n">
        <f aca="false">Sens!$X$1353</f>
        <v>70.0137863433381</v>
      </c>
      <c r="K1353" s="38" t="n">
        <f aca="false">Sens!$Y$1353</f>
        <v>90.5283543587851</v>
      </c>
      <c r="L1353" s="38" t="n">
        <f aca="false">Sens!$Z$1353</f>
        <v>104.960249396644</v>
      </c>
      <c r="M1353" s="38" t="n">
        <f aca="false">Sens!$AA$1353</f>
        <v>113.221071025248</v>
      </c>
      <c r="N1353" s="38" t="n">
        <f aca="false">Sens!$D$1353/2</f>
        <v>0.779361749182762</v>
      </c>
      <c r="O1353" s="38" t="n">
        <f aca="false">Sens!$D$1353/2</f>
        <v>0.779361749182762</v>
      </c>
      <c r="R1353" s="38" t="n">
        <f aca="false">(SUMPRODUCT(--(Sens!$R$1313:$AA$1313&lt;Sens!R$1313),--(Sens!$R$1313:$AA$1313&gt;=Sens!R$1313-tk_life),Sens!$R$1350:$AA$1350)+SUMPRODUCT(--(Sens!$R$1313:$AA$1313&lt;Sens!R$1313),--(Sens!$R$1313:$AA$1313&gt;=Sens!R$1313-tk_life),Sens!$R$1348:$AA$1348))/tk_life</f>
        <v>0</v>
      </c>
      <c r="S1353" s="38" t="n">
        <f aca="false">(SUMPRODUCT(--(Sens!$R$1313:$AA$1313&lt;Sens!S$1313),--(Sens!$R$1313:$AA$1313&gt;=Sens!S$1313-tk_life),Sens!$R$1350:$AA$1350)+SUMPRODUCT(--(Sens!$R$1313:$AA$1313&lt;Sens!S$1313),--(Sens!$R$1313:$AA$1313&gt;=Sens!S$1313-tk_life),Sens!$R$1348:$AA$1348))/tk_life</f>
        <v>0.183212798365523</v>
      </c>
      <c r="T1353" s="38" t="n">
        <f aca="false">(SUMPRODUCT(--(Sens!$R$1313:$AA$1313&lt;Sens!T$1313),--(Sens!$R$1313:$AA$1313&gt;=Sens!T$1313-tk_life),Sens!$R$1350:$AA$1350)+SUMPRODUCT(--(Sens!$R$1313:$AA$1313&lt;Sens!T$1313),--(Sens!$R$1313:$AA$1313&gt;=Sens!T$1313-tk_life),Sens!$R$1348:$AA$1348))/tk_life</f>
        <v>1.55872349836552</v>
      </c>
      <c r="U1353" s="38" t="n">
        <f aca="false">(SUMPRODUCT(--(Sens!$R$1313:$AA$1313&lt;Sens!U$1313),--(Sens!$R$1313:$AA$1313&gt;=Sens!U$1313-tk_life),Sens!$R$1350:$AA$1350)+SUMPRODUCT(--(Sens!$R$1313:$AA$1313&lt;Sens!U$1313),--(Sens!$R$1313:$AA$1313&gt;=Sens!U$1313-tk_life),Sens!$R$1348:$AA$1348))/tk_life</f>
        <v>9.4517007316657</v>
      </c>
      <c r="V1353" s="38" t="n">
        <f aca="false">(SUMPRODUCT(--(Sens!$R$1313:$AA$1313&lt;Sens!V$1313),--(Sens!$R$1313:$AA$1313&gt;=Sens!V$1313-tk_life),Sens!$R$1350:$AA$1350)+SUMPRODUCT(--(Sens!$R$1313:$AA$1313&lt;Sens!V$1313),--(Sens!$R$1313:$AA$1313&gt;=Sens!V$1313-tk_life),Sens!$R$1348:$AA$1348))/tk_life</f>
        <v>27.2822988413376</v>
      </c>
      <c r="W1353" s="38" t="n">
        <f aca="false">(SUMPRODUCT(--(Sens!$R$1313:$AA$1313&lt;Sens!W$1313),--(Sens!$R$1313:$AA$1313&gt;=Sens!W$1313-tk_life),Sens!$R$1350:$AA$1350)+SUMPRODUCT(--(Sens!$R$1313:$AA$1313&lt;Sens!W$1313),--(Sens!$R$1313:$AA$1313&gt;=Sens!W$1313-tk_life),Sens!$R$1348:$AA$1348))/tk_life</f>
        <v>50.1888002295256</v>
      </c>
      <c r="X1353" s="38" t="n">
        <f aca="false">(SUMPRODUCT(--(Sens!$R$1313:$AA$1313&lt;Sens!X$1313),--(Sens!$R$1313:$AA$1313&gt;=Sens!X$1313-tk_life),Sens!$R$1350:$AA$1350)+SUMPRODUCT(--(Sens!$R$1313:$AA$1313&lt;Sens!X$1313),--(Sens!$R$1313:$AA$1313&gt;=Sens!X$1313-tk_life),Sens!$R$1348:$AA$1348))/tk_life</f>
        <v>70.0137863433381</v>
      </c>
      <c r="Y1353" s="38" t="n">
        <f aca="false">(SUMPRODUCT(--(Sens!$R$1313:$AA$1313&lt;Sens!Y$1313),--(Sens!$R$1313:$AA$1313&gt;=Sens!Y$1313-tk_life),Sens!$R$1350:$AA$1350)+SUMPRODUCT(--(Sens!$R$1313:$AA$1313&lt;Sens!Y$1313),--(Sens!$R$1313:$AA$1313&gt;=Sens!Y$1313-tk_life),Sens!$R$1348:$AA$1348))/tk_life</f>
        <v>90.5283543587851</v>
      </c>
      <c r="Z1353" s="38" t="n">
        <f aca="false">(SUMPRODUCT(--(Sens!$R$1313:$AA$1313&lt;Sens!Z$1313),--(Sens!$R$1313:$AA$1313&gt;=Sens!Z$1313-tk_life),Sens!$R$1350:$AA$1350)+SUMPRODUCT(--(Sens!$R$1313:$AA$1313&lt;Sens!Z$1313),--(Sens!$R$1313:$AA$1313&gt;=Sens!Z$1313-tk_life),Sens!$R$1348:$AA$1348))/tk_life</f>
        <v>104.960249396644</v>
      </c>
      <c r="AA1353" s="38" t="n">
        <f aca="false">(SUMPRODUCT(--(Sens!$R$1313:$AA$1313&lt;Sens!AA$1313),--(Sens!$R$1313:$AA$1313&gt;=Sens!AA$1313-tk_life),Sens!$R$1350:$AA$1350)+SUMPRODUCT(--(Sens!$R$1313:$AA$1313&lt;Sens!AA$1313),--(Sens!$R$1313:$AA$1313&gt;=Sens!AA$1313-tk_life),Sens!$R$1348:$AA$1348))/tk_life</f>
        <v>113.221071025248</v>
      </c>
    </row>
    <row r="1354" customFormat="false" ht="17.15" hidden="false" customHeight="false" outlineLevel="0" collapsed="false">
      <c r="A1354" s="0" t="s">
        <v>649</v>
      </c>
      <c r="B1354" s="0" t="s">
        <v>86</v>
      </c>
      <c r="C1354" s="38" t="n">
        <f aca="false">Sens!$S$1354</f>
        <v>0.0202511502553155</v>
      </c>
      <c r="D1354" s="38" t="n">
        <f aca="false">Sens!$T$1354</f>
        <v>0.172291150255315</v>
      </c>
      <c r="E1354" s="38" t="n">
        <f aca="false">Sens!$G$1354/2</f>
        <v>0.522364740326067</v>
      </c>
      <c r="F1354" s="38" t="n">
        <f aca="false">Sens!$G$1354/2</f>
        <v>0.522364740326067</v>
      </c>
      <c r="G1354" s="38" t="n">
        <f aca="false">Sens!$U$1354</f>
        <v>1.04472948065213</v>
      </c>
      <c r="H1354" s="38" t="n">
        <f aca="false">Sens!$V$1354</f>
        <v>2.76361866736136</v>
      </c>
      <c r="I1354" s="38" t="n">
        <f aca="false">Sens!$W$1354</f>
        <v>4.85266150875863</v>
      </c>
      <c r="J1354" s="38" t="n">
        <f aca="false">Sens!$X$1354</f>
        <v>6.57940829625863</v>
      </c>
      <c r="K1354" s="38" t="n">
        <f aca="false">Sens!$Y$1354</f>
        <v>8.30615508375863</v>
      </c>
      <c r="L1354" s="38" t="n">
        <f aca="false">Sens!$Z$1354</f>
        <v>9.53093254632113</v>
      </c>
      <c r="M1354" s="38" t="n">
        <f aca="false">Sens!$AA$1354</f>
        <v>10.2537406839461</v>
      </c>
      <c r="N1354" s="38" t="n">
        <f aca="false">Sens!$D$1354/2</f>
        <v>0.0861455751276577</v>
      </c>
      <c r="O1354" s="38" t="n">
        <f aca="false">Sens!$D$1354/2</f>
        <v>0.0861455751276577</v>
      </c>
      <c r="R1354" s="38" t="n">
        <f aca="false">(SUMPRODUCT(--(Sens!$R$1313:$AA$1313&lt;Sens!R$1313),Sens!$R$1351:$AA$1351)+SUMPRODUCT(--(Sens!$R$1313:$AA$1313&lt;Sens!R$1313),Sens!$R$1349:$AA$1349))/fac_life</f>
        <v>0</v>
      </c>
      <c r="S1354" s="38" t="n">
        <f aca="false">(SUMPRODUCT(--(Sens!$R$1313:$AA$1313&lt;Sens!S$1313),Sens!$R$1351:$AA$1351)+SUMPRODUCT(--(Sens!$R$1313:$AA$1313&lt;Sens!S$1313),Sens!$R$1349:$AA$1349))/fac_life</f>
        <v>0.0202511502553155</v>
      </c>
      <c r="T1354" s="38" t="n">
        <f aca="false">(SUMPRODUCT(--(Sens!$R$1313:$AA$1313&lt;Sens!T$1313),Sens!$R$1351:$AA$1351)+SUMPRODUCT(--(Sens!$R$1313:$AA$1313&lt;Sens!T$1313),Sens!$R$1349:$AA$1349))/fac_life</f>
        <v>0.172291150255315</v>
      </c>
      <c r="U1354" s="38" t="n">
        <f aca="false">(SUMPRODUCT(--(Sens!$R$1313:$AA$1313&lt;Sens!U$1313),Sens!$R$1351:$AA$1351)+SUMPRODUCT(--(Sens!$R$1313:$AA$1313&lt;Sens!U$1313),Sens!$R$1349:$AA$1349))/fac_life</f>
        <v>1.04472948065213</v>
      </c>
      <c r="V1354" s="38" t="n">
        <f aca="false">(SUMPRODUCT(--(Sens!$R$1313:$AA$1313&lt;Sens!V$1313),Sens!$R$1351:$AA$1351)+SUMPRODUCT(--(Sens!$R$1313:$AA$1313&lt;Sens!V$1313),Sens!$R$1349:$AA$1349))/fac_life</f>
        <v>2.76361866736136</v>
      </c>
      <c r="W1354" s="38" t="n">
        <f aca="false">(SUMPRODUCT(--(Sens!$R$1313:$AA$1313&lt;Sens!W$1313),Sens!$R$1351:$AA$1351)+SUMPRODUCT(--(Sens!$R$1313:$AA$1313&lt;Sens!W$1313),Sens!$R$1349:$AA$1349))/fac_life</f>
        <v>4.85266150875863</v>
      </c>
      <c r="X1354" s="38" t="n">
        <f aca="false">(SUMPRODUCT(--(Sens!$R$1313:$AA$1313&lt;Sens!X$1313),Sens!$R$1351:$AA$1351)+SUMPRODUCT(--(Sens!$R$1313:$AA$1313&lt;Sens!X$1313),Sens!$R$1349:$AA$1349))/fac_life</f>
        <v>6.57940829625863</v>
      </c>
      <c r="Y1354" s="38" t="n">
        <f aca="false">(SUMPRODUCT(--(Sens!$R$1313:$AA$1313&lt;Sens!Y$1313),Sens!$R$1351:$AA$1351)+SUMPRODUCT(--(Sens!$R$1313:$AA$1313&lt;Sens!Y$1313),Sens!$R$1349:$AA$1349))/fac_life</f>
        <v>8.30615508375863</v>
      </c>
      <c r="Z1354" s="38" t="n">
        <f aca="false">(SUMPRODUCT(--(Sens!$R$1313:$AA$1313&lt;Sens!Z$1313),Sens!$R$1351:$AA$1351)+SUMPRODUCT(--(Sens!$R$1313:$AA$1313&lt;Sens!Z$1313),Sens!$R$1349:$AA$1349))/fac_life</f>
        <v>9.53093254632113</v>
      </c>
      <c r="AA1354" s="38" t="n">
        <f aca="false">(SUMPRODUCT(--(Sens!$R$1313:$AA$1313&lt;Sens!AA$1313),Sens!$R$1351:$AA$1351)+SUMPRODUCT(--(Sens!$R$1313:$AA$1313&lt;Sens!AA$1313),Sens!$R$1349:$AA$1349))/fac_life</f>
        <v>10.2537406839461</v>
      </c>
    </row>
    <row r="1355" customFormat="false" ht="17.15" hidden="false" customHeight="false" outlineLevel="0" collapsed="false">
      <c r="A1355" s="1" t="s">
        <v>650</v>
      </c>
      <c r="B1355" s="8" t="s">
        <v>86</v>
      </c>
      <c r="C1355" s="38" t="n">
        <f aca="false">Sens!$C$1353+Sens!$C$1354</f>
        <v>0.203463948620839</v>
      </c>
      <c r="D1355" s="38" t="n">
        <f aca="false">Sens!$D$1353+Sens!$D$1354</f>
        <v>1.73101464862084</v>
      </c>
      <c r="E1355" s="38" t="n">
        <f aca="false">Sens!$E$1353+Sens!$E$1354</f>
        <v>5.24821510615892</v>
      </c>
      <c r="F1355" s="38" t="n">
        <f aca="false">Sens!$F$1353+Sens!$F$1354</f>
        <v>5.24821510615892</v>
      </c>
      <c r="G1355" s="38" t="n">
        <f aca="false">Sens!$G$1353+Sens!$G$1354</f>
        <v>10.4964302123178</v>
      </c>
      <c r="H1355" s="38" t="n">
        <f aca="false">Sens!$H$1353+Sens!$H$1354</f>
        <v>30.045917508699</v>
      </c>
      <c r="I1355" s="38" t="n">
        <f aca="false">Sens!$I$1353+Sens!$I$1354</f>
        <v>55.0414617382842</v>
      </c>
      <c r="J1355" s="38" t="n">
        <f aca="false">Sens!$J$1353+Sens!$J$1354</f>
        <v>76.5931946395967</v>
      </c>
      <c r="K1355" s="38" t="n">
        <f aca="false">Sens!$K$1353+Sens!$K$1354</f>
        <v>98.8345094425437</v>
      </c>
      <c r="L1355" s="38" t="n">
        <f aca="false">Sens!$L$1353+Sens!$L$1354</f>
        <v>114.491181942965</v>
      </c>
      <c r="M1355" s="38" t="n">
        <f aca="false">Sens!$M$1353+Sens!$M$1354</f>
        <v>123.474811709194</v>
      </c>
      <c r="N1355" s="38" t="n">
        <f aca="false">Sens!$N$1353+Sens!$N$1354</f>
        <v>0.865507324310419</v>
      </c>
      <c r="O1355" s="38" t="n">
        <f aca="false">Sens!$O$1353+Sens!$O$1354</f>
        <v>0.865507324310419</v>
      </c>
      <c r="R1355" s="38" t="n">
        <f aca="false">Sens!$R$1353+Sens!$R$1354</f>
        <v>0</v>
      </c>
      <c r="S1355" s="38" t="n">
        <f aca="false">Sens!$S$1353+Sens!$S$1354</f>
        <v>0.203463948620839</v>
      </c>
      <c r="T1355" s="38" t="n">
        <f aca="false">Sens!$T$1353+Sens!$T$1354</f>
        <v>1.73101464862084</v>
      </c>
      <c r="U1355" s="38" t="n">
        <f aca="false">Sens!$U$1353+Sens!$U$1354</f>
        <v>10.4964302123178</v>
      </c>
      <c r="V1355" s="38" t="n">
        <f aca="false">Sens!$V$1353+Sens!$V$1354</f>
        <v>30.045917508699</v>
      </c>
      <c r="W1355" s="38" t="n">
        <f aca="false">Sens!$W$1353+Sens!$W$1354</f>
        <v>55.0414617382842</v>
      </c>
      <c r="X1355" s="38" t="n">
        <f aca="false">Sens!$X$1353+Sens!$X$1354</f>
        <v>76.5931946395967</v>
      </c>
      <c r="Y1355" s="38" t="n">
        <f aca="false">Sens!$Y$1353+Sens!$Y$1354</f>
        <v>98.8345094425437</v>
      </c>
      <c r="Z1355" s="38" t="n">
        <f aca="false">Sens!$Z$1353+Sens!$Z$1354</f>
        <v>114.491181942965</v>
      </c>
      <c r="AA1355" s="38" t="n">
        <f aca="false">Sens!$AA$1353+Sens!$AA$1354</f>
        <v>123.474811709194</v>
      </c>
    </row>
    <row r="1356" customFormat="false" ht="17.15" hidden="false" customHeight="false" outlineLevel="0" collapsed="false">
      <c r="A1356" s="0" t="s">
        <v>651</v>
      </c>
      <c r="B1356" s="0" t="s">
        <v>86</v>
      </c>
      <c r="C1356" s="38" t="n">
        <f aca="false">Sens!$S$1356</f>
        <v>26.578941154416</v>
      </c>
      <c r="D1356" s="38" t="n">
        <f aca="false">Sens!$T$1356</f>
        <v>94.4165581367978</v>
      </c>
      <c r="G1356" s="38" t="n">
        <f aca="false">Sens!$U$1356</f>
        <v>236.826599034204</v>
      </c>
      <c r="H1356" s="38" t="n">
        <f aca="false">Sens!$V$1356</f>
        <v>355.709205234068</v>
      </c>
      <c r="I1356" s="38" t="n">
        <f aca="false">Sens!$W$1356</f>
        <v>454.152595928658</v>
      </c>
      <c r="J1356" s="38" t="n">
        <f aca="false">Sens!$X$1356</f>
        <v>536.281021921937</v>
      </c>
      <c r="K1356" s="38" t="n">
        <f aca="false">Sens!$Y$1356</f>
        <v>556.786496157794</v>
      </c>
      <c r="L1356" s="38" t="n">
        <f aca="false">Sens!$Z$1356</f>
        <v>553.674270138755</v>
      </c>
      <c r="M1356" s="38" t="n">
        <f aca="false">Sens!$AA$1356</f>
        <v>537.233484140451</v>
      </c>
      <c r="R1356" s="38" t="n">
        <f aca="false">SUM(Sens!$R$1343:$R$1343)-SUM(Sens!$R$1355:$R$1355)</f>
        <v>1.50429979529945</v>
      </c>
      <c r="S1356" s="38" t="n">
        <f aca="false">SUM(Sens!$R$1343:$S$1343)-SUM(Sens!$R$1355:$S$1355)</f>
        <v>26.578941154416</v>
      </c>
      <c r="T1356" s="38" t="n">
        <f aca="false">SUM(Sens!$R$1343:$T$1343)-SUM(Sens!$R$1355:$T$1355)</f>
        <v>94.4165581367978</v>
      </c>
      <c r="U1356" s="38" t="n">
        <f aca="false">SUM(Sens!$R$1343:$U$1343)-SUM(Sens!$R$1355:$U$1355)</f>
        <v>236.826599034204</v>
      </c>
      <c r="V1356" s="38" t="n">
        <f aca="false">SUM(Sens!$R$1343:$V$1343)-SUM(Sens!$R$1355:$V$1355)</f>
        <v>355.709205234068</v>
      </c>
      <c r="W1356" s="38" t="n">
        <f aca="false">SUM(Sens!$R$1343:$W$1343)-SUM(Sens!$R$1355:$W$1355)</f>
        <v>454.152595928658</v>
      </c>
      <c r="X1356" s="38" t="n">
        <f aca="false">SUM(Sens!$R$1343:$X$1343)-SUM(Sens!$R$1355:$X$1355)</f>
        <v>536.281021921937</v>
      </c>
      <c r="Y1356" s="38" t="n">
        <f aca="false">SUM(Sens!$R$1343:$Y$1343)-SUM(Sens!$R$1355:$Y$1355)</f>
        <v>556.786496157794</v>
      </c>
      <c r="Z1356" s="38" t="n">
        <f aca="false">SUM(Sens!$R$1343:$Z$1343)-SUM(Sens!$R$1355:$Z$1355)</f>
        <v>553.674270138755</v>
      </c>
      <c r="AA1356" s="38" t="n">
        <f aca="false">SUM(Sens!$R$1343:$AA$1343)-SUM(Sens!$R$1355:$AA$1355)</f>
        <v>537.233484140451</v>
      </c>
    </row>
    <row r="1357" customFormat="false" ht="17.15" hidden="false" customHeight="false" outlineLevel="0" collapsed="false">
      <c r="A1357" s="1" t="s">
        <v>652</v>
      </c>
    </row>
    <row r="1358" customFormat="false" ht="17.15" hidden="false" customHeight="false" outlineLevel="0" collapsed="false">
      <c r="A1358" s="0" t="s">
        <v>653</v>
      </c>
      <c r="B1358" s="0" t="s">
        <v>86</v>
      </c>
      <c r="C1358" s="38" t="n">
        <f aca="false">Sens!$C$1334-ext_sh*Sens!$C$1336</f>
        <v>1.80694998843362</v>
      </c>
      <c r="D1358" s="38" t="n">
        <f aca="false">Sens!$D$1334-ext_sh*Sens!$D$1336</f>
        <v>6.77606245662607</v>
      </c>
      <c r="E1358" s="38" t="n">
        <f aca="false">Sens!$E$1334-ext_sh*Sens!$E$1336</f>
        <v>6.62548329092326</v>
      </c>
      <c r="F1358" s="38" t="n">
        <f aca="false">Sens!$F$1334-ext_sh*Sens!$F$1336</f>
        <v>10.7475724410394</v>
      </c>
      <c r="G1358" s="38" t="n">
        <f aca="false">Sens!$G$1334-ext_sh*Sens!$G$1336</f>
        <v>17.3730557319626</v>
      </c>
      <c r="H1358" s="38" t="n">
        <f aca="false">Sens!$H$1334-ext_sh*Sens!$H$1336</f>
        <v>39.5529378378068</v>
      </c>
      <c r="I1358" s="38" t="n">
        <f aca="false">Sens!$I$1334-ext_sh*Sens!$I$1336</f>
        <v>64.3305352565479</v>
      </c>
      <c r="J1358" s="38" t="n">
        <f aca="false">Sens!$J$1334-ext_sh*Sens!$J$1336</f>
        <v>89.2345459344354</v>
      </c>
      <c r="K1358" s="38" t="n">
        <f aca="false">Sens!$K$1334-ext_sh*Sens!$K$1336</f>
        <v>110.502525441592</v>
      </c>
      <c r="L1358" s="38" t="n">
        <f aca="false">Sens!$L$1334-ext_sh*Sens!$L$1336</f>
        <v>124.535767786747</v>
      </c>
      <c r="M1358" s="38" t="n">
        <f aca="false">Sens!$M$1334-ext_sh*Sens!$M$1336</f>
        <v>131.313822270043</v>
      </c>
      <c r="N1358" s="38" t="n">
        <f aca="false">Sens!$N$1334-ext_sh*Sens!$N$1336</f>
        <v>2.37162185981912</v>
      </c>
      <c r="O1358" s="38" t="n">
        <f aca="false">Sens!$O$1334-ext_sh*Sens!$O$1336</f>
        <v>4.40444059680694</v>
      </c>
    </row>
    <row r="1359" customFormat="false" ht="17.15" hidden="false" customHeight="false" outlineLevel="0" collapsed="false">
      <c r="A1359" s="1" t="s">
        <v>654</v>
      </c>
      <c r="B1359" s="8" t="s">
        <v>86</v>
      </c>
      <c r="C1359" s="38" t="n">
        <f aca="false">Sens!$C$1358-ext_sh*Sens!$C$1355</f>
        <v>1.64417882953695</v>
      </c>
      <c r="D1359" s="38" t="n">
        <f aca="false">Sens!$D$1358-ext_sh*Sens!$D$1355</f>
        <v>5.39125073772939</v>
      </c>
      <c r="E1359" s="38" t="n">
        <f aca="false">Sens!$E$1358-ext_sh*Sens!$E$1355</f>
        <v>2.42691120599613</v>
      </c>
      <c r="F1359" s="38" t="n">
        <f aca="false">Sens!$F$1358-ext_sh*Sens!$F$1355</f>
        <v>6.54900035611223</v>
      </c>
      <c r="G1359" s="38" t="n">
        <f aca="false">Sens!$G$1358-ext_sh*Sens!$G$1355</f>
        <v>8.97591156210837</v>
      </c>
      <c r="H1359" s="38" t="n">
        <f aca="false">Sens!$H$1358-ext_sh*Sens!$H$1355</f>
        <v>15.5162038308477</v>
      </c>
      <c r="I1359" s="38" t="n">
        <f aca="false">Sens!$I$1358-ext_sh*Sens!$I$1355</f>
        <v>20.2973658659205</v>
      </c>
      <c r="J1359" s="38" t="n">
        <f aca="false">Sens!$J$1358-ext_sh*Sens!$J$1355</f>
        <v>27.959990222758</v>
      </c>
      <c r="K1359" s="38" t="n">
        <f aca="false">Sens!$K$1358-ext_sh*Sens!$K$1355</f>
        <v>31.4349178875569</v>
      </c>
      <c r="L1359" s="38" t="n">
        <f aca="false">Sens!$L$1358-ext_sh*Sens!$L$1355</f>
        <v>32.9428222323755</v>
      </c>
      <c r="M1359" s="38" t="n">
        <f aca="false">Sens!$M$1358-ext_sh*Sens!$M$1355</f>
        <v>32.5339729026875</v>
      </c>
      <c r="N1359" s="38" t="n">
        <f aca="false">Sens!$N$1358-ext_sh*Sens!$N$1355</f>
        <v>1.67921600037079</v>
      </c>
      <c r="O1359" s="38" t="n">
        <f aca="false">Sens!$O$1358-ext_sh*Sens!$O$1355</f>
        <v>3.71203473735861</v>
      </c>
    </row>
    <row r="1360" customFormat="false" ht="17.15" hidden="false" customHeight="false" outlineLevel="0" collapsed="false">
      <c r="A1360" s="0" t="s">
        <v>655</v>
      </c>
      <c r="B1360" s="0" t="s">
        <v>52</v>
      </c>
      <c r="C1360" s="13" t="n">
        <f aca="false">Sens!$C$1359/Sens!$C$1334</f>
        <v>0.708390794789371</v>
      </c>
      <c r="D1360" s="13" t="n">
        <f aca="false">Sens!$D$1359/Sens!$D$1334</f>
        <v>0.619415573115729</v>
      </c>
      <c r="E1360" s="13" t="n">
        <f aca="false">Sens!$E$1359/Sens!$E$1334</f>
        <v>0.285171627189009</v>
      </c>
      <c r="F1360" s="13" t="n">
        <f aca="false">Sens!$F$1359/Sens!$F$1334</f>
        <v>0.476741752267913</v>
      </c>
      <c r="G1360" s="13" t="n">
        <f aca="false">Sens!$G$1359/Sens!$G$1334</f>
        <v>0.403459795800063</v>
      </c>
      <c r="H1360" s="13" t="n">
        <f aca="false">Sens!$H$1359/Sens!$H$1334</f>
        <v>0.309375759461406</v>
      </c>
      <c r="I1360" s="13" t="n">
        <f aca="false">Sens!$I$1359/Sens!$I$1334</f>
        <v>0.250101175269296</v>
      </c>
      <c r="J1360" s="13" t="n">
        <f aca="false">Sens!$J$1359/Sens!$J$1334</f>
        <v>0.248980525434362</v>
      </c>
      <c r="K1360" s="13" t="n">
        <f aca="false">Sens!$K$1359/Sens!$K$1334</f>
        <v>0.226321320237609</v>
      </c>
      <c r="L1360" s="13" t="n">
        <f aca="false">Sens!$L$1359/Sens!$L$1334</f>
        <v>0.210571563723471</v>
      </c>
      <c r="M1360" s="13" t="n">
        <f aca="false">Sens!$M$1359/Sens!$M$1334</f>
        <v>0.19726562886515</v>
      </c>
      <c r="N1360" s="13" t="n">
        <f aca="false">Sens!$N$1359/Sens!$N$1334</f>
        <v>0.551227795793364</v>
      </c>
      <c r="O1360" s="13" t="n">
        <f aca="false">Sens!$O$1359/Sens!$O$1334</f>
        <v>0.656132068597002</v>
      </c>
    </row>
    <row r="1361" customFormat="false" ht="17.15" hidden="false" customHeight="false" outlineLevel="0" collapsed="false">
      <c r="A1361" s="5" t="s">
        <v>656</v>
      </c>
      <c r="B1361" s="0" t="s">
        <v>86</v>
      </c>
      <c r="C1361" s="39" t="n">
        <v>0</v>
      </c>
      <c r="D1361" s="39" t="n">
        <v>0</v>
      </c>
      <c r="E1361" s="39" t="n">
        <v>0</v>
      </c>
      <c r="F1361" s="38" t="n">
        <f aca="false">IF(internal_ai_reading=2,1,0)*(1-ext_sh)/ext_sh*(mw_open*he_open+Sens!$F$1332*Sens!$F$1329)*Sens!$F$1318/1000</f>
        <v>3.46212295437561</v>
      </c>
      <c r="G1361" s="38" t="n">
        <f aca="false">Sens!$E$1361+Sens!$F$1361</f>
        <v>3.46212295437561</v>
      </c>
      <c r="H1361" s="38" t="n">
        <f aca="false">IF(internal_ai_reading=2,1,0)*(1-ext_sh)/ext_sh*(mw_open*he_open+Sens!$H$1332*Sens!$H$1329)*Sens!$H$1318/1000</f>
        <v>12.6400809568559</v>
      </c>
      <c r="I1361" s="38" t="n">
        <f aca="false">IF(internal_ai_reading=2,1,0)*(1-ext_sh)/ext_sh*(mw_open*he_open+Sens!$I$1332*Sens!$I$1329)*Sens!$I$1318/1000</f>
        <v>20.4538284576056</v>
      </c>
      <c r="J1361" s="38" t="n">
        <f aca="false">IF(internal_ai_reading=2,1,0)*(1-ext_sh)/ext_sh*(mw_open*he_open+Sens!$J$1332*Sens!$J$1329)*Sens!$J$1318/1000</f>
        <v>28.3023369995481</v>
      </c>
      <c r="K1361" s="38" t="n">
        <f aca="false">IF(internal_ai_reading=2,1,0)*(1-ext_sh)/ext_sh*(mw_open*he_open+Sens!$K$1332*Sens!$K$1329)*Sens!$K$1318/1000</f>
        <v>35.0055998557771</v>
      </c>
      <c r="L1361" s="38" t="n">
        <f aca="false">IF(internal_ai_reading=2,1,0)*(1-ext_sh)/ext_sh*(mw_open*he_open+Sens!$L$1332*Sens!$L$1329)*Sens!$L$1318/1000</f>
        <v>39.4286349957492</v>
      </c>
      <c r="M1361" s="38" t="n">
        <f aca="false">IF(internal_ai_reading=2,1,0)*(1-ext_sh)/ext_sh*(mw_open*he_open+Sens!$M$1332*Sens!$M$1329)*Sens!$M$1318/1000</f>
        <v>41.5658188984426</v>
      </c>
      <c r="N1361" s="39" t="n">
        <v>0</v>
      </c>
      <c r="O1361" s="39" t="n">
        <v>0</v>
      </c>
      <c r="P1361" s="8" t="s">
        <v>657</v>
      </c>
    </row>
    <row r="1362" customFormat="false" ht="17.15" hidden="false" customHeight="false" outlineLevel="0" collapsed="false">
      <c r="A1362" s="5" t="s">
        <v>658</v>
      </c>
      <c r="B1362" s="0" t="s">
        <v>86</v>
      </c>
      <c r="C1362" s="38" t="n">
        <f aca="false">(1-ext_sh)*(Sens!$C$1336+Sens!$C$1355)</f>
        <v>0.169206631859174</v>
      </c>
      <c r="D1362" s="38" t="n">
        <f aca="false">(1-ext_sh)*(Sens!$D$1336+Sens!$D$1355)</f>
        <v>0.828129837730442</v>
      </c>
      <c r="E1362" s="38" t="n">
        <f aca="false">(1-ext_sh)*(Sens!$E$1336+Sens!$E$1355)</f>
        <v>1.52086044239347</v>
      </c>
      <c r="F1362" s="38" t="n">
        <f aca="false">(1-ext_sh)*(Sens!$F$1336+Sens!$F$1355)</f>
        <v>1.79699933687072</v>
      </c>
      <c r="G1362" s="38" t="n">
        <f aca="false">(1-ext_sh)*(Sens!$G$1336+Sens!$G$1355)</f>
        <v>3.31785977926419</v>
      </c>
      <c r="H1362" s="38" t="n">
        <f aca="false">(1-ext_sh)*(Sens!$H$1336+Sens!$H$1355)</f>
        <v>8.65926479289821</v>
      </c>
      <c r="I1362" s="38" t="n">
        <f aca="false">(1-ext_sh)*(Sens!$I$1336+Sens!$I$1355)</f>
        <v>15.2148133566283</v>
      </c>
      <c r="J1362" s="38" t="n">
        <f aca="false">(1-ext_sh)*(Sens!$J$1336+Sens!$J$1355)</f>
        <v>21.0844775202025</v>
      </c>
      <c r="K1362" s="38" t="n">
        <f aca="false">(1-ext_sh)*(Sens!$K$1336+Sens!$K$1355)</f>
        <v>26.8650405363386</v>
      </c>
      <c r="L1362" s="38" t="n">
        <f aca="false">(1-ext_sh)*(Sens!$L$1336+Sens!$L$1355)</f>
        <v>30.8754897641256</v>
      </c>
      <c r="M1362" s="38" t="n">
        <f aca="false">(1-ext_sh)*(Sens!$M$1336+Sens!$M$1355)</f>
        <v>33.0976795461032</v>
      </c>
      <c r="N1362" s="38" t="n">
        <f aca="false">(1-ext_sh)*(Sens!$N$1336+Sens!$N$1355)</f>
        <v>0.34177588266428</v>
      </c>
      <c r="O1362" s="38" t="n">
        <f aca="false">(1-ext_sh)*(Sens!$O$1336+Sens!$O$1355)</f>
        <v>0.486353955066162</v>
      </c>
    </row>
    <row r="1363" customFormat="false" ht="17.15" hidden="false" customHeight="false" outlineLevel="0" collapsed="false">
      <c r="A1363" s="0" t="s">
        <v>659</v>
      </c>
      <c r="B1363" s="0" t="s">
        <v>86</v>
      </c>
      <c r="C1363" s="38" t="n">
        <f aca="false">Q!$D$24</f>
        <v>39.834</v>
      </c>
      <c r="D1363" s="38" t="n">
        <f aca="false">Q!$E$24</f>
        <v>45.606</v>
      </c>
      <c r="E1363" s="38" t="n">
        <f aca="false">Q!$P$24</f>
        <v>30.782</v>
      </c>
      <c r="N1363" s="38" t="n">
        <f aca="false">Q!$N$24</f>
        <v>21.707</v>
      </c>
      <c r="O1363" s="38" t="n">
        <f aca="false">Q!$O$24</f>
        <v>23.899</v>
      </c>
    </row>
    <row r="1364" customFormat="false" ht="17.15" hidden="false" customHeight="false" outlineLevel="0" collapsed="false">
      <c r="A1364" s="0" t="s">
        <v>660</v>
      </c>
      <c r="B1364" s="0" t="s">
        <v>86</v>
      </c>
      <c r="C1364" s="38" t="n">
        <f aca="false">Sens!$C$1363-Sens!$C$1359</f>
        <v>38.1898211704631</v>
      </c>
      <c r="D1364" s="38" t="n">
        <f aca="false">Sens!$D$1363-Sens!$D$1359</f>
        <v>40.2147492622706</v>
      </c>
      <c r="E1364" s="38" t="n">
        <f aca="false">Sens!$E$1363-Sens!$E$1359</f>
        <v>28.3550887940039</v>
      </c>
      <c r="F1364" s="38" t="n">
        <f aca="false">Sens!$F$1338*Sens!$F$1365</f>
        <v>25.9529793149447</v>
      </c>
      <c r="G1364" s="38" t="n">
        <f aca="false">Sens!$E$1364+Sens!$F$1364</f>
        <v>54.3080681089486</v>
      </c>
      <c r="H1364" s="38" t="n">
        <f aca="false">Sens!$H$1338*Sens!$H$1365</f>
        <v>58.2264684589333</v>
      </c>
      <c r="I1364" s="38" t="n">
        <f aca="false">Sens!$I$1338*Sens!$I$1365</f>
        <v>64.6461353851744</v>
      </c>
      <c r="J1364" s="38" t="n">
        <f aca="false">Sens!$J$1338*Sens!$J$1365</f>
        <v>70.7957093610231</v>
      </c>
      <c r="K1364" s="38" t="n">
        <f aca="false">Sens!$K$1338*Sens!$K$1365</f>
        <v>76.4593661099049</v>
      </c>
      <c r="L1364" s="38" t="n">
        <f aca="false">Sens!$L$1338*Sens!$L$1365</f>
        <v>82.5761153986973</v>
      </c>
      <c r="M1364" s="38" t="n">
        <f aca="false">Sens!$M$1338*Sens!$M$1365</f>
        <v>89.1822046305931</v>
      </c>
      <c r="N1364" s="38" t="n">
        <f aca="false">Sens!$N$1363-Sens!$N$1359</f>
        <v>20.0277839996292</v>
      </c>
      <c r="O1364" s="38" t="n">
        <f aca="false">Sens!$O$1363-Sens!$O$1359</f>
        <v>20.1869652626414</v>
      </c>
      <c r="P1364" s="5" t="s">
        <v>661</v>
      </c>
    </row>
    <row r="1365" customFormat="false" ht="17.15" hidden="false" customHeight="false" outlineLevel="0" collapsed="false">
      <c r="A1365" s="0" t="s">
        <v>662</v>
      </c>
      <c r="B1365" s="0" t="s">
        <v>52</v>
      </c>
      <c r="C1365" s="13" t="n">
        <f aca="false">Sens!$C$1364/Sens!$C$1338</f>
        <v>0.362900395443635</v>
      </c>
      <c r="D1365" s="13" t="n">
        <f aca="false">Sens!$D$1364/Sens!$D$1338</f>
        <v>0.335063632425483</v>
      </c>
      <c r="E1365" s="13" t="n">
        <f aca="false">Sens!$E$1364/Sens!$E$1338</f>
        <v>0.397638855555478</v>
      </c>
      <c r="F1365" s="13" t="n">
        <f aca="false">(Sens!$O$1364+Sens!$E$1364)/(Sens!$O$1338+Sens!$E$1338)</f>
        <v>0.361616727338133</v>
      </c>
      <c r="G1365" s="13" t="n">
        <f aca="false">Sens!$G$1364/Sens!$G$1338</f>
        <v>0.379569803149143</v>
      </c>
      <c r="H1365" s="13" t="n">
        <f aca="false">Sens!$F$1365</f>
        <v>0.361616727338133</v>
      </c>
      <c r="I1365" s="13" t="n">
        <f aca="false">Sens!$F$1365</f>
        <v>0.361616727338133</v>
      </c>
      <c r="J1365" s="13" t="n">
        <f aca="false">Sens!$F$1365</f>
        <v>0.361616727338133</v>
      </c>
      <c r="K1365" s="13" t="n">
        <f aca="false">Sens!$F$1365</f>
        <v>0.361616727338133</v>
      </c>
      <c r="L1365" s="13" t="n">
        <f aca="false">Sens!$F$1365</f>
        <v>0.361616727338133</v>
      </c>
      <c r="M1365" s="13" t="n">
        <f aca="false">Sens!$F$1365</f>
        <v>0.361616727338133</v>
      </c>
      <c r="N1365" s="13" t="n">
        <f aca="false">Sens!$N$1364/Sens!$N$1338</f>
        <v>0.35078810535806</v>
      </c>
      <c r="O1365" s="13" t="n">
        <f aca="false">Sens!$O$1364/Sens!$O$1338</f>
        <v>0.320796939361619</v>
      </c>
      <c r="P1365" s="8" t="s">
        <v>663</v>
      </c>
    </row>
    <row r="1366" customFormat="false" ht="17.15" hidden="false" customHeight="false" outlineLevel="0" collapsed="false">
      <c r="A1366" s="0" t="s">
        <v>664</v>
      </c>
      <c r="B1366" s="0" t="s">
        <v>52</v>
      </c>
      <c r="D1366" s="13" t="n">
        <f aca="false">(Q!$E$31-ext_sh*Sens!$D$1355)/Sens!$D$1338</f>
        <v>0.167180325480118</v>
      </c>
    </row>
    <row r="1367" customFormat="false" ht="17.15" hidden="false" customHeight="false" outlineLevel="0" collapsed="false">
      <c r="A1367" s="0" t="s">
        <v>665</v>
      </c>
      <c r="B1367" s="0" t="s">
        <v>86</v>
      </c>
      <c r="C1367" s="38" t="n">
        <f aca="false">Q!$D$31</f>
        <v>13.32</v>
      </c>
      <c r="D1367" s="38" t="n">
        <f aca="false">Q!$E$31</f>
        <v>21.45</v>
      </c>
      <c r="E1367" s="38" t="n">
        <f aca="false">Q!$P$31</f>
        <v>15.353</v>
      </c>
      <c r="F1367" s="38" t="n">
        <f aca="false">ext_sh*Sens!$F$1355+Sens!$D$1366*Sens!$F$1338</f>
        <v>16.1969869840094</v>
      </c>
      <c r="G1367" s="38" t="n">
        <f aca="false">Sens!$E$1367+Sens!$F$1367</f>
        <v>31.5499869840094</v>
      </c>
      <c r="H1367" s="38" t="n">
        <f aca="false">ext_sh*Sens!$H$1355+Sens!$D$1366*Sens!$H$1338</f>
        <v>50.9556213609176</v>
      </c>
      <c r="I1367" s="38" t="n">
        <f aca="false">ext_sh*Sens!$I$1355+Sens!$D$1366*Sens!$I$1338</f>
        <v>73.919955973427</v>
      </c>
      <c r="J1367" s="38" t="n">
        <f aca="false">ext_sh*Sens!$J$1355+Sens!$D$1366*Sens!$J$1338</f>
        <v>94.0043738832373</v>
      </c>
      <c r="K1367" s="38" t="n">
        <f aca="false">ext_sh*Sens!$K$1355+Sens!$D$1366*Sens!$K$1338</f>
        <v>114.41581117932</v>
      </c>
      <c r="L1367" s="38" t="n">
        <f aca="false">ext_sh*Sens!$L$1355+Sens!$D$1366*Sens!$L$1338</f>
        <v>129.769005469679</v>
      </c>
      <c r="M1367" s="38" t="n">
        <f aca="false">ext_sh*Sens!$M$1355+Sens!$D$1366*Sens!$M$1338</f>
        <v>140.009994075887</v>
      </c>
      <c r="N1367" s="38" t="n">
        <f aca="false">Q!$N$31</f>
        <v>9.234</v>
      </c>
      <c r="O1367" s="38" t="n">
        <f aca="false">Q!$O$31</f>
        <v>12.216</v>
      </c>
    </row>
    <row r="1368" customFormat="false" ht="17.15" hidden="false" customHeight="false" outlineLevel="0" collapsed="false">
      <c r="A1368" s="1" t="s">
        <v>666</v>
      </c>
    </row>
    <row r="1369" customFormat="false" ht="17.15" hidden="false" customHeight="false" outlineLevel="0" collapsed="false">
      <c r="A1369" s="15" t="s">
        <v>667</v>
      </c>
      <c r="B1369" s="14" t="s">
        <v>52</v>
      </c>
      <c r="C1369" s="14"/>
      <c r="D1369" s="14"/>
      <c r="E1369" s="14"/>
      <c r="F1369" s="14"/>
      <c r="G1369" s="17" t="n">
        <f aca="false">Sens!$G$1359*(1-tax)/(ext_sh*(Sens!$D$1356+Sens!$G$1356)/2)</f>
        <v>0.0559847957763108</v>
      </c>
      <c r="H1369" s="17" t="n">
        <f aca="false">Sens!$H$1359*(1-tax)/(ext_sh*(Sens!$G$1356+Sens!$H$1356)/2)</f>
        <v>0.054101502565527</v>
      </c>
      <c r="I1369" s="17" t="n">
        <f aca="false">Sens!$I$1359*(1-tax)/(ext_sh*(Sens!$H$1356+Sens!$I$1356)/2)</f>
        <v>0.0517806161382974</v>
      </c>
      <c r="J1369" s="17" t="n">
        <f aca="false">Sens!$J$1359*(1-tax)/(ext_sh*(Sens!$I$1356+Sens!$J$1356)/2)</f>
        <v>0.0583243746455142</v>
      </c>
      <c r="K1369" s="17" t="n">
        <f aca="false">Sens!$K$1359*(1-tax)/(ext_sh*(Sens!$J$1356+Sens!$K$1356)/2)</f>
        <v>0.0594160518837675</v>
      </c>
      <c r="L1369" s="17" t="n">
        <f aca="false">Sens!$L$1359*(1-tax)/(ext_sh*(Sens!$K$1356+Sens!$L$1356)/2)</f>
        <v>0.0612909047665032</v>
      </c>
      <c r="M1369" s="17" t="n">
        <f aca="false">Sens!$M$1359*(1-tax)/(ext_sh*(Sens!$L$1356+Sens!$M$1356)/2)</f>
        <v>0.0616151514915162</v>
      </c>
      <c r="N1369" s="14"/>
      <c r="O1369" s="14"/>
      <c r="P1369" s="8" t="s">
        <v>668</v>
      </c>
    </row>
    <row r="1370" customFormat="false" ht="17.15" hidden="false" customHeight="false" outlineLevel="0" collapsed="false">
      <c r="A1370" s="5" t="s">
        <v>669</v>
      </c>
      <c r="B1370" s="0" t="s">
        <v>57</v>
      </c>
      <c r="H1370" s="36" t="n">
        <f aca="false">Sens!$H$1334*1000/(mw_open*he_open+Sens!$H$1332*Sens!$H$1329)</f>
        <v>0.991949006767191</v>
      </c>
      <c r="I1370" s="36" t="n">
        <f aca="false">Sens!$I$1334*1000/(mw_open*he_open+Sens!$I$1332*Sens!$I$1329)</f>
        <v>0.991949006767191</v>
      </c>
      <c r="J1370" s="36" t="n">
        <f aca="false">Sens!$J$1334*1000/(mw_open*he_open+Sens!$J$1332*Sens!$J$1329)</f>
        <v>0.991949006767192</v>
      </c>
      <c r="K1370" s="36" t="n">
        <f aca="false">Sens!$K$1334*1000/(mw_open*he_open+Sens!$K$1332*Sens!$K$1329)</f>
        <v>0.991949006767192</v>
      </c>
      <c r="L1370" s="36" t="n">
        <f aca="false">Sens!$L$1334*1000/(mw_open*he_open+Sens!$L$1332*Sens!$L$1329)</f>
        <v>0.991949006767191</v>
      </c>
      <c r="M1370" s="36" t="n">
        <f aca="false">Sens!$M$1334*1000/(mw_open*he_open+Sens!$M$1332*Sens!$M$1329)</f>
        <v>0.991949006767191</v>
      </c>
    </row>
    <row r="1371" customFormat="false" ht="17.15" hidden="false" customHeight="false" outlineLevel="0" collapsed="false">
      <c r="A1371" s="5" t="s">
        <v>670</v>
      </c>
      <c r="B1371" s="0" t="s">
        <v>57</v>
      </c>
      <c r="H1371" s="36" t="n">
        <f aca="false">Sens!$H$1370*(Sens!$H$1334+wacc*ext_sh*(Sens!$G$1356+Sens!$H$1356)/2/(1-tax)-Sens!$H$1359)/Sens!$H$1334</f>
        <v>1.32773152251079</v>
      </c>
      <c r="I1371" s="36" t="n">
        <f aca="false">Sens!$I$1370*(Sens!$I$1334+wacc*ext_sh*(Sens!$H$1356+Sens!$I$1356)/2/(1-tax)-Sens!$I$1359)/Sens!$I$1334</f>
        <v>1.28668396405866</v>
      </c>
      <c r="J1371" s="36" t="n">
        <f aca="false">Sens!$J$1370*(Sens!$J$1334+wacc*ext_sh*(Sens!$I$1356+Sens!$J$1356)/2/(1-tax)-Sens!$J$1359)/Sens!$J$1334</f>
        <v>1.22473371801047</v>
      </c>
      <c r="K1371" s="36" t="n">
        <f aca="false">Sens!$K$1370*(Sens!$K$1334+wacc*ext_sh*(Sens!$J$1356+Sens!$K$1356)/2/(1-tax)-Sens!$K$1359)/Sens!$K$1334</f>
        <v>1.19553582811117</v>
      </c>
      <c r="L1371" s="36" t="n">
        <f aca="false">Sens!$L$1370*(Sens!$L$1334+wacc*ext_sh*(Sens!$K$1356+Sens!$L$1356)/2/(1-tax)-Sens!$L$1359)/Sens!$L$1334</f>
        <v>1.16918454741212</v>
      </c>
      <c r="M1371" s="36" t="n">
        <f aca="false">Sens!$M$1370*(Sens!$M$1334+wacc*ext_sh*(Sens!$L$1356+Sens!$M$1356)/2/(1-tax)-Sens!$M$1359)/Sens!$M$1334</f>
        <v>1.15608160299117</v>
      </c>
    </row>
    <row r="1372" customFormat="false" ht="17.15" hidden="false" customHeight="false" outlineLevel="0" collapsed="false">
      <c r="A1372" s="5" t="s">
        <v>671</v>
      </c>
      <c r="B1372" s="0" t="s">
        <v>52</v>
      </c>
      <c r="C1372" s="13" t="n">
        <f aca="false">Sens!$C$1335/tk_pq</f>
        <v>0.195316432429398</v>
      </c>
      <c r="D1372" s="13" t="n">
        <f aca="false">Sens!$D$1335/tk_pq</f>
        <v>0.195316432429398</v>
      </c>
      <c r="E1372" s="13" t="n">
        <f aca="false">Sens!$E$1335/tk_pq</f>
        <v>0.195316432429398</v>
      </c>
      <c r="F1372" s="13" t="n">
        <f aca="false">Sens!$F$1335/tk_pq</f>
        <v>0.200937719008675</v>
      </c>
      <c r="G1372" s="13" t="n">
        <f aca="false">Sens!$G$1335/tk_pq</f>
        <v>0.198749592322125</v>
      </c>
      <c r="H1372" s="13" t="n">
        <f aca="false">Sens!$H$1335/tk_pq</f>
        <v>0.210772603626741</v>
      </c>
      <c r="I1372" s="13" t="n">
        <f aca="false">Sens!$I$1335/tk_pq</f>
        <v>0.217630235595727</v>
      </c>
      <c r="J1372" s="13" t="n">
        <f aca="false">Sens!$J$1335/tk_pq</f>
        <v>0.221114769661761</v>
      </c>
      <c r="K1372" s="13" t="n">
        <f aca="false">Sens!$K$1335/tk_pq</f>
        <v>0.222868364194653</v>
      </c>
      <c r="L1372" s="13" t="n">
        <f aca="false">Sens!$L$1335/tk_pq</f>
        <v>0.223707772782817</v>
      </c>
      <c r="M1372" s="13" t="n">
        <f aca="false">Sens!$M$1335/tk_pq</f>
        <v>0.224020420607819</v>
      </c>
      <c r="N1372" s="13" t="n">
        <f aca="false">Sens!$N$1335/tk_pq</f>
        <v>0.195316432429398</v>
      </c>
      <c r="O1372" s="13" t="n">
        <f aca="false">Sens!$O$1335/tk_pq</f>
        <v>0.195316432429398</v>
      </c>
      <c r="P1372" s="5" t="s">
        <v>672</v>
      </c>
    </row>
    <row r="1375" customFormat="false" ht="17.15" hidden="false" customHeight="false" outlineLevel="0" collapsed="false">
      <c r="A1375" s="1" t="s">
        <v>701</v>
      </c>
    </row>
    <row r="1376" customFormat="false" ht="17.15" hidden="false" customHeight="false" outlineLevel="0" collapsed="false">
      <c r="A1376" s="0" t="s">
        <v>702</v>
      </c>
      <c r="B1376" s="0" t="s">
        <v>86</v>
      </c>
      <c r="C1376" s="38" t="n">
        <f aca="false">Sens!$C$1334</f>
        <v>2.32100535697364</v>
      </c>
      <c r="D1376" s="38" t="n">
        <f aca="false">Sens!$D$1334</f>
        <v>8.70377008865116</v>
      </c>
      <c r="E1376" s="38" t="n">
        <f aca="false">Sens!$E$1334</f>
        <v>8.51035297557002</v>
      </c>
      <c r="F1376" s="38" t="n">
        <f aca="false">Sens!$F$1334</f>
        <v>13.7369977035951</v>
      </c>
      <c r="G1376" s="38" t="n">
        <f aca="false">Sens!$G$1334</f>
        <v>22.2473506791651</v>
      </c>
      <c r="H1376" s="38" t="n">
        <f aca="false">Sens!$H$1334</f>
        <v>50.1532630024405</v>
      </c>
      <c r="I1376" s="38" t="n">
        <f aca="false">Sens!$I$1334</f>
        <v>81.1566192924336</v>
      </c>
      <c r="J1376" s="38" t="n">
        <f aca="false">Sens!$J$1334</f>
        <v>112.297900303568</v>
      </c>
      <c r="K1376" s="38" t="n">
        <f aca="false">Sens!$K$1334</f>
        <v>138.895080032911</v>
      </c>
      <c r="L1376" s="38" t="n">
        <f aca="false">Sens!$L$1334</f>
        <v>156.444781288878</v>
      </c>
      <c r="M1376" s="38" t="n">
        <f aca="false">Sens!$M$1334</f>
        <v>164.9246910871</v>
      </c>
      <c r="N1376" s="38" t="n">
        <f aca="false">Sens!$N$1334</f>
        <v>3.04631953102791</v>
      </c>
      <c r="O1376" s="38" t="n">
        <f aca="false">Sens!$O$1334</f>
        <v>5.65745055762326</v>
      </c>
      <c r="P1376" s="8" t="s">
        <v>703</v>
      </c>
    </row>
    <row r="1377" customFormat="false" ht="17.15" hidden="false" customHeight="false" outlineLevel="0" collapsed="false">
      <c r="A1377" s="0" t="s">
        <v>704</v>
      </c>
      <c r="B1377" s="0" t="s">
        <v>86</v>
      </c>
      <c r="C1377" s="38" t="n">
        <f aca="false">Sens!$C$1338</f>
        <v>105.234994643026</v>
      </c>
      <c r="D1377" s="38" t="n">
        <f aca="false">Sens!$D$1338</f>
        <v>120.021229911349</v>
      </c>
      <c r="E1377" s="38" t="n">
        <f aca="false">Sens!$E$1338</f>
        <v>71.30864702443</v>
      </c>
      <c r="F1377" s="38" t="n">
        <f aca="false">Sens!$F$1338</f>
        <v>71.7692997942464</v>
      </c>
      <c r="G1377" s="38" t="n">
        <f aca="false">Sens!$G$1338</f>
        <v>143.077946818676</v>
      </c>
      <c r="H1377" s="38" t="n">
        <f aca="false">Sens!$H$1338</f>
        <v>161.017077079203</v>
      </c>
      <c r="I1377" s="38" t="n">
        <f aca="false">Sens!$I$1338</f>
        <v>178.769759521457</v>
      </c>
      <c r="J1377" s="38" t="n">
        <f aca="false">Sens!$J$1338</f>
        <v>195.775538045907</v>
      </c>
      <c r="K1377" s="38" t="n">
        <f aca="false">Sens!$K$1338</f>
        <v>211.43758108958</v>
      </c>
      <c r="L1377" s="38" t="n">
        <f aca="false">Sens!$L$1338</f>
        <v>228.352587576746</v>
      </c>
      <c r="M1377" s="38" t="n">
        <f aca="false">Sens!$M$1338</f>
        <v>246.620794582886</v>
      </c>
      <c r="N1377" s="38" t="n">
        <f aca="false">Sens!$N$1338</f>
        <v>57.0936804689721</v>
      </c>
      <c r="O1377" s="38" t="n">
        <f aca="false">Sens!$O$1338</f>
        <v>62.9275494423768</v>
      </c>
      <c r="P1377" s="8" t="s">
        <v>703</v>
      </c>
    </row>
    <row r="1378" customFormat="false" ht="17.15" hidden="false" customHeight="false" outlineLevel="0" collapsed="false">
      <c r="A1378" s="1" t="s">
        <v>523</v>
      </c>
      <c r="B1378" s="8" t="s">
        <v>86</v>
      </c>
      <c r="C1378" s="38" t="n">
        <f aca="false">Q!$D$7</f>
        <v>107.556</v>
      </c>
      <c r="D1378" s="38" t="n">
        <f aca="false">Q!$E$7</f>
        <v>128.725</v>
      </c>
      <c r="E1378" s="38" t="n">
        <f aca="false">Q!$P$7</f>
        <v>79.819</v>
      </c>
      <c r="F1378" s="38" t="n">
        <f aca="false">Sens!$F$1376+Sens!$F$1377</f>
        <v>85.5062974978415</v>
      </c>
      <c r="G1378" s="38" t="n">
        <f aca="false">Sens!$G$1376+Sens!$G$1377</f>
        <v>165.325297497842</v>
      </c>
      <c r="H1378" s="38" t="n">
        <f aca="false">Sens!$H$1376+Sens!$H$1377</f>
        <v>211.170340081644</v>
      </c>
      <c r="I1378" s="38" t="n">
        <f aca="false">Sens!$I$1376+Sens!$I$1377</f>
        <v>259.926378813891</v>
      </c>
      <c r="J1378" s="38" t="n">
        <f aca="false">Sens!$J$1376+Sens!$J$1377</f>
        <v>308.073438349475</v>
      </c>
      <c r="K1378" s="38" t="n">
        <f aca="false">Sens!$K$1376+Sens!$K$1377</f>
        <v>350.332661122491</v>
      </c>
      <c r="L1378" s="38" t="n">
        <f aca="false">Sens!$L$1376+Sens!$L$1377</f>
        <v>384.797368865624</v>
      </c>
      <c r="M1378" s="38" t="n">
        <f aca="false">Sens!$M$1376+Sens!$M$1377</f>
        <v>411.545485669986</v>
      </c>
      <c r="N1378" s="38" t="n">
        <f aca="false">Q!$N$7</f>
        <v>60.14</v>
      </c>
      <c r="O1378" s="38" t="n">
        <f aca="false">Q!$O$7</f>
        <v>68.585</v>
      </c>
      <c r="P1378" s="5" t="s">
        <v>705</v>
      </c>
    </row>
    <row r="1379" customFormat="false" ht="15" hidden="false" customHeight="false" outlineLevel="0" collapsed="false">
      <c r="A1379" s="3" t="s">
        <v>706</v>
      </c>
      <c r="B1379" s="8" t="s">
        <v>86</v>
      </c>
      <c r="C1379" s="38" t="n">
        <f aca="false">Q!$D$8</f>
        <v>637.959</v>
      </c>
      <c r="D1379" s="38" t="n">
        <f aca="false">Q!$E$8</f>
        <v>716.924</v>
      </c>
      <c r="E1379" s="38" t="n">
        <f aca="false">Q!$P$8</f>
        <v>382.125</v>
      </c>
      <c r="F1379" s="38" t="n">
        <f aca="false">Sens!$F$1306+Sens!$F$1378</f>
        <v>434.554539143379</v>
      </c>
      <c r="G1379" s="38" t="n">
        <f aca="false">Sens!$G$1306+Sens!$G$1378</f>
        <v>816.679539143379</v>
      </c>
      <c r="H1379" s="38" t="n">
        <f aca="false">Sens!$H$1306+Sens!$H$1378</f>
        <v>932.26722960303</v>
      </c>
      <c r="I1379" s="38" t="n">
        <f aca="false">Sens!$I$1306+Sens!$I$1378</f>
        <v>1048.45576996642</v>
      </c>
      <c r="J1379" s="38" t="n">
        <f aca="false">Sens!$J$1306+Sens!$J$1378</f>
        <v>1159.18184409092</v>
      </c>
      <c r="K1379" s="38" t="n">
        <f aca="false">Sens!$K$1306+Sens!$K$1378</f>
        <v>1256.50911655358</v>
      </c>
      <c r="L1379" s="38" t="n">
        <f aca="false">Sens!$L$1306+Sens!$L$1378</f>
        <v>1349.89047534121</v>
      </c>
      <c r="M1379" s="38" t="n">
        <f aca="false">Sens!$M$1306+Sens!$M$1378</f>
        <v>1439.69339361687</v>
      </c>
      <c r="N1379" s="38" t="n">
        <f aca="false">Q!$N$8</f>
        <v>323.369</v>
      </c>
      <c r="O1379" s="38" t="n">
        <f aca="false">Q!$O$8</f>
        <v>393.555</v>
      </c>
    </row>
    <row r="1380" customFormat="false" ht="17.15" hidden="false" customHeight="false" outlineLevel="0" collapsed="false">
      <c r="A1380" s="24" t="s">
        <v>714</v>
      </c>
      <c r="B1380" s="25" t="s">
        <v>86</v>
      </c>
      <c r="C1380" s="41" t="n">
        <f aca="false">Sens!$C$1306-(Sens!$C$1308+Sens!$C$1309)</f>
        <v>0</v>
      </c>
      <c r="D1380" s="41" t="n">
        <f aca="false">Sens!$D$1306-(Sens!$D$1308+Sens!$D$1309)</f>
        <v>0</v>
      </c>
      <c r="E1380" s="41" t="n">
        <f aca="false">Sens!$E$1306-(Sens!$E$1308+Sens!$E$1309)</f>
        <v>0</v>
      </c>
      <c r="F1380" s="41" t="n">
        <f aca="false">Sens!$F$1306-(Sens!$F$1308+Sens!$F$1309)</f>
        <v>0</v>
      </c>
      <c r="G1380" s="41" t="n">
        <f aca="false">Sens!$G$1306-(Sens!$G$1308+Sens!$G$1309)</f>
        <v>0</v>
      </c>
      <c r="H1380" s="41" t="n">
        <f aca="false">Sens!$H$1306-(Sens!$H$1308+Sens!$H$1309)</f>
        <v>0</v>
      </c>
      <c r="I1380" s="41" t="n">
        <f aca="false">Sens!$I$1306-(Sens!$I$1308+Sens!$I$1309)</f>
        <v>0</v>
      </c>
      <c r="J1380" s="41" t="n">
        <f aca="false">Sens!$J$1306-(Sens!$J$1308+Sens!$J$1309)</f>
        <v>0</v>
      </c>
      <c r="K1380" s="41" t="n">
        <f aca="false">Sens!$K$1306-(Sens!$K$1308+Sens!$K$1309)</f>
        <v>0</v>
      </c>
      <c r="L1380" s="41" t="n">
        <f aca="false">Sens!$L$1306-(Sens!$L$1308+Sens!$L$1309)</f>
        <v>0</v>
      </c>
      <c r="M1380" s="41" t="n">
        <f aca="false">Sens!$M$1306-(Sens!$M$1308+Sens!$M$1309)</f>
        <v>0</v>
      </c>
      <c r="N1380" s="41" t="n">
        <f aca="false">Sens!$N$1306-(Sens!$N$1308+Sens!$N$1309)</f>
        <v>0</v>
      </c>
      <c r="O1380" s="41" t="n">
        <f aca="false">Sens!$O$1306-(Sens!$O$1308+Sens!$O$1309)</f>
        <v>0</v>
      </c>
    </row>
    <row r="1381" customFormat="false" ht="17.15" hidden="false" customHeight="false" outlineLevel="0" collapsed="false">
      <c r="A1381" s="24" t="s">
        <v>715</v>
      </c>
      <c r="B1381" s="25" t="s">
        <v>86</v>
      </c>
      <c r="C1381" s="41" t="n">
        <f aca="false">Sens!$C$1376+Sens!$C$1377-Sens!$C$1378</f>
        <v>0</v>
      </c>
      <c r="D1381" s="41" t="n">
        <f aca="false">Sens!$D$1376+Sens!$D$1377-Sens!$D$1378</f>
        <v>0</v>
      </c>
      <c r="E1381" s="41" t="n">
        <f aca="false">Sens!$E$1376+Sens!$E$1377-Sens!$E$1378</f>
        <v>0</v>
      </c>
      <c r="F1381" s="41" t="n">
        <f aca="false">Sens!$F$1376+Sens!$F$1377-Sens!$F$1378</f>
        <v>0</v>
      </c>
      <c r="G1381" s="41" t="n">
        <f aca="false">Sens!$G$1376+Sens!$G$1377-Sens!$G$1378</f>
        <v>0</v>
      </c>
      <c r="H1381" s="41" t="n">
        <f aca="false">Sens!$H$1376+Sens!$H$1377-Sens!$H$1378</f>
        <v>0</v>
      </c>
      <c r="I1381" s="41" t="n">
        <f aca="false">Sens!$I$1376+Sens!$I$1377-Sens!$I$1378</f>
        <v>0</v>
      </c>
      <c r="J1381" s="41" t="n">
        <f aca="false">Sens!$J$1376+Sens!$J$1377-Sens!$J$1378</f>
        <v>0</v>
      </c>
      <c r="K1381" s="41" t="n">
        <f aca="false">Sens!$K$1376+Sens!$K$1377-Sens!$K$1378</f>
        <v>0</v>
      </c>
      <c r="L1381" s="41" t="n">
        <f aca="false">Sens!$L$1376+Sens!$L$1377-Sens!$L$1378</f>
        <v>0</v>
      </c>
      <c r="M1381" s="41" t="n">
        <f aca="false">Sens!$M$1376+Sens!$M$1377-Sens!$M$1378</f>
        <v>0</v>
      </c>
      <c r="N1381" s="41" t="n">
        <f aca="false">Sens!$N$1376+Sens!$N$1377-Sens!$N$1378</f>
        <v>0</v>
      </c>
      <c r="O1381" s="41" t="n">
        <f aca="false">Sens!$O$1376+Sens!$O$1377-Sens!$O$1378</f>
        <v>0</v>
      </c>
    </row>
    <row r="1382" customFormat="false" ht="17.15" hidden="false" customHeight="false" outlineLevel="0" collapsed="false">
      <c r="A1382" s="24" t="s">
        <v>716</v>
      </c>
      <c r="B1382" s="25" t="s">
        <v>86</v>
      </c>
      <c r="C1382" s="41" t="n">
        <f aca="false">Sens!$C$1308+Sens!$C$1309+Sens!$C$1378-Sens!$C$1379</f>
        <v>0</v>
      </c>
      <c r="D1382" s="41" t="n">
        <f aca="false">Sens!$D$1308+Sens!$D$1309+Sens!$D$1378-Sens!$D$1379</f>
        <v>0</v>
      </c>
      <c r="E1382" s="41" t="n">
        <f aca="false">Sens!$E$1308+Sens!$E$1309+Sens!$E$1378-Sens!$E$1379</f>
        <v>0</v>
      </c>
      <c r="F1382" s="41" t="n">
        <f aca="false">Sens!$F$1308+Sens!$F$1309+Sens!$F$1378-Sens!$F$1379</f>
        <v>0</v>
      </c>
      <c r="G1382" s="41" t="n">
        <f aca="false">Sens!$G$1308+Sens!$G$1309+Sens!$G$1378-Sens!$G$1379</f>
        <v>0</v>
      </c>
      <c r="H1382" s="41" t="n">
        <f aca="false">Sens!$H$1308+Sens!$H$1309+Sens!$H$1378-Sens!$H$1379</f>
        <v>0</v>
      </c>
      <c r="I1382" s="41" t="n">
        <f aca="false">Sens!$I$1308+Sens!$I$1309+Sens!$I$1378-Sens!$I$1379</f>
        <v>0</v>
      </c>
      <c r="J1382" s="41" t="n">
        <f aca="false">Sens!$J$1308+Sens!$J$1309+Sens!$J$1378-Sens!$J$1379</f>
        <v>0</v>
      </c>
      <c r="K1382" s="41" t="n">
        <f aca="false">Sens!$K$1308+Sens!$K$1309+Sens!$K$1378-Sens!$K$1379</f>
        <v>0</v>
      </c>
      <c r="L1382" s="41" t="n">
        <f aca="false">Sens!$L$1308+Sens!$L$1309+Sens!$L$1378-Sens!$L$1379</f>
        <v>0</v>
      </c>
      <c r="M1382" s="41" t="n">
        <f aca="false">Sens!$M$1308+Sens!$M$1309+Sens!$M$1378-Sens!$M$1379</f>
        <v>0</v>
      </c>
      <c r="N1382" s="41" t="n">
        <f aca="false">Sens!$N$1308+Sens!$N$1309+Sens!$N$1378-Sens!$N$1379</f>
        <v>0</v>
      </c>
      <c r="O1382" s="41" t="n">
        <f aca="false">Sens!$O$1308+Sens!$O$1309+Sens!$O$1378-Sens!$O$1379</f>
        <v>0</v>
      </c>
    </row>
    <row r="1383" customFormat="false" ht="15" hidden="false" customHeight="false" outlineLevel="0" collapsed="false">
      <c r="A1383" s="5" t="s">
        <v>710</v>
      </c>
      <c r="B1383" s="0" t="s">
        <v>52</v>
      </c>
      <c r="G1383" s="13" t="n">
        <f aca="false">Sens!$G$1379/Sens!$D$1379-1</f>
        <v>0.13914381321225</v>
      </c>
      <c r="H1383" s="13" t="n">
        <f aca="false">Sens!$H$1379/Sens!$G$1379-1</f>
        <v>0.141533716616547</v>
      </c>
      <c r="I1383" s="13" t="n">
        <f aca="false">Sens!$I$1379/Sens!$H$1379-1</f>
        <v>0.124630081026088</v>
      </c>
      <c r="J1383" s="13" t="n">
        <f aca="false">Sens!$J$1379/Sens!$I$1379-1</f>
        <v>0.105608722176274</v>
      </c>
      <c r="K1383" s="13" t="n">
        <f aca="false">Sens!$K$1379/Sens!$J$1379-1</f>
        <v>0.0839620400878427</v>
      </c>
      <c r="L1383" s="13" t="n">
        <f aca="false">Sens!$L$1379/Sens!$K$1379-1</f>
        <v>0.0743180909373469</v>
      </c>
      <c r="M1383" s="13" t="n">
        <f aca="false">Sens!$M$1379/Sens!$L$1379-1</f>
        <v>0.0665260774233998</v>
      </c>
    </row>
    <row r="1384" customFormat="false" ht="17.15" hidden="false" customHeight="false" outlineLevel="0" collapsed="false">
      <c r="A1384" s="0" t="s">
        <v>711</v>
      </c>
      <c r="B1384" s="0" t="s">
        <v>52</v>
      </c>
      <c r="C1384" s="13" t="n">
        <f aca="false">Sens!$C$1378/Sens!$C$1379</f>
        <v>0.168593906504964</v>
      </c>
      <c r="D1384" s="13" t="n">
        <f aca="false">Sens!$D$1378/Sens!$D$1379</f>
        <v>0.179551807444025</v>
      </c>
      <c r="E1384" s="13" t="n">
        <f aca="false">Sens!$E$1378/Sens!$E$1379</f>
        <v>0.208881910369643</v>
      </c>
      <c r="F1384" s="13" t="n">
        <f aca="false">Sens!$F$1378/Sens!$F$1379</f>
        <v>0.196767700704259</v>
      </c>
      <c r="G1384" s="13" t="n">
        <f aca="false">Sens!$G$1378/Sens!$G$1379</f>
        <v>0.202435948954044</v>
      </c>
      <c r="H1384" s="13" t="n">
        <f aca="false">Sens!$H$1378/Sens!$H$1379</f>
        <v>0.226512670805304</v>
      </c>
      <c r="I1384" s="13" t="n">
        <f aca="false">Sens!$I$1378/Sens!$I$1379</f>
        <v>0.247913537470651</v>
      </c>
      <c r="J1384" s="13" t="n">
        <f aca="false">Sens!$J$1378/Sens!$J$1379</f>
        <v>0.265767998282513</v>
      </c>
      <c r="K1384" s="13" t="n">
        <f aca="false">Sens!$K$1378/Sens!$K$1379</f>
        <v>0.27881426127922</v>
      </c>
      <c r="L1384" s="13" t="n">
        <f aca="false">Sens!$L$1378/Sens!$L$1379</f>
        <v>0.285058214643939</v>
      </c>
      <c r="M1384" s="13" t="n">
        <f aca="false">Sens!$M$1378/Sens!$M$1379</f>
        <v>0.285856341006108</v>
      </c>
      <c r="N1384" s="13" t="n">
        <f aca="false">Sens!$N$1378/Sens!$N$1379</f>
        <v>0.185979484737251</v>
      </c>
      <c r="O1384" s="13" t="n">
        <f aca="false">Sens!$O$1378/Sens!$O$1379</f>
        <v>0.174270432341096</v>
      </c>
    </row>
    <row r="1385" customFormat="false" ht="17.15" hidden="false" customHeight="false" outlineLevel="0" collapsed="false">
      <c r="A1385" s="0" t="s">
        <v>712</v>
      </c>
      <c r="B1385" s="0" t="s">
        <v>52</v>
      </c>
      <c r="C1385" s="13" t="n">
        <f aca="false">Sens!$C$1376/Sens!$C$1378</f>
        <v>0.0215795060896058</v>
      </c>
      <c r="D1385" s="13" t="n">
        <f aca="false">Sens!$D$1376/Sens!$D$1378</f>
        <v>0.0676152269462122</v>
      </c>
      <c r="E1385" s="13" t="n">
        <f aca="false">Sens!$E$1376/Sens!$E$1378</f>
        <v>0.106620641395783</v>
      </c>
      <c r="F1385" s="13" t="n">
        <f aca="false">Sens!$F$1376/Sens!$F$1378</f>
        <v>0.160654806787089</v>
      </c>
      <c r="G1385" s="13" t="n">
        <f aca="false">Sens!$G$1376/Sens!$G$1378</f>
        <v>0.134567129264991</v>
      </c>
      <c r="H1385" s="13" t="n">
        <f aca="false">Sens!$H$1376/Sens!$H$1378</f>
        <v>0.237501454906262</v>
      </c>
      <c r="I1385" s="13" t="n">
        <f aca="false">Sens!$I$1376/Sens!$I$1378</f>
        <v>0.3122292537709</v>
      </c>
      <c r="J1385" s="13" t="n">
        <f aca="false">Sens!$J$1376/Sens!$J$1378</f>
        <v>0.364516658447453</v>
      </c>
      <c r="K1385" s="13" t="n">
        <f aca="false">Sens!$K$1376/Sens!$K$1378</f>
        <v>0.396466260347755</v>
      </c>
      <c r="L1385" s="13" t="n">
        <f aca="false">Sens!$L$1376/Sens!$L$1378</f>
        <v>0.406564061885544</v>
      </c>
      <c r="M1385" s="13" t="n">
        <f aca="false">Sens!$M$1376/Sens!$M$1378</f>
        <v>0.400744745914554</v>
      </c>
      <c r="N1385" s="13" t="n">
        <f aca="false">Sens!$N$1376/Sens!$N$1378</f>
        <v>0.0506537999838362</v>
      </c>
      <c r="O1385" s="13" t="n">
        <f aca="false">Sens!$O$1376/Sens!$O$1378</f>
        <v>0.0824881615167056</v>
      </c>
    </row>
    <row r="1388" customFormat="false" ht="19.4" hidden="false" customHeight="false" outlineLevel="0" collapsed="false">
      <c r="A1388" s="31" t="s">
        <v>1179</v>
      </c>
    </row>
    <row r="1389" customFormat="false" ht="17.15" hidden="false" customHeight="false" outlineLevel="0" collapsed="false">
      <c r="A1389" s="6" t="s">
        <v>16</v>
      </c>
      <c r="B1389" s="6" t="s">
        <v>17</v>
      </c>
      <c r="C1389" s="20" t="s">
        <v>504</v>
      </c>
      <c r="D1389" s="20" t="s">
        <v>505</v>
      </c>
      <c r="E1389" s="20" t="s">
        <v>587</v>
      </c>
      <c r="F1389" s="20" t="s">
        <v>588</v>
      </c>
      <c r="G1389" s="20" t="s">
        <v>589</v>
      </c>
      <c r="H1389" s="20" t="s">
        <v>590</v>
      </c>
      <c r="I1389" s="20" t="s">
        <v>591</v>
      </c>
      <c r="J1389" s="20" t="s">
        <v>592</v>
      </c>
      <c r="K1389" s="20" t="s">
        <v>593</v>
      </c>
      <c r="L1389" s="20" t="s">
        <v>594</v>
      </c>
      <c r="M1389" s="20" t="s">
        <v>595</v>
      </c>
      <c r="N1389" s="20" t="s">
        <v>596</v>
      </c>
      <c r="O1389" s="20" t="s">
        <v>597</v>
      </c>
      <c r="P1389" s="6" t="s">
        <v>23</v>
      </c>
      <c r="R1389" s="20" t="n">
        <v>2023</v>
      </c>
      <c r="S1389" s="20" t="n">
        <v>2024</v>
      </c>
      <c r="T1389" s="20" t="n">
        <v>2025</v>
      </c>
      <c r="U1389" s="20" t="n">
        <v>2026</v>
      </c>
      <c r="V1389" s="20" t="n">
        <v>2027</v>
      </c>
      <c r="W1389" s="20" t="n">
        <v>2028</v>
      </c>
      <c r="X1389" s="20" t="n">
        <v>2029</v>
      </c>
      <c r="Y1389" s="20" t="n">
        <v>2030</v>
      </c>
      <c r="Z1389" s="20" t="n">
        <v>2031</v>
      </c>
      <c r="AA1389" s="20" t="n">
        <v>2032</v>
      </c>
    </row>
    <row r="1390" customFormat="false" ht="17.15" hidden="false" customHeight="false" outlineLevel="0" collapsed="false">
      <c r="A1390" s="1" t="s">
        <v>727</v>
      </c>
    </row>
    <row r="1391" customFormat="false" ht="15" hidden="false" customHeight="false" outlineLevel="0" collapsed="false">
      <c r="A1391" s="0" t="s">
        <v>526</v>
      </c>
      <c r="B1391" s="0" t="s">
        <v>86</v>
      </c>
      <c r="C1391" s="38" t="n">
        <f aca="false">Sens!$C$1293</f>
        <v>247.029</v>
      </c>
      <c r="D1391" s="38" t="n">
        <f aca="false">Sens!$D$1293</f>
        <v>269.287</v>
      </c>
      <c r="E1391" s="38" t="n">
        <f aca="false">Sens!$E$1293</f>
        <v>134.686</v>
      </c>
      <c r="F1391" s="38" t="n">
        <f aca="false">Sens!$F$1293</f>
        <v>158.293876822267</v>
      </c>
      <c r="G1391" s="38" t="n">
        <f aca="false">Sens!$G$1293</f>
        <v>292.979876822267</v>
      </c>
      <c r="H1391" s="38" t="n">
        <f aca="false">Sens!$H$1293</f>
        <v>318.184543087396</v>
      </c>
      <c r="I1391" s="38" t="n">
        <f aca="false">Sens!$I$1293</f>
        <v>341.736278761793</v>
      </c>
      <c r="J1391" s="38" t="n">
        <f aca="false">Sens!$J$1293</f>
        <v>362.927192787048</v>
      </c>
      <c r="K1391" s="38" t="n">
        <f aca="false">Sens!$K$1293</f>
        <v>381.0735524264</v>
      </c>
      <c r="L1391" s="38" t="n">
        <f aca="false">Sens!$L$1293</f>
        <v>400.12723004772</v>
      </c>
      <c r="M1391" s="38" t="n">
        <f aca="false">Sens!$M$1293</f>
        <v>420.133591550106</v>
      </c>
      <c r="N1391" s="38" t="n">
        <f aca="false">Sens!$N$1293</f>
        <v>118.892</v>
      </c>
      <c r="O1391" s="38" t="n">
        <f aca="false">Sens!$O$1293</f>
        <v>150.395</v>
      </c>
    </row>
    <row r="1392" customFormat="false" ht="15" hidden="false" customHeight="false" outlineLevel="0" collapsed="false">
      <c r="A1392" s="0" t="s">
        <v>527</v>
      </c>
      <c r="B1392" s="0" t="s">
        <v>86</v>
      </c>
      <c r="C1392" s="38" t="n">
        <f aca="false">Sens!$C$1295</f>
        <v>21.215</v>
      </c>
      <c r="D1392" s="38" t="n">
        <f aca="false">Sens!$D$1295</f>
        <v>22.561</v>
      </c>
      <c r="E1392" s="38" t="n">
        <f aca="false">Sens!$E$1295</f>
        <v>11.579</v>
      </c>
      <c r="F1392" s="38" t="n">
        <f aca="false">Sens!$F$1295</f>
        <v>11.5938724610325</v>
      </c>
      <c r="G1392" s="38" t="n">
        <f aca="false">Sens!$G$1295</f>
        <v>23.1728724610325</v>
      </c>
      <c r="H1392" s="38" t="n">
        <f aca="false">Sens!$H$1295</f>
        <v>24.353392759506</v>
      </c>
      <c r="I1392" s="38" t="n">
        <f aca="false">Sens!$I$1295</f>
        <v>25.4240338872015</v>
      </c>
      <c r="J1392" s="38" t="n">
        <f aca="false">Sens!$J$1295</f>
        <v>26.3642491017174</v>
      </c>
      <c r="K1392" s="38" t="n">
        <f aca="false">Sens!$K$1295</f>
        <v>27.155176574769</v>
      </c>
      <c r="L1392" s="38" t="n">
        <f aca="false">Sens!$L$1295</f>
        <v>27.969831872012</v>
      </c>
      <c r="M1392" s="38" t="n">
        <f aca="false">Sens!$M$1295</f>
        <v>28.8089268281724</v>
      </c>
      <c r="N1392" s="38" t="n">
        <f aca="false">Sens!$N$1295</f>
        <v>11.128</v>
      </c>
      <c r="O1392" s="38" t="n">
        <f aca="false">Sens!$O$1295</f>
        <v>11.433</v>
      </c>
    </row>
    <row r="1393" customFormat="false" ht="15" hidden="false" customHeight="false" outlineLevel="0" collapsed="false">
      <c r="A1393" s="0" t="s">
        <v>528</v>
      </c>
      <c r="B1393" s="0" t="s">
        <v>86</v>
      </c>
      <c r="C1393" s="38" t="n">
        <f aca="false">Sens!$C$1297</f>
        <v>156.146</v>
      </c>
      <c r="D1393" s="38" t="n">
        <f aca="false">Sens!$D$1297</f>
        <v>172.162</v>
      </c>
      <c r="E1393" s="38" t="n">
        <f aca="false">Sens!$E$1297</f>
        <v>88.358</v>
      </c>
      <c r="F1393" s="38" t="n">
        <f aca="false">Sens!$F$1297</f>
        <v>102.004388260171</v>
      </c>
      <c r="G1393" s="38" t="n">
        <f aca="false">Sens!$G$1297</f>
        <v>190.362388260171</v>
      </c>
      <c r="H1393" s="38" t="n">
        <f aca="false">Sens!$H$1297</f>
        <v>210.343106588311</v>
      </c>
      <c r="I1393" s="38" t="n">
        <f aca="false">Sens!$I$1297</f>
        <v>229.969728494648</v>
      </c>
      <c r="J1393" s="38" t="n">
        <f aca="false">Sens!$J$1297</f>
        <v>248.747636972598</v>
      </c>
      <c r="K1393" s="38" t="n">
        <f aca="false">Sens!$K$1297</f>
        <v>266.15997156068</v>
      </c>
      <c r="L1393" s="38" t="n">
        <f aca="false">Sens!$L$1297</f>
        <v>284.791169569927</v>
      </c>
      <c r="M1393" s="38" t="n">
        <f aca="false">Sens!$M$1297</f>
        <v>304.726551439822</v>
      </c>
      <c r="N1393" s="38" t="n">
        <f aca="false">Sens!$N$1297</f>
        <v>76.86</v>
      </c>
      <c r="O1393" s="38" t="n">
        <f aca="false">Sens!$O$1297</f>
        <v>95.302</v>
      </c>
    </row>
    <row r="1394" customFormat="false" ht="15" hidden="false" customHeight="false" outlineLevel="0" collapsed="false">
      <c r="A1394" s="0" t="s">
        <v>529</v>
      </c>
      <c r="B1394" s="0" t="s">
        <v>86</v>
      </c>
      <c r="C1394" s="38" t="n">
        <f aca="false">Sens!$C$1299</f>
        <v>56.214</v>
      </c>
      <c r="D1394" s="38" t="n">
        <f aca="false">Sens!$D$1299</f>
        <v>68.635</v>
      </c>
      <c r="E1394" s="38" t="n">
        <f aca="false">Sens!$E$1299</f>
        <v>37.052</v>
      </c>
      <c r="F1394" s="38" t="n">
        <f aca="false">Sens!$F$1299</f>
        <v>46.1572219944148</v>
      </c>
      <c r="G1394" s="38" t="n">
        <f aca="false">Sens!$G$1299</f>
        <v>83.2092219944148</v>
      </c>
      <c r="H1394" s="38" t="n">
        <f aca="false">Sens!$H$1299</f>
        <v>99.8969223878976</v>
      </c>
      <c r="I1394" s="38" t="n">
        <f aca="false">Sens!$I$1299</f>
        <v>116.583111095496</v>
      </c>
      <c r="J1394" s="38" t="n">
        <f aca="false">Sens!$J$1299</f>
        <v>132.148941941952</v>
      </c>
      <c r="K1394" s="38" t="n">
        <f aca="false">Sens!$K$1299</f>
        <v>145.363836136147</v>
      </c>
      <c r="L1394" s="38" t="n">
        <f aca="false">Sens!$L$1299</f>
        <v>159.900219749762</v>
      </c>
      <c r="M1394" s="38" t="n">
        <f aca="false">Sens!$M$1299</f>
        <v>175.890241724738</v>
      </c>
      <c r="N1394" s="38" t="n">
        <f aca="false">Sens!$N$1299</f>
        <v>29.615</v>
      </c>
      <c r="O1394" s="38" t="n">
        <f aca="false">Sens!$O$1299</f>
        <v>39.02</v>
      </c>
    </row>
    <row r="1395" customFormat="false" ht="15" hidden="false" customHeight="false" outlineLevel="0" collapsed="false">
      <c r="A1395" s="0" t="s">
        <v>530</v>
      </c>
      <c r="B1395" s="0" t="s">
        <v>86</v>
      </c>
      <c r="C1395" s="38" t="n">
        <f aca="false">Sens!$C$1301</f>
        <v>44.374</v>
      </c>
      <c r="D1395" s="38" t="n">
        <f aca="false">Sens!$D$1301</f>
        <v>49.619</v>
      </c>
      <c r="E1395" s="38" t="n">
        <f aca="false">Sens!$E$1301</f>
        <v>27.157</v>
      </c>
      <c r="F1395" s="38" t="n">
        <f aca="false">Sens!$F$1301</f>
        <v>27.7764165988154</v>
      </c>
      <c r="G1395" s="38" t="n">
        <f aca="false">Sens!$G$1301</f>
        <v>54.9334165988154</v>
      </c>
      <c r="H1395" s="38" t="n">
        <f aca="false">Sens!$H$1301</f>
        <v>61.1564112561829</v>
      </c>
      <c r="I1395" s="38" t="n">
        <f aca="false">Sens!$I$1301</f>
        <v>67.2020282103945</v>
      </c>
      <c r="J1395" s="38" t="n">
        <f aca="false">Sens!$J$1301</f>
        <v>72.8757274028885</v>
      </c>
      <c r="K1395" s="38" t="n">
        <f aca="false">Sens!$K$1301</f>
        <v>77.9770283210907</v>
      </c>
      <c r="L1395" s="38" t="n">
        <f aca="false">Sens!$L$1301</f>
        <v>83.4354203035671</v>
      </c>
      <c r="M1395" s="38" t="n">
        <f aca="false">Sens!$M$1301</f>
        <v>89.2758997248168</v>
      </c>
      <c r="N1395" s="38" t="n">
        <f aca="false">Sens!$N$1301</f>
        <v>23.923</v>
      </c>
      <c r="O1395" s="38" t="n">
        <f aca="false">Sens!$O$1301</f>
        <v>25.696</v>
      </c>
    </row>
    <row r="1396" customFormat="false" ht="15" hidden="false" customHeight="false" outlineLevel="0" collapsed="false">
      <c r="A1396" s="0" t="s">
        <v>531</v>
      </c>
      <c r="B1396" s="0" t="s">
        <v>86</v>
      </c>
      <c r="C1396" s="38" t="n">
        <f aca="false">Sens!$C$1303</f>
        <v>5.425</v>
      </c>
      <c r="D1396" s="38" t="n">
        <f aca="false">Sens!$D$1303</f>
        <v>5.935</v>
      </c>
      <c r="E1396" s="38" t="n">
        <f aca="false">Sens!$E$1303</f>
        <v>3.474</v>
      </c>
      <c r="F1396" s="38" t="n">
        <f aca="false">Sens!$F$1303</f>
        <v>3.22246550883619</v>
      </c>
      <c r="G1396" s="38" t="n">
        <f aca="false">Sens!$G$1303</f>
        <v>6.69646550883619</v>
      </c>
      <c r="H1396" s="38" t="n">
        <f aca="false">Sens!$H$1303</f>
        <v>7.16251344209196</v>
      </c>
      <c r="I1396" s="38" t="n">
        <f aca="false">Sens!$I$1303</f>
        <v>7.61421070299826</v>
      </c>
      <c r="J1396" s="38" t="n">
        <f aca="false">Sens!$J$1303</f>
        <v>8.04465753523932</v>
      </c>
      <c r="K1396" s="38" t="n">
        <f aca="false">Sens!$K$1303</f>
        <v>8.44689041200128</v>
      </c>
      <c r="L1396" s="38" t="n">
        <f aca="false">Sens!$L$1303</f>
        <v>8.86923493260135</v>
      </c>
      <c r="M1396" s="38" t="n">
        <f aca="false">Sens!$M$1303</f>
        <v>9.31269667923142</v>
      </c>
      <c r="N1396" s="38" t="n">
        <f aca="false">Sens!$N$1303</f>
        <v>2.811</v>
      </c>
      <c r="O1396" s="38" t="n">
        <f aca="false">Sens!$O$1303</f>
        <v>3.124</v>
      </c>
    </row>
    <row r="1397" customFormat="false" ht="17.15" hidden="false" customHeight="false" outlineLevel="0" collapsed="false">
      <c r="A1397" s="0" t="s">
        <v>728</v>
      </c>
      <c r="B1397" s="0" t="s">
        <v>86</v>
      </c>
      <c r="C1397" s="38" t="n">
        <f aca="false">Sens!$C$1378</f>
        <v>107.556</v>
      </c>
      <c r="D1397" s="38" t="n">
        <f aca="false">Sens!$D$1378</f>
        <v>128.725</v>
      </c>
      <c r="E1397" s="38" t="n">
        <f aca="false">Sens!$E$1378</f>
        <v>79.819</v>
      </c>
      <c r="F1397" s="38" t="n">
        <f aca="false">Sens!$F$1378</f>
        <v>85.5062974978415</v>
      </c>
      <c r="G1397" s="38" t="n">
        <f aca="false">Sens!$G$1378</f>
        <v>165.325297497842</v>
      </c>
      <c r="H1397" s="38" t="n">
        <f aca="false">Sens!$H$1378</f>
        <v>211.170340081644</v>
      </c>
      <c r="I1397" s="38" t="n">
        <f aca="false">Sens!$I$1378</f>
        <v>259.926378813891</v>
      </c>
      <c r="J1397" s="38" t="n">
        <f aca="false">Sens!$J$1378</f>
        <v>308.073438349475</v>
      </c>
      <c r="K1397" s="38" t="n">
        <f aca="false">Sens!$K$1378</f>
        <v>350.332661122491</v>
      </c>
      <c r="L1397" s="38" t="n">
        <f aca="false">Sens!$L$1378</f>
        <v>384.797368865624</v>
      </c>
      <c r="M1397" s="38" t="n">
        <f aca="false">Sens!$M$1378</f>
        <v>411.545485669986</v>
      </c>
      <c r="N1397" s="38" t="n">
        <f aca="false">Sens!$N$1378</f>
        <v>60.14</v>
      </c>
      <c r="O1397" s="38" t="n">
        <f aca="false">Sens!$O$1378</f>
        <v>68.585</v>
      </c>
    </row>
    <row r="1398" customFormat="false" ht="15" hidden="false" customHeight="false" outlineLevel="0" collapsed="false">
      <c r="A1398" s="1" t="s">
        <v>519</v>
      </c>
      <c r="B1398" s="8" t="s">
        <v>86</v>
      </c>
      <c r="C1398" s="38" t="n">
        <f aca="false">Sens!$C$1308</f>
        <v>387.497</v>
      </c>
      <c r="D1398" s="38" t="n">
        <f aca="false">Sens!$D$1308</f>
        <v>426.305</v>
      </c>
      <c r="E1398" s="38" t="n">
        <f aca="false">Sens!$E$1308</f>
        <v>220.32</v>
      </c>
      <c r="F1398" s="38" t="n">
        <f aca="false">Sens!$F$1308</f>
        <v>250.639773480586</v>
      </c>
      <c r="G1398" s="38" t="n">
        <f aca="false">Sens!$G$1308</f>
        <v>470.959773480586</v>
      </c>
      <c r="H1398" s="38" t="n">
        <f aca="false">Sens!$H$1308</f>
        <v>521.386990416437</v>
      </c>
      <c r="I1398" s="38" t="n">
        <f aca="false">Sens!$I$1308</f>
        <v>570.143862887555</v>
      </c>
      <c r="J1398" s="38" t="n">
        <f aca="false">Sens!$J$1308</f>
        <v>615.391435791933</v>
      </c>
      <c r="K1398" s="38" t="n">
        <f aca="false">Sens!$K$1308</f>
        <v>655.208227561543</v>
      </c>
      <c r="L1398" s="38" t="n">
        <f aca="false">Sens!$L$1308</f>
        <v>697.807739249767</v>
      </c>
      <c r="M1398" s="38" t="n">
        <f aca="false">Sens!$M$1308</f>
        <v>743.399328463592</v>
      </c>
      <c r="N1398" s="38" t="n">
        <f aca="false">Sens!$N$1308</f>
        <v>192.955</v>
      </c>
      <c r="O1398" s="38" t="n">
        <f aca="false">Sens!$O$1308</f>
        <v>233.35</v>
      </c>
    </row>
    <row r="1399" customFormat="false" ht="15" hidden="false" customHeight="false" outlineLevel="0" collapsed="false">
      <c r="A1399" s="1" t="s">
        <v>522</v>
      </c>
      <c r="B1399" s="8" t="s">
        <v>86</v>
      </c>
      <c r="C1399" s="38" t="n">
        <f aca="false">Sens!$C$1309</f>
        <v>142.906</v>
      </c>
      <c r="D1399" s="38" t="n">
        <f aca="false">Sens!$D$1309</f>
        <v>161.894</v>
      </c>
      <c r="E1399" s="38" t="n">
        <f aca="false">Sens!$E$1309</f>
        <v>81.986</v>
      </c>
      <c r="F1399" s="38" t="n">
        <f aca="false">Sens!$F$1309</f>
        <v>98.408468164951</v>
      </c>
      <c r="G1399" s="38" t="n">
        <f aca="false">Sens!$G$1309</f>
        <v>180.394468164951</v>
      </c>
      <c r="H1399" s="38" t="n">
        <f aca="false">Sens!$H$1309</f>
        <v>199.709899104949</v>
      </c>
      <c r="I1399" s="38" t="n">
        <f aca="false">Sens!$I$1309</f>
        <v>218.385528264976</v>
      </c>
      <c r="J1399" s="38" t="n">
        <f aca="false">Sens!$J$1309</f>
        <v>235.71696994951</v>
      </c>
      <c r="K1399" s="38" t="n">
        <f aca="false">Sens!$K$1309</f>
        <v>250.968227869545</v>
      </c>
      <c r="L1399" s="38" t="n">
        <f aca="false">Sens!$L$1309</f>
        <v>267.285367225822</v>
      </c>
      <c r="M1399" s="38" t="n">
        <f aca="false">Sens!$M$1309</f>
        <v>284.748579483295</v>
      </c>
      <c r="N1399" s="38" t="n">
        <f aca="false">Sens!$N$1309</f>
        <v>70.274</v>
      </c>
      <c r="O1399" s="38" t="n">
        <f aca="false">Sens!$O$1309</f>
        <v>91.62</v>
      </c>
    </row>
    <row r="1400" customFormat="false" ht="15" hidden="false" customHeight="false" outlineLevel="0" collapsed="false">
      <c r="A1400" s="1" t="s">
        <v>523</v>
      </c>
      <c r="B1400" s="8" t="s">
        <v>86</v>
      </c>
      <c r="C1400" s="38" t="n">
        <f aca="false">Sens!$C$1378</f>
        <v>107.556</v>
      </c>
      <c r="D1400" s="38" t="n">
        <f aca="false">Sens!$D$1378</f>
        <v>128.725</v>
      </c>
      <c r="E1400" s="38" t="n">
        <f aca="false">Sens!$E$1378</f>
        <v>79.819</v>
      </c>
      <c r="F1400" s="38" t="n">
        <f aca="false">Sens!$F$1378</f>
        <v>85.5062974978415</v>
      </c>
      <c r="G1400" s="38" t="n">
        <f aca="false">Sens!$G$1378</f>
        <v>165.325297497842</v>
      </c>
      <c r="H1400" s="38" t="n">
        <f aca="false">Sens!$H$1378</f>
        <v>211.170340081644</v>
      </c>
      <c r="I1400" s="38" t="n">
        <f aca="false">Sens!$I$1378</f>
        <v>259.926378813891</v>
      </c>
      <c r="J1400" s="38" t="n">
        <f aca="false">Sens!$J$1378</f>
        <v>308.073438349475</v>
      </c>
      <c r="K1400" s="38" t="n">
        <f aca="false">Sens!$K$1378</f>
        <v>350.332661122491</v>
      </c>
      <c r="L1400" s="38" t="n">
        <f aca="false">Sens!$L$1378</f>
        <v>384.797368865624</v>
      </c>
      <c r="M1400" s="38" t="n">
        <f aca="false">Sens!$M$1378</f>
        <v>411.545485669986</v>
      </c>
      <c r="N1400" s="38" t="n">
        <f aca="false">Sens!$N$1378</f>
        <v>60.14</v>
      </c>
      <c r="O1400" s="38" t="n">
        <f aca="false">Sens!$O$1378</f>
        <v>68.585</v>
      </c>
    </row>
    <row r="1401" customFormat="false" ht="17.15" hidden="false" customHeight="false" outlineLevel="0" collapsed="false">
      <c r="A1401" s="0" t="s">
        <v>702</v>
      </c>
      <c r="B1401" s="0" t="s">
        <v>86</v>
      </c>
      <c r="C1401" s="38" t="n">
        <f aca="false">Sens!$C$1376</f>
        <v>2.32100535697364</v>
      </c>
      <c r="D1401" s="38" t="n">
        <f aca="false">Sens!$D$1376</f>
        <v>8.70377008865116</v>
      </c>
      <c r="E1401" s="38" t="n">
        <f aca="false">Sens!$E$1376</f>
        <v>8.51035297557002</v>
      </c>
      <c r="F1401" s="38" t="n">
        <f aca="false">Sens!$F$1376</f>
        <v>13.7369977035951</v>
      </c>
      <c r="G1401" s="38" t="n">
        <f aca="false">Sens!$G$1376</f>
        <v>22.2473506791651</v>
      </c>
      <c r="H1401" s="38" t="n">
        <f aca="false">Sens!$H$1376</f>
        <v>50.1532630024405</v>
      </c>
      <c r="I1401" s="38" t="n">
        <f aca="false">Sens!$I$1376</f>
        <v>81.1566192924336</v>
      </c>
      <c r="J1401" s="38" t="n">
        <f aca="false">Sens!$J$1376</f>
        <v>112.297900303568</v>
      </c>
      <c r="K1401" s="38" t="n">
        <f aca="false">Sens!$K$1376</f>
        <v>138.895080032911</v>
      </c>
      <c r="L1401" s="38" t="n">
        <f aca="false">Sens!$L$1376</f>
        <v>156.444781288878</v>
      </c>
      <c r="M1401" s="38" t="n">
        <f aca="false">Sens!$M$1376</f>
        <v>164.9246910871</v>
      </c>
      <c r="N1401" s="38" t="n">
        <f aca="false">Sens!$N$1376</f>
        <v>3.04631953102791</v>
      </c>
      <c r="O1401" s="38" t="n">
        <f aca="false">Sens!$O$1376</f>
        <v>5.65745055762326</v>
      </c>
    </row>
    <row r="1402" customFormat="false" ht="17.15" hidden="false" customHeight="false" outlineLevel="0" collapsed="false">
      <c r="A1402" s="0" t="s">
        <v>704</v>
      </c>
      <c r="B1402" s="0" t="s">
        <v>86</v>
      </c>
      <c r="C1402" s="38" t="n">
        <f aca="false">Sens!$C$1377</f>
        <v>105.234994643026</v>
      </c>
      <c r="D1402" s="38" t="n">
        <f aca="false">Sens!$D$1377</f>
        <v>120.021229911349</v>
      </c>
      <c r="E1402" s="38" t="n">
        <f aca="false">Sens!$E$1377</f>
        <v>71.30864702443</v>
      </c>
      <c r="F1402" s="38" t="n">
        <f aca="false">Sens!$F$1377</f>
        <v>71.7692997942464</v>
      </c>
      <c r="G1402" s="38" t="n">
        <f aca="false">Sens!$G$1377</f>
        <v>143.077946818676</v>
      </c>
      <c r="H1402" s="38" t="n">
        <f aca="false">Sens!$H$1377</f>
        <v>161.017077079203</v>
      </c>
      <c r="I1402" s="38" t="n">
        <f aca="false">Sens!$I$1377</f>
        <v>178.769759521457</v>
      </c>
      <c r="J1402" s="38" t="n">
        <f aca="false">Sens!$J$1377</f>
        <v>195.775538045907</v>
      </c>
      <c r="K1402" s="38" t="n">
        <f aca="false">Sens!$K$1377</f>
        <v>211.43758108958</v>
      </c>
      <c r="L1402" s="38" t="n">
        <f aca="false">Sens!$L$1377</f>
        <v>228.352587576746</v>
      </c>
      <c r="M1402" s="38" t="n">
        <f aca="false">Sens!$M$1377</f>
        <v>246.620794582886</v>
      </c>
      <c r="N1402" s="38" t="n">
        <f aca="false">Sens!$N$1377</f>
        <v>57.0936804689721</v>
      </c>
      <c r="O1402" s="38" t="n">
        <f aca="false">Sens!$O$1377</f>
        <v>62.9275494423768</v>
      </c>
    </row>
    <row r="1403" customFormat="false" ht="15" hidden="false" customHeight="false" outlineLevel="0" collapsed="false">
      <c r="A1403" s="3" t="s">
        <v>524</v>
      </c>
      <c r="B1403" s="8" t="s">
        <v>86</v>
      </c>
      <c r="C1403" s="38" t="n">
        <f aca="false">Sens!$C$1379</f>
        <v>637.959</v>
      </c>
      <c r="D1403" s="38" t="n">
        <f aca="false">Sens!$D$1379</f>
        <v>716.924</v>
      </c>
      <c r="E1403" s="38" t="n">
        <f aca="false">Sens!$E$1379</f>
        <v>382.125</v>
      </c>
      <c r="F1403" s="38" t="n">
        <f aca="false">Sens!$F$1379</f>
        <v>434.554539143379</v>
      </c>
      <c r="G1403" s="38" t="n">
        <f aca="false">Sens!$G$1379</f>
        <v>816.679539143379</v>
      </c>
      <c r="H1403" s="38" t="n">
        <f aca="false">Sens!$H$1379</f>
        <v>932.26722960303</v>
      </c>
      <c r="I1403" s="38" t="n">
        <f aca="false">Sens!$I$1379</f>
        <v>1048.45576996642</v>
      </c>
      <c r="J1403" s="38" t="n">
        <f aca="false">Sens!$J$1379</f>
        <v>1159.18184409092</v>
      </c>
      <c r="K1403" s="38" t="n">
        <f aca="false">Sens!$K$1379</f>
        <v>1256.50911655358</v>
      </c>
      <c r="L1403" s="38" t="n">
        <f aca="false">Sens!$L$1379</f>
        <v>1349.89047534121</v>
      </c>
      <c r="M1403" s="38" t="n">
        <f aca="false">Sens!$M$1379</f>
        <v>1439.69339361687</v>
      </c>
      <c r="N1403" s="38" t="n">
        <f aca="false">Sens!$N$1379</f>
        <v>323.369</v>
      </c>
      <c r="O1403" s="38" t="n">
        <f aca="false">Sens!$O$1379</f>
        <v>393.555</v>
      </c>
    </row>
    <row r="1404" customFormat="false" ht="17.15" hidden="false" customHeight="false" outlineLevel="0" collapsed="false">
      <c r="A1404" s="24" t="s">
        <v>714</v>
      </c>
      <c r="B1404" s="25" t="s">
        <v>86</v>
      </c>
      <c r="C1404" s="41" t="n">
        <f aca="false">Sens!$C$1391+Sens!$C$1392+Sens!$C$1393+Sens!$C$1394+Sens!$C$1395+Sens!$C$1396-(Sens!$C$1398+Sens!$C$1399)</f>
        <v>0</v>
      </c>
      <c r="D1404" s="41" t="n">
        <f aca="false">Sens!$D$1391+Sens!$D$1392+Sens!$D$1393+Sens!$D$1394+Sens!$D$1395+Sens!$D$1396-(Sens!$D$1398+Sens!$D$1399)</f>
        <v>0</v>
      </c>
      <c r="E1404" s="41" t="n">
        <f aca="false">Sens!$E$1391+Sens!$E$1392+Sens!$E$1393+Sens!$E$1394+Sens!$E$1395+Sens!$E$1396-(Sens!$E$1398+Sens!$E$1399)</f>
        <v>0</v>
      </c>
      <c r="F1404" s="41" t="n">
        <f aca="false">Sens!$F$1391+Sens!$F$1392+Sens!$F$1393+Sens!$F$1394+Sens!$F$1395+Sens!$F$1396-(Sens!$F$1398+Sens!$F$1399)</f>
        <v>0</v>
      </c>
      <c r="G1404" s="41" t="n">
        <f aca="false">Sens!$G$1391+Sens!$G$1392+Sens!$G$1393+Sens!$G$1394+Sens!$G$1395+Sens!$G$1396-(Sens!$G$1398+Sens!$G$1399)</f>
        <v>0</v>
      </c>
      <c r="H1404" s="41" t="n">
        <f aca="false">Sens!$H$1391+Sens!$H$1392+Sens!$H$1393+Sens!$H$1394+Sens!$H$1395+Sens!$H$1396-(Sens!$H$1398+Sens!$H$1399)</f>
        <v>0</v>
      </c>
      <c r="I1404" s="41" t="n">
        <f aca="false">Sens!$I$1391+Sens!$I$1392+Sens!$I$1393+Sens!$I$1394+Sens!$I$1395+Sens!$I$1396-(Sens!$I$1398+Sens!$I$1399)</f>
        <v>0</v>
      </c>
      <c r="J1404" s="41" t="n">
        <f aca="false">Sens!$J$1391+Sens!$J$1392+Sens!$J$1393+Sens!$J$1394+Sens!$J$1395+Sens!$J$1396-(Sens!$J$1398+Sens!$J$1399)</f>
        <v>0</v>
      </c>
      <c r="K1404" s="41" t="n">
        <f aca="false">Sens!$K$1391+Sens!$K$1392+Sens!$K$1393+Sens!$K$1394+Sens!$K$1395+Sens!$K$1396-(Sens!$K$1398+Sens!$K$1399)</f>
        <v>0</v>
      </c>
      <c r="L1404" s="41" t="n">
        <f aca="false">Sens!$L$1391+Sens!$L$1392+Sens!$L$1393+Sens!$L$1394+Sens!$L$1395+Sens!$L$1396-(Sens!$L$1398+Sens!$L$1399)</f>
        <v>0</v>
      </c>
      <c r="M1404" s="41" t="n">
        <f aca="false">Sens!$M$1391+Sens!$M$1392+Sens!$M$1393+Sens!$M$1394+Sens!$M$1395+Sens!$M$1396-(Sens!$M$1398+Sens!$M$1399)</f>
        <v>0</v>
      </c>
      <c r="N1404" s="41" t="n">
        <f aca="false">Sens!$N$1391+Sens!$N$1392+Sens!$N$1393+Sens!$N$1394+Sens!$N$1395+Sens!$N$1396-(Sens!$N$1398+Sens!$N$1399)</f>
        <v>0</v>
      </c>
      <c r="O1404" s="41" t="n">
        <f aca="false">Sens!$O$1391+Sens!$O$1392+Sens!$O$1393+Sens!$O$1394+Sens!$O$1395+Sens!$O$1396-(Sens!$O$1398+Sens!$O$1399)</f>
        <v>0</v>
      </c>
    </row>
    <row r="1405" customFormat="false" ht="17.15" hidden="false" customHeight="false" outlineLevel="0" collapsed="false">
      <c r="A1405" s="24" t="s">
        <v>715</v>
      </c>
      <c r="B1405" s="25" t="s">
        <v>86</v>
      </c>
      <c r="C1405" s="41" t="n">
        <f aca="false">Sens!$C$1401+Sens!$C$1402-Sens!$C$1400</f>
        <v>0</v>
      </c>
      <c r="D1405" s="41" t="n">
        <f aca="false">Sens!$D$1401+Sens!$D$1402-Sens!$D$1400</f>
        <v>0</v>
      </c>
      <c r="E1405" s="41" t="n">
        <f aca="false">Sens!$E$1401+Sens!$E$1402-Sens!$E$1400</f>
        <v>0</v>
      </c>
      <c r="F1405" s="41" t="n">
        <f aca="false">Sens!$F$1401+Sens!$F$1402-Sens!$F$1400</f>
        <v>0</v>
      </c>
      <c r="G1405" s="41" t="n">
        <f aca="false">Sens!$G$1401+Sens!$G$1402-Sens!$G$1400</f>
        <v>0</v>
      </c>
      <c r="H1405" s="41" t="n">
        <f aca="false">Sens!$H$1401+Sens!$H$1402-Sens!$H$1400</f>
        <v>0</v>
      </c>
      <c r="I1405" s="41" t="n">
        <f aca="false">Sens!$I$1401+Sens!$I$1402-Sens!$I$1400</f>
        <v>0</v>
      </c>
      <c r="J1405" s="41" t="n">
        <f aca="false">Sens!$J$1401+Sens!$J$1402-Sens!$J$1400</f>
        <v>0</v>
      </c>
      <c r="K1405" s="41" t="n">
        <f aca="false">Sens!$K$1401+Sens!$K$1402-Sens!$K$1400</f>
        <v>0</v>
      </c>
      <c r="L1405" s="41" t="n">
        <f aca="false">Sens!$L$1401+Sens!$L$1402-Sens!$L$1400</f>
        <v>0</v>
      </c>
      <c r="M1405" s="41" t="n">
        <f aca="false">Sens!$M$1401+Sens!$M$1402-Sens!$M$1400</f>
        <v>0</v>
      </c>
      <c r="N1405" s="41" t="n">
        <f aca="false">Sens!$N$1401+Sens!$N$1402-Sens!$N$1400</f>
        <v>0</v>
      </c>
      <c r="O1405" s="41" t="n">
        <f aca="false">Sens!$O$1401+Sens!$O$1402-Sens!$O$1400</f>
        <v>0</v>
      </c>
    </row>
    <row r="1406" customFormat="false" ht="17.15" hidden="false" customHeight="false" outlineLevel="0" collapsed="false">
      <c r="A1406" s="24" t="s">
        <v>774</v>
      </c>
      <c r="B1406" s="25" t="s">
        <v>86</v>
      </c>
      <c r="C1406" s="41" t="n">
        <f aca="false">Sens!$C$1391+Sens!$C$1392+Sens!$C$1393+Sens!$C$1394+Sens!$C$1395+Sens!$C$1396+Sens!$C$1397-Sens!$C$1403</f>
        <v>0</v>
      </c>
      <c r="D1406" s="41" t="n">
        <f aca="false">Sens!$D$1391+Sens!$D$1392+Sens!$D$1393+Sens!$D$1394+Sens!$D$1395+Sens!$D$1396+Sens!$D$1397-Sens!$D$1403</f>
        <v>0</v>
      </c>
      <c r="E1406" s="41" t="n">
        <f aca="false">Sens!$E$1391+Sens!$E$1392+Sens!$E$1393+Sens!$E$1394+Sens!$E$1395+Sens!$E$1396+Sens!$E$1397-Sens!$E$1403</f>
        <v>0</v>
      </c>
      <c r="F1406" s="41" t="n">
        <f aca="false">Sens!$F$1391+Sens!$F$1392+Sens!$F$1393+Sens!$F$1394+Sens!$F$1395+Sens!$F$1396+Sens!$F$1397-Sens!$F$1403</f>
        <v>0</v>
      </c>
      <c r="G1406" s="41" t="n">
        <f aca="false">Sens!$G$1391+Sens!$G$1392+Sens!$G$1393+Sens!$G$1394+Sens!$G$1395+Sens!$G$1396+Sens!$G$1397-Sens!$G$1403</f>
        <v>0</v>
      </c>
      <c r="H1406" s="41" t="n">
        <f aca="false">Sens!$H$1391+Sens!$H$1392+Sens!$H$1393+Sens!$H$1394+Sens!$H$1395+Sens!$H$1396+Sens!$H$1397-Sens!$H$1403</f>
        <v>0</v>
      </c>
      <c r="I1406" s="41" t="n">
        <f aca="false">Sens!$I$1391+Sens!$I$1392+Sens!$I$1393+Sens!$I$1394+Sens!$I$1395+Sens!$I$1396+Sens!$I$1397-Sens!$I$1403</f>
        <v>0</v>
      </c>
      <c r="J1406" s="41" t="n">
        <f aca="false">Sens!$J$1391+Sens!$J$1392+Sens!$J$1393+Sens!$J$1394+Sens!$J$1395+Sens!$J$1396+Sens!$J$1397-Sens!$J$1403</f>
        <v>0</v>
      </c>
      <c r="K1406" s="41" t="n">
        <f aca="false">Sens!$K$1391+Sens!$K$1392+Sens!$K$1393+Sens!$K$1394+Sens!$K$1395+Sens!$K$1396+Sens!$K$1397-Sens!$K$1403</f>
        <v>0</v>
      </c>
      <c r="L1406" s="41" t="n">
        <f aca="false">Sens!$L$1391+Sens!$L$1392+Sens!$L$1393+Sens!$L$1394+Sens!$L$1395+Sens!$L$1396+Sens!$L$1397-Sens!$L$1403</f>
        <v>0</v>
      </c>
      <c r="M1406" s="41" t="n">
        <f aca="false">Sens!$M$1391+Sens!$M$1392+Sens!$M$1393+Sens!$M$1394+Sens!$M$1395+Sens!$M$1396+Sens!$M$1397-Sens!$M$1403</f>
        <v>0</v>
      </c>
      <c r="N1406" s="41" t="n">
        <f aca="false">Sens!$N$1391+Sens!$N$1392+Sens!$N$1393+Sens!$N$1394+Sens!$N$1395+Sens!$N$1396+Sens!$N$1397-Sens!$N$1403</f>
        <v>0</v>
      </c>
      <c r="O1406" s="41" t="n">
        <f aca="false">Sens!$O$1391+Sens!$O$1392+Sens!$O$1393+Sens!$O$1394+Sens!$O$1395+Sens!$O$1396+Sens!$O$1397-Sens!$O$1403</f>
        <v>0</v>
      </c>
    </row>
    <row r="1407" customFormat="false" ht="17.15" hidden="false" customHeight="false" outlineLevel="0" collapsed="false">
      <c r="A1407" s="24" t="s">
        <v>716</v>
      </c>
      <c r="B1407" s="25" t="s">
        <v>86</v>
      </c>
      <c r="C1407" s="41" t="n">
        <f aca="false">Sens!$C$1398+Sens!$C$1399+Sens!$C$1400-Sens!$C$1403</f>
        <v>0</v>
      </c>
      <c r="D1407" s="41" t="n">
        <f aca="false">Sens!$D$1398+Sens!$D$1399+Sens!$D$1400-Sens!$D$1403</f>
        <v>0</v>
      </c>
      <c r="E1407" s="41" t="n">
        <f aca="false">Sens!$E$1398+Sens!$E$1399+Sens!$E$1400-Sens!$E$1403</f>
        <v>0</v>
      </c>
      <c r="F1407" s="41" t="n">
        <f aca="false">Sens!$F$1398+Sens!$F$1399+Sens!$F$1400-Sens!$F$1403</f>
        <v>0</v>
      </c>
      <c r="G1407" s="41" t="n">
        <f aca="false">Sens!$G$1398+Sens!$G$1399+Sens!$G$1400-Sens!$G$1403</f>
        <v>0</v>
      </c>
      <c r="H1407" s="41" t="n">
        <f aca="false">Sens!$H$1398+Sens!$H$1399+Sens!$H$1400-Sens!$H$1403</f>
        <v>0</v>
      </c>
      <c r="I1407" s="41" t="n">
        <f aca="false">Sens!$I$1398+Sens!$I$1399+Sens!$I$1400-Sens!$I$1403</f>
        <v>0</v>
      </c>
      <c r="J1407" s="41" t="n">
        <f aca="false">Sens!$J$1398+Sens!$J$1399+Sens!$J$1400-Sens!$J$1403</f>
        <v>0</v>
      </c>
      <c r="K1407" s="41" t="n">
        <f aca="false">Sens!$K$1398+Sens!$K$1399+Sens!$K$1400-Sens!$K$1403</f>
        <v>0</v>
      </c>
      <c r="L1407" s="41" t="n">
        <f aca="false">Sens!$L$1398+Sens!$L$1399+Sens!$L$1400-Sens!$L$1403</f>
        <v>0</v>
      </c>
      <c r="M1407" s="41" t="n">
        <f aca="false">Sens!$M$1398+Sens!$M$1399+Sens!$M$1400-Sens!$M$1403</f>
        <v>0</v>
      </c>
      <c r="N1407" s="41" t="n">
        <f aca="false">Sens!$N$1398+Sens!$N$1399+Sens!$N$1400-Sens!$N$1403</f>
        <v>0</v>
      </c>
      <c r="O1407" s="41" t="n">
        <f aca="false">Sens!$O$1398+Sens!$O$1399+Sens!$O$1400-Sens!$O$1403</f>
        <v>0</v>
      </c>
    </row>
    <row r="1408" customFormat="false" ht="17.15" hidden="false" customHeight="false" outlineLevel="0" collapsed="false">
      <c r="A1408" s="1" t="s">
        <v>730</v>
      </c>
    </row>
    <row r="1409" customFormat="false" ht="17.15" hidden="false" customHeight="false" outlineLevel="0" collapsed="false">
      <c r="A1409" s="0" t="s">
        <v>731</v>
      </c>
      <c r="B1409" s="0" t="s">
        <v>86</v>
      </c>
      <c r="C1409" s="38" t="n">
        <f aca="false">Sens!$C$1310*m_ad</f>
        <v>20.5341564414228</v>
      </c>
      <c r="D1409" s="38" t="n">
        <f aca="false">Sens!$D$1310*m_ad</f>
        <v>24.8720617299587</v>
      </c>
      <c r="E1409" s="38" t="n">
        <f aca="false">Sens!$E$1310*m_ad</f>
        <v>13.5017112462207</v>
      </c>
      <c r="F1409" s="38" t="n">
        <f aca="false">Sens!$F$1310*m_ad</f>
        <v>16.5719724165257</v>
      </c>
      <c r="G1409" s="38" t="n">
        <f aca="false">Sens!$G$1310*m_ad</f>
        <v>30.0820919220415</v>
      </c>
      <c r="H1409" s="38" t="n">
        <f aca="false">Sens!$H$1310*m_ad</f>
        <v>36.1150883276314</v>
      </c>
      <c r="I1409" s="38" t="n">
        <f aca="false">Sens!$I$1310*m_ad</f>
        <v>42.1475382231996</v>
      </c>
      <c r="J1409" s="38" t="n">
        <f aca="false">Sens!$J$1310*m_ad</f>
        <v>47.7749523864693</v>
      </c>
      <c r="K1409" s="38" t="n">
        <f aca="false">Sens!$K$1310*m_ad</f>
        <v>52.5524476251162</v>
      </c>
      <c r="L1409" s="38" t="n">
        <f aca="false">Sens!$L$1310*m_ad</f>
        <v>57.8076923876279</v>
      </c>
      <c r="M1409" s="38" t="n">
        <f aca="false">Sens!$M$1310*m_ad</f>
        <v>63.5884616263907</v>
      </c>
      <c r="N1409" s="38" t="n">
        <f aca="false">Sens!$N$1310*m_ad</f>
        <v>10.8543555706248</v>
      </c>
      <c r="O1409" s="38" t="n">
        <f aca="false">Sens!$O$1310*m_ad</f>
        <v>14.0094731821399</v>
      </c>
    </row>
    <row r="1410" customFormat="false" ht="17.15" hidden="false" customHeight="false" outlineLevel="0" collapsed="false">
      <c r="A1410" s="0" t="s">
        <v>732</v>
      </c>
      <c r="B1410" s="0" t="s">
        <v>86</v>
      </c>
      <c r="C1410" s="38" t="n">
        <f aca="false">Sens!$C$1308-Sens!$C$1310</f>
        <v>346.428687117154</v>
      </c>
      <c r="D1410" s="38" t="n">
        <f aca="false">Sens!$D$1308-Sens!$D$1310</f>
        <v>376.560876540083</v>
      </c>
      <c r="E1410" s="38" t="n">
        <f aca="false">Sens!$E$1308-Sens!$E$1310</f>
        <v>193.316577507559</v>
      </c>
      <c r="F1410" s="38" t="n">
        <f aca="false">Sens!$F$1308-Sens!$F$1310</f>
        <v>217.495828647535</v>
      </c>
      <c r="G1410" s="38" t="n">
        <f aca="false">Sens!$G$1308-Sens!$G$1310</f>
        <v>410.795589636503</v>
      </c>
      <c r="H1410" s="38" t="n">
        <f aca="false">Sens!$H$1308-Sens!$H$1310</f>
        <v>449.156813761174</v>
      </c>
      <c r="I1410" s="38" t="n">
        <f aca="false">Sens!$I$1308-Sens!$I$1310</f>
        <v>485.848786441156</v>
      </c>
      <c r="J1410" s="38" t="n">
        <f aca="false">Sens!$J$1308-Sens!$J$1310</f>
        <v>519.841531018994</v>
      </c>
      <c r="K1410" s="38" t="n">
        <f aca="false">Sens!$K$1308-Sens!$K$1310</f>
        <v>550.103332311311</v>
      </c>
      <c r="L1410" s="38" t="n">
        <f aca="false">Sens!$L$1308-Sens!$L$1310</f>
        <v>582.192354474511</v>
      </c>
      <c r="M1410" s="38" t="n">
        <f aca="false">Sens!$M$1308-Sens!$M$1310</f>
        <v>616.22240521081</v>
      </c>
      <c r="N1410" s="38" t="n">
        <f aca="false">Sens!$N$1308-Sens!$N$1310</f>
        <v>171.24628885875</v>
      </c>
      <c r="O1410" s="38" t="n">
        <f aca="false">Sens!$O$1308-Sens!$O$1310</f>
        <v>205.33105363572</v>
      </c>
    </row>
    <row r="1411" customFormat="false" ht="17.15" hidden="false" customHeight="false" outlineLevel="0" collapsed="false">
      <c r="A1411" s="0" t="s">
        <v>733</v>
      </c>
      <c r="B1411" s="0" t="s">
        <v>86</v>
      </c>
      <c r="C1411" s="38" t="n">
        <f aca="false">Sens!$C$1362*Sens!$C$1307</f>
        <v>0.123617442257179</v>
      </c>
      <c r="D1411" s="38" t="n">
        <f aca="false">Sens!$D$1362*Sens!$D$1307</f>
        <v>0.600198046024689</v>
      </c>
      <c r="E1411" s="38" t="n">
        <f aca="false">Sens!$E$1362*Sens!$E$1307</f>
        <v>1.10840000750276</v>
      </c>
      <c r="F1411" s="38" t="n">
        <f aca="false">Sens!$F$1362*Sens!$F$1307</f>
        <v>1.29036463445482</v>
      </c>
      <c r="G1411" s="38" t="n">
        <f aca="false">Sens!$G$1362*Sens!$G$1307</f>
        <v>2.3989687794694</v>
      </c>
      <c r="H1411" s="38" t="n">
        <f aca="false">Sens!$H$1362*Sens!$H$1307</f>
        <v>6.26105600397866</v>
      </c>
      <c r="I1411" s="38" t="n">
        <f aca="false">Sens!$I$1362*Sens!$I$1307</f>
        <v>11.001026160334</v>
      </c>
      <c r="J1411" s="38" t="n">
        <f aca="false">Sens!$J$1362*Sens!$J$1307</f>
        <v>15.2450696134023</v>
      </c>
      <c r="K1411" s="38" t="n">
        <f aca="false">Sens!$K$1362*Sens!$K$1307</f>
        <v>19.4246887432202</v>
      </c>
      <c r="L1411" s="38" t="n">
        <f aca="false">Sens!$L$1362*Sens!$L$1307</f>
        <v>22.3244322915271</v>
      </c>
      <c r="M1411" s="38" t="n">
        <f aca="false">Sens!$M$1362*Sens!$M$1307</f>
        <v>23.9311800939319</v>
      </c>
      <c r="N1411" s="38" t="n">
        <f aca="false">Sens!$N$1362*Sens!$N$1307</f>
        <v>0.25053229484398</v>
      </c>
      <c r="O1411" s="38" t="n">
        <f aca="false">Sens!$O$1362*Sens!$O$1307</f>
        <v>0.349234376756897</v>
      </c>
    </row>
    <row r="1412" customFormat="false" ht="17.15" hidden="false" customHeight="false" outlineLevel="0" collapsed="false">
      <c r="A1412" s="0" t="s">
        <v>734</v>
      </c>
      <c r="B1412" s="0" t="s">
        <v>52</v>
      </c>
      <c r="C1412" s="28" t="n">
        <f aca="false">(Sens!$C$1413-Sens!$C$1409+Sens!$C$1411)/Sens!$C$1410</f>
        <v>0.0131526665379575</v>
      </c>
      <c r="D1412" s="28" t="n">
        <f aca="false">(Sens!$D$1413-Sens!$D$1409+Sens!$D$1411)/Sens!$D$1410</f>
        <v>0.0141999252954702</v>
      </c>
      <c r="E1412" s="28" t="n">
        <f aca="false">(Sens!$E$1413-Sens!$E$1409+Sens!$E$1411)/Sens!$E$1410</f>
        <v>0.0258471819939326</v>
      </c>
      <c r="F1412" s="28" t="n">
        <f aca="false">Sens!$O$1412+(Sens!$E$1412-Sens!$N$1412)</f>
        <v>0.0224302350712874</v>
      </c>
      <c r="G1412" s="28" t="n">
        <f aca="false">(Sens!$G$1413-Sens!$G$1409+Sens!$G$1411)/Sens!$G$1410</f>
        <v>0.0240191653757</v>
      </c>
      <c r="H1412" s="28" t="n">
        <f aca="false">Sens!$G$1412+step_na</f>
        <v>0.0270191653757</v>
      </c>
      <c r="I1412" s="28" t="n">
        <f aca="false">Sens!$H$1412+step_na</f>
        <v>0.0300191653757</v>
      </c>
      <c r="J1412" s="28" t="n">
        <f aca="false">Sens!$I$1412+step_na</f>
        <v>0.0330191653757</v>
      </c>
      <c r="K1412" s="28" t="n">
        <f aca="false">Sens!$J$1412+step_na</f>
        <v>0.0360191653757</v>
      </c>
      <c r="L1412" s="28" t="n">
        <f aca="false">Sens!$K$1412</f>
        <v>0.0360191653757</v>
      </c>
      <c r="M1412" s="28" t="n">
        <f aca="false">Sens!$L$1412</f>
        <v>0.0360191653757</v>
      </c>
      <c r="N1412" s="28" t="n">
        <f aca="false">(Sens!$N$1413-Sens!$N$1409+Sens!$N$1411)/Sens!$N$1410</f>
        <v>0.0160831323269779</v>
      </c>
      <c r="O1412" s="28" t="n">
        <f aca="false">(Sens!$O$1413-Sens!$O$1409+Sens!$O$1411)/Sens!$O$1410</f>
        <v>0.0126661854043327</v>
      </c>
      <c r="P1412" s="8" t="s">
        <v>735</v>
      </c>
    </row>
    <row r="1413" customFormat="false" ht="17.15" hidden="false" customHeight="false" outlineLevel="0" collapsed="false">
      <c r="A1413" s="1" t="s">
        <v>736</v>
      </c>
      <c r="B1413" s="8" t="s">
        <v>86</v>
      </c>
      <c r="C1413" s="38" t="n">
        <f aca="false">Q!$D$22</f>
        <v>24.967</v>
      </c>
      <c r="D1413" s="38" t="n">
        <f aca="false">Q!$E$22</f>
        <v>29.619</v>
      </c>
      <c r="E1413" s="38" t="n">
        <f aca="false">Q!$P$22</f>
        <v>17.39</v>
      </c>
      <c r="F1413" s="38" t="n">
        <f aca="false">Sens!$F$1409+Sens!$F$1410*Sens!$F$1412-Sens!$F$1411</f>
        <v>20.1600903456595</v>
      </c>
      <c r="G1413" s="38" t="n">
        <f aca="false">Sens!$E$1413+Sens!$F$1413</f>
        <v>37.5500903456595</v>
      </c>
      <c r="H1413" s="38" t="n">
        <f aca="false">Sens!$H$1409+Sens!$H$1410*Sens!$H$1412-Sens!$H$1411</f>
        <v>41.9898745542884</v>
      </c>
      <c r="I1413" s="38" t="n">
        <f aca="false">Sens!$I$1409+Sens!$I$1410*Sens!$I$1412-Sens!$I$1411</f>
        <v>45.7312871306258</v>
      </c>
      <c r="J1413" s="38" t="n">
        <f aca="false">Sens!$J$1409+Sens!$J$1410*Sens!$J$1412-Sens!$J$1411</f>
        <v>49.6946162549403</v>
      </c>
      <c r="K1413" s="38" t="n">
        <f aca="false">Sens!$K$1409+Sens!$K$1410*Sens!$K$1412-Sens!$K$1411</f>
        <v>52.9420217821408</v>
      </c>
      <c r="L1413" s="38" t="n">
        <f aca="false">Sens!$L$1409+Sens!$L$1410*Sens!$L$1412-Sens!$L$1411</f>
        <v>56.4533427923864</v>
      </c>
      <c r="M1413" s="38" t="n">
        <f aca="false">Sens!$M$1409+Sens!$M$1410*Sens!$M$1412-Sens!$M$1411</f>
        <v>61.8530982539586</v>
      </c>
      <c r="N1413" s="38" t="n">
        <f aca="false">Q!$N$22</f>
        <v>13.358</v>
      </c>
      <c r="O1413" s="38" t="n">
        <f aca="false">Q!$O$22</f>
        <v>16.261</v>
      </c>
    </row>
    <row r="1414" customFormat="false" ht="17.15" hidden="false" customHeight="false" outlineLevel="0" collapsed="false">
      <c r="A1414" s="0" t="s">
        <v>737</v>
      </c>
      <c r="B1414" s="0" t="s">
        <v>86</v>
      </c>
      <c r="C1414" s="38" t="n">
        <f aca="false">Sens!$C$1311*m_ad</f>
        <v>7.57284355857716</v>
      </c>
      <c r="D1414" s="38" t="n">
        <f aca="false">Sens!$D$1311*m_ad</f>
        <v>9.44543827004127</v>
      </c>
      <c r="E1414" s="38" t="n">
        <f aca="false">Sens!$E$1311*m_ad</f>
        <v>5.02428875377928</v>
      </c>
      <c r="F1414" s="38" t="n">
        <f aca="false">Sens!$F$1311*m_ad</f>
        <v>6.50663858068173</v>
      </c>
      <c r="G1414" s="38" t="n">
        <f aca="false">Sens!$G$1311*m_ad</f>
        <v>11.5225190751659</v>
      </c>
      <c r="H1414" s="38" t="n">
        <f aca="false">Sens!$H$1311*m_ad</f>
        <v>13.8333728663174</v>
      </c>
      <c r="I1414" s="38" t="n">
        <f aca="false">Sens!$I$1311*m_ad</f>
        <v>16.1440173245485</v>
      </c>
      <c r="J1414" s="38" t="n">
        <f aca="false">Sens!$J$1311*m_ad</f>
        <v>18.2995185845066</v>
      </c>
      <c r="K1414" s="38" t="n">
        <f aca="false">Sens!$K$1311*m_ad</f>
        <v>20.1294704429572</v>
      </c>
      <c r="L1414" s="38" t="n">
        <f aca="false">Sens!$L$1311*m_ad</f>
        <v>22.142417487253</v>
      </c>
      <c r="M1414" s="38" t="n">
        <f aca="false">Sens!$M$1311*m_ad</f>
        <v>24.3566592359783</v>
      </c>
      <c r="N1414" s="38" t="n">
        <f aca="false">Sens!$N$1311*m_ad</f>
        <v>3.95314442937518</v>
      </c>
      <c r="O1414" s="38" t="n">
        <f aca="false">Sens!$O$1311*m_ad</f>
        <v>5.50052681786011</v>
      </c>
    </row>
    <row r="1415" customFormat="false" ht="17.15" hidden="false" customHeight="false" outlineLevel="0" collapsed="false">
      <c r="A1415" s="0" t="s">
        <v>738</v>
      </c>
      <c r="B1415" s="0" t="s">
        <v>86</v>
      </c>
      <c r="C1415" s="38" t="n">
        <f aca="false">Sens!$C$1309-Sens!$C$1311</f>
        <v>127.760312882846</v>
      </c>
      <c r="D1415" s="38" t="n">
        <f aca="false">Sens!$D$1309-Sens!$D$1311</f>
        <v>143.003123459917</v>
      </c>
      <c r="E1415" s="38" t="n">
        <f aca="false">Sens!$E$1309-Sens!$E$1311</f>
        <v>71.9374224924414</v>
      </c>
      <c r="F1415" s="38" t="n">
        <f aca="false">Sens!$F$1309-Sens!$F$1311</f>
        <v>85.3951910035875</v>
      </c>
      <c r="G1415" s="38" t="n">
        <f aca="false">Sens!$G$1309-Sens!$G$1311</f>
        <v>157.349430014619</v>
      </c>
      <c r="H1415" s="38" t="n">
        <f aca="false">Sens!$H$1309-Sens!$H$1311</f>
        <v>172.043153372315</v>
      </c>
      <c r="I1415" s="38" t="n">
        <f aca="false">Sens!$I$1309-Sens!$I$1311</f>
        <v>186.097493615879</v>
      </c>
      <c r="J1415" s="38" t="n">
        <f aca="false">Sens!$J$1309-Sens!$J$1311</f>
        <v>199.117932780497</v>
      </c>
      <c r="K1415" s="38" t="n">
        <f aca="false">Sens!$K$1309-Sens!$K$1311</f>
        <v>210.70928698363</v>
      </c>
      <c r="L1415" s="38" t="n">
        <f aca="false">Sens!$L$1309-Sens!$L$1311</f>
        <v>223.000532251316</v>
      </c>
      <c r="M1415" s="38" t="n">
        <f aca="false">Sens!$M$1309-Sens!$M$1311</f>
        <v>236.035261011339</v>
      </c>
      <c r="N1415" s="38" t="n">
        <f aca="false">Sens!$N$1309-Sens!$N$1311</f>
        <v>62.3677111412496</v>
      </c>
      <c r="O1415" s="38" t="n">
        <f aca="false">Sens!$O$1309-Sens!$O$1311</f>
        <v>80.6189463642798</v>
      </c>
    </row>
    <row r="1416" customFormat="false" ht="17.15" hidden="false" customHeight="false" outlineLevel="0" collapsed="false">
      <c r="A1416" s="0" t="s">
        <v>739</v>
      </c>
      <c r="B1416" s="0" t="s">
        <v>86</v>
      </c>
      <c r="C1416" s="38" t="n">
        <f aca="false">Sens!$C$1362*(1-Sens!$C$1307)</f>
        <v>0.0455891896019953</v>
      </c>
      <c r="D1416" s="38" t="n">
        <f aca="false">Sens!$D$1362*(1-Sens!$D$1307)</f>
        <v>0.227931791705753</v>
      </c>
      <c r="E1416" s="38" t="n">
        <f aca="false">Sens!$E$1362*(1-Sens!$E$1307)</f>
        <v>0.412460434890711</v>
      </c>
      <c r="F1416" s="38" t="n">
        <f aca="false">Sens!$F$1362*(1-Sens!$F$1307)</f>
        <v>0.506634702415902</v>
      </c>
      <c r="G1416" s="38" t="n">
        <f aca="false">Sens!$G$1362*(1-Sens!$G$1307)</f>
        <v>0.918890999794792</v>
      </c>
      <c r="H1416" s="38" t="n">
        <f aca="false">Sens!$H$1362*(1-Sens!$H$1307)</f>
        <v>2.39820878891955</v>
      </c>
      <c r="I1416" s="38" t="n">
        <f aca="false">Sens!$I$1362*(1-Sens!$I$1307)</f>
        <v>4.21378719629431</v>
      </c>
      <c r="J1416" s="38" t="n">
        <f aca="false">Sens!$J$1362*(1-Sens!$J$1307)</f>
        <v>5.83940790680021</v>
      </c>
      <c r="K1416" s="38" t="n">
        <f aca="false">Sens!$K$1362*(1-Sens!$K$1307)</f>
        <v>7.44035179311842</v>
      </c>
      <c r="L1416" s="38" t="n">
        <f aca="false">Sens!$L$1362*(1-Sens!$L$1307)</f>
        <v>8.55105747259855</v>
      </c>
      <c r="M1416" s="38" t="n">
        <f aca="false">Sens!$M$1362*(1-Sens!$M$1307)</f>
        <v>9.16649945217129</v>
      </c>
      <c r="N1416" s="38" t="n">
        <f aca="false">Sens!$N$1362*(1-Sens!$N$1307)</f>
        <v>0.0912435878202994</v>
      </c>
      <c r="O1416" s="38" t="n">
        <f aca="false">Sens!$O$1362*(1-Sens!$O$1307)</f>
        <v>0.137119578309265</v>
      </c>
    </row>
    <row r="1417" customFormat="false" ht="17.15" hidden="false" customHeight="false" outlineLevel="0" collapsed="false">
      <c r="A1417" s="0" t="s">
        <v>740</v>
      </c>
      <c r="B1417" s="0" t="s">
        <v>52</v>
      </c>
      <c r="C1417" s="28" t="n">
        <f aca="false">(Sens!$C$1418-Sens!$C$1414+Sens!$C$1416)/Sens!$C$1415</f>
        <v>-0.0292364215826579</v>
      </c>
      <c r="D1417" s="28" t="n">
        <f aca="false">(Sens!$D$1418-Sens!$D$1414+Sens!$D$1416)/Sens!$D$1415</f>
        <v>-0.0312406216748665</v>
      </c>
      <c r="E1417" s="28" t="n">
        <f aca="false">(Sens!$E$1418-Sens!$E$1414+Sens!$E$1416)/Sens!$E$1415</f>
        <v>-0.0204459413185552</v>
      </c>
      <c r="F1417" s="28" t="n">
        <f aca="false">Sens!$O$1417+(Sens!$E$1417-Sens!$N$1417)</f>
        <v>-0.0375409290246314</v>
      </c>
      <c r="G1417" s="28" t="n">
        <f aca="false">(Sens!$G$1418-Sens!$G$1414+Sens!$G$1416)/Sens!$G$1415</f>
        <v>-0.029669246346695</v>
      </c>
      <c r="H1417" s="28" t="n">
        <f aca="false">Sens!$G$1417+step_in</f>
        <v>-0.029669246346695</v>
      </c>
      <c r="I1417" s="28" t="n">
        <f aca="false">Sens!$H$1417+step_in</f>
        <v>-0.029669246346695</v>
      </c>
      <c r="J1417" s="28" t="n">
        <f aca="false">Sens!$I$1417+step_in</f>
        <v>-0.029669246346695</v>
      </c>
      <c r="K1417" s="28" t="n">
        <f aca="false">Sens!$J$1417+step_in</f>
        <v>-0.029669246346695</v>
      </c>
      <c r="L1417" s="28" t="n">
        <f aca="false">Sens!$K$1417</f>
        <v>-0.029669246346695</v>
      </c>
      <c r="M1417" s="28" t="n">
        <f aca="false">Sens!$L$1417</f>
        <v>-0.029669246346695</v>
      </c>
      <c r="N1417" s="28" t="n">
        <f aca="false">(Sens!$N$1418-Sens!$N$1414+Sens!$N$1416)/Sens!$N$1415</f>
        <v>-0.0216602600421776</v>
      </c>
      <c r="O1417" s="28" t="n">
        <f aca="false">(Sens!$O$1418-Sens!$O$1414+Sens!$O$1416)/Sens!$O$1415</f>
        <v>-0.0387552477482538</v>
      </c>
      <c r="P1417" s="8" t="s">
        <v>735</v>
      </c>
    </row>
    <row r="1418" customFormat="false" ht="17.15" hidden="false" customHeight="false" outlineLevel="0" collapsed="false">
      <c r="A1418" s="1" t="s">
        <v>741</v>
      </c>
      <c r="B1418" s="8" t="s">
        <v>86</v>
      </c>
      <c r="C1418" s="38" t="n">
        <f aca="false">Q!$D$23</f>
        <v>3.792</v>
      </c>
      <c r="D1418" s="38" t="n">
        <f aca="false">Q!$E$23</f>
        <v>4.75</v>
      </c>
      <c r="E1418" s="38" t="n">
        <f aca="false">Q!$P$23</f>
        <v>3.141</v>
      </c>
      <c r="F1418" s="38" t="n">
        <f aca="false">Sens!$F$1414+Sens!$F$1415*Sens!$F$1417-Sens!$F$1416</f>
        <v>2.79418907375531</v>
      </c>
      <c r="G1418" s="38" t="n">
        <f aca="false">Sens!$E$1418+Sens!$F$1418</f>
        <v>5.93518907375531</v>
      </c>
      <c r="H1418" s="38" t="n">
        <f aca="false">Sens!$H$1414+Sens!$H$1415*Sens!$H$1417-Sens!$H$1416</f>
        <v>6.33077337773238</v>
      </c>
      <c r="I1418" s="38" t="n">
        <f aca="false">Sens!$I$1414+Sens!$I$1415*Sens!$I$1417-Sens!$I$1416</f>
        <v>6.40885774566222</v>
      </c>
      <c r="J1418" s="38" t="n">
        <f aca="false">Sens!$J$1414+Sens!$J$1415*Sens!$J$1417-Sens!$J$1416</f>
        <v>6.55243167799716</v>
      </c>
      <c r="K1418" s="38" t="n">
        <f aca="false">Sens!$K$1414+Sens!$K$1415*Sens!$K$1417-Sens!$K$1416</f>
        <v>6.43753290678505</v>
      </c>
      <c r="L1418" s="38" t="n">
        <f aca="false">Sens!$L$1414+Sens!$L$1415*Sens!$L$1417-Sens!$L$1416</f>
        <v>6.97510228784601</v>
      </c>
      <c r="M1418" s="38" t="n">
        <f aca="false">Sens!$M$1414+Sens!$M$1415*Sens!$M$1417-Sens!$M$1416</f>
        <v>8.18717147835512</v>
      </c>
      <c r="N1418" s="38" t="n">
        <f aca="false">Q!$N$23</f>
        <v>2.511</v>
      </c>
      <c r="O1418" s="38" t="n">
        <f aca="false">Q!$O$23</f>
        <v>2.239</v>
      </c>
    </row>
    <row r="1419" customFormat="false" ht="17.15" hidden="false" customHeight="false" outlineLevel="0" collapsed="false">
      <c r="A1419" s="0" t="s">
        <v>742</v>
      </c>
      <c r="B1419" s="0" t="s">
        <v>86</v>
      </c>
      <c r="C1419" s="38" t="n">
        <f aca="false">Sens!$C$1359</f>
        <v>1.64417882953695</v>
      </c>
      <c r="D1419" s="38" t="n">
        <f aca="false">Sens!$D$1359</f>
        <v>5.39125073772939</v>
      </c>
      <c r="E1419" s="38" t="n">
        <f aca="false">Sens!$E$1359</f>
        <v>2.42691120599613</v>
      </c>
      <c r="F1419" s="38" t="n">
        <f aca="false">Sens!$F$1359</f>
        <v>6.54900035611223</v>
      </c>
      <c r="G1419" s="38" t="n">
        <f aca="false">Sens!$G$1359</f>
        <v>8.97591156210837</v>
      </c>
      <c r="H1419" s="38" t="n">
        <f aca="false">Sens!$H$1359</f>
        <v>15.5162038308477</v>
      </c>
      <c r="I1419" s="38" t="n">
        <f aca="false">Sens!$I$1359</f>
        <v>20.2973658659205</v>
      </c>
      <c r="J1419" s="38" t="n">
        <f aca="false">Sens!$J$1359</f>
        <v>27.959990222758</v>
      </c>
      <c r="K1419" s="38" t="n">
        <f aca="false">Sens!$K$1359</f>
        <v>31.4349178875569</v>
      </c>
      <c r="L1419" s="38" t="n">
        <f aca="false">Sens!$L$1359</f>
        <v>32.9428222323755</v>
      </c>
      <c r="M1419" s="38" t="n">
        <f aca="false">Sens!$M$1359</f>
        <v>32.5339729026875</v>
      </c>
      <c r="N1419" s="38" t="n">
        <f aca="false">Sens!$N$1359</f>
        <v>1.67921600037079</v>
      </c>
      <c r="O1419" s="38" t="n">
        <f aca="false">Sens!$O$1359</f>
        <v>3.71203473735861</v>
      </c>
    </row>
    <row r="1420" customFormat="false" ht="17.15" hidden="false" customHeight="false" outlineLevel="0" collapsed="false">
      <c r="A1420" s="0" t="s">
        <v>660</v>
      </c>
      <c r="B1420" s="0" t="s">
        <v>86</v>
      </c>
      <c r="C1420" s="38" t="n">
        <f aca="false">Sens!$C$1364</f>
        <v>38.1898211704631</v>
      </c>
      <c r="D1420" s="38" t="n">
        <f aca="false">Sens!$D$1364</f>
        <v>40.2147492622706</v>
      </c>
      <c r="E1420" s="38" t="n">
        <f aca="false">Sens!$E$1364</f>
        <v>28.3550887940039</v>
      </c>
      <c r="F1420" s="38" t="n">
        <f aca="false">Sens!$F$1364</f>
        <v>25.9529793149447</v>
      </c>
      <c r="G1420" s="38" t="n">
        <f aca="false">Sens!$G$1364</f>
        <v>54.3080681089486</v>
      </c>
      <c r="H1420" s="38" t="n">
        <f aca="false">Sens!$H$1364</f>
        <v>58.2264684589333</v>
      </c>
      <c r="I1420" s="38" t="n">
        <f aca="false">Sens!$I$1364</f>
        <v>64.6461353851744</v>
      </c>
      <c r="J1420" s="38" t="n">
        <f aca="false">Sens!$J$1364</f>
        <v>70.7957093610231</v>
      </c>
      <c r="K1420" s="38" t="n">
        <f aca="false">Sens!$K$1364</f>
        <v>76.4593661099049</v>
      </c>
      <c r="L1420" s="38" t="n">
        <f aca="false">Sens!$L$1364</f>
        <v>82.5761153986973</v>
      </c>
      <c r="M1420" s="38" t="n">
        <f aca="false">Sens!$M$1364</f>
        <v>89.1822046305931</v>
      </c>
      <c r="N1420" s="38" t="n">
        <f aca="false">Sens!$N$1364</f>
        <v>20.0277839996292</v>
      </c>
      <c r="O1420" s="38" t="n">
        <f aca="false">Sens!$O$1364</f>
        <v>20.1869652626414</v>
      </c>
    </row>
    <row r="1421" customFormat="false" ht="17.15" hidden="false" customHeight="false" outlineLevel="0" collapsed="false">
      <c r="A1421" s="1" t="s">
        <v>743</v>
      </c>
      <c r="B1421" s="8" t="s">
        <v>86</v>
      </c>
      <c r="C1421" s="38" t="n">
        <f aca="false">Q!$D$24</f>
        <v>39.834</v>
      </c>
      <c r="D1421" s="38" t="n">
        <f aca="false">Q!$E$24</f>
        <v>45.606</v>
      </c>
      <c r="E1421" s="38" t="n">
        <f aca="false">Q!$P$24</f>
        <v>30.782</v>
      </c>
      <c r="F1421" s="38" t="n">
        <f aca="false">Sens!$F$1419+Sens!$F$1420</f>
        <v>32.5019796710569</v>
      </c>
      <c r="G1421" s="38" t="n">
        <f aca="false">Sens!$G$1419+Sens!$G$1420</f>
        <v>63.2839796710569</v>
      </c>
      <c r="H1421" s="38" t="n">
        <f aca="false">Sens!$H$1419+Sens!$H$1420</f>
        <v>73.7426722897809</v>
      </c>
      <c r="I1421" s="38" t="n">
        <f aca="false">Sens!$I$1419+Sens!$I$1420</f>
        <v>84.9435012510949</v>
      </c>
      <c r="J1421" s="38" t="n">
        <f aca="false">Sens!$J$1419+Sens!$J$1420</f>
        <v>98.7556995837811</v>
      </c>
      <c r="K1421" s="38" t="n">
        <f aca="false">Sens!$K$1419+Sens!$K$1420</f>
        <v>107.894283997462</v>
      </c>
      <c r="L1421" s="38" t="n">
        <f aca="false">Sens!$L$1419+Sens!$L$1420</f>
        <v>115.518937631073</v>
      </c>
      <c r="M1421" s="38" t="n">
        <f aca="false">Sens!$M$1419+Sens!$M$1420</f>
        <v>121.716177533281</v>
      </c>
      <c r="N1421" s="38" t="n">
        <f aca="false">Q!$N$24</f>
        <v>21.707</v>
      </c>
      <c r="O1421" s="38" t="n">
        <f aca="false">Q!$O$24</f>
        <v>23.899</v>
      </c>
    </row>
    <row r="1422" customFormat="false" ht="17.15" hidden="false" customHeight="false" outlineLevel="0" collapsed="false">
      <c r="A1422" s="5" t="s">
        <v>744</v>
      </c>
      <c r="B1422" s="0" t="s">
        <v>86</v>
      </c>
      <c r="C1422" s="38" t="n">
        <f aca="false">Q!$D$26</f>
        <v>0</v>
      </c>
      <c r="D1422" s="38" t="n">
        <f aca="false">Q!$E$26</f>
        <v>0</v>
      </c>
      <c r="E1422" s="38" t="n">
        <f aca="false">Q!$P$26</f>
        <v>0</v>
      </c>
      <c r="F1422" s="39" t="n">
        <v>0</v>
      </c>
      <c r="G1422" s="38" t="n">
        <f aca="false">Sens!$E$1422+Sens!$F$1422</f>
        <v>0</v>
      </c>
      <c r="H1422" s="39" t="n">
        <v>0</v>
      </c>
      <c r="I1422" s="39" t="n">
        <v>0</v>
      </c>
      <c r="J1422" s="39" t="n">
        <v>0</v>
      </c>
      <c r="K1422" s="39" t="n">
        <v>0</v>
      </c>
      <c r="L1422" s="39" t="n">
        <v>0</v>
      </c>
      <c r="M1422" s="39" t="n">
        <v>0</v>
      </c>
      <c r="N1422" s="38" t="n">
        <f aca="false">Q!$N$26</f>
        <v>0</v>
      </c>
      <c r="O1422" s="38" t="n">
        <f aca="false">Q!$O$26</f>
        <v>0</v>
      </c>
    </row>
    <row r="1423" customFormat="false" ht="15" hidden="false" customHeight="false" outlineLevel="0" collapsed="false">
      <c r="A1423" s="3" t="s">
        <v>541</v>
      </c>
      <c r="B1423" s="8" t="s">
        <v>86</v>
      </c>
      <c r="C1423" s="38" t="n">
        <f aca="false">Q!$D$25</f>
        <v>68.593</v>
      </c>
      <c r="D1423" s="38" t="n">
        <f aca="false">Q!$E$25</f>
        <v>79.975</v>
      </c>
      <c r="E1423" s="38" t="n">
        <f aca="false">Q!$P$25</f>
        <v>51.313</v>
      </c>
      <c r="F1423" s="38" t="n">
        <f aca="false">Sens!$F$1413+Sens!$F$1418+Sens!$F$1421+Sens!$F$1422</f>
        <v>55.4562590904717</v>
      </c>
      <c r="G1423" s="38" t="n">
        <f aca="false">Sens!$G$1413+Sens!$G$1418+Sens!$G$1421+Sens!$G$1422</f>
        <v>106.769259090472</v>
      </c>
      <c r="H1423" s="38" t="n">
        <f aca="false">Sens!$H$1413+Sens!$H$1418+Sens!$H$1421+Sens!$H$1422</f>
        <v>122.063320221802</v>
      </c>
      <c r="I1423" s="38" t="n">
        <f aca="false">Sens!$I$1413+Sens!$I$1418+Sens!$I$1421+Sens!$I$1422</f>
        <v>137.083646127383</v>
      </c>
      <c r="J1423" s="38" t="n">
        <f aca="false">Sens!$J$1413+Sens!$J$1418+Sens!$J$1421+Sens!$J$1422</f>
        <v>155.002747516719</v>
      </c>
      <c r="K1423" s="38" t="n">
        <f aca="false">Sens!$K$1413+Sens!$K$1418+Sens!$K$1421+Sens!$K$1422</f>
        <v>167.273838686388</v>
      </c>
      <c r="L1423" s="38" t="n">
        <f aca="false">Sens!$L$1413+Sens!$L$1418+Sens!$L$1421+Sens!$L$1422</f>
        <v>178.947382711305</v>
      </c>
      <c r="M1423" s="38" t="n">
        <f aca="false">Sens!$M$1413+Sens!$M$1418+Sens!$M$1421+Sens!$M$1422</f>
        <v>191.756447265594</v>
      </c>
      <c r="N1423" s="38" t="n">
        <f aca="false">Q!$N$25</f>
        <v>37.576</v>
      </c>
      <c r="O1423" s="38" t="n">
        <f aca="false">Q!$O$25</f>
        <v>42.399</v>
      </c>
    </row>
    <row r="1424" customFormat="false" ht="17.15" hidden="false" customHeight="false" outlineLevel="0" collapsed="false">
      <c r="A1424" s="24" t="s">
        <v>775</v>
      </c>
      <c r="B1424" s="25" t="s">
        <v>86</v>
      </c>
      <c r="C1424" s="41" t="n">
        <f aca="false">Sens!$C$1413+Sens!$C$1418+Sens!$C$1421+Sens!$C$1422-Sens!$C$1423</f>
        <v>0</v>
      </c>
      <c r="D1424" s="41" t="n">
        <f aca="false">Sens!$D$1413+Sens!$D$1418+Sens!$D$1421+Sens!$D$1422-Sens!$D$1423</f>
        <v>0</v>
      </c>
      <c r="E1424" s="41" t="n">
        <f aca="false">Sens!$E$1413+Sens!$E$1418+Sens!$E$1421+Sens!$E$1422-Sens!$E$1423</f>
        <v>0</v>
      </c>
      <c r="F1424" s="41" t="n">
        <f aca="false">Sens!$F$1413+Sens!$F$1418+Sens!$F$1421+Sens!$F$1422-Sens!$F$1423</f>
        <v>0</v>
      </c>
      <c r="G1424" s="41" t="n">
        <f aca="false">Sens!$G$1413+Sens!$G$1418+Sens!$G$1421+Sens!$G$1422-Sens!$G$1423</f>
        <v>0</v>
      </c>
      <c r="H1424" s="41" t="n">
        <f aca="false">Sens!$H$1413+Sens!$H$1418+Sens!$H$1421+Sens!$H$1422-Sens!$H$1423</f>
        <v>0</v>
      </c>
      <c r="I1424" s="41" t="n">
        <f aca="false">Sens!$I$1413+Sens!$I$1418+Sens!$I$1421+Sens!$I$1422-Sens!$I$1423</f>
        <v>0</v>
      </c>
      <c r="J1424" s="41" t="n">
        <f aca="false">Sens!$J$1413+Sens!$J$1418+Sens!$J$1421+Sens!$J$1422-Sens!$J$1423</f>
        <v>0</v>
      </c>
      <c r="K1424" s="41" t="n">
        <f aca="false">Sens!$K$1413+Sens!$K$1418+Sens!$K$1421+Sens!$K$1422-Sens!$K$1423</f>
        <v>0</v>
      </c>
      <c r="L1424" s="41" t="n">
        <f aca="false">Sens!$L$1413+Sens!$L$1418+Sens!$L$1421+Sens!$L$1422-Sens!$L$1423</f>
        <v>0</v>
      </c>
      <c r="M1424" s="41" t="n">
        <f aca="false">Sens!$M$1413+Sens!$M$1418+Sens!$M$1421+Sens!$M$1422-Sens!$M$1423</f>
        <v>0</v>
      </c>
      <c r="N1424" s="41" t="n">
        <f aca="false">Sens!$N$1413+Sens!$N$1418+Sens!$N$1421+Sens!$N$1422-Sens!$N$1423</f>
        <v>0</v>
      </c>
      <c r="O1424" s="41" t="n">
        <f aca="false">Sens!$O$1413+Sens!$O$1418+Sens!$O$1421+Sens!$O$1422-Sens!$O$1423</f>
        <v>0</v>
      </c>
    </row>
    <row r="1425" customFormat="false" ht="17.15" hidden="false" customHeight="false" outlineLevel="0" collapsed="false">
      <c r="A1425" s="5" t="s">
        <v>746</v>
      </c>
      <c r="B1425" s="0" t="s">
        <v>86</v>
      </c>
      <c r="C1425" s="38" t="n">
        <f aca="false">Sens!$C$1361</f>
        <v>0</v>
      </c>
      <c r="D1425" s="38" t="n">
        <f aca="false">Sens!$D$1361</f>
        <v>0</v>
      </c>
      <c r="E1425" s="38" t="n">
        <f aca="false">Sens!$E$1361</f>
        <v>0</v>
      </c>
      <c r="F1425" s="38" t="n">
        <f aca="false">Sens!$F$1361</f>
        <v>3.46212295437561</v>
      </c>
      <c r="G1425" s="38" t="n">
        <f aca="false">Sens!$G$1361</f>
        <v>3.46212295437561</v>
      </c>
      <c r="H1425" s="38" t="n">
        <f aca="false">Sens!$H$1361</f>
        <v>12.6400809568559</v>
      </c>
      <c r="I1425" s="38" t="n">
        <f aca="false">Sens!$I$1361</f>
        <v>20.4538284576056</v>
      </c>
      <c r="J1425" s="38" t="n">
        <f aca="false">Sens!$J$1361</f>
        <v>28.3023369995481</v>
      </c>
      <c r="K1425" s="38" t="n">
        <f aca="false">Sens!$K$1361</f>
        <v>35.0055998557771</v>
      </c>
      <c r="L1425" s="38" t="n">
        <f aca="false">Sens!$L$1361</f>
        <v>39.4286349957492</v>
      </c>
      <c r="M1425" s="38" t="n">
        <f aca="false">Sens!$M$1361</f>
        <v>41.5658188984426</v>
      </c>
      <c r="N1425" s="38" t="n">
        <f aca="false">Sens!$N$1361</f>
        <v>0</v>
      </c>
      <c r="O1425" s="38" t="n">
        <f aca="false">Sens!$O$1361</f>
        <v>0</v>
      </c>
      <c r="P1425" s="5" t="s">
        <v>747</v>
      </c>
    </row>
    <row r="1426" customFormat="false" ht="17.15" hidden="false" customHeight="false" outlineLevel="0" collapsed="false">
      <c r="A1426" s="5" t="s">
        <v>748</v>
      </c>
      <c r="B1426" s="0" t="s">
        <v>86</v>
      </c>
      <c r="C1426" s="38" t="n">
        <f aca="false">Sens!$C$1423+Sens!$C$1425</f>
        <v>68.593</v>
      </c>
      <c r="D1426" s="38" t="n">
        <f aca="false">Sens!$D$1423+Sens!$D$1425</f>
        <v>79.975</v>
      </c>
      <c r="E1426" s="38" t="n">
        <f aca="false">Sens!$E$1423+Sens!$E$1425</f>
        <v>51.313</v>
      </c>
      <c r="F1426" s="38" t="n">
        <f aca="false">Sens!$F$1423+Sens!$F$1425</f>
        <v>58.9183820448473</v>
      </c>
      <c r="G1426" s="38" t="n">
        <f aca="false">Sens!$G$1423+Sens!$G$1425</f>
        <v>110.231382044847</v>
      </c>
      <c r="H1426" s="38" t="n">
        <f aca="false">Sens!$H$1423+Sens!$H$1425</f>
        <v>134.703401178658</v>
      </c>
      <c r="I1426" s="38" t="n">
        <f aca="false">Sens!$I$1423+Sens!$I$1425</f>
        <v>157.537474584989</v>
      </c>
      <c r="J1426" s="38" t="n">
        <f aca="false">Sens!$J$1423+Sens!$J$1425</f>
        <v>183.305084516267</v>
      </c>
      <c r="K1426" s="38" t="n">
        <f aca="false">Sens!$K$1423+Sens!$K$1425</f>
        <v>202.279438542165</v>
      </c>
      <c r="L1426" s="38" t="n">
        <f aca="false">Sens!$L$1423+Sens!$L$1425</f>
        <v>218.376017707054</v>
      </c>
      <c r="M1426" s="38" t="n">
        <f aca="false">Sens!$M$1423+Sens!$M$1425</f>
        <v>233.322266164037</v>
      </c>
      <c r="N1426" s="38" t="n">
        <f aca="false">Sens!$N$1423+Sens!$N$1425</f>
        <v>37.576</v>
      </c>
      <c r="O1426" s="38" t="n">
        <f aca="false">Sens!$O$1423+Sens!$O$1425</f>
        <v>42.399</v>
      </c>
    </row>
    <row r="1427" customFormat="false" ht="17.15" hidden="false" customHeight="false" outlineLevel="0" collapsed="false">
      <c r="A1427" s="0" t="s">
        <v>749</v>
      </c>
      <c r="B1427" s="0" t="s">
        <v>52</v>
      </c>
      <c r="C1427" s="13" t="n">
        <f aca="false">Sens!$C$1413/Sens!$C$1398</f>
        <v>0.0644314665661928</v>
      </c>
      <c r="D1427" s="13" t="n">
        <f aca="false">Sens!$D$1413/Sens!$D$1398</f>
        <v>0.0694784250712518</v>
      </c>
      <c r="E1427" s="13" t="n">
        <f aca="false">Sens!$E$1413/Sens!$E$1398</f>
        <v>0.0789306463326071</v>
      </c>
      <c r="F1427" s="13" t="n">
        <f aca="false">Sens!$F$1413/Sens!$F$1398</f>
        <v>0.0804345218865314</v>
      </c>
      <c r="G1427" s="13" t="n">
        <f aca="false">Sens!$G$1413/Sens!$G$1398</f>
        <v>0.0797309928789648</v>
      </c>
      <c r="H1427" s="13" t="n">
        <f aca="false">Sens!$H$1413/Sens!$H$1398</f>
        <v>0.0805349487541887</v>
      </c>
      <c r="I1427" s="13" t="n">
        <f aca="false">Sens!$I$1413/Sens!$I$1398</f>
        <v>0.080210083993564</v>
      </c>
      <c r="J1427" s="13" t="n">
        <f aca="false">Sens!$J$1413/Sens!$J$1398</f>
        <v>0.0807528564172971</v>
      </c>
      <c r="K1427" s="13" t="n">
        <f aca="false">Sens!$K$1413/Sens!$K$1398</f>
        <v>0.0808018268927614</v>
      </c>
      <c r="L1427" s="13" t="n">
        <f aca="false">Sens!$L$1413/Sens!$L$1398</f>
        <v>0.080900998394029</v>
      </c>
      <c r="M1427" s="13" t="n">
        <f aca="false">Sens!$M$1413/Sens!$M$1398</f>
        <v>0.0832030590904521</v>
      </c>
      <c r="N1427" s="13" t="n">
        <f aca="false">Sens!$N$1413/Sens!$N$1398</f>
        <v>0.069228576611127</v>
      </c>
      <c r="O1427" s="13" t="n">
        <f aca="false">Sens!$O$1413/Sens!$O$1398</f>
        <v>0.069685022498393</v>
      </c>
    </row>
    <row r="1428" customFormat="false" ht="17.15" hidden="false" customHeight="false" outlineLevel="0" collapsed="false">
      <c r="A1428" s="0" t="s">
        <v>750</v>
      </c>
      <c r="B1428" s="0" t="s">
        <v>52</v>
      </c>
      <c r="C1428" s="13" t="n">
        <f aca="false">Sens!$C$1418/Sens!$C$1399</f>
        <v>0.026534925055631</v>
      </c>
      <c r="D1428" s="13" t="n">
        <f aca="false">Sens!$D$1418/Sens!$D$1399</f>
        <v>0.0293401855535103</v>
      </c>
      <c r="E1428" s="13" t="n">
        <f aca="false">Sens!$E$1418/Sens!$E$1399</f>
        <v>0.03831141902276</v>
      </c>
      <c r="F1428" s="13" t="n">
        <f aca="false">Sens!$F$1418/Sens!$F$1399</f>
        <v>0.0283937868951656</v>
      </c>
      <c r="G1428" s="13" t="n">
        <f aca="false">Sens!$G$1418/Sens!$G$1399</f>
        <v>0.0329011700532204</v>
      </c>
      <c r="H1428" s="13" t="n">
        <f aca="false">Sens!$H$1418/Sens!$H$1399</f>
        <v>0.0316998476595569</v>
      </c>
      <c r="I1428" s="13" t="n">
        <f aca="false">Sens!$I$1418/Sens!$I$1399</f>
        <v>0.0293465313227445</v>
      </c>
      <c r="J1428" s="13" t="n">
        <f aca="false">Sens!$J$1418/Sens!$J$1399</f>
        <v>0.0277978784446477</v>
      </c>
      <c r="K1428" s="13" t="n">
        <f aca="false">Sens!$K$1418/Sens!$K$1399</f>
        <v>0.0256507883943434</v>
      </c>
      <c r="L1428" s="13" t="n">
        <f aca="false">Sens!$L$1418/Sens!$L$1399</f>
        <v>0.0260960873400635</v>
      </c>
      <c r="M1428" s="13" t="n">
        <f aca="false">Sens!$M$1418/Sens!$M$1399</f>
        <v>0.0287522820770926</v>
      </c>
      <c r="N1428" s="13" t="n">
        <f aca="false">Sens!$N$1418/Sens!$N$1399</f>
        <v>0.0357315650169337</v>
      </c>
      <c r="O1428" s="13" t="n">
        <f aca="false">Sens!$O$1418/Sens!$O$1399</f>
        <v>0.0244378956559703</v>
      </c>
    </row>
    <row r="1429" customFormat="false" ht="17.15" hidden="false" customHeight="false" outlineLevel="0" collapsed="false">
      <c r="A1429" s="14" t="s">
        <v>751</v>
      </c>
      <c r="B1429" s="14" t="s">
        <v>52</v>
      </c>
      <c r="C1429" s="17" t="n">
        <f aca="false">Sens!$C$1421/Sens!$C$1400</f>
        <v>0.370355907620217</v>
      </c>
      <c r="D1429" s="17" t="n">
        <f aca="false">Sens!$D$1421/Sens!$D$1400</f>
        <v>0.35429015342785</v>
      </c>
      <c r="E1429" s="17" t="n">
        <f aca="false">Sens!$E$1421/Sens!$E$1400</f>
        <v>0.385647527531039</v>
      </c>
      <c r="F1429" s="17" t="n">
        <f aca="false">Sens!$F$1421/Sens!$F$1400</f>
        <v>0.380112115974585</v>
      </c>
      <c r="G1429" s="17" t="n">
        <f aca="false">Sens!$G$1421/Sens!$G$1400</f>
        <v>0.382784610878339</v>
      </c>
      <c r="H1429" s="17" t="n">
        <f aca="false">Sens!$H$1421/Sens!$H$1400</f>
        <v>0.349209421461699</v>
      </c>
      <c r="I1429" s="17" t="n">
        <f aca="false">Sens!$I$1421/Sens!$I$1400</f>
        <v>0.32679830973183</v>
      </c>
      <c r="J1429" s="17" t="n">
        <f aca="false">Sens!$J$1421/Sens!$J$1400</f>
        <v>0.320558955399958</v>
      </c>
      <c r="K1429" s="17" t="n">
        <f aca="false">Sens!$K$1421/Sens!$K$1400</f>
        <v>0.307976663242761</v>
      </c>
      <c r="L1429" s="17" t="n">
        <f aca="false">Sens!$L$1421/Sens!$L$1400</f>
        <v>0.300207192090789</v>
      </c>
      <c r="M1429" s="17" t="n">
        <f aca="false">Sens!$M$1421/Sens!$M$1400</f>
        <v>0.2957538881398</v>
      </c>
      <c r="N1429" s="17" t="n">
        <f aca="false">Sens!$N$1421/Sens!$N$1400</f>
        <v>0.360941137346192</v>
      </c>
      <c r="O1429" s="17" t="n">
        <f aca="false">Sens!$O$1421/Sens!$O$1400</f>
        <v>0.348458117664212</v>
      </c>
    </row>
    <row r="1430" customFormat="false" ht="17.15" hidden="false" customHeight="false" outlineLevel="0" collapsed="false">
      <c r="A1430" s="0" t="s">
        <v>752</v>
      </c>
      <c r="B1430" s="0" t="s">
        <v>52</v>
      </c>
      <c r="C1430" s="13" t="n">
        <f aca="false">Sens!$C$1419/Sens!$C$1401</f>
        <v>0.708390794789371</v>
      </c>
      <c r="D1430" s="13" t="n">
        <f aca="false">Sens!$D$1419/Sens!$D$1401</f>
        <v>0.619415573115729</v>
      </c>
      <c r="E1430" s="13" t="n">
        <f aca="false">Sens!$E$1419/Sens!$E$1401</f>
        <v>0.285171627189009</v>
      </c>
      <c r="F1430" s="13" t="n">
        <f aca="false">Sens!$F$1419/Sens!$F$1401</f>
        <v>0.476741752267913</v>
      </c>
      <c r="G1430" s="13" t="n">
        <f aca="false">Sens!$G$1419/Sens!$G$1401</f>
        <v>0.403459795800063</v>
      </c>
      <c r="H1430" s="13" t="n">
        <f aca="false">Sens!$H$1419/Sens!$H$1401</f>
        <v>0.309375759461406</v>
      </c>
      <c r="I1430" s="13" t="n">
        <f aca="false">Sens!$I$1419/Sens!$I$1401</f>
        <v>0.250101175269296</v>
      </c>
      <c r="J1430" s="13" t="n">
        <f aca="false">Sens!$J$1419/Sens!$J$1401</f>
        <v>0.248980525434362</v>
      </c>
      <c r="K1430" s="13" t="n">
        <f aca="false">Sens!$K$1419/Sens!$K$1401</f>
        <v>0.226321320237609</v>
      </c>
      <c r="L1430" s="13" t="n">
        <f aca="false">Sens!$L$1419/Sens!$L$1401</f>
        <v>0.210571563723471</v>
      </c>
      <c r="M1430" s="13" t="n">
        <f aca="false">Sens!$M$1419/Sens!$M$1401</f>
        <v>0.19726562886515</v>
      </c>
      <c r="N1430" s="13" t="n">
        <f aca="false">Sens!$N$1419/Sens!$N$1401</f>
        <v>0.551227795793364</v>
      </c>
      <c r="O1430" s="13" t="n">
        <f aca="false">Sens!$O$1419/Sens!$O$1401</f>
        <v>0.656132068597002</v>
      </c>
    </row>
    <row r="1431" customFormat="false" ht="15" hidden="false" customHeight="false" outlineLevel="0" collapsed="false">
      <c r="A1431" s="5" t="s">
        <v>753</v>
      </c>
      <c r="B1431" s="0" t="s">
        <v>52</v>
      </c>
      <c r="C1431" s="13" t="n">
        <f aca="false">Sens!$C$1423/Sens!$C$1403</f>
        <v>0.107519448742004</v>
      </c>
      <c r="D1431" s="13" t="n">
        <f aca="false">Sens!$D$1423/Sens!$D$1403</f>
        <v>0.111552967957552</v>
      </c>
      <c r="E1431" s="13" t="n">
        <f aca="false">Sens!$E$1423/Sens!$E$1403</f>
        <v>0.13428328426562</v>
      </c>
      <c r="F1431" s="13" t="n">
        <f aca="false">Sens!$F$1423/Sens!$F$1403</f>
        <v>0.12761633833072</v>
      </c>
      <c r="G1431" s="13" t="n">
        <f aca="false">Sens!$G$1423/Sens!$G$1403</f>
        <v>0.130735807587959</v>
      </c>
      <c r="H1431" s="13" t="n">
        <f aca="false">Sens!$H$1423/Sens!$H$1403</f>
        <v>0.130931686050767</v>
      </c>
      <c r="I1431" s="13" t="n">
        <f aca="false">Sens!$I$1423/Sens!$I$1403</f>
        <v>0.130748144131796</v>
      </c>
      <c r="J1431" s="13" t="n">
        <f aca="false">Sens!$J$1423/Sens!$J$1403</f>
        <v>0.133717369976821</v>
      </c>
      <c r="K1431" s="13" t="n">
        <f aca="false">Sens!$K$1423/Sens!$K$1403</f>
        <v>0.133125845632696</v>
      </c>
      <c r="L1431" s="13" t="n">
        <f aca="false">Sens!$L$1423/Sens!$L$1403</f>
        <v>0.13256437168806</v>
      </c>
      <c r="M1431" s="13" t="n">
        <f aca="false">Sens!$M$1423/Sens!$M$1403</f>
        <v>0.133192558996089</v>
      </c>
      <c r="N1431" s="13" t="n">
        <f aca="false">Sens!$N$1423/Sens!$N$1403</f>
        <v>0.116201614873411</v>
      </c>
      <c r="O1431" s="13" t="n">
        <f aca="false">Sens!$O$1423/Sens!$O$1403</f>
        <v>0.107733353660861</v>
      </c>
    </row>
    <row r="1432" customFormat="false" ht="17.15" hidden="false" customHeight="false" outlineLevel="0" collapsed="false">
      <c r="A1432" s="1" t="s">
        <v>754</v>
      </c>
    </row>
    <row r="1433" customFormat="false" ht="17.15" hidden="false" customHeight="false" outlineLevel="0" collapsed="false">
      <c r="A1433" s="5" t="s">
        <v>755</v>
      </c>
      <c r="B1433" s="0" t="s">
        <v>52</v>
      </c>
      <c r="D1433" s="28" t="n">
        <f aca="false">(Q!$E$29+Q!$E$30-(1-ext_sh)*Sens!$D$1355)/Sens!$D$1306</f>
        <v>0.0341105596409988</v>
      </c>
    </row>
    <row r="1434" customFormat="false" ht="17.15" hidden="false" customHeight="false" outlineLevel="0" collapsed="false">
      <c r="A1434" s="0" t="s">
        <v>545</v>
      </c>
      <c r="B1434" s="0" t="s">
        <v>86</v>
      </c>
      <c r="C1434" s="38" t="n">
        <f aca="false">Q!$D$29</f>
        <v>14.285</v>
      </c>
      <c r="D1434" s="38" t="n">
        <f aca="false">Q!$E$29</f>
        <v>15.503</v>
      </c>
      <c r="E1434" s="38" t="n">
        <f aca="false">Q!$P$29</f>
        <v>8.78</v>
      </c>
      <c r="F1434" s="38" t="n">
        <f aca="false">(Sens!$D$1433*Sens!$F$1306+(1-ext_sh)*Sens!$F$1355)*Sens!$F$1307</f>
        <v>9.30317620449232</v>
      </c>
      <c r="G1434" s="38" t="n">
        <f aca="false">Sens!$E$1434+Sens!$F$1434</f>
        <v>18.0831762044923</v>
      </c>
      <c r="H1434" s="38" t="n">
        <f aca="false">(Sens!$D$1433*Sens!$H$1306+(1-ext_sh)*Sens!$H$1355)*Sens!$H$1307</f>
        <v>22.1297245338482</v>
      </c>
      <c r="I1434" s="38" t="n">
        <f aca="false">(Sens!$D$1433*Sens!$I$1306+(1-ext_sh)*Sens!$I$1355)*Sens!$I$1307</f>
        <v>27.4074397248519</v>
      </c>
      <c r="J1434" s="38" t="n">
        <f aca="false">(Sens!$D$1433*Sens!$J$1306+(1-ext_sh)*Sens!$J$1355)*Sens!$J$1307</f>
        <v>32.0674432081934</v>
      </c>
      <c r="K1434" s="38" t="n">
        <f aca="false">(Sens!$D$1433*Sens!$K$1306+(1-ext_sh)*Sens!$K$1355)*Sens!$K$1307</f>
        <v>36.6419197419169</v>
      </c>
      <c r="L1434" s="38" t="n">
        <f aca="false">(Sens!$D$1433*Sens!$L$1306+(1-ext_sh)*Sens!$L$1355)*Sens!$L$1307</f>
        <v>40.3591151496211</v>
      </c>
      <c r="M1434" s="38" t="n">
        <f aca="false">(Sens!$D$1433*Sens!$M$1306+(1-ext_sh)*Sens!$M$1355)*Sens!$M$1307</f>
        <v>43.2133872018921</v>
      </c>
      <c r="N1434" s="38" t="n">
        <f aca="false">Q!$N$29</f>
        <v>7.272</v>
      </c>
      <c r="O1434" s="38" t="n">
        <f aca="false">Q!$O$29</f>
        <v>8.231</v>
      </c>
    </row>
    <row r="1435" customFormat="false" ht="17.15" hidden="false" customHeight="false" outlineLevel="0" collapsed="false">
      <c r="A1435" s="0" t="s">
        <v>547</v>
      </c>
      <c r="B1435" s="0" t="s">
        <v>86</v>
      </c>
      <c r="C1435" s="38" t="n">
        <f aca="false">Q!$D$30</f>
        <v>4.462</v>
      </c>
      <c r="D1435" s="38" t="n">
        <f aca="false">Q!$E$30</f>
        <v>4.907</v>
      </c>
      <c r="E1435" s="38" t="n">
        <f aca="false">Q!$P$30</f>
        <v>2.57</v>
      </c>
      <c r="F1435" s="38" t="n">
        <f aca="false">(Sens!$D$1433*Sens!$F$1306+(1-ext_sh)*Sens!$F$1355)*(1-Sens!$F$1307)</f>
        <v>3.6526976809753</v>
      </c>
      <c r="G1435" s="38" t="n">
        <f aca="false">Sens!$E$1435+Sens!$F$1435</f>
        <v>6.2226976809753</v>
      </c>
      <c r="H1435" s="38" t="n">
        <f aca="false">(Sens!$D$1433*Sens!$H$1306+(1-ext_sh)*Sens!$H$1355)*(1-Sens!$H$1307)</f>
        <v>8.4764774248495</v>
      </c>
      <c r="I1435" s="38" t="n">
        <f aca="false">(Sens!$D$1433*Sens!$I$1306+(1-ext_sh)*Sens!$I$1355)*(1-Sens!$I$1307)</f>
        <v>10.4980314483938</v>
      </c>
      <c r="J1435" s="38" t="n">
        <f aca="false">(Sens!$D$1433*Sens!$J$1306+(1-ext_sh)*Sens!$J$1355)*(1-Sens!$J$1307)</f>
        <v>12.2829797547248</v>
      </c>
      <c r="K1435" s="38" t="n">
        <f aca="false">(Sens!$D$1433*Sens!$K$1306+(1-ext_sh)*Sens!$K$1355)*(1-Sens!$K$1307)</f>
        <v>14.0351681748428</v>
      </c>
      <c r="L1435" s="38" t="n">
        <f aca="false">(Sens!$D$1433*Sens!$L$1306+(1-ext_sh)*Sens!$L$1355)*(1-Sens!$L$1307)</f>
        <v>15.4589872065242</v>
      </c>
      <c r="M1435" s="38" t="n">
        <f aca="false">(Sens!$D$1433*Sens!$M$1306+(1-ext_sh)*Sens!$M$1355)*(1-Sens!$M$1307)</f>
        <v>16.5522756737371</v>
      </c>
      <c r="N1435" s="38" t="n">
        <f aca="false">Q!$N$30</f>
        <v>2.316</v>
      </c>
      <c r="O1435" s="38" t="n">
        <f aca="false">Q!$O$30</f>
        <v>2.591</v>
      </c>
    </row>
    <row r="1436" customFormat="false" ht="17.15" hidden="false" customHeight="false" outlineLevel="0" collapsed="false">
      <c r="A1436" s="0" t="s">
        <v>548</v>
      </c>
      <c r="B1436" s="0" t="s">
        <v>86</v>
      </c>
      <c r="C1436" s="38" t="n">
        <f aca="false">Sens!$C$1367</f>
        <v>13.32</v>
      </c>
      <c r="D1436" s="38" t="n">
        <f aca="false">Sens!$D$1367</f>
        <v>21.45</v>
      </c>
      <c r="E1436" s="38" t="n">
        <f aca="false">Sens!$E$1367</f>
        <v>15.353</v>
      </c>
      <c r="F1436" s="38" t="n">
        <f aca="false">Sens!$F$1367</f>
        <v>16.1969869840094</v>
      </c>
      <c r="G1436" s="38" t="n">
        <f aca="false">Sens!$G$1367</f>
        <v>31.5499869840094</v>
      </c>
      <c r="H1436" s="38" t="n">
        <f aca="false">Sens!$H$1367</f>
        <v>50.9556213609176</v>
      </c>
      <c r="I1436" s="38" t="n">
        <f aca="false">Sens!$I$1367</f>
        <v>73.919955973427</v>
      </c>
      <c r="J1436" s="38" t="n">
        <f aca="false">Sens!$J$1367</f>
        <v>94.0043738832373</v>
      </c>
      <c r="K1436" s="38" t="n">
        <f aca="false">Sens!$K$1367</f>
        <v>114.41581117932</v>
      </c>
      <c r="L1436" s="38" t="n">
        <f aca="false">Sens!$L$1367</f>
        <v>129.769005469679</v>
      </c>
      <c r="M1436" s="38" t="n">
        <f aca="false">Sens!$M$1367</f>
        <v>140.009994075887</v>
      </c>
      <c r="N1436" s="38" t="n">
        <f aca="false">Sens!$N$1367</f>
        <v>9.234</v>
      </c>
      <c r="O1436" s="38" t="n">
        <f aca="false">Sens!$O$1367</f>
        <v>12.216</v>
      </c>
    </row>
    <row r="1437" customFormat="false" ht="17.15" hidden="false" customHeight="false" outlineLevel="0" collapsed="false">
      <c r="A1437" s="5" t="s">
        <v>756</v>
      </c>
      <c r="B1437" s="0" t="s">
        <v>86</v>
      </c>
      <c r="C1437" s="38" t="n">
        <f aca="false">Sens!$C$1434+Sens!$C$1435+Sens!$C$1436</f>
        <v>32.067</v>
      </c>
      <c r="D1437" s="38" t="n">
        <f aca="false">Sens!$D$1434+Sens!$D$1435+Sens!$D$1436</f>
        <v>41.86</v>
      </c>
      <c r="E1437" s="38" t="n">
        <f aca="false">Sens!$E$1434+Sens!$E$1435+Sens!$E$1436</f>
        <v>26.703</v>
      </c>
      <c r="F1437" s="38" t="n">
        <f aca="false">Sens!$F$1434+Sens!$F$1435+Sens!$F$1436</f>
        <v>29.152860869477</v>
      </c>
      <c r="G1437" s="38" t="n">
        <f aca="false">Sens!$G$1434+Sens!$G$1435+Sens!$G$1436</f>
        <v>55.855860869477</v>
      </c>
      <c r="H1437" s="38" t="n">
        <f aca="false">Sens!$H$1434+Sens!$H$1435+Sens!$H$1436</f>
        <v>81.5618233196153</v>
      </c>
      <c r="I1437" s="38" t="n">
        <f aca="false">Sens!$I$1434+Sens!$I$1435+Sens!$I$1436</f>
        <v>111.825427146673</v>
      </c>
      <c r="J1437" s="38" t="n">
        <f aca="false">Sens!$J$1434+Sens!$J$1435+Sens!$J$1436</f>
        <v>138.354796846156</v>
      </c>
      <c r="K1437" s="38" t="n">
        <f aca="false">Sens!$K$1434+Sens!$K$1435+Sens!$K$1436</f>
        <v>165.092899096079</v>
      </c>
      <c r="L1437" s="38" t="n">
        <f aca="false">Sens!$L$1434+Sens!$L$1435+Sens!$L$1436</f>
        <v>185.587107825825</v>
      </c>
      <c r="M1437" s="38" t="n">
        <f aca="false">Sens!$M$1434+Sens!$M$1435+Sens!$M$1436</f>
        <v>199.775656951516</v>
      </c>
      <c r="N1437" s="38" t="n">
        <f aca="false">Sens!$N$1434+Sens!$N$1435+Sens!$N$1436</f>
        <v>18.822</v>
      </c>
      <c r="O1437" s="38" t="n">
        <f aca="false">Sens!$O$1434+Sens!$O$1435+Sens!$O$1436</f>
        <v>23.038</v>
      </c>
    </row>
    <row r="1438" customFormat="false" ht="17.15" hidden="false" customHeight="false" outlineLevel="0" collapsed="false">
      <c r="A1438" s="0" t="s">
        <v>757</v>
      </c>
      <c r="B1438" s="0" t="s">
        <v>86</v>
      </c>
      <c r="C1438" s="38" t="n">
        <f aca="false">Sens!$C$1409+Sens!$C$1414</f>
        <v>28.107</v>
      </c>
      <c r="D1438" s="38" t="n">
        <f aca="false">Sens!$D$1409+Sens!$D$1414</f>
        <v>34.3175</v>
      </c>
      <c r="E1438" s="38" t="n">
        <f aca="false">Sens!$E$1409+Sens!$E$1414</f>
        <v>18.526</v>
      </c>
      <c r="F1438" s="38" t="n">
        <f aca="false">Sens!$F$1409+Sens!$F$1414</f>
        <v>23.0786109972074</v>
      </c>
      <c r="G1438" s="38" t="n">
        <f aca="false">Sens!$G$1409+Sens!$G$1414</f>
        <v>41.6046109972074</v>
      </c>
      <c r="H1438" s="38" t="n">
        <f aca="false">Sens!$H$1409+Sens!$H$1414</f>
        <v>49.9484611939488</v>
      </c>
      <c r="I1438" s="38" t="n">
        <f aca="false">Sens!$I$1409+Sens!$I$1414</f>
        <v>58.2915555477481</v>
      </c>
      <c r="J1438" s="38" t="n">
        <f aca="false">Sens!$J$1409+Sens!$J$1414</f>
        <v>66.0744709709759</v>
      </c>
      <c r="K1438" s="38" t="n">
        <f aca="false">Sens!$K$1409+Sens!$K$1414</f>
        <v>72.6819180680735</v>
      </c>
      <c r="L1438" s="38" t="n">
        <f aca="false">Sens!$L$1409+Sens!$L$1414</f>
        <v>79.9501098748808</v>
      </c>
      <c r="M1438" s="38" t="n">
        <f aca="false">Sens!$M$1409+Sens!$M$1414</f>
        <v>87.9451208623689</v>
      </c>
      <c r="N1438" s="38" t="n">
        <f aca="false">Sens!$N$1409+Sens!$N$1414</f>
        <v>14.8075</v>
      </c>
      <c r="O1438" s="38" t="n">
        <f aca="false">Sens!$O$1409+Sens!$O$1414</f>
        <v>19.51</v>
      </c>
    </row>
    <row r="1439" customFormat="false" ht="17.15" hidden="false" customHeight="false" outlineLevel="0" collapsed="false">
      <c r="A1439" s="0" t="s">
        <v>758</v>
      </c>
      <c r="B1439" s="0" t="s">
        <v>86</v>
      </c>
      <c r="C1439" s="38" t="n">
        <f aca="false">Sens!$C$1413+Sens!$C$1418+Sens!$C$1434+Sens!$C$1435-Sens!$C$1438</f>
        <v>19.399</v>
      </c>
      <c r="D1439" s="38" t="n">
        <f aca="false">Sens!$D$1413+Sens!$D$1418+Sens!$D$1434+Sens!$D$1435-Sens!$D$1438</f>
        <v>20.4615</v>
      </c>
      <c r="E1439" s="38" t="n">
        <f aca="false">Sens!$E$1413+Sens!$E$1418+Sens!$E$1434+Sens!$E$1435-Sens!$E$1438</f>
        <v>13.355</v>
      </c>
      <c r="F1439" s="38" t="n">
        <f aca="false">Sens!$F$1413+Sens!$F$1418+Sens!$F$1434+Sens!$F$1435-Sens!$F$1438</f>
        <v>12.831542307675</v>
      </c>
      <c r="G1439" s="38" t="n">
        <f aca="false">Sens!$G$1413+Sens!$G$1418+Sens!$G$1434+Sens!$G$1435-Sens!$G$1438</f>
        <v>26.186542307675</v>
      </c>
      <c r="H1439" s="38" t="n">
        <f aca="false">Sens!$H$1413+Sens!$H$1418+Sens!$H$1434+Sens!$H$1435-Sens!$H$1438</f>
        <v>28.9783886967698</v>
      </c>
      <c r="I1439" s="38" t="n">
        <f aca="false">Sens!$I$1413+Sens!$I$1418+Sens!$I$1434+Sens!$I$1435-Sens!$I$1438</f>
        <v>31.7540605017857</v>
      </c>
      <c r="J1439" s="38" t="n">
        <f aca="false">Sens!$J$1413+Sens!$J$1418+Sens!$J$1434+Sens!$J$1435-Sens!$J$1438</f>
        <v>34.5229999248797</v>
      </c>
      <c r="K1439" s="38" t="n">
        <f aca="false">Sens!$K$1413+Sens!$K$1418+Sens!$K$1434+Sens!$K$1435-Sens!$K$1438</f>
        <v>37.3747245376121</v>
      </c>
      <c r="L1439" s="38" t="n">
        <f aca="false">Sens!$L$1413+Sens!$L$1418+Sens!$L$1434+Sens!$L$1435-Sens!$L$1438</f>
        <v>39.2964375614969</v>
      </c>
      <c r="M1439" s="38" t="n">
        <f aca="false">Sens!$M$1413+Sens!$M$1418+Sens!$M$1434+Sens!$M$1435-Sens!$M$1438</f>
        <v>41.860811745574</v>
      </c>
      <c r="N1439" s="38" t="n">
        <f aca="false">Sens!$N$1413+Sens!$N$1418+Sens!$N$1434+Sens!$N$1435-Sens!$N$1438</f>
        <v>10.6495</v>
      </c>
      <c r="O1439" s="38" t="n">
        <f aca="false">Sens!$O$1413+Sens!$O$1418+Sens!$O$1434+Sens!$O$1435-Sens!$O$1438</f>
        <v>9.81200000000001</v>
      </c>
    </row>
    <row r="1440" customFormat="false" ht="17.15" hidden="false" customHeight="false" outlineLevel="0" collapsed="false">
      <c r="A1440" s="0" t="s">
        <v>759</v>
      </c>
      <c r="B1440" s="0" t="s">
        <v>86</v>
      </c>
      <c r="C1440" s="38" t="n">
        <f aca="false">Sens!$C$1420+Sens!$C$1436-ext_sh*Sens!$C$1355</f>
        <v>51.3470500115664</v>
      </c>
      <c r="D1440" s="38" t="n">
        <f aca="false">Sens!$D$1420+Sens!$D$1436-ext_sh*Sens!$D$1355</f>
        <v>60.2799375433739</v>
      </c>
      <c r="E1440" s="38" t="n">
        <f aca="false">Sens!$E$1420+Sens!$E$1436-ext_sh*Sens!$E$1355</f>
        <v>39.5095167090767</v>
      </c>
      <c r="F1440" s="38" t="n">
        <f aca="false">Sens!$F$1420+Sens!$F$1436-ext_sh*Sens!$F$1355</f>
        <v>37.951394214027</v>
      </c>
      <c r="G1440" s="38" t="n">
        <f aca="false">Sens!$G$1420+Sens!$G$1436-ext_sh*Sens!$G$1355</f>
        <v>77.4609109231037</v>
      </c>
      <c r="H1440" s="38" t="n">
        <f aca="false">Sens!$H$1420+Sens!$H$1436-ext_sh*Sens!$H$1355</f>
        <v>85.1453558128916</v>
      </c>
      <c r="I1440" s="38" t="n">
        <f aca="false">Sens!$I$1420+Sens!$I$1436-ext_sh*Sens!$I$1355</f>
        <v>94.5329219679741</v>
      </c>
      <c r="J1440" s="38" t="n">
        <f aca="false">Sens!$J$1420+Sens!$J$1436-ext_sh*Sens!$J$1355</f>
        <v>103.525527532583</v>
      </c>
      <c r="K1440" s="38" t="n">
        <f aca="false">Sens!$K$1420+Sens!$K$1436-ext_sh*Sens!$K$1355</f>
        <v>111.80756973519</v>
      </c>
      <c r="L1440" s="38" t="n">
        <f aca="false">Sens!$L$1420+Sens!$L$1436-ext_sh*Sens!$L$1355</f>
        <v>120.752175314005</v>
      </c>
      <c r="M1440" s="38" t="n">
        <f aca="false">Sens!$M$1420+Sens!$M$1436-ext_sh*Sens!$M$1355</f>
        <v>130.412349339125</v>
      </c>
      <c r="N1440" s="38" t="n">
        <f aca="false">Sens!$N$1420+Sens!$N$1436-ext_sh*Sens!$N$1355</f>
        <v>28.5693781401809</v>
      </c>
      <c r="O1440" s="38" t="n">
        <f aca="false">Sens!$O$1420+Sens!$O$1436-ext_sh*Sens!$O$1355</f>
        <v>31.7105594031931</v>
      </c>
    </row>
    <row r="1441" customFormat="false" ht="17.15" hidden="false" customHeight="false" outlineLevel="0" collapsed="false">
      <c r="A1441" s="0" t="s">
        <v>760</v>
      </c>
      <c r="B1441" s="0" t="s">
        <v>86</v>
      </c>
      <c r="C1441" s="38" t="n">
        <f aca="false">Sens!$C$1358</f>
        <v>1.80694998843362</v>
      </c>
      <c r="D1441" s="38" t="n">
        <f aca="false">Sens!$D$1358</f>
        <v>6.77606245662607</v>
      </c>
      <c r="E1441" s="38" t="n">
        <f aca="false">Sens!$E$1358</f>
        <v>6.62548329092326</v>
      </c>
      <c r="F1441" s="38" t="n">
        <f aca="false">Sens!$F$1358</f>
        <v>10.7475724410394</v>
      </c>
      <c r="G1441" s="38" t="n">
        <f aca="false">Sens!$G$1358</f>
        <v>17.3730557319626</v>
      </c>
      <c r="H1441" s="38" t="n">
        <f aca="false">Sens!$H$1358</f>
        <v>39.5529378378068</v>
      </c>
      <c r="I1441" s="38" t="n">
        <f aca="false">Sens!$I$1358</f>
        <v>64.3305352565479</v>
      </c>
      <c r="J1441" s="38" t="n">
        <f aca="false">Sens!$J$1358</f>
        <v>89.2345459344354</v>
      </c>
      <c r="K1441" s="38" t="n">
        <f aca="false">Sens!$K$1358</f>
        <v>110.502525441592</v>
      </c>
      <c r="L1441" s="38" t="n">
        <f aca="false">Sens!$L$1358</f>
        <v>124.535767786747</v>
      </c>
      <c r="M1441" s="38" t="n">
        <f aca="false">Sens!$M$1358</f>
        <v>131.313822270043</v>
      </c>
      <c r="N1441" s="38" t="n">
        <f aca="false">Sens!$N$1358</f>
        <v>2.37162185981912</v>
      </c>
      <c r="O1441" s="38" t="n">
        <f aca="false">Sens!$O$1358</f>
        <v>4.40444059680694</v>
      </c>
    </row>
    <row r="1442" customFormat="false" ht="17.15" hidden="false" customHeight="false" outlineLevel="0" collapsed="false">
      <c r="A1442" s="0" t="s">
        <v>761</v>
      </c>
      <c r="B1442" s="0" t="s">
        <v>86</v>
      </c>
      <c r="C1442" s="38" t="n">
        <f aca="false">Sens!$C$1423+Sens!$C$1437</f>
        <v>100.66</v>
      </c>
      <c r="D1442" s="38" t="n">
        <f aca="false">Sens!$D$1423+Sens!$D$1437</f>
        <v>121.835</v>
      </c>
      <c r="E1442" s="38" t="n">
        <f aca="false">Sens!$E$1423+Sens!$E$1437</f>
        <v>78.016</v>
      </c>
      <c r="F1442" s="38" t="n">
        <f aca="false">Sens!$F$1423+Sens!$F$1437</f>
        <v>84.6091199599487</v>
      </c>
      <c r="G1442" s="38" t="n">
        <f aca="false">Sens!$G$1423+Sens!$G$1437</f>
        <v>162.625119959949</v>
      </c>
      <c r="H1442" s="38" t="n">
        <f aca="false">Sens!$H$1423+Sens!$H$1437</f>
        <v>203.625143541417</v>
      </c>
      <c r="I1442" s="38" t="n">
        <f aca="false">Sens!$I$1423+Sens!$I$1437</f>
        <v>248.909073274056</v>
      </c>
      <c r="J1442" s="38" t="n">
        <f aca="false">Sens!$J$1423+Sens!$J$1437</f>
        <v>293.357544362874</v>
      </c>
      <c r="K1442" s="38" t="n">
        <f aca="false">Sens!$K$1423+Sens!$K$1437</f>
        <v>332.366737782467</v>
      </c>
      <c r="L1442" s="38" t="n">
        <f aca="false">Sens!$L$1423+Sens!$L$1437</f>
        <v>364.53449053713</v>
      </c>
      <c r="M1442" s="38" t="n">
        <f aca="false">Sens!$M$1423+Sens!$M$1437</f>
        <v>391.532104217111</v>
      </c>
      <c r="N1442" s="38" t="n">
        <f aca="false">Sens!$N$1423+Sens!$N$1437</f>
        <v>56.398</v>
      </c>
      <c r="O1442" s="38" t="n">
        <f aca="false">Sens!$O$1423+Sens!$O$1437</f>
        <v>65.437</v>
      </c>
    </row>
    <row r="1443" customFormat="false" ht="17.15" hidden="false" customHeight="false" outlineLevel="0" collapsed="false">
      <c r="A1443" s="1" t="s">
        <v>762</v>
      </c>
    </row>
    <row r="1444" customFormat="false" ht="15" hidden="false" customHeight="false" outlineLevel="0" collapsed="false">
      <c r="A1444" s="5" t="s">
        <v>551</v>
      </c>
      <c r="B1444" s="0" t="s">
        <v>86</v>
      </c>
      <c r="C1444" s="38" t="n">
        <f aca="false">Q!$D$34</f>
        <v>2.406</v>
      </c>
      <c r="D1444" s="38" t="n">
        <f aca="false">Q!$E$34</f>
        <v>2.274</v>
      </c>
      <c r="E1444" s="38" t="n">
        <f aca="false">Q!$P$34</f>
        <v>2.114</v>
      </c>
      <c r="F1444" s="38" t="n">
        <f aca="false">Sens!$F$1482</f>
        <v>3.24888962733561</v>
      </c>
      <c r="G1444" s="38" t="n">
        <f aca="false">Sens!$E$1444+Sens!$F$1444</f>
        <v>5.36288962733561</v>
      </c>
      <c r="H1444" s="38" t="n">
        <f aca="false">Sens!$H$1482</f>
        <v>7.42354172302123</v>
      </c>
      <c r="I1444" s="38" t="n">
        <f aca="false">Sens!$I$1482</f>
        <v>7.42354172302123</v>
      </c>
      <c r="J1444" s="38" t="n">
        <f aca="false">Sens!$J$1482</f>
        <v>7.42354172302123</v>
      </c>
      <c r="K1444" s="38" t="n">
        <f aca="false">Sens!$K$1482</f>
        <v>7.42354172302123</v>
      </c>
      <c r="L1444" s="38" t="n">
        <f aca="false">Sens!$L$1482</f>
        <v>7.42354172302123</v>
      </c>
      <c r="M1444" s="38" t="n">
        <f aca="false">Sens!$M$1482</f>
        <v>7.42354172302123</v>
      </c>
      <c r="N1444" s="38" t="n">
        <f aca="false">Q!$N$34</f>
        <v>1.057</v>
      </c>
      <c r="O1444" s="38" t="n">
        <f aca="false">Q!$O$34</f>
        <v>1.217</v>
      </c>
    </row>
    <row r="1445" customFormat="false" ht="15" hidden="false" customHeight="false" outlineLevel="0" collapsed="false">
      <c r="A1445" s="5" t="s">
        <v>763</v>
      </c>
      <c r="B1445" s="0" t="s">
        <v>86</v>
      </c>
      <c r="F1445" s="38" t="n">
        <f aca="false">Sens!$F$1483</f>
        <v>2.59</v>
      </c>
      <c r="H1445" s="38" t="n">
        <f aca="false">Sens!$H$1483</f>
        <v>4.08183284379895</v>
      </c>
      <c r="I1445" s="38" t="n">
        <f aca="false">Sens!$I$1483</f>
        <v>3.6072113022966</v>
      </c>
      <c r="J1445" s="38" t="n">
        <f aca="false">Sens!$J$1483</f>
        <v>4.58479677933054</v>
      </c>
      <c r="K1445" s="38" t="n">
        <f aca="false">Sens!$K$1483</f>
        <v>6.98997818469766</v>
      </c>
      <c r="L1445" s="38" t="n">
        <f aca="false">Sens!$L$1483</f>
        <v>12.573074278882</v>
      </c>
      <c r="M1445" s="38" t="n">
        <f aca="false">Sens!$M$1483</f>
        <v>19.8112888782815</v>
      </c>
    </row>
    <row r="1446" customFormat="false" ht="17.15" hidden="false" customHeight="false" outlineLevel="0" collapsed="false">
      <c r="A1446" s="5" t="s">
        <v>764</v>
      </c>
      <c r="B1446" s="0" t="s">
        <v>86</v>
      </c>
      <c r="C1446" s="38" t="n">
        <f aca="false">Q!$D$39</f>
        <v>2.427</v>
      </c>
      <c r="D1446" s="38" t="n">
        <f aca="false">Q!$E$39</f>
        <v>19.61</v>
      </c>
      <c r="E1446" s="38" t="n">
        <f aca="false">Q!$P$39</f>
        <v>71.492</v>
      </c>
      <c r="F1446" s="39" t="n">
        <v>0</v>
      </c>
      <c r="G1446" s="38" t="n">
        <f aca="false">Sens!$E$1446+Sens!$F$1446</f>
        <v>71.492</v>
      </c>
      <c r="H1446" s="39" t="n">
        <v>0</v>
      </c>
      <c r="I1446" s="39" t="n">
        <v>0</v>
      </c>
      <c r="J1446" s="39" t="n">
        <v>0</v>
      </c>
      <c r="K1446" s="39" t="n">
        <v>0</v>
      </c>
      <c r="L1446" s="39" t="n">
        <v>0</v>
      </c>
      <c r="M1446" s="39" t="n">
        <v>0</v>
      </c>
      <c r="N1446" s="38" t="n">
        <f aca="false">Q!$N$39</f>
        <v>6.017</v>
      </c>
      <c r="O1446" s="38" t="n">
        <f aca="false">Q!$O$39</f>
        <v>13.593</v>
      </c>
      <c r="P1446" s="5" t="s">
        <v>765</v>
      </c>
    </row>
    <row r="1447" customFormat="false" ht="15" hidden="false" customHeight="false" outlineLevel="0" collapsed="false">
      <c r="A1447" s="5" t="s">
        <v>554</v>
      </c>
      <c r="B1447" s="0" t="s">
        <v>86</v>
      </c>
      <c r="C1447" s="38" t="n">
        <f aca="false">Q!$D$36</f>
        <v>68.614</v>
      </c>
      <c r="D1447" s="38" t="n">
        <f aca="false">Q!$E$36</f>
        <v>97.311</v>
      </c>
      <c r="E1447" s="38" t="n">
        <f aca="false">Q!$P$36</f>
        <v>120.691</v>
      </c>
      <c r="F1447" s="38" t="n">
        <f aca="false">Sens!$F$1423-Sens!$F$1444+Sens!$F$1445+Sens!$F$1446</f>
        <v>54.7973694631361</v>
      </c>
      <c r="G1447" s="38" t="n">
        <f aca="false">Sens!$E$1447+Sens!$F$1447</f>
        <v>175.488369463136</v>
      </c>
      <c r="H1447" s="38" t="n">
        <f aca="false">Sens!$H$1423-Sens!$H$1444+Sens!$H$1445+Sens!$H$1446</f>
        <v>118.721611342579</v>
      </c>
      <c r="I1447" s="38" t="n">
        <f aca="false">Sens!$I$1423-Sens!$I$1444+Sens!$I$1445+Sens!$I$1446</f>
        <v>133.267315706658</v>
      </c>
      <c r="J1447" s="38" t="n">
        <f aca="false">Sens!$J$1423-Sens!$J$1444+Sens!$J$1445+Sens!$J$1446</f>
        <v>152.164002573028</v>
      </c>
      <c r="K1447" s="38" t="n">
        <f aca="false">Sens!$K$1423-Sens!$K$1444+Sens!$K$1445+Sens!$K$1446</f>
        <v>166.840275148064</v>
      </c>
      <c r="L1447" s="38" t="n">
        <f aca="false">Sens!$L$1423-Sens!$L$1444+Sens!$L$1445+Sens!$L$1446</f>
        <v>184.096915267166</v>
      </c>
      <c r="M1447" s="38" t="n">
        <f aca="false">Sens!$M$1423-Sens!$M$1444+Sens!$M$1445+Sens!$M$1446</f>
        <v>204.144194420855</v>
      </c>
      <c r="N1447" s="38" t="n">
        <f aca="false">Q!$N$36</f>
        <v>42.536</v>
      </c>
      <c r="O1447" s="38" t="n">
        <f aca="false">Q!$O$36</f>
        <v>54.775</v>
      </c>
    </row>
    <row r="1448" customFormat="false" ht="15" hidden="false" customHeight="false" outlineLevel="0" collapsed="false">
      <c r="A1448" s="5" t="s">
        <v>555</v>
      </c>
      <c r="B1448" s="0" t="s">
        <v>86</v>
      </c>
      <c r="C1448" s="38" t="n">
        <f aca="false">Q!$D$37</f>
        <v>9.265</v>
      </c>
      <c r="D1448" s="38" t="n">
        <f aca="false">Q!$E$37</f>
        <v>19.087</v>
      </c>
      <c r="E1448" s="38" t="n">
        <f aca="false">Q!$P$37</f>
        <v>27.759</v>
      </c>
      <c r="F1448" s="38" t="n">
        <f aca="false">Sens!$F$1447*tax</f>
        <v>9.51197543833594</v>
      </c>
      <c r="G1448" s="38" t="n">
        <f aca="false">Sens!$E$1448+Sens!$F$1448</f>
        <v>37.2709754383359</v>
      </c>
      <c r="H1448" s="38" t="n">
        <f aca="false">Sens!$H$1447*tax</f>
        <v>20.6082347045871</v>
      </c>
      <c r="I1448" s="38" t="n">
        <f aca="false">Sens!$I$1447*tax</f>
        <v>23.1331439109951</v>
      </c>
      <c r="J1448" s="38" t="n">
        <f aca="false">Sens!$J$1447*tax</f>
        <v>26.4133163553996</v>
      </c>
      <c r="K1448" s="38" t="n">
        <f aca="false">Sens!$K$1447*tax</f>
        <v>28.9608901828984</v>
      </c>
      <c r="L1448" s="38" t="n">
        <f aca="false">Sens!$L$1447*tax</f>
        <v>31.9563758890421</v>
      </c>
      <c r="M1448" s="38" t="n">
        <f aca="false">Sens!$M$1447*tax</f>
        <v>35.4362733509747</v>
      </c>
      <c r="N1448" s="38" t="n">
        <f aca="false">Q!$N$37</f>
        <v>7.231</v>
      </c>
      <c r="O1448" s="38" t="n">
        <f aca="false">Q!$O$37</f>
        <v>11.856</v>
      </c>
    </row>
    <row r="1449" customFormat="false" ht="15" hidden="false" customHeight="false" outlineLevel="0" collapsed="false">
      <c r="A1449" s="3" t="s">
        <v>556</v>
      </c>
      <c r="B1449" s="8" t="s">
        <v>86</v>
      </c>
      <c r="C1449" s="38" t="n">
        <f aca="false">Q!$D$38</f>
        <v>59.248</v>
      </c>
      <c r="D1449" s="38" t="n">
        <f aca="false">Q!$E$38</f>
        <v>77.67</v>
      </c>
      <c r="E1449" s="38" t="n">
        <f aca="false">Q!$P$38</f>
        <v>92.902</v>
      </c>
      <c r="F1449" s="38" t="n">
        <f aca="false">Sens!$F$1447-Sens!$F$1448</f>
        <v>45.2853940248002</v>
      </c>
      <c r="G1449" s="38" t="n">
        <f aca="false">Sens!$E$1449+Sens!$F$1449</f>
        <v>138.1873940248</v>
      </c>
      <c r="H1449" s="38" t="n">
        <f aca="false">Sens!$H$1447-Sens!$H$1448</f>
        <v>98.1133766379924</v>
      </c>
      <c r="I1449" s="38" t="n">
        <f aca="false">Sens!$I$1447-Sens!$I$1448</f>
        <v>110.134171795663</v>
      </c>
      <c r="J1449" s="38" t="n">
        <f aca="false">Sens!$J$1447-Sens!$J$1448</f>
        <v>125.750686217628</v>
      </c>
      <c r="K1449" s="38" t="n">
        <f aca="false">Sens!$K$1447-Sens!$K$1448</f>
        <v>137.879384965166</v>
      </c>
      <c r="L1449" s="38" t="n">
        <f aca="false">Sens!$L$1447-Sens!$L$1448</f>
        <v>152.140539378124</v>
      </c>
      <c r="M1449" s="38" t="n">
        <f aca="false">Sens!$M$1447-Sens!$M$1448</f>
        <v>168.70792106988</v>
      </c>
      <c r="N1449" s="38" t="n">
        <f aca="false">Q!$N$38</f>
        <v>35.291</v>
      </c>
      <c r="O1449" s="38" t="n">
        <f aca="false">Q!$O$38</f>
        <v>42.379</v>
      </c>
    </row>
    <row r="1450" customFormat="false" ht="17.15" hidden="false" customHeight="false" outlineLevel="0" collapsed="false">
      <c r="A1450" s="5" t="s">
        <v>559</v>
      </c>
      <c r="B1450" s="5" t="s">
        <v>33</v>
      </c>
      <c r="C1450" s="22" t="n">
        <f aca="false">Q!$D$41</f>
        <v>10.721</v>
      </c>
      <c r="D1450" s="22" t="n">
        <f aca="false">Q!$E$41</f>
        <v>10.827</v>
      </c>
      <c r="E1450" s="22" t="n">
        <f aca="false">(Q!$L$41+Q!$M$41)/2</f>
        <v>10.8885</v>
      </c>
      <c r="F1450" s="22" t="n">
        <f aca="false">Sens!$G$1450</f>
        <v>10.924806</v>
      </c>
      <c r="G1450" s="22" t="n">
        <f aca="false">Q!$M$41*(1+sh_g*0.25)</f>
        <v>10.924806</v>
      </c>
      <c r="H1450" s="22" t="n">
        <f aca="false">Sens!$G$1450*(1+sh_g)</f>
        <v>11.012204448</v>
      </c>
      <c r="I1450" s="22" t="n">
        <f aca="false">Sens!$H$1450*(1+sh_g)</f>
        <v>11.100302083584</v>
      </c>
      <c r="J1450" s="22" t="n">
        <f aca="false">Sens!$I$1450*(1+sh_g)</f>
        <v>11.1891045002527</v>
      </c>
      <c r="K1450" s="22" t="n">
        <f aca="false">Sens!$J$1450*(1+sh_g)</f>
        <v>11.2786173362547</v>
      </c>
      <c r="L1450" s="22" t="n">
        <f aca="false">Sens!$K$1450*(1+sh_g)</f>
        <v>11.3688462749447</v>
      </c>
      <c r="M1450" s="22" t="n">
        <f aca="false">Sens!$L$1450*(1+sh_g)</f>
        <v>11.4597970451443</v>
      </c>
      <c r="P1450" s="5" t="s">
        <v>766</v>
      </c>
    </row>
    <row r="1451" customFormat="false" ht="17.15" hidden="false" customHeight="false" outlineLevel="0" collapsed="false">
      <c r="A1451" s="5" t="s">
        <v>767</v>
      </c>
      <c r="B1451" s="0" t="s">
        <v>86</v>
      </c>
      <c r="C1451" s="38" t="n">
        <f aca="false">Sens!$C$1449+Sens!$C$1425*(1-tax)</f>
        <v>59.248</v>
      </c>
      <c r="D1451" s="38" t="n">
        <f aca="false">Sens!$D$1449+Sens!$D$1425*(1-tax)</f>
        <v>77.67</v>
      </c>
      <c r="E1451" s="38" t="n">
        <f aca="false">Sens!$E$1449+Sens!$E$1425*(1-tax)</f>
        <v>92.902</v>
      </c>
      <c r="F1451" s="38" t="n">
        <f aca="false">Sens!$F$1449+Sens!$F$1425*(1-tax)</f>
        <v>48.1465460050367</v>
      </c>
      <c r="G1451" s="38" t="n">
        <f aca="false">Sens!$G$1449+Sens!$G$1425*(1-tax)</f>
        <v>141.048546005037</v>
      </c>
      <c r="H1451" s="38" t="n">
        <f aca="false">Sens!$H$1449+Sens!$H$1425*(1-tax)</f>
        <v>108.559335125501</v>
      </c>
      <c r="I1451" s="38" t="n">
        <f aca="false">Sens!$I$1449+Sens!$I$1425*(1-tax)</f>
        <v>127.037532122868</v>
      </c>
      <c r="J1451" s="38" t="n">
        <f aca="false">Sens!$J$1449+Sens!$J$1425*(1-tax)</f>
        <v>149.140175446841</v>
      </c>
      <c r="K1451" s="38" t="n">
        <f aca="false">Sens!$K$1449+Sens!$K$1425*(1-tax)</f>
        <v>166.808554340893</v>
      </c>
      <c r="L1451" s="38" t="n">
        <f aca="false">Sens!$L$1449+Sens!$L$1425*(1-tax)</f>
        <v>184.724973432823</v>
      </c>
      <c r="M1451" s="38" t="n">
        <f aca="false">Sens!$M$1449+Sens!$M$1425*(1-tax)</f>
        <v>203.058556971221</v>
      </c>
      <c r="N1451" s="38" t="n">
        <f aca="false">Sens!$N$1449+Sens!$N$1425*(1-tax)</f>
        <v>35.291</v>
      </c>
      <c r="O1451" s="38" t="n">
        <f aca="false">Sens!$O$1449+Sens!$O$1425*(1-tax)</f>
        <v>42.379</v>
      </c>
    </row>
    <row r="1452" customFormat="false" ht="17.15" hidden="false" customHeight="false" outlineLevel="0" collapsed="false">
      <c r="A1452" s="43" t="s">
        <v>768</v>
      </c>
      <c r="B1452" s="14" t="s">
        <v>27</v>
      </c>
      <c r="C1452" s="44" t="n">
        <f aca="false">Sens!$C$1451/Sens!$C$1450</f>
        <v>5.52635015390355</v>
      </c>
      <c r="D1452" s="44" t="n">
        <f aca="false">Sens!$D$1451/Sens!$D$1450</f>
        <v>7.1737323358271</v>
      </c>
      <c r="E1452" s="44" t="n">
        <f aca="false">Sens!$E$1451/Sens!$E$1450</f>
        <v>8.53212104513937</v>
      </c>
      <c r="F1452" s="14"/>
      <c r="G1452" s="44" t="n">
        <f aca="false">Sens!$G$1451/Sens!$G$1450</f>
        <v>12.9108513235875</v>
      </c>
      <c r="H1452" s="44" t="n">
        <f aca="false">Sens!$H$1451/Sens!$H$1450</f>
        <v>9.85809295841917</v>
      </c>
      <c r="I1452" s="44" t="n">
        <f aca="false">Sens!$I$1451/Sens!$I$1450</f>
        <v>11.4445112544046</v>
      </c>
      <c r="J1452" s="44" t="n">
        <f aca="false">Sens!$J$1451/Sens!$J$1450</f>
        <v>13.3290537632813</v>
      </c>
      <c r="K1452" s="44" t="n">
        <f aca="false">Sens!$K$1451/Sens!$K$1450</f>
        <v>14.7898052897577</v>
      </c>
      <c r="L1452" s="44" t="n">
        <f aca="false">Sens!$L$1451/Sens!$L$1450</f>
        <v>16.2483482462006</v>
      </c>
      <c r="M1452" s="44" t="n">
        <f aca="false">Sens!$M$1451/Sens!$M$1450</f>
        <v>17.7192105733897</v>
      </c>
      <c r="N1452" s="14"/>
      <c r="O1452" s="14"/>
    </row>
    <row r="1453" customFormat="false" ht="17.15" hidden="false" customHeight="false" outlineLevel="0" collapsed="false">
      <c r="A1453" s="0" t="s">
        <v>769</v>
      </c>
      <c r="B1453" s="0" t="s">
        <v>27</v>
      </c>
      <c r="C1453" s="30" t="n">
        <f aca="false">Sens!$C$1449/Sens!$C$1450</f>
        <v>5.52635015390355</v>
      </c>
      <c r="D1453" s="30" t="n">
        <f aca="false">Sens!$D$1449/Sens!$D$1450</f>
        <v>7.1737323358271</v>
      </c>
      <c r="E1453" s="30" t="n">
        <f aca="false">Sens!$E$1449/Sens!$E$1450</f>
        <v>8.53212104513937</v>
      </c>
      <c r="G1453" s="30" t="n">
        <f aca="false">Sens!$G$1449/Sens!$G$1450</f>
        <v>12.6489563315633</v>
      </c>
      <c r="H1453" s="30" t="n">
        <f aca="false">Sens!$H$1449/Sens!$H$1450</f>
        <v>8.90951281383188</v>
      </c>
      <c r="I1453" s="30" t="n">
        <f aca="false">Sens!$I$1449/Sens!$I$1450</f>
        <v>9.92172744186289</v>
      </c>
      <c r="J1453" s="30" t="n">
        <f aca="false">Sens!$J$1449/Sens!$J$1450</f>
        <v>11.2386729621471</v>
      </c>
      <c r="K1453" s="30" t="n">
        <f aca="false">Sens!$K$1449/Sens!$K$1450</f>
        <v>12.2248482109556</v>
      </c>
      <c r="L1453" s="30" t="n">
        <f aca="false">Sens!$L$1449/Sens!$L$1450</f>
        <v>13.3822320839555</v>
      </c>
      <c r="M1453" s="30" t="n">
        <f aca="false">Sens!$M$1449/Sens!$M$1450</f>
        <v>14.7217198005583</v>
      </c>
    </row>
    <row r="1454" customFormat="false" ht="17.15" hidden="false" customHeight="false" outlineLevel="0" collapsed="false">
      <c r="A1454" s="0" t="s">
        <v>770</v>
      </c>
      <c r="B1454" s="0" t="s">
        <v>27</v>
      </c>
      <c r="C1454" s="30" t="n">
        <f aca="false">(Sens!$C$1449-Sens!$C$1446*(1-tax))/Sens!$C$1450</f>
        <v>5.33926775917445</v>
      </c>
      <c r="D1454" s="30" t="n">
        <f aca="false">(Sens!$D$1449-Sens!$D$1446*(1-tax))/Sens!$D$1450</f>
        <v>5.67691812755503</v>
      </c>
      <c r="E1454" s="30" t="n">
        <f aca="false">(Sens!$E$1449-Sens!$E$1446*(1-tax))/Sens!$E$1450</f>
        <v>3.10602057006846</v>
      </c>
      <c r="G1454" s="30" t="n">
        <f aca="false">(Sens!$G$1449-Sens!$G$1446*(1-tax))/Sens!$G$1450</f>
        <v>7.24088821366627</v>
      </c>
      <c r="H1454" s="30" t="n">
        <f aca="false">(Sens!$H$1449-Sens!$H$1446*(1-tax))/Sens!$H$1450</f>
        <v>8.90951281383188</v>
      </c>
      <c r="I1454" s="30" t="n">
        <f aca="false">(Sens!$I$1449-Sens!$I$1446*(1-tax))/Sens!$I$1450</f>
        <v>9.92172744186289</v>
      </c>
      <c r="J1454" s="30" t="n">
        <f aca="false">(Sens!$J$1449-Sens!$J$1446*(1-tax))/Sens!$J$1450</f>
        <v>11.2386729621471</v>
      </c>
      <c r="K1454" s="30" t="n">
        <f aca="false">(Sens!$K$1449-Sens!$K$1446*(1-tax))/Sens!$K$1450</f>
        <v>12.2248482109556</v>
      </c>
      <c r="L1454" s="30" t="n">
        <f aca="false">(Sens!$L$1449-Sens!$L$1446*(1-tax))/Sens!$L$1450</f>
        <v>13.3822320839555</v>
      </c>
      <c r="M1454" s="30" t="n">
        <f aca="false">(Sens!$M$1449-Sens!$M$1446*(1-tax))/Sens!$M$1450</f>
        <v>14.7217198005583</v>
      </c>
      <c r="P1454" s="5" t="s">
        <v>771</v>
      </c>
    </row>
    <row r="1455" customFormat="false" ht="17.15" hidden="false" customHeight="false" outlineLevel="0" collapsed="false">
      <c r="A1455" s="0" t="s">
        <v>772</v>
      </c>
      <c r="B1455" s="0" t="s">
        <v>52</v>
      </c>
      <c r="H1455" s="13" t="n">
        <f aca="false">Sens!$H$1452/Sens!$G$1452-1</f>
        <v>-0.236449037221201</v>
      </c>
      <c r="I1455" s="13" t="n">
        <f aca="false">Sens!$I$1452/Sens!$H$1452-1</f>
        <v>0.160925475411606</v>
      </c>
      <c r="J1455" s="13" t="n">
        <f aca="false">Sens!$J$1452/Sens!$I$1452-1</f>
        <v>0.164667801619878</v>
      </c>
      <c r="K1455" s="13" t="n">
        <f aca="false">Sens!$K$1452/Sens!$J$1452-1</f>
        <v>0.109591539836115</v>
      </c>
      <c r="L1455" s="13" t="n">
        <f aca="false">Sens!$L$1452/Sens!$K$1452-1</f>
        <v>0.0986181310617385</v>
      </c>
      <c r="M1455" s="13" t="n">
        <f aca="false">Sens!$M$1452/Sens!$L$1452-1</f>
        <v>0.0905238061679918</v>
      </c>
    </row>
    <row r="1458" customFormat="false" ht="19.4" hidden="false" customHeight="false" outlineLevel="0" collapsed="false">
      <c r="A1458" s="31" t="s">
        <v>1180</v>
      </c>
    </row>
    <row r="1459" customFormat="false" ht="17.15" hidden="false" customHeight="false" outlineLevel="0" collapsed="false">
      <c r="A1459" s="6" t="s">
        <v>16</v>
      </c>
      <c r="B1459" s="6" t="s">
        <v>17</v>
      </c>
      <c r="C1459" s="20" t="s">
        <v>504</v>
      </c>
      <c r="D1459" s="20" t="s">
        <v>505</v>
      </c>
      <c r="E1459" s="20" t="s">
        <v>587</v>
      </c>
      <c r="F1459" s="20" t="s">
        <v>588</v>
      </c>
      <c r="G1459" s="20" t="s">
        <v>589</v>
      </c>
      <c r="H1459" s="20" t="s">
        <v>590</v>
      </c>
      <c r="I1459" s="20" t="s">
        <v>591</v>
      </c>
      <c r="J1459" s="20" t="s">
        <v>592</v>
      </c>
      <c r="K1459" s="20" t="s">
        <v>593</v>
      </c>
      <c r="L1459" s="20" t="s">
        <v>594</v>
      </c>
      <c r="M1459" s="20" t="s">
        <v>595</v>
      </c>
      <c r="N1459" s="20" t="s">
        <v>596</v>
      </c>
      <c r="O1459" s="20" t="s">
        <v>597</v>
      </c>
      <c r="P1459" s="6" t="s">
        <v>23</v>
      </c>
      <c r="R1459" s="20" t="n">
        <v>2023</v>
      </c>
      <c r="S1459" s="20" t="n">
        <v>2024</v>
      </c>
      <c r="T1459" s="20" t="n">
        <v>2025</v>
      </c>
      <c r="U1459" s="20" t="n">
        <v>2026</v>
      </c>
      <c r="V1459" s="20" t="n">
        <v>2027</v>
      </c>
      <c r="W1459" s="20" t="n">
        <v>2028</v>
      </c>
      <c r="X1459" s="20" t="n">
        <v>2029</v>
      </c>
      <c r="Y1459" s="20" t="n">
        <v>2030</v>
      </c>
      <c r="Z1459" s="20" t="n">
        <v>2031</v>
      </c>
      <c r="AA1459" s="20" t="n">
        <v>2032</v>
      </c>
    </row>
    <row r="1460" customFormat="false" ht="15" hidden="false" customHeight="false" outlineLevel="0" collapsed="false">
      <c r="A1460" s="5" t="s">
        <v>556</v>
      </c>
      <c r="B1460" s="0" t="s">
        <v>86</v>
      </c>
      <c r="C1460" s="38" t="n">
        <f aca="false">Sens!$C$1449</f>
        <v>59.248</v>
      </c>
      <c r="D1460" s="38" t="n">
        <f aca="false">Sens!$D$1449</f>
        <v>77.67</v>
      </c>
      <c r="E1460" s="38" t="n">
        <f aca="false">Sens!$E$1449</f>
        <v>92.902</v>
      </c>
      <c r="F1460" s="38" t="n">
        <f aca="false">Sens!$F$1449</f>
        <v>45.2853940248002</v>
      </c>
      <c r="G1460" s="38" t="n">
        <f aca="false">Sens!$G$1449</f>
        <v>138.1873940248</v>
      </c>
      <c r="H1460" s="38" t="n">
        <f aca="false">Sens!$H$1449</f>
        <v>98.1133766379924</v>
      </c>
      <c r="I1460" s="38" t="n">
        <f aca="false">Sens!$I$1449</f>
        <v>110.134171795663</v>
      </c>
      <c r="J1460" s="38" t="n">
        <f aca="false">Sens!$J$1449</f>
        <v>125.750686217628</v>
      </c>
      <c r="K1460" s="38" t="n">
        <f aca="false">Sens!$K$1449</f>
        <v>137.879384965166</v>
      </c>
      <c r="L1460" s="38" t="n">
        <f aca="false">Sens!$L$1449</f>
        <v>152.140539378124</v>
      </c>
      <c r="M1460" s="38" t="n">
        <f aca="false">Sens!$M$1449</f>
        <v>168.70792106988</v>
      </c>
    </row>
    <row r="1461" customFormat="false" ht="17.15" hidden="false" customHeight="false" outlineLevel="0" collapsed="false">
      <c r="A1461" s="5" t="s">
        <v>795</v>
      </c>
      <c r="B1461" s="0" t="s">
        <v>86</v>
      </c>
      <c r="C1461" s="38" t="n">
        <f aca="false">Sens!$C$1437</f>
        <v>32.067</v>
      </c>
      <c r="D1461" s="38" t="n">
        <f aca="false">Sens!$D$1437</f>
        <v>41.86</v>
      </c>
      <c r="E1461" s="38" t="n">
        <f aca="false">Sens!$E$1437</f>
        <v>26.703</v>
      </c>
      <c r="F1461" s="38" t="n">
        <f aca="false">Sens!$F$1437</f>
        <v>29.152860869477</v>
      </c>
      <c r="G1461" s="38" t="n">
        <f aca="false">Sens!$G$1437</f>
        <v>55.855860869477</v>
      </c>
      <c r="H1461" s="38" t="n">
        <f aca="false">Sens!$H$1437</f>
        <v>81.5618233196153</v>
      </c>
      <c r="I1461" s="38" t="n">
        <f aca="false">Sens!$I$1437</f>
        <v>111.825427146673</v>
      </c>
      <c r="J1461" s="38" t="n">
        <f aca="false">Sens!$J$1437</f>
        <v>138.354796846156</v>
      </c>
      <c r="K1461" s="38" t="n">
        <f aca="false">Sens!$K$1437</f>
        <v>165.092899096079</v>
      </c>
      <c r="L1461" s="38" t="n">
        <f aca="false">Sens!$L$1437</f>
        <v>185.587107825825</v>
      </c>
      <c r="M1461" s="38" t="n">
        <f aca="false">Sens!$M$1437</f>
        <v>199.775656951516</v>
      </c>
    </row>
    <row r="1462" customFormat="false" ht="15" hidden="false" customHeight="false" outlineLevel="0" collapsed="false">
      <c r="A1462" s="5" t="s">
        <v>796</v>
      </c>
      <c r="B1462" s="0" t="s">
        <v>86</v>
      </c>
      <c r="C1462" s="38" t="n">
        <f aca="false">Q!$D$48</f>
        <v>22.011</v>
      </c>
      <c r="D1462" s="38" t="n">
        <f aca="false">Q!$E$48</f>
        <v>19.467</v>
      </c>
      <c r="E1462" s="38" t="n">
        <f aca="false">Q!$P$48</f>
        <v>10.07</v>
      </c>
      <c r="F1462" s="38" t="n">
        <f aca="false">sbc_r*Sens!$F$1379</f>
        <v>10.8201660079095</v>
      </c>
      <c r="G1462" s="38" t="n">
        <f aca="false">Sens!$E$1462+Sens!$F$1462</f>
        <v>20.8901660079095</v>
      </c>
      <c r="H1462" s="38" t="n">
        <f aca="false">sbc_r*Sens!$H$1379</f>
        <v>23.2129348088811</v>
      </c>
      <c r="I1462" s="38" t="n">
        <f aca="false">sbc_r*Sens!$I$1379</f>
        <v>26.1059647549653</v>
      </c>
      <c r="J1462" s="38" t="n">
        <f aca="false">sbc_r*Sens!$J$1379</f>
        <v>28.862982333916</v>
      </c>
      <c r="K1462" s="38" t="n">
        <f aca="false">sbc_r*Sens!$K$1379</f>
        <v>31.286377213691</v>
      </c>
      <c r="L1462" s="38" t="n">
        <f aca="false">sbc_r*Sens!$L$1379</f>
        <v>33.6115210405582</v>
      </c>
      <c r="M1462" s="38" t="n">
        <f aca="false">sbc_r*Sens!$M$1379</f>
        <v>35.8475636916206</v>
      </c>
    </row>
    <row r="1463" customFormat="false" ht="17.15" hidden="false" customHeight="false" outlineLevel="0" collapsed="false">
      <c r="A1463" s="5" t="s">
        <v>797</v>
      </c>
      <c r="B1463" s="0" t="s">
        <v>86</v>
      </c>
      <c r="C1463" s="38" t="n">
        <f aca="false">Q!$D$44-Sens!$C$1460-Sens!$C$1461-Sens!$C$1462</f>
        <v>2.551</v>
      </c>
      <c r="D1463" s="38" t="n">
        <f aca="false">Q!$E$44-Sens!$D$1460-Sens!$D$1461-Sens!$D$1462</f>
        <v>0.51700000000001</v>
      </c>
      <c r="E1463" s="38" t="n">
        <f aca="false">Q!$P$44-Sens!$E$1460-Sens!$E$1461-Sens!$E$1462</f>
        <v>-58.256</v>
      </c>
      <c r="F1463" s="38" t="n">
        <f aca="false">oth_r*Sens!$F$1379</f>
        <v>5.20795418915403</v>
      </c>
      <c r="G1463" s="38" t="n">
        <f aca="false">Sens!$E$1463+Sens!$F$1463</f>
        <v>-53.048045810846</v>
      </c>
      <c r="H1463" s="38" t="n">
        <f aca="false">oth_r*Sens!$H$1379</f>
        <v>11.1728323754091</v>
      </c>
      <c r="I1463" s="38" t="n">
        <f aca="false">oth_r*Sens!$I$1379</f>
        <v>12.5653033796472</v>
      </c>
      <c r="J1463" s="38" t="n">
        <f aca="false">oth_r*Sens!$J$1379</f>
        <v>13.892309013329</v>
      </c>
      <c r="K1463" s="38" t="n">
        <f aca="false">oth_r*Sens!$K$1379</f>
        <v>15.0587356196188</v>
      </c>
      <c r="L1463" s="38" t="n">
        <f aca="false">oth_r*Sens!$L$1379</f>
        <v>16.1778721027991</v>
      </c>
      <c r="M1463" s="38" t="n">
        <f aca="false">oth_r*Sens!$M$1379</f>
        <v>17.2541224748558</v>
      </c>
      <c r="P1463" s="8" t="s">
        <v>798</v>
      </c>
    </row>
    <row r="1464" customFormat="false" ht="15" hidden="false" customHeight="false" outlineLevel="0" collapsed="false">
      <c r="A1464" s="3" t="s">
        <v>562</v>
      </c>
      <c r="B1464" s="8" t="s">
        <v>86</v>
      </c>
      <c r="C1464" s="38" t="n">
        <f aca="false">Q!$D$44</f>
        <v>115.877</v>
      </c>
      <c r="D1464" s="38" t="n">
        <f aca="false">Q!$E$44</f>
        <v>139.514</v>
      </c>
      <c r="E1464" s="38" t="n">
        <f aca="false">Q!$P$44</f>
        <v>71.419</v>
      </c>
      <c r="F1464" s="38" t="n">
        <f aca="false">Sens!$F$1460+Sens!$F$1461+Sens!$F$1462+Sens!$F$1463</f>
        <v>90.4663750913407</v>
      </c>
      <c r="G1464" s="38" t="n">
        <f aca="false">Sens!$E$1464+Sens!$F$1464</f>
        <v>161.885375091341</v>
      </c>
      <c r="H1464" s="38" t="n">
        <f aca="false">Sens!$H$1460+Sens!$H$1461+Sens!$H$1462+Sens!$H$1463</f>
        <v>214.060967141898</v>
      </c>
      <c r="I1464" s="38" t="n">
        <f aca="false">Sens!$I$1460+Sens!$I$1461+Sens!$I$1462+Sens!$I$1463</f>
        <v>260.630867076949</v>
      </c>
      <c r="J1464" s="38" t="n">
        <f aca="false">Sens!$J$1460+Sens!$J$1461+Sens!$J$1462+Sens!$J$1463</f>
        <v>306.860774411029</v>
      </c>
      <c r="K1464" s="38" t="n">
        <f aca="false">Sens!$K$1460+Sens!$K$1461+Sens!$K$1462+Sens!$K$1463</f>
        <v>349.317396894555</v>
      </c>
      <c r="L1464" s="38" t="n">
        <f aca="false">Sens!$L$1460+Sens!$L$1461+Sens!$L$1462+Sens!$L$1463</f>
        <v>387.517040347306</v>
      </c>
      <c r="M1464" s="38" t="n">
        <f aca="false">Sens!$M$1460+Sens!$M$1461+Sens!$M$1462+Sens!$M$1463</f>
        <v>421.585264187873</v>
      </c>
    </row>
    <row r="1465" customFormat="false" ht="17.15" hidden="false" customHeight="false" outlineLevel="0" collapsed="false">
      <c r="A1465" s="5" t="s">
        <v>799</v>
      </c>
      <c r="B1465" s="0" t="s">
        <v>86</v>
      </c>
      <c r="C1465" s="38" t="n">
        <f aca="false">Sens!$C$1343</f>
        <v>25.2781053077374</v>
      </c>
      <c r="D1465" s="38" t="n">
        <f aca="false">Sens!$D$1343</f>
        <v>69.5686316310026</v>
      </c>
      <c r="E1465" s="38" t="n">
        <f aca="false">Sens!$E$1343</f>
        <v>64.1899206485108</v>
      </c>
      <c r="F1465" s="38" t="n">
        <f aca="false">Sens!$F$1343</f>
        <v>88.7165504612134</v>
      </c>
      <c r="G1465" s="38" t="n">
        <f aca="false">Sens!$G$1343</f>
        <v>152.906471109724</v>
      </c>
      <c r="H1465" s="38" t="n">
        <f aca="false">Sens!$H$1343</f>
        <v>148.928523708563</v>
      </c>
      <c r="I1465" s="38" t="n">
        <f aca="false">Sens!$I$1343</f>
        <v>153.484852432875</v>
      </c>
      <c r="J1465" s="38" t="n">
        <f aca="false">Sens!$J$1343</f>
        <v>158.721620632875</v>
      </c>
      <c r="K1465" s="38" t="n">
        <f aca="false">Sens!$K$1343</f>
        <v>119.339983678401</v>
      </c>
      <c r="L1465" s="38" t="n">
        <f aca="false">Sens!$L$1343</f>
        <v>111.378955923926</v>
      </c>
      <c r="M1465" s="38" t="n">
        <f aca="false">Sens!$M$1343</f>
        <v>107.034025710889</v>
      </c>
    </row>
    <row r="1466" customFormat="false" ht="17.15" hidden="false" customHeight="false" outlineLevel="0" collapsed="false">
      <c r="A1466" s="5" t="s">
        <v>800</v>
      </c>
      <c r="B1466" s="0" t="s">
        <v>86</v>
      </c>
      <c r="C1466" s="38" t="n">
        <f aca="false">cx_awso*Sens!$C$1377</f>
        <v>21.0469989286053</v>
      </c>
      <c r="D1466" s="38" t="n">
        <f aca="false">cx_awso*Sens!$D$1377</f>
        <v>24.0042459822698</v>
      </c>
      <c r="E1466" s="38" t="n">
        <f aca="false">cx_awso*Sens!$E$1377</f>
        <v>14.261729404886</v>
      </c>
      <c r="F1466" s="38" t="n">
        <f aca="false">cx_awso*Sens!$F$1377</f>
        <v>14.3538599588493</v>
      </c>
      <c r="G1466" s="38" t="n">
        <f aca="false">Sens!$E$1466+Sens!$F$1466</f>
        <v>28.6155893637353</v>
      </c>
      <c r="H1466" s="38" t="n">
        <f aca="false">cx_awso*Sens!$H$1377</f>
        <v>32.2034154158406</v>
      </c>
      <c r="I1466" s="38" t="n">
        <f aca="false">cx_awso*Sens!$I$1377</f>
        <v>35.7539519042915</v>
      </c>
      <c r="J1466" s="38" t="n">
        <f aca="false">cx_awso*Sens!$J$1377</f>
        <v>39.1551076091815</v>
      </c>
      <c r="K1466" s="38" t="n">
        <f aca="false">cx_awso*Sens!$K$1377</f>
        <v>42.287516217916</v>
      </c>
      <c r="L1466" s="38" t="n">
        <f aca="false">cx_awso*Sens!$L$1377</f>
        <v>45.6705175153492</v>
      </c>
      <c r="M1466" s="38" t="n">
        <f aca="false">cx_awso*Sens!$M$1377</f>
        <v>49.3241589165772</v>
      </c>
    </row>
    <row r="1467" customFormat="false" ht="17.15" hidden="false" customHeight="false" outlineLevel="0" collapsed="false">
      <c r="A1467" s="5" t="s">
        <v>801</v>
      </c>
      <c r="B1467" s="0" t="s">
        <v>86</v>
      </c>
      <c r="C1467" s="38" t="n">
        <f aca="false">Q!$D$46-Sens!$C$1465-Sens!$C$1466</f>
        <v>31.3328957636573</v>
      </c>
      <c r="D1467" s="38" t="n">
        <f aca="false">Q!$E$46-Sens!$D$1465-Sens!$D$1466</f>
        <v>34.7471223867276</v>
      </c>
      <c r="E1467" s="38" t="n">
        <f aca="false">Q!$P$46-Sens!$E$1465-Sens!$E$1466</f>
        <v>17.8583499466032</v>
      </c>
      <c r="F1467" s="38" t="n">
        <f aca="false">cx_rt*Sens!$F$1306</f>
        <v>20.6195895799373</v>
      </c>
      <c r="G1467" s="38" t="n">
        <f aca="false">Sens!$E$1467+Sens!$F$1467</f>
        <v>38.4779395265405</v>
      </c>
      <c r="H1467" s="38" t="n">
        <f aca="false">cx_rt*Sens!$H$1306</f>
        <v>42.5978994743075</v>
      </c>
      <c r="I1467" s="38" t="n">
        <f aca="false">cx_rt*Sens!$I$1306</f>
        <v>46.5813904136335</v>
      </c>
      <c r="J1467" s="38" t="n">
        <f aca="false">cx_rt*Sens!$J$1306</f>
        <v>50.2781676586844</v>
      </c>
      <c r="K1467" s="38" t="n">
        <f aca="false">cx_rt*Sens!$K$1306</f>
        <v>53.5312440191755</v>
      </c>
      <c r="L1467" s="38" t="n">
        <f aca="false">cx_rt*Sens!$L$1306</f>
        <v>57.0116717051447</v>
      </c>
      <c r="M1467" s="38" t="n">
        <f aca="false">cx_rt*Sens!$M$1306</f>
        <v>60.7365554669226</v>
      </c>
    </row>
    <row r="1468" customFormat="false" ht="15" hidden="false" customHeight="false" outlineLevel="0" collapsed="false">
      <c r="A1468" s="3" t="s">
        <v>802</v>
      </c>
      <c r="B1468" s="8" t="s">
        <v>86</v>
      </c>
      <c r="C1468" s="38" t="n">
        <f aca="false">Q!$D$46</f>
        <v>77.658</v>
      </c>
      <c r="D1468" s="38" t="n">
        <f aca="false">Q!$E$46</f>
        <v>128.32</v>
      </c>
      <c r="E1468" s="38" t="n">
        <f aca="false">Q!$P$46</f>
        <v>96.31</v>
      </c>
      <c r="F1468" s="38" t="n">
        <f aca="false">Sens!$F$1465+Sens!$F$1466+Sens!$F$1467</f>
        <v>123.69</v>
      </c>
      <c r="G1468" s="38" t="n">
        <f aca="false">Sens!$E$1468+Sens!$F$1468</f>
        <v>220</v>
      </c>
      <c r="H1468" s="38" t="n">
        <f aca="false">Sens!$H$1465+Sens!$H$1466+Sens!$H$1467</f>
        <v>223.729838598711</v>
      </c>
      <c r="I1468" s="38" t="n">
        <f aca="false">Sens!$I$1465+Sens!$I$1466+Sens!$I$1467</f>
        <v>235.8201947508</v>
      </c>
      <c r="J1468" s="38" t="n">
        <f aca="false">Sens!$J$1465+Sens!$J$1466+Sens!$J$1467</f>
        <v>248.154895900741</v>
      </c>
      <c r="K1468" s="38" t="n">
        <f aca="false">Sens!$K$1465+Sens!$K$1466+Sens!$K$1467</f>
        <v>215.158743915492</v>
      </c>
      <c r="L1468" s="38" t="n">
        <f aca="false">Sens!$L$1465+Sens!$L$1466+Sens!$L$1467</f>
        <v>214.06114514442</v>
      </c>
      <c r="M1468" s="38" t="n">
        <f aca="false">Sens!$M$1465+Sens!$M$1466+Sens!$M$1467</f>
        <v>217.094740094389</v>
      </c>
    </row>
    <row r="1469" customFormat="false" ht="17.15" hidden="false" customHeight="false" outlineLevel="0" collapsed="false">
      <c r="A1469" s="5" t="s">
        <v>570</v>
      </c>
      <c r="B1469" s="0" t="s">
        <v>86</v>
      </c>
      <c r="C1469" s="38" t="n">
        <f aca="false">Q!$D$50</f>
        <v>2.043</v>
      </c>
      <c r="D1469" s="38" t="n">
        <f aca="false">Q!$E$50</f>
        <v>1.557</v>
      </c>
      <c r="E1469" s="38" t="n">
        <f aca="false">lease_pr/2</f>
        <v>0.8</v>
      </c>
      <c r="F1469" s="38" t="n">
        <f aca="false">lease_pr/2</f>
        <v>0.8</v>
      </c>
      <c r="G1469" s="38" t="n">
        <f aca="false">Sens!$E$1469+Sens!$F$1469</f>
        <v>1.6</v>
      </c>
      <c r="H1469" s="38" t="n">
        <f aca="false">lease_pr</f>
        <v>1.6</v>
      </c>
      <c r="I1469" s="38" t="n">
        <f aca="false">lease_pr</f>
        <v>1.6</v>
      </c>
      <c r="J1469" s="38" t="n">
        <f aca="false">lease_pr</f>
        <v>1.6</v>
      </c>
      <c r="K1469" s="38" t="n">
        <f aca="false">lease_pr</f>
        <v>1.6</v>
      </c>
      <c r="L1469" s="38" t="n">
        <f aca="false">lease_pr</f>
        <v>1.6</v>
      </c>
      <c r="M1469" s="38" t="n">
        <f aca="false">lease_pr</f>
        <v>1.6</v>
      </c>
      <c r="P1469" s="8" t="s">
        <v>803</v>
      </c>
    </row>
    <row r="1470" customFormat="false" ht="15" hidden="false" customHeight="false" outlineLevel="0" collapsed="false">
      <c r="A1470" s="47" t="s">
        <v>804</v>
      </c>
      <c r="B1470" s="14" t="s">
        <v>86</v>
      </c>
      <c r="C1470" s="48" t="n">
        <f aca="false">Sens!$C$1464-Sens!$C$1468-Sens!$C$1469</f>
        <v>36.176</v>
      </c>
      <c r="D1470" s="48" t="n">
        <f aca="false">Sens!$D$1464-Sens!$D$1468-Sens!$D$1469</f>
        <v>9.63700000000002</v>
      </c>
      <c r="E1470" s="48" t="n">
        <f aca="false">Sens!$E$1464-Sens!$E$1468-Sens!$E$1469</f>
        <v>-25.691</v>
      </c>
      <c r="F1470" s="48" t="n">
        <f aca="false">Sens!$F$1464-Sens!$F$1468-Sens!$F$1469</f>
        <v>-34.0236249086593</v>
      </c>
      <c r="G1470" s="48" t="n">
        <f aca="false">Sens!$G$1464-Sens!$G$1468-Sens!$G$1469</f>
        <v>-59.7146249086593</v>
      </c>
      <c r="H1470" s="48" t="n">
        <f aca="false">Sens!$H$1464-Sens!$H$1468-Sens!$H$1469</f>
        <v>-11.2688714568128</v>
      </c>
      <c r="I1470" s="48" t="n">
        <f aca="false">Sens!$I$1464-Sens!$I$1468-Sens!$I$1469</f>
        <v>23.2106723261486</v>
      </c>
      <c r="J1470" s="48" t="n">
        <f aca="false">Sens!$J$1464-Sens!$J$1468-Sens!$J$1469</f>
        <v>57.1058785102879</v>
      </c>
      <c r="K1470" s="48" t="n">
        <f aca="false">Sens!$K$1464-Sens!$K$1468-Sens!$K$1469</f>
        <v>132.558652979063</v>
      </c>
      <c r="L1470" s="48" t="n">
        <f aca="false">Sens!$L$1464-Sens!$L$1468-Sens!$L$1469</f>
        <v>171.855895202886</v>
      </c>
      <c r="M1470" s="48" t="n">
        <f aca="false">Sens!$M$1464-Sens!$M$1468-Sens!$M$1469</f>
        <v>202.890524093484</v>
      </c>
      <c r="N1470" s="14"/>
      <c r="O1470" s="14"/>
    </row>
    <row r="1471" customFormat="false" ht="17.15" hidden="false" customHeight="false" outlineLevel="0" collapsed="false">
      <c r="A1471" s="5" t="s">
        <v>805</v>
      </c>
      <c r="B1471" s="0" t="s">
        <v>86</v>
      </c>
      <c r="C1471" s="38" t="n">
        <f aca="false">dps*Sens!$C$1450</f>
        <v>0</v>
      </c>
      <c r="D1471" s="38" t="n">
        <f aca="false">dps*Sens!$D$1450</f>
        <v>0</v>
      </c>
      <c r="E1471" s="38" t="n">
        <f aca="false">dps*Sens!$E$1450</f>
        <v>0</v>
      </c>
      <c r="F1471" s="38" t="n">
        <f aca="false">0</f>
        <v>0</v>
      </c>
      <c r="G1471" s="38" t="n">
        <f aca="false">dps*Sens!$G$1450</f>
        <v>0</v>
      </c>
      <c r="H1471" s="38" t="n">
        <f aca="false">dps*Sens!$H$1450</f>
        <v>0</v>
      </c>
      <c r="I1471" s="38" t="n">
        <f aca="false">dps*Sens!$I$1450</f>
        <v>0</v>
      </c>
      <c r="J1471" s="38" t="n">
        <f aca="false">dps*Sens!$J$1450</f>
        <v>0</v>
      </c>
      <c r="K1471" s="38" t="n">
        <f aca="false">dps*Sens!$K$1450</f>
        <v>0</v>
      </c>
      <c r="L1471" s="38" t="n">
        <f aca="false">dps*Sens!$L$1450</f>
        <v>0</v>
      </c>
      <c r="M1471" s="38" t="n">
        <f aca="false">dps*Sens!$M$1450</f>
        <v>0</v>
      </c>
      <c r="P1471" s="8" t="s">
        <v>806</v>
      </c>
    </row>
    <row r="1472" customFormat="false" ht="17.15" hidden="false" customHeight="false" outlineLevel="0" collapsed="false">
      <c r="A1472" s="5" t="s">
        <v>807</v>
      </c>
      <c r="B1472" s="0" t="s">
        <v>86</v>
      </c>
      <c r="C1472" s="38" t="n">
        <f aca="false">0</f>
        <v>0</v>
      </c>
      <c r="D1472" s="38" t="n">
        <f aca="false">0</f>
        <v>0</v>
      </c>
      <c r="E1472" s="38" t="n">
        <f aca="false">0</f>
        <v>0</v>
      </c>
      <c r="F1472" s="38" t="n">
        <f aca="false">0</f>
        <v>0</v>
      </c>
      <c r="G1472" s="38" t="n">
        <f aca="false">0</f>
        <v>0</v>
      </c>
      <c r="H1472" s="38" t="n">
        <f aca="false">0</f>
        <v>0</v>
      </c>
      <c r="I1472" s="38" t="n">
        <f aca="false">0</f>
        <v>0</v>
      </c>
      <c r="J1472" s="38" t="n">
        <f aca="false">0</f>
        <v>0</v>
      </c>
      <c r="K1472" s="38" t="n">
        <f aca="false">0</f>
        <v>0</v>
      </c>
      <c r="L1472" s="38" t="n">
        <f aca="false">0</f>
        <v>0</v>
      </c>
      <c r="M1472" s="38" t="n">
        <f aca="false">0</f>
        <v>0</v>
      </c>
      <c r="P1472" s="8" t="s">
        <v>808</v>
      </c>
    </row>
    <row r="1473" customFormat="false" ht="15" hidden="false" customHeight="false" outlineLevel="0" collapsed="false">
      <c r="A1473" s="3" t="s">
        <v>809</v>
      </c>
      <c r="B1473" s="8" t="s">
        <v>86</v>
      </c>
      <c r="C1473" s="38" t="n">
        <f aca="false">Sens!$C$1470-Sens!$C$1471</f>
        <v>36.176</v>
      </c>
      <c r="D1473" s="38" t="n">
        <f aca="false">Sens!$D$1470-Sens!$D$1471</f>
        <v>9.63700000000002</v>
      </c>
      <c r="E1473" s="38" t="n">
        <f aca="false">Sens!$E$1470-Sens!$E$1471</f>
        <v>-25.691</v>
      </c>
      <c r="F1473" s="38" t="n">
        <f aca="false">Sens!$F$1470-Sens!$F$1471</f>
        <v>-34.0236249086593</v>
      </c>
      <c r="G1473" s="38" t="n">
        <f aca="false">Sens!$G$1470-Sens!$G$1471</f>
        <v>-59.7146249086593</v>
      </c>
      <c r="H1473" s="38" t="n">
        <f aca="false">Sens!$H$1470-Sens!$H$1471</f>
        <v>-11.2688714568128</v>
      </c>
      <c r="I1473" s="38" t="n">
        <f aca="false">Sens!$I$1470-Sens!$I$1471</f>
        <v>23.2106723261486</v>
      </c>
      <c r="J1473" s="38" t="n">
        <f aca="false">Sens!$J$1470-Sens!$J$1471</f>
        <v>57.1058785102879</v>
      </c>
      <c r="K1473" s="38" t="n">
        <f aca="false">Sens!$K$1470-Sens!$K$1471</f>
        <v>132.558652979063</v>
      </c>
      <c r="L1473" s="38" t="n">
        <f aca="false">Sens!$L$1470-Sens!$L$1471</f>
        <v>171.855895202886</v>
      </c>
      <c r="M1473" s="38" t="n">
        <f aca="false">Sens!$M$1470-Sens!$M$1471</f>
        <v>202.890524093484</v>
      </c>
    </row>
    <row r="1474" customFormat="false" ht="17.15" hidden="false" customHeight="false" outlineLevel="0" collapsed="false">
      <c r="A1474" s="5" t="s">
        <v>810</v>
      </c>
      <c r="B1474" s="0" t="s">
        <v>86</v>
      </c>
      <c r="E1474" s="38" t="n">
        <f aca="false">Q!$P$53</f>
        <v>39.767</v>
      </c>
      <c r="F1474" s="38" t="n">
        <f aca="false">inv_2h26</f>
        <v>21.3</v>
      </c>
      <c r="G1474" s="38" t="n">
        <f aca="false">Sens!$E$1474+Sens!$F$1474</f>
        <v>61.067</v>
      </c>
      <c r="H1474" s="39" t="n">
        <v>0</v>
      </c>
      <c r="I1474" s="39" t="n">
        <v>0</v>
      </c>
      <c r="J1474" s="39" t="n">
        <v>0</v>
      </c>
      <c r="K1474" s="39" t="n">
        <v>0</v>
      </c>
      <c r="L1474" s="39" t="n">
        <v>0</v>
      </c>
      <c r="M1474" s="39" t="n">
        <v>0</v>
      </c>
    </row>
    <row r="1475" customFormat="false" ht="17.15" hidden="false" customHeight="false" outlineLevel="0" collapsed="false">
      <c r="A1475" s="5" t="s">
        <v>811</v>
      </c>
      <c r="B1475" s="0" t="s">
        <v>86</v>
      </c>
      <c r="F1475" s="38" t="n">
        <f aca="false">iss_2h26</f>
        <v>29.249999</v>
      </c>
      <c r="G1475" s="38" t="n">
        <f aca="false">Sens!$F$1475</f>
        <v>29.249999</v>
      </c>
      <c r="H1475" s="39" t="n">
        <v>0</v>
      </c>
      <c r="I1475" s="39" t="n">
        <v>0</v>
      </c>
      <c r="J1475" s="39" t="n">
        <v>0</v>
      </c>
      <c r="K1475" s="39" t="n">
        <v>0</v>
      </c>
      <c r="L1475" s="39" t="n">
        <v>0</v>
      </c>
      <c r="M1475" s="39" t="n">
        <v>0</v>
      </c>
    </row>
    <row r="1476" customFormat="false" ht="17.15" hidden="false" customHeight="false" outlineLevel="0" collapsed="false">
      <c r="A1476" s="5" t="s">
        <v>812</v>
      </c>
      <c r="B1476" s="0" t="s">
        <v>86</v>
      </c>
      <c r="F1476" s="38" t="n">
        <f aca="false">cash_q2</f>
        <v>122.988</v>
      </c>
      <c r="G1476" s="38" t="n">
        <f aca="false">cash_q2</f>
        <v>122.988</v>
      </c>
      <c r="H1476" s="38" t="n">
        <f aca="false">Sens!$G$1479</f>
        <v>96.9143740913407</v>
      </c>
      <c r="I1476" s="38" t="n">
        <f aca="false">Sens!$H$1479</f>
        <v>85.6455026345279</v>
      </c>
      <c r="J1476" s="38" t="n">
        <f aca="false">Sens!$I$1479</f>
        <v>108.856174960677</v>
      </c>
      <c r="K1476" s="38" t="n">
        <f aca="false">Sens!$J$1479</f>
        <v>165.962053470964</v>
      </c>
      <c r="L1476" s="38" t="n">
        <f aca="false">Sens!$K$1479</f>
        <v>298.520706450027</v>
      </c>
      <c r="M1476" s="38" t="n">
        <f aca="false">Sens!$L$1479</f>
        <v>470.376601652913</v>
      </c>
    </row>
    <row r="1477" customFormat="false" ht="15" hidden="false" customHeight="false" outlineLevel="0" collapsed="false">
      <c r="A1477" s="5" t="s">
        <v>813</v>
      </c>
      <c r="B1477" s="0" t="s">
        <v>86</v>
      </c>
      <c r="F1477" s="38" t="n">
        <f aca="false">Sens!$F$1476+Sens!$F$1473-Sens!$F$1472-Sens!$F$1474+Sens!$F$1475</f>
        <v>96.9143740913407</v>
      </c>
      <c r="H1477" s="38" t="n">
        <f aca="false">Sens!$H$1476+Sens!$H$1473-Sens!$H$1472-Sens!$H$1474+Sens!$H$1475</f>
        <v>85.6455026345279</v>
      </c>
      <c r="I1477" s="38" t="n">
        <f aca="false">Sens!$I$1476+Sens!$I$1473-Sens!$I$1472-Sens!$I$1474+Sens!$I$1475</f>
        <v>108.856174960677</v>
      </c>
      <c r="J1477" s="38" t="n">
        <f aca="false">Sens!$J$1476+Sens!$J$1473-Sens!$J$1472-Sens!$J$1474+Sens!$J$1475</f>
        <v>165.962053470964</v>
      </c>
      <c r="K1477" s="38" t="n">
        <f aca="false">Sens!$K$1476+Sens!$K$1473-Sens!$K$1472-Sens!$K$1474+Sens!$K$1475</f>
        <v>298.520706450027</v>
      </c>
      <c r="L1477" s="38" t="n">
        <f aca="false">Sens!$L$1476+Sens!$L$1473-Sens!$L$1472-Sens!$L$1474+Sens!$L$1475</f>
        <v>470.376601652913</v>
      </c>
      <c r="M1477" s="38" t="n">
        <f aca="false">Sens!$M$1476+Sens!$M$1473-Sens!$M$1472-Sens!$M$1474+Sens!$M$1475</f>
        <v>673.267125746396</v>
      </c>
    </row>
    <row r="1478" customFormat="false" ht="17.15" hidden="false" customHeight="false" outlineLevel="0" collapsed="false">
      <c r="A1478" s="5" t="s">
        <v>814</v>
      </c>
      <c r="B1478" s="0" t="s">
        <v>86</v>
      </c>
      <c r="F1478" s="38" t="n">
        <f aca="false">MAX(0,min_cash-Sens!$F$1477)</f>
        <v>0</v>
      </c>
      <c r="G1478" s="38" t="n">
        <f aca="false">Sens!$F$1478</f>
        <v>0</v>
      </c>
      <c r="H1478" s="38" t="n">
        <f aca="false">MAX(0,min_cash-Sens!$H$1477)</f>
        <v>0</v>
      </c>
      <c r="I1478" s="38" t="n">
        <f aca="false">MAX(0,min_cash-Sens!$I$1477)</f>
        <v>0</v>
      </c>
      <c r="J1478" s="38" t="n">
        <f aca="false">MAX(0,min_cash-Sens!$J$1477)</f>
        <v>0</v>
      </c>
      <c r="K1478" s="38" t="n">
        <f aca="false">MAX(0,min_cash-Sens!$K$1477)</f>
        <v>0</v>
      </c>
      <c r="L1478" s="38" t="n">
        <f aca="false">MAX(0,min_cash-Sens!$L$1477)</f>
        <v>0</v>
      </c>
      <c r="M1478" s="38" t="n">
        <f aca="false">MAX(0,min_cash-Sens!$M$1477)</f>
        <v>0</v>
      </c>
      <c r="P1478" s="5" t="s">
        <v>815</v>
      </c>
    </row>
    <row r="1479" customFormat="false" ht="15" hidden="false" customHeight="false" outlineLevel="0" collapsed="false">
      <c r="A1479" s="5" t="s">
        <v>816</v>
      </c>
      <c r="B1479" s="0" t="s">
        <v>86</v>
      </c>
      <c r="D1479" s="38" t="n">
        <f aca="false">Q!$E$61</f>
        <v>123.029</v>
      </c>
      <c r="E1479" s="38" t="n">
        <f aca="false">Q!$M$61</f>
        <v>122.988</v>
      </c>
      <c r="F1479" s="38" t="n">
        <f aca="false">Sens!$F$1477+Sens!$F$1478</f>
        <v>96.9143740913407</v>
      </c>
      <c r="G1479" s="38" t="n">
        <f aca="false">Sens!$F$1479</f>
        <v>96.9143740913407</v>
      </c>
      <c r="H1479" s="38" t="n">
        <f aca="false">Sens!$H$1477+Sens!$H$1478</f>
        <v>85.6455026345279</v>
      </c>
      <c r="I1479" s="38" t="n">
        <f aca="false">Sens!$I$1477+Sens!$I$1478</f>
        <v>108.856174960677</v>
      </c>
      <c r="J1479" s="38" t="n">
        <f aca="false">Sens!$J$1477+Sens!$J$1478</f>
        <v>165.962053470964</v>
      </c>
      <c r="K1479" s="38" t="n">
        <f aca="false">Sens!$K$1477+Sens!$K$1478</f>
        <v>298.520706450027</v>
      </c>
      <c r="L1479" s="38" t="n">
        <f aca="false">Sens!$L$1477+Sens!$L$1478</f>
        <v>470.376601652913</v>
      </c>
      <c r="M1479" s="38" t="n">
        <f aca="false">Sens!$M$1477+Sens!$M$1478</f>
        <v>673.267125746396</v>
      </c>
    </row>
    <row r="1480" customFormat="false" ht="15" hidden="false" customHeight="false" outlineLevel="0" collapsed="false">
      <c r="A1480" s="5" t="s">
        <v>817</v>
      </c>
      <c r="B1480" s="0" t="s">
        <v>86</v>
      </c>
      <c r="D1480" s="38" t="n">
        <f aca="false">Q!$E$62</f>
        <v>68.836</v>
      </c>
      <c r="E1480" s="38" t="n">
        <f aca="false">Q!$M$62</f>
        <v>132.995</v>
      </c>
      <c r="F1480" s="38" t="n">
        <f aca="false">debt_q2+Sens!$F$1475+Sens!$F$1478</f>
        <v>162.244999</v>
      </c>
      <c r="G1480" s="38" t="n">
        <f aca="false">Sens!$F$1480</f>
        <v>162.244999</v>
      </c>
      <c r="H1480" s="38" t="n">
        <f aca="false">Sens!$G$1480+Sens!$H$1478</f>
        <v>162.244999</v>
      </c>
      <c r="I1480" s="38" t="n">
        <f aca="false">Sens!$H$1480+Sens!$I$1478</f>
        <v>162.244999</v>
      </c>
      <c r="J1480" s="38" t="n">
        <f aca="false">Sens!$I$1480+Sens!$J$1478</f>
        <v>162.244999</v>
      </c>
      <c r="K1480" s="38" t="n">
        <f aca="false">Sens!$J$1480+Sens!$K$1478</f>
        <v>162.244999</v>
      </c>
      <c r="L1480" s="38" t="n">
        <f aca="false">Sens!$K$1480+Sens!$L$1478</f>
        <v>162.244999</v>
      </c>
      <c r="M1480" s="38" t="n">
        <f aca="false">Sens!$L$1480+Sens!$M$1478</f>
        <v>162.244999</v>
      </c>
    </row>
    <row r="1481" customFormat="false" ht="15" hidden="false" customHeight="false" outlineLevel="0" collapsed="false">
      <c r="A1481" s="5" t="s">
        <v>818</v>
      </c>
      <c r="B1481" s="0" t="s">
        <v>86</v>
      </c>
      <c r="D1481" s="38" t="n">
        <f aca="false">Sens!$D$1480-Sens!$D$1479</f>
        <v>-54.193</v>
      </c>
      <c r="E1481" s="38" t="n">
        <f aca="false">Sens!$E$1480-Sens!$E$1479</f>
        <v>10.007</v>
      </c>
      <c r="F1481" s="38" t="n">
        <f aca="false">Sens!$F$1480-Sens!$F$1479</f>
        <v>65.3306249086593</v>
      </c>
      <c r="G1481" s="38" t="n">
        <f aca="false">Sens!$G$1480-Sens!$G$1479</f>
        <v>65.3306249086593</v>
      </c>
      <c r="H1481" s="38" t="n">
        <f aca="false">Sens!$H$1480-Sens!$H$1479</f>
        <v>76.5994963654721</v>
      </c>
      <c r="I1481" s="38" t="n">
        <f aca="false">Sens!$I$1480-Sens!$I$1479</f>
        <v>53.3888240393235</v>
      </c>
      <c r="J1481" s="38" t="n">
        <f aca="false">Sens!$J$1480-Sens!$J$1479</f>
        <v>-3.71705447096437</v>
      </c>
      <c r="K1481" s="38" t="n">
        <f aca="false">Sens!$K$1480-Sens!$K$1479</f>
        <v>-136.275707450027</v>
      </c>
      <c r="L1481" s="38" t="n">
        <f aca="false">Sens!$L$1480-Sens!$L$1479</f>
        <v>-308.131602652913</v>
      </c>
      <c r="M1481" s="38" t="n">
        <f aca="false">Sens!$M$1480-Sens!$M$1479</f>
        <v>-511.022126746396</v>
      </c>
    </row>
    <row r="1482" customFormat="false" ht="17.15" hidden="false" customHeight="false" outlineLevel="0" collapsed="false">
      <c r="A1482" s="5" t="s">
        <v>819</v>
      </c>
      <c r="B1482" s="0" t="s">
        <v>86</v>
      </c>
      <c r="F1482" s="38" t="n">
        <f aca="false">debt_q2*kd_book*0.5+iss_2h26*kd_new*iss_t</f>
        <v>3.24888962733561</v>
      </c>
      <c r="H1482" s="38" t="n">
        <f aca="false">debt_q2*kd_book+(Sens!$G$1480-debt_q2)*kd_new</f>
        <v>7.42354172302123</v>
      </c>
      <c r="I1482" s="38" t="n">
        <f aca="false">debt_q2*kd_book+(Sens!$H$1480-debt_q2)*kd_new</f>
        <v>7.42354172302123</v>
      </c>
      <c r="J1482" s="38" t="n">
        <f aca="false">debt_q2*kd_book+(Sens!$I$1480-debt_q2)*kd_new</f>
        <v>7.42354172302123</v>
      </c>
      <c r="K1482" s="38" t="n">
        <f aca="false">debt_q2*kd_book+(Sens!$J$1480-debt_q2)*kd_new</f>
        <v>7.42354172302123</v>
      </c>
      <c r="L1482" s="38" t="n">
        <f aca="false">debt_q2*kd_book+(Sens!$K$1480-debt_q2)*kd_new</f>
        <v>7.42354172302123</v>
      </c>
      <c r="M1482" s="38" t="n">
        <f aca="false">debt_q2*kd_book+(Sens!$L$1480-debt_q2)*kd_new</f>
        <v>7.42354172302123</v>
      </c>
    </row>
    <row r="1483" customFormat="false" ht="17.15" hidden="false" customHeight="false" outlineLevel="0" collapsed="false">
      <c r="A1483" s="5" t="s">
        <v>820</v>
      </c>
      <c r="B1483" s="0" t="s">
        <v>86</v>
      </c>
      <c r="F1483" s="38" t="n">
        <f aca="false">cash_q2*y_cash*0.5</f>
        <v>2.59</v>
      </c>
      <c r="H1483" s="38" t="n">
        <f aca="false">Sens!$G$1479*y_cash</f>
        <v>4.08183284379895</v>
      </c>
      <c r="I1483" s="38" t="n">
        <f aca="false">Sens!$H$1479*y_cash</f>
        <v>3.6072113022966</v>
      </c>
      <c r="J1483" s="38" t="n">
        <f aca="false">Sens!$I$1479*y_cash</f>
        <v>4.58479677933054</v>
      </c>
      <c r="K1483" s="38" t="n">
        <f aca="false">Sens!$J$1479*y_cash</f>
        <v>6.98997818469766</v>
      </c>
      <c r="L1483" s="38" t="n">
        <f aca="false">Sens!$K$1479*y_cash</f>
        <v>12.573074278882</v>
      </c>
      <c r="M1483" s="38" t="n">
        <f aca="false">Sens!$L$1479*y_cash</f>
        <v>19.8112888782815</v>
      </c>
    </row>
    <row r="1484" customFormat="false" ht="17.15" hidden="false" customHeight="false" outlineLevel="0" collapsed="false">
      <c r="A1484" s="47" t="s">
        <v>821</v>
      </c>
      <c r="B1484" s="14" t="s">
        <v>86</v>
      </c>
      <c r="C1484" s="14"/>
      <c r="D1484" s="14"/>
      <c r="E1484" s="14"/>
      <c r="F1484" s="14"/>
      <c r="G1484" s="48" t="n">
        <f aca="false">SUM(Sens!$G$1473:$K$1473)</f>
        <v>141.891707450027</v>
      </c>
      <c r="H1484" s="14"/>
      <c r="I1484" s="14"/>
      <c r="J1484" s="14"/>
      <c r="K1484" s="14"/>
      <c r="L1484" s="14"/>
      <c r="M1484" s="14"/>
      <c r="N1484" s="14"/>
      <c r="O1484" s="14"/>
    </row>
    <row r="1485" customFormat="false" ht="17.15" hidden="false" customHeight="false" outlineLevel="0" collapsed="false">
      <c r="A1485" s="0" t="s">
        <v>787</v>
      </c>
      <c r="B1485" s="0" t="s">
        <v>86</v>
      </c>
      <c r="G1485" s="38" t="n">
        <f aca="false">SUM(Sens!$G$1478:$K$1478)</f>
        <v>0</v>
      </c>
    </row>
    <row r="1486" customFormat="false" ht="17.15" hidden="false" customHeight="false" outlineLevel="0" collapsed="false">
      <c r="A1486" s="24" t="s">
        <v>824</v>
      </c>
      <c r="B1486" s="25" t="s">
        <v>86</v>
      </c>
      <c r="C1486" s="25"/>
      <c r="D1486" s="25"/>
      <c r="E1486" s="25"/>
      <c r="F1486" s="25"/>
      <c r="G1486" s="41" t="n">
        <f aca="false">Sens!$G$1484-(Sens!$G$1473+Sens!$H$1473+Sens!$I$1473+Sens!$J$1473+Sens!$K$1473)</f>
        <v>0</v>
      </c>
      <c r="H1486" s="25"/>
      <c r="I1486" s="25"/>
      <c r="J1486" s="25"/>
      <c r="K1486" s="25"/>
      <c r="L1486" s="25"/>
      <c r="M1486" s="25"/>
      <c r="N1486" s="25"/>
      <c r="O1486" s="25"/>
    </row>
    <row r="1489" customFormat="false" ht="19.4" hidden="false" customHeight="false" outlineLevel="0" collapsed="false">
      <c r="A1489" s="31" t="s">
        <v>1181</v>
      </c>
    </row>
    <row r="1490" customFormat="false" ht="17.15" hidden="false" customHeight="false" outlineLevel="0" collapsed="false">
      <c r="A1490" s="6" t="s">
        <v>16</v>
      </c>
      <c r="B1490" s="6" t="s">
        <v>17</v>
      </c>
      <c r="C1490" s="20" t="s">
        <v>504</v>
      </c>
      <c r="D1490" s="20" t="s">
        <v>505</v>
      </c>
      <c r="E1490" s="20" t="s">
        <v>587</v>
      </c>
      <c r="F1490" s="20" t="s">
        <v>588</v>
      </c>
      <c r="G1490" s="20" t="s">
        <v>589</v>
      </c>
      <c r="H1490" s="20" t="s">
        <v>590</v>
      </c>
      <c r="I1490" s="20" t="s">
        <v>591</v>
      </c>
      <c r="J1490" s="20" t="s">
        <v>592</v>
      </c>
      <c r="K1490" s="20" t="s">
        <v>593</v>
      </c>
      <c r="L1490" s="20" t="s">
        <v>594</v>
      </c>
      <c r="M1490" s="20" t="s">
        <v>595</v>
      </c>
      <c r="N1490" s="20" t="s">
        <v>596</v>
      </c>
      <c r="O1490" s="20" t="s">
        <v>597</v>
      </c>
      <c r="P1490" s="6" t="s">
        <v>23</v>
      </c>
      <c r="R1490" s="20" t="n">
        <v>2023</v>
      </c>
      <c r="S1490" s="20" t="n">
        <v>2024</v>
      </c>
      <c r="T1490" s="20" t="n">
        <v>2025</v>
      </c>
      <c r="U1490" s="20" t="n">
        <v>2026</v>
      </c>
      <c r="V1490" s="20" t="n">
        <v>2027</v>
      </c>
      <c r="W1490" s="20" t="n">
        <v>2028</v>
      </c>
      <c r="X1490" s="20" t="n">
        <v>2029</v>
      </c>
      <c r="Y1490" s="20" t="n">
        <v>2030</v>
      </c>
      <c r="Z1490" s="20" t="n">
        <v>2031</v>
      </c>
      <c r="AA1490" s="20" t="n">
        <v>2032</v>
      </c>
    </row>
    <row r="1491" customFormat="false" ht="17.15" hidden="false" customHeight="false" outlineLevel="0" collapsed="false">
      <c r="A1491" s="1" t="s">
        <v>926</v>
      </c>
    </row>
    <row r="1492" customFormat="false" ht="17.15" hidden="false" customHeight="false" outlineLevel="0" collapsed="false">
      <c r="A1492" s="0" t="s">
        <v>927</v>
      </c>
      <c r="B1492" s="0" t="s">
        <v>86</v>
      </c>
      <c r="H1492" s="38" t="n">
        <f aca="false">Sens!$H$1426*(1-tax)</f>
        <v>111.320975050818</v>
      </c>
      <c r="I1492" s="38" t="n">
        <f aca="false">Sens!$I$1426*(1-tax)</f>
        <v>130.191406634081</v>
      </c>
      <c r="J1492" s="38" t="n">
        <f aca="false">Sens!$J$1426*(1-tax)</f>
        <v>151.486158193283</v>
      </c>
      <c r="K1492" s="38" t="n">
        <f aca="false">Sens!$K$1426*(1-tax)</f>
        <v>167.166857957656</v>
      </c>
      <c r="L1492" s="38" t="n">
        <f aca="false">Sens!$L$1426*(1-tax)</f>
        <v>180.469320047991</v>
      </c>
      <c r="M1492" s="38" t="n">
        <f aca="false">Sens!$M$1426*(1-tax)</f>
        <v>192.821131041808</v>
      </c>
    </row>
    <row r="1493" customFormat="false" ht="15" hidden="false" customHeight="false" outlineLevel="0" collapsed="false">
      <c r="A1493" s="5" t="s">
        <v>928</v>
      </c>
      <c r="B1493" s="0" t="s">
        <v>86</v>
      </c>
      <c r="H1493" s="38" t="n">
        <f aca="false">Sens!$H$1437</f>
        <v>81.5618233196153</v>
      </c>
      <c r="I1493" s="38" t="n">
        <f aca="false">Sens!$I$1437</f>
        <v>111.825427146673</v>
      </c>
      <c r="J1493" s="38" t="n">
        <f aca="false">Sens!$J$1437</f>
        <v>138.354796846156</v>
      </c>
      <c r="K1493" s="38" t="n">
        <f aca="false">Sens!$K$1437</f>
        <v>165.092899096079</v>
      </c>
      <c r="L1493" s="38" t="n">
        <f aca="false">Sens!$L$1437</f>
        <v>185.587107825825</v>
      </c>
      <c r="M1493" s="38" t="n">
        <f aca="false">Sens!$M$1437</f>
        <v>199.775656951516</v>
      </c>
    </row>
    <row r="1494" customFormat="false" ht="15" hidden="false" customHeight="false" outlineLevel="0" collapsed="false">
      <c r="A1494" s="5" t="s">
        <v>929</v>
      </c>
      <c r="B1494" s="0" t="s">
        <v>86</v>
      </c>
      <c r="H1494" s="38" t="n">
        <f aca="false">Sens!$H$1468</f>
        <v>223.729838598711</v>
      </c>
      <c r="I1494" s="38" t="n">
        <f aca="false">Sens!$I$1468</f>
        <v>235.8201947508</v>
      </c>
      <c r="J1494" s="38" t="n">
        <f aca="false">Sens!$J$1468</f>
        <v>248.154895900741</v>
      </c>
      <c r="K1494" s="38" t="n">
        <f aca="false">Sens!$K$1468</f>
        <v>215.158743915492</v>
      </c>
      <c r="L1494" s="38" t="n">
        <f aca="false">Sens!$L$1468</f>
        <v>214.06114514442</v>
      </c>
      <c r="M1494" s="38" t="n">
        <f aca="false">Sens!$M$1468</f>
        <v>217.094740094389</v>
      </c>
    </row>
    <row r="1495" customFormat="false" ht="15" hidden="false" customHeight="false" outlineLevel="0" collapsed="false">
      <c r="A1495" s="5" t="s">
        <v>930</v>
      </c>
      <c r="B1495" s="0" t="s">
        <v>86</v>
      </c>
      <c r="H1495" s="38" t="n">
        <f aca="false">Sens!$H$1469</f>
        <v>1.6</v>
      </c>
      <c r="I1495" s="38" t="n">
        <f aca="false">Sens!$I$1469</f>
        <v>1.6</v>
      </c>
      <c r="J1495" s="38" t="n">
        <f aca="false">Sens!$J$1469</f>
        <v>1.6</v>
      </c>
      <c r="K1495" s="38" t="n">
        <f aca="false">Sens!$K$1469</f>
        <v>1.6</v>
      </c>
      <c r="L1495" s="38" t="n">
        <f aca="false">Sens!$L$1469</f>
        <v>1.6</v>
      </c>
      <c r="M1495" s="38" t="n">
        <f aca="false">Sens!$M$1469</f>
        <v>1.6</v>
      </c>
    </row>
    <row r="1496" customFormat="false" ht="15" hidden="false" customHeight="false" outlineLevel="0" collapsed="false">
      <c r="A1496" s="5" t="s">
        <v>931</v>
      </c>
      <c r="B1496" s="0" t="s">
        <v>86</v>
      </c>
      <c r="H1496" s="38" t="n">
        <f aca="false">Sens!$H$1463</f>
        <v>11.1728323754091</v>
      </c>
      <c r="I1496" s="38" t="n">
        <f aca="false">Sens!$I$1463</f>
        <v>12.5653033796472</v>
      </c>
      <c r="J1496" s="38" t="n">
        <f aca="false">Sens!$J$1463</f>
        <v>13.892309013329</v>
      </c>
      <c r="K1496" s="38" t="n">
        <f aca="false">Sens!$K$1463</f>
        <v>15.0587356196188</v>
      </c>
      <c r="L1496" s="38" t="n">
        <f aca="false">Sens!$L$1463</f>
        <v>16.1778721027991</v>
      </c>
      <c r="M1496" s="38" t="n">
        <f aca="false">Sens!$M$1463</f>
        <v>17.2541224748558</v>
      </c>
    </row>
    <row r="1497" customFormat="false" ht="17.15" hidden="false" customHeight="false" outlineLevel="0" collapsed="false">
      <c r="A1497" s="1" t="s">
        <v>932</v>
      </c>
      <c r="B1497" s="8" t="s">
        <v>86</v>
      </c>
      <c r="H1497" s="38" t="n">
        <f aca="false">Sens!$H$1492+Sens!$H$1493-Sens!$H$1494-Sens!$H$1495+Sens!$H$1496</f>
        <v>-21.274207852868</v>
      </c>
      <c r="I1497" s="38" t="n">
        <f aca="false">Sens!$I$1492+Sens!$I$1493-Sens!$I$1494-Sens!$I$1495+Sens!$I$1496</f>
        <v>17.1619424096014</v>
      </c>
      <c r="J1497" s="38" t="n">
        <f aca="false">Sens!$J$1492+Sens!$J$1493-Sens!$J$1494-Sens!$J$1495+Sens!$J$1496</f>
        <v>53.9783681520269</v>
      </c>
      <c r="K1497" s="38" t="n">
        <f aca="false">Sens!$K$1492+Sens!$K$1493-Sens!$K$1494-Sens!$K$1495+Sens!$K$1496</f>
        <v>130.559748757862</v>
      </c>
      <c r="L1497" s="38" t="n">
        <f aca="false">Sens!$L$1492+Sens!$L$1493-Sens!$L$1494-Sens!$L$1495+Sens!$L$1496</f>
        <v>166.573154832194</v>
      </c>
      <c r="M1497" s="38" t="n">
        <f aca="false">Sens!$M$1492+Sens!$M$1493-Sens!$M$1494-Sens!$M$1495+Sens!$M$1496</f>
        <v>191.156170373791</v>
      </c>
    </row>
    <row r="1498" customFormat="false" ht="15" hidden="false" customHeight="false" outlineLevel="0" collapsed="false">
      <c r="A1498" s="5" t="s">
        <v>933</v>
      </c>
      <c r="B1498" s="0" t="s">
        <v>57</v>
      </c>
      <c r="H1498" s="40" t="n">
        <f aca="false">1/(1+wacc)^(2027-2026-0.5)</f>
        <v>0.947751320380232</v>
      </c>
      <c r="I1498" s="40" t="n">
        <f aca="false">1/(1+wacc)^(2028-2026-0.5)</f>
        <v>0.851301099754987</v>
      </c>
      <c r="J1498" s="40" t="n">
        <f aca="false">1/(1+wacc)^(2029-2026-0.5)</f>
        <v>0.764666370660713</v>
      </c>
      <c r="K1498" s="40" t="n">
        <f aca="false">1/(1+wacc)^(2030-2026-0.5)</f>
        <v>0.686848235703811</v>
      </c>
      <c r="L1498" s="40" t="n">
        <f aca="false">1/(1+wacc)^(2031-2026-0.5)</f>
        <v>0.616949452715975</v>
      </c>
      <c r="M1498" s="40" t="n">
        <f aca="false">1/(1+wacc)^(2032-2026-0.5)</f>
        <v>0.554164089562688</v>
      </c>
    </row>
    <row r="1499" customFormat="false" ht="15" hidden="false" customHeight="false" outlineLevel="0" collapsed="false">
      <c r="A1499" s="5" t="s">
        <v>934</v>
      </c>
      <c r="B1499" s="0" t="s">
        <v>86</v>
      </c>
      <c r="H1499" s="38" t="n">
        <f aca="false">Sens!$H$1497*Sens!$H$1498</f>
        <v>-20.1626585825992</v>
      </c>
      <c r="I1499" s="38" t="n">
        <f aca="false">Sens!$I$1497*Sens!$I$1498</f>
        <v>14.6099804472255</v>
      </c>
      <c r="J1499" s="38" t="n">
        <f aca="false">Sens!$J$1497*Sens!$J$1498</f>
        <v>41.2754428689982</v>
      </c>
      <c r="K1499" s="38" t="n">
        <f aca="false">Sens!$K$1497*Sens!$K$1498</f>
        <v>89.6747330882706</v>
      </c>
      <c r="L1499" s="38" t="n">
        <f aca="false">Sens!$L$1497*Sens!$L$1498</f>
        <v>102.767216710895</v>
      </c>
      <c r="M1499" s="38" t="n">
        <f aca="false">Sens!$M$1497*Sens!$M$1498</f>
        <v>105.931885119482</v>
      </c>
    </row>
    <row r="1500" customFormat="false" ht="15" hidden="false" customHeight="false" outlineLevel="0" collapsed="false">
      <c r="A1500" s="5" t="s">
        <v>935</v>
      </c>
      <c r="B1500" s="0" t="s">
        <v>86</v>
      </c>
      <c r="C1500" s="38" t="n">
        <f aca="false">SUM(Sens!$H$1499:$M$1499)</f>
        <v>334.096599652272</v>
      </c>
    </row>
    <row r="1501" customFormat="false" ht="17.15" hidden="false" customHeight="false" outlineLevel="0" collapsed="false">
      <c r="A1501" s="5" t="s">
        <v>936</v>
      </c>
      <c r="B1501" s="0" t="s">
        <v>86</v>
      </c>
      <c r="C1501" s="38" t="n">
        <f aca="false">Sens!$M$1492*(1+tg)*(1-tg/ronic)/(wacc-tg)</f>
        <v>1752.95924719735</v>
      </c>
    </row>
    <row r="1502" customFormat="false" ht="15" hidden="false" customHeight="false" outlineLevel="0" collapsed="false">
      <c r="A1502" s="5" t="s">
        <v>937</v>
      </c>
      <c r="B1502" s="0" t="s">
        <v>86</v>
      </c>
      <c r="C1502" s="38" t="n">
        <f aca="false">Sens!$C$1501/(1+wacc)^6</f>
        <v>920.671283756686</v>
      </c>
    </row>
    <row r="1503" customFormat="false" ht="17.15" hidden="false" customHeight="false" outlineLevel="0" collapsed="false">
      <c r="A1503" s="5" t="s">
        <v>938</v>
      </c>
      <c r="B1503" s="0" t="s">
        <v>86</v>
      </c>
      <c r="C1503" s="38" t="n">
        <f aca="false">Sens!$C$1500+Sens!$C$1502</f>
        <v>1254.76788340896</v>
      </c>
    </row>
    <row r="1504" customFormat="false" ht="17.15" hidden="false" customHeight="false" outlineLevel="0" collapsed="false">
      <c r="A1504" s="5" t="s">
        <v>939</v>
      </c>
      <c r="B1504" s="0" t="s">
        <v>52</v>
      </c>
      <c r="C1504" s="13" t="n">
        <f aca="false">Sens!$C$1502/Sens!$C$1503</f>
        <v>0.733738323980211</v>
      </c>
    </row>
    <row r="1505" customFormat="false" ht="17.15" hidden="false" customHeight="false" outlineLevel="0" collapsed="false">
      <c r="A1505" s="5" t="s">
        <v>940</v>
      </c>
      <c r="B1505" s="0" t="s">
        <v>86</v>
      </c>
      <c r="C1505" s="38" t="n">
        <f aca="false">Sens!$G$1481+fin_debt</f>
        <v>89.8516249086593</v>
      </c>
    </row>
    <row r="1506" customFormat="false" ht="17.15" hidden="false" customHeight="false" outlineLevel="0" collapsed="false">
      <c r="A1506" s="5" t="s">
        <v>941</v>
      </c>
      <c r="B1506" s="0" t="s">
        <v>86</v>
      </c>
      <c r="C1506" s="38" t="n">
        <f aca="false">(ant_val*ant_sh+oai_val*oai_sh)*(1-liq_disc)</f>
        <v>178.944</v>
      </c>
    </row>
    <row r="1507" customFormat="false" ht="15" hidden="false" customHeight="false" outlineLevel="0" collapsed="false">
      <c r="A1507" s="5" t="s">
        <v>942</v>
      </c>
      <c r="B1507" s="0" t="s">
        <v>86</v>
      </c>
      <c r="C1507" s="38" t="n">
        <f aca="false">Sens!$C$1503-Sens!$C$1505+Sens!$C$1506</f>
        <v>1343.8602585003</v>
      </c>
    </row>
    <row r="1508" customFormat="false" ht="17.15" hidden="false" customHeight="false" outlineLevel="0" collapsed="false">
      <c r="A1508" s="5" t="s">
        <v>943</v>
      </c>
      <c r="B1508" s="0" t="s">
        <v>27</v>
      </c>
      <c r="C1508" s="30" t="n">
        <f aca="false">Sens!$C$1507/sh_out</f>
        <v>124.589387857641</v>
      </c>
    </row>
    <row r="1509" customFormat="false" ht="17.15" hidden="false" customHeight="false" outlineLevel="0" collapsed="false">
      <c r="A1509" s="1" t="s">
        <v>944</v>
      </c>
      <c r="B1509" s="8" t="s">
        <v>27</v>
      </c>
      <c r="C1509" s="30" t="n">
        <f aca="false">Sens!$C$1508*(1+ke)^tp_yf-dps*tp_yf</f>
        <v>136.471334060605</v>
      </c>
    </row>
    <row r="1510" customFormat="false" ht="17.15" hidden="false" customHeight="false" outlineLevel="0" collapsed="false">
      <c r="A1510" s="3" t="s">
        <v>945</v>
      </c>
    </row>
    <row r="1511" customFormat="false" ht="17.15" hidden="false" customHeight="false" outlineLevel="0" collapsed="false">
      <c r="A1511" s="5" t="s">
        <v>946</v>
      </c>
      <c r="B1511" s="0" t="s">
        <v>86</v>
      </c>
      <c r="C1511" s="38" t="n">
        <f aca="false">(1-tp_yf)*(Sens!$H$1438+sbc_ab*Sens!$H$1462*Sens!$H$1299/Sens!$H$1379)+tp_yf*(Sens!$I$1438+sbc_ab*Sens!$I$1462*Sens!$I$1299/Sens!$I$1379)</f>
        <v>59.634664536349</v>
      </c>
    </row>
    <row r="1512" customFormat="false" ht="15" hidden="false" customHeight="false" outlineLevel="0" collapsed="false">
      <c r="A1512" s="5" t="s">
        <v>947</v>
      </c>
      <c r="B1512" s="0" t="s">
        <v>57</v>
      </c>
      <c r="C1512" s="30" t="n">
        <f aca="false">m_ads*m_x</f>
        <v>9.11</v>
      </c>
    </row>
    <row r="1513" customFormat="false" ht="17.15" hidden="false" customHeight="false" outlineLevel="0" collapsed="false">
      <c r="A1513" s="5" t="s">
        <v>948</v>
      </c>
      <c r="B1513" s="0" t="s">
        <v>86</v>
      </c>
      <c r="C1513" s="38" t="n">
        <f aca="false">Sens!$C$1511*Sens!$C$1512</f>
        <v>543.271793926139</v>
      </c>
    </row>
    <row r="1514" customFormat="false" ht="17.15" hidden="false" customHeight="false" outlineLevel="0" collapsed="false">
      <c r="A1514" s="5" t="s">
        <v>949</v>
      </c>
      <c r="B1514" s="0" t="s">
        <v>86</v>
      </c>
      <c r="C1514" s="38" t="n">
        <f aca="false">(1-tp_yf)*(Sens!$H$1439+sbc_ab*Sens!$H$1462*(Sens!$H$1306-Sens!$H$1299)/Sens!$H$1379+IF(internal_ai_reading=2,1,0)*(1-ext_sh)*Sens!$H$1336)+tp_yf*(Sens!$I$1439+sbc_ab*Sens!$I$1462*(Sens!$I$1306-Sens!$I$1299)/Sens!$I$1379+IF(internal_ai_reading=2,1,0)*(1-ext_sh)*Sens!$I$1336)</f>
        <v>51.6951811103438</v>
      </c>
    </row>
    <row r="1515" customFormat="false" ht="17.15" hidden="false" customHeight="false" outlineLevel="0" collapsed="false">
      <c r="A1515" s="5" t="s">
        <v>950</v>
      </c>
      <c r="B1515" s="0" t="s">
        <v>57</v>
      </c>
      <c r="C1515" s="30" t="n">
        <f aca="false">m_retail*m_x</f>
        <v>17.72</v>
      </c>
    </row>
    <row r="1516" customFormat="false" ht="17.15" hidden="false" customHeight="false" outlineLevel="0" collapsed="false">
      <c r="A1516" s="5" t="s">
        <v>951</v>
      </c>
      <c r="B1516" s="0" t="s">
        <v>86</v>
      </c>
      <c r="C1516" s="38" t="n">
        <f aca="false">Sens!$C$1514*Sens!$C$1515</f>
        <v>916.038609275292</v>
      </c>
    </row>
    <row r="1517" customFormat="false" ht="17.15" hidden="false" customHeight="false" outlineLevel="0" collapsed="false">
      <c r="A1517" s="0" t="s">
        <v>952</v>
      </c>
      <c r="B1517" s="0" t="s">
        <v>86</v>
      </c>
      <c r="C1517" s="38" t="n">
        <f aca="false">(1-tp_yf)*(Sens!$H$1440+sbc_ab*Sens!$H$1462*Sens!$H$1377/Sens!$H$1379)+tp_yf*(Sens!$I$1440+sbc_ab*Sens!$I$1462*Sens!$I$1377/Sens!$I$1379)</f>
        <v>97.2337130506861</v>
      </c>
    </row>
    <row r="1518" customFormat="false" ht="17.15" hidden="false" customHeight="false" outlineLevel="0" collapsed="false">
      <c r="A1518" s="0" t="s">
        <v>953</v>
      </c>
      <c r="B1518" s="0" t="s">
        <v>57</v>
      </c>
      <c r="C1518" s="30" t="n">
        <f aca="false">m_cloud*m_x</f>
        <v>13.82</v>
      </c>
    </row>
    <row r="1519" customFormat="false" ht="17.15" hidden="false" customHeight="false" outlineLevel="0" collapsed="false">
      <c r="A1519" s="0" t="s">
        <v>954</v>
      </c>
      <c r="B1519" s="0" t="s">
        <v>86</v>
      </c>
      <c r="C1519" s="38" t="n">
        <f aca="false">Sens!$C$1517*Sens!$C$1518</f>
        <v>1343.76991436048</v>
      </c>
    </row>
    <row r="1520" customFormat="false" ht="17.15" hidden="false" customHeight="false" outlineLevel="0" collapsed="false">
      <c r="A1520" s="0" t="s">
        <v>955</v>
      </c>
      <c r="B1520" s="0" t="s">
        <v>86</v>
      </c>
      <c r="H1520" s="38" t="n">
        <f aca="false">Sens!$H$1358-tax*Sens!$H$1359-ext_sh*Sens!$H$1343</f>
        <v>-82.2832540259763</v>
      </c>
      <c r="I1520" s="38" t="n">
        <f aca="false">Sens!$I$1358-tax*Sens!$I$1359-ext_sh*Sens!$I$1343</f>
        <v>-61.9806553352417</v>
      </c>
      <c r="J1520" s="38" t="n">
        <f aca="false">Sens!$J$1358-tax*Sens!$J$1359-ext_sh*Sens!$J$1343</f>
        <v>-42.5961722390106</v>
      </c>
      <c r="K1520" s="38" t="n">
        <f aca="false">Sens!$K$1358-tax*Sens!$K$1359-ext_sh*Sens!$K$1343</f>
        <v>9.57392315798892</v>
      </c>
      <c r="L1520" s="38" t="n">
        <f aca="false">Sens!$L$1358-tax*Sens!$L$1359-ext_sh*Sens!$L$1343</f>
        <v>29.7142388448387</v>
      </c>
      <c r="M1520" s="38" t="n">
        <f aca="false">Sens!$M$1358-tax*Sens!$M$1359-ext_sh*Sens!$M$1343</f>
        <v>40.0392074159168</v>
      </c>
    </row>
    <row r="1521" customFormat="false" ht="17.15" hidden="false" customHeight="false" outlineLevel="0" collapsed="false">
      <c r="A1521" s="5" t="s">
        <v>956</v>
      </c>
      <c r="B1521" s="0" t="s">
        <v>86</v>
      </c>
      <c r="H1521" s="38" t="n">
        <f aca="false">Sens!$H$1520*Sens!$H$1498</f>
        <v>-77.984062648301</v>
      </c>
      <c r="I1521" s="38" t="n">
        <f aca="false">Sens!$I$1520*Sens!$I$1498</f>
        <v>-52.7642000504261</v>
      </c>
      <c r="J1521" s="38" t="n">
        <f aca="false">Sens!$J$1520*Sens!$J$1498</f>
        <v>-32.5718604300429</v>
      </c>
      <c r="K1521" s="38" t="n">
        <f aca="false">Sens!$K$1520*Sens!$K$1498</f>
        <v>6.57583222982854</v>
      </c>
      <c r="L1521" s="38" t="n">
        <f aca="false">Sens!$L$1520*Sens!$L$1498</f>
        <v>18.332183393195</v>
      </c>
      <c r="M1521" s="38" t="n">
        <f aca="false">Sens!$M$1520*Sens!$M$1498</f>
        <v>22.1882909244532</v>
      </c>
    </row>
    <row r="1522" customFormat="false" ht="17.15" hidden="false" customHeight="false" outlineLevel="0" collapsed="false">
      <c r="A1522" s="5" t="s">
        <v>957</v>
      </c>
      <c r="B1522" s="0" t="s">
        <v>86</v>
      </c>
      <c r="C1522" s="38" t="n">
        <f aca="false">Sens!$M$1359*(1-tax)*(1+tg)*(1-tg/ronic)/(wacc-tg)</f>
        <v>244.429001935626</v>
      </c>
    </row>
    <row r="1523" customFormat="false" ht="17.15" hidden="false" customHeight="false" outlineLevel="0" collapsed="false">
      <c r="A1523" s="0" t="s">
        <v>958</v>
      </c>
      <c r="B1523" s="0" t="s">
        <v>86</v>
      </c>
      <c r="C1523" s="38" t="n">
        <f aca="false">(SUM(Sens!$I$1521:$M$1521)+Sens!$C$1522/(1+wacc)^6)*(1+wacc)^tp_yf</f>
        <v>98.4492535118046</v>
      </c>
    </row>
    <row r="1524" customFormat="false" ht="17.15" hidden="false" customHeight="false" outlineLevel="0" collapsed="false">
      <c r="A1524" s="5" t="s">
        <v>959</v>
      </c>
      <c r="B1524" s="0" t="s">
        <v>86</v>
      </c>
      <c r="C1524" s="38" t="n">
        <f aca="false">(1-tp_yf)*(Sens!$H$1441)+tp_yf*(Sens!$I$1441)</f>
        <v>59.9180864011556</v>
      </c>
    </row>
    <row r="1525" customFormat="false" ht="17.15" hidden="false" customHeight="false" outlineLevel="0" collapsed="false">
      <c r="A1525" s="5" t="s">
        <v>960</v>
      </c>
      <c r="B1525" s="0" t="s">
        <v>86</v>
      </c>
      <c r="C1525" s="38" t="n">
        <f aca="false">Sens!$C$1524*m_ai</f>
        <v>359.508518406934</v>
      </c>
    </row>
    <row r="1526" customFormat="false" ht="17.15" hidden="false" customHeight="false" outlineLevel="0" collapsed="false">
      <c r="A1526" s="0" t="s">
        <v>961</v>
      </c>
      <c r="B1526" s="0" t="s">
        <v>86</v>
      </c>
      <c r="C1526" s="38" t="n">
        <f aca="false">IF(ai_leg=1,Sens!$C$1523,Sens!$C$1525)</f>
        <v>98.4492535118046</v>
      </c>
    </row>
    <row r="1527" customFormat="false" ht="17.15" hidden="false" customHeight="false" outlineLevel="0" collapsed="false">
      <c r="A1527" s="5" t="s">
        <v>962</v>
      </c>
      <c r="B1527" s="0" t="s">
        <v>86</v>
      </c>
      <c r="C1527" s="38" t="n">
        <f aca="false">Sens!$C$1513+Sens!$C$1516+Sens!$C$1519+Sens!$C$1526</f>
        <v>2901.52957107372</v>
      </c>
    </row>
    <row r="1528" customFormat="false" ht="17.15" hidden="false" customHeight="false" outlineLevel="0" collapsed="false">
      <c r="A1528" s="5" t="s">
        <v>963</v>
      </c>
      <c r="B1528" s="0" t="s">
        <v>86</v>
      </c>
      <c r="C1528" s="38" t="n">
        <f aca="false">Sens!$H$1481+fin_debt</f>
        <v>101.120496365472</v>
      </c>
    </row>
    <row r="1529" customFormat="false" ht="15" hidden="false" customHeight="false" outlineLevel="0" collapsed="false">
      <c r="A1529" s="5" t="s">
        <v>964</v>
      </c>
      <c r="B1529" s="0" t="s">
        <v>86</v>
      </c>
      <c r="C1529" s="38" t="n">
        <f aca="false">Sens!$C$1527-Sens!$C$1528+Sens!$C$1506</f>
        <v>2979.35307470825</v>
      </c>
    </row>
    <row r="1530" customFormat="false" ht="15" hidden="false" customHeight="false" outlineLevel="0" collapsed="false">
      <c r="A1530" s="3" t="s">
        <v>965</v>
      </c>
      <c r="B1530" s="8" t="s">
        <v>27</v>
      </c>
      <c r="C1530" s="30" t="n">
        <f aca="false">Sens!$C$1529/sh_val</f>
        <v>270.105916722611</v>
      </c>
    </row>
    <row r="1531" customFormat="false" ht="17.15" hidden="false" customHeight="false" outlineLevel="0" collapsed="false">
      <c r="A1531" s="47" t="s">
        <v>966</v>
      </c>
      <c r="B1531" s="14" t="s">
        <v>27</v>
      </c>
      <c r="C1531" s="44" t="n">
        <f aca="false">w_dcf*Sens!$C$1509+(1-w_dcf)*Sens!$C$1530</f>
        <v>203.288625391608</v>
      </c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</row>
    <row r="1532" customFormat="false" ht="17.15" hidden="false" customHeight="false" outlineLevel="0" collapsed="false">
      <c r="A1532" s="5" t="s">
        <v>967</v>
      </c>
      <c r="B1532" s="0" t="s">
        <v>27</v>
      </c>
      <c r="C1532" s="30" t="n">
        <f aca="false">v022_wdcf*Sens!$C$1509+(1-v022_wdcf)*Sens!$C$1530</f>
        <v>209.970354524708</v>
      </c>
    </row>
    <row r="1533" customFormat="false" ht="17.15" hidden="false" customHeight="false" outlineLevel="0" collapsed="false">
      <c r="A1533" s="5" t="s">
        <v>968</v>
      </c>
      <c r="B1533" s="0" t="s">
        <v>27</v>
      </c>
      <c r="C1533" s="30" t="n">
        <f aca="false">(Sens!$C$1529-Sens!$C$1526+Sens!$C$1525)/sh_val</f>
        <v>293.773354013619</v>
      </c>
    </row>
    <row r="1536" customFormat="false" ht="19.4" hidden="false" customHeight="false" outlineLevel="0" collapsed="false">
      <c r="A1536" s="31" t="s">
        <v>1182</v>
      </c>
    </row>
    <row r="1537" customFormat="false" ht="17.15" hidden="false" customHeight="false" outlineLevel="0" collapsed="false">
      <c r="A1537" s="6" t="s">
        <v>16</v>
      </c>
      <c r="B1537" s="6" t="s">
        <v>17</v>
      </c>
      <c r="C1537" s="20" t="s">
        <v>504</v>
      </c>
      <c r="D1537" s="20" t="s">
        <v>505</v>
      </c>
      <c r="E1537" s="20" t="s">
        <v>587</v>
      </c>
      <c r="F1537" s="20" t="s">
        <v>588</v>
      </c>
      <c r="G1537" s="20" t="s">
        <v>589</v>
      </c>
      <c r="H1537" s="20" t="s">
        <v>590</v>
      </c>
      <c r="I1537" s="20" t="s">
        <v>591</v>
      </c>
      <c r="J1537" s="20" t="s">
        <v>592</v>
      </c>
      <c r="K1537" s="20" t="s">
        <v>593</v>
      </c>
      <c r="L1537" s="20" t="s">
        <v>594</v>
      </c>
      <c r="M1537" s="20" t="s">
        <v>595</v>
      </c>
      <c r="N1537" s="20" t="s">
        <v>596</v>
      </c>
      <c r="O1537" s="20" t="s">
        <v>597</v>
      </c>
      <c r="P1537" s="6" t="s">
        <v>23</v>
      </c>
      <c r="R1537" s="20" t="n">
        <v>2023</v>
      </c>
      <c r="S1537" s="20" t="n">
        <v>2024</v>
      </c>
      <c r="T1537" s="20" t="n">
        <v>2025</v>
      </c>
      <c r="U1537" s="20" t="n">
        <v>2026</v>
      </c>
      <c r="V1537" s="20" t="n">
        <v>2027</v>
      </c>
      <c r="W1537" s="20" t="n">
        <v>2028</v>
      </c>
      <c r="X1537" s="20" t="n">
        <v>2029</v>
      </c>
      <c r="Y1537" s="20" t="n">
        <v>2030</v>
      </c>
      <c r="Z1537" s="20" t="n">
        <v>2031</v>
      </c>
      <c r="AA1537" s="20" t="n">
        <v>2032</v>
      </c>
    </row>
    <row r="1538" customFormat="false" ht="17.15" hidden="false" customHeight="false" outlineLevel="0" collapsed="false">
      <c r="A1538" s="1" t="s">
        <v>677</v>
      </c>
    </row>
    <row r="1539" customFormat="false" ht="17.15" hidden="false" customHeight="false" outlineLevel="0" collapsed="false">
      <c r="A1539" s="0" t="s">
        <v>526</v>
      </c>
      <c r="B1539" s="0" t="s">
        <v>86</v>
      </c>
      <c r="C1539" s="38" t="n">
        <f aca="false">Q!$D$10</f>
        <v>247.029</v>
      </c>
      <c r="D1539" s="38" t="n">
        <f aca="false">Q!$E$10</f>
        <v>269.287</v>
      </c>
      <c r="E1539" s="38" t="n">
        <f aca="false">Q!$P$10</f>
        <v>134.686</v>
      </c>
      <c r="F1539" s="38" t="n">
        <f aca="false">Sens!$O$1539*(1+Sens!$F$1540)*Sens!$F$1551</f>
        <v>158.293876822267</v>
      </c>
      <c r="G1539" s="38" t="n">
        <f aca="false">Sens!$E$1539+Sens!$F$1539</f>
        <v>292.979876822267</v>
      </c>
      <c r="H1539" s="38" t="n">
        <f aca="false">Sens!$G$1539*(1+Sens!$H$1540)</f>
        <v>318.184543087396</v>
      </c>
      <c r="I1539" s="38" t="n">
        <f aca="false">Sens!$H$1539*(1+Sens!$I$1540)</f>
        <v>341.736278761793</v>
      </c>
      <c r="J1539" s="38" t="n">
        <f aca="false">Sens!$I$1539*(1+Sens!$J$1540)</f>
        <v>362.927192787048</v>
      </c>
      <c r="K1539" s="38" t="n">
        <f aca="false">Sens!$J$1539*(1+Sens!$K$1540)</f>
        <v>381.0735524264</v>
      </c>
      <c r="L1539" s="38" t="n">
        <f aca="false">Sens!$K$1539*(1+Sens!$L$1540)</f>
        <v>400.12723004772</v>
      </c>
      <c r="M1539" s="38" t="n">
        <f aca="false">Sens!$L$1539*(1+Sens!$M$1540)</f>
        <v>420.133591550106</v>
      </c>
      <c r="N1539" s="38" t="n">
        <f aca="false">Q!$N$10</f>
        <v>118.892</v>
      </c>
      <c r="O1539" s="38" t="n">
        <f aca="false">Q!$O$10</f>
        <v>150.395</v>
      </c>
      <c r="P1539" s="8" t="s">
        <v>678</v>
      </c>
    </row>
    <row r="1540" customFormat="false" ht="17.15" hidden="false" customHeight="false" outlineLevel="0" collapsed="false">
      <c r="A1540" s="0" t="s">
        <v>679</v>
      </c>
      <c r="B1540" s="0" t="s">
        <v>52</v>
      </c>
      <c r="E1540" s="13" t="n">
        <f aca="false">Sens!$E$1539/Sens!$N$1539-1</f>
        <v>0.132843252699929</v>
      </c>
      <c r="F1540" s="13" t="n">
        <f aca="false">Sens!$O$1539/(Q!$F$10+Q!$G$10)-1</f>
        <v>0.0980382135842941</v>
      </c>
      <c r="G1540" s="13" t="n">
        <f aca="false">Sens!$G$1539/Sens!$D$1539-1</f>
        <v>0.0879837378791657</v>
      </c>
      <c r="H1540" s="13" t="n">
        <f aca="false">Sens!$F$1540+(g_os-Sens!$F$1540)*1/4</f>
        <v>0.0860286601882206</v>
      </c>
      <c r="I1540" s="13" t="n">
        <f aca="false">Sens!$F$1540+(g_os-Sens!$F$1540)*2/4</f>
        <v>0.074019106792147</v>
      </c>
      <c r="J1540" s="13" t="n">
        <f aca="false">Sens!$F$1540+(g_os-Sens!$F$1540)*3/4</f>
        <v>0.0620095533960735</v>
      </c>
      <c r="K1540" s="13" t="n">
        <f aca="false">Sens!$F$1540+(g_os-Sens!$F$1540)*4/4</f>
        <v>0.05</v>
      </c>
      <c r="L1540" s="13" t="n">
        <f aca="false">g_os</f>
        <v>0.05</v>
      </c>
      <c r="M1540" s="13" t="n">
        <f aca="false">g_os</f>
        <v>0.05</v>
      </c>
      <c r="P1540" s="8" t="s">
        <v>680</v>
      </c>
    </row>
    <row r="1541" customFormat="false" ht="17.15" hidden="false" customHeight="false" outlineLevel="0" collapsed="false">
      <c r="A1541" s="0" t="s">
        <v>527</v>
      </c>
      <c r="B1541" s="0" t="s">
        <v>86</v>
      </c>
      <c r="C1541" s="38" t="n">
        <f aca="false">Q!$D$11</f>
        <v>21.215</v>
      </c>
      <c r="D1541" s="38" t="n">
        <f aca="false">Q!$E$11</f>
        <v>22.561</v>
      </c>
      <c r="E1541" s="38" t="n">
        <f aca="false">Q!$P$11</f>
        <v>11.579</v>
      </c>
      <c r="F1541" s="38" t="n">
        <f aca="false">Sens!$O$1541*(1+Sens!$F$1542)*Sens!$F$1551</f>
        <v>11.5938724610325</v>
      </c>
      <c r="G1541" s="38" t="n">
        <f aca="false">Sens!$E$1541+Sens!$F$1541</f>
        <v>23.1728724610325</v>
      </c>
      <c r="H1541" s="38" t="n">
        <f aca="false">Sens!$G$1541*(1+Sens!$H$1542)</f>
        <v>24.353392759506</v>
      </c>
      <c r="I1541" s="38" t="n">
        <f aca="false">Sens!$H$1541*(1+Sens!$I$1542)</f>
        <v>25.4240338872015</v>
      </c>
      <c r="J1541" s="38" t="n">
        <f aca="false">Sens!$I$1541*(1+Sens!$J$1542)</f>
        <v>26.3642491017174</v>
      </c>
      <c r="K1541" s="38" t="n">
        <f aca="false">Sens!$J$1541*(1+Sens!$K$1542)</f>
        <v>27.155176574769</v>
      </c>
      <c r="L1541" s="38" t="n">
        <f aca="false">Sens!$K$1541*(1+Sens!$L$1542)</f>
        <v>27.969831872012</v>
      </c>
      <c r="M1541" s="38" t="n">
        <f aca="false">Sens!$L$1541*(1+Sens!$M$1542)</f>
        <v>28.8089268281724</v>
      </c>
      <c r="N1541" s="38" t="n">
        <f aca="false">Q!$N$11</f>
        <v>11.128</v>
      </c>
      <c r="O1541" s="38" t="n">
        <f aca="false">Q!$O$11</f>
        <v>11.433</v>
      </c>
      <c r="P1541" s="8" t="s">
        <v>678</v>
      </c>
    </row>
    <row r="1542" customFormat="false" ht="17.15" hidden="false" customHeight="false" outlineLevel="0" collapsed="false">
      <c r="A1542" s="0" t="s">
        <v>681</v>
      </c>
      <c r="B1542" s="0" t="s">
        <v>52</v>
      </c>
      <c r="E1542" s="13" t="n">
        <f aca="false">Sens!$E$1541/Sens!$N$1541-1</f>
        <v>0.0405283968368082</v>
      </c>
      <c r="F1542" s="13" t="n">
        <f aca="false">Sens!$O$1541/(Q!$F$11+Q!$G$11)-1</f>
        <v>0.0579254187100955</v>
      </c>
      <c r="G1542" s="13" t="n">
        <f aca="false">Sens!$G$1541/Sens!$D$1541-1</f>
        <v>0.0271208040881397</v>
      </c>
      <c r="H1542" s="13" t="n">
        <f aca="false">Sens!$F$1542+(g_ps-Sens!$F$1542)*1/4</f>
        <v>0.0509440640325716</v>
      </c>
      <c r="I1542" s="13" t="n">
        <f aca="false">Sens!$F$1542+(g_ps-Sens!$F$1542)*2/4</f>
        <v>0.0439627093550477</v>
      </c>
      <c r="J1542" s="13" t="n">
        <f aca="false">Sens!$F$1542+(g_ps-Sens!$F$1542)*3/4</f>
        <v>0.0369813546775239</v>
      </c>
      <c r="K1542" s="13" t="n">
        <f aca="false">Sens!$F$1542+(g_ps-Sens!$F$1542)*4/4</f>
        <v>0.03</v>
      </c>
      <c r="L1542" s="13" t="n">
        <f aca="false">g_ps</f>
        <v>0.03</v>
      </c>
      <c r="M1542" s="13" t="n">
        <f aca="false">g_ps</f>
        <v>0.03</v>
      </c>
      <c r="P1542" s="8" t="s">
        <v>682</v>
      </c>
    </row>
    <row r="1543" customFormat="false" ht="17.15" hidden="false" customHeight="false" outlineLevel="0" collapsed="false">
      <c r="A1543" s="0" t="s">
        <v>528</v>
      </c>
      <c r="B1543" s="0" t="s">
        <v>86</v>
      </c>
      <c r="C1543" s="38" t="n">
        <f aca="false">Q!$D$12</f>
        <v>156.146</v>
      </c>
      <c r="D1543" s="38" t="n">
        <f aca="false">Q!$E$12</f>
        <v>172.162</v>
      </c>
      <c r="E1543" s="38" t="n">
        <f aca="false">Q!$P$12</f>
        <v>88.358</v>
      </c>
      <c r="F1543" s="38" t="n">
        <f aca="false">Sens!$O$1543*(1+Sens!$F$1544)*Sens!$F$1551</f>
        <v>102.004388260171</v>
      </c>
      <c r="G1543" s="38" t="n">
        <f aca="false">Sens!$E$1543+Sens!$F$1543</f>
        <v>190.362388260171</v>
      </c>
      <c r="H1543" s="38" t="n">
        <f aca="false">Sens!$G$1543*(1+Sens!$H$1544)</f>
        <v>210.343106588311</v>
      </c>
      <c r="I1543" s="38" t="n">
        <f aca="false">Sens!$H$1543*(1+Sens!$I$1544)</f>
        <v>229.969728494648</v>
      </c>
      <c r="J1543" s="38" t="n">
        <f aca="false">Sens!$I$1543*(1+Sens!$J$1544)</f>
        <v>248.747636972598</v>
      </c>
      <c r="K1543" s="38" t="n">
        <f aca="false">Sens!$J$1543*(1+Sens!$K$1544)</f>
        <v>266.15997156068</v>
      </c>
      <c r="L1543" s="38" t="n">
        <f aca="false">Sens!$K$1543*(1+Sens!$L$1544)</f>
        <v>284.791169569927</v>
      </c>
      <c r="M1543" s="38" t="n">
        <f aca="false">Sens!$L$1543*(1+Sens!$M$1544)</f>
        <v>304.726551439822</v>
      </c>
      <c r="N1543" s="38" t="n">
        <f aca="false">Q!$N$12</f>
        <v>76.86</v>
      </c>
      <c r="O1543" s="38" t="n">
        <f aca="false">Q!$O$12</f>
        <v>95.302</v>
      </c>
      <c r="P1543" s="8" t="s">
        <v>678</v>
      </c>
    </row>
    <row r="1544" customFormat="false" ht="17.15" hidden="false" customHeight="false" outlineLevel="0" collapsed="false">
      <c r="A1544" s="0" t="s">
        <v>683</v>
      </c>
      <c r="B1544" s="0" t="s">
        <v>52</v>
      </c>
      <c r="E1544" s="13" t="n">
        <f aca="false">Sens!$E$1543/Sens!$N$1543-1</f>
        <v>0.1495966692688</v>
      </c>
      <c r="F1544" s="13" t="n">
        <f aca="false">Sens!$O$1543/(Q!$F$12+Q!$G$12)-1</f>
        <v>0.11661530890813</v>
      </c>
      <c r="G1544" s="13" t="n">
        <f aca="false">Sens!$G$1543/Sens!$D$1543-1</f>
        <v>0.105716640490767</v>
      </c>
      <c r="H1544" s="13" t="n">
        <f aca="false">Sens!$F$1544+(g_sp-Sens!$F$1544)*1/4</f>
        <v>0.104961481681098</v>
      </c>
      <c r="I1544" s="13" t="n">
        <f aca="false">Sens!$F$1544+(g_sp-Sens!$F$1544)*2/4</f>
        <v>0.0933076544540651</v>
      </c>
      <c r="J1544" s="13" t="n">
        <f aca="false">Sens!$F$1544+(g_sp-Sens!$F$1544)*3/4</f>
        <v>0.0816538272270325</v>
      </c>
      <c r="K1544" s="13" t="n">
        <f aca="false">Sens!$F$1544+(g_sp-Sens!$F$1544)*4/4</f>
        <v>0.07</v>
      </c>
      <c r="L1544" s="13" t="n">
        <f aca="false">g_sp</f>
        <v>0.07</v>
      </c>
      <c r="M1544" s="13" t="n">
        <f aca="false">g_sp</f>
        <v>0.07</v>
      </c>
      <c r="P1544" s="8" t="s">
        <v>684</v>
      </c>
    </row>
    <row r="1545" customFormat="false" ht="17.15" hidden="false" customHeight="false" outlineLevel="0" collapsed="false">
      <c r="A1545" s="0" t="s">
        <v>529</v>
      </c>
      <c r="B1545" s="0" t="s">
        <v>86</v>
      </c>
      <c r="C1545" s="38" t="n">
        <f aca="false">Q!$D$13</f>
        <v>56.214</v>
      </c>
      <c r="D1545" s="38" t="n">
        <f aca="false">Q!$E$13</f>
        <v>68.635</v>
      </c>
      <c r="E1545" s="38" t="n">
        <f aca="false">Q!$P$13</f>
        <v>37.052</v>
      </c>
      <c r="F1545" s="38" t="n">
        <f aca="false">Sens!$O$1545*(1+Sens!$F$1546)*Sens!$F$1551</f>
        <v>46.1572219944148</v>
      </c>
      <c r="G1545" s="38" t="n">
        <f aca="false">Sens!$E$1545+Sens!$F$1545</f>
        <v>83.2092219944148</v>
      </c>
      <c r="H1545" s="38" t="n">
        <f aca="false">Sens!$G$1545*(1+Sens!$H$1546)</f>
        <v>99.8969223878976</v>
      </c>
      <c r="I1545" s="38" t="n">
        <f aca="false">Sens!$H$1545*(1+Sens!$I$1546)</f>
        <v>116.583111095496</v>
      </c>
      <c r="J1545" s="38" t="n">
        <f aca="false">Sens!$I$1545*(1+Sens!$J$1546)</f>
        <v>132.148941941952</v>
      </c>
      <c r="K1545" s="38" t="n">
        <f aca="false">Sens!$J$1545*(1+Sens!$K$1546)</f>
        <v>145.363836136147</v>
      </c>
      <c r="L1545" s="38" t="n">
        <f aca="false">Sens!$K$1545*(1+Sens!$L$1546)</f>
        <v>159.900219749762</v>
      </c>
      <c r="M1545" s="38" t="n">
        <f aca="false">Sens!$L$1545*(1+Sens!$M$1546)</f>
        <v>175.890241724738</v>
      </c>
      <c r="N1545" s="38" t="n">
        <f aca="false">Q!$N$13</f>
        <v>29.615</v>
      </c>
      <c r="O1545" s="38" t="n">
        <f aca="false">Q!$O$13</f>
        <v>39.02</v>
      </c>
      <c r="P1545" s="8" t="s">
        <v>678</v>
      </c>
    </row>
    <row r="1546" customFormat="false" ht="17.15" hidden="false" customHeight="false" outlineLevel="0" collapsed="false">
      <c r="A1546" s="0" t="s">
        <v>685</v>
      </c>
      <c r="B1546" s="0" t="s">
        <v>52</v>
      </c>
      <c r="E1546" s="13" t="n">
        <f aca="false">Sens!$E$1545/Sens!$N$1545-1</f>
        <v>0.25112274185379</v>
      </c>
      <c r="F1546" s="13" t="n">
        <f aca="false">Sens!$O$1545/(Q!$F$13+Q!$G$13)-1</f>
        <v>0.234068123596572</v>
      </c>
      <c r="G1546" s="13" t="n">
        <f aca="false">Sens!$G$1545/Sens!$D$1545-1</f>
        <v>0.212343876949294</v>
      </c>
      <c r="H1546" s="13" t="n">
        <f aca="false">Sens!$F$1546+(g_ad-Sens!$F$1546)*1/4</f>
        <v>0.200551092697429</v>
      </c>
      <c r="I1546" s="13" t="n">
        <f aca="false">Sens!$F$1546+(g_ad-Sens!$F$1546)*2/4</f>
        <v>0.167034061798286</v>
      </c>
      <c r="J1546" s="13" t="n">
        <f aca="false">Sens!$F$1546+(g_ad-Sens!$F$1546)*3/4</f>
        <v>0.133517030899143</v>
      </c>
      <c r="K1546" s="13" t="n">
        <f aca="false">Sens!$F$1546+(g_ad-Sens!$F$1546)*4/4</f>
        <v>0.1</v>
      </c>
      <c r="L1546" s="13" t="n">
        <f aca="false">g_ad</f>
        <v>0.1</v>
      </c>
      <c r="M1546" s="13" t="n">
        <f aca="false">g_ad</f>
        <v>0.1</v>
      </c>
      <c r="P1546" s="8" t="s">
        <v>686</v>
      </c>
    </row>
    <row r="1547" customFormat="false" ht="17.15" hidden="false" customHeight="false" outlineLevel="0" collapsed="false">
      <c r="A1547" s="0" t="s">
        <v>530</v>
      </c>
      <c r="B1547" s="0" t="s">
        <v>86</v>
      </c>
      <c r="C1547" s="38" t="n">
        <f aca="false">Q!$D$14</f>
        <v>44.374</v>
      </c>
      <c r="D1547" s="38" t="n">
        <f aca="false">Q!$E$14</f>
        <v>49.619</v>
      </c>
      <c r="E1547" s="38" t="n">
        <f aca="false">Q!$P$14</f>
        <v>27.157</v>
      </c>
      <c r="F1547" s="38" t="n">
        <f aca="false">Sens!$O$1547*(1+Sens!$F$1548)*Sens!$F$1551</f>
        <v>27.7764165988154</v>
      </c>
      <c r="G1547" s="38" t="n">
        <f aca="false">Sens!$E$1547+Sens!$F$1547</f>
        <v>54.9334165988154</v>
      </c>
      <c r="H1547" s="38" t="n">
        <f aca="false">Sens!$G$1547*(1+Sens!$H$1548)</f>
        <v>61.1564112561829</v>
      </c>
      <c r="I1547" s="38" t="n">
        <f aca="false">Sens!$H$1547*(1+Sens!$I$1548)</f>
        <v>67.2020282103945</v>
      </c>
      <c r="J1547" s="38" t="n">
        <f aca="false">Sens!$I$1547*(1+Sens!$J$1548)</f>
        <v>72.8757274028885</v>
      </c>
      <c r="K1547" s="38" t="n">
        <f aca="false">Sens!$J$1547*(1+Sens!$K$1548)</f>
        <v>77.9770283210907</v>
      </c>
      <c r="L1547" s="38" t="n">
        <f aca="false">Sens!$K$1547*(1+Sens!$L$1548)</f>
        <v>83.4354203035671</v>
      </c>
      <c r="M1547" s="38" t="n">
        <f aca="false">Sens!$L$1547*(1+Sens!$M$1548)</f>
        <v>89.2758997248168</v>
      </c>
      <c r="N1547" s="38" t="n">
        <f aca="false">Q!$N$14</f>
        <v>23.923</v>
      </c>
      <c r="O1547" s="38" t="n">
        <f aca="false">Q!$O$14</f>
        <v>25.696</v>
      </c>
      <c r="P1547" s="8" t="s">
        <v>678</v>
      </c>
    </row>
    <row r="1548" customFormat="false" ht="17.15" hidden="false" customHeight="false" outlineLevel="0" collapsed="false">
      <c r="A1548" s="0" t="s">
        <v>687</v>
      </c>
      <c r="B1548" s="0" t="s">
        <v>52</v>
      </c>
      <c r="E1548" s="13" t="n">
        <f aca="false">Sens!$E$1547/Sens!$N$1547-1</f>
        <v>0.135183714417088</v>
      </c>
      <c r="F1548" s="13" t="n">
        <f aca="false">Sens!$O$1547/(Q!$F$14+Q!$G$14)-1</f>
        <v>0.127709997366804</v>
      </c>
      <c r="G1548" s="13" t="n">
        <f aca="false">Sens!$G$1547/Sens!$D$1547-1</f>
        <v>0.107104468022641</v>
      </c>
      <c r="H1548" s="13" t="n">
        <f aca="false">Sens!$F$1548+(g_sub-Sens!$F$1548)*1/4</f>
        <v>0.113282498025103</v>
      </c>
      <c r="I1548" s="13" t="n">
        <f aca="false">Sens!$F$1548+(g_sub-Sens!$F$1548)*2/4</f>
        <v>0.0988549986834021</v>
      </c>
      <c r="J1548" s="13" t="n">
        <f aca="false">Sens!$F$1548+(g_sub-Sens!$F$1548)*3/4</f>
        <v>0.084427499341701</v>
      </c>
      <c r="K1548" s="13" t="n">
        <f aca="false">Sens!$F$1548+(g_sub-Sens!$F$1548)*4/4</f>
        <v>0.07</v>
      </c>
      <c r="L1548" s="13" t="n">
        <f aca="false">g_sub</f>
        <v>0.07</v>
      </c>
      <c r="M1548" s="13" t="n">
        <f aca="false">g_sub</f>
        <v>0.07</v>
      </c>
      <c r="P1548" s="8" t="s">
        <v>688</v>
      </c>
    </row>
    <row r="1549" customFormat="false" ht="17.15" hidden="false" customHeight="false" outlineLevel="0" collapsed="false">
      <c r="A1549" s="0" t="s">
        <v>531</v>
      </c>
      <c r="B1549" s="0" t="s">
        <v>86</v>
      </c>
      <c r="C1549" s="38" t="n">
        <f aca="false">Q!$D$15</f>
        <v>5.425</v>
      </c>
      <c r="D1549" s="38" t="n">
        <f aca="false">Q!$E$15</f>
        <v>5.935</v>
      </c>
      <c r="E1549" s="38" t="n">
        <f aca="false">Q!$P$15</f>
        <v>3.474</v>
      </c>
      <c r="F1549" s="38" t="n">
        <f aca="false">Sens!$O$1549*(1+Sens!$F$1550)*Sens!$F$1551</f>
        <v>3.22246550883619</v>
      </c>
      <c r="G1549" s="38" t="n">
        <f aca="false">Sens!$E$1549+Sens!$F$1549</f>
        <v>6.69646550883619</v>
      </c>
      <c r="H1549" s="38" t="n">
        <f aca="false">Sens!$G$1549*(1+Sens!$H$1550)</f>
        <v>7.16251344209196</v>
      </c>
      <c r="I1549" s="38" t="n">
        <f aca="false">Sens!$H$1549*(1+Sens!$I$1550)</f>
        <v>7.61421070299826</v>
      </c>
      <c r="J1549" s="38" t="n">
        <f aca="false">Sens!$I$1549*(1+Sens!$J$1550)</f>
        <v>8.04465753523932</v>
      </c>
      <c r="K1549" s="38" t="n">
        <f aca="false">Sens!$J$1549*(1+Sens!$K$1550)</f>
        <v>8.44689041200128</v>
      </c>
      <c r="L1549" s="38" t="n">
        <f aca="false">Sens!$K$1549*(1+Sens!$L$1550)</f>
        <v>8.86923493260135</v>
      </c>
      <c r="M1549" s="38" t="n">
        <f aca="false">Sens!$L$1549*(1+Sens!$M$1550)</f>
        <v>9.31269667923142</v>
      </c>
      <c r="N1549" s="38" t="n">
        <f aca="false">Q!$N$15</f>
        <v>2.811</v>
      </c>
      <c r="O1549" s="38" t="n">
        <f aca="false">Q!$O$15</f>
        <v>3.124</v>
      </c>
      <c r="P1549" s="8" t="s">
        <v>678</v>
      </c>
    </row>
    <row r="1550" customFormat="false" ht="17.15" hidden="false" customHeight="false" outlineLevel="0" collapsed="false">
      <c r="A1550" s="0" t="s">
        <v>689</v>
      </c>
      <c r="B1550" s="0" t="s">
        <v>52</v>
      </c>
      <c r="E1550" s="13" t="n">
        <f aca="false">Sens!$E$1549/Sens!$N$1549-1</f>
        <v>0.235859124866596</v>
      </c>
      <c r="F1550" s="13" t="n">
        <f aca="false">Sens!$O$1549/(Q!$F$15+Q!$G$15)-1</f>
        <v>0.0761281433000345</v>
      </c>
      <c r="G1550" s="13" t="n">
        <f aca="false">Sens!$G$1549/Sens!$D$1549-1</f>
        <v>0.128300843948811</v>
      </c>
      <c r="H1550" s="13" t="n">
        <f aca="false">Sens!$F$1550+(g_ot-Sens!$F$1550)*1/4</f>
        <v>0.0695961074750259</v>
      </c>
      <c r="I1550" s="13" t="n">
        <f aca="false">Sens!$F$1550+(g_ot-Sens!$F$1550)*2/4</f>
        <v>0.0630640716500172</v>
      </c>
      <c r="J1550" s="13" t="n">
        <f aca="false">Sens!$F$1550+(g_ot-Sens!$F$1550)*3/4</f>
        <v>0.0565320358250086</v>
      </c>
      <c r="K1550" s="13" t="n">
        <f aca="false">Sens!$F$1550+(g_ot-Sens!$F$1550)*4/4</f>
        <v>0.05</v>
      </c>
      <c r="L1550" s="13" t="n">
        <f aca="false">g_ot</f>
        <v>0.05</v>
      </c>
      <c r="M1550" s="13" t="n">
        <f aca="false">g_ot</f>
        <v>0.05</v>
      </c>
      <c r="P1550" s="8" t="s">
        <v>690</v>
      </c>
    </row>
    <row r="1551" customFormat="false" ht="17.15" hidden="false" customHeight="false" outlineLevel="0" collapsed="false">
      <c r="A1551" s="0" t="s">
        <v>691</v>
      </c>
      <c r="B1551" s="0" t="s">
        <v>57</v>
      </c>
      <c r="F1551" s="40" t="n">
        <f aca="false">(g26q3_mid*Q!$O$8/Q!$J$8-Thesis!$F$89-Thesis!$F$93)/(Sens!$O$1539*(1+Sens!$F$1540)+Sens!$O$1541*(1+Sens!$F$1542)+Sens!$O$1543*(1+Sens!$F$1544)+Sens!$O$1545*(1+Sens!$F$1546)+Sens!$O$1547*(1+Sens!$F$1548)+Sens!$O$1549*(1+Sens!$F$1550))</f>
        <v>0.958546670622329</v>
      </c>
      <c r="P1551" s="8" t="s">
        <v>692</v>
      </c>
    </row>
    <row r="1552" customFormat="false" ht="17.15" hidden="false" customHeight="false" outlineLevel="0" collapsed="false">
      <c r="A1552" s="3" t="s">
        <v>693</v>
      </c>
      <c r="B1552" s="8" t="s">
        <v>86</v>
      </c>
      <c r="C1552" s="38" t="n">
        <f aca="false">Sens!$C$1539+Sens!$C$1541+Sens!$C$1543+Sens!$C$1545+Sens!$C$1547+Sens!$C$1549</f>
        <v>530.403</v>
      </c>
      <c r="D1552" s="38" t="n">
        <f aca="false">Sens!$D$1539+Sens!$D$1541+Sens!$D$1543+Sens!$D$1545+Sens!$D$1547+Sens!$D$1549</f>
        <v>588.199</v>
      </c>
      <c r="E1552" s="38" t="n">
        <f aca="false">Sens!$E$1539+Sens!$E$1541+Sens!$E$1543+Sens!$E$1545+Sens!$E$1547+Sens!$E$1549</f>
        <v>302.306</v>
      </c>
      <c r="F1552" s="38" t="n">
        <f aca="false">Sens!$F$1539+Sens!$F$1541+Sens!$F$1543+Sens!$F$1545+Sens!$F$1547+Sens!$F$1549</f>
        <v>349.048241645537</v>
      </c>
      <c r="G1552" s="38" t="n">
        <f aca="false">Sens!$G$1539+Sens!$G$1541+Sens!$G$1543+Sens!$G$1545+Sens!$G$1547+Sens!$G$1549</f>
        <v>651.354241645537</v>
      </c>
      <c r="H1552" s="38" t="n">
        <f aca="false">Sens!$H$1539+Sens!$H$1541+Sens!$H$1543+Sens!$H$1545+Sens!$H$1547+Sens!$H$1549</f>
        <v>721.096889521386</v>
      </c>
      <c r="I1552" s="38" t="n">
        <f aca="false">Sens!$I$1539+Sens!$I$1541+Sens!$I$1543+Sens!$I$1545+Sens!$I$1547+Sens!$I$1549</f>
        <v>788.529391152531</v>
      </c>
      <c r="J1552" s="38" t="n">
        <f aca="false">Sens!$J$1539+Sens!$J$1541+Sens!$J$1543+Sens!$J$1545+Sens!$J$1547+Sens!$J$1549</f>
        <v>851.108405741443</v>
      </c>
      <c r="K1552" s="38" t="n">
        <f aca="false">Sens!$K$1539+Sens!$K$1541+Sens!$K$1543+Sens!$K$1545+Sens!$K$1547+Sens!$K$1549</f>
        <v>906.176455431088</v>
      </c>
      <c r="L1552" s="38" t="n">
        <f aca="false">Sens!$L$1539+Sens!$L$1541+Sens!$L$1543+Sens!$L$1545+Sens!$L$1547+Sens!$L$1549</f>
        <v>965.093106475589</v>
      </c>
      <c r="M1552" s="38" t="n">
        <f aca="false">Sens!$M$1539+Sens!$M$1541+Sens!$M$1543+Sens!$M$1545+Sens!$M$1547+Sens!$M$1549</f>
        <v>1028.14790794689</v>
      </c>
      <c r="N1552" s="38" t="n">
        <f aca="false">Sens!$N$1539+Sens!$N$1541+Sens!$N$1543+Sens!$N$1545+Sens!$N$1547+Sens!$N$1549</f>
        <v>263.229</v>
      </c>
      <c r="O1552" s="38" t="n">
        <f aca="false">Sens!$O$1539+Sens!$O$1541+Sens!$O$1543+Sens!$O$1545+Sens!$O$1547+Sens!$O$1549</f>
        <v>324.97</v>
      </c>
    </row>
    <row r="1553" customFormat="false" ht="17.15" hidden="false" customHeight="false" outlineLevel="0" collapsed="false">
      <c r="A1553" s="5" t="s">
        <v>694</v>
      </c>
      <c r="B1553" s="0" t="s">
        <v>52</v>
      </c>
      <c r="C1553" s="13" t="n">
        <f aca="false">Q!$D$5/(Q!$D$5+Q!$D$6)</f>
        <v>0.730570905519011</v>
      </c>
      <c r="D1553" s="13" t="n">
        <f aca="false">Q!$E$5/(Q!$E$5+Q!$E$6)</f>
        <v>0.724763217890544</v>
      </c>
      <c r="E1553" s="13" t="n">
        <f aca="false">Q!$P$5/(Q!$P$5+Q!$P$6)</f>
        <v>0.728797972914861</v>
      </c>
      <c r="F1553" s="13" t="n">
        <f aca="false">Sens!$O$1553</f>
        <v>0.718066283041511</v>
      </c>
      <c r="G1553" s="13" t="n">
        <f aca="false">Sens!$G$1554/Sens!$G$1552</f>
        <v>0.723047066202847</v>
      </c>
      <c r="H1553" s="13" t="n">
        <f aca="false">Sens!$G$1553</f>
        <v>0.723047066202847</v>
      </c>
      <c r="I1553" s="13" t="n">
        <f aca="false">Sens!$G$1553</f>
        <v>0.723047066202847</v>
      </c>
      <c r="J1553" s="13" t="n">
        <f aca="false">Sens!$G$1553</f>
        <v>0.723047066202847</v>
      </c>
      <c r="K1553" s="13" t="n">
        <f aca="false">Sens!$G$1553</f>
        <v>0.723047066202847</v>
      </c>
      <c r="L1553" s="13" t="n">
        <f aca="false">Sens!$G$1553</f>
        <v>0.723047066202847</v>
      </c>
      <c r="M1553" s="13" t="n">
        <f aca="false">Sens!$G$1553</f>
        <v>0.723047066202847</v>
      </c>
      <c r="N1553" s="13" t="n">
        <f aca="false">Q!$N$5/(Q!$N$5+Q!$N$6)</f>
        <v>0.733030935041352</v>
      </c>
      <c r="O1553" s="13" t="n">
        <f aca="false">Q!$O$5/(Q!$O$5+Q!$O$6)</f>
        <v>0.718066283041511</v>
      </c>
      <c r="P1553" s="8" t="s">
        <v>695</v>
      </c>
    </row>
    <row r="1554" customFormat="false" ht="17.15" hidden="false" customHeight="false" outlineLevel="0" collapsed="false">
      <c r="A1554" s="1" t="s">
        <v>519</v>
      </c>
      <c r="B1554" s="8" t="s">
        <v>86</v>
      </c>
      <c r="C1554" s="38" t="n">
        <f aca="false">Q!$D$5</f>
        <v>387.497</v>
      </c>
      <c r="D1554" s="38" t="n">
        <f aca="false">Q!$E$5</f>
        <v>426.305</v>
      </c>
      <c r="E1554" s="38" t="n">
        <f aca="false">Q!$P$5</f>
        <v>220.32</v>
      </c>
      <c r="F1554" s="38" t="n">
        <f aca="false">Sens!$F$1552*Sens!$F$1553</f>
        <v>250.639773480586</v>
      </c>
      <c r="G1554" s="38" t="n">
        <f aca="false">Sens!$E$1554+Sens!$F$1554</f>
        <v>470.959773480586</v>
      </c>
      <c r="H1554" s="38" t="n">
        <f aca="false">Sens!$H$1552*Sens!$H$1553</f>
        <v>521.386990416437</v>
      </c>
      <c r="I1554" s="38" t="n">
        <f aca="false">Sens!$I$1552*Sens!$I$1553</f>
        <v>570.143862887555</v>
      </c>
      <c r="J1554" s="38" t="n">
        <f aca="false">Sens!$J$1552*Sens!$J$1553</f>
        <v>615.391435791933</v>
      </c>
      <c r="K1554" s="38" t="n">
        <f aca="false">Sens!$K$1552*Sens!$K$1553</f>
        <v>655.208227561543</v>
      </c>
      <c r="L1554" s="38" t="n">
        <f aca="false">Sens!$L$1552*Sens!$L$1553</f>
        <v>697.807739249767</v>
      </c>
      <c r="M1554" s="38" t="n">
        <f aca="false">Sens!$M$1552*Sens!$M$1553</f>
        <v>743.399328463592</v>
      </c>
      <c r="N1554" s="38" t="n">
        <f aca="false">Q!$N$5</f>
        <v>192.955</v>
      </c>
      <c r="O1554" s="38" t="n">
        <f aca="false">Q!$O$5</f>
        <v>233.35</v>
      </c>
      <c r="P1554" s="5" t="s">
        <v>696</v>
      </c>
    </row>
    <row r="1555" customFormat="false" ht="17.15" hidden="false" customHeight="false" outlineLevel="0" collapsed="false">
      <c r="A1555" s="1" t="s">
        <v>522</v>
      </c>
      <c r="B1555" s="8" t="s">
        <v>86</v>
      </c>
      <c r="C1555" s="38" t="n">
        <f aca="false">Q!$D$6</f>
        <v>142.906</v>
      </c>
      <c r="D1555" s="38" t="n">
        <f aca="false">Q!$E$6</f>
        <v>161.894</v>
      </c>
      <c r="E1555" s="38" t="n">
        <f aca="false">Q!$P$6</f>
        <v>81.986</v>
      </c>
      <c r="F1555" s="38" t="n">
        <f aca="false">Sens!$F$1552*(1-Sens!$F$1553)</f>
        <v>98.408468164951</v>
      </c>
      <c r="G1555" s="38" t="n">
        <f aca="false">Sens!$E$1555+Sens!$F$1555</f>
        <v>180.394468164951</v>
      </c>
      <c r="H1555" s="38" t="n">
        <f aca="false">Sens!$H$1552*(1-Sens!$H$1553)</f>
        <v>199.709899104949</v>
      </c>
      <c r="I1555" s="38" t="n">
        <f aca="false">Sens!$I$1552*(1-Sens!$I$1553)</f>
        <v>218.385528264976</v>
      </c>
      <c r="J1555" s="38" t="n">
        <f aca="false">Sens!$J$1552*(1-Sens!$J$1553)</f>
        <v>235.71696994951</v>
      </c>
      <c r="K1555" s="38" t="n">
        <f aca="false">Sens!$K$1552*(1-Sens!$K$1553)</f>
        <v>250.968227869545</v>
      </c>
      <c r="L1555" s="38" t="n">
        <f aca="false">Sens!$L$1552*(1-Sens!$L$1553)</f>
        <v>267.285367225822</v>
      </c>
      <c r="M1555" s="38" t="n">
        <f aca="false">Sens!$M$1552*(1-Sens!$M$1553)</f>
        <v>284.748579483295</v>
      </c>
      <c r="N1555" s="38" t="n">
        <f aca="false">Q!$N$6</f>
        <v>70.274</v>
      </c>
      <c r="O1555" s="38" t="n">
        <f aca="false">Q!$O$6</f>
        <v>91.62</v>
      </c>
      <c r="P1555" s="5" t="s">
        <v>697</v>
      </c>
    </row>
    <row r="1556" customFormat="false" ht="17.15" hidden="false" customHeight="false" outlineLevel="0" collapsed="false">
      <c r="A1556" s="5" t="s">
        <v>698</v>
      </c>
      <c r="B1556" s="0" t="s">
        <v>86</v>
      </c>
      <c r="C1556" s="38" t="n">
        <f aca="false">Sens!$C$1545*Sens!$C$1553</f>
        <v>41.0683128828457</v>
      </c>
      <c r="D1556" s="38" t="n">
        <f aca="false">Sens!$D$1545*Sens!$D$1553</f>
        <v>49.7441234599175</v>
      </c>
      <c r="E1556" s="38" t="n">
        <f aca="false">Sens!$E$1545*Sens!$E$1553</f>
        <v>27.0034224924414</v>
      </c>
      <c r="F1556" s="38" t="n">
        <f aca="false">Sens!$F$1545*Sens!$F$1553</f>
        <v>33.1439448330513</v>
      </c>
      <c r="G1556" s="38" t="n">
        <f aca="false">Sens!$G$1545*Sens!$G$1553</f>
        <v>60.164183844083</v>
      </c>
      <c r="H1556" s="38" t="n">
        <f aca="false">Sens!$H$1545*Sens!$H$1553</f>
        <v>72.2301766552629</v>
      </c>
      <c r="I1556" s="38" t="n">
        <f aca="false">Sens!$I$1545*Sens!$I$1553</f>
        <v>84.2950764463991</v>
      </c>
      <c r="J1556" s="38" t="n">
        <f aca="false">Sens!$J$1545*Sens!$J$1553</f>
        <v>95.5499047729386</v>
      </c>
      <c r="K1556" s="38" t="n">
        <f aca="false">Sens!$K$1545*Sens!$K$1553</f>
        <v>105.104895250232</v>
      </c>
      <c r="L1556" s="38" t="n">
        <f aca="false">Sens!$L$1545*Sens!$L$1553</f>
        <v>115.615384775256</v>
      </c>
      <c r="M1556" s="38" t="n">
        <f aca="false">Sens!$M$1545*Sens!$M$1553</f>
        <v>127.176923252781</v>
      </c>
      <c r="N1556" s="38" t="n">
        <f aca="false">Sens!$N$1545*Sens!$N$1553</f>
        <v>21.7087111412496</v>
      </c>
      <c r="O1556" s="38" t="n">
        <f aca="false">Sens!$O$1545*Sens!$O$1553</f>
        <v>28.0189463642798</v>
      </c>
      <c r="P1556" s="5" t="s">
        <v>699</v>
      </c>
    </row>
    <row r="1557" customFormat="false" ht="15" hidden="false" customHeight="false" outlineLevel="0" collapsed="false">
      <c r="A1557" s="5" t="s">
        <v>700</v>
      </c>
      <c r="B1557" s="0" t="s">
        <v>86</v>
      </c>
      <c r="C1557" s="38" t="n">
        <f aca="false">Sens!$C$1545-Sens!$C$1556</f>
        <v>15.1456871171543</v>
      </c>
      <c r="D1557" s="38" t="n">
        <f aca="false">Sens!$D$1545-Sens!$D$1556</f>
        <v>18.8908765400825</v>
      </c>
      <c r="E1557" s="38" t="n">
        <f aca="false">Sens!$E$1545-Sens!$E$1556</f>
        <v>10.0485775075586</v>
      </c>
      <c r="F1557" s="38" t="n">
        <f aca="false">Sens!$F$1545-Sens!$F$1556</f>
        <v>13.0132771613635</v>
      </c>
      <c r="G1557" s="38" t="n">
        <f aca="false">Sens!$G$1545-Sens!$G$1556</f>
        <v>23.0450381503318</v>
      </c>
      <c r="H1557" s="38" t="n">
        <f aca="false">Sens!$H$1545-Sens!$H$1556</f>
        <v>27.6667457326347</v>
      </c>
      <c r="I1557" s="38" t="n">
        <f aca="false">Sens!$I$1545-Sens!$I$1556</f>
        <v>32.2880346490971</v>
      </c>
      <c r="J1557" s="38" t="n">
        <f aca="false">Sens!$J$1545-Sens!$J$1556</f>
        <v>36.5990371690132</v>
      </c>
      <c r="K1557" s="38" t="n">
        <f aca="false">Sens!$K$1545-Sens!$K$1556</f>
        <v>40.2589408859145</v>
      </c>
      <c r="L1557" s="38" t="n">
        <f aca="false">Sens!$L$1545-Sens!$L$1556</f>
        <v>44.2848349745059</v>
      </c>
      <c r="M1557" s="38" t="n">
        <f aca="false">Sens!$M$1545-Sens!$M$1556</f>
        <v>48.7133184719565</v>
      </c>
      <c r="N1557" s="38" t="n">
        <f aca="false">Sens!$N$1545-Sens!$N$1556</f>
        <v>7.90628885875037</v>
      </c>
      <c r="O1557" s="38" t="n">
        <f aca="false">Sens!$O$1545-Sens!$O$1556</f>
        <v>11.0010536357202</v>
      </c>
    </row>
    <row r="1558" customFormat="false" ht="19.4" hidden="false" customHeight="false" outlineLevel="0" collapsed="false">
      <c r="A1558" s="31" t="s">
        <v>1183</v>
      </c>
    </row>
    <row r="1559" customFormat="false" ht="17.15" hidden="false" customHeight="false" outlineLevel="0" collapsed="false">
      <c r="A1559" s="6" t="s">
        <v>16</v>
      </c>
      <c r="B1559" s="6" t="s">
        <v>17</v>
      </c>
      <c r="C1559" s="20" t="s">
        <v>504</v>
      </c>
      <c r="D1559" s="20" t="s">
        <v>505</v>
      </c>
      <c r="E1559" s="20" t="s">
        <v>587</v>
      </c>
      <c r="F1559" s="20" t="s">
        <v>588</v>
      </c>
      <c r="G1559" s="20" t="s">
        <v>589</v>
      </c>
      <c r="H1559" s="20" t="s">
        <v>590</v>
      </c>
      <c r="I1559" s="20" t="s">
        <v>591</v>
      </c>
      <c r="J1559" s="20" t="s">
        <v>592</v>
      </c>
      <c r="K1559" s="20" t="s">
        <v>593</v>
      </c>
      <c r="L1559" s="20" t="s">
        <v>594</v>
      </c>
      <c r="M1559" s="20" t="s">
        <v>595</v>
      </c>
      <c r="N1559" s="20" t="s">
        <v>596</v>
      </c>
      <c r="O1559" s="20" t="s">
        <v>597</v>
      </c>
      <c r="P1559" s="6" t="s">
        <v>23</v>
      </c>
      <c r="R1559" s="20" t="n">
        <v>2023</v>
      </c>
      <c r="S1559" s="20" t="n">
        <v>2024</v>
      </c>
      <c r="T1559" s="20" t="n">
        <v>2025</v>
      </c>
      <c r="U1559" s="20" t="n">
        <v>2026</v>
      </c>
      <c r="V1559" s="20" t="n">
        <v>2027</v>
      </c>
      <c r="W1559" s="20" t="n">
        <v>2028</v>
      </c>
      <c r="X1559" s="20" t="n">
        <v>2029</v>
      </c>
      <c r="Y1559" s="20" t="n">
        <v>2030</v>
      </c>
      <c r="Z1559" s="20" t="n">
        <v>2031</v>
      </c>
      <c r="AA1559" s="20" t="n">
        <v>2032</v>
      </c>
    </row>
    <row r="1560" customFormat="false" ht="17.15" hidden="false" customHeight="false" outlineLevel="0" collapsed="false">
      <c r="A1560" s="1" t="s">
        <v>598</v>
      </c>
    </row>
    <row r="1561" customFormat="false" ht="17.15" hidden="false" customHeight="false" outlineLevel="0" collapsed="false">
      <c r="A1561" s="5" t="s">
        <v>599</v>
      </c>
      <c r="B1561" s="0" t="s">
        <v>144</v>
      </c>
      <c r="H1561" s="32" t="n">
        <f aca="false">(pace_B*1.25)</f>
        <v>4542.875</v>
      </c>
      <c r="I1561" s="32" t="n">
        <f aca="false">(pace_B*1.25)</f>
        <v>4542.875</v>
      </c>
      <c r="J1561" s="32" t="n">
        <f aca="false">(pace_B*1.25)</f>
        <v>4542.875</v>
      </c>
      <c r="K1561" s="32" t="n">
        <f aca="false">(pace_B*1.25)+(Sens!$J$1562*tg-(pace_B*1.25))*1/3</f>
        <v>3208.38395833333</v>
      </c>
      <c r="L1561" s="32" t="n">
        <f aca="false">(pace_B*1.25)+(Sens!$J$1562*tg-(pace_B*1.25))*2/3</f>
        <v>1873.89291666667</v>
      </c>
      <c r="M1561" s="32" t="n">
        <f aca="false">(pace_B*1.25)+(Sens!$J$1562*tg-(pace_B*1.25))*3/3</f>
        <v>539.401875</v>
      </c>
      <c r="P1561" s="5" t="s">
        <v>600</v>
      </c>
    </row>
    <row r="1562" customFormat="false" ht="17.15" hidden="false" customHeight="false" outlineLevel="0" collapsed="false">
      <c r="A1562" s="15" t="s">
        <v>601</v>
      </c>
      <c r="B1562" s="14" t="s">
        <v>129</v>
      </c>
      <c r="C1562" s="33" t="n">
        <f aca="false">mw_ye24</f>
        <v>360</v>
      </c>
      <c r="D1562" s="33" t="n">
        <f aca="false">mw_ye25</f>
        <v>1440</v>
      </c>
      <c r="E1562" s="33" t="n">
        <f aca="false">mw_open</f>
        <v>2080</v>
      </c>
      <c r="F1562" s="33" t="n">
        <f aca="false">Sens!$E$1562+(pace_B*1.25)*0.5</f>
        <v>4351.4375</v>
      </c>
      <c r="G1562" s="33" t="n">
        <f aca="false">Sens!$F$1562</f>
        <v>4351.4375</v>
      </c>
      <c r="H1562" s="33" t="n">
        <f aca="false">Sens!$G$1562+Sens!$H$1561</f>
        <v>8894.3125</v>
      </c>
      <c r="I1562" s="33" t="n">
        <f aca="false">Sens!$H$1562+Sens!$I$1561</f>
        <v>13437.1875</v>
      </c>
      <c r="J1562" s="33" t="n">
        <f aca="false">Sens!$I$1562+Sens!$J$1561</f>
        <v>17980.0625</v>
      </c>
      <c r="K1562" s="33" t="n">
        <f aca="false">Sens!$J$1562+Sens!$K$1561</f>
        <v>21188.4464583333</v>
      </c>
      <c r="L1562" s="33" t="n">
        <f aca="false">Sens!$K$1562+Sens!$L$1561</f>
        <v>23062.339375</v>
      </c>
      <c r="M1562" s="33" t="n">
        <f aca="false">Sens!$L$1562+Sens!$M$1561</f>
        <v>23601.74125</v>
      </c>
      <c r="N1562" s="33" t="n">
        <f aca="false">(mw_ye24+mw_ye25)/2</f>
        <v>900</v>
      </c>
      <c r="O1562" s="33" t="n">
        <f aca="false">mw_ye25</f>
        <v>1440</v>
      </c>
      <c r="P1562" s="5" t="s">
        <v>602</v>
      </c>
    </row>
    <row r="1563" customFormat="false" ht="17.15" hidden="false" customHeight="false" outlineLevel="0" collapsed="false">
      <c r="A1563" s="5" t="s">
        <v>603</v>
      </c>
      <c r="B1563" s="0" t="s">
        <v>129</v>
      </c>
      <c r="C1563" s="32" t="n">
        <f aca="false">(mw_ye23+mw_ye24)/2</f>
        <v>240</v>
      </c>
      <c r="D1563" s="32" t="n">
        <f aca="false">(Sens!$C$1562+Sens!$D$1562)/2</f>
        <v>900</v>
      </c>
      <c r="E1563" s="32" t="n">
        <f aca="false">(Sens!$D$1562+Sens!$E$1562)/2</f>
        <v>1760</v>
      </c>
      <c r="F1563" s="32" t="n">
        <f aca="false">(Sens!$E$1562+Sens!$F$1562)/2</f>
        <v>3215.71875</v>
      </c>
      <c r="G1563" s="32" t="n">
        <f aca="false">(Sens!$E$1563+Sens!$F$1563)/2</f>
        <v>2487.859375</v>
      </c>
      <c r="H1563" s="32" t="n">
        <f aca="false">(Sens!$G$1562+Sens!$H$1562)/2</f>
        <v>6622.875</v>
      </c>
      <c r="I1563" s="32" t="n">
        <f aca="false">(Sens!$H$1562+Sens!$I$1562)/2</f>
        <v>11165.75</v>
      </c>
      <c r="J1563" s="32" t="n">
        <f aca="false">(Sens!$I$1562+Sens!$J$1562)/2</f>
        <v>15708.625</v>
      </c>
      <c r="K1563" s="32" t="n">
        <f aca="false">(Sens!$J$1562+Sens!$K$1562)/2</f>
        <v>19584.2544791667</v>
      </c>
      <c r="L1563" s="32" t="n">
        <f aca="false">(Sens!$K$1562+Sens!$L$1562)/2</f>
        <v>22125.3929166667</v>
      </c>
      <c r="M1563" s="32" t="n">
        <f aca="false">(Sens!$L$1562+Sens!$M$1562)/2</f>
        <v>23332.0403125</v>
      </c>
      <c r="N1563" s="32" t="n">
        <f aca="false">(Sens!$C$1562+Sens!$N$1562)/2</f>
        <v>630</v>
      </c>
      <c r="O1563" s="32" t="n">
        <f aca="false">(Sens!$N$1562+Sens!$O$1562)/2</f>
        <v>1170</v>
      </c>
    </row>
    <row r="1564" customFormat="false" ht="15" hidden="false" customHeight="false" outlineLevel="0" collapsed="false">
      <c r="A1564" s="5" t="s">
        <v>604</v>
      </c>
      <c r="B1564" s="5" t="s">
        <v>123</v>
      </c>
      <c r="C1564" s="34" t="n">
        <v>1</v>
      </c>
      <c r="D1564" s="34" t="n">
        <v>1</v>
      </c>
      <c r="E1564" s="34" t="n">
        <v>0.5</v>
      </c>
      <c r="F1564" s="34" t="n">
        <v>0.5</v>
      </c>
      <c r="G1564" s="34" t="n">
        <v>1</v>
      </c>
      <c r="H1564" s="34" t="n">
        <v>1</v>
      </c>
      <c r="I1564" s="34" t="n">
        <v>1</v>
      </c>
      <c r="J1564" s="34" t="n">
        <v>1</v>
      </c>
      <c r="K1564" s="34" t="n">
        <v>1</v>
      </c>
      <c r="L1564" s="34" t="n">
        <v>1</v>
      </c>
      <c r="M1564" s="34" t="n">
        <v>1</v>
      </c>
      <c r="N1564" s="34" t="n">
        <v>0.5</v>
      </c>
      <c r="O1564" s="34" t="n">
        <v>0.5</v>
      </c>
    </row>
    <row r="1565" customFormat="false" ht="17.15" hidden="false" customHeight="false" outlineLevel="0" collapsed="false">
      <c r="A1565" s="5" t="s">
        <v>605</v>
      </c>
      <c r="B1565" s="0" t="s">
        <v>129</v>
      </c>
      <c r="C1565" s="32" t="n">
        <f aca="false">Sens!$C$1562-mw_ye23</f>
        <v>240</v>
      </c>
      <c r="D1565" s="32" t="n">
        <f aca="false">Sens!$D$1562-Sens!$C$1562</f>
        <v>1080</v>
      </c>
      <c r="E1565" s="32" t="n">
        <f aca="false">Sens!$E$1562-Sens!$D$1562</f>
        <v>640</v>
      </c>
      <c r="F1565" s="32" t="n">
        <f aca="false">Sens!$F$1562-Sens!$E$1562</f>
        <v>2271.4375</v>
      </c>
      <c r="G1565" s="32" t="n">
        <f aca="false">Sens!$E$1565+Sens!$F$1565</f>
        <v>2911.4375</v>
      </c>
      <c r="H1565" s="32" t="n">
        <f aca="false">Sens!$H$1562-Sens!$G$1562</f>
        <v>4542.875</v>
      </c>
      <c r="I1565" s="32" t="n">
        <f aca="false">Sens!$I$1562-Sens!$H$1562</f>
        <v>4542.875</v>
      </c>
      <c r="J1565" s="32" t="n">
        <f aca="false">Sens!$J$1562-Sens!$I$1562</f>
        <v>4542.875</v>
      </c>
      <c r="K1565" s="32" t="n">
        <f aca="false">Sens!$K$1562-Sens!$J$1562</f>
        <v>3208.38395833333</v>
      </c>
      <c r="L1565" s="32" t="n">
        <f aca="false">Sens!$L$1562-Sens!$K$1562</f>
        <v>1873.89291666667</v>
      </c>
      <c r="M1565" s="32" t="n">
        <f aca="false">Sens!$M$1562-Sens!$L$1562</f>
        <v>539.401875</v>
      </c>
      <c r="N1565" s="32" t="n">
        <f aca="false">Sens!$N$1562-Sens!$C$1562</f>
        <v>540</v>
      </c>
      <c r="O1565" s="32" t="n">
        <f aca="false">Sens!$O$1562-Sens!$N$1562</f>
        <v>540</v>
      </c>
    </row>
    <row r="1566" customFormat="false" ht="17.15" hidden="false" customHeight="false" outlineLevel="0" collapsed="false">
      <c r="A1566" s="5" t="s">
        <v>606</v>
      </c>
      <c r="B1566" s="0" t="s">
        <v>129</v>
      </c>
      <c r="C1566" s="32" t="n">
        <f aca="false">Sens!$C$1565/ext_sh</f>
        <v>300</v>
      </c>
      <c r="D1566" s="32" t="n">
        <f aca="false">Sens!$D$1565/ext_sh</f>
        <v>1350</v>
      </c>
      <c r="E1566" s="32" t="n">
        <f aca="false">Sens!$E$1565/ext_sh</f>
        <v>800</v>
      </c>
      <c r="F1566" s="32" t="n">
        <f aca="false">Sens!$F$1565/ext_sh</f>
        <v>2839.296875</v>
      </c>
      <c r="G1566" s="32" t="n">
        <f aca="false">Sens!$G$1565/ext_sh</f>
        <v>3639.296875</v>
      </c>
      <c r="H1566" s="32" t="n">
        <f aca="false">Sens!$H$1565/ext_sh</f>
        <v>5678.59375</v>
      </c>
      <c r="I1566" s="32" t="n">
        <f aca="false">Sens!$I$1565/ext_sh</f>
        <v>5678.59375</v>
      </c>
      <c r="J1566" s="32" t="n">
        <f aca="false">Sens!$J$1565/ext_sh</f>
        <v>5678.59375</v>
      </c>
      <c r="K1566" s="32" t="n">
        <f aca="false">Sens!$K$1565/ext_sh</f>
        <v>4010.47994791667</v>
      </c>
      <c r="L1566" s="32" t="n">
        <f aca="false">Sens!$L$1565/ext_sh</f>
        <v>2342.36614583333</v>
      </c>
      <c r="M1566" s="32" t="n">
        <f aca="false">Sens!$M$1565/ext_sh</f>
        <v>674.25234375</v>
      </c>
      <c r="N1566" s="32" t="n">
        <f aca="false">Sens!$N$1565/ext_sh</f>
        <v>675</v>
      </c>
      <c r="O1566" s="32" t="n">
        <f aca="false">Sens!$O$1565/ext_sh</f>
        <v>675</v>
      </c>
      <c r="P1566" s="8" t="s">
        <v>607</v>
      </c>
      <c r="R1566" s="32" t="n">
        <f aca="false">mw_ye23/ext_sh</f>
        <v>150</v>
      </c>
      <c r="S1566" s="32" t="n">
        <f aca="false">Sens!$C$1566</f>
        <v>300</v>
      </c>
      <c r="T1566" s="32" t="n">
        <f aca="false">Sens!$D$1566</f>
        <v>1350</v>
      </c>
      <c r="U1566" s="32" t="n">
        <f aca="false">Sens!$G$1566</f>
        <v>3639.296875</v>
      </c>
      <c r="V1566" s="32" t="n">
        <f aca="false">Sens!$H$1566</f>
        <v>5678.59375</v>
      </c>
      <c r="W1566" s="32" t="n">
        <f aca="false">Sens!$I$1566</f>
        <v>5678.59375</v>
      </c>
      <c r="X1566" s="32" t="n">
        <f aca="false">Sens!$J$1566</f>
        <v>5678.59375</v>
      </c>
      <c r="Y1566" s="32" t="n">
        <f aca="false">Sens!$K$1566</f>
        <v>4010.47994791667</v>
      </c>
      <c r="Z1566" s="32" t="n">
        <f aca="false">Sens!$L$1566</f>
        <v>2342.36614583333</v>
      </c>
      <c r="AA1566" s="32" t="n">
        <f aca="false">Sens!$M$1566</f>
        <v>674.25234375</v>
      </c>
    </row>
    <row r="1567" customFormat="false" ht="17.15" hidden="false" customHeight="false" outlineLevel="0" collapsed="false">
      <c r="A1567" s="1" t="s">
        <v>608</v>
      </c>
    </row>
    <row r="1568" customFormat="false" ht="17.15" hidden="false" customHeight="false" outlineLevel="0" collapsed="false">
      <c r="A1568" s="0" t="s">
        <v>609</v>
      </c>
      <c r="B1568" s="0" t="s">
        <v>52</v>
      </c>
      <c r="F1568" s="35" t="n">
        <f aca="false">na_vr26</f>
        <v>0</v>
      </c>
      <c r="G1568" s="35" t="n">
        <f aca="false">na_vr26</f>
        <v>0</v>
      </c>
      <c r="H1568" s="35" t="n">
        <f aca="false">na_vr27</f>
        <v>0.5</v>
      </c>
      <c r="I1568" s="35" t="n">
        <f aca="false">na_vr28</f>
        <v>1</v>
      </c>
      <c r="J1568" s="35" t="n">
        <f aca="false">na_vr28</f>
        <v>1</v>
      </c>
      <c r="K1568" s="35" t="n">
        <f aca="false">na_vr28</f>
        <v>1</v>
      </c>
      <c r="L1568" s="35" t="n">
        <f aca="false">na_vr28</f>
        <v>1</v>
      </c>
      <c r="M1568" s="35" t="n">
        <f aca="false">na_vr28</f>
        <v>1</v>
      </c>
    </row>
    <row r="1569" customFormat="false" ht="17.15" hidden="false" customHeight="false" outlineLevel="0" collapsed="false">
      <c r="A1569" s="5" t="s">
        <v>610</v>
      </c>
      <c r="B1569" s="0" t="s">
        <v>173</v>
      </c>
      <c r="F1569" s="36" t="n">
        <f aca="false">cust_sh*tk_he_gb300*cf_chip+(1-cust_sh)*((1-Sens!$F$1568)*tk_he_gb300+Sens!$F$1568*tk_he_vr200)</f>
        <v>10.8864110021101</v>
      </c>
      <c r="G1569" s="36" t="n">
        <f aca="false">cust_sh*tk_he_gb300*cf_chip+(1-cust_sh)*((1-Sens!$G$1568)*tk_he_gb300+Sens!$G$1568*tk_he_vr200)</f>
        <v>10.8864110021101</v>
      </c>
      <c r="H1569" s="36" t="n">
        <f aca="false">cust_sh*tk_he_gb300*cf_chip+(1-cust_sh)*((1-Sens!$H$1568)*tk_he_gb300+Sens!$H$1568*tk_he_vr200)</f>
        <v>11.2211760027286</v>
      </c>
      <c r="I1569" s="36" t="n">
        <f aca="false">cust_sh*tk_he_gb300*cf_chip+(1-cust_sh)*((1-Sens!$I$1568)*tk_he_gb300+Sens!$I$1568*tk_he_vr200)</f>
        <v>11.5559410033471</v>
      </c>
      <c r="J1569" s="36" t="n">
        <f aca="false">cust_sh*tk_he_gb300*cf_chip+(1-cust_sh)*((1-Sens!$J$1568)*tk_he_gb300+Sens!$J$1568*tk_he_vr200)</f>
        <v>11.5559410033471</v>
      </c>
      <c r="K1569" s="36" t="n">
        <f aca="false">cust_sh*tk_he_gb300*cf_chip+(1-cust_sh)*((1-Sens!$K$1568)*tk_he_gb300+Sens!$K$1568*tk_he_vr200)</f>
        <v>11.5559410033471</v>
      </c>
      <c r="L1569" s="36" t="n">
        <f aca="false">cust_sh*tk_he_gb300*cf_chip+(1-cust_sh)*((1-Sens!$L$1568)*tk_he_gb300+Sens!$L$1568*tk_he_vr200)</f>
        <v>11.5559410033471</v>
      </c>
      <c r="M1569" s="36" t="n">
        <f aca="false">cust_sh*tk_he_gb300*cf_chip+(1-cust_sh)*((1-Sens!$M$1568)*tk_he_gb300+Sens!$M$1568*tk_he_vr200)</f>
        <v>11.5559410033471</v>
      </c>
    </row>
    <row r="1570" customFormat="false" ht="17.15" hidden="false" customHeight="false" outlineLevel="0" collapsed="false">
      <c r="A1570" s="5" t="s">
        <v>611</v>
      </c>
      <c r="B1570" s="0" t="s">
        <v>173</v>
      </c>
      <c r="F1570" s="36" t="n">
        <f aca="false">cust_sh*tk_ox_gb300+(1-cust_sh)*((1-Sens!$F$1568)*tk_ox_gb300+Sens!$F$1568*tk_ox_vr200)</f>
        <v>1.98263481314457</v>
      </c>
      <c r="G1570" s="36" t="n">
        <f aca="false">cust_sh*tk_ox_gb300+(1-cust_sh)*((1-Sens!$G$1568)*tk_ox_gb300+Sens!$G$1568*tk_ox_vr200)</f>
        <v>1.98263481314457</v>
      </c>
      <c r="H1570" s="36" t="n">
        <f aca="false">cust_sh*tk_ox_gb300+(1-cust_sh)*((1-Sens!$H$1568)*tk_ox_gb300+Sens!$H$1568*tk_ox_vr200)</f>
        <v>2.01034999693694</v>
      </c>
      <c r="I1570" s="36" t="n">
        <f aca="false">cust_sh*tk_ox_gb300+(1-cust_sh)*((1-Sens!$I$1568)*tk_ox_gb300+Sens!$I$1568*tk_ox_vr200)</f>
        <v>2.0380651807293</v>
      </c>
      <c r="J1570" s="36" t="n">
        <f aca="false">cust_sh*tk_ox_gb300+(1-cust_sh)*((1-Sens!$J$1568)*tk_ox_gb300+Sens!$J$1568*tk_ox_vr200)</f>
        <v>2.0380651807293</v>
      </c>
      <c r="K1570" s="36" t="n">
        <f aca="false">cust_sh*tk_ox_gb300+(1-cust_sh)*((1-Sens!$K$1568)*tk_ox_gb300+Sens!$K$1568*tk_ox_vr200)</f>
        <v>2.0380651807293</v>
      </c>
      <c r="L1570" s="36" t="n">
        <f aca="false">cust_sh*tk_ox_gb300+(1-cust_sh)*((1-Sens!$L$1568)*tk_ox_gb300+Sens!$L$1568*tk_ox_vr200)</f>
        <v>2.0380651807293</v>
      </c>
      <c r="M1570" s="36" t="n">
        <f aca="false">cust_sh*tk_ox_gb300+(1-cust_sh)*((1-Sens!$M$1568)*tk_ox_gb300+Sens!$M$1568*tk_ox_vr200)</f>
        <v>2.0380651807293</v>
      </c>
    </row>
    <row r="1571" customFormat="false" ht="17.15" hidden="false" customHeight="false" outlineLevel="0" collapsed="false">
      <c r="A1571" s="5" t="s">
        <v>612</v>
      </c>
      <c r="B1571" s="0" t="s">
        <v>192</v>
      </c>
      <c r="F1571" s="36" t="n">
        <f aca="false">cust_sh*tk_cx_gb300*cf_cx+(1-cust_sh)*((1-Sens!$F$1568)*tk_cx_gb300+Sens!$F$1568*tk_cx_vr200)</f>
        <v>32.237224</v>
      </c>
      <c r="G1571" s="36" t="n">
        <f aca="false">cust_sh*tk_cx_gb300*cf_cx+(1-cust_sh)*((1-Sens!$G$1568)*tk_cx_gb300+Sens!$G$1568*tk_cx_vr200)</f>
        <v>32.237224</v>
      </c>
      <c r="H1571" s="36" t="n">
        <f aca="false">cust_sh*tk_cx_gb300*cf_cx+(1-cust_sh)*((1-Sens!$H$1568)*tk_cx_gb300+Sens!$H$1568*tk_cx_vr200)</f>
        <v>33.574506</v>
      </c>
      <c r="I1571" s="36" t="n">
        <f aca="false">cust_sh*tk_cx_gb300*cf_cx+(1-cust_sh)*((1-Sens!$I$1568)*tk_cx_gb300+Sens!$I$1568*tk_cx_vr200)</f>
        <v>34.911788</v>
      </c>
      <c r="J1571" s="36" t="n">
        <f aca="false">cust_sh*tk_cx_gb300*cf_cx+(1-cust_sh)*((1-Sens!$J$1568)*tk_cx_gb300+Sens!$J$1568*tk_cx_vr200)</f>
        <v>34.911788</v>
      </c>
      <c r="K1571" s="36" t="n">
        <f aca="false">cust_sh*tk_cx_gb300*cf_cx+(1-cust_sh)*((1-Sens!$K$1568)*tk_cx_gb300+Sens!$K$1568*tk_cx_vr200)</f>
        <v>34.911788</v>
      </c>
      <c r="L1571" s="36" t="n">
        <f aca="false">cust_sh*tk_cx_gb300*cf_cx+(1-cust_sh)*((1-Sens!$L$1568)*tk_cx_gb300+Sens!$L$1568*tk_cx_vr200)</f>
        <v>34.911788</v>
      </c>
      <c r="M1571" s="36" t="n">
        <f aca="false">cust_sh*tk_cx_gb300*cf_cx+(1-cust_sh)*((1-Sens!$M$1568)*tk_cx_gb300+Sens!$M$1568*tk_cx_vr200)</f>
        <v>34.911788</v>
      </c>
    </row>
    <row r="1572" customFormat="false" ht="17.15" hidden="false" customHeight="false" outlineLevel="0" collapsed="false">
      <c r="A1572" s="5" t="s">
        <v>613</v>
      </c>
      <c r="B1572" s="0" t="s">
        <v>129</v>
      </c>
      <c r="F1572" s="32" t="n">
        <f aca="false">Sens!$F$1562-mw_open</f>
        <v>2271.4375</v>
      </c>
      <c r="G1572" s="32" t="n">
        <f aca="false">Sens!$F$1572</f>
        <v>2271.4375</v>
      </c>
      <c r="H1572" s="32" t="n">
        <f aca="false">Sens!$H$1562-mw_open</f>
        <v>6814.3125</v>
      </c>
      <c r="I1572" s="32" t="n">
        <f aca="false">Sens!$I$1562-mw_open</f>
        <v>11357.1875</v>
      </c>
      <c r="J1572" s="32" t="n">
        <f aca="false">Sens!$J$1562-mw_open</f>
        <v>15900.0625</v>
      </c>
      <c r="K1572" s="32" t="n">
        <f aca="false">Sens!$K$1562-mw_open</f>
        <v>19108.4464583333</v>
      </c>
      <c r="L1572" s="32" t="n">
        <f aca="false">Sens!$L$1562-mw_open</f>
        <v>20982.339375</v>
      </c>
      <c r="M1572" s="32" t="n">
        <f aca="false">Sens!$M$1562-mw_open</f>
        <v>21521.74125</v>
      </c>
    </row>
    <row r="1573" customFormat="false" ht="17.15" hidden="false" customHeight="false" outlineLevel="0" collapsed="false">
      <c r="A1573" s="0" t="s">
        <v>614</v>
      </c>
      <c r="B1573" s="0" t="s">
        <v>615</v>
      </c>
      <c r="F1573" s="32" t="n">
        <f aca="false">Sens!$F$1565*Sens!$F$1569</f>
        <v>24727.8021906055</v>
      </c>
      <c r="G1573" s="32" t="n">
        <f aca="false">Sens!$F$1573</f>
        <v>24727.8021906055</v>
      </c>
      <c r="H1573" s="32" t="n">
        <f aca="false">Sens!$G$1573+Sens!$H$1565*Sens!$H$1569</f>
        <v>75704.2021240012</v>
      </c>
      <c r="I1573" s="32" t="n">
        <f aca="false">Sens!$H$1573+Sens!$I$1565*Sens!$I$1569</f>
        <v>128201.397609582</v>
      </c>
      <c r="J1573" s="32" t="n">
        <f aca="false">Sens!$I$1573+Sens!$J$1565*Sens!$J$1569</f>
        <v>180698.593095162</v>
      </c>
      <c r="K1573" s="32" t="n">
        <f aca="false">Sens!$J$1573+Sens!$K$1565*Sens!$K$1569</f>
        <v>217774.488833747</v>
      </c>
      <c r="L1573" s="32" t="n">
        <f aca="false">Sens!$K$1573+Sens!$L$1565*Sens!$L$1569</f>
        <v>239429.084825337</v>
      </c>
      <c r="M1573" s="32" t="n">
        <f aca="false">Sens!$L$1573+Sens!$M$1565*Sens!$M$1569</f>
        <v>245662.381069932</v>
      </c>
    </row>
    <row r="1574" customFormat="false" ht="17.15" hidden="false" customHeight="false" outlineLevel="0" collapsed="false">
      <c r="A1574" s="0" t="s">
        <v>616</v>
      </c>
      <c r="B1574" s="0" t="s">
        <v>615</v>
      </c>
      <c r="F1574" s="32" t="n">
        <f aca="false">Sens!$F$1565*Sens!$F$1570</f>
        <v>4503.43106338207</v>
      </c>
      <c r="G1574" s="32" t="n">
        <f aca="false">Sens!$F$1574</f>
        <v>4503.43106338207</v>
      </c>
      <c r="H1574" s="32" t="n">
        <f aca="false">Sens!$G$1574+Sens!$H$1565*Sens!$H$1570</f>
        <v>13636.1998057169</v>
      </c>
      <c r="I1574" s="32" t="n">
        <f aca="false">Sens!$H$1574+Sens!$I$1565*Sens!$I$1570</f>
        <v>22894.8751636226</v>
      </c>
      <c r="J1574" s="32" t="n">
        <f aca="false">Sens!$I$1574+Sens!$J$1565*Sens!$J$1570</f>
        <v>32153.5505215282</v>
      </c>
      <c r="K1574" s="32" t="n">
        <f aca="false">Sens!$J$1574+Sens!$K$1565*Sens!$K$1570</f>
        <v>38692.4461534178</v>
      </c>
      <c r="L1574" s="32" t="n">
        <f aca="false">Sens!$K$1574+Sens!$L$1565*Sens!$L$1570</f>
        <v>42511.5620592914</v>
      </c>
      <c r="M1574" s="32" t="n">
        <f aca="false">Sens!$L$1574+Sens!$M$1565*Sens!$M$1570</f>
        <v>43610.898239149</v>
      </c>
    </row>
    <row r="1575" customFormat="false" ht="17.15" hidden="false" customHeight="false" outlineLevel="0" collapsed="false">
      <c r="A1575" s="5" t="s">
        <v>617</v>
      </c>
      <c r="B1575" s="0" t="s">
        <v>173</v>
      </c>
      <c r="F1575" s="36" t="n">
        <f aca="false">IF(Sens!$F$1572&gt;0,Sens!$F$1573/Sens!$F$1572,Sens!$F$1569)</f>
        <v>10.8864110021101</v>
      </c>
      <c r="G1575" s="36" t="n">
        <f aca="false">IF(Sens!$G$1572&gt;0,Sens!$G$1573/Sens!$G$1572,Sens!$G$1569)</f>
        <v>10.8864110021101</v>
      </c>
      <c r="H1575" s="36" t="n">
        <f aca="false">IF(Sens!$H$1572&gt;0,Sens!$H$1573/Sens!$H$1572,Sens!$H$1569)</f>
        <v>11.1095876691891</v>
      </c>
      <c r="I1575" s="36" t="n">
        <f aca="false">IF(Sens!$I$1572&gt;0,Sens!$I$1573/Sens!$I$1572,Sens!$I$1569)</f>
        <v>11.2881290028523</v>
      </c>
      <c r="J1575" s="36" t="n">
        <f aca="false">IF(Sens!$J$1572&gt;0,Sens!$J$1573/Sens!$J$1572,Sens!$J$1569)</f>
        <v>11.3646467172794</v>
      </c>
      <c r="K1575" s="36" t="n">
        <f aca="false">IF(Sens!$K$1572&gt;0,Sens!$K$1573/Sens!$K$1572,Sens!$K$1569)</f>
        <v>11.3967657867223</v>
      </c>
      <c r="L1575" s="36" t="n">
        <f aca="false">IF(Sens!$L$1572&gt;0,Sens!$L$1573/Sens!$L$1572,Sens!$L$1569)</f>
        <v>11.4109814232922</v>
      </c>
      <c r="M1575" s="36" t="n">
        <f aca="false">IF(Sens!$M$1572&gt;0,Sens!$M$1573/Sens!$M$1572,Sens!$M$1569)</f>
        <v>11.4146145619111</v>
      </c>
    </row>
    <row r="1576" customFormat="false" ht="17.15" hidden="false" customHeight="false" outlineLevel="0" collapsed="false">
      <c r="A1576" s="5" t="s">
        <v>618</v>
      </c>
      <c r="B1576" s="0" t="s">
        <v>173</v>
      </c>
      <c r="F1576" s="36" t="n">
        <f aca="false">IF(Sens!$F$1572&gt;0,Sens!$F$1574/Sens!$F$1572,Sens!$F$1570)</f>
        <v>1.98263481314457</v>
      </c>
      <c r="G1576" s="36" t="n">
        <f aca="false">IF(Sens!$G$1572&gt;0,Sens!$G$1574/Sens!$G$1572,Sens!$G$1570)</f>
        <v>1.98263481314457</v>
      </c>
      <c r="H1576" s="36" t="n">
        <f aca="false">IF(Sens!$H$1572&gt;0,Sens!$H$1574/Sens!$H$1572,Sens!$H$1570)</f>
        <v>2.00111160233948</v>
      </c>
      <c r="I1576" s="36" t="n">
        <f aca="false">IF(Sens!$I$1572&gt;0,Sens!$I$1574/Sens!$I$1572,Sens!$I$1570)</f>
        <v>2.01589303369541</v>
      </c>
      <c r="J1576" s="36" t="n">
        <f aca="false">IF(Sens!$J$1572&gt;0,Sens!$J$1574/Sens!$J$1572,Sens!$J$1570)</f>
        <v>2.02222793284795</v>
      </c>
      <c r="K1576" s="36" t="n">
        <f aca="false">IF(Sens!$K$1572&gt;0,Sens!$K$1574/Sens!$K$1572,Sens!$K$1570)</f>
        <v>2.02488706958926</v>
      </c>
      <c r="L1576" s="36" t="n">
        <f aca="false">IF(Sens!$L$1572&gt;0,Sens!$L$1574/Sens!$L$1572,Sens!$L$1570)</f>
        <v>2.02606398169038</v>
      </c>
      <c r="M1576" s="36" t="n">
        <f aca="false">IF(Sens!$M$1572&gt;0,Sens!$M$1574/Sens!$M$1572,Sens!$M$1570)</f>
        <v>2.0263647691215</v>
      </c>
    </row>
    <row r="1577" customFormat="false" ht="17.15" hidden="false" customHeight="false" outlineLevel="0" collapsed="false">
      <c r="A1577" s="15" t="s">
        <v>619</v>
      </c>
      <c r="B1577" s="14" t="s">
        <v>173</v>
      </c>
      <c r="C1577" s="14"/>
      <c r="D1577" s="14"/>
      <c r="E1577" s="14"/>
      <c r="F1577" s="37" t="n">
        <f aca="false">Sens!$F$1575*k_B</f>
        <v>10.7987645808025</v>
      </c>
      <c r="G1577" s="37" t="n">
        <f aca="false">Sens!$G$1575*k_B</f>
        <v>10.7987645808025</v>
      </c>
      <c r="H1577" s="37" t="n">
        <f aca="false">Sens!$H$1575*k_B</f>
        <v>11.0201444540452</v>
      </c>
      <c r="I1577" s="37" t="n">
        <f aca="false">Sens!$I$1575*k_B</f>
        <v>11.1972483526393</v>
      </c>
      <c r="J1577" s="37" t="n">
        <f aca="false">Sens!$J$1575*k_B</f>
        <v>11.2731500234653</v>
      </c>
      <c r="K1577" s="37" t="n">
        <f aca="false">Sens!$K$1575*k_B</f>
        <v>11.3050105024974</v>
      </c>
      <c r="L1577" s="37" t="n">
        <f aca="false">Sens!$L$1575*k_B</f>
        <v>11.3191116890736</v>
      </c>
      <c r="M1577" s="37" t="n">
        <f aca="false">Sens!$M$1575*k_B</f>
        <v>11.322715577318</v>
      </c>
      <c r="N1577" s="14"/>
      <c r="O1577" s="14"/>
      <c r="P1577" s="5" t="s">
        <v>620</v>
      </c>
    </row>
    <row r="1578" customFormat="false" ht="17.15" hidden="false" customHeight="false" outlineLevel="0" collapsed="false">
      <c r="A1578" s="5" t="s">
        <v>621</v>
      </c>
      <c r="B1578" s="0" t="s">
        <v>129</v>
      </c>
      <c r="F1578" s="32" t="n">
        <f aca="false">Sens!$F$1572/2</f>
        <v>1135.71875</v>
      </c>
      <c r="H1578" s="32" t="n">
        <f aca="false">(Sens!$G$1572+Sens!$H$1572)/2</f>
        <v>4542.875</v>
      </c>
      <c r="I1578" s="32" t="n">
        <f aca="false">(Sens!$H$1572+Sens!$I$1572)/2</f>
        <v>9085.75</v>
      </c>
      <c r="J1578" s="32" t="n">
        <f aca="false">(Sens!$I$1572+Sens!$J$1572)/2</f>
        <v>13628.625</v>
      </c>
      <c r="K1578" s="32" t="n">
        <f aca="false">(Sens!$J$1572+Sens!$K$1572)/2</f>
        <v>17504.2544791667</v>
      </c>
      <c r="L1578" s="32" t="n">
        <f aca="false">(Sens!$K$1572+Sens!$L$1572)/2</f>
        <v>20045.3929166667</v>
      </c>
      <c r="M1578" s="32" t="n">
        <f aca="false">(Sens!$L$1572+Sens!$M$1572)/2</f>
        <v>21252.0403125</v>
      </c>
    </row>
    <row r="1579" customFormat="false" ht="17.15" hidden="false" customHeight="false" outlineLevel="0" collapsed="false">
      <c r="A1579" s="1" t="s">
        <v>622</v>
      </c>
    </row>
    <row r="1580" customFormat="false" ht="17.15" hidden="false" customHeight="false" outlineLevel="0" collapsed="false">
      <c r="A1580" s="1" t="s">
        <v>623</v>
      </c>
      <c r="B1580" s="8" t="s">
        <v>86</v>
      </c>
      <c r="C1580" s="38" t="n">
        <f aca="false">Sens!$C$1563*rpm_open*Sens!$C$1564/1000</f>
        <v>2.32100535697364</v>
      </c>
      <c r="D1580" s="38" t="n">
        <f aca="false">Sens!$D$1563*rpm_open*Sens!$D$1564/1000</f>
        <v>8.70377008865116</v>
      </c>
      <c r="E1580" s="38" t="n">
        <f aca="false">Sens!$E$1563*rpm_open*Sens!$E$1564/1000</f>
        <v>8.51035297557002</v>
      </c>
      <c r="F1580" s="38" t="n">
        <f aca="false">(mw_open*rpm_open+Sens!$F$1578*Sens!$F$1577)*Sens!$F$1564/1000</f>
        <v>16.1898695858458</v>
      </c>
      <c r="G1580" s="38" t="n">
        <f aca="false">Sens!$E$1580+Sens!$F$1580</f>
        <v>24.7002225614158</v>
      </c>
      <c r="H1580" s="38" t="n">
        <f aca="false">(mw_open*rpm_open+Sens!$H$1578*Sens!$H$1577)/1000</f>
        <v>70.1785184971087</v>
      </c>
      <c r="I1580" s="38" t="n">
        <f aca="false">(mw_open*rpm_open+Sens!$I$1578*Sens!$I$1577)/1000</f>
        <v>121.85077898043</v>
      </c>
      <c r="J1580" s="38" t="n">
        <f aca="false">(mw_open*rpm_open+Sens!$J$1578*Sens!$J$1577)/1000</f>
        <v>173.752913998988</v>
      </c>
      <c r="K1580" s="38" t="n">
        <f aca="false">(mw_open*rpm_open+Sens!$K$1578*Sens!$K$1577)/1000</f>
        <v>218.001160485805</v>
      </c>
      <c r="L1580" s="38" t="n">
        <f aca="false">(mw_open*rpm_open+Sens!$L$1578*Sens!$L$1577)/1000</f>
        <v>247.011421035552</v>
      </c>
      <c r="M1580" s="38" t="n">
        <f aca="false">(mw_open*rpm_open+Sens!$M$1578*Sens!$M$1577)/1000</f>
        <v>260.746187656572</v>
      </c>
      <c r="N1580" s="38" t="n">
        <f aca="false">Sens!$N$1563*rpm_open*Sens!$N$1564/1000</f>
        <v>3.04631953102791</v>
      </c>
      <c r="O1580" s="38" t="n">
        <f aca="false">Sens!$O$1563*rpm_open*Sens!$O$1564/1000</f>
        <v>5.65745055762326</v>
      </c>
      <c r="P1580" s="5" t="s">
        <v>624</v>
      </c>
    </row>
    <row r="1581" customFormat="false" ht="17.15" hidden="false" customHeight="false" outlineLevel="0" collapsed="false">
      <c r="A1581" s="5" t="s">
        <v>625</v>
      </c>
      <c r="B1581" s="0" t="s">
        <v>173</v>
      </c>
      <c r="C1581" s="36" t="n">
        <f aca="false">Sens!$C$1580*1000/(Sens!$C$1563*Sens!$C$1564)</f>
        <v>9.67085565405685</v>
      </c>
      <c r="D1581" s="36" t="n">
        <f aca="false">Sens!$D$1580*1000/(Sens!$D$1563*Sens!$D$1564)</f>
        <v>9.67085565405685</v>
      </c>
      <c r="E1581" s="36" t="n">
        <f aca="false">Sens!$E$1580*1000/(Sens!$E$1563*Sens!$E$1564)</f>
        <v>9.67085565405685</v>
      </c>
      <c r="F1581" s="36" t="n">
        <f aca="false">Sens!$F$1580*1000/(Sens!$F$1563*Sens!$F$1564)</f>
        <v>10.0692074428747</v>
      </c>
      <c r="G1581" s="36" t="n">
        <f aca="false">Sens!$G$1580*1000/(Sens!$G$1563*Sens!$G$1564)</f>
        <v>9.92830334769859</v>
      </c>
      <c r="H1581" s="36" t="n">
        <f aca="false">Sens!$H$1580*1000/(Sens!$H$1563*Sens!$H$1564)</f>
        <v>10.5963827638463</v>
      </c>
      <c r="I1581" s="36" t="n">
        <f aca="false">Sens!$I$1580*1000/(Sens!$I$1563*Sens!$I$1564)</f>
        <v>10.9129058935074</v>
      </c>
      <c r="J1581" s="36" t="n">
        <f aca="false">Sens!$J$1580*1000/(Sens!$J$1563*Sens!$J$1564)</f>
        <v>11.0609880876899</v>
      </c>
      <c r="K1581" s="36" t="n">
        <f aca="false">Sens!$K$1580*1000/(Sens!$K$1563*Sens!$K$1564)</f>
        <v>11.1314505598214</v>
      </c>
      <c r="L1581" s="36" t="n">
        <f aca="false">Sens!$L$1580*1000/(Sens!$L$1563*Sens!$L$1564)</f>
        <v>11.1641597492031</v>
      </c>
      <c r="M1581" s="36" t="n">
        <f aca="false">Sens!$M$1580*1000/(Sens!$M$1563*Sens!$M$1564)</f>
        <v>11.1754559037376</v>
      </c>
      <c r="N1581" s="36" t="n">
        <f aca="false">Sens!$N$1580*1000/(Sens!$N$1563*Sens!$N$1564)</f>
        <v>9.67085565405685</v>
      </c>
      <c r="O1581" s="36" t="n">
        <f aca="false">Sens!$O$1580*1000/(Sens!$O$1563*Sens!$O$1564)</f>
        <v>9.67085565405685</v>
      </c>
    </row>
    <row r="1582" customFormat="false" ht="17.15" hidden="false" customHeight="false" outlineLevel="0" collapsed="false">
      <c r="A1582" s="0" t="s">
        <v>626</v>
      </c>
      <c r="B1582" s="0" t="s">
        <v>86</v>
      </c>
      <c r="C1582" s="38" t="n">
        <f aca="false">Sens!$C$1563/ext_sh*(ox_open+rent_mw)*Sens!$C$1564/1000</f>
        <v>0.642569210675032</v>
      </c>
      <c r="D1582" s="38" t="n">
        <f aca="false">Sens!$D$1563/ext_sh*(ox_open+rent_mw)*Sens!$D$1564/1000</f>
        <v>2.40963454003137</v>
      </c>
      <c r="E1582" s="38" t="n">
        <f aca="false">Sens!$E$1563/ext_sh*(ox_open+rent_mw)*Sens!$E$1564/1000</f>
        <v>2.35608710580845</v>
      </c>
      <c r="F1582" s="38" t="n">
        <f aca="false">((mw_open*ox_open+Sens!$F$1578*Sens!$F$1576)/ext_sh+Sens!$F$1563/ext_sh*rent_mw)*Sens!$F$1564/1000</f>
        <v>4.37165824392995</v>
      </c>
      <c r="G1582" s="38" t="n">
        <f aca="false">Sens!$E$1582+Sens!$F$1582</f>
        <v>6.7277453497384</v>
      </c>
      <c r="H1582" s="38" t="n">
        <f aca="false">((mw_open*ox_open+Sens!$H$1578*Sens!$H$1576)/ext_sh+Sens!$H$1563/ext_sh*rent_mw)*Sens!$H$1564/1000</f>
        <v>18.3713886535311</v>
      </c>
      <c r="I1582" s="38" t="n">
        <f aca="false">((mw_open*ox_open+Sens!$I$1578*Sens!$I$1576)/ext_sh+Sens!$I$1563/ext_sh*rent_mw)*Sens!$I$1564/1000</f>
        <v>31.3417196353062</v>
      </c>
      <c r="J1582" s="38" t="n">
        <f aca="false">((mw_open*ox_open+Sens!$J$1578*Sens!$J$1576)/ext_sh+Sens!$J$1563/ext_sh*rent_mw)*Sens!$J$1564/1000</f>
        <v>44.336032829571</v>
      </c>
      <c r="K1582" s="38" t="n">
        <f aca="false">((mw_open*ox_open+Sens!$K$1578*Sens!$K$1576)/ext_sh+Sens!$K$1563/ext_sh*rent_mw)*Sens!$K$1564/1000</f>
        <v>55.4185789625402</v>
      </c>
      <c r="L1582" s="38" t="n">
        <f aca="false">((mw_open*ox_open+Sens!$L$1578*Sens!$L$1576)/ext_sh+Sens!$L$1563/ext_sh*rent_mw)*Sens!$L$1564/1000</f>
        <v>62.6848720996501</v>
      </c>
      <c r="M1582" s="38" t="n">
        <f aca="false">((mw_open*ox_open+Sens!$M$1578*Sens!$M$1576)/ext_sh+Sens!$M$1563/ext_sh*rent_mw)*Sens!$M$1564/1000</f>
        <v>66.1309991296679</v>
      </c>
      <c r="N1582" s="38" t="n">
        <f aca="false">Sens!$N$1563/ext_sh*(ox_open+rent_mw)*Sens!$N$1564/1000</f>
        <v>0.84337208901098</v>
      </c>
      <c r="O1582" s="38" t="n">
        <f aca="false">Sens!$O$1563/ext_sh*(ox_open+rent_mw)*Sens!$O$1564/1000</f>
        <v>1.56626245102039</v>
      </c>
    </row>
    <row r="1583" customFormat="false" ht="17.15" hidden="false" customHeight="false" outlineLevel="0" collapsed="false">
      <c r="A1583" s="0" t="s">
        <v>627</v>
      </c>
      <c r="B1583" s="0" t="s">
        <v>86</v>
      </c>
      <c r="C1583" s="38" t="n">
        <f aca="false">Q!$D$7</f>
        <v>107.556</v>
      </c>
      <c r="D1583" s="38" t="n">
        <f aca="false">Q!$E$7</f>
        <v>128.725</v>
      </c>
      <c r="E1583" s="38" t="n">
        <f aca="false">Q!$P$7</f>
        <v>79.819</v>
      </c>
      <c r="N1583" s="38" t="n">
        <f aca="false">Q!$N$7</f>
        <v>60.14</v>
      </c>
      <c r="O1583" s="38" t="n">
        <f aca="false">Q!$O$7</f>
        <v>68.585</v>
      </c>
    </row>
    <row r="1584" customFormat="false" ht="17.15" hidden="false" customHeight="false" outlineLevel="0" collapsed="false">
      <c r="A1584" s="1" t="s">
        <v>628</v>
      </c>
      <c r="B1584" s="8" t="s">
        <v>86</v>
      </c>
      <c r="C1584" s="38" t="n">
        <f aca="false">Sens!$C$1583-Sens!$C$1580</f>
        <v>105.234994643026</v>
      </c>
      <c r="D1584" s="38" t="n">
        <f aca="false">Sens!$D$1583-Sens!$D$1580</f>
        <v>120.021229911349</v>
      </c>
      <c r="E1584" s="38" t="n">
        <f aca="false">Sens!$E$1583-Sens!$E$1580</f>
        <v>71.30864702443</v>
      </c>
      <c r="F1584" s="38" t="n">
        <f aca="false">Sens!$O$1584*(1+Sens!$F$1585)</f>
        <v>71.7692997942464</v>
      </c>
      <c r="G1584" s="38" t="n">
        <f aca="false">Sens!$E$1584+Sens!$F$1584</f>
        <v>143.077946818676</v>
      </c>
      <c r="H1584" s="38" t="n">
        <f aca="false">Sens!$G$1584*(1+Sens!$H$1585)</f>
        <v>161.017077079203</v>
      </c>
      <c r="I1584" s="38" t="n">
        <f aca="false">Sens!$H$1584*(1+Sens!$I$1585)</f>
        <v>178.769759521457</v>
      </c>
      <c r="J1584" s="38" t="n">
        <f aca="false">Sens!$I$1584*(1+Sens!$J$1585)</f>
        <v>195.775538045907</v>
      </c>
      <c r="K1584" s="38" t="n">
        <f aca="false">Sens!$J$1584*(1+Sens!$K$1585)</f>
        <v>211.43758108958</v>
      </c>
      <c r="L1584" s="38" t="n">
        <f aca="false">Sens!$K$1584*(1+Sens!$L$1585)</f>
        <v>228.352587576746</v>
      </c>
      <c r="M1584" s="38" t="n">
        <f aca="false">Sens!$L$1584*(1+Sens!$M$1585)</f>
        <v>246.620794582886</v>
      </c>
      <c r="N1584" s="38" t="n">
        <f aca="false">Sens!$N$1583-Sens!$N$1580</f>
        <v>57.0936804689721</v>
      </c>
      <c r="O1584" s="38" t="n">
        <f aca="false">Sens!$O$1583-Sens!$O$1580</f>
        <v>62.9275494423768</v>
      </c>
      <c r="P1584" s="5" t="s">
        <v>629</v>
      </c>
    </row>
    <row r="1585" customFormat="false" ht="17.15" hidden="false" customHeight="false" outlineLevel="0" collapsed="false">
      <c r="A1585" s="0" t="s">
        <v>630</v>
      </c>
      <c r="B1585" s="0" t="s">
        <v>52</v>
      </c>
      <c r="D1585" s="13" t="n">
        <f aca="false">Sens!$D$1584/Sens!$C$1584-1</f>
        <v>0.140506827776062</v>
      </c>
      <c r="E1585" s="13" t="n">
        <f aca="false">Sens!$E$1584/Sens!$N$1584-1</f>
        <v>0.248976181579029</v>
      </c>
      <c r="F1585" s="13" t="n">
        <f aca="false">Sens!$D$1585</f>
        <v>0.140506827776062</v>
      </c>
      <c r="G1585" s="13" t="n">
        <f aca="false">Sens!$G$1584/Sens!$D$1584-1</f>
        <v>0.19210532106993</v>
      </c>
      <c r="H1585" s="13" t="n">
        <f aca="false">Sens!$F$1585+(g_awso_lt-Sens!$F$1585)*1/4</f>
        <v>0.125380120832046</v>
      </c>
      <c r="I1585" s="13" t="n">
        <f aca="false">Sens!$F$1585+(g_awso_lt-Sens!$F$1585)*2/4</f>
        <v>0.110253413888031</v>
      </c>
      <c r="J1585" s="13" t="n">
        <f aca="false">Sens!$F$1585+(g_awso_lt-Sens!$F$1585)*3/4</f>
        <v>0.0951267069440154</v>
      </c>
      <c r="K1585" s="13" t="n">
        <f aca="false">Sens!$F$1585+(g_awso_lt-Sens!$F$1585)*4/4</f>
        <v>0.08</v>
      </c>
      <c r="L1585" s="13" t="n">
        <f aca="false">g_awso_lt</f>
        <v>0.08</v>
      </c>
      <c r="M1585" s="13" t="n">
        <f aca="false">g_awso_lt</f>
        <v>0.08</v>
      </c>
      <c r="P1585" s="5" t="s">
        <v>631</v>
      </c>
    </row>
    <row r="1586" customFormat="false" ht="17.15" hidden="false" customHeight="false" outlineLevel="0" collapsed="false">
      <c r="A1586" s="1" t="s">
        <v>632</v>
      </c>
    </row>
    <row r="1587" customFormat="false" ht="17.15" hidden="false" customHeight="false" outlineLevel="0" collapsed="false">
      <c r="A1587" s="0" t="s">
        <v>633</v>
      </c>
      <c r="B1587" s="0" t="s">
        <v>86</v>
      </c>
      <c r="F1587" s="38" t="n">
        <f aca="false">cx_rt*Sens!$F$1552+cx_awso*Sens!$F$1584</f>
        <v>34.9734495387866</v>
      </c>
    </row>
    <row r="1588" customFormat="false" ht="17.15" hidden="false" customHeight="false" outlineLevel="0" collapsed="false">
      <c r="A1588" s="0" t="s">
        <v>634</v>
      </c>
      <c r="B1588" s="0" t="s">
        <v>52</v>
      </c>
      <c r="C1588" s="13" t="n">
        <f aca="false">tk_cx_h100/(tk_cx_h100+tk_fac*(1-colo_sh))</f>
        <v>0.730756458006641</v>
      </c>
      <c r="D1588" s="13" t="n">
        <f aca="false">tk_cx_h100/(tk_cx_h100+tk_fac*(1-colo_sh))</f>
        <v>0.730756458006641</v>
      </c>
      <c r="E1588" s="13" t="n">
        <f aca="false">Sens!$F$1588</f>
        <v>0.760792334328868</v>
      </c>
      <c r="F1588" s="13" t="n">
        <f aca="false">Sens!$F$1571/(Sens!$F$1571+tk_fac*(1-colo_sh))</f>
        <v>0.760792334328868</v>
      </c>
      <c r="G1588" s="13" t="n">
        <f aca="false">Sens!$G$1571/(Sens!$G$1571+tk_fac*(1-colo_sh))</f>
        <v>0.760792334328868</v>
      </c>
      <c r="H1588" s="13" t="n">
        <f aca="false">Sens!$H$1571/(Sens!$H$1571+tk_fac*(1-colo_sh))</f>
        <v>0.768110668862996</v>
      </c>
      <c r="I1588" s="13" t="n">
        <f aca="false">Sens!$I$1571/(Sens!$I$1571+tk_fac*(1-colo_sh))</f>
        <v>0.77499450139483</v>
      </c>
      <c r="J1588" s="13" t="n">
        <f aca="false">Sens!$J$1571/(Sens!$J$1571+tk_fac*(1-colo_sh))</f>
        <v>0.77499450139483</v>
      </c>
      <c r="K1588" s="13" t="n">
        <f aca="false">Sens!$K$1571/(Sens!$K$1571+tk_fac*(1-colo_sh))</f>
        <v>0.77499450139483</v>
      </c>
      <c r="L1588" s="13" t="n">
        <f aca="false">Sens!$L$1571/(Sens!$L$1571+tk_fac*(1-colo_sh))</f>
        <v>0.77499450139483</v>
      </c>
      <c r="M1588" s="13" t="n">
        <f aca="false">Sens!$M$1571/(Sens!$M$1571+tk_fac*(1-colo_sh))</f>
        <v>0.77499450139483</v>
      </c>
    </row>
    <row r="1589" customFormat="false" ht="17.15" hidden="false" customHeight="false" outlineLevel="0" collapsed="false">
      <c r="A1589" s="1" t="s">
        <v>635</v>
      </c>
      <c r="B1589" s="8" t="s">
        <v>86</v>
      </c>
      <c r="C1589" s="38" t="n">
        <f aca="false">Q!$D$46-cx_rt*Q!$D$16-cx_awso*Sens!$C$1584</f>
        <v>25.2781053077374</v>
      </c>
      <c r="D1589" s="38" t="n">
        <f aca="false">Q!$E$46-cx_rt*Q!$E$16-cx_awso*Sens!$D$1584</f>
        <v>69.5686316310026</v>
      </c>
      <c r="E1589" s="38" t="n">
        <f aca="false">Q!$P$46-cx_rt*Q!$P$16-cx_awso*Sens!$E$1584</f>
        <v>64.1899206485108</v>
      </c>
      <c r="F1589" s="38" t="n">
        <f aca="false">capex_g26-Q!$P$46-Sens!$F$1587</f>
        <v>88.7165504612134</v>
      </c>
      <c r="G1589" s="38" t="n">
        <f aca="false">Sens!$E$1589+Sens!$F$1589</f>
        <v>152.906471109724</v>
      </c>
      <c r="H1589" s="38" t="n">
        <f aca="false">Sens!$H$1566*(Sens!$H$1571+tk_fac*(1-colo_sh))/1000+Sens!$H$1590</f>
        <v>248.214206180938</v>
      </c>
      <c r="I1589" s="38" t="n">
        <f aca="false">Sens!$I$1566*(Sens!$I$1571+tk_fac*(1-colo_sh))/1000+Sens!$I$1590</f>
        <v>255.808087388125</v>
      </c>
      <c r="J1589" s="38" t="n">
        <f aca="false">Sens!$J$1566*(Sens!$J$1571+tk_fac*(1-colo_sh))/1000+Sens!$J$1590</f>
        <v>261.044855588125</v>
      </c>
      <c r="K1589" s="38" t="n">
        <f aca="false">Sens!$K$1566*(Sens!$K$1571+tk_fac*(1-colo_sh))/1000+Sens!$K$1590</f>
        <v>191.136786872001</v>
      </c>
      <c r="L1589" s="38" t="n">
        <f aca="false">Sens!$L$1566*(Sens!$L$1571+tk_fac*(1-colo_sh))/1000+Sens!$L$1590</f>
        <v>152.649327355877</v>
      </c>
      <c r="M1589" s="38" t="n">
        <f aca="false">Sens!$M$1566*(Sens!$M$1571+tk_fac*(1-colo_sh))/1000+Sens!$M$1590</f>
        <v>157.427937608816</v>
      </c>
      <c r="P1589" s="5" t="s">
        <v>636</v>
      </c>
      <c r="R1589" s="38" t="n">
        <f aca="false">Q!$C$46-cx_rt*Q!$C$16-cx_awso*(Q!$C$7-mw_ye23/2*rpm_open/1000)</f>
        <v>1.50429979529945</v>
      </c>
      <c r="S1589" s="38" t="n">
        <f aca="false">Sens!$C$1589</f>
        <v>25.2781053077374</v>
      </c>
      <c r="T1589" s="38" t="n">
        <f aca="false">Sens!$D$1589</f>
        <v>69.5686316310026</v>
      </c>
      <c r="U1589" s="38" t="n">
        <f aca="false">Sens!$G$1589</f>
        <v>152.906471109724</v>
      </c>
      <c r="V1589" s="38" t="n">
        <f aca="false">Sens!$H$1589</f>
        <v>248.214206180938</v>
      </c>
      <c r="W1589" s="38" t="n">
        <f aca="false">Sens!$I$1589</f>
        <v>255.808087388125</v>
      </c>
      <c r="X1589" s="38" t="n">
        <f aca="false">Sens!$J$1589</f>
        <v>261.044855588125</v>
      </c>
      <c r="Y1589" s="38" t="n">
        <f aca="false">Sens!$K$1589</f>
        <v>191.136786872001</v>
      </c>
      <c r="Z1589" s="38" t="n">
        <f aca="false">Sens!$L$1589</f>
        <v>152.649327355877</v>
      </c>
      <c r="AA1589" s="38" t="n">
        <f aca="false">Sens!$M$1589</f>
        <v>157.427937608816</v>
      </c>
    </row>
    <row r="1590" customFormat="false" ht="17.15" hidden="false" customHeight="false" outlineLevel="0" collapsed="false">
      <c r="A1590" s="0" t="s">
        <v>637</v>
      </c>
      <c r="B1590" s="0" t="s">
        <v>86</v>
      </c>
      <c r="H1590" s="38" t="n">
        <f aca="false">SUMPRODUCT(--(Sens!$R$1559:$AA$1559=2027-tk_life),Sens!$R$1566:$AA$1566)*Sens!$H$1571/1000</f>
        <v>0</v>
      </c>
      <c r="I1590" s="38" t="n">
        <f aca="false">SUMPRODUCT(--(Sens!$R$1559:$AA$1559=2028-tk_life),Sens!$R$1566:$AA$1566)*Sens!$I$1571/1000</f>
        <v>0</v>
      </c>
      <c r="J1590" s="38" t="n">
        <f aca="false">SUMPRODUCT(--(Sens!$R$1559:$AA$1559=2029-tk_life),Sens!$R$1566:$AA$1566)*Sens!$J$1571/1000</f>
        <v>5.2367682</v>
      </c>
      <c r="K1590" s="38" t="n">
        <f aca="false">SUMPRODUCT(--(Sens!$R$1559:$AA$1559=2030-tk_life),Sens!$R$1566:$AA$1566)*Sens!$K$1571/1000</f>
        <v>10.4735364</v>
      </c>
      <c r="L1590" s="38" t="n">
        <f aca="false">SUMPRODUCT(--(Sens!$R$1559:$AA$1559=2031-tk_life),Sens!$R$1566:$AA$1566)*Sens!$L$1571/1000</f>
        <v>47.1309138</v>
      </c>
      <c r="M1590" s="38" t="n">
        <f aca="false">SUMPRODUCT(--(Sens!$R$1559:$AA$1559=2032-tk_life),Sens!$R$1566:$AA$1566)*Sens!$M$1571/1000</f>
        <v>127.054360969063</v>
      </c>
    </row>
    <row r="1591" customFormat="false" ht="17.15" hidden="false" customHeight="false" outlineLevel="0" collapsed="false">
      <c r="A1591" s="0" t="s">
        <v>638</v>
      </c>
      <c r="B1591" s="0" t="s">
        <v>86</v>
      </c>
      <c r="C1591" s="38" t="n">
        <f aca="false">MIN(Sens!$C$1589,Sens!$C$1566*(tk_cx_h100+tk_fac*(1-colo_sh))/1000)</f>
        <v>11.2938642</v>
      </c>
      <c r="D1591" s="38" t="n">
        <f aca="false">MIN(Sens!$D$1589,Sens!$D$1566*(tk_cx_h100+tk_fac*(1-colo_sh))/1000)</f>
        <v>50.8223889</v>
      </c>
      <c r="E1591" s="38" t="n">
        <f aca="false">MIN(Sens!$E$1589,Sens!$E$1566*(Sens!$F$1571+tk_fac*(1-colo_sh))/1000)</f>
        <v>33.8985792</v>
      </c>
      <c r="F1591" s="38" t="n">
        <f aca="false">Sens!$F$1589</f>
        <v>88.7165504612134</v>
      </c>
      <c r="G1591" s="38" t="n">
        <f aca="false">Sens!$E$1591+Sens!$F$1591</f>
        <v>122.615129661213</v>
      </c>
      <c r="H1591" s="38" t="n">
        <f aca="false">Sens!$H$1589</f>
        <v>248.214206180938</v>
      </c>
      <c r="I1591" s="38" t="n">
        <f aca="false">Sens!$I$1589</f>
        <v>255.808087388125</v>
      </c>
      <c r="J1591" s="38" t="n">
        <f aca="false">Sens!$J$1589</f>
        <v>261.044855588125</v>
      </c>
      <c r="K1591" s="38" t="n">
        <f aca="false">Sens!$K$1589</f>
        <v>191.136786872001</v>
      </c>
      <c r="L1591" s="38" t="n">
        <f aca="false">Sens!$L$1589</f>
        <v>152.649327355877</v>
      </c>
      <c r="M1591" s="38" t="n">
        <f aca="false">Sens!$M$1589</f>
        <v>157.427937608816</v>
      </c>
      <c r="P1591" s="5" t="s">
        <v>639</v>
      </c>
      <c r="R1591" s="38" t="n">
        <f aca="false">MIN(Sens!$R$1589,Sens!$R$1566*(tk_cx_h100+tk_fac*(1-colo_sh))/1000)</f>
        <v>1.50429979529945</v>
      </c>
      <c r="S1591" s="38" t="n">
        <f aca="false">Sens!$C$1591</f>
        <v>11.2938642</v>
      </c>
      <c r="T1591" s="38" t="n">
        <f aca="false">Sens!$D$1591</f>
        <v>50.8223889</v>
      </c>
      <c r="U1591" s="38" t="n">
        <f aca="false">Sens!$G$1591</f>
        <v>122.615129661213</v>
      </c>
      <c r="V1591" s="38" t="n">
        <f aca="false">Sens!$H$1591</f>
        <v>248.214206180938</v>
      </c>
      <c r="W1591" s="38" t="n">
        <f aca="false">Sens!$I$1591</f>
        <v>255.808087388125</v>
      </c>
      <c r="X1591" s="38" t="n">
        <f aca="false">Sens!$J$1591</f>
        <v>261.044855588125</v>
      </c>
      <c r="Y1591" s="38" t="n">
        <f aca="false">Sens!$K$1591</f>
        <v>191.136786872001</v>
      </c>
      <c r="Z1591" s="38" t="n">
        <f aca="false">Sens!$L$1591</f>
        <v>152.649327355877</v>
      </c>
      <c r="AA1591" s="38" t="n">
        <f aca="false">Sens!$M$1591</f>
        <v>157.427937608816</v>
      </c>
    </row>
    <row r="1592" customFormat="false" ht="17.15" hidden="false" customHeight="false" outlineLevel="0" collapsed="false">
      <c r="A1592" s="5" t="s">
        <v>640</v>
      </c>
      <c r="B1592" s="0" t="s">
        <v>86</v>
      </c>
      <c r="C1592" s="38" t="n">
        <f aca="false">Sens!$C$1589-Sens!$C$1591</f>
        <v>13.9842411077374</v>
      </c>
      <c r="D1592" s="38" t="n">
        <f aca="false">Sens!$D$1589-Sens!$D$1591</f>
        <v>18.7462427310026</v>
      </c>
      <c r="E1592" s="38" t="n">
        <f aca="false">Sens!$E$1589-Sens!$E$1591</f>
        <v>30.2913414485108</v>
      </c>
      <c r="F1592" s="38" t="n">
        <f aca="false">Sens!$F$1589-Sens!$F$1591</f>
        <v>0</v>
      </c>
      <c r="G1592" s="38" t="n">
        <f aca="false">Sens!$G$1589-Sens!$G$1591</f>
        <v>30.2913414485108</v>
      </c>
      <c r="H1592" s="38" t="n">
        <f aca="false">Sens!$H$1589-Sens!$H$1591</f>
        <v>0</v>
      </c>
      <c r="I1592" s="38" t="n">
        <f aca="false">Sens!$I$1589-Sens!$I$1591</f>
        <v>0</v>
      </c>
      <c r="J1592" s="38" t="n">
        <f aca="false">Sens!$J$1589-Sens!$J$1591</f>
        <v>0</v>
      </c>
      <c r="K1592" s="38" t="n">
        <f aca="false">Sens!$K$1589-Sens!$K$1591</f>
        <v>0</v>
      </c>
      <c r="L1592" s="38" t="n">
        <f aca="false">Sens!$L$1589-Sens!$L$1591</f>
        <v>0</v>
      </c>
      <c r="M1592" s="38" t="n">
        <f aca="false">Sens!$M$1589-Sens!$M$1591</f>
        <v>0</v>
      </c>
      <c r="P1592" s="5" t="s">
        <v>641</v>
      </c>
      <c r="R1592" s="38" t="n">
        <f aca="false">Sens!$R$1589-Sens!$R$1591</f>
        <v>0</v>
      </c>
      <c r="S1592" s="38" t="n">
        <f aca="false">Sens!$S$1589-Sens!$S$1591</f>
        <v>13.9842411077374</v>
      </c>
      <c r="T1592" s="38" t="n">
        <f aca="false">Sens!$T$1589-Sens!$T$1591</f>
        <v>18.7462427310026</v>
      </c>
      <c r="U1592" s="38" t="n">
        <f aca="false">Sens!$U$1589-Sens!$U$1591</f>
        <v>30.2913414485108</v>
      </c>
      <c r="V1592" s="38" t="n">
        <f aca="false">Sens!$V$1589-Sens!$V$1591</f>
        <v>0</v>
      </c>
      <c r="W1592" s="38" t="n">
        <f aca="false">Sens!$W$1589-Sens!$W$1591</f>
        <v>0</v>
      </c>
      <c r="X1592" s="38" t="n">
        <f aca="false">Sens!$X$1589-Sens!$X$1591</f>
        <v>0</v>
      </c>
      <c r="Y1592" s="38" t="n">
        <f aca="false">Sens!$Y$1589-Sens!$Y$1591</f>
        <v>0</v>
      </c>
      <c r="Z1592" s="38" t="n">
        <f aca="false">Sens!$Z$1589-Sens!$Z$1591</f>
        <v>0</v>
      </c>
      <c r="AA1592" s="38" t="n">
        <f aca="false">Sens!$AA$1589-Sens!$AA$1591</f>
        <v>0</v>
      </c>
    </row>
    <row r="1593" customFormat="false" ht="17.15" hidden="false" customHeight="false" outlineLevel="0" collapsed="false">
      <c r="A1593" s="5" t="s">
        <v>642</v>
      </c>
      <c r="B1593" s="0" t="s">
        <v>86</v>
      </c>
      <c r="R1593" s="38" t="n">
        <f aca="false">Sens!$R$1592*Sens!$C$1588</f>
        <v>0</v>
      </c>
      <c r="S1593" s="38" t="n">
        <f aca="false">Sens!$S$1592*Sens!$C$1588</f>
        <v>10.219074499801</v>
      </c>
      <c r="T1593" s="38" t="n">
        <f aca="false">Sens!$T$1592*Sens!$C$1588</f>
        <v>13.6989379390402</v>
      </c>
      <c r="U1593" s="38" t="n">
        <f aca="false">Sens!$U$1592*Sens!$E$1588</f>
        <v>23.0454203705653</v>
      </c>
      <c r="V1593" s="38" t="n">
        <f aca="false">Sens!$V$1592*Sens!$E$1588</f>
        <v>0</v>
      </c>
      <c r="W1593" s="38" t="n">
        <f aca="false">Sens!$W$1592*Sens!$E$1588</f>
        <v>0</v>
      </c>
      <c r="X1593" s="38" t="n">
        <f aca="false">Sens!$X$1592*Sens!$E$1588</f>
        <v>0</v>
      </c>
      <c r="Y1593" s="38" t="n">
        <f aca="false">Sens!$Y$1592*Sens!$E$1588</f>
        <v>0</v>
      </c>
      <c r="Z1593" s="38" t="n">
        <f aca="false">Sens!$Z$1592*Sens!$E$1588</f>
        <v>0</v>
      </c>
      <c r="AA1593" s="38" t="n">
        <f aca="false">Sens!$AA$1592*Sens!$E$1588</f>
        <v>0</v>
      </c>
    </row>
    <row r="1594" customFormat="false" ht="17.15" hidden="false" customHeight="false" outlineLevel="0" collapsed="false">
      <c r="A1594" s="5" t="s">
        <v>643</v>
      </c>
      <c r="B1594" s="0" t="s">
        <v>86</v>
      </c>
      <c r="R1594" s="38" t="n">
        <f aca="false">SUMPRODUCT(--(Sens!$R$1559:$AA$1559=2023-cip_lag),Sens!$R$1593:$AA$1593)</f>
        <v>0</v>
      </c>
      <c r="S1594" s="38" t="n">
        <f aca="false">SUMPRODUCT(--(Sens!$R$1559:$AA$1559=2024-cip_lag),Sens!$R$1593:$AA$1593)</f>
        <v>0</v>
      </c>
      <c r="T1594" s="38" t="n">
        <f aca="false">SUMPRODUCT(--(Sens!$R$1559:$AA$1559=2025-cip_lag),Sens!$R$1593:$AA$1593)</f>
        <v>10.219074499801</v>
      </c>
      <c r="U1594" s="38" t="n">
        <f aca="false">SUMPRODUCT(--(Sens!$R$1559:$AA$1559=2026-cip_lag),Sens!$R$1593:$AA$1593)</f>
        <v>13.6989379390402</v>
      </c>
      <c r="V1594" s="38" t="n">
        <f aca="false">SUMPRODUCT(--(Sens!$R$1559:$AA$1559=2027-cip_lag),Sens!$R$1593:$AA$1593)</f>
        <v>23.0454203705653</v>
      </c>
      <c r="W1594" s="38" t="n">
        <f aca="false">SUMPRODUCT(--(Sens!$R$1559:$AA$1559=2028-cip_lag),Sens!$R$1593:$AA$1593)</f>
        <v>0</v>
      </c>
      <c r="X1594" s="38" t="n">
        <f aca="false">SUMPRODUCT(--(Sens!$R$1559:$AA$1559=2029-cip_lag),Sens!$R$1593:$AA$1593)</f>
        <v>0</v>
      </c>
      <c r="Y1594" s="38" t="n">
        <f aca="false">SUMPRODUCT(--(Sens!$R$1559:$AA$1559=2030-cip_lag),Sens!$R$1593:$AA$1593)</f>
        <v>0</v>
      </c>
      <c r="Z1594" s="38" t="n">
        <f aca="false">SUMPRODUCT(--(Sens!$R$1559:$AA$1559=2031-cip_lag),Sens!$R$1593:$AA$1593)</f>
        <v>0</v>
      </c>
      <c r="AA1594" s="38" t="n">
        <f aca="false">SUMPRODUCT(--(Sens!$R$1559:$AA$1559=2032-cip_lag),Sens!$R$1593:$AA$1593)</f>
        <v>0</v>
      </c>
    </row>
    <row r="1595" customFormat="false" ht="15" hidden="false" customHeight="false" outlineLevel="0" collapsed="false">
      <c r="A1595" s="5" t="s">
        <v>644</v>
      </c>
      <c r="B1595" s="0" t="s">
        <v>86</v>
      </c>
      <c r="R1595" s="38" t="n">
        <f aca="false">SUMPRODUCT(--(Sens!$R$1559:$AA$1559=2023-cip_lag),Sens!$R$1592:$AA$1592)-Sens!$R$1594</f>
        <v>0</v>
      </c>
      <c r="S1595" s="38" t="n">
        <f aca="false">SUMPRODUCT(--(Sens!$R$1559:$AA$1559=2024-cip_lag),Sens!$R$1592:$AA$1592)-Sens!$S$1594</f>
        <v>0</v>
      </c>
      <c r="T1595" s="38" t="n">
        <f aca="false">SUMPRODUCT(--(Sens!$R$1559:$AA$1559=2025-cip_lag),Sens!$R$1592:$AA$1592)-Sens!$T$1594</f>
        <v>3.76516660793636</v>
      </c>
      <c r="U1595" s="38" t="n">
        <f aca="false">SUMPRODUCT(--(Sens!$R$1559:$AA$1559=2026-cip_lag),Sens!$R$1592:$AA$1592)-Sens!$U$1594</f>
        <v>5.04730479196242</v>
      </c>
      <c r="V1595" s="38" t="n">
        <f aca="false">SUMPRODUCT(--(Sens!$R$1559:$AA$1559=2027-cip_lag),Sens!$R$1592:$AA$1592)-Sens!$V$1594</f>
        <v>7.24592107794548</v>
      </c>
      <c r="W1595" s="38" t="n">
        <f aca="false">SUMPRODUCT(--(Sens!$R$1559:$AA$1559=2028-cip_lag),Sens!$R$1592:$AA$1592)-Sens!$W$1594</f>
        <v>0</v>
      </c>
      <c r="X1595" s="38" t="n">
        <f aca="false">SUMPRODUCT(--(Sens!$R$1559:$AA$1559=2029-cip_lag),Sens!$R$1592:$AA$1592)-Sens!$X$1594</f>
        <v>0</v>
      </c>
      <c r="Y1595" s="38" t="n">
        <f aca="false">SUMPRODUCT(--(Sens!$R$1559:$AA$1559=2030-cip_lag),Sens!$R$1592:$AA$1592)-Sens!$Y$1594</f>
        <v>0</v>
      </c>
      <c r="Z1595" s="38" t="n">
        <f aca="false">SUMPRODUCT(--(Sens!$R$1559:$AA$1559=2031-cip_lag),Sens!$R$1592:$AA$1592)-Sens!$Z$1594</f>
        <v>0</v>
      </c>
      <c r="AA1595" s="38" t="n">
        <f aca="false">SUMPRODUCT(--(Sens!$R$1559:$AA$1559=2032-cip_lag),Sens!$R$1592:$AA$1592)-Sens!$AA$1594</f>
        <v>0</v>
      </c>
    </row>
    <row r="1596" customFormat="false" ht="17.15" hidden="false" customHeight="false" outlineLevel="0" collapsed="false">
      <c r="A1596" s="5" t="s">
        <v>645</v>
      </c>
      <c r="B1596" s="0" t="s">
        <v>86</v>
      </c>
      <c r="C1596" s="38" t="n">
        <f aca="false">Sens!$C$1591*Sens!$C$1588</f>
        <v>8.2530642</v>
      </c>
      <c r="D1596" s="38" t="n">
        <f aca="false">Sens!$D$1591*Sens!$D$1588</f>
        <v>37.1387889</v>
      </c>
      <c r="E1596" s="38" t="n">
        <f aca="false">Sens!$E$1591*Sens!$E$1588</f>
        <v>25.7897792</v>
      </c>
      <c r="F1596" s="38" t="n">
        <f aca="false">Sens!$F$1591*Sens!$F$1588</f>
        <v>67.4948715189913</v>
      </c>
      <c r="G1596" s="38" t="n">
        <f aca="false">Sens!$E$1596+Sens!$F$1596</f>
        <v>93.2846507189913</v>
      </c>
      <c r="H1596" s="38" t="n">
        <f aca="false">(Sens!$H$1591-Sens!$H$1590)*Sens!$H$1588+Sens!$H$1590</f>
        <v>190.655979930938</v>
      </c>
      <c r="I1596" s="38" t="n">
        <f aca="false">(Sens!$I$1591-Sens!$I$1590)*Sens!$I$1588+Sens!$I$1590</f>
        <v>198.249861138125</v>
      </c>
      <c r="J1596" s="38" t="n">
        <f aca="false">(Sens!$J$1591-Sens!$J$1590)*Sens!$J$1588+Sens!$J$1590</f>
        <v>203.486629338125</v>
      </c>
      <c r="K1596" s="38" t="n">
        <f aca="false">(Sens!$K$1591-Sens!$K$1590)*Sens!$K$1588+Sens!$K$1590</f>
        <v>150.486562119918</v>
      </c>
      <c r="L1596" s="38" t="n">
        <f aca="false">(Sens!$L$1591-Sens!$L$1590)*Sens!$L$1588+Sens!$L$1590</f>
        <v>128.90710410171</v>
      </c>
      <c r="M1596" s="38" t="n">
        <f aca="false">(Sens!$M$1591-Sens!$M$1590)*Sens!$M$1588+Sens!$M$1590</f>
        <v>150.593715852566</v>
      </c>
      <c r="R1596" s="38" t="n">
        <f aca="false">Sens!$R$1591*Sens!$C$1588</f>
        <v>1.09927679019314</v>
      </c>
      <c r="S1596" s="38" t="n">
        <f aca="false">Sens!$C$1596</f>
        <v>8.2530642</v>
      </c>
      <c r="T1596" s="38" t="n">
        <f aca="false">Sens!$D$1596</f>
        <v>37.1387889</v>
      </c>
      <c r="U1596" s="38" t="n">
        <f aca="false">Sens!$G$1596</f>
        <v>93.2846507189913</v>
      </c>
      <c r="V1596" s="38" t="n">
        <f aca="false">Sens!$H$1596</f>
        <v>190.655979930938</v>
      </c>
      <c r="W1596" s="38" t="n">
        <f aca="false">Sens!$I$1596</f>
        <v>198.249861138125</v>
      </c>
      <c r="X1596" s="38" t="n">
        <f aca="false">Sens!$J$1596</f>
        <v>203.486629338125</v>
      </c>
      <c r="Y1596" s="38" t="n">
        <f aca="false">Sens!$K$1596</f>
        <v>150.486562119918</v>
      </c>
      <c r="Z1596" s="38" t="n">
        <f aca="false">Sens!$L$1596</f>
        <v>128.90710410171</v>
      </c>
      <c r="AA1596" s="38" t="n">
        <f aca="false">Sens!$M$1596</f>
        <v>150.593715852566</v>
      </c>
    </row>
    <row r="1597" customFormat="false" ht="15" hidden="false" customHeight="false" outlineLevel="0" collapsed="false">
      <c r="A1597" s="5" t="s">
        <v>646</v>
      </c>
      <c r="B1597" s="0" t="s">
        <v>86</v>
      </c>
      <c r="C1597" s="38" t="n">
        <f aca="false">Sens!$C$1591-Sens!$C$1596</f>
        <v>3.0408</v>
      </c>
      <c r="D1597" s="38" t="n">
        <f aca="false">Sens!$D$1591-Sens!$D$1596</f>
        <v>13.6836</v>
      </c>
      <c r="E1597" s="38" t="n">
        <f aca="false">Sens!$E$1591-Sens!$E$1596</f>
        <v>8.1088</v>
      </c>
      <c r="F1597" s="38" t="n">
        <f aca="false">Sens!$F$1591-Sens!$F$1596</f>
        <v>21.2216789422221</v>
      </c>
      <c r="G1597" s="38" t="n">
        <f aca="false">Sens!$G$1591-Sens!$G$1596</f>
        <v>29.3304789422221</v>
      </c>
      <c r="H1597" s="38" t="n">
        <f aca="false">Sens!$H$1591-Sens!$H$1596</f>
        <v>57.55822625</v>
      </c>
      <c r="I1597" s="38" t="n">
        <f aca="false">Sens!$I$1591-Sens!$I$1596</f>
        <v>57.55822625</v>
      </c>
      <c r="J1597" s="38" t="n">
        <f aca="false">Sens!$J$1591-Sens!$J$1596</f>
        <v>57.55822625</v>
      </c>
      <c r="K1597" s="38" t="n">
        <f aca="false">Sens!$K$1591-Sens!$K$1596</f>
        <v>40.6502247520833</v>
      </c>
      <c r="L1597" s="38" t="n">
        <f aca="false">Sens!$L$1591-Sens!$L$1596</f>
        <v>23.7422232541667</v>
      </c>
      <c r="M1597" s="38" t="n">
        <f aca="false">Sens!$M$1591-Sens!$M$1596</f>
        <v>6.83422175625</v>
      </c>
      <c r="R1597" s="38" t="n">
        <f aca="false">Sens!$R$1591-Sens!$R$1596</f>
        <v>0.405023005106309</v>
      </c>
      <c r="S1597" s="38" t="n">
        <f aca="false">Sens!$S$1591-Sens!$S$1596</f>
        <v>3.0408</v>
      </c>
      <c r="T1597" s="38" t="n">
        <f aca="false">Sens!$T$1591-Sens!$T$1596</f>
        <v>13.6836</v>
      </c>
      <c r="U1597" s="38" t="n">
        <f aca="false">Sens!$U$1591-Sens!$U$1596</f>
        <v>29.3304789422221</v>
      </c>
      <c r="V1597" s="38" t="n">
        <f aca="false">Sens!$V$1591-Sens!$V$1596</f>
        <v>57.55822625</v>
      </c>
      <c r="W1597" s="38" t="n">
        <f aca="false">Sens!$W$1591-Sens!$W$1596</f>
        <v>57.55822625</v>
      </c>
      <c r="X1597" s="38" t="n">
        <f aca="false">Sens!$X$1591-Sens!$X$1596</f>
        <v>57.55822625</v>
      </c>
      <c r="Y1597" s="38" t="n">
        <f aca="false">Sens!$Y$1591-Sens!$Y$1596</f>
        <v>40.6502247520833</v>
      </c>
      <c r="Z1597" s="38" t="n">
        <f aca="false">Sens!$Z$1591-Sens!$Z$1596</f>
        <v>23.7422232541667</v>
      </c>
      <c r="AA1597" s="38" t="n">
        <f aca="false">Sens!$AA$1591-Sens!$AA$1596</f>
        <v>6.83422175625</v>
      </c>
    </row>
    <row r="1598" customFormat="false" ht="17.15" hidden="false" customHeight="false" outlineLevel="0" collapsed="false">
      <c r="A1598" s="0" t="s">
        <v>647</v>
      </c>
      <c r="B1598" s="0" t="s">
        <v>52</v>
      </c>
      <c r="C1598" s="13" t="n">
        <f aca="false">Sens!$C$1589/Sens!$C$1714</f>
        <v>0.325505489553393</v>
      </c>
      <c r="D1598" s="13" t="n">
        <f aca="false">Sens!$D$1589/Sens!$D$1714</f>
        <v>0.54214956071542</v>
      </c>
      <c r="E1598" s="13" t="n">
        <f aca="false">Sens!$E$1589/Sens!$E$1714</f>
        <v>0.666492790452817</v>
      </c>
      <c r="F1598" s="13" t="n">
        <f aca="false">Sens!$F$1589/Sens!$F$1714</f>
        <v>0.71724917504417</v>
      </c>
      <c r="G1598" s="13" t="n">
        <f aca="false">Sens!$G$1589/Sens!$G$1714</f>
        <v>0.69502941413511</v>
      </c>
      <c r="H1598" s="13" t="n">
        <f aca="false">Sens!$H$1589/Sens!$H$1714</f>
        <v>0.768428109453952</v>
      </c>
      <c r="I1598" s="13" t="n">
        <f aca="false">Sens!$I$1589/Sens!$I$1714</f>
        <v>0.756507638224704</v>
      </c>
      <c r="J1598" s="13" t="n">
        <f aca="false">Sens!$J$1589/Sens!$J$1714</f>
        <v>0.744824947994791</v>
      </c>
      <c r="K1598" s="13" t="n">
        <f aca="false">Sens!$K$1589/Sens!$K$1714</f>
        <v>0.666085004446128</v>
      </c>
      <c r="L1598" s="13" t="n">
        <f aca="false">Sens!$L$1589/Sens!$L$1714</f>
        <v>0.597847572452807</v>
      </c>
      <c r="M1598" s="13" t="n">
        <f aca="false">Sens!$M$1589/Sens!$M$1714</f>
        <v>0.588540621952584</v>
      </c>
    </row>
    <row r="1599" customFormat="false" ht="17.15" hidden="false" customHeight="false" outlineLevel="0" collapsed="false">
      <c r="A1599" s="0" t="s">
        <v>648</v>
      </c>
      <c r="B1599" s="0" t="s">
        <v>86</v>
      </c>
      <c r="C1599" s="38" t="n">
        <f aca="false">Sens!$S$1599</f>
        <v>0.183212798365523</v>
      </c>
      <c r="D1599" s="38" t="n">
        <f aca="false">Sens!$T$1599</f>
        <v>1.55872349836552</v>
      </c>
      <c r="E1599" s="38" t="n">
        <f aca="false">Sens!$G$1599/2</f>
        <v>4.72585036583285</v>
      </c>
      <c r="F1599" s="38" t="n">
        <f aca="false">Sens!$G$1599/2</f>
        <v>4.72585036583285</v>
      </c>
      <c r="G1599" s="38" t="n">
        <f aca="false">Sens!$U$1599</f>
        <v>9.4517007316657</v>
      </c>
      <c r="H1599" s="38" t="n">
        <f aca="false">Sens!$V$1599</f>
        <v>27.2822988413376</v>
      </c>
      <c r="I1599" s="38" t="n">
        <f aca="false">Sens!$W$1599</f>
        <v>62.8991988915881</v>
      </c>
      <c r="J1599" s="38" t="n">
        <f aca="false">Sens!$X$1599</f>
        <v>95.9408424146089</v>
      </c>
      <c r="K1599" s="38" t="n">
        <f aca="false">Sens!$Y$1599</f>
        <v>129.672067839264</v>
      </c>
      <c r="L1599" s="38" t="n">
        <f aca="false">Sens!$Z$1599</f>
        <v>153.377650825917</v>
      </c>
      <c r="M1599" s="38" t="n">
        <f aca="false">Sens!$AA$1599</f>
        <v>166.969190942902</v>
      </c>
      <c r="N1599" s="38" t="n">
        <f aca="false">Sens!$D$1599/2</f>
        <v>0.779361749182762</v>
      </c>
      <c r="O1599" s="38" t="n">
        <f aca="false">Sens!$D$1599/2</f>
        <v>0.779361749182762</v>
      </c>
      <c r="R1599" s="38" t="n">
        <f aca="false">(SUMPRODUCT(--(Sens!$R$1559:$AA$1559&lt;Sens!R$1559),--(Sens!$R$1559:$AA$1559&gt;=Sens!R$1559-tk_life),Sens!$R$1596:$AA$1596)+SUMPRODUCT(--(Sens!$R$1559:$AA$1559&lt;Sens!R$1559),--(Sens!$R$1559:$AA$1559&gt;=Sens!R$1559-tk_life),Sens!$R$1594:$AA$1594))/tk_life</f>
        <v>0</v>
      </c>
      <c r="S1599" s="38" t="n">
        <f aca="false">(SUMPRODUCT(--(Sens!$R$1559:$AA$1559&lt;Sens!S$1559),--(Sens!$R$1559:$AA$1559&gt;=Sens!S$1559-tk_life),Sens!$R$1596:$AA$1596)+SUMPRODUCT(--(Sens!$R$1559:$AA$1559&lt;Sens!S$1559),--(Sens!$R$1559:$AA$1559&gt;=Sens!S$1559-tk_life),Sens!$R$1594:$AA$1594))/tk_life</f>
        <v>0.183212798365523</v>
      </c>
      <c r="T1599" s="38" t="n">
        <f aca="false">(SUMPRODUCT(--(Sens!$R$1559:$AA$1559&lt;Sens!T$1559),--(Sens!$R$1559:$AA$1559&gt;=Sens!T$1559-tk_life),Sens!$R$1596:$AA$1596)+SUMPRODUCT(--(Sens!$R$1559:$AA$1559&lt;Sens!T$1559),--(Sens!$R$1559:$AA$1559&gt;=Sens!T$1559-tk_life),Sens!$R$1594:$AA$1594))/tk_life</f>
        <v>1.55872349836552</v>
      </c>
      <c r="U1599" s="38" t="n">
        <f aca="false">(SUMPRODUCT(--(Sens!$R$1559:$AA$1559&lt;Sens!U$1559),--(Sens!$R$1559:$AA$1559&gt;=Sens!U$1559-tk_life),Sens!$R$1596:$AA$1596)+SUMPRODUCT(--(Sens!$R$1559:$AA$1559&lt;Sens!U$1559),--(Sens!$R$1559:$AA$1559&gt;=Sens!U$1559-tk_life),Sens!$R$1594:$AA$1594))/tk_life</f>
        <v>9.4517007316657</v>
      </c>
      <c r="V1599" s="38" t="n">
        <f aca="false">(SUMPRODUCT(--(Sens!$R$1559:$AA$1559&lt;Sens!V$1559),--(Sens!$R$1559:$AA$1559&gt;=Sens!V$1559-tk_life),Sens!$R$1596:$AA$1596)+SUMPRODUCT(--(Sens!$R$1559:$AA$1559&lt;Sens!V$1559),--(Sens!$R$1559:$AA$1559&gt;=Sens!V$1559-tk_life),Sens!$R$1594:$AA$1594))/tk_life</f>
        <v>27.2822988413376</v>
      </c>
      <c r="W1599" s="38" t="n">
        <f aca="false">(SUMPRODUCT(--(Sens!$R$1559:$AA$1559&lt;Sens!W$1559),--(Sens!$R$1559:$AA$1559&gt;=Sens!W$1559-tk_life),Sens!$R$1596:$AA$1596)+SUMPRODUCT(--(Sens!$R$1559:$AA$1559&lt;Sens!W$1559),--(Sens!$R$1559:$AA$1559&gt;=Sens!W$1559-tk_life),Sens!$R$1594:$AA$1594))/tk_life</f>
        <v>62.8991988915881</v>
      </c>
      <c r="X1599" s="38" t="n">
        <f aca="false">(SUMPRODUCT(--(Sens!$R$1559:$AA$1559&lt;Sens!X$1559),--(Sens!$R$1559:$AA$1559&gt;=Sens!X$1559-tk_life),Sens!$R$1596:$AA$1596)+SUMPRODUCT(--(Sens!$R$1559:$AA$1559&lt;Sens!X$1559),--(Sens!$R$1559:$AA$1559&gt;=Sens!X$1559-tk_life),Sens!$R$1594:$AA$1594))/tk_life</f>
        <v>95.9408424146089</v>
      </c>
      <c r="Y1599" s="38" t="n">
        <f aca="false">(SUMPRODUCT(--(Sens!$R$1559:$AA$1559&lt;Sens!Y$1559),--(Sens!$R$1559:$AA$1559&gt;=Sens!Y$1559-tk_life),Sens!$R$1596:$AA$1596)+SUMPRODUCT(--(Sens!$R$1559:$AA$1559&lt;Sens!Y$1559),--(Sens!$R$1559:$AA$1559&gt;=Sens!Y$1559-tk_life),Sens!$R$1594:$AA$1594))/tk_life</f>
        <v>129.672067839264</v>
      </c>
      <c r="Z1599" s="38" t="n">
        <f aca="false">(SUMPRODUCT(--(Sens!$R$1559:$AA$1559&lt;Sens!Z$1559),--(Sens!$R$1559:$AA$1559&gt;=Sens!Z$1559-tk_life),Sens!$R$1596:$AA$1596)+SUMPRODUCT(--(Sens!$R$1559:$AA$1559&lt;Sens!Z$1559),--(Sens!$R$1559:$AA$1559&gt;=Sens!Z$1559-tk_life),Sens!$R$1594:$AA$1594))/tk_life</f>
        <v>153.377650825917</v>
      </c>
      <c r="AA1599" s="38" t="n">
        <f aca="false">(SUMPRODUCT(--(Sens!$R$1559:$AA$1559&lt;Sens!AA$1559),--(Sens!$R$1559:$AA$1559&gt;=Sens!AA$1559-tk_life),Sens!$R$1596:$AA$1596)+SUMPRODUCT(--(Sens!$R$1559:$AA$1559&lt;Sens!AA$1559),--(Sens!$R$1559:$AA$1559&gt;=Sens!AA$1559-tk_life),Sens!$R$1594:$AA$1594))/tk_life</f>
        <v>166.969190942902</v>
      </c>
    </row>
    <row r="1600" customFormat="false" ht="17.15" hidden="false" customHeight="false" outlineLevel="0" collapsed="false">
      <c r="A1600" s="0" t="s">
        <v>649</v>
      </c>
      <c r="B1600" s="0" t="s">
        <v>86</v>
      </c>
      <c r="C1600" s="38" t="n">
        <f aca="false">Sens!$S$1600</f>
        <v>0.0202511502553155</v>
      </c>
      <c r="D1600" s="38" t="n">
        <f aca="false">Sens!$T$1600</f>
        <v>0.172291150255315</v>
      </c>
      <c r="E1600" s="38" t="n">
        <f aca="false">Sens!$G$1600/2</f>
        <v>0.522364740326067</v>
      </c>
      <c r="F1600" s="38" t="n">
        <f aca="false">Sens!$G$1600/2</f>
        <v>0.522364740326067</v>
      </c>
      <c r="G1600" s="38" t="n">
        <f aca="false">Sens!$U$1600</f>
        <v>1.04472948065213</v>
      </c>
      <c r="H1600" s="38" t="n">
        <f aca="false">Sens!$V$1600</f>
        <v>2.76361866736136</v>
      </c>
      <c r="I1600" s="38" t="n">
        <f aca="false">Sens!$W$1600</f>
        <v>6.00382603375863</v>
      </c>
      <c r="J1600" s="38" t="n">
        <f aca="false">Sens!$X$1600</f>
        <v>8.88173734625864</v>
      </c>
      <c r="K1600" s="38" t="n">
        <f aca="false">Sens!$Y$1600</f>
        <v>11.7596486587586</v>
      </c>
      <c r="L1600" s="38" t="n">
        <f aca="false">Sens!$Z$1600</f>
        <v>13.7921598963628</v>
      </c>
      <c r="M1600" s="38" t="n">
        <f aca="false">Sens!$AA$1600</f>
        <v>14.9792710590711</v>
      </c>
      <c r="N1600" s="38" t="n">
        <f aca="false">Sens!$D$1600/2</f>
        <v>0.0861455751276577</v>
      </c>
      <c r="O1600" s="38" t="n">
        <f aca="false">Sens!$D$1600/2</f>
        <v>0.0861455751276577</v>
      </c>
      <c r="R1600" s="38" t="n">
        <f aca="false">(SUMPRODUCT(--(Sens!$R$1559:$AA$1559&lt;Sens!R$1559),Sens!$R$1597:$AA$1597)+SUMPRODUCT(--(Sens!$R$1559:$AA$1559&lt;Sens!R$1559),Sens!$R$1595:$AA$1595))/fac_life</f>
        <v>0</v>
      </c>
      <c r="S1600" s="38" t="n">
        <f aca="false">(SUMPRODUCT(--(Sens!$R$1559:$AA$1559&lt;Sens!S$1559),Sens!$R$1597:$AA$1597)+SUMPRODUCT(--(Sens!$R$1559:$AA$1559&lt;Sens!S$1559),Sens!$R$1595:$AA$1595))/fac_life</f>
        <v>0.0202511502553155</v>
      </c>
      <c r="T1600" s="38" t="n">
        <f aca="false">(SUMPRODUCT(--(Sens!$R$1559:$AA$1559&lt;Sens!T$1559),Sens!$R$1597:$AA$1597)+SUMPRODUCT(--(Sens!$R$1559:$AA$1559&lt;Sens!T$1559),Sens!$R$1595:$AA$1595))/fac_life</f>
        <v>0.172291150255315</v>
      </c>
      <c r="U1600" s="38" t="n">
        <f aca="false">(SUMPRODUCT(--(Sens!$R$1559:$AA$1559&lt;Sens!U$1559),Sens!$R$1597:$AA$1597)+SUMPRODUCT(--(Sens!$R$1559:$AA$1559&lt;Sens!U$1559),Sens!$R$1595:$AA$1595))/fac_life</f>
        <v>1.04472948065213</v>
      </c>
      <c r="V1600" s="38" t="n">
        <f aca="false">(SUMPRODUCT(--(Sens!$R$1559:$AA$1559&lt;Sens!V$1559),Sens!$R$1597:$AA$1597)+SUMPRODUCT(--(Sens!$R$1559:$AA$1559&lt;Sens!V$1559),Sens!$R$1595:$AA$1595))/fac_life</f>
        <v>2.76361866736136</v>
      </c>
      <c r="W1600" s="38" t="n">
        <f aca="false">(SUMPRODUCT(--(Sens!$R$1559:$AA$1559&lt;Sens!W$1559),Sens!$R$1597:$AA$1597)+SUMPRODUCT(--(Sens!$R$1559:$AA$1559&lt;Sens!W$1559),Sens!$R$1595:$AA$1595))/fac_life</f>
        <v>6.00382603375863</v>
      </c>
      <c r="X1600" s="38" t="n">
        <f aca="false">(SUMPRODUCT(--(Sens!$R$1559:$AA$1559&lt;Sens!X$1559),Sens!$R$1597:$AA$1597)+SUMPRODUCT(--(Sens!$R$1559:$AA$1559&lt;Sens!X$1559),Sens!$R$1595:$AA$1595))/fac_life</f>
        <v>8.88173734625864</v>
      </c>
      <c r="Y1600" s="38" t="n">
        <f aca="false">(SUMPRODUCT(--(Sens!$R$1559:$AA$1559&lt;Sens!Y$1559),Sens!$R$1597:$AA$1597)+SUMPRODUCT(--(Sens!$R$1559:$AA$1559&lt;Sens!Y$1559),Sens!$R$1595:$AA$1595))/fac_life</f>
        <v>11.7596486587586</v>
      </c>
      <c r="Z1600" s="38" t="n">
        <f aca="false">(SUMPRODUCT(--(Sens!$R$1559:$AA$1559&lt;Sens!Z$1559),Sens!$R$1597:$AA$1597)+SUMPRODUCT(--(Sens!$R$1559:$AA$1559&lt;Sens!Z$1559),Sens!$R$1595:$AA$1595))/fac_life</f>
        <v>13.7921598963628</v>
      </c>
      <c r="AA1600" s="38" t="n">
        <f aca="false">(SUMPRODUCT(--(Sens!$R$1559:$AA$1559&lt;Sens!AA$1559),Sens!$R$1597:$AA$1597)+SUMPRODUCT(--(Sens!$R$1559:$AA$1559&lt;Sens!AA$1559),Sens!$R$1595:$AA$1595))/fac_life</f>
        <v>14.9792710590711</v>
      </c>
    </row>
    <row r="1601" customFormat="false" ht="17.15" hidden="false" customHeight="false" outlineLevel="0" collapsed="false">
      <c r="A1601" s="1" t="s">
        <v>650</v>
      </c>
      <c r="B1601" s="8" t="s">
        <v>86</v>
      </c>
      <c r="C1601" s="38" t="n">
        <f aca="false">Sens!$C$1599+Sens!$C$1600</f>
        <v>0.203463948620839</v>
      </c>
      <c r="D1601" s="38" t="n">
        <f aca="false">Sens!$D$1599+Sens!$D$1600</f>
        <v>1.73101464862084</v>
      </c>
      <c r="E1601" s="38" t="n">
        <f aca="false">Sens!$E$1599+Sens!$E$1600</f>
        <v>5.24821510615892</v>
      </c>
      <c r="F1601" s="38" t="n">
        <f aca="false">Sens!$F$1599+Sens!$F$1600</f>
        <v>5.24821510615892</v>
      </c>
      <c r="G1601" s="38" t="n">
        <f aca="false">Sens!$G$1599+Sens!$G$1600</f>
        <v>10.4964302123178</v>
      </c>
      <c r="H1601" s="38" t="n">
        <f aca="false">Sens!$H$1599+Sens!$H$1600</f>
        <v>30.045917508699</v>
      </c>
      <c r="I1601" s="38" t="n">
        <f aca="false">Sens!$I$1599+Sens!$I$1600</f>
        <v>68.9030249253467</v>
      </c>
      <c r="J1601" s="38" t="n">
        <f aca="false">Sens!$J$1599+Sens!$J$1600</f>
        <v>104.822579760868</v>
      </c>
      <c r="K1601" s="38" t="n">
        <f aca="false">Sens!$K$1599+Sens!$K$1600</f>
        <v>141.431716498023</v>
      </c>
      <c r="L1601" s="38" t="n">
        <f aca="false">Sens!$L$1599+Sens!$L$1600</f>
        <v>167.16981072228</v>
      </c>
      <c r="M1601" s="38" t="n">
        <f aca="false">Sens!$M$1599+Sens!$M$1600</f>
        <v>181.948462001973</v>
      </c>
      <c r="N1601" s="38" t="n">
        <f aca="false">Sens!$N$1599+Sens!$N$1600</f>
        <v>0.865507324310419</v>
      </c>
      <c r="O1601" s="38" t="n">
        <f aca="false">Sens!$O$1599+Sens!$O$1600</f>
        <v>0.865507324310419</v>
      </c>
      <c r="R1601" s="38" t="n">
        <f aca="false">Sens!$R$1599+Sens!$R$1600</f>
        <v>0</v>
      </c>
      <c r="S1601" s="38" t="n">
        <f aca="false">Sens!$S$1599+Sens!$S$1600</f>
        <v>0.203463948620839</v>
      </c>
      <c r="T1601" s="38" t="n">
        <f aca="false">Sens!$T$1599+Sens!$T$1600</f>
        <v>1.73101464862084</v>
      </c>
      <c r="U1601" s="38" t="n">
        <f aca="false">Sens!$U$1599+Sens!$U$1600</f>
        <v>10.4964302123178</v>
      </c>
      <c r="V1601" s="38" t="n">
        <f aca="false">Sens!$V$1599+Sens!$V$1600</f>
        <v>30.045917508699</v>
      </c>
      <c r="W1601" s="38" t="n">
        <f aca="false">Sens!$W$1599+Sens!$W$1600</f>
        <v>68.9030249253467</v>
      </c>
      <c r="X1601" s="38" t="n">
        <f aca="false">Sens!$X$1599+Sens!$X$1600</f>
        <v>104.822579760868</v>
      </c>
      <c r="Y1601" s="38" t="n">
        <f aca="false">Sens!$Y$1599+Sens!$Y$1600</f>
        <v>141.431716498023</v>
      </c>
      <c r="Z1601" s="38" t="n">
        <f aca="false">Sens!$Z$1599+Sens!$Z$1600</f>
        <v>167.16981072228</v>
      </c>
      <c r="AA1601" s="38" t="n">
        <f aca="false">Sens!$AA$1599+Sens!$AA$1600</f>
        <v>181.948462001973</v>
      </c>
    </row>
    <row r="1602" customFormat="false" ht="17.15" hidden="false" customHeight="false" outlineLevel="0" collapsed="false">
      <c r="A1602" s="0" t="s">
        <v>651</v>
      </c>
      <c r="B1602" s="0" t="s">
        <v>86</v>
      </c>
      <c r="C1602" s="38" t="n">
        <f aca="false">Sens!$S$1602</f>
        <v>26.578941154416</v>
      </c>
      <c r="D1602" s="38" t="n">
        <f aca="false">Sens!$T$1602</f>
        <v>94.4165581367978</v>
      </c>
      <c r="G1602" s="38" t="n">
        <f aca="false">Sens!$U$1602</f>
        <v>236.826599034204</v>
      </c>
      <c r="H1602" s="38" t="n">
        <f aca="false">Sens!$V$1602</f>
        <v>454.994887706443</v>
      </c>
      <c r="I1602" s="38" t="n">
        <f aca="false">Sens!$W$1602</f>
        <v>641.899950169221</v>
      </c>
      <c r="J1602" s="38" t="n">
        <f aca="false">Sens!$X$1602</f>
        <v>798.122225996478</v>
      </c>
      <c r="K1602" s="38" t="n">
        <f aca="false">Sens!$Y$1602</f>
        <v>847.827296370457</v>
      </c>
      <c r="L1602" s="38" t="n">
        <f aca="false">Sens!$Z$1602</f>
        <v>833.306813004054</v>
      </c>
      <c r="M1602" s="38" t="n">
        <f aca="false">Sens!$AA$1602</f>
        <v>808.786288610896</v>
      </c>
      <c r="R1602" s="38" t="n">
        <f aca="false">SUM(Sens!$R$1589:$R$1589)-SUM(Sens!$R$1601:$R$1601)</f>
        <v>1.50429979529945</v>
      </c>
      <c r="S1602" s="38" t="n">
        <f aca="false">SUM(Sens!$R$1589:$S$1589)-SUM(Sens!$R$1601:$S$1601)</f>
        <v>26.578941154416</v>
      </c>
      <c r="T1602" s="38" t="n">
        <f aca="false">SUM(Sens!$R$1589:$T$1589)-SUM(Sens!$R$1601:$T$1601)</f>
        <v>94.4165581367978</v>
      </c>
      <c r="U1602" s="38" t="n">
        <f aca="false">SUM(Sens!$R$1589:$U$1589)-SUM(Sens!$R$1601:$U$1601)</f>
        <v>236.826599034204</v>
      </c>
      <c r="V1602" s="38" t="n">
        <f aca="false">SUM(Sens!$R$1589:$V$1589)-SUM(Sens!$R$1601:$V$1601)</f>
        <v>454.994887706443</v>
      </c>
      <c r="W1602" s="38" t="n">
        <f aca="false">SUM(Sens!$R$1589:$W$1589)-SUM(Sens!$R$1601:$W$1601)</f>
        <v>641.899950169221</v>
      </c>
      <c r="X1602" s="38" t="n">
        <f aca="false">SUM(Sens!$R$1589:$X$1589)-SUM(Sens!$R$1601:$X$1601)</f>
        <v>798.122225996478</v>
      </c>
      <c r="Y1602" s="38" t="n">
        <f aca="false">SUM(Sens!$R$1589:$Y$1589)-SUM(Sens!$R$1601:$Y$1601)</f>
        <v>847.827296370457</v>
      </c>
      <c r="Z1602" s="38" t="n">
        <f aca="false">SUM(Sens!$R$1589:$Z$1589)-SUM(Sens!$R$1601:$Z$1601)</f>
        <v>833.306813004054</v>
      </c>
      <c r="AA1602" s="38" t="n">
        <f aca="false">SUM(Sens!$R$1589:$AA$1589)-SUM(Sens!$R$1601:$AA$1601)</f>
        <v>808.786288610896</v>
      </c>
    </row>
    <row r="1603" customFormat="false" ht="17.15" hidden="false" customHeight="false" outlineLevel="0" collapsed="false">
      <c r="A1603" s="1" t="s">
        <v>652</v>
      </c>
    </row>
    <row r="1604" customFormat="false" ht="17.15" hidden="false" customHeight="false" outlineLevel="0" collapsed="false">
      <c r="A1604" s="0" t="s">
        <v>653</v>
      </c>
      <c r="B1604" s="0" t="s">
        <v>86</v>
      </c>
      <c r="C1604" s="38" t="n">
        <f aca="false">Sens!$C$1580-ext_sh*Sens!$C$1582</f>
        <v>1.80694998843362</v>
      </c>
      <c r="D1604" s="38" t="n">
        <f aca="false">Sens!$D$1580-ext_sh*Sens!$D$1582</f>
        <v>6.77606245662607</v>
      </c>
      <c r="E1604" s="38" t="n">
        <f aca="false">Sens!$E$1580-ext_sh*Sens!$E$1582</f>
        <v>6.62548329092326</v>
      </c>
      <c r="F1604" s="38" t="n">
        <f aca="false">Sens!$F$1580-ext_sh*Sens!$F$1582</f>
        <v>12.6925429907018</v>
      </c>
      <c r="G1604" s="38" t="n">
        <f aca="false">Sens!$G$1580-ext_sh*Sens!$G$1582</f>
        <v>19.3180262816251</v>
      </c>
      <c r="H1604" s="38" t="n">
        <f aca="false">Sens!$H$1580-ext_sh*Sens!$H$1582</f>
        <v>55.4814075742838</v>
      </c>
      <c r="I1604" s="38" t="n">
        <f aca="false">Sens!$I$1580-ext_sh*Sens!$I$1582</f>
        <v>96.7774032721855</v>
      </c>
      <c r="J1604" s="38" t="n">
        <f aca="false">Sens!$J$1580-ext_sh*Sens!$J$1582</f>
        <v>138.284087735331</v>
      </c>
      <c r="K1604" s="38" t="n">
        <f aca="false">Sens!$K$1580-ext_sh*Sens!$K$1582</f>
        <v>173.666297315773</v>
      </c>
      <c r="L1604" s="38" t="n">
        <f aca="false">Sens!$L$1580-ext_sh*Sens!$L$1582</f>
        <v>196.863523355832</v>
      </c>
      <c r="M1604" s="38" t="n">
        <f aca="false">Sens!$M$1580-ext_sh*Sens!$M$1582</f>
        <v>207.841388352838</v>
      </c>
      <c r="N1604" s="38" t="n">
        <f aca="false">Sens!$N$1580-ext_sh*Sens!$N$1582</f>
        <v>2.37162185981912</v>
      </c>
      <c r="O1604" s="38" t="n">
        <f aca="false">Sens!$O$1580-ext_sh*Sens!$O$1582</f>
        <v>4.40444059680694</v>
      </c>
    </row>
    <row r="1605" customFormat="false" ht="17.15" hidden="false" customHeight="false" outlineLevel="0" collapsed="false">
      <c r="A1605" s="1" t="s">
        <v>654</v>
      </c>
      <c r="B1605" s="8" t="s">
        <v>86</v>
      </c>
      <c r="C1605" s="38" t="n">
        <f aca="false">Sens!$C$1604-ext_sh*Sens!$C$1601</f>
        <v>1.64417882953695</v>
      </c>
      <c r="D1605" s="38" t="n">
        <f aca="false">Sens!$D$1604-ext_sh*Sens!$D$1601</f>
        <v>5.39125073772939</v>
      </c>
      <c r="E1605" s="38" t="n">
        <f aca="false">Sens!$E$1604-ext_sh*Sens!$E$1601</f>
        <v>2.42691120599613</v>
      </c>
      <c r="F1605" s="38" t="n">
        <f aca="false">Sens!$F$1604-ext_sh*Sens!$F$1601</f>
        <v>8.49397090577469</v>
      </c>
      <c r="G1605" s="38" t="n">
        <f aca="false">Sens!$G$1604-ext_sh*Sens!$G$1601</f>
        <v>10.9208821117708</v>
      </c>
      <c r="H1605" s="38" t="n">
        <f aca="false">Sens!$H$1604-ext_sh*Sens!$H$1601</f>
        <v>31.4446735673246</v>
      </c>
      <c r="I1605" s="38" t="n">
        <f aca="false">Sens!$I$1604-ext_sh*Sens!$I$1601</f>
        <v>41.6549833319082</v>
      </c>
      <c r="J1605" s="38" t="n">
        <f aca="false">Sens!$J$1604-ext_sh*Sens!$J$1601</f>
        <v>54.4260239266373</v>
      </c>
      <c r="K1605" s="38" t="n">
        <f aca="false">Sens!$K$1604-ext_sh*Sens!$K$1601</f>
        <v>60.5209241173549</v>
      </c>
      <c r="L1605" s="38" t="n">
        <f aca="false">Sens!$L$1604-ext_sh*Sens!$L$1601</f>
        <v>63.1276747780082</v>
      </c>
      <c r="M1605" s="38" t="n">
        <f aca="false">Sens!$M$1604-ext_sh*Sens!$M$1601</f>
        <v>62.2826187512593</v>
      </c>
      <c r="N1605" s="38" t="n">
        <f aca="false">Sens!$N$1604-ext_sh*Sens!$N$1601</f>
        <v>1.67921600037079</v>
      </c>
      <c r="O1605" s="38" t="n">
        <f aca="false">Sens!$O$1604-ext_sh*Sens!$O$1601</f>
        <v>3.71203473735861</v>
      </c>
    </row>
    <row r="1606" customFormat="false" ht="17.15" hidden="false" customHeight="false" outlineLevel="0" collapsed="false">
      <c r="A1606" s="0" t="s">
        <v>655</v>
      </c>
      <c r="B1606" s="0" t="s">
        <v>52</v>
      </c>
      <c r="C1606" s="13" t="n">
        <f aca="false">Sens!$C$1605/Sens!$C$1580</f>
        <v>0.708390794789371</v>
      </c>
      <c r="D1606" s="13" t="n">
        <f aca="false">Sens!$D$1605/Sens!$D$1580</f>
        <v>0.619415573115729</v>
      </c>
      <c r="E1606" s="13" t="n">
        <f aca="false">Sens!$E$1605/Sens!$E$1580</f>
        <v>0.285171627189009</v>
      </c>
      <c r="F1606" s="13" t="n">
        <f aca="false">Sens!$F$1605/Sens!$F$1580</f>
        <v>0.524647271600054</v>
      </c>
      <c r="G1606" s="13" t="n">
        <f aca="false">Sens!$G$1605/Sens!$G$1580</f>
        <v>0.442136992272706</v>
      </c>
      <c r="H1606" s="13" t="n">
        <f aca="false">Sens!$H$1605/Sens!$H$1580</f>
        <v>0.448066933311226</v>
      </c>
      <c r="I1606" s="13" t="n">
        <f aca="false">Sens!$I$1605/Sens!$I$1580</f>
        <v>0.341852417197908</v>
      </c>
      <c r="J1606" s="13" t="n">
        <f aca="false">Sens!$J$1605/Sens!$J$1580</f>
        <v>0.313238049791523</v>
      </c>
      <c r="K1606" s="13" t="n">
        <f aca="false">Sens!$K$1605/Sens!$K$1580</f>
        <v>0.277617440120442</v>
      </c>
      <c r="L1606" s="13" t="n">
        <f aca="false">Sens!$L$1605/Sens!$L$1580</f>
        <v>0.255565813569901</v>
      </c>
      <c r="M1606" s="13" t="n">
        <f aca="false">Sens!$M$1605/Sens!$M$1580</f>
        <v>0.23886300816521</v>
      </c>
      <c r="N1606" s="13" t="n">
        <f aca="false">Sens!$N$1605/Sens!$N$1580</f>
        <v>0.551227795793364</v>
      </c>
      <c r="O1606" s="13" t="n">
        <f aca="false">Sens!$O$1605/Sens!$O$1580</f>
        <v>0.656132068597002</v>
      </c>
    </row>
    <row r="1607" customFormat="false" ht="17.15" hidden="false" customHeight="false" outlineLevel="0" collapsed="false">
      <c r="A1607" s="5" t="s">
        <v>656</v>
      </c>
      <c r="B1607" s="0" t="s">
        <v>86</v>
      </c>
      <c r="C1607" s="39" t="n">
        <v>0</v>
      </c>
      <c r="D1607" s="39" t="n">
        <v>0</v>
      </c>
      <c r="E1607" s="39" t="n">
        <v>0</v>
      </c>
      <c r="F1607" s="38" t="n">
        <f aca="false">IF(internal_ai_reading=2,1,0)*(1-ext_sh)/ext_sh*(mw_open*he_open+Sens!$F$1578*Sens!$F$1575)*Sens!$F$1564/1000</f>
        <v>4.08031800914075</v>
      </c>
      <c r="G1607" s="38" t="n">
        <f aca="false">Sens!$E$1607+Sens!$F$1607</f>
        <v>4.08031800914075</v>
      </c>
      <c r="H1607" s="38" t="n">
        <f aca="false">IF(internal_ai_reading=2,1,0)*(1-ext_sh)/ext_sh*(mw_open*he_open+Sens!$H$1578*Sens!$H$1575)*Sens!$H$1564/1000</f>
        <v>17.6870277651227</v>
      </c>
      <c r="I1607" s="38" t="n">
        <f aca="false">IF(internal_ai_reading=2,1,0)*(1-ext_sh)/ext_sh*(mw_open*he_open+Sens!$I$1578*Sens!$I$1575)*Sens!$I$1564/1000</f>
        <v>30.7099402663721</v>
      </c>
      <c r="J1607" s="38" t="n">
        <f aca="false">IF(internal_ai_reading=2,1,0)*(1-ext_sh)/ext_sh*(mw_open*he_open+Sens!$J$1578*Sens!$J$1575)*Sens!$J$1564/1000</f>
        <v>43.7907878362763</v>
      </c>
      <c r="K1607" s="38" t="n">
        <f aca="false">IF(internal_ai_reading=2,1,0)*(1-ext_sh)/ext_sh*(mw_open*he_open+Sens!$K$1578*Sens!$K$1575)*Sens!$K$1564/1000</f>
        <v>54.9426328870174</v>
      </c>
      <c r="L1607" s="38" t="n">
        <f aca="false">IF(internal_ai_reading=2,1,0)*(1-ext_sh)/ext_sh*(mw_open*he_open+Sens!$L$1578*Sens!$L$1575)*Sens!$L$1564/1000</f>
        <v>62.2540622931248</v>
      </c>
      <c r="M1607" s="38" t="n">
        <f aca="false">IF(internal_ai_reading=2,1,0)*(1-ext_sh)/ext_sh*(mw_open*he_open+Sens!$M$1578*Sens!$M$1575)*Sens!$M$1564/1000</f>
        <v>65.7156229498017</v>
      </c>
      <c r="N1607" s="39" t="n">
        <v>0</v>
      </c>
      <c r="O1607" s="39" t="n">
        <v>0</v>
      </c>
      <c r="P1607" s="8" t="s">
        <v>657</v>
      </c>
    </row>
    <row r="1608" customFormat="false" ht="17.15" hidden="false" customHeight="false" outlineLevel="0" collapsed="false">
      <c r="A1608" s="5" t="s">
        <v>658</v>
      </c>
      <c r="B1608" s="0" t="s">
        <v>86</v>
      </c>
      <c r="C1608" s="38" t="n">
        <f aca="false">(1-ext_sh)*(Sens!$C$1582+Sens!$C$1601)</f>
        <v>0.169206631859174</v>
      </c>
      <c r="D1608" s="38" t="n">
        <f aca="false">(1-ext_sh)*(Sens!$D$1582+Sens!$D$1601)</f>
        <v>0.828129837730442</v>
      </c>
      <c r="E1608" s="38" t="n">
        <f aca="false">(1-ext_sh)*(Sens!$E$1582+Sens!$E$1601)</f>
        <v>1.52086044239347</v>
      </c>
      <c r="F1608" s="38" t="n">
        <f aca="false">(1-ext_sh)*(Sens!$F$1582+Sens!$F$1601)</f>
        <v>1.92397467001777</v>
      </c>
      <c r="G1608" s="38" t="n">
        <f aca="false">(1-ext_sh)*(Sens!$G$1582+Sens!$G$1601)</f>
        <v>3.44483511241125</v>
      </c>
      <c r="H1608" s="38" t="n">
        <f aca="false">(1-ext_sh)*(Sens!$H$1582+Sens!$H$1601)</f>
        <v>9.68346123244601</v>
      </c>
      <c r="I1608" s="38" t="n">
        <f aca="false">(1-ext_sh)*(Sens!$I$1582+Sens!$I$1601)</f>
        <v>20.0489489121306</v>
      </c>
      <c r="J1608" s="38" t="n">
        <f aca="false">(1-ext_sh)*(Sens!$J$1582+Sens!$J$1601)</f>
        <v>29.8317225180877</v>
      </c>
      <c r="K1608" s="38" t="n">
        <f aca="false">(1-ext_sh)*(Sens!$K$1582+Sens!$K$1601)</f>
        <v>39.3700590921126</v>
      </c>
      <c r="L1608" s="38" t="n">
        <f aca="false">(1-ext_sh)*(Sens!$L$1582+Sens!$L$1601)</f>
        <v>45.970936564386</v>
      </c>
      <c r="M1608" s="38" t="n">
        <f aca="false">(1-ext_sh)*(Sens!$M$1582+Sens!$M$1601)</f>
        <v>49.6158922263282</v>
      </c>
      <c r="N1608" s="38" t="n">
        <f aca="false">(1-ext_sh)*(Sens!$N$1582+Sens!$N$1601)</f>
        <v>0.34177588266428</v>
      </c>
      <c r="O1608" s="38" t="n">
        <f aca="false">(1-ext_sh)*(Sens!$O$1582+Sens!$O$1601)</f>
        <v>0.486353955066162</v>
      </c>
    </row>
    <row r="1609" customFormat="false" ht="17.15" hidden="false" customHeight="false" outlineLevel="0" collapsed="false">
      <c r="A1609" s="0" t="s">
        <v>659</v>
      </c>
      <c r="B1609" s="0" t="s">
        <v>86</v>
      </c>
      <c r="C1609" s="38" t="n">
        <f aca="false">Q!$D$24</f>
        <v>39.834</v>
      </c>
      <c r="D1609" s="38" t="n">
        <f aca="false">Q!$E$24</f>
        <v>45.606</v>
      </c>
      <c r="E1609" s="38" t="n">
        <f aca="false">Q!$P$24</f>
        <v>30.782</v>
      </c>
      <c r="N1609" s="38" t="n">
        <f aca="false">Q!$N$24</f>
        <v>21.707</v>
      </c>
      <c r="O1609" s="38" t="n">
        <f aca="false">Q!$O$24</f>
        <v>23.899</v>
      </c>
    </row>
    <row r="1610" customFormat="false" ht="17.15" hidden="false" customHeight="false" outlineLevel="0" collapsed="false">
      <c r="A1610" s="0" t="s">
        <v>660</v>
      </c>
      <c r="B1610" s="0" t="s">
        <v>86</v>
      </c>
      <c r="C1610" s="38" t="n">
        <f aca="false">Sens!$C$1609-Sens!$C$1605</f>
        <v>38.1898211704631</v>
      </c>
      <c r="D1610" s="38" t="n">
        <f aca="false">Sens!$D$1609-Sens!$D$1605</f>
        <v>40.2147492622706</v>
      </c>
      <c r="E1610" s="38" t="n">
        <f aca="false">Sens!$E$1609-Sens!$E$1605</f>
        <v>28.3550887940039</v>
      </c>
      <c r="F1610" s="38" t="n">
        <f aca="false">Sens!$F$1584*Sens!$F$1611</f>
        <v>25.9529793149447</v>
      </c>
      <c r="G1610" s="38" t="n">
        <f aca="false">Sens!$E$1610+Sens!$F$1610</f>
        <v>54.3080681089486</v>
      </c>
      <c r="H1610" s="38" t="n">
        <f aca="false">Sens!$H$1584*Sens!$H$1611</f>
        <v>58.2264684589333</v>
      </c>
      <c r="I1610" s="38" t="n">
        <f aca="false">Sens!$I$1584*Sens!$I$1611</f>
        <v>64.6461353851744</v>
      </c>
      <c r="J1610" s="38" t="n">
        <f aca="false">Sens!$J$1584*Sens!$J$1611</f>
        <v>70.7957093610231</v>
      </c>
      <c r="K1610" s="38" t="n">
        <f aca="false">Sens!$K$1584*Sens!$K$1611</f>
        <v>76.4593661099049</v>
      </c>
      <c r="L1610" s="38" t="n">
        <f aca="false">Sens!$L$1584*Sens!$L$1611</f>
        <v>82.5761153986973</v>
      </c>
      <c r="M1610" s="38" t="n">
        <f aca="false">Sens!$M$1584*Sens!$M$1611</f>
        <v>89.1822046305931</v>
      </c>
      <c r="N1610" s="38" t="n">
        <f aca="false">Sens!$N$1609-Sens!$N$1605</f>
        <v>20.0277839996292</v>
      </c>
      <c r="O1610" s="38" t="n">
        <f aca="false">Sens!$O$1609-Sens!$O$1605</f>
        <v>20.1869652626414</v>
      </c>
      <c r="P1610" s="5" t="s">
        <v>661</v>
      </c>
    </row>
    <row r="1611" customFormat="false" ht="17.15" hidden="false" customHeight="false" outlineLevel="0" collapsed="false">
      <c r="A1611" s="0" t="s">
        <v>662</v>
      </c>
      <c r="B1611" s="0" t="s">
        <v>52</v>
      </c>
      <c r="C1611" s="13" t="n">
        <f aca="false">Sens!$C$1610/Sens!$C$1584</f>
        <v>0.362900395443635</v>
      </c>
      <c r="D1611" s="13" t="n">
        <f aca="false">Sens!$D$1610/Sens!$D$1584</f>
        <v>0.335063632425483</v>
      </c>
      <c r="E1611" s="13" t="n">
        <f aca="false">Sens!$E$1610/Sens!$E$1584</f>
        <v>0.397638855555478</v>
      </c>
      <c r="F1611" s="13" t="n">
        <f aca="false">(Sens!$O$1610+Sens!$E$1610)/(Sens!$O$1584+Sens!$E$1584)</f>
        <v>0.361616727338133</v>
      </c>
      <c r="G1611" s="13" t="n">
        <f aca="false">Sens!$G$1610/Sens!$G$1584</f>
        <v>0.379569803149143</v>
      </c>
      <c r="H1611" s="13" t="n">
        <f aca="false">Sens!$F$1611</f>
        <v>0.361616727338133</v>
      </c>
      <c r="I1611" s="13" t="n">
        <f aca="false">Sens!$F$1611</f>
        <v>0.361616727338133</v>
      </c>
      <c r="J1611" s="13" t="n">
        <f aca="false">Sens!$F$1611</f>
        <v>0.361616727338133</v>
      </c>
      <c r="K1611" s="13" t="n">
        <f aca="false">Sens!$F$1611</f>
        <v>0.361616727338133</v>
      </c>
      <c r="L1611" s="13" t="n">
        <f aca="false">Sens!$F$1611</f>
        <v>0.361616727338133</v>
      </c>
      <c r="M1611" s="13" t="n">
        <f aca="false">Sens!$F$1611</f>
        <v>0.361616727338133</v>
      </c>
      <c r="N1611" s="13" t="n">
        <f aca="false">Sens!$N$1610/Sens!$N$1584</f>
        <v>0.35078810535806</v>
      </c>
      <c r="O1611" s="13" t="n">
        <f aca="false">Sens!$O$1610/Sens!$O$1584</f>
        <v>0.320796939361619</v>
      </c>
      <c r="P1611" s="8" t="s">
        <v>663</v>
      </c>
    </row>
    <row r="1612" customFormat="false" ht="17.15" hidden="false" customHeight="false" outlineLevel="0" collapsed="false">
      <c r="A1612" s="0" t="s">
        <v>664</v>
      </c>
      <c r="B1612" s="0" t="s">
        <v>52</v>
      </c>
      <c r="D1612" s="13" t="n">
        <f aca="false">(Q!$E$31-ext_sh*Sens!$D$1601)/Sens!$D$1584</f>
        <v>0.167180325480118</v>
      </c>
    </row>
    <row r="1613" customFormat="false" ht="17.15" hidden="false" customHeight="false" outlineLevel="0" collapsed="false">
      <c r="A1613" s="0" t="s">
        <v>665</v>
      </c>
      <c r="B1613" s="0" t="s">
        <v>86</v>
      </c>
      <c r="C1613" s="38" t="n">
        <f aca="false">Q!$D$31</f>
        <v>13.32</v>
      </c>
      <c r="D1613" s="38" t="n">
        <f aca="false">Q!$E$31</f>
        <v>21.45</v>
      </c>
      <c r="E1613" s="38" t="n">
        <f aca="false">Q!$P$31</f>
        <v>15.353</v>
      </c>
      <c r="F1613" s="38" t="n">
        <f aca="false">ext_sh*Sens!$F$1601+Sens!$D$1612*Sens!$F$1584</f>
        <v>16.1969869840094</v>
      </c>
      <c r="G1613" s="38" t="n">
        <f aca="false">Sens!$E$1613+Sens!$F$1613</f>
        <v>31.5499869840094</v>
      </c>
      <c r="H1613" s="38" t="n">
        <f aca="false">ext_sh*Sens!$H$1601+Sens!$D$1612*Sens!$H$1584</f>
        <v>50.9556213609176</v>
      </c>
      <c r="I1613" s="38" t="n">
        <f aca="false">ext_sh*Sens!$I$1601+Sens!$D$1612*Sens!$I$1584</f>
        <v>85.009206523077</v>
      </c>
      <c r="J1613" s="38" t="n">
        <f aca="false">ext_sh*Sens!$J$1601+Sens!$D$1612*Sens!$J$1584</f>
        <v>116.587881980254</v>
      </c>
      <c r="K1613" s="38" t="n">
        <f aca="false">ext_sh*Sens!$K$1601+Sens!$D$1612*Sens!$K$1584</f>
        <v>148.493576823703</v>
      </c>
      <c r="L1613" s="38" t="n">
        <f aca="false">ext_sh*Sens!$L$1601+Sens!$D$1612*Sens!$L$1584</f>
        <v>171.911908493131</v>
      </c>
      <c r="M1613" s="38" t="n">
        <f aca="false">ext_sh*Sens!$M$1601+Sens!$D$1612*Sens!$M$1584</f>
        <v>186.788914310111</v>
      </c>
      <c r="N1613" s="38" t="n">
        <f aca="false">Q!$N$31</f>
        <v>9.234</v>
      </c>
      <c r="O1613" s="38" t="n">
        <f aca="false">Q!$O$31</f>
        <v>12.216</v>
      </c>
    </row>
    <row r="1614" customFormat="false" ht="17.15" hidden="false" customHeight="false" outlineLevel="0" collapsed="false">
      <c r="A1614" s="1" t="s">
        <v>666</v>
      </c>
    </row>
    <row r="1615" customFormat="false" ht="17.15" hidden="false" customHeight="false" outlineLevel="0" collapsed="false">
      <c r="A1615" s="15" t="s">
        <v>667</v>
      </c>
      <c r="B1615" s="14" t="s">
        <v>52</v>
      </c>
      <c r="C1615" s="14"/>
      <c r="D1615" s="14"/>
      <c r="E1615" s="14"/>
      <c r="F1615" s="14"/>
      <c r="G1615" s="17" t="n">
        <f aca="false">Sens!$G$1605*(1-tax)/(ext_sh*(Sens!$D$1602+Sens!$G$1602)/2)</f>
        <v>0.0681160181329864</v>
      </c>
      <c r="H1615" s="17" t="n">
        <f aca="false">Sens!$H$1605*(1-tax)/(ext_sh*(Sens!$G$1602+Sens!$H$1602)/2)</f>
        <v>0.0939056002503496</v>
      </c>
      <c r="I1615" s="17" t="n">
        <f aca="false">Sens!$I$1605*(1-tax)/(ext_sh*(Sens!$H$1602+Sens!$I$1602)/2)</f>
        <v>0.0784585759276184</v>
      </c>
      <c r="J1615" s="17" t="n">
        <f aca="false">Sens!$J$1605*(1-tax)/(ext_sh*(Sens!$I$1602+Sens!$J$1602)/2)</f>
        <v>0.0780864855276573</v>
      </c>
      <c r="K1615" s="17" t="n">
        <f aca="false">Sens!$K$1605*(1-tax)/(ext_sh*(Sens!$J$1602+Sens!$K$1602)/2)</f>
        <v>0.0759674392715471</v>
      </c>
      <c r="L1615" s="17" t="n">
        <f aca="false">Sens!$L$1605*(1-tax)/(ext_sh*(Sens!$K$1602+Sens!$L$1602)/2)</f>
        <v>0.0775810908601337</v>
      </c>
      <c r="M1615" s="17" t="n">
        <f aca="false">Sens!$M$1605*(1-tax)/(ext_sh*(Sens!$L$1602+Sens!$M$1602)/2)</f>
        <v>0.0783623653981366</v>
      </c>
      <c r="N1615" s="14"/>
      <c r="O1615" s="14"/>
      <c r="P1615" s="8" t="s">
        <v>668</v>
      </c>
    </row>
    <row r="1616" customFormat="false" ht="17.15" hidden="false" customHeight="false" outlineLevel="0" collapsed="false">
      <c r="A1616" s="5" t="s">
        <v>669</v>
      </c>
      <c r="B1616" s="0" t="s">
        <v>57</v>
      </c>
      <c r="H1616" s="36" t="n">
        <f aca="false">Sens!$H$1580*1000/(mw_open*he_open+Sens!$H$1578*Sens!$H$1575)</f>
        <v>0.991949006767192</v>
      </c>
      <c r="I1616" s="36" t="n">
        <f aca="false">Sens!$I$1580*1000/(mw_open*he_open+Sens!$I$1578*Sens!$I$1575)</f>
        <v>0.991949006767191</v>
      </c>
      <c r="J1616" s="36" t="n">
        <f aca="false">Sens!$J$1580*1000/(mw_open*he_open+Sens!$J$1578*Sens!$J$1575)</f>
        <v>0.991949006767191</v>
      </c>
      <c r="K1616" s="36" t="n">
        <f aca="false">Sens!$K$1580*1000/(mw_open*he_open+Sens!$K$1578*Sens!$K$1575)</f>
        <v>0.991949006767191</v>
      </c>
      <c r="L1616" s="36" t="n">
        <f aca="false">Sens!$L$1580*1000/(mw_open*he_open+Sens!$L$1578*Sens!$L$1575)</f>
        <v>0.991949006767191</v>
      </c>
      <c r="M1616" s="36" t="n">
        <f aca="false">Sens!$M$1580*1000/(mw_open*he_open+Sens!$M$1578*Sens!$M$1575)</f>
        <v>0.991949006767192</v>
      </c>
    </row>
    <row r="1617" customFormat="false" ht="17.15" hidden="false" customHeight="false" outlineLevel="0" collapsed="false">
      <c r="A1617" s="5" t="s">
        <v>670</v>
      </c>
      <c r="B1617" s="0" t="s">
        <v>57</v>
      </c>
      <c r="H1617" s="36" t="n">
        <f aca="false">Sens!$H$1616*(Sens!$H$1580+wacc*ext_sh*(Sens!$G$1602+Sens!$H$1602)/2/(1-tax)-Sens!$H$1605)/Sens!$H$1580</f>
        <v>1.08373139981646</v>
      </c>
      <c r="I1617" s="36" t="n">
        <f aca="false">Sens!$I$1616*(Sens!$I$1580+wacc*ext_sh*(Sens!$H$1602+Sens!$I$1602)/2/(1-tax)-Sens!$I$1605)/Sens!$I$1580</f>
        <v>1.1425234800615</v>
      </c>
      <c r="J1617" s="36" t="n">
        <f aca="false">Sens!$J$1616*(Sens!$J$1580+wacc*ext_sh*(Sens!$I$1602+Sens!$J$1602)/2/(1-tax)-Sens!$J$1605)/Sens!$J$1580</f>
        <v>1.13205785632791</v>
      </c>
      <c r="K1617" s="36" t="n">
        <f aca="false">Sens!$K$1616*(Sens!$K$1580+wacc*ext_sh*(Sens!$J$1602+Sens!$K$1602)/2/(1-tax)-Sens!$K$1605)/Sens!$K$1580</f>
        <v>1.12727038211526</v>
      </c>
      <c r="L1617" s="36" t="n">
        <f aca="false">Sens!$L$1616*(Sens!$L$1580+wacc*ext_sh*(Sens!$K$1602+Sens!$L$1602)/2/(1-tax)-Sens!$L$1605)/Sens!$L$1580</f>
        <v>1.10865766452404</v>
      </c>
      <c r="M1617" s="36" t="n">
        <f aca="false">Sens!$M$1616*(Sens!$M$1580+wacc*ext_sh*(Sens!$L$1602+Sens!$M$1602)/2/(1-tax)-Sens!$M$1605)/Sens!$M$1580</f>
        <v>1.09758019582383</v>
      </c>
    </row>
    <row r="1618" customFormat="false" ht="17.15" hidden="false" customHeight="false" outlineLevel="0" collapsed="false">
      <c r="A1618" s="5" t="s">
        <v>671</v>
      </c>
      <c r="B1618" s="0" t="s">
        <v>52</v>
      </c>
      <c r="C1618" s="13" t="n">
        <f aca="false">Sens!$C$1581/tk_pq</f>
        <v>0.195316432429398</v>
      </c>
      <c r="D1618" s="13" t="n">
        <f aca="false">Sens!$D$1581/tk_pq</f>
        <v>0.195316432429398</v>
      </c>
      <c r="E1618" s="13" t="n">
        <f aca="false">Sens!$E$1581/tk_pq</f>
        <v>0.195316432429398</v>
      </c>
      <c r="F1618" s="13" t="n">
        <f aca="false">Sens!$F$1581/tk_pq</f>
        <v>0.203361702985279</v>
      </c>
      <c r="G1618" s="13" t="n">
        <f aca="false">Sens!$G$1581/tk_pq</f>
        <v>0.200515948052215</v>
      </c>
      <c r="H1618" s="13" t="n">
        <f aca="false">Sens!$H$1581/tk_pq</f>
        <v>0.21400874463705</v>
      </c>
      <c r="I1618" s="13" t="n">
        <f aca="false">Sens!$I$1581/tk_pq</f>
        <v>0.22040137117169</v>
      </c>
      <c r="J1618" s="13" t="n">
        <f aca="false">Sens!$J$1581/tk_pq</f>
        <v>0.223392097836285</v>
      </c>
      <c r="K1618" s="13" t="n">
        <f aca="false">Sens!$K$1581/tk_pq</f>
        <v>0.224815185841028</v>
      </c>
      <c r="L1618" s="13" t="n">
        <f aca="false">Sens!$L$1581/tk_pq</f>
        <v>0.225475793589319</v>
      </c>
      <c r="M1618" s="13" t="n">
        <f aca="false">Sens!$M$1581/tk_pq</f>
        <v>0.22570393520189</v>
      </c>
      <c r="N1618" s="13" t="n">
        <f aca="false">Sens!$N$1581/tk_pq</f>
        <v>0.195316432429398</v>
      </c>
      <c r="O1618" s="13" t="n">
        <f aca="false">Sens!$O$1581/tk_pq</f>
        <v>0.195316432429398</v>
      </c>
      <c r="P1618" s="5" t="s">
        <v>672</v>
      </c>
    </row>
    <row r="1621" customFormat="false" ht="17.15" hidden="false" customHeight="false" outlineLevel="0" collapsed="false">
      <c r="A1621" s="1" t="s">
        <v>701</v>
      </c>
    </row>
    <row r="1622" customFormat="false" ht="17.15" hidden="false" customHeight="false" outlineLevel="0" collapsed="false">
      <c r="A1622" s="0" t="s">
        <v>702</v>
      </c>
      <c r="B1622" s="0" t="s">
        <v>86</v>
      </c>
      <c r="C1622" s="38" t="n">
        <f aca="false">Sens!$C$1580</f>
        <v>2.32100535697364</v>
      </c>
      <c r="D1622" s="38" t="n">
        <f aca="false">Sens!$D$1580</f>
        <v>8.70377008865116</v>
      </c>
      <c r="E1622" s="38" t="n">
        <f aca="false">Sens!$E$1580</f>
        <v>8.51035297557002</v>
      </c>
      <c r="F1622" s="38" t="n">
        <f aca="false">Sens!$F$1580</f>
        <v>16.1898695858458</v>
      </c>
      <c r="G1622" s="38" t="n">
        <f aca="false">Sens!$G$1580</f>
        <v>24.7002225614158</v>
      </c>
      <c r="H1622" s="38" t="n">
        <f aca="false">Sens!$H$1580</f>
        <v>70.1785184971087</v>
      </c>
      <c r="I1622" s="38" t="n">
        <f aca="false">Sens!$I$1580</f>
        <v>121.85077898043</v>
      </c>
      <c r="J1622" s="38" t="n">
        <f aca="false">Sens!$J$1580</f>
        <v>173.752913998988</v>
      </c>
      <c r="K1622" s="38" t="n">
        <f aca="false">Sens!$K$1580</f>
        <v>218.001160485805</v>
      </c>
      <c r="L1622" s="38" t="n">
        <f aca="false">Sens!$L$1580</f>
        <v>247.011421035552</v>
      </c>
      <c r="M1622" s="38" t="n">
        <f aca="false">Sens!$M$1580</f>
        <v>260.746187656572</v>
      </c>
      <c r="N1622" s="38" t="n">
        <f aca="false">Sens!$N$1580</f>
        <v>3.04631953102791</v>
      </c>
      <c r="O1622" s="38" t="n">
        <f aca="false">Sens!$O$1580</f>
        <v>5.65745055762326</v>
      </c>
      <c r="P1622" s="8" t="s">
        <v>703</v>
      </c>
    </row>
    <row r="1623" customFormat="false" ht="17.15" hidden="false" customHeight="false" outlineLevel="0" collapsed="false">
      <c r="A1623" s="0" t="s">
        <v>704</v>
      </c>
      <c r="B1623" s="0" t="s">
        <v>86</v>
      </c>
      <c r="C1623" s="38" t="n">
        <f aca="false">Sens!$C$1584</f>
        <v>105.234994643026</v>
      </c>
      <c r="D1623" s="38" t="n">
        <f aca="false">Sens!$D$1584</f>
        <v>120.021229911349</v>
      </c>
      <c r="E1623" s="38" t="n">
        <f aca="false">Sens!$E$1584</f>
        <v>71.30864702443</v>
      </c>
      <c r="F1623" s="38" t="n">
        <f aca="false">Sens!$F$1584</f>
        <v>71.7692997942464</v>
      </c>
      <c r="G1623" s="38" t="n">
        <f aca="false">Sens!$G$1584</f>
        <v>143.077946818676</v>
      </c>
      <c r="H1623" s="38" t="n">
        <f aca="false">Sens!$H$1584</f>
        <v>161.017077079203</v>
      </c>
      <c r="I1623" s="38" t="n">
        <f aca="false">Sens!$I$1584</f>
        <v>178.769759521457</v>
      </c>
      <c r="J1623" s="38" t="n">
        <f aca="false">Sens!$J$1584</f>
        <v>195.775538045907</v>
      </c>
      <c r="K1623" s="38" t="n">
        <f aca="false">Sens!$K$1584</f>
        <v>211.43758108958</v>
      </c>
      <c r="L1623" s="38" t="n">
        <f aca="false">Sens!$L$1584</f>
        <v>228.352587576746</v>
      </c>
      <c r="M1623" s="38" t="n">
        <f aca="false">Sens!$M$1584</f>
        <v>246.620794582886</v>
      </c>
      <c r="N1623" s="38" t="n">
        <f aca="false">Sens!$N$1584</f>
        <v>57.0936804689721</v>
      </c>
      <c r="O1623" s="38" t="n">
        <f aca="false">Sens!$O$1584</f>
        <v>62.9275494423768</v>
      </c>
      <c r="P1623" s="8" t="s">
        <v>703</v>
      </c>
    </row>
    <row r="1624" customFormat="false" ht="17.15" hidden="false" customHeight="false" outlineLevel="0" collapsed="false">
      <c r="A1624" s="1" t="s">
        <v>523</v>
      </c>
      <c r="B1624" s="8" t="s">
        <v>86</v>
      </c>
      <c r="C1624" s="38" t="n">
        <f aca="false">Q!$D$7</f>
        <v>107.556</v>
      </c>
      <c r="D1624" s="38" t="n">
        <f aca="false">Q!$E$7</f>
        <v>128.725</v>
      </c>
      <c r="E1624" s="38" t="n">
        <f aca="false">Q!$P$7</f>
        <v>79.819</v>
      </c>
      <c r="F1624" s="38" t="n">
        <f aca="false">Sens!$F$1622+Sens!$F$1623</f>
        <v>87.9591693800922</v>
      </c>
      <c r="G1624" s="38" t="n">
        <f aca="false">Sens!$G$1622+Sens!$G$1623</f>
        <v>167.778169380092</v>
      </c>
      <c r="H1624" s="38" t="n">
        <f aca="false">Sens!$H$1622+Sens!$H$1623</f>
        <v>231.195595576312</v>
      </c>
      <c r="I1624" s="38" t="n">
        <f aca="false">Sens!$I$1622+Sens!$I$1623</f>
        <v>300.620538501888</v>
      </c>
      <c r="J1624" s="38" t="n">
        <f aca="false">Sens!$J$1622+Sens!$J$1623</f>
        <v>369.528452044895</v>
      </c>
      <c r="K1624" s="38" t="n">
        <f aca="false">Sens!$K$1622+Sens!$K$1623</f>
        <v>429.438741575385</v>
      </c>
      <c r="L1624" s="38" t="n">
        <f aca="false">Sens!$L$1622+Sens!$L$1623</f>
        <v>475.364008612298</v>
      </c>
      <c r="M1624" s="38" t="n">
        <f aca="false">Sens!$M$1622+Sens!$M$1623</f>
        <v>507.366982239458</v>
      </c>
      <c r="N1624" s="38" t="n">
        <f aca="false">Q!$N$7</f>
        <v>60.14</v>
      </c>
      <c r="O1624" s="38" t="n">
        <f aca="false">Q!$O$7</f>
        <v>68.585</v>
      </c>
      <c r="P1624" s="5" t="s">
        <v>705</v>
      </c>
    </row>
    <row r="1625" customFormat="false" ht="15" hidden="false" customHeight="false" outlineLevel="0" collapsed="false">
      <c r="A1625" s="3" t="s">
        <v>706</v>
      </c>
      <c r="B1625" s="8" t="s">
        <v>86</v>
      </c>
      <c r="C1625" s="38" t="n">
        <f aca="false">Q!$D$8</f>
        <v>637.959</v>
      </c>
      <c r="D1625" s="38" t="n">
        <f aca="false">Q!$E$8</f>
        <v>716.924</v>
      </c>
      <c r="E1625" s="38" t="n">
        <f aca="false">Q!$P$8</f>
        <v>382.125</v>
      </c>
      <c r="F1625" s="38" t="n">
        <f aca="false">Sens!$F$1552+Sens!$F$1624</f>
        <v>437.007411025629</v>
      </c>
      <c r="G1625" s="38" t="n">
        <f aca="false">Sens!$G$1552+Sens!$G$1624</f>
        <v>819.13241102563</v>
      </c>
      <c r="H1625" s="38" t="n">
        <f aca="false">Sens!$H$1552+Sens!$H$1624</f>
        <v>952.292485097698</v>
      </c>
      <c r="I1625" s="38" t="n">
        <f aca="false">Sens!$I$1552+Sens!$I$1624</f>
        <v>1089.14992965442</v>
      </c>
      <c r="J1625" s="38" t="n">
        <f aca="false">Sens!$J$1552+Sens!$J$1624</f>
        <v>1220.63685778634</v>
      </c>
      <c r="K1625" s="38" t="n">
        <f aca="false">Sens!$K$1552+Sens!$K$1624</f>
        <v>1335.61519700647</v>
      </c>
      <c r="L1625" s="38" t="n">
        <f aca="false">Sens!$L$1552+Sens!$L$1624</f>
        <v>1440.45711508789</v>
      </c>
      <c r="M1625" s="38" t="n">
        <f aca="false">Sens!$M$1552+Sens!$M$1624</f>
        <v>1535.51489018635</v>
      </c>
      <c r="N1625" s="38" t="n">
        <f aca="false">Q!$N$8</f>
        <v>323.369</v>
      </c>
      <c r="O1625" s="38" t="n">
        <f aca="false">Q!$O$8</f>
        <v>393.555</v>
      </c>
    </row>
    <row r="1626" customFormat="false" ht="17.15" hidden="false" customHeight="false" outlineLevel="0" collapsed="false">
      <c r="A1626" s="24" t="s">
        <v>714</v>
      </c>
      <c r="B1626" s="25" t="s">
        <v>86</v>
      </c>
      <c r="C1626" s="41" t="n">
        <f aca="false">Sens!$C$1552-(Sens!$C$1554+Sens!$C$1555)</f>
        <v>0</v>
      </c>
      <c r="D1626" s="41" t="n">
        <f aca="false">Sens!$D$1552-(Sens!$D$1554+Sens!$D$1555)</f>
        <v>0</v>
      </c>
      <c r="E1626" s="41" t="n">
        <f aca="false">Sens!$E$1552-(Sens!$E$1554+Sens!$E$1555)</f>
        <v>0</v>
      </c>
      <c r="F1626" s="41" t="n">
        <f aca="false">Sens!$F$1552-(Sens!$F$1554+Sens!$F$1555)</f>
        <v>0</v>
      </c>
      <c r="G1626" s="41" t="n">
        <f aca="false">Sens!$G$1552-(Sens!$G$1554+Sens!$G$1555)</f>
        <v>0</v>
      </c>
      <c r="H1626" s="41" t="n">
        <f aca="false">Sens!$H$1552-(Sens!$H$1554+Sens!$H$1555)</f>
        <v>0</v>
      </c>
      <c r="I1626" s="41" t="n">
        <f aca="false">Sens!$I$1552-(Sens!$I$1554+Sens!$I$1555)</f>
        <v>0</v>
      </c>
      <c r="J1626" s="41" t="n">
        <f aca="false">Sens!$J$1552-(Sens!$J$1554+Sens!$J$1555)</f>
        <v>0</v>
      </c>
      <c r="K1626" s="41" t="n">
        <f aca="false">Sens!$K$1552-(Sens!$K$1554+Sens!$K$1555)</f>
        <v>0</v>
      </c>
      <c r="L1626" s="41" t="n">
        <f aca="false">Sens!$L$1552-(Sens!$L$1554+Sens!$L$1555)</f>
        <v>0</v>
      </c>
      <c r="M1626" s="41" t="n">
        <f aca="false">Sens!$M$1552-(Sens!$M$1554+Sens!$M$1555)</f>
        <v>0</v>
      </c>
      <c r="N1626" s="41" t="n">
        <f aca="false">Sens!$N$1552-(Sens!$N$1554+Sens!$N$1555)</f>
        <v>0</v>
      </c>
      <c r="O1626" s="41" t="n">
        <f aca="false">Sens!$O$1552-(Sens!$O$1554+Sens!$O$1555)</f>
        <v>0</v>
      </c>
    </row>
    <row r="1627" customFormat="false" ht="17.15" hidden="false" customHeight="false" outlineLevel="0" collapsed="false">
      <c r="A1627" s="24" t="s">
        <v>715</v>
      </c>
      <c r="B1627" s="25" t="s">
        <v>86</v>
      </c>
      <c r="C1627" s="41" t="n">
        <f aca="false">Sens!$C$1622+Sens!$C$1623-Sens!$C$1624</f>
        <v>0</v>
      </c>
      <c r="D1627" s="41" t="n">
        <f aca="false">Sens!$D$1622+Sens!$D$1623-Sens!$D$1624</f>
        <v>0</v>
      </c>
      <c r="E1627" s="41" t="n">
        <f aca="false">Sens!$E$1622+Sens!$E$1623-Sens!$E$1624</f>
        <v>0</v>
      </c>
      <c r="F1627" s="41" t="n">
        <f aca="false">Sens!$F$1622+Sens!$F$1623-Sens!$F$1624</f>
        <v>0</v>
      </c>
      <c r="G1627" s="41" t="n">
        <f aca="false">Sens!$G$1622+Sens!$G$1623-Sens!$G$1624</f>
        <v>0</v>
      </c>
      <c r="H1627" s="41" t="n">
        <f aca="false">Sens!$H$1622+Sens!$H$1623-Sens!$H$1624</f>
        <v>0</v>
      </c>
      <c r="I1627" s="41" t="n">
        <f aca="false">Sens!$I$1622+Sens!$I$1623-Sens!$I$1624</f>
        <v>0</v>
      </c>
      <c r="J1627" s="41" t="n">
        <f aca="false">Sens!$J$1622+Sens!$J$1623-Sens!$J$1624</f>
        <v>0</v>
      </c>
      <c r="K1627" s="41" t="n">
        <f aca="false">Sens!$K$1622+Sens!$K$1623-Sens!$K$1624</f>
        <v>0</v>
      </c>
      <c r="L1627" s="41" t="n">
        <f aca="false">Sens!$L$1622+Sens!$L$1623-Sens!$L$1624</f>
        <v>0</v>
      </c>
      <c r="M1627" s="41" t="n">
        <f aca="false">Sens!$M$1622+Sens!$M$1623-Sens!$M$1624</f>
        <v>0</v>
      </c>
      <c r="N1627" s="41" t="n">
        <f aca="false">Sens!$N$1622+Sens!$N$1623-Sens!$N$1624</f>
        <v>0</v>
      </c>
      <c r="O1627" s="41" t="n">
        <f aca="false">Sens!$O$1622+Sens!$O$1623-Sens!$O$1624</f>
        <v>0</v>
      </c>
    </row>
    <row r="1628" customFormat="false" ht="17.15" hidden="false" customHeight="false" outlineLevel="0" collapsed="false">
      <c r="A1628" s="24" t="s">
        <v>716</v>
      </c>
      <c r="B1628" s="25" t="s">
        <v>86</v>
      </c>
      <c r="C1628" s="41" t="n">
        <f aca="false">Sens!$C$1554+Sens!$C$1555+Sens!$C$1624-Sens!$C$1625</f>
        <v>0</v>
      </c>
      <c r="D1628" s="41" t="n">
        <f aca="false">Sens!$D$1554+Sens!$D$1555+Sens!$D$1624-Sens!$D$1625</f>
        <v>0</v>
      </c>
      <c r="E1628" s="41" t="n">
        <f aca="false">Sens!$E$1554+Sens!$E$1555+Sens!$E$1624-Sens!$E$1625</f>
        <v>0</v>
      </c>
      <c r="F1628" s="41" t="n">
        <f aca="false">Sens!$F$1554+Sens!$F$1555+Sens!$F$1624-Sens!$F$1625</f>
        <v>0</v>
      </c>
      <c r="G1628" s="41" t="n">
        <f aca="false">Sens!$G$1554+Sens!$G$1555+Sens!$G$1624-Sens!$G$1625</f>
        <v>0</v>
      </c>
      <c r="H1628" s="41" t="n">
        <f aca="false">Sens!$H$1554+Sens!$H$1555+Sens!$H$1624-Sens!$H$1625</f>
        <v>0</v>
      </c>
      <c r="I1628" s="41" t="n">
        <f aca="false">Sens!$I$1554+Sens!$I$1555+Sens!$I$1624-Sens!$I$1625</f>
        <v>0</v>
      </c>
      <c r="J1628" s="41" t="n">
        <f aca="false">Sens!$J$1554+Sens!$J$1555+Sens!$J$1624-Sens!$J$1625</f>
        <v>0</v>
      </c>
      <c r="K1628" s="41" t="n">
        <f aca="false">Sens!$K$1554+Sens!$K$1555+Sens!$K$1624-Sens!$K$1625</f>
        <v>0</v>
      </c>
      <c r="L1628" s="41" t="n">
        <f aca="false">Sens!$L$1554+Sens!$L$1555+Sens!$L$1624-Sens!$L$1625</f>
        <v>0</v>
      </c>
      <c r="M1628" s="41" t="n">
        <f aca="false">Sens!$M$1554+Sens!$M$1555+Sens!$M$1624-Sens!$M$1625</f>
        <v>0</v>
      </c>
      <c r="N1628" s="41" t="n">
        <f aca="false">Sens!$N$1554+Sens!$N$1555+Sens!$N$1624-Sens!$N$1625</f>
        <v>0</v>
      </c>
      <c r="O1628" s="41" t="n">
        <f aca="false">Sens!$O$1554+Sens!$O$1555+Sens!$O$1624-Sens!$O$1625</f>
        <v>0</v>
      </c>
    </row>
    <row r="1629" customFormat="false" ht="15" hidden="false" customHeight="false" outlineLevel="0" collapsed="false">
      <c r="A1629" s="5" t="s">
        <v>710</v>
      </c>
      <c r="B1629" s="0" t="s">
        <v>52</v>
      </c>
      <c r="G1629" s="13" t="n">
        <f aca="false">Sens!$G$1625/Sens!$D$1625-1</f>
        <v>0.142565196625625</v>
      </c>
      <c r="H1629" s="13" t="n">
        <f aca="false">Sens!$H$1625/Sens!$G$1625-1</f>
        <v>0.162562330924422</v>
      </c>
      <c r="I1629" s="13" t="n">
        <f aca="false">Sens!$I$1625/Sens!$H$1625-1</f>
        <v>0.143713666440076</v>
      </c>
      <c r="J1629" s="13" t="n">
        <f aca="false">Sens!$J$1625/Sens!$I$1625-1</f>
        <v>0.120724359936046</v>
      </c>
      <c r="K1629" s="13" t="n">
        <f aca="false">Sens!$K$1625/Sens!$J$1625-1</f>
        <v>0.09419536898849</v>
      </c>
      <c r="L1629" s="13" t="n">
        <f aca="false">Sens!$L$1625/Sens!$K$1625-1</f>
        <v>0.0784970988024081</v>
      </c>
      <c r="M1629" s="13" t="n">
        <f aca="false">Sens!$M$1625/Sens!$L$1625-1</f>
        <v>0.065991395441618</v>
      </c>
    </row>
    <row r="1630" customFormat="false" ht="17.15" hidden="false" customHeight="false" outlineLevel="0" collapsed="false">
      <c r="A1630" s="0" t="s">
        <v>711</v>
      </c>
      <c r="B1630" s="0" t="s">
        <v>52</v>
      </c>
      <c r="C1630" s="13" t="n">
        <f aca="false">Sens!$C$1624/Sens!$C$1625</f>
        <v>0.168593906504964</v>
      </c>
      <c r="D1630" s="13" t="n">
        <f aca="false">Sens!$D$1624/Sens!$D$1625</f>
        <v>0.179551807444025</v>
      </c>
      <c r="E1630" s="13" t="n">
        <f aca="false">Sens!$E$1624/Sens!$E$1625</f>
        <v>0.208881910369643</v>
      </c>
      <c r="F1630" s="13" t="n">
        <f aca="false">Sens!$F$1624/Sens!$F$1625</f>
        <v>0.201276150383028</v>
      </c>
      <c r="G1630" s="13" t="n">
        <f aca="false">Sens!$G$1624/Sens!$G$1625</f>
        <v>0.204824234912178</v>
      </c>
      <c r="H1630" s="13" t="n">
        <f aca="false">Sens!$H$1624/Sens!$H$1625</f>
        <v>0.242777927153959</v>
      </c>
      <c r="I1630" s="13" t="n">
        <f aca="false">Sens!$I$1624/Sens!$I$1625</f>
        <v>0.276013917199878</v>
      </c>
      <c r="J1630" s="13" t="n">
        <f aca="false">Sens!$J$1624/Sens!$J$1625</f>
        <v>0.302734142171527</v>
      </c>
      <c r="K1630" s="13" t="n">
        <f aca="false">Sens!$K$1624/Sens!$K$1625</f>
        <v>0.321528792527886</v>
      </c>
      <c r="L1630" s="13" t="n">
        <f aca="false">Sens!$L$1624/Sens!$L$1625</f>
        <v>0.3300091364284</v>
      </c>
      <c r="M1630" s="13" t="n">
        <f aca="false">Sens!$M$1624/Sens!$M$1625</f>
        <v>0.330421401630228</v>
      </c>
      <c r="N1630" s="13" t="n">
        <f aca="false">Sens!$N$1624/Sens!$N$1625</f>
        <v>0.185979484737251</v>
      </c>
      <c r="O1630" s="13" t="n">
        <f aca="false">Sens!$O$1624/Sens!$O$1625</f>
        <v>0.174270432341096</v>
      </c>
    </row>
    <row r="1631" customFormat="false" ht="17.15" hidden="false" customHeight="false" outlineLevel="0" collapsed="false">
      <c r="A1631" s="0" t="s">
        <v>712</v>
      </c>
      <c r="B1631" s="0" t="s">
        <v>52</v>
      </c>
      <c r="C1631" s="13" t="n">
        <f aca="false">Sens!$C$1622/Sens!$C$1624</f>
        <v>0.0215795060896058</v>
      </c>
      <c r="D1631" s="13" t="n">
        <f aca="false">Sens!$D$1622/Sens!$D$1624</f>
        <v>0.0676152269462122</v>
      </c>
      <c r="E1631" s="13" t="n">
        <f aca="false">Sens!$E$1622/Sens!$E$1624</f>
        <v>0.106620641395783</v>
      </c>
      <c r="F1631" s="13" t="n">
        <f aca="false">Sens!$F$1622/Sens!$F$1624</f>
        <v>0.184061192254847</v>
      </c>
      <c r="G1631" s="13" t="n">
        <f aca="false">Sens!$G$1622/Sens!$G$1624</f>
        <v>0.147219525953098</v>
      </c>
      <c r="H1631" s="13" t="n">
        <f aca="false">Sens!$H$1622/Sens!$H$1624</f>
        <v>0.303546087554875</v>
      </c>
      <c r="I1631" s="13" t="n">
        <f aca="false">Sens!$I$1622/Sens!$I$1624</f>
        <v>0.405330851936004</v>
      </c>
      <c r="J1631" s="13" t="n">
        <f aca="false">Sens!$J$1622/Sens!$J$1624</f>
        <v>0.470201720699651</v>
      </c>
      <c r="K1631" s="13" t="n">
        <f aca="false">Sens!$K$1622/Sens!$K$1624</f>
        <v>0.507642043859559</v>
      </c>
      <c r="L1631" s="13" t="n">
        <f aca="false">Sens!$L$1622/Sens!$L$1624</f>
        <v>0.519625837380154</v>
      </c>
      <c r="M1631" s="13" t="n">
        <f aca="false">Sens!$M$1622/Sens!$M$1624</f>
        <v>0.513920291986028</v>
      </c>
      <c r="N1631" s="13" t="n">
        <f aca="false">Sens!$N$1622/Sens!$N$1624</f>
        <v>0.0506537999838362</v>
      </c>
      <c r="O1631" s="13" t="n">
        <f aca="false">Sens!$O$1622/Sens!$O$1624</f>
        <v>0.0824881615167056</v>
      </c>
    </row>
    <row r="1634" customFormat="false" ht="19.4" hidden="false" customHeight="false" outlineLevel="0" collapsed="false">
      <c r="A1634" s="31" t="s">
        <v>1184</v>
      </c>
    </row>
    <row r="1635" customFormat="false" ht="17.15" hidden="false" customHeight="false" outlineLevel="0" collapsed="false">
      <c r="A1635" s="6" t="s">
        <v>16</v>
      </c>
      <c r="B1635" s="6" t="s">
        <v>17</v>
      </c>
      <c r="C1635" s="20" t="s">
        <v>504</v>
      </c>
      <c r="D1635" s="20" t="s">
        <v>505</v>
      </c>
      <c r="E1635" s="20" t="s">
        <v>587</v>
      </c>
      <c r="F1635" s="20" t="s">
        <v>588</v>
      </c>
      <c r="G1635" s="20" t="s">
        <v>589</v>
      </c>
      <c r="H1635" s="20" t="s">
        <v>590</v>
      </c>
      <c r="I1635" s="20" t="s">
        <v>591</v>
      </c>
      <c r="J1635" s="20" t="s">
        <v>592</v>
      </c>
      <c r="K1635" s="20" t="s">
        <v>593</v>
      </c>
      <c r="L1635" s="20" t="s">
        <v>594</v>
      </c>
      <c r="M1635" s="20" t="s">
        <v>595</v>
      </c>
      <c r="N1635" s="20" t="s">
        <v>596</v>
      </c>
      <c r="O1635" s="20" t="s">
        <v>597</v>
      </c>
      <c r="P1635" s="6" t="s">
        <v>23</v>
      </c>
      <c r="R1635" s="20" t="n">
        <v>2023</v>
      </c>
      <c r="S1635" s="20" t="n">
        <v>2024</v>
      </c>
      <c r="T1635" s="20" t="n">
        <v>2025</v>
      </c>
      <c r="U1635" s="20" t="n">
        <v>2026</v>
      </c>
      <c r="V1635" s="20" t="n">
        <v>2027</v>
      </c>
      <c r="W1635" s="20" t="n">
        <v>2028</v>
      </c>
      <c r="X1635" s="20" t="n">
        <v>2029</v>
      </c>
      <c r="Y1635" s="20" t="n">
        <v>2030</v>
      </c>
      <c r="Z1635" s="20" t="n">
        <v>2031</v>
      </c>
      <c r="AA1635" s="20" t="n">
        <v>2032</v>
      </c>
    </row>
    <row r="1636" customFormat="false" ht="17.15" hidden="false" customHeight="false" outlineLevel="0" collapsed="false">
      <c r="A1636" s="1" t="s">
        <v>727</v>
      </c>
    </row>
    <row r="1637" customFormat="false" ht="15" hidden="false" customHeight="false" outlineLevel="0" collapsed="false">
      <c r="A1637" s="0" t="s">
        <v>526</v>
      </c>
      <c r="B1637" s="0" t="s">
        <v>86</v>
      </c>
      <c r="C1637" s="38" t="n">
        <f aca="false">Sens!$C$1539</f>
        <v>247.029</v>
      </c>
      <c r="D1637" s="38" t="n">
        <f aca="false">Sens!$D$1539</f>
        <v>269.287</v>
      </c>
      <c r="E1637" s="38" t="n">
        <f aca="false">Sens!$E$1539</f>
        <v>134.686</v>
      </c>
      <c r="F1637" s="38" t="n">
        <f aca="false">Sens!$F$1539</f>
        <v>158.293876822267</v>
      </c>
      <c r="G1637" s="38" t="n">
        <f aca="false">Sens!$G$1539</f>
        <v>292.979876822267</v>
      </c>
      <c r="H1637" s="38" t="n">
        <f aca="false">Sens!$H$1539</f>
        <v>318.184543087396</v>
      </c>
      <c r="I1637" s="38" t="n">
        <f aca="false">Sens!$I$1539</f>
        <v>341.736278761793</v>
      </c>
      <c r="J1637" s="38" t="n">
        <f aca="false">Sens!$J$1539</f>
        <v>362.927192787048</v>
      </c>
      <c r="K1637" s="38" t="n">
        <f aca="false">Sens!$K$1539</f>
        <v>381.0735524264</v>
      </c>
      <c r="L1637" s="38" t="n">
        <f aca="false">Sens!$L$1539</f>
        <v>400.12723004772</v>
      </c>
      <c r="M1637" s="38" t="n">
        <f aca="false">Sens!$M$1539</f>
        <v>420.133591550106</v>
      </c>
      <c r="N1637" s="38" t="n">
        <f aca="false">Sens!$N$1539</f>
        <v>118.892</v>
      </c>
      <c r="O1637" s="38" t="n">
        <f aca="false">Sens!$O$1539</f>
        <v>150.395</v>
      </c>
    </row>
    <row r="1638" customFormat="false" ht="15" hidden="false" customHeight="false" outlineLevel="0" collapsed="false">
      <c r="A1638" s="0" t="s">
        <v>527</v>
      </c>
      <c r="B1638" s="0" t="s">
        <v>86</v>
      </c>
      <c r="C1638" s="38" t="n">
        <f aca="false">Sens!$C$1541</f>
        <v>21.215</v>
      </c>
      <c r="D1638" s="38" t="n">
        <f aca="false">Sens!$D$1541</f>
        <v>22.561</v>
      </c>
      <c r="E1638" s="38" t="n">
        <f aca="false">Sens!$E$1541</f>
        <v>11.579</v>
      </c>
      <c r="F1638" s="38" t="n">
        <f aca="false">Sens!$F$1541</f>
        <v>11.5938724610325</v>
      </c>
      <c r="G1638" s="38" t="n">
        <f aca="false">Sens!$G$1541</f>
        <v>23.1728724610325</v>
      </c>
      <c r="H1638" s="38" t="n">
        <f aca="false">Sens!$H$1541</f>
        <v>24.353392759506</v>
      </c>
      <c r="I1638" s="38" t="n">
        <f aca="false">Sens!$I$1541</f>
        <v>25.4240338872015</v>
      </c>
      <c r="J1638" s="38" t="n">
        <f aca="false">Sens!$J$1541</f>
        <v>26.3642491017174</v>
      </c>
      <c r="K1638" s="38" t="n">
        <f aca="false">Sens!$K$1541</f>
        <v>27.155176574769</v>
      </c>
      <c r="L1638" s="38" t="n">
        <f aca="false">Sens!$L$1541</f>
        <v>27.969831872012</v>
      </c>
      <c r="M1638" s="38" t="n">
        <f aca="false">Sens!$M$1541</f>
        <v>28.8089268281724</v>
      </c>
      <c r="N1638" s="38" t="n">
        <f aca="false">Sens!$N$1541</f>
        <v>11.128</v>
      </c>
      <c r="O1638" s="38" t="n">
        <f aca="false">Sens!$O$1541</f>
        <v>11.433</v>
      </c>
    </row>
    <row r="1639" customFormat="false" ht="15" hidden="false" customHeight="false" outlineLevel="0" collapsed="false">
      <c r="A1639" s="0" t="s">
        <v>528</v>
      </c>
      <c r="B1639" s="0" t="s">
        <v>86</v>
      </c>
      <c r="C1639" s="38" t="n">
        <f aca="false">Sens!$C$1543</f>
        <v>156.146</v>
      </c>
      <c r="D1639" s="38" t="n">
        <f aca="false">Sens!$D$1543</f>
        <v>172.162</v>
      </c>
      <c r="E1639" s="38" t="n">
        <f aca="false">Sens!$E$1543</f>
        <v>88.358</v>
      </c>
      <c r="F1639" s="38" t="n">
        <f aca="false">Sens!$F$1543</f>
        <v>102.004388260171</v>
      </c>
      <c r="G1639" s="38" t="n">
        <f aca="false">Sens!$G$1543</f>
        <v>190.362388260171</v>
      </c>
      <c r="H1639" s="38" t="n">
        <f aca="false">Sens!$H$1543</f>
        <v>210.343106588311</v>
      </c>
      <c r="I1639" s="38" t="n">
        <f aca="false">Sens!$I$1543</f>
        <v>229.969728494648</v>
      </c>
      <c r="J1639" s="38" t="n">
        <f aca="false">Sens!$J$1543</f>
        <v>248.747636972598</v>
      </c>
      <c r="K1639" s="38" t="n">
        <f aca="false">Sens!$K$1543</f>
        <v>266.15997156068</v>
      </c>
      <c r="L1639" s="38" t="n">
        <f aca="false">Sens!$L$1543</f>
        <v>284.791169569927</v>
      </c>
      <c r="M1639" s="38" t="n">
        <f aca="false">Sens!$M$1543</f>
        <v>304.726551439822</v>
      </c>
      <c r="N1639" s="38" t="n">
        <f aca="false">Sens!$N$1543</f>
        <v>76.86</v>
      </c>
      <c r="O1639" s="38" t="n">
        <f aca="false">Sens!$O$1543</f>
        <v>95.302</v>
      </c>
    </row>
    <row r="1640" customFormat="false" ht="15" hidden="false" customHeight="false" outlineLevel="0" collapsed="false">
      <c r="A1640" s="0" t="s">
        <v>529</v>
      </c>
      <c r="B1640" s="0" t="s">
        <v>86</v>
      </c>
      <c r="C1640" s="38" t="n">
        <f aca="false">Sens!$C$1545</f>
        <v>56.214</v>
      </c>
      <c r="D1640" s="38" t="n">
        <f aca="false">Sens!$D$1545</f>
        <v>68.635</v>
      </c>
      <c r="E1640" s="38" t="n">
        <f aca="false">Sens!$E$1545</f>
        <v>37.052</v>
      </c>
      <c r="F1640" s="38" t="n">
        <f aca="false">Sens!$F$1545</f>
        <v>46.1572219944148</v>
      </c>
      <c r="G1640" s="38" t="n">
        <f aca="false">Sens!$G$1545</f>
        <v>83.2092219944148</v>
      </c>
      <c r="H1640" s="38" t="n">
        <f aca="false">Sens!$H$1545</f>
        <v>99.8969223878976</v>
      </c>
      <c r="I1640" s="38" t="n">
        <f aca="false">Sens!$I$1545</f>
        <v>116.583111095496</v>
      </c>
      <c r="J1640" s="38" t="n">
        <f aca="false">Sens!$J$1545</f>
        <v>132.148941941952</v>
      </c>
      <c r="K1640" s="38" t="n">
        <f aca="false">Sens!$K$1545</f>
        <v>145.363836136147</v>
      </c>
      <c r="L1640" s="38" t="n">
        <f aca="false">Sens!$L$1545</f>
        <v>159.900219749762</v>
      </c>
      <c r="M1640" s="38" t="n">
        <f aca="false">Sens!$M$1545</f>
        <v>175.890241724738</v>
      </c>
      <c r="N1640" s="38" t="n">
        <f aca="false">Sens!$N$1545</f>
        <v>29.615</v>
      </c>
      <c r="O1640" s="38" t="n">
        <f aca="false">Sens!$O$1545</f>
        <v>39.02</v>
      </c>
    </row>
    <row r="1641" customFormat="false" ht="15" hidden="false" customHeight="false" outlineLevel="0" collapsed="false">
      <c r="A1641" s="0" t="s">
        <v>530</v>
      </c>
      <c r="B1641" s="0" t="s">
        <v>86</v>
      </c>
      <c r="C1641" s="38" t="n">
        <f aca="false">Sens!$C$1547</f>
        <v>44.374</v>
      </c>
      <c r="D1641" s="38" t="n">
        <f aca="false">Sens!$D$1547</f>
        <v>49.619</v>
      </c>
      <c r="E1641" s="38" t="n">
        <f aca="false">Sens!$E$1547</f>
        <v>27.157</v>
      </c>
      <c r="F1641" s="38" t="n">
        <f aca="false">Sens!$F$1547</f>
        <v>27.7764165988154</v>
      </c>
      <c r="G1641" s="38" t="n">
        <f aca="false">Sens!$G$1547</f>
        <v>54.9334165988154</v>
      </c>
      <c r="H1641" s="38" t="n">
        <f aca="false">Sens!$H$1547</f>
        <v>61.1564112561829</v>
      </c>
      <c r="I1641" s="38" t="n">
        <f aca="false">Sens!$I$1547</f>
        <v>67.2020282103945</v>
      </c>
      <c r="J1641" s="38" t="n">
        <f aca="false">Sens!$J$1547</f>
        <v>72.8757274028885</v>
      </c>
      <c r="K1641" s="38" t="n">
        <f aca="false">Sens!$K$1547</f>
        <v>77.9770283210907</v>
      </c>
      <c r="L1641" s="38" t="n">
        <f aca="false">Sens!$L$1547</f>
        <v>83.4354203035671</v>
      </c>
      <c r="M1641" s="38" t="n">
        <f aca="false">Sens!$M$1547</f>
        <v>89.2758997248168</v>
      </c>
      <c r="N1641" s="38" t="n">
        <f aca="false">Sens!$N$1547</f>
        <v>23.923</v>
      </c>
      <c r="O1641" s="38" t="n">
        <f aca="false">Sens!$O$1547</f>
        <v>25.696</v>
      </c>
    </row>
    <row r="1642" customFormat="false" ht="15" hidden="false" customHeight="false" outlineLevel="0" collapsed="false">
      <c r="A1642" s="0" t="s">
        <v>531</v>
      </c>
      <c r="B1642" s="0" t="s">
        <v>86</v>
      </c>
      <c r="C1642" s="38" t="n">
        <f aca="false">Sens!$C$1549</f>
        <v>5.425</v>
      </c>
      <c r="D1642" s="38" t="n">
        <f aca="false">Sens!$D$1549</f>
        <v>5.935</v>
      </c>
      <c r="E1642" s="38" t="n">
        <f aca="false">Sens!$E$1549</f>
        <v>3.474</v>
      </c>
      <c r="F1642" s="38" t="n">
        <f aca="false">Sens!$F$1549</f>
        <v>3.22246550883619</v>
      </c>
      <c r="G1642" s="38" t="n">
        <f aca="false">Sens!$G$1549</f>
        <v>6.69646550883619</v>
      </c>
      <c r="H1642" s="38" t="n">
        <f aca="false">Sens!$H$1549</f>
        <v>7.16251344209196</v>
      </c>
      <c r="I1642" s="38" t="n">
        <f aca="false">Sens!$I$1549</f>
        <v>7.61421070299826</v>
      </c>
      <c r="J1642" s="38" t="n">
        <f aca="false">Sens!$J$1549</f>
        <v>8.04465753523932</v>
      </c>
      <c r="K1642" s="38" t="n">
        <f aca="false">Sens!$K$1549</f>
        <v>8.44689041200128</v>
      </c>
      <c r="L1642" s="38" t="n">
        <f aca="false">Sens!$L$1549</f>
        <v>8.86923493260135</v>
      </c>
      <c r="M1642" s="38" t="n">
        <f aca="false">Sens!$M$1549</f>
        <v>9.31269667923142</v>
      </c>
      <c r="N1642" s="38" t="n">
        <f aca="false">Sens!$N$1549</f>
        <v>2.811</v>
      </c>
      <c r="O1642" s="38" t="n">
        <f aca="false">Sens!$O$1549</f>
        <v>3.124</v>
      </c>
    </row>
    <row r="1643" customFormat="false" ht="17.15" hidden="false" customHeight="false" outlineLevel="0" collapsed="false">
      <c r="A1643" s="0" t="s">
        <v>728</v>
      </c>
      <c r="B1643" s="0" t="s">
        <v>86</v>
      </c>
      <c r="C1643" s="38" t="n">
        <f aca="false">Sens!$C$1624</f>
        <v>107.556</v>
      </c>
      <c r="D1643" s="38" t="n">
        <f aca="false">Sens!$D$1624</f>
        <v>128.725</v>
      </c>
      <c r="E1643" s="38" t="n">
        <f aca="false">Sens!$E$1624</f>
        <v>79.819</v>
      </c>
      <c r="F1643" s="38" t="n">
        <f aca="false">Sens!$F$1624</f>
        <v>87.9591693800922</v>
      </c>
      <c r="G1643" s="38" t="n">
        <f aca="false">Sens!$G$1624</f>
        <v>167.778169380092</v>
      </c>
      <c r="H1643" s="38" t="n">
        <f aca="false">Sens!$H$1624</f>
        <v>231.195595576312</v>
      </c>
      <c r="I1643" s="38" t="n">
        <f aca="false">Sens!$I$1624</f>
        <v>300.620538501888</v>
      </c>
      <c r="J1643" s="38" t="n">
        <f aca="false">Sens!$J$1624</f>
        <v>369.528452044895</v>
      </c>
      <c r="K1643" s="38" t="n">
        <f aca="false">Sens!$K$1624</f>
        <v>429.438741575385</v>
      </c>
      <c r="L1643" s="38" t="n">
        <f aca="false">Sens!$L$1624</f>
        <v>475.364008612298</v>
      </c>
      <c r="M1643" s="38" t="n">
        <f aca="false">Sens!$M$1624</f>
        <v>507.366982239458</v>
      </c>
      <c r="N1643" s="38" t="n">
        <f aca="false">Sens!$N$1624</f>
        <v>60.14</v>
      </c>
      <c r="O1643" s="38" t="n">
        <f aca="false">Sens!$O$1624</f>
        <v>68.585</v>
      </c>
    </row>
    <row r="1644" customFormat="false" ht="15" hidden="false" customHeight="false" outlineLevel="0" collapsed="false">
      <c r="A1644" s="1" t="s">
        <v>519</v>
      </c>
      <c r="B1644" s="8" t="s">
        <v>86</v>
      </c>
      <c r="C1644" s="38" t="n">
        <f aca="false">Sens!$C$1554</f>
        <v>387.497</v>
      </c>
      <c r="D1644" s="38" t="n">
        <f aca="false">Sens!$D$1554</f>
        <v>426.305</v>
      </c>
      <c r="E1644" s="38" t="n">
        <f aca="false">Sens!$E$1554</f>
        <v>220.32</v>
      </c>
      <c r="F1644" s="38" t="n">
        <f aca="false">Sens!$F$1554</f>
        <v>250.639773480586</v>
      </c>
      <c r="G1644" s="38" t="n">
        <f aca="false">Sens!$G$1554</f>
        <v>470.959773480586</v>
      </c>
      <c r="H1644" s="38" t="n">
        <f aca="false">Sens!$H$1554</f>
        <v>521.386990416437</v>
      </c>
      <c r="I1644" s="38" t="n">
        <f aca="false">Sens!$I$1554</f>
        <v>570.143862887555</v>
      </c>
      <c r="J1644" s="38" t="n">
        <f aca="false">Sens!$J$1554</f>
        <v>615.391435791933</v>
      </c>
      <c r="K1644" s="38" t="n">
        <f aca="false">Sens!$K$1554</f>
        <v>655.208227561543</v>
      </c>
      <c r="L1644" s="38" t="n">
        <f aca="false">Sens!$L$1554</f>
        <v>697.807739249767</v>
      </c>
      <c r="M1644" s="38" t="n">
        <f aca="false">Sens!$M$1554</f>
        <v>743.399328463592</v>
      </c>
      <c r="N1644" s="38" t="n">
        <f aca="false">Sens!$N$1554</f>
        <v>192.955</v>
      </c>
      <c r="O1644" s="38" t="n">
        <f aca="false">Sens!$O$1554</f>
        <v>233.35</v>
      </c>
    </row>
    <row r="1645" customFormat="false" ht="15" hidden="false" customHeight="false" outlineLevel="0" collapsed="false">
      <c r="A1645" s="1" t="s">
        <v>522</v>
      </c>
      <c r="B1645" s="8" t="s">
        <v>86</v>
      </c>
      <c r="C1645" s="38" t="n">
        <f aca="false">Sens!$C$1555</f>
        <v>142.906</v>
      </c>
      <c r="D1645" s="38" t="n">
        <f aca="false">Sens!$D$1555</f>
        <v>161.894</v>
      </c>
      <c r="E1645" s="38" t="n">
        <f aca="false">Sens!$E$1555</f>
        <v>81.986</v>
      </c>
      <c r="F1645" s="38" t="n">
        <f aca="false">Sens!$F$1555</f>
        <v>98.408468164951</v>
      </c>
      <c r="G1645" s="38" t="n">
        <f aca="false">Sens!$G$1555</f>
        <v>180.394468164951</v>
      </c>
      <c r="H1645" s="38" t="n">
        <f aca="false">Sens!$H$1555</f>
        <v>199.709899104949</v>
      </c>
      <c r="I1645" s="38" t="n">
        <f aca="false">Sens!$I$1555</f>
        <v>218.385528264976</v>
      </c>
      <c r="J1645" s="38" t="n">
        <f aca="false">Sens!$J$1555</f>
        <v>235.71696994951</v>
      </c>
      <c r="K1645" s="38" t="n">
        <f aca="false">Sens!$K$1555</f>
        <v>250.968227869545</v>
      </c>
      <c r="L1645" s="38" t="n">
        <f aca="false">Sens!$L$1555</f>
        <v>267.285367225822</v>
      </c>
      <c r="M1645" s="38" t="n">
        <f aca="false">Sens!$M$1555</f>
        <v>284.748579483295</v>
      </c>
      <c r="N1645" s="38" t="n">
        <f aca="false">Sens!$N$1555</f>
        <v>70.274</v>
      </c>
      <c r="O1645" s="38" t="n">
        <f aca="false">Sens!$O$1555</f>
        <v>91.62</v>
      </c>
    </row>
    <row r="1646" customFormat="false" ht="15" hidden="false" customHeight="false" outlineLevel="0" collapsed="false">
      <c r="A1646" s="1" t="s">
        <v>523</v>
      </c>
      <c r="B1646" s="8" t="s">
        <v>86</v>
      </c>
      <c r="C1646" s="38" t="n">
        <f aca="false">Sens!$C$1624</f>
        <v>107.556</v>
      </c>
      <c r="D1646" s="38" t="n">
        <f aca="false">Sens!$D$1624</f>
        <v>128.725</v>
      </c>
      <c r="E1646" s="38" t="n">
        <f aca="false">Sens!$E$1624</f>
        <v>79.819</v>
      </c>
      <c r="F1646" s="38" t="n">
        <f aca="false">Sens!$F$1624</f>
        <v>87.9591693800922</v>
      </c>
      <c r="G1646" s="38" t="n">
        <f aca="false">Sens!$G$1624</f>
        <v>167.778169380092</v>
      </c>
      <c r="H1646" s="38" t="n">
        <f aca="false">Sens!$H$1624</f>
        <v>231.195595576312</v>
      </c>
      <c r="I1646" s="38" t="n">
        <f aca="false">Sens!$I$1624</f>
        <v>300.620538501888</v>
      </c>
      <c r="J1646" s="38" t="n">
        <f aca="false">Sens!$J$1624</f>
        <v>369.528452044895</v>
      </c>
      <c r="K1646" s="38" t="n">
        <f aca="false">Sens!$K$1624</f>
        <v>429.438741575385</v>
      </c>
      <c r="L1646" s="38" t="n">
        <f aca="false">Sens!$L$1624</f>
        <v>475.364008612298</v>
      </c>
      <c r="M1646" s="38" t="n">
        <f aca="false">Sens!$M$1624</f>
        <v>507.366982239458</v>
      </c>
      <c r="N1646" s="38" t="n">
        <f aca="false">Sens!$N$1624</f>
        <v>60.14</v>
      </c>
      <c r="O1646" s="38" t="n">
        <f aca="false">Sens!$O$1624</f>
        <v>68.585</v>
      </c>
    </row>
    <row r="1647" customFormat="false" ht="17.15" hidden="false" customHeight="false" outlineLevel="0" collapsed="false">
      <c r="A1647" s="0" t="s">
        <v>702</v>
      </c>
      <c r="B1647" s="0" t="s">
        <v>86</v>
      </c>
      <c r="C1647" s="38" t="n">
        <f aca="false">Sens!$C$1622</f>
        <v>2.32100535697364</v>
      </c>
      <c r="D1647" s="38" t="n">
        <f aca="false">Sens!$D$1622</f>
        <v>8.70377008865116</v>
      </c>
      <c r="E1647" s="38" t="n">
        <f aca="false">Sens!$E$1622</f>
        <v>8.51035297557002</v>
      </c>
      <c r="F1647" s="38" t="n">
        <f aca="false">Sens!$F$1622</f>
        <v>16.1898695858458</v>
      </c>
      <c r="G1647" s="38" t="n">
        <f aca="false">Sens!$G$1622</f>
        <v>24.7002225614158</v>
      </c>
      <c r="H1647" s="38" t="n">
        <f aca="false">Sens!$H$1622</f>
        <v>70.1785184971087</v>
      </c>
      <c r="I1647" s="38" t="n">
        <f aca="false">Sens!$I$1622</f>
        <v>121.85077898043</v>
      </c>
      <c r="J1647" s="38" t="n">
        <f aca="false">Sens!$J$1622</f>
        <v>173.752913998988</v>
      </c>
      <c r="K1647" s="38" t="n">
        <f aca="false">Sens!$K$1622</f>
        <v>218.001160485805</v>
      </c>
      <c r="L1647" s="38" t="n">
        <f aca="false">Sens!$L$1622</f>
        <v>247.011421035552</v>
      </c>
      <c r="M1647" s="38" t="n">
        <f aca="false">Sens!$M$1622</f>
        <v>260.746187656572</v>
      </c>
      <c r="N1647" s="38" t="n">
        <f aca="false">Sens!$N$1622</f>
        <v>3.04631953102791</v>
      </c>
      <c r="O1647" s="38" t="n">
        <f aca="false">Sens!$O$1622</f>
        <v>5.65745055762326</v>
      </c>
    </row>
    <row r="1648" customFormat="false" ht="17.15" hidden="false" customHeight="false" outlineLevel="0" collapsed="false">
      <c r="A1648" s="0" t="s">
        <v>704</v>
      </c>
      <c r="B1648" s="0" t="s">
        <v>86</v>
      </c>
      <c r="C1648" s="38" t="n">
        <f aca="false">Sens!$C$1623</f>
        <v>105.234994643026</v>
      </c>
      <c r="D1648" s="38" t="n">
        <f aca="false">Sens!$D$1623</f>
        <v>120.021229911349</v>
      </c>
      <c r="E1648" s="38" t="n">
        <f aca="false">Sens!$E$1623</f>
        <v>71.30864702443</v>
      </c>
      <c r="F1648" s="38" t="n">
        <f aca="false">Sens!$F$1623</f>
        <v>71.7692997942464</v>
      </c>
      <c r="G1648" s="38" t="n">
        <f aca="false">Sens!$G$1623</f>
        <v>143.077946818676</v>
      </c>
      <c r="H1648" s="38" t="n">
        <f aca="false">Sens!$H$1623</f>
        <v>161.017077079203</v>
      </c>
      <c r="I1648" s="38" t="n">
        <f aca="false">Sens!$I$1623</f>
        <v>178.769759521457</v>
      </c>
      <c r="J1648" s="38" t="n">
        <f aca="false">Sens!$J$1623</f>
        <v>195.775538045907</v>
      </c>
      <c r="K1648" s="38" t="n">
        <f aca="false">Sens!$K$1623</f>
        <v>211.43758108958</v>
      </c>
      <c r="L1648" s="38" t="n">
        <f aca="false">Sens!$L$1623</f>
        <v>228.352587576746</v>
      </c>
      <c r="M1648" s="38" t="n">
        <f aca="false">Sens!$M$1623</f>
        <v>246.620794582886</v>
      </c>
      <c r="N1648" s="38" t="n">
        <f aca="false">Sens!$N$1623</f>
        <v>57.0936804689721</v>
      </c>
      <c r="O1648" s="38" t="n">
        <f aca="false">Sens!$O$1623</f>
        <v>62.9275494423768</v>
      </c>
    </row>
    <row r="1649" customFormat="false" ht="15" hidden="false" customHeight="false" outlineLevel="0" collapsed="false">
      <c r="A1649" s="3" t="s">
        <v>524</v>
      </c>
      <c r="B1649" s="8" t="s">
        <v>86</v>
      </c>
      <c r="C1649" s="38" t="n">
        <f aca="false">Sens!$C$1625</f>
        <v>637.959</v>
      </c>
      <c r="D1649" s="38" t="n">
        <f aca="false">Sens!$D$1625</f>
        <v>716.924</v>
      </c>
      <c r="E1649" s="38" t="n">
        <f aca="false">Sens!$E$1625</f>
        <v>382.125</v>
      </c>
      <c r="F1649" s="38" t="n">
        <f aca="false">Sens!$F$1625</f>
        <v>437.007411025629</v>
      </c>
      <c r="G1649" s="38" t="n">
        <f aca="false">Sens!$G$1625</f>
        <v>819.13241102563</v>
      </c>
      <c r="H1649" s="38" t="n">
        <f aca="false">Sens!$H$1625</f>
        <v>952.292485097698</v>
      </c>
      <c r="I1649" s="38" t="n">
        <f aca="false">Sens!$I$1625</f>
        <v>1089.14992965442</v>
      </c>
      <c r="J1649" s="38" t="n">
        <f aca="false">Sens!$J$1625</f>
        <v>1220.63685778634</v>
      </c>
      <c r="K1649" s="38" t="n">
        <f aca="false">Sens!$K$1625</f>
        <v>1335.61519700647</v>
      </c>
      <c r="L1649" s="38" t="n">
        <f aca="false">Sens!$L$1625</f>
        <v>1440.45711508789</v>
      </c>
      <c r="M1649" s="38" t="n">
        <f aca="false">Sens!$M$1625</f>
        <v>1535.51489018635</v>
      </c>
      <c r="N1649" s="38" t="n">
        <f aca="false">Sens!$N$1625</f>
        <v>323.369</v>
      </c>
      <c r="O1649" s="38" t="n">
        <f aca="false">Sens!$O$1625</f>
        <v>393.555</v>
      </c>
    </row>
    <row r="1650" customFormat="false" ht="17.15" hidden="false" customHeight="false" outlineLevel="0" collapsed="false">
      <c r="A1650" s="24" t="s">
        <v>714</v>
      </c>
      <c r="B1650" s="25" t="s">
        <v>86</v>
      </c>
      <c r="C1650" s="41" t="n">
        <f aca="false">Sens!$C$1637+Sens!$C$1638+Sens!$C$1639+Sens!$C$1640+Sens!$C$1641+Sens!$C$1642-(Sens!$C$1644+Sens!$C$1645)</f>
        <v>0</v>
      </c>
      <c r="D1650" s="41" t="n">
        <f aca="false">Sens!$D$1637+Sens!$D$1638+Sens!$D$1639+Sens!$D$1640+Sens!$D$1641+Sens!$D$1642-(Sens!$D$1644+Sens!$D$1645)</f>
        <v>0</v>
      </c>
      <c r="E1650" s="41" t="n">
        <f aca="false">Sens!$E$1637+Sens!$E$1638+Sens!$E$1639+Sens!$E$1640+Sens!$E$1641+Sens!$E$1642-(Sens!$E$1644+Sens!$E$1645)</f>
        <v>0</v>
      </c>
      <c r="F1650" s="41" t="n">
        <f aca="false">Sens!$F$1637+Sens!$F$1638+Sens!$F$1639+Sens!$F$1640+Sens!$F$1641+Sens!$F$1642-(Sens!$F$1644+Sens!$F$1645)</f>
        <v>0</v>
      </c>
      <c r="G1650" s="41" t="n">
        <f aca="false">Sens!$G$1637+Sens!$G$1638+Sens!$G$1639+Sens!$G$1640+Sens!$G$1641+Sens!$G$1642-(Sens!$G$1644+Sens!$G$1645)</f>
        <v>0</v>
      </c>
      <c r="H1650" s="41" t="n">
        <f aca="false">Sens!$H$1637+Sens!$H$1638+Sens!$H$1639+Sens!$H$1640+Sens!$H$1641+Sens!$H$1642-(Sens!$H$1644+Sens!$H$1645)</f>
        <v>0</v>
      </c>
      <c r="I1650" s="41" t="n">
        <f aca="false">Sens!$I$1637+Sens!$I$1638+Sens!$I$1639+Sens!$I$1640+Sens!$I$1641+Sens!$I$1642-(Sens!$I$1644+Sens!$I$1645)</f>
        <v>0</v>
      </c>
      <c r="J1650" s="41" t="n">
        <f aca="false">Sens!$J$1637+Sens!$J$1638+Sens!$J$1639+Sens!$J$1640+Sens!$J$1641+Sens!$J$1642-(Sens!$J$1644+Sens!$J$1645)</f>
        <v>0</v>
      </c>
      <c r="K1650" s="41" t="n">
        <f aca="false">Sens!$K$1637+Sens!$K$1638+Sens!$K$1639+Sens!$K$1640+Sens!$K$1641+Sens!$K$1642-(Sens!$K$1644+Sens!$K$1645)</f>
        <v>0</v>
      </c>
      <c r="L1650" s="41" t="n">
        <f aca="false">Sens!$L$1637+Sens!$L$1638+Sens!$L$1639+Sens!$L$1640+Sens!$L$1641+Sens!$L$1642-(Sens!$L$1644+Sens!$L$1645)</f>
        <v>0</v>
      </c>
      <c r="M1650" s="41" t="n">
        <f aca="false">Sens!$M$1637+Sens!$M$1638+Sens!$M$1639+Sens!$M$1640+Sens!$M$1641+Sens!$M$1642-(Sens!$M$1644+Sens!$M$1645)</f>
        <v>0</v>
      </c>
      <c r="N1650" s="41" t="n">
        <f aca="false">Sens!$N$1637+Sens!$N$1638+Sens!$N$1639+Sens!$N$1640+Sens!$N$1641+Sens!$N$1642-(Sens!$N$1644+Sens!$N$1645)</f>
        <v>0</v>
      </c>
      <c r="O1650" s="41" t="n">
        <f aca="false">Sens!$O$1637+Sens!$O$1638+Sens!$O$1639+Sens!$O$1640+Sens!$O$1641+Sens!$O$1642-(Sens!$O$1644+Sens!$O$1645)</f>
        <v>0</v>
      </c>
    </row>
    <row r="1651" customFormat="false" ht="17.15" hidden="false" customHeight="false" outlineLevel="0" collapsed="false">
      <c r="A1651" s="24" t="s">
        <v>715</v>
      </c>
      <c r="B1651" s="25" t="s">
        <v>86</v>
      </c>
      <c r="C1651" s="41" t="n">
        <f aca="false">Sens!$C$1647+Sens!$C$1648-Sens!$C$1646</f>
        <v>0</v>
      </c>
      <c r="D1651" s="41" t="n">
        <f aca="false">Sens!$D$1647+Sens!$D$1648-Sens!$D$1646</f>
        <v>0</v>
      </c>
      <c r="E1651" s="41" t="n">
        <f aca="false">Sens!$E$1647+Sens!$E$1648-Sens!$E$1646</f>
        <v>0</v>
      </c>
      <c r="F1651" s="41" t="n">
        <f aca="false">Sens!$F$1647+Sens!$F$1648-Sens!$F$1646</f>
        <v>0</v>
      </c>
      <c r="G1651" s="41" t="n">
        <f aca="false">Sens!$G$1647+Sens!$G$1648-Sens!$G$1646</f>
        <v>0</v>
      </c>
      <c r="H1651" s="41" t="n">
        <f aca="false">Sens!$H$1647+Sens!$H$1648-Sens!$H$1646</f>
        <v>0</v>
      </c>
      <c r="I1651" s="41" t="n">
        <f aca="false">Sens!$I$1647+Sens!$I$1648-Sens!$I$1646</f>
        <v>0</v>
      </c>
      <c r="J1651" s="41" t="n">
        <f aca="false">Sens!$J$1647+Sens!$J$1648-Sens!$J$1646</f>
        <v>0</v>
      </c>
      <c r="K1651" s="41" t="n">
        <f aca="false">Sens!$K$1647+Sens!$K$1648-Sens!$K$1646</f>
        <v>0</v>
      </c>
      <c r="L1651" s="41" t="n">
        <f aca="false">Sens!$L$1647+Sens!$L$1648-Sens!$L$1646</f>
        <v>0</v>
      </c>
      <c r="M1651" s="41" t="n">
        <f aca="false">Sens!$M$1647+Sens!$M$1648-Sens!$M$1646</f>
        <v>0</v>
      </c>
      <c r="N1651" s="41" t="n">
        <f aca="false">Sens!$N$1647+Sens!$N$1648-Sens!$N$1646</f>
        <v>0</v>
      </c>
      <c r="O1651" s="41" t="n">
        <f aca="false">Sens!$O$1647+Sens!$O$1648-Sens!$O$1646</f>
        <v>0</v>
      </c>
    </row>
    <row r="1652" customFormat="false" ht="17.15" hidden="false" customHeight="false" outlineLevel="0" collapsed="false">
      <c r="A1652" s="24" t="s">
        <v>774</v>
      </c>
      <c r="B1652" s="25" t="s">
        <v>86</v>
      </c>
      <c r="C1652" s="41" t="n">
        <f aca="false">Sens!$C$1637+Sens!$C$1638+Sens!$C$1639+Sens!$C$1640+Sens!$C$1641+Sens!$C$1642+Sens!$C$1643-Sens!$C$1649</f>
        <v>0</v>
      </c>
      <c r="D1652" s="41" t="n">
        <f aca="false">Sens!$D$1637+Sens!$D$1638+Sens!$D$1639+Sens!$D$1640+Sens!$D$1641+Sens!$D$1642+Sens!$D$1643-Sens!$D$1649</f>
        <v>0</v>
      </c>
      <c r="E1652" s="41" t="n">
        <f aca="false">Sens!$E$1637+Sens!$E$1638+Sens!$E$1639+Sens!$E$1640+Sens!$E$1641+Sens!$E$1642+Sens!$E$1643-Sens!$E$1649</f>
        <v>0</v>
      </c>
      <c r="F1652" s="41" t="n">
        <f aca="false">Sens!$F$1637+Sens!$F$1638+Sens!$F$1639+Sens!$F$1640+Sens!$F$1641+Sens!$F$1642+Sens!$F$1643-Sens!$F$1649</f>
        <v>0</v>
      </c>
      <c r="G1652" s="41" t="n">
        <f aca="false">Sens!$G$1637+Sens!$G$1638+Sens!$G$1639+Sens!$G$1640+Sens!$G$1641+Sens!$G$1642+Sens!$G$1643-Sens!$G$1649</f>
        <v>0</v>
      </c>
      <c r="H1652" s="41" t="n">
        <f aca="false">Sens!$H$1637+Sens!$H$1638+Sens!$H$1639+Sens!$H$1640+Sens!$H$1641+Sens!$H$1642+Sens!$H$1643-Sens!$H$1649</f>
        <v>0</v>
      </c>
      <c r="I1652" s="41" t="n">
        <f aca="false">Sens!$I$1637+Sens!$I$1638+Sens!$I$1639+Sens!$I$1640+Sens!$I$1641+Sens!$I$1642+Sens!$I$1643-Sens!$I$1649</f>
        <v>0</v>
      </c>
      <c r="J1652" s="41" t="n">
        <f aca="false">Sens!$J$1637+Sens!$J$1638+Sens!$J$1639+Sens!$J$1640+Sens!$J$1641+Sens!$J$1642+Sens!$J$1643-Sens!$J$1649</f>
        <v>0</v>
      </c>
      <c r="K1652" s="41" t="n">
        <f aca="false">Sens!$K$1637+Sens!$K$1638+Sens!$K$1639+Sens!$K$1640+Sens!$K$1641+Sens!$K$1642+Sens!$K$1643-Sens!$K$1649</f>
        <v>0</v>
      </c>
      <c r="L1652" s="41" t="n">
        <f aca="false">Sens!$L$1637+Sens!$L$1638+Sens!$L$1639+Sens!$L$1640+Sens!$L$1641+Sens!$L$1642+Sens!$L$1643-Sens!$L$1649</f>
        <v>0</v>
      </c>
      <c r="M1652" s="41" t="n">
        <f aca="false">Sens!$M$1637+Sens!$M$1638+Sens!$M$1639+Sens!$M$1640+Sens!$M$1641+Sens!$M$1642+Sens!$M$1643-Sens!$M$1649</f>
        <v>0</v>
      </c>
      <c r="N1652" s="41" t="n">
        <f aca="false">Sens!$N$1637+Sens!$N$1638+Sens!$N$1639+Sens!$N$1640+Sens!$N$1641+Sens!$N$1642+Sens!$N$1643-Sens!$N$1649</f>
        <v>0</v>
      </c>
      <c r="O1652" s="41" t="n">
        <f aca="false">Sens!$O$1637+Sens!$O$1638+Sens!$O$1639+Sens!$O$1640+Sens!$O$1641+Sens!$O$1642+Sens!$O$1643-Sens!$O$1649</f>
        <v>0</v>
      </c>
    </row>
    <row r="1653" customFormat="false" ht="17.15" hidden="false" customHeight="false" outlineLevel="0" collapsed="false">
      <c r="A1653" s="24" t="s">
        <v>716</v>
      </c>
      <c r="B1653" s="25" t="s">
        <v>86</v>
      </c>
      <c r="C1653" s="41" t="n">
        <f aca="false">Sens!$C$1644+Sens!$C$1645+Sens!$C$1646-Sens!$C$1649</f>
        <v>0</v>
      </c>
      <c r="D1653" s="41" t="n">
        <f aca="false">Sens!$D$1644+Sens!$D$1645+Sens!$D$1646-Sens!$D$1649</f>
        <v>0</v>
      </c>
      <c r="E1653" s="41" t="n">
        <f aca="false">Sens!$E$1644+Sens!$E$1645+Sens!$E$1646-Sens!$E$1649</f>
        <v>0</v>
      </c>
      <c r="F1653" s="41" t="n">
        <f aca="false">Sens!$F$1644+Sens!$F$1645+Sens!$F$1646-Sens!$F$1649</f>
        <v>0</v>
      </c>
      <c r="G1653" s="41" t="n">
        <f aca="false">Sens!$G$1644+Sens!$G$1645+Sens!$G$1646-Sens!$G$1649</f>
        <v>0</v>
      </c>
      <c r="H1653" s="41" t="n">
        <f aca="false">Sens!$H$1644+Sens!$H$1645+Sens!$H$1646-Sens!$H$1649</f>
        <v>0</v>
      </c>
      <c r="I1653" s="41" t="n">
        <f aca="false">Sens!$I$1644+Sens!$I$1645+Sens!$I$1646-Sens!$I$1649</f>
        <v>0</v>
      </c>
      <c r="J1653" s="41" t="n">
        <f aca="false">Sens!$J$1644+Sens!$J$1645+Sens!$J$1646-Sens!$J$1649</f>
        <v>0</v>
      </c>
      <c r="K1653" s="41" t="n">
        <f aca="false">Sens!$K$1644+Sens!$K$1645+Sens!$K$1646-Sens!$K$1649</f>
        <v>0</v>
      </c>
      <c r="L1653" s="41" t="n">
        <f aca="false">Sens!$L$1644+Sens!$L$1645+Sens!$L$1646-Sens!$L$1649</f>
        <v>0</v>
      </c>
      <c r="M1653" s="41" t="n">
        <f aca="false">Sens!$M$1644+Sens!$M$1645+Sens!$M$1646-Sens!$M$1649</f>
        <v>0</v>
      </c>
      <c r="N1653" s="41" t="n">
        <f aca="false">Sens!$N$1644+Sens!$N$1645+Sens!$N$1646-Sens!$N$1649</f>
        <v>0</v>
      </c>
      <c r="O1653" s="41" t="n">
        <f aca="false">Sens!$O$1644+Sens!$O$1645+Sens!$O$1646-Sens!$O$1649</f>
        <v>0</v>
      </c>
    </row>
    <row r="1654" customFormat="false" ht="17.15" hidden="false" customHeight="false" outlineLevel="0" collapsed="false">
      <c r="A1654" s="1" t="s">
        <v>730</v>
      </c>
    </row>
    <row r="1655" customFormat="false" ht="17.15" hidden="false" customHeight="false" outlineLevel="0" collapsed="false">
      <c r="A1655" s="0" t="s">
        <v>731</v>
      </c>
      <c r="B1655" s="0" t="s">
        <v>86</v>
      </c>
      <c r="C1655" s="38" t="n">
        <f aca="false">Sens!$C$1556*m_ad</f>
        <v>20.5341564414228</v>
      </c>
      <c r="D1655" s="38" t="n">
        <f aca="false">Sens!$D$1556*m_ad</f>
        <v>24.8720617299587</v>
      </c>
      <c r="E1655" s="38" t="n">
        <f aca="false">Sens!$E$1556*m_ad</f>
        <v>13.5017112462207</v>
      </c>
      <c r="F1655" s="38" t="n">
        <f aca="false">Sens!$F$1556*m_ad</f>
        <v>16.5719724165257</v>
      </c>
      <c r="G1655" s="38" t="n">
        <f aca="false">Sens!$G$1556*m_ad</f>
        <v>30.0820919220415</v>
      </c>
      <c r="H1655" s="38" t="n">
        <f aca="false">Sens!$H$1556*m_ad</f>
        <v>36.1150883276314</v>
      </c>
      <c r="I1655" s="38" t="n">
        <f aca="false">Sens!$I$1556*m_ad</f>
        <v>42.1475382231996</v>
      </c>
      <c r="J1655" s="38" t="n">
        <f aca="false">Sens!$J$1556*m_ad</f>
        <v>47.7749523864693</v>
      </c>
      <c r="K1655" s="38" t="n">
        <f aca="false">Sens!$K$1556*m_ad</f>
        <v>52.5524476251162</v>
      </c>
      <c r="L1655" s="38" t="n">
        <f aca="false">Sens!$L$1556*m_ad</f>
        <v>57.8076923876279</v>
      </c>
      <c r="M1655" s="38" t="n">
        <f aca="false">Sens!$M$1556*m_ad</f>
        <v>63.5884616263907</v>
      </c>
      <c r="N1655" s="38" t="n">
        <f aca="false">Sens!$N$1556*m_ad</f>
        <v>10.8543555706248</v>
      </c>
      <c r="O1655" s="38" t="n">
        <f aca="false">Sens!$O$1556*m_ad</f>
        <v>14.0094731821399</v>
      </c>
    </row>
    <row r="1656" customFormat="false" ht="17.15" hidden="false" customHeight="false" outlineLevel="0" collapsed="false">
      <c r="A1656" s="0" t="s">
        <v>732</v>
      </c>
      <c r="B1656" s="0" t="s">
        <v>86</v>
      </c>
      <c r="C1656" s="38" t="n">
        <f aca="false">Sens!$C$1554-Sens!$C$1556</f>
        <v>346.428687117154</v>
      </c>
      <c r="D1656" s="38" t="n">
        <f aca="false">Sens!$D$1554-Sens!$D$1556</f>
        <v>376.560876540083</v>
      </c>
      <c r="E1656" s="38" t="n">
        <f aca="false">Sens!$E$1554-Sens!$E$1556</f>
        <v>193.316577507559</v>
      </c>
      <c r="F1656" s="38" t="n">
        <f aca="false">Sens!$F$1554-Sens!$F$1556</f>
        <v>217.495828647535</v>
      </c>
      <c r="G1656" s="38" t="n">
        <f aca="false">Sens!$G$1554-Sens!$G$1556</f>
        <v>410.795589636503</v>
      </c>
      <c r="H1656" s="38" t="n">
        <f aca="false">Sens!$H$1554-Sens!$H$1556</f>
        <v>449.156813761174</v>
      </c>
      <c r="I1656" s="38" t="n">
        <f aca="false">Sens!$I$1554-Sens!$I$1556</f>
        <v>485.848786441156</v>
      </c>
      <c r="J1656" s="38" t="n">
        <f aca="false">Sens!$J$1554-Sens!$J$1556</f>
        <v>519.841531018994</v>
      </c>
      <c r="K1656" s="38" t="n">
        <f aca="false">Sens!$K$1554-Sens!$K$1556</f>
        <v>550.103332311311</v>
      </c>
      <c r="L1656" s="38" t="n">
        <f aca="false">Sens!$L$1554-Sens!$L$1556</f>
        <v>582.192354474511</v>
      </c>
      <c r="M1656" s="38" t="n">
        <f aca="false">Sens!$M$1554-Sens!$M$1556</f>
        <v>616.22240521081</v>
      </c>
      <c r="N1656" s="38" t="n">
        <f aca="false">Sens!$N$1554-Sens!$N$1556</f>
        <v>171.24628885875</v>
      </c>
      <c r="O1656" s="38" t="n">
        <f aca="false">Sens!$O$1554-Sens!$O$1556</f>
        <v>205.33105363572</v>
      </c>
    </row>
    <row r="1657" customFormat="false" ht="17.15" hidden="false" customHeight="false" outlineLevel="0" collapsed="false">
      <c r="A1657" s="0" t="s">
        <v>733</v>
      </c>
      <c r="B1657" s="0" t="s">
        <v>86</v>
      </c>
      <c r="C1657" s="38" t="n">
        <f aca="false">Sens!$C$1608*Sens!$C$1553</f>
        <v>0.123617442257179</v>
      </c>
      <c r="D1657" s="38" t="n">
        <f aca="false">Sens!$D$1608*Sens!$D$1553</f>
        <v>0.600198046024689</v>
      </c>
      <c r="E1657" s="38" t="n">
        <f aca="false">Sens!$E$1608*Sens!$E$1553</f>
        <v>1.10840000750276</v>
      </c>
      <c r="F1657" s="38" t="n">
        <f aca="false">Sens!$F$1608*Sens!$F$1553</f>
        <v>1.38154133996568</v>
      </c>
      <c r="G1657" s="38" t="n">
        <f aca="false">Sens!$G$1608*Sens!$G$1553</f>
        <v>2.49077792158151</v>
      </c>
      <c r="H1657" s="38" t="n">
        <f aca="false">Sens!$H$1608*Sens!$H$1553</f>
        <v>7.00159823480909</v>
      </c>
      <c r="I1657" s="38" t="n">
        <f aca="false">Sens!$I$1608*Sens!$I$1553</f>
        <v>14.4963336913668</v>
      </c>
      <c r="J1657" s="38" t="n">
        <f aca="false">Sens!$J$1608*Sens!$J$1553</f>
        <v>21.5697394464807</v>
      </c>
      <c r="K1657" s="38" t="n">
        <f aca="false">Sens!$K$1608*Sens!$K$1553</f>
        <v>28.4664057227847</v>
      </c>
      <c r="L1657" s="38" t="n">
        <f aca="false">Sens!$L$1608*Sens!$L$1553</f>
        <v>33.2391508134765</v>
      </c>
      <c r="M1657" s="38" t="n">
        <f aca="false">Sens!$M$1608*Sens!$M$1553</f>
        <v>35.8746253112833</v>
      </c>
      <c r="N1657" s="38" t="n">
        <f aca="false">Sens!$N$1608*Sens!$N$1553</f>
        <v>0.25053229484398</v>
      </c>
      <c r="O1657" s="38" t="n">
        <f aca="false">Sens!$O$1608*Sens!$O$1553</f>
        <v>0.349234376756897</v>
      </c>
    </row>
    <row r="1658" customFormat="false" ht="17.15" hidden="false" customHeight="false" outlineLevel="0" collapsed="false">
      <c r="A1658" s="0" t="s">
        <v>734</v>
      </c>
      <c r="B1658" s="0" t="s">
        <v>52</v>
      </c>
      <c r="C1658" s="28" t="n">
        <f aca="false">(Sens!$C$1659-Sens!$C$1655+Sens!$C$1657)/Sens!$C$1656</f>
        <v>0.0131526665379575</v>
      </c>
      <c r="D1658" s="28" t="n">
        <f aca="false">(Sens!$D$1659-Sens!$D$1655+Sens!$D$1657)/Sens!$D$1656</f>
        <v>0.0141999252954702</v>
      </c>
      <c r="E1658" s="28" t="n">
        <f aca="false">(Sens!$E$1659-Sens!$E$1655+Sens!$E$1657)/Sens!$E$1656</f>
        <v>0.0258471819939326</v>
      </c>
      <c r="F1658" s="28" t="n">
        <f aca="false">Sens!$O$1658+(Sens!$E$1658-Sens!$N$1658)</f>
        <v>0.0224302350712874</v>
      </c>
      <c r="G1658" s="28" t="n">
        <f aca="false">(Sens!$G$1659-Sens!$G$1655+Sens!$G$1657)/Sens!$G$1656</f>
        <v>0.0240207049165744</v>
      </c>
      <c r="H1658" s="28" t="n">
        <f aca="false">Sens!$G$1658+step_na</f>
        <v>0.0270207049165744</v>
      </c>
      <c r="I1658" s="28" t="n">
        <f aca="false">Sens!$H$1658+step_na</f>
        <v>0.0300207049165744</v>
      </c>
      <c r="J1658" s="28" t="n">
        <f aca="false">Sens!$I$1658+step_na</f>
        <v>0.0330207049165744</v>
      </c>
      <c r="K1658" s="28" t="n">
        <f aca="false">Sens!$J$1658+step_na</f>
        <v>0.0360207049165744</v>
      </c>
      <c r="L1658" s="28" t="n">
        <f aca="false">Sens!$K$1658</f>
        <v>0.0360207049165744</v>
      </c>
      <c r="M1658" s="28" t="n">
        <f aca="false">Sens!$L$1658</f>
        <v>0.0360207049165744</v>
      </c>
      <c r="N1658" s="28" t="n">
        <f aca="false">(Sens!$N$1659-Sens!$N$1655+Sens!$N$1657)/Sens!$N$1656</f>
        <v>0.0160831323269779</v>
      </c>
      <c r="O1658" s="28" t="n">
        <f aca="false">(Sens!$O$1659-Sens!$O$1655+Sens!$O$1657)/Sens!$O$1656</f>
        <v>0.0126661854043327</v>
      </c>
      <c r="P1658" s="8" t="s">
        <v>735</v>
      </c>
    </row>
    <row r="1659" customFormat="false" ht="17.15" hidden="false" customHeight="false" outlineLevel="0" collapsed="false">
      <c r="A1659" s="1" t="s">
        <v>736</v>
      </c>
      <c r="B1659" s="8" t="s">
        <v>86</v>
      </c>
      <c r="C1659" s="38" t="n">
        <f aca="false">Q!$D$22</f>
        <v>24.967</v>
      </c>
      <c r="D1659" s="38" t="n">
        <f aca="false">Q!$E$22</f>
        <v>29.619</v>
      </c>
      <c r="E1659" s="38" t="n">
        <f aca="false">Q!$P$22</f>
        <v>17.39</v>
      </c>
      <c r="F1659" s="38" t="n">
        <f aca="false">Sens!$F$1655+Sens!$F$1656*Sens!$F$1658-Sens!$F$1657</f>
        <v>20.0689136401486</v>
      </c>
      <c r="G1659" s="38" t="n">
        <f aca="false">Sens!$E$1659+Sens!$F$1659</f>
        <v>37.4589136401486</v>
      </c>
      <c r="H1659" s="38" t="n">
        <f aca="false">Sens!$H$1655+Sens!$H$1656*Sens!$H$1658-Sens!$H$1657</f>
        <v>41.2500238187318</v>
      </c>
      <c r="I1659" s="38" t="n">
        <f aca="false">Sens!$I$1655+Sens!$I$1656*Sens!$I$1658-Sens!$I$1657</f>
        <v>42.2367275836585</v>
      </c>
      <c r="J1659" s="38" t="n">
        <f aca="false">Sens!$J$1655+Sens!$J$1656*Sens!$J$1658-Sens!$J$1657</f>
        <v>43.370746739147</v>
      </c>
      <c r="K1659" s="38" t="n">
        <f aca="false">Sens!$K$1655+Sens!$K$1656*Sens!$K$1658-Sens!$K$1657</f>
        <v>43.9011517091415</v>
      </c>
      <c r="L1659" s="38" t="n">
        <f aca="false">Sens!$L$1655+Sens!$L$1656*Sens!$L$1658-Sens!$L$1657</f>
        <v>45.5395205793634</v>
      </c>
      <c r="M1659" s="38" t="n">
        <f aca="false">Sens!$M$1655+Sens!$M$1656*Sens!$M$1658-Sens!$M$1657</f>
        <v>49.9106017361877</v>
      </c>
      <c r="N1659" s="38" t="n">
        <f aca="false">Q!$N$22</f>
        <v>13.358</v>
      </c>
      <c r="O1659" s="38" t="n">
        <f aca="false">Q!$O$22</f>
        <v>16.261</v>
      </c>
    </row>
    <row r="1660" customFormat="false" ht="17.15" hidden="false" customHeight="false" outlineLevel="0" collapsed="false">
      <c r="A1660" s="0" t="s">
        <v>737</v>
      </c>
      <c r="B1660" s="0" t="s">
        <v>86</v>
      </c>
      <c r="C1660" s="38" t="n">
        <f aca="false">Sens!$C$1557*m_ad</f>
        <v>7.57284355857716</v>
      </c>
      <c r="D1660" s="38" t="n">
        <f aca="false">Sens!$D$1557*m_ad</f>
        <v>9.44543827004127</v>
      </c>
      <c r="E1660" s="38" t="n">
        <f aca="false">Sens!$E$1557*m_ad</f>
        <v>5.02428875377928</v>
      </c>
      <c r="F1660" s="38" t="n">
        <f aca="false">Sens!$F$1557*m_ad</f>
        <v>6.50663858068173</v>
      </c>
      <c r="G1660" s="38" t="n">
        <f aca="false">Sens!$G$1557*m_ad</f>
        <v>11.5225190751659</v>
      </c>
      <c r="H1660" s="38" t="n">
        <f aca="false">Sens!$H$1557*m_ad</f>
        <v>13.8333728663174</v>
      </c>
      <c r="I1660" s="38" t="n">
        <f aca="false">Sens!$I$1557*m_ad</f>
        <v>16.1440173245485</v>
      </c>
      <c r="J1660" s="38" t="n">
        <f aca="false">Sens!$J$1557*m_ad</f>
        <v>18.2995185845066</v>
      </c>
      <c r="K1660" s="38" t="n">
        <f aca="false">Sens!$K$1557*m_ad</f>
        <v>20.1294704429572</v>
      </c>
      <c r="L1660" s="38" t="n">
        <f aca="false">Sens!$L$1557*m_ad</f>
        <v>22.142417487253</v>
      </c>
      <c r="M1660" s="38" t="n">
        <f aca="false">Sens!$M$1557*m_ad</f>
        <v>24.3566592359783</v>
      </c>
      <c r="N1660" s="38" t="n">
        <f aca="false">Sens!$N$1557*m_ad</f>
        <v>3.95314442937518</v>
      </c>
      <c r="O1660" s="38" t="n">
        <f aca="false">Sens!$O$1557*m_ad</f>
        <v>5.50052681786011</v>
      </c>
    </row>
    <row r="1661" customFormat="false" ht="17.15" hidden="false" customHeight="false" outlineLevel="0" collapsed="false">
      <c r="A1661" s="0" t="s">
        <v>738</v>
      </c>
      <c r="B1661" s="0" t="s">
        <v>86</v>
      </c>
      <c r="C1661" s="38" t="n">
        <f aca="false">Sens!$C$1555-Sens!$C$1557</f>
        <v>127.760312882846</v>
      </c>
      <c r="D1661" s="38" t="n">
        <f aca="false">Sens!$D$1555-Sens!$D$1557</f>
        <v>143.003123459917</v>
      </c>
      <c r="E1661" s="38" t="n">
        <f aca="false">Sens!$E$1555-Sens!$E$1557</f>
        <v>71.9374224924414</v>
      </c>
      <c r="F1661" s="38" t="n">
        <f aca="false">Sens!$F$1555-Sens!$F$1557</f>
        <v>85.3951910035875</v>
      </c>
      <c r="G1661" s="38" t="n">
        <f aca="false">Sens!$G$1555-Sens!$G$1557</f>
        <v>157.349430014619</v>
      </c>
      <c r="H1661" s="38" t="n">
        <f aca="false">Sens!$H$1555-Sens!$H$1557</f>
        <v>172.043153372315</v>
      </c>
      <c r="I1661" s="38" t="n">
        <f aca="false">Sens!$I$1555-Sens!$I$1557</f>
        <v>186.097493615879</v>
      </c>
      <c r="J1661" s="38" t="n">
        <f aca="false">Sens!$J$1555-Sens!$J$1557</f>
        <v>199.117932780497</v>
      </c>
      <c r="K1661" s="38" t="n">
        <f aca="false">Sens!$K$1555-Sens!$K$1557</f>
        <v>210.70928698363</v>
      </c>
      <c r="L1661" s="38" t="n">
        <f aca="false">Sens!$L$1555-Sens!$L$1557</f>
        <v>223.000532251316</v>
      </c>
      <c r="M1661" s="38" t="n">
        <f aca="false">Sens!$M$1555-Sens!$M$1557</f>
        <v>236.035261011339</v>
      </c>
      <c r="N1661" s="38" t="n">
        <f aca="false">Sens!$N$1555-Sens!$N$1557</f>
        <v>62.3677111412496</v>
      </c>
      <c r="O1661" s="38" t="n">
        <f aca="false">Sens!$O$1555-Sens!$O$1557</f>
        <v>80.6189463642798</v>
      </c>
    </row>
    <row r="1662" customFormat="false" ht="17.15" hidden="false" customHeight="false" outlineLevel="0" collapsed="false">
      <c r="A1662" s="0" t="s">
        <v>739</v>
      </c>
      <c r="B1662" s="0" t="s">
        <v>86</v>
      </c>
      <c r="C1662" s="38" t="n">
        <f aca="false">Sens!$C$1608*(1-Sens!$C$1553)</f>
        <v>0.0455891896019953</v>
      </c>
      <c r="D1662" s="38" t="n">
        <f aca="false">Sens!$D$1608*(1-Sens!$D$1553)</f>
        <v>0.227931791705753</v>
      </c>
      <c r="E1662" s="38" t="n">
        <f aca="false">Sens!$E$1608*(1-Sens!$E$1553)</f>
        <v>0.412460434890711</v>
      </c>
      <c r="F1662" s="38" t="n">
        <f aca="false">Sens!$F$1608*(1-Sens!$F$1553)</f>
        <v>0.542433330052092</v>
      </c>
      <c r="G1662" s="38" t="n">
        <f aca="false">Sens!$G$1608*(1-Sens!$G$1553)</f>
        <v>0.954057190829739</v>
      </c>
      <c r="H1662" s="38" t="n">
        <f aca="false">Sens!$H$1608*(1-Sens!$H$1553)</f>
        <v>2.68186299763691</v>
      </c>
      <c r="I1662" s="38" t="n">
        <f aca="false">Sens!$I$1608*(1-Sens!$I$1553)</f>
        <v>5.5526152207638</v>
      </c>
      <c r="J1662" s="38" t="n">
        <f aca="false">Sens!$J$1608*(1-Sens!$J$1553)</f>
        <v>8.26198307160697</v>
      </c>
      <c r="K1662" s="38" t="n">
        <f aca="false">Sens!$K$1608*(1-Sens!$K$1553)</f>
        <v>10.9036533693279</v>
      </c>
      <c r="L1662" s="38" t="n">
        <f aca="false">Sens!$L$1608*(1-Sens!$L$1553)</f>
        <v>12.7317857509095</v>
      </c>
      <c r="M1662" s="38" t="n">
        <f aca="false">Sens!$M$1608*(1-Sens!$M$1553)</f>
        <v>13.7412669150449</v>
      </c>
      <c r="N1662" s="38" t="n">
        <f aca="false">Sens!$N$1608*(1-Sens!$N$1553)</f>
        <v>0.0912435878202994</v>
      </c>
      <c r="O1662" s="38" t="n">
        <f aca="false">Sens!$O$1608*(1-Sens!$O$1553)</f>
        <v>0.137119578309265</v>
      </c>
    </row>
    <row r="1663" customFormat="false" ht="17.15" hidden="false" customHeight="false" outlineLevel="0" collapsed="false">
      <c r="A1663" s="0" t="s">
        <v>740</v>
      </c>
      <c r="B1663" s="0" t="s">
        <v>52</v>
      </c>
      <c r="C1663" s="28" t="n">
        <f aca="false">(Sens!$C$1664-Sens!$C$1660+Sens!$C$1662)/Sens!$C$1661</f>
        <v>-0.0292364215826579</v>
      </c>
      <c r="D1663" s="28" t="n">
        <f aca="false">(Sens!$D$1664-Sens!$D$1660+Sens!$D$1662)/Sens!$D$1661</f>
        <v>-0.0312406216748665</v>
      </c>
      <c r="E1663" s="28" t="n">
        <f aca="false">(Sens!$E$1664-Sens!$E$1660+Sens!$E$1662)/Sens!$E$1661</f>
        <v>-0.0204459413185552</v>
      </c>
      <c r="F1663" s="28" t="n">
        <f aca="false">Sens!$O$1663+(Sens!$E$1663-Sens!$N$1663)</f>
        <v>-0.0375409290246314</v>
      </c>
      <c r="G1663" s="28" t="n">
        <f aca="false">(Sens!$G$1664-Sens!$G$1660+Sens!$G$1662)/Sens!$G$1661</f>
        <v>-0.0296732656596418</v>
      </c>
      <c r="H1663" s="28" t="n">
        <f aca="false">Sens!$G$1663+step_in</f>
        <v>-0.0296732656596418</v>
      </c>
      <c r="I1663" s="28" t="n">
        <f aca="false">Sens!$H$1663+step_in</f>
        <v>-0.0296732656596418</v>
      </c>
      <c r="J1663" s="28" t="n">
        <f aca="false">Sens!$I$1663+step_in</f>
        <v>-0.0296732656596418</v>
      </c>
      <c r="K1663" s="28" t="n">
        <f aca="false">Sens!$J$1663+step_in</f>
        <v>-0.0296732656596418</v>
      </c>
      <c r="L1663" s="28" t="n">
        <f aca="false">Sens!$K$1663</f>
        <v>-0.0296732656596418</v>
      </c>
      <c r="M1663" s="28" t="n">
        <f aca="false">Sens!$L$1663</f>
        <v>-0.0296732656596418</v>
      </c>
      <c r="N1663" s="28" t="n">
        <f aca="false">(Sens!$N$1664-Sens!$N$1660+Sens!$N$1662)/Sens!$N$1661</f>
        <v>-0.0216602600421776</v>
      </c>
      <c r="O1663" s="28" t="n">
        <f aca="false">(Sens!$O$1664-Sens!$O$1660+Sens!$O$1662)/Sens!$O$1661</f>
        <v>-0.0387552477482538</v>
      </c>
      <c r="P1663" s="8" t="s">
        <v>735</v>
      </c>
    </row>
    <row r="1664" customFormat="false" ht="17.15" hidden="false" customHeight="false" outlineLevel="0" collapsed="false">
      <c r="A1664" s="1" t="s">
        <v>741</v>
      </c>
      <c r="B1664" s="8" t="s">
        <v>86</v>
      </c>
      <c r="C1664" s="38" t="n">
        <f aca="false">Q!$D$23</f>
        <v>3.792</v>
      </c>
      <c r="D1664" s="38" t="n">
        <f aca="false">Q!$E$23</f>
        <v>4.75</v>
      </c>
      <c r="E1664" s="38" t="n">
        <f aca="false">Q!$P$23</f>
        <v>3.141</v>
      </c>
      <c r="F1664" s="38" t="n">
        <f aca="false">Sens!$F$1660+Sens!$F$1661*Sens!$F$1663-Sens!$F$1662</f>
        <v>2.75839044611912</v>
      </c>
      <c r="G1664" s="38" t="n">
        <f aca="false">Sens!$E$1664+Sens!$F$1664</f>
        <v>5.89939044611912</v>
      </c>
      <c r="H1664" s="38" t="n">
        <f aca="false">Sens!$H$1660+Sens!$H$1661*Sens!$H$1663-Sens!$H$1662</f>
        <v>6.04642767374124</v>
      </c>
      <c r="I1664" s="38" t="n">
        <f aca="false">Sens!$I$1660+Sens!$I$1661*Sens!$I$1663-Sens!$I$1662</f>
        <v>5.06928173712726</v>
      </c>
      <c r="J1664" s="38" t="n">
        <f aca="false">Sens!$J$1660+Sens!$J$1661*Sens!$J$1663-Sens!$J$1662</f>
        <v>4.12905619590521</v>
      </c>
      <c r="K1664" s="38" t="n">
        <f aca="false">Sens!$K$1660+Sens!$K$1661*Sens!$K$1663-Sens!$K$1662</f>
        <v>2.97338442401042</v>
      </c>
      <c r="L1664" s="38" t="n">
        <f aca="false">Sens!$L$1660+Sens!$L$1661*Sens!$L$1663-Sens!$L$1662</f>
        <v>2.79347770060861</v>
      </c>
      <c r="M1664" s="38" t="n">
        <f aca="false">Sens!$M$1660+Sens!$M$1661*Sens!$M$1663-Sens!$M$1662</f>
        <v>3.61145531590096</v>
      </c>
      <c r="N1664" s="38" t="n">
        <f aca="false">Q!$N$23</f>
        <v>2.511</v>
      </c>
      <c r="O1664" s="38" t="n">
        <f aca="false">Q!$O$23</f>
        <v>2.239</v>
      </c>
    </row>
    <row r="1665" customFormat="false" ht="17.15" hidden="false" customHeight="false" outlineLevel="0" collapsed="false">
      <c r="A1665" s="0" t="s">
        <v>742</v>
      </c>
      <c r="B1665" s="0" t="s">
        <v>86</v>
      </c>
      <c r="C1665" s="38" t="n">
        <f aca="false">Sens!$C$1605</f>
        <v>1.64417882953695</v>
      </c>
      <c r="D1665" s="38" t="n">
        <f aca="false">Sens!$D$1605</f>
        <v>5.39125073772939</v>
      </c>
      <c r="E1665" s="38" t="n">
        <f aca="false">Sens!$E$1605</f>
        <v>2.42691120599613</v>
      </c>
      <c r="F1665" s="38" t="n">
        <f aca="false">Sens!$F$1605</f>
        <v>8.49397090577469</v>
      </c>
      <c r="G1665" s="38" t="n">
        <f aca="false">Sens!$G$1605</f>
        <v>10.9208821117708</v>
      </c>
      <c r="H1665" s="38" t="n">
        <f aca="false">Sens!$H$1605</f>
        <v>31.4446735673246</v>
      </c>
      <c r="I1665" s="38" t="n">
        <f aca="false">Sens!$I$1605</f>
        <v>41.6549833319082</v>
      </c>
      <c r="J1665" s="38" t="n">
        <f aca="false">Sens!$J$1605</f>
        <v>54.4260239266373</v>
      </c>
      <c r="K1665" s="38" t="n">
        <f aca="false">Sens!$K$1605</f>
        <v>60.5209241173549</v>
      </c>
      <c r="L1665" s="38" t="n">
        <f aca="false">Sens!$L$1605</f>
        <v>63.1276747780082</v>
      </c>
      <c r="M1665" s="38" t="n">
        <f aca="false">Sens!$M$1605</f>
        <v>62.2826187512593</v>
      </c>
      <c r="N1665" s="38" t="n">
        <f aca="false">Sens!$N$1605</f>
        <v>1.67921600037079</v>
      </c>
      <c r="O1665" s="38" t="n">
        <f aca="false">Sens!$O$1605</f>
        <v>3.71203473735861</v>
      </c>
    </row>
    <row r="1666" customFormat="false" ht="17.15" hidden="false" customHeight="false" outlineLevel="0" collapsed="false">
      <c r="A1666" s="0" t="s">
        <v>660</v>
      </c>
      <c r="B1666" s="0" t="s">
        <v>86</v>
      </c>
      <c r="C1666" s="38" t="n">
        <f aca="false">Sens!$C$1610</f>
        <v>38.1898211704631</v>
      </c>
      <c r="D1666" s="38" t="n">
        <f aca="false">Sens!$D$1610</f>
        <v>40.2147492622706</v>
      </c>
      <c r="E1666" s="38" t="n">
        <f aca="false">Sens!$E$1610</f>
        <v>28.3550887940039</v>
      </c>
      <c r="F1666" s="38" t="n">
        <f aca="false">Sens!$F$1610</f>
        <v>25.9529793149447</v>
      </c>
      <c r="G1666" s="38" t="n">
        <f aca="false">Sens!$G$1610</f>
        <v>54.3080681089486</v>
      </c>
      <c r="H1666" s="38" t="n">
        <f aca="false">Sens!$H$1610</f>
        <v>58.2264684589333</v>
      </c>
      <c r="I1666" s="38" t="n">
        <f aca="false">Sens!$I$1610</f>
        <v>64.6461353851744</v>
      </c>
      <c r="J1666" s="38" t="n">
        <f aca="false">Sens!$J$1610</f>
        <v>70.7957093610231</v>
      </c>
      <c r="K1666" s="38" t="n">
        <f aca="false">Sens!$K$1610</f>
        <v>76.4593661099049</v>
      </c>
      <c r="L1666" s="38" t="n">
        <f aca="false">Sens!$L$1610</f>
        <v>82.5761153986973</v>
      </c>
      <c r="M1666" s="38" t="n">
        <f aca="false">Sens!$M$1610</f>
        <v>89.1822046305931</v>
      </c>
      <c r="N1666" s="38" t="n">
        <f aca="false">Sens!$N$1610</f>
        <v>20.0277839996292</v>
      </c>
      <c r="O1666" s="38" t="n">
        <f aca="false">Sens!$O$1610</f>
        <v>20.1869652626414</v>
      </c>
    </row>
    <row r="1667" customFormat="false" ht="17.15" hidden="false" customHeight="false" outlineLevel="0" collapsed="false">
      <c r="A1667" s="1" t="s">
        <v>743</v>
      </c>
      <c r="B1667" s="8" t="s">
        <v>86</v>
      </c>
      <c r="C1667" s="38" t="n">
        <f aca="false">Q!$D$24</f>
        <v>39.834</v>
      </c>
      <c r="D1667" s="38" t="n">
        <f aca="false">Q!$E$24</f>
        <v>45.606</v>
      </c>
      <c r="E1667" s="38" t="n">
        <f aca="false">Q!$P$24</f>
        <v>30.782</v>
      </c>
      <c r="F1667" s="38" t="n">
        <f aca="false">Sens!$F$1665+Sens!$F$1666</f>
        <v>34.4469502207194</v>
      </c>
      <c r="G1667" s="38" t="n">
        <f aca="false">Sens!$G$1665+Sens!$G$1666</f>
        <v>65.2289502207194</v>
      </c>
      <c r="H1667" s="38" t="n">
        <f aca="false">Sens!$H$1665+Sens!$H$1666</f>
        <v>89.6711420262579</v>
      </c>
      <c r="I1667" s="38" t="n">
        <f aca="false">Sens!$I$1665+Sens!$I$1666</f>
        <v>106.301118717083</v>
      </c>
      <c r="J1667" s="38" t="n">
        <f aca="false">Sens!$J$1665+Sens!$J$1666</f>
        <v>125.22173328766</v>
      </c>
      <c r="K1667" s="38" t="n">
        <f aca="false">Sens!$K$1665+Sens!$K$1666</f>
        <v>136.98029022726</v>
      </c>
      <c r="L1667" s="38" t="n">
        <f aca="false">Sens!$L$1665+Sens!$L$1666</f>
        <v>145.703790176706</v>
      </c>
      <c r="M1667" s="38" t="n">
        <f aca="false">Sens!$M$1665+Sens!$M$1666</f>
        <v>151.464823381852</v>
      </c>
      <c r="N1667" s="38" t="n">
        <f aca="false">Q!$N$24</f>
        <v>21.707</v>
      </c>
      <c r="O1667" s="38" t="n">
        <f aca="false">Q!$O$24</f>
        <v>23.899</v>
      </c>
    </row>
    <row r="1668" customFormat="false" ht="17.15" hidden="false" customHeight="false" outlineLevel="0" collapsed="false">
      <c r="A1668" s="5" t="s">
        <v>744</v>
      </c>
      <c r="B1668" s="0" t="s">
        <v>86</v>
      </c>
      <c r="C1668" s="38" t="n">
        <f aca="false">Q!$D$26</f>
        <v>0</v>
      </c>
      <c r="D1668" s="38" t="n">
        <f aca="false">Q!$E$26</f>
        <v>0</v>
      </c>
      <c r="E1668" s="38" t="n">
        <f aca="false">Q!$P$26</f>
        <v>0</v>
      </c>
      <c r="F1668" s="39" t="n">
        <v>0</v>
      </c>
      <c r="G1668" s="38" t="n">
        <f aca="false">Sens!$E$1668+Sens!$F$1668</f>
        <v>0</v>
      </c>
      <c r="H1668" s="39" t="n">
        <v>0</v>
      </c>
      <c r="I1668" s="39" t="n">
        <v>0</v>
      </c>
      <c r="J1668" s="39" t="n">
        <v>0</v>
      </c>
      <c r="K1668" s="39" t="n">
        <v>0</v>
      </c>
      <c r="L1668" s="39" t="n">
        <v>0</v>
      </c>
      <c r="M1668" s="39" t="n">
        <v>0</v>
      </c>
      <c r="N1668" s="38" t="n">
        <f aca="false">Q!$N$26</f>
        <v>0</v>
      </c>
      <c r="O1668" s="38" t="n">
        <f aca="false">Q!$O$26</f>
        <v>0</v>
      </c>
    </row>
    <row r="1669" customFormat="false" ht="15" hidden="false" customHeight="false" outlineLevel="0" collapsed="false">
      <c r="A1669" s="3" t="s">
        <v>541</v>
      </c>
      <c r="B1669" s="8" t="s">
        <v>86</v>
      </c>
      <c r="C1669" s="38" t="n">
        <f aca="false">Q!$D$25</f>
        <v>68.593</v>
      </c>
      <c r="D1669" s="38" t="n">
        <f aca="false">Q!$E$25</f>
        <v>79.975</v>
      </c>
      <c r="E1669" s="38" t="n">
        <f aca="false">Q!$P$25</f>
        <v>51.313</v>
      </c>
      <c r="F1669" s="38" t="n">
        <f aca="false">Sens!$F$1659+Sens!$F$1664+Sens!$F$1667+Sens!$F$1668</f>
        <v>57.2742543069871</v>
      </c>
      <c r="G1669" s="38" t="n">
        <f aca="false">Sens!$G$1659+Sens!$G$1664+Sens!$G$1667+Sens!$G$1668</f>
        <v>108.587254306987</v>
      </c>
      <c r="H1669" s="38" t="n">
        <f aca="false">Sens!$H$1659+Sens!$H$1664+Sens!$H$1667+Sens!$H$1668</f>
        <v>136.967593518731</v>
      </c>
      <c r="I1669" s="38" t="n">
        <f aca="false">Sens!$I$1659+Sens!$I$1664+Sens!$I$1667+Sens!$I$1668</f>
        <v>153.607128037868</v>
      </c>
      <c r="J1669" s="38" t="n">
        <f aca="false">Sens!$J$1659+Sens!$J$1664+Sens!$J$1667+Sens!$J$1668</f>
        <v>172.721536222713</v>
      </c>
      <c r="K1669" s="38" t="n">
        <f aca="false">Sens!$K$1659+Sens!$K$1664+Sens!$K$1667+Sens!$K$1668</f>
        <v>183.854826360412</v>
      </c>
      <c r="L1669" s="38" t="n">
        <f aca="false">Sens!$L$1659+Sens!$L$1664+Sens!$L$1667+Sens!$L$1668</f>
        <v>194.036788456678</v>
      </c>
      <c r="M1669" s="38" t="n">
        <f aca="false">Sens!$M$1659+Sens!$M$1664+Sens!$M$1667+Sens!$M$1668</f>
        <v>204.986880433941</v>
      </c>
      <c r="N1669" s="38" t="n">
        <f aca="false">Q!$N$25</f>
        <v>37.576</v>
      </c>
      <c r="O1669" s="38" t="n">
        <f aca="false">Q!$O$25</f>
        <v>42.399</v>
      </c>
    </row>
    <row r="1670" customFormat="false" ht="17.15" hidden="false" customHeight="false" outlineLevel="0" collapsed="false">
      <c r="A1670" s="24" t="s">
        <v>775</v>
      </c>
      <c r="B1670" s="25" t="s">
        <v>86</v>
      </c>
      <c r="C1670" s="41" t="n">
        <f aca="false">Sens!$C$1659+Sens!$C$1664+Sens!$C$1667+Sens!$C$1668-Sens!$C$1669</f>
        <v>0</v>
      </c>
      <c r="D1670" s="41" t="n">
        <f aca="false">Sens!$D$1659+Sens!$D$1664+Sens!$D$1667+Sens!$D$1668-Sens!$D$1669</f>
        <v>0</v>
      </c>
      <c r="E1670" s="41" t="n">
        <f aca="false">Sens!$E$1659+Sens!$E$1664+Sens!$E$1667+Sens!$E$1668-Sens!$E$1669</f>
        <v>0</v>
      </c>
      <c r="F1670" s="41" t="n">
        <f aca="false">Sens!$F$1659+Sens!$F$1664+Sens!$F$1667+Sens!$F$1668-Sens!$F$1669</f>
        <v>0</v>
      </c>
      <c r="G1670" s="41" t="n">
        <f aca="false">Sens!$G$1659+Sens!$G$1664+Sens!$G$1667+Sens!$G$1668-Sens!$G$1669</f>
        <v>0</v>
      </c>
      <c r="H1670" s="41" t="n">
        <f aca="false">Sens!$H$1659+Sens!$H$1664+Sens!$H$1667+Sens!$H$1668-Sens!$H$1669</f>
        <v>0</v>
      </c>
      <c r="I1670" s="41" t="n">
        <f aca="false">Sens!$I$1659+Sens!$I$1664+Sens!$I$1667+Sens!$I$1668-Sens!$I$1669</f>
        <v>0</v>
      </c>
      <c r="J1670" s="41" t="n">
        <f aca="false">Sens!$J$1659+Sens!$J$1664+Sens!$J$1667+Sens!$J$1668-Sens!$J$1669</f>
        <v>0</v>
      </c>
      <c r="K1670" s="41" t="n">
        <f aca="false">Sens!$K$1659+Sens!$K$1664+Sens!$K$1667+Sens!$K$1668-Sens!$K$1669</f>
        <v>0</v>
      </c>
      <c r="L1670" s="41" t="n">
        <f aca="false">Sens!$L$1659+Sens!$L$1664+Sens!$L$1667+Sens!$L$1668-Sens!$L$1669</f>
        <v>0</v>
      </c>
      <c r="M1670" s="41" t="n">
        <f aca="false">Sens!$M$1659+Sens!$M$1664+Sens!$M$1667+Sens!$M$1668-Sens!$M$1669</f>
        <v>0</v>
      </c>
      <c r="N1670" s="41" t="n">
        <f aca="false">Sens!$N$1659+Sens!$N$1664+Sens!$N$1667+Sens!$N$1668-Sens!$N$1669</f>
        <v>0</v>
      </c>
      <c r="O1670" s="41" t="n">
        <f aca="false">Sens!$O$1659+Sens!$O$1664+Sens!$O$1667+Sens!$O$1668-Sens!$O$1669</f>
        <v>0</v>
      </c>
    </row>
    <row r="1671" customFormat="false" ht="17.15" hidden="false" customHeight="false" outlineLevel="0" collapsed="false">
      <c r="A1671" s="5" t="s">
        <v>746</v>
      </c>
      <c r="B1671" s="0" t="s">
        <v>86</v>
      </c>
      <c r="C1671" s="38" t="n">
        <f aca="false">Sens!$C$1607</f>
        <v>0</v>
      </c>
      <c r="D1671" s="38" t="n">
        <f aca="false">Sens!$D$1607</f>
        <v>0</v>
      </c>
      <c r="E1671" s="38" t="n">
        <f aca="false">Sens!$E$1607</f>
        <v>0</v>
      </c>
      <c r="F1671" s="38" t="n">
        <f aca="false">Sens!$F$1607</f>
        <v>4.08031800914075</v>
      </c>
      <c r="G1671" s="38" t="n">
        <f aca="false">Sens!$G$1607</f>
        <v>4.08031800914075</v>
      </c>
      <c r="H1671" s="38" t="n">
        <f aca="false">Sens!$H$1607</f>
        <v>17.6870277651227</v>
      </c>
      <c r="I1671" s="38" t="n">
        <f aca="false">Sens!$I$1607</f>
        <v>30.7099402663721</v>
      </c>
      <c r="J1671" s="38" t="n">
        <f aca="false">Sens!$J$1607</f>
        <v>43.7907878362763</v>
      </c>
      <c r="K1671" s="38" t="n">
        <f aca="false">Sens!$K$1607</f>
        <v>54.9426328870174</v>
      </c>
      <c r="L1671" s="38" t="n">
        <f aca="false">Sens!$L$1607</f>
        <v>62.2540622931248</v>
      </c>
      <c r="M1671" s="38" t="n">
        <f aca="false">Sens!$M$1607</f>
        <v>65.7156229498017</v>
      </c>
      <c r="N1671" s="38" t="n">
        <f aca="false">Sens!$N$1607</f>
        <v>0</v>
      </c>
      <c r="O1671" s="38" t="n">
        <f aca="false">Sens!$O$1607</f>
        <v>0</v>
      </c>
      <c r="P1671" s="5" t="s">
        <v>747</v>
      </c>
    </row>
    <row r="1672" customFormat="false" ht="17.15" hidden="false" customHeight="false" outlineLevel="0" collapsed="false">
      <c r="A1672" s="5" t="s">
        <v>748</v>
      </c>
      <c r="B1672" s="0" t="s">
        <v>86</v>
      </c>
      <c r="C1672" s="38" t="n">
        <f aca="false">Sens!$C$1669+Sens!$C$1671</f>
        <v>68.593</v>
      </c>
      <c r="D1672" s="38" t="n">
        <f aca="false">Sens!$D$1669+Sens!$D$1671</f>
        <v>79.975</v>
      </c>
      <c r="E1672" s="38" t="n">
        <f aca="false">Sens!$E$1669+Sens!$E$1671</f>
        <v>51.313</v>
      </c>
      <c r="F1672" s="38" t="n">
        <f aca="false">Sens!$F$1669+Sens!$F$1671</f>
        <v>61.3545723161279</v>
      </c>
      <c r="G1672" s="38" t="n">
        <f aca="false">Sens!$G$1669+Sens!$G$1671</f>
        <v>112.667572316128</v>
      </c>
      <c r="H1672" s="38" t="n">
        <f aca="false">Sens!$H$1669+Sens!$H$1671</f>
        <v>154.654621283854</v>
      </c>
      <c r="I1672" s="38" t="n">
        <f aca="false">Sens!$I$1669+Sens!$I$1671</f>
        <v>184.31706830424</v>
      </c>
      <c r="J1672" s="38" t="n">
        <f aca="false">Sens!$J$1669+Sens!$J$1671</f>
        <v>216.512324058989</v>
      </c>
      <c r="K1672" s="38" t="n">
        <f aca="false">Sens!$K$1669+Sens!$K$1671</f>
        <v>238.797459247429</v>
      </c>
      <c r="L1672" s="38" t="n">
        <f aca="false">Sens!$L$1669+Sens!$L$1671</f>
        <v>256.290850749802</v>
      </c>
      <c r="M1672" s="38" t="n">
        <f aca="false">Sens!$M$1669+Sens!$M$1671</f>
        <v>270.702503383743</v>
      </c>
      <c r="N1672" s="38" t="n">
        <f aca="false">Sens!$N$1669+Sens!$N$1671</f>
        <v>37.576</v>
      </c>
      <c r="O1672" s="38" t="n">
        <f aca="false">Sens!$O$1669+Sens!$O$1671</f>
        <v>42.399</v>
      </c>
    </row>
    <row r="1673" customFormat="false" ht="17.15" hidden="false" customHeight="false" outlineLevel="0" collapsed="false">
      <c r="A1673" s="0" t="s">
        <v>749</v>
      </c>
      <c r="B1673" s="0" t="s">
        <v>52</v>
      </c>
      <c r="C1673" s="13" t="n">
        <f aca="false">Sens!$C$1659/Sens!$C$1644</f>
        <v>0.0644314665661928</v>
      </c>
      <c r="D1673" s="13" t="n">
        <f aca="false">Sens!$D$1659/Sens!$D$1644</f>
        <v>0.0694784250712518</v>
      </c>
      <c r="E1673" s="13" t="n">
        <f aca="false">Sens!$E$1659/Sens!$E$1644</f>
        <v>0.0789306463326071</v>
      </c>
      <c r="F1673" s="13" t="n">
        <f aca="false">Sens!$F$1659/Sens!$F$1644</f>
        <v>0.0800707460011454</v>
      </c>
      <c r="G1673" s="13" t="n">
        <f aca="false">Sens!$G$1659/Sens!$G$1644</f>
        <v>0.079537395228709</v>
      </c>
      <c r="H1673" s="13" t="n">
        <f aca="false">Sens!$H$1659/Sens!$H$1644</f>
        <v>0.0791159437748629</v>
      </c>
      <c r="I1673" s="13" t="n">
        <f aca="false">Sens!$I$1659/Sens!$I$1644</f>
        <v>0.0740808247408751</v>
      </c>
      <c r="J1673" s="13" t="n">
        <f aca="false">Sens!$J$1659/Sens!$J$1644</f>
        <v>0.070476682346634</v>
      </c>
      <c r="K1673" s="13" t="n">
        <f aca="false">Sens!$K$1659/Sens!$K$1644</f>
        <v>0.067003358417104</v>
      </c>
      <c r="L1673" s="13" t="n">
        <f aca="false">Sens!$L$1659/Sens!$L$1644</f>
        <v>0.0652608419452674</v>
      </c>
      <c r="M1673" s="13" t="n">
        <f aca="false">Sens!$M$1659/Sens!$M$1644</f>
        <v>0.0671383465456441</v>
      </c>
      <c r="N1673" s="13" t="n">
        <f aca="false">Sens!$N$1659/Sens!$N$1644</f>
        <v>0.069228576611127</v>
      </c>
      <c r="O1673" s="13" t="n">
        <f aca="false">Sens!$O$1659/Sens!$O$1644</f>
        <v>0.069685022498393</v>
      </c>
    </row>
    <row r="1674" customFormat="false" ht="17.15" hidden="false" customHeight="false" outlineLevel="0" collapsed="false">
      <c r="A1674" s="0" t="s">
        <v>750</v>
      </c>
      <c r="B1674" s="0" t="s">
        <v>52</v>
      </c>
      <c r="C1674" s="13" t="n">
        <f aca="false">Sens!$C$1664/Sens!$C$1645</f>
        <v>0.026534925055631</v>
      </c>
      <c r="D1674" s="13" t="n">
        <f aca="false">Sens!$D$1664/Sens!$D$1645</f>
        <v>0.0293401855535103</v>
      </c>
      <c r="E1674" s="13" t="n">
        <f aca="false">Sens!$E$1664/Sens!$E$1645</f>
        <v>0.03831141902276</v>
      </c>
      <c r="F1674" s="13" t="n">
        <f aca="false">Sens!$F$1664/Sens!$F$1645</f>
        <v>0.0280300110097795</v>
      </c>
      <c r="G1674" s="13" t="n">
        <f aca="false">Sens!$G$1664/Sens!$G$1645</f>
        <v>0.0327027236817748</v>
      </c>
      <c r="H1674" s="13" t="n">
        <f aca="false">Sens!$H$1664/Sens!$H$1645</f>
        <v>0.0302760539204108</v>
      </c>
      <c r="I1674" s="13" t="n">
        <f aca="false">Sens!$I$1664/Sens!$I$1645</f>
        <v>0.0232125350860085</v>
      </c>
      <c r="J1674" s="13" t="n">
        <f aca="false">Sens!$J$1664/Sens!$J$1645</f>
        <v>0.0175170086260215</v>
      </c>
      <c r="K1674" s="13" t="n">
        <f aca="false">Sens!$K$1664/Sens!$K$1645</f>
        <v>0.0118476527855789</v>
      </c>
      <c r="L1674" s="13" t="n">
        <f aca="false">Sens!$L$1664/Sens!$L$1645</f>
        <v>0.0104512930490822</v>
      </c>
      <c r="M1674" s="13" t="n">
        <f aca="false">Sens!$M$1664/Sens!$M$1645</f>
        <v>0.012682961658507</v>
      </c>
      <c r="N1674" s="13" t="n">
        <f aca="false">Sens!$N$1664/Sens!$N$1645</f>
        <v>0.0357315650169337</v>
      </c>
      <c r="O1674" s="13" t="n">
        <f aca="false">Sens!$O$1664/Sens!$O$1645</f>
        <v>0.0244378956559703</v>
      </c>
    </row>
    <row r="1675" customFormat="false" ht="17.15" hidden="false" customHeight="false" outlineLevel="0" collapsed="false">
      <c r="A1675" s="14" t="s">
        <v>751</v>
      </c>
      <c r="B1675" s="14" t="s">
        <v>52</v>
      </c>
      <c r="C1675" s="17" t="n">
        <f aca="false">Sens!$C$1667/Sens!$C$1646</f>
        <v>0.370355907620217</v>
      </c>
      <c r="D1675" s="17" t="n">
        <f aca="false">Sens!$D$1667/Sens!$D$1646</f>
        <v>0.35429015342785</v>
      </c>
      <c r="E1675" s="17" t="n">
        <f aca="false">Sens!$E$1667/Sens!$E$1646</f>
        <v>0.385647527531039</v>
      </c>
      <c r="F1675" s="17" t="n">
        <f aca="false">Sens!$F$1667/Sens!$F$1646</f>
        <v>0.391624323688939</v>
      </c>
      <c r="G1675" s="17" t="n">
        <f aca="false">Sens!$G$1667/Sens!$G$1646</f>
        <v>0.388780915072132</v>
      </c>
      <c r="H1675" s="17" t="n">
        <f aca="false">Sens!$H$1667/Sens!$H$1646</f>
        <v>0.387858349129578</v>
      </c>
      <c r="I1675" s="17" t="n">
        <f aca="false">Sens!$I$1667/Sens!$I$1646</f>
        <v>0.353605642671068</v>
      </c>
      <c r="J1675" s="17" t="n">
        <f aca="false">Sens!$J$1667/Sens!$J$1646</f>
        <v>0.338868989910543</v>
      </c>
      <c r="K1675" s="17" t="n">
        <f aca="false">Sens!$K$1667/Sens!$K$1646</f>
        <v>0.318975157492198</v>
      </c>
      <c r="L1675" s="17" t="n">
        <f aca="false">Sens!$L$1667/Sens!$L$1646</f>
        <v>0.306509932466385</v>
      </c>
      <c r="M1675" s="17" t="n">
        <f aca="false">Sens!$M$1667/Sens!$M$1646</f>
        <v>0.298531100138414</v>
      </c>
      <c r="N1675" s="17" t="n">
        <f aca="false">Sens!$N$1667/Sens!$N$1646</f>
        <v>0.360941137346192</v>
      </c>
      <c r="O1675" s="17" t="n">
        <f aca="false">Sens!$O$1667/Sens!$O$1646</f>
        <v>0.348458117664212</v>
      </c>
    </row>
    <row r="1676" customFormat="false" ht="17.15" hidden="false" customHeight="false" outlineLevel="0" collapsed="false">
      <c r="A1676" s="0" t="s">
        <v>752</v>
      </c>
      <c r="B1676" s="0" t="s">
        <v>52</v>
      </c>
      <c r="C1676" s="13" t="n">
        <f aca="false">Sens!$C$1665/Sens!$C$1647</f>
        <v>0.708390794789371</v>
      </c>
      <c r="D1676" s="13" t="n">
        <f aca="false">Sens!$D$1665/Sens!$D$1647</f>
        <v>0.619415573115729</v>
      </c>
      <c r="E1676" s="13" t="n">
        <f aca="false">Sens!$E$1665/Sens!$E$1647</f>
        <v>0.285171627189009</v>
      </c>
      <c r="F1676" s="13" t="n">
        <f aca="false">Sens!$F$1665/Sens!$F$1647</f>
        <v>0.524647271600054</v>
      </c>
      <c r="G1676" s="13" t="n">
        <f aca="false">Sens!$G$1665/Sens!$G$1647</f>
        <v>0.442136992272706</v>
      </c>
      <c r="H1676" s="13" t="n">
        <f aca="false">Sens!$H$1665/Sens!$H$1647</f>
        <v>0.448066933311226</v>
      </c>
      <c r="I1676" s="13" t="n">
        <f aca="false">Sens!$I$1665/Sens!$I$1647</f>
        <v>0.341852417197908</v>
      </c>
      <c r="J1676" s="13" t="n">
        <f aca="false">Sens!$J$1665/Sens!$J$1647</f>
        <v>0.313238049791523</v>
      </c>
      <c r="K1676" s="13" t="n">
        <f aca="false">Sens!$K$1665/Sens!$K$1647</f>
        <v>0.277617440120442</v>
      </c>
      <c r="L1676" s="13" t="n">
        <f aca="false">Sens!$L$1665/Sens!$L$1647</f>
        <v>0.255565813569901</v>
      </c>
      <c r="M1676" s="13" t="n">
        <f aca="false">Sens!$M$1665/Sens!$M$1647</f>
        <v>0.23886300816521</v>
      </c>
      <c r="N1676" s="13" t="n">
        <f aca="false">Sens!$N$1665/Sens!$N$1647</f>
        <v>0.551227795793364</v>
      </c>
      <c r="O1676" s="13" t="n">
        <f aca="false">Sens!$O$1665/Sens!$O$1647</f>
        <v>0.656132068597002</v>
      </c>
    </row>
    <row r="1677" customFormat="false" ht="15" hidden="false" customHeight="false" outlineLevel="0" collapsed="false">
      <c r="A1677" s="5" t="s">
        <v>753</v>
      </c>
      <c r="B1677" s="0" t="s">
        <v>52</v>
      </c>
      <c r="C1677" s="13" t="n">
        <f aca="false">Sens!$C$1669/Sens!$C$1649</f>
        <v>0.107519448742004</v>
      </c>
      <c r="D1677" s="13" t="n">
        <f aca="false">Sens!$D$1669/Sens!$D$1649</f>
        <v>0.111552967957552</v>
      </c>
      <c r="E1677" s="13" t="n">
        <f aca="false">Sens!$E$1669/Sens!$E$1649</f>
        <v>0.13428328426562</v>
      </c>
      <c r="F1677" s="13" t="n">
        <f aca="false">Sens!$F$1669/Sens!$F$1649</f>
        <v>0.131060144203431</v>
      </c>
      <c r="G1677" s="13" t="n">
        <f aca="false">Sens!$G$1669/Sens!$G$1649</f>
        <v>0.13256373798105</v>
      </c>
      <c r="H1677" s="13" t="n">
        <f aca="false">Sens!$H$1669/Sens!$H$1649</f>
        <v>0.143829333594583</v>
      </c>
      <c r="I1677" s="13" t="n">
        <f aca="false">Sens!$I$1669/Sens!$I$1649</f>
        <v>0.141033960390198</v>
      </c>
      <c r="J1677" s="13" t="n">
        <f aca="false">Sens!$J$1669/Sens!$J$1649</f>
        <v>0.141501164020189</v>
      </c>
      <c r="K1677" s="13" t="n">
        <f aca="false">Sens!$K$1669/Sens!$K$1649</f>
        <v>0.13765553639438</v>
      </c>
      <c r="L1677" s="13" t="n">
        <f aca="false">Sens!$L$1669/Sens!$L$1649</f>
        <v>0.134705008864383</v>
      </c>
      <c r="M1677" s="13" t="n">
        <f aca="false">Sens!$M$1669/Sens!$M$1649</f>
        <v>0.13349716225094</v>
      </c>
      <c r="N1677" s="13" t="n">
        <f aca="false">Sens!$N$1669/Sens!$N$1649</f>
        <v>0.116201614873411</v>
      </c>
      <c r="O1677" s="13" t="n">
        <f aca="false">Sens!$O$1669/Sens!$O$1649</f>
        <v>0.107733353660861</v>
      </c>
    </row>
    <row r="1678" customFormat="false" ht="17.15" hidden="false" customHeight="false" outlineLevel="0" collapsed="false">
      <c r="A1678" s="1" t="s">
        <v>754</v>
      </c>
    </row>
    <row r="1679" customFormat="false" ht="17.15" hidden="false" customHeight="false" outlineLevel="0" collapsed="false">
      <c r="A1679" s="5" t="s">
        <v>755</v>
      </c>
      <c r="B1679" s="0" t="s">
        <v>52</v>
      </c>
      <c r="D1679" s="28" t="n">
        <f aca="false">(Q!$E$29+Q!$E$30-(1-ext_sh)*Sens!$D$1601)/Sens!$D$1552</f>
        <v>0.0341105596409988</v>
      </c>
    </row>
    <row r="1680" customFormat="false" ht="17.15" hidden="false" customHeight="false" outlineLevel="0" collapsed="false">
      <c r="A1680" s="0" t="s">
        <v>545</v>
      </c>
      <c r="B1680" s="0" t="s">
        <v>86</v>
      </c>
      <c r="C1680" s="38" t="n">
        <f aca="false">Q!$D$29</f>
        <v>14.285</v>
      </c>
      <c r="D1680" s="38" t="n">
        <f aca="false">Q!$E$29</f>
        <v>15.503</v>
      </c>
      <c r="E1680" s="38" t="n">
        <f aca="false">Q!$P$29</f>
        <v>8.78</v>
      </c>
      <c r="F1680" s="38" t="n">
        <f aca="false">(Sens!$D$1679*Sens!$F$1552+(1-ext_sh)*Sens!$F$1601)*Sens!$F$1553</f>
        <v>9.30317620449232</v>
      </c>
      <c r="G1680" s="38" t="n">
        <f aca="false">Sens!$E$1680+Sens!$F$1680</f>
        <v>18.0831762044923</v>
      </c>
      <c r="H1680" s="38" t="n">
        <f aca="false">(Sens!$D$1679*Sens!$H$1552+(1-ext_sh)*Sens!$H$1601)*Sens!$H$1553</f>
        <v>22.1297245338482</v>
      </c>
      <c r="I1680" s="38" t="n">
        <f aca="false">(Sens!$D$1679*Sens!$I$1552+(1-ext_sh)*Sens!$I$1601)*Sens!$I$1553</f>
        <v>29.4119522439301</v>
      </c>
      <c r="J1680" s="38" t="n">
        <f aca="false">(Sens!$D$1679*Sens!$J$1552+(1-ext_sh)*Sens!$J$1601)*Sens!$J$1553</f>
        <v>36.1496780267224</v>
      </c>
      <c r="K1680" s="38" t="n">
        <f aca="false">(Sens!$D$1679*Sens!$K$1552+(1-ext_sh)*Sens!$K$1601)*Sens!$K$1553</f>
        <v>42.8018768598968</v>
      </c>
      <c r="L1680" s="38" t="n">
        <f aca="false">(Sens!$D$1679*Sens!$L$1552+(1-ext_sh)*Sens!$L$1601)*Sens!$L$1553</f>
        <v>47.9769407477157</v>
      </c>
      <c r="M1680" s="38" t="n">
        <f aca="false">(Sens!$D$1679*Sens!$M$1552+(1-ext_sh)*Sens!$M$1601)*Sens!$M$1553</f>
        <v>51.6692274607652</v>
      </c>
      <c r="N1680" s="38" t="n">
        <f aca="false">Q!$N$29</f>
        <v>7.272</v>
      </c>
      <c r="O1680" s="38" t="n">
        <f aca="false">Q!$O$29</f>
        <v>8.231</v>
      </c>
    </row>
    <row r="1681" customFormat="false" ht="17.15" hidden="false" customHeight="false" outlineLevel="0" collapsed="false">
      <c r="A1681" s="0" t="s">
        <v>547</v>
      </c>
      <c r="B1681" s="0" t="s">
        <v>86</v>
      </c>
      <c r="C1681" s="38" t="n">
        <f aca="false">Q!$D$30</f>
        <v>4.462</v>
      </c>
      <c r="D1681" s="38" t="n">
        <f aca="false">Q!$E$30</f>
        <v>4.907</v>
      </c>
      <c r="E1681" s="38" t="n">
        <f aca="false">Q!$P$30</f>
        <v>2.57</v>
      </c>
      <c r="F1681" s="38" t="n">
        <f aca="false">(Sens!$D$1679*Sens!$F$1552+(1-ext_sh)*Sens!$F$1601)*(1-Sens!$F$1553)</f>
        <v>3.6526976809753</v>
      </c>
      <c r="G1681" s="38" t="n">
        <f aca="false">Sens!$E$1681+Sens!$F$1681</f>
        <v>6.2226976809753</v>
      </c>
      <c r="H1681" s="38" t="n">
        <f aca="false">(Sens!$D$1679*Sens!$H$1552+(1-ext_sh)*Sens!$H$1601)*(1-Sens!$H$1553)</f>
        <v>8.4764774248495</v>
      </c>
      <c r="I1681" s="38" t="n">
        <f aca="false">(Sens!$D$1679*Sens!$I$1552+(1-ext_sh)*Sens!$I$1601)*(1-Sens!$I$1553)</f>
        <v>11.2658315667281</v>
      </c>
      <c r="J1681" s="38" t="n">
        <f aca="false">(Sens!$D$1679*Sens!$J$1552+(1-ext_sh)*Sens!$J$1601)*(1-Sens!$J$1553)</f>
        <v>13.8466219604499</v>
      </c>
      <c r="K1681" s="38" t="n">
        <f aca="false">(Sens!$D$1679*Sens!$K$1552+(1-ext_sh)*Sens!$K$1601)*(1-Sens!$K$1553)</f>
        <v>16.3946524679588</v>
      </c>
      <c r="L1681" s="38" t="n">
        <f aca="false">(Sens!$D$1679*Sens!$L$1552+(1-ext_sh)*Sens!$L$1601)*(1-Sens!$L$1553)</f>
        <v>18.3768873642927</v>
      </c>
      <c r="M1681" s="38" t="n">
        <f aca="false">(Sens!$D$1679*Sens!$M$1552+(1-ext_sh)*Sens!$M$1601)*(1-Sens!$M$1553)</f>
        <v>19.7911654734199</v>
      </c>
      <c r="N1681" s="38" t="n">
        <f aca="false">Q!$N$30</f>
        <v>2.316</v>
      </c>
      <c r="O1681" s="38" t="n">
        <f aca="false">Q!$O$30</f>
        <v>2.591</v>
      </c>
    </row>
    <row r="1682" customFormat="false" ht="17.15" hidden="false" customHeight="false" outlineLevel="0" collapsed="false">
      <c r="A1682" s="0" t="s">
        <v>548</v>
      </c>
      <c r="B1682" s="0" t="s">
        <v>86</v>
      </c>
      <c r="C1682" s="38" t="n">
        <f aca="false">Sens!$C$1613</f>
        <v>13.32</v>
      </c>
      <c r="D1682" s="38" t="n">
        <f aca="false">Sens!$D$1613</f>
        <v>21.45</v>
      </c>
      <c r="E1682" s="38" t="n">
        <f aca="false">Sens!$E$1613</f>
        <v>15.353</v>
      </c>
      <c r="F1682" s="38" t="n">
        <f aca="false">Sens!$F$1613</f>
        <v>16.1969869840094</v>
      </c>
      <c r="G1682" s="38" t="n">
        <f aca="false">Sens!$G$1613</f>
        <v>31.5499869840094</v>
      </c>
      <c r="H1682" s="38" t="n">
        <f aca="false">Sens!$H$1613</f>
        <v>50.9556213609176</v>
      </c>
      <c r="I1682" s="38" t="n">
        <f aca="false">Sens!$I$1613</f>
        <v>85.009206523077</v>
      </c>
      <c r="J1682" s="38" t="n">
        <f aca="false">Sens!$J$1613</f>
        <v>116.587881980254</v>
      </c>
      <c r="K1682" s="38" t="n">
        <f aca="false">Sens!$K$1613</f>
        <v>148.493576823703</v>
      </c>
      <c r="L1682" s="38" t="n">
        <f aca="false">Sens!$L$1613</f>
        <v>171.911908493131</v>
      </c>
      <c r="M1682" s="38" t="n">
        <f aca="false">Sens!$M$1613</f>
        <v>186.788914310111</v>
      </c>
      <c r="N1682" s="38" t="n">
        <f aca="false">Sens!$N$1613</f>
        <v>9.234</v>
      </c>
      <c r="O1682" s="38" t="n">
        <f aca="false">Sens!$O$1613</f>
        <v>12.216</v>
      </c>
    </row>
    <row r="1683" customFormat="false" ht="17.15" hidden="false" customHeight="false" outlineLevel="0" collapsed="false">
      <c r="A1683" s="5" t="s">
        <v>756</v>
      </c>
      <c r="B1683" s="0" t="s">
        <v>86</v>
      </c>
      <c r="C1683" s="38" t="n">
        <f aca="false">Sens!$C$1680+Sens!$C$1681+Sens!$C$1682</f>
        <v>32.067</v>
      </c>
      <c r="D1683" s="38" t="n">
        <f aca="false">Sens!$D$1680+Sens!$D$1681+Sens!$D$1682</f>
        <v>41.86</v>
      </c>
      <c r="E1683" s="38" t="n">
        <f aca="false">Sens!$E$1680+Sens!$E$1681+Sens!$E$1682</f>
        <v>26.703</v>
      </c>
      <c r="F1683" s="38" t="n">
        <f aca="false">Sens!$F$1680+Sens!$F$1681+Sens!$F$1682</f>
        <v>29.152860869477</v>
      </c>
      <c r="G1683" s="38" t="n">
        <f aca="false">Sens!$G$1680+Sens!$G$1681+Sens!$G$1682</f>
        <v>55.855860869477</v>
      </c>
      <c r="H1683" s="38" t="n">
        <f aca="false">Sens!$H$1680+Sens!$H$1681+Sens!$H$1682</f>
        <v>81.5618233196153</v>
      </c>
      <c r="I1683" s="38" t="n">
        <f aca="false">Sens!$I$1680+Sens!$I$1681+Sens!$I$1682</f>
        <v>125.686990333735</v>
      </c>
      <c r="J1683" s="38" t="n">
        <f aca="false">Sens!$J$1680+Sens!$J$1681+Sens!$J$1682</f>
        <v>166.584181967426</v>
      </c>
      <c r="K1683" s="38" t="n">
        <f aca="false">Sens!$K$1680+Sens!$K$1681+Sens!$K$1682</f>
        <v>207.690106151559</v>
      </c>
      <c r="L1683" s="38" t="n">
        <f aca="false">Sens!$L$1680+Sens!$L$1681+Sens!$L$1682</f>
        <v>238.26573660514</v>
      </c>
      <c r="M1683" s="38" t="n">
        <f aca="false">Sens!$M$1680+Sens!$M$1681+Sens!$M$1682</f>
        <v>258.249307244296</v>
      </c>
      <c r="N1683" s="38" t="n">
        <f aca="false">Sens!$N$1680+Sens!$N$1681+Sens!$N$1682</f>
        <v>18.822</v>
      </c>
      <c r="O1683" s="38" t="n">
        <f aca="false">Sens!$O$1680+Sens!$O$1681+Sens!$O$1682</f>
        <v>23.038</v>
      </c>
    </row>
    <row r="1684" customFormat="false" ht="17.15" hidden="false" customHeight="false" outlineLevel="0" collapsed="false">
      <c r="A1684" s="0" t="s">
        <v>757</v>
      </c>
      <c r="B1684" s="0" t="s">
        <v>86</v>
      </c>
      <c r="C1684" s="38" t="n">
        <f aca="false">Sens!$C$1655+Sens!$C$1660</f>
        <v>28.107</v>
      </c>
      <c r="D1684" s="38" t="n">
        <f aca="false">Sens!$D$1655+Sens!$D$1660</f>
        <v>34.3175</v>
      </c>
      <c r="E1684" s="38" t="n">
        <f aca="false">Sens!$E$1655+Sens!$E$1660</f>
        <v>18.526</v>
      </c>
      <c r="F1684" s="38" t="n">
        <f aca="false">Sens!$F$1655+Sens!$F$1660</f>
        <v>23.0786109972074</v>
      </c>
      <c r="G1684" s="38" t="n">
        <f aca="false">Sens!$G$1655+Sens!$G$1660</f>
        <v>41.6046109972074</v>
      </c>
      <c r="H1684" s="38" t="n">
        <f aca="false">Sens!$H$1655+Sens!$H$1660</f>
        <v>49.9484611939488</v>
      </c>
      <c r="I1684" s="38" t="n">
        <f aca="false">Sens!$I$1655+Sens!$I$1660</f>
        <v>58.2915555477481</v>
      </c>
      <c r="J1684" s="38" t="n">
        <f aca="false">Sens!$J$1655+Sens!$J$1660</f>
        <v>66.0744709709759</v>
      </c>
      <c r="K1684" s="38" t="n">
        <f aca="false">Sens!$K$1655+Sens!$K$1660</f>
        <v>72.6819180680735</v>
      </c>
      <c r="L1684" s="38" t="n">
        <f aca="false">Sens!$L$1655+Sens!$L$1660</f>
        <v>79.9501098748808</v>
      </c>
      <c r="M1684" s="38" t="n">
        <f aca="false">Sens!$M$1655+Sens!$M$1660</f>
        <v>87.9451208623689</v>
      </c>
      <c r="N1684" s="38" t="n">
        <f aca="false">Sens!$N$1655+Sens!$N$1660</f>
        <v>14.8075</v>
      </c>
      <c r="O1684" s="38" t="n">
        <f aca="false">Sens!$O$1655+Sens!$O$1660</f>
        <v>19.51</v>
      </c>
    </row>
    <row r="1685" customFormat="false" ht="17.15" hidden="false" customHeight="false" outlineLevel="0" collapsed="false">
      <c r="A1685" s="0" t="s">
        <v>758</v>
      </c>
      <c r="B1685" s="0" t="s">
        <v>86</v>
      </c>
      <c r="C1685" s="38" t="n">
        <f aca="false">Sens!$C$1659+Sens!$C$1664+Sens!$C$1680+Sens!$C$1681-Sens!$C$1684</f>
        <v>19.399</v>
      </c>
      <c r="D1685" s="38" t="n">
        <f aca="false">Sens!$D$1659+Sens!$D$1664+Sens!$D$1680+Sens!$D$1681-Sens!$D$1684</f>
        <v>20.4615</v>
      </c>
      <c r="E1685" s="38" t="n">
        <f aca="false">Sens!$E$1659+Sens!$E$1664+Sens!$E$1680+Sens!$E$1681-Sens!$E$1684</f>
        <v>13.355</v>
      </c>
      <c r="F1685" s="38" t="n">
        <f aca="false">Sens!$F$1659+Sens!$F$1664+Sens!$F$1680+Sens!$F$1681-Sens!$F$1684</f>
        <v>12.704566974528</v>
      </c>
      <c r="G1685" s="38" t="n">
        <f aca="false">Sens!$G$1659+Sens!$G$1664+Sens!$G$1680+Sens!$G$1681-Sens!$G$1684</f>
        <v>26.059566974528</v>
      </c>
      <c r="H1685" s="38" t="n">
        <f aca="false">Sens!$H$1659+Sens!$H$1664+Sens!$H$1680+Sens!$H$1681-Sens!$H$1684</f>
        <v>27.954192257222</v>
      </c>
      <c r="I1685" s="38" t="n">
        <f aca="false">Sens!$I$1659+Sens!$I$1664+Sens!$I$1680+Sens!$I$1681-Sens!$I$1684</f>
        <v>29.6922375836959</v>
      </c>
      <c r="J1685" s="38" t="n">
        <f aca="false">Sens!$J$1659+Sens!$J$1664+Sens!$J$1680+Sens!$J$1681-Sens!$J$1684</f>
        <v>31.4216319512487</v>
      </c>
      <c r="K1685" s="38" t="n">
        <f aca="false">Sens!$K$1659+Sens!$K$1664+Sens!$K$1680+Sens!$K$1681-Sens!$K$1684</f>
        <v>33.389147392934</v>
      </c>
      <c r="L1685" s="38" t="n">
        <f aca="false">Sens!$L$1659+Sens!$L$1664+Sens!$L$1680+Sens!$L$1681-Sens!$L$1684</f>
        <v>34.7367165170996</v>
      </c>
      <c r="M1685" s="38" t="n">
        <f aca="false">Sens!$M$1659+Sens!$M$1664+Sens!$M$1680+Sens!$M$1681-Sens!$M$1684</f>
        <v>37.0373291239048</v>
      </c>
      <c r="N1685" s="38" t="n">
        <f aca="false">Sens!$N$1659+Sens!$N$1664+Sens!$N$1680+Sens!$N$1681-Sens!$N$1684</f>
        <v>10.6495</v>
      </c>
      <c r="O1685" s="38" t="n">
        <f aca="false">Sens!$O$1659+Sens!$O$1664+Sens!$O$1680+Sens!$O$1681-Sens!$O$1684</f>
        <v>9.81200000000001</v>
      </c>
    </row>
    <row r="1686" customFormat="false" ht="17.15" hidden="false" customHeight="false" outlineLevel="0" collapsed="false">
      <c r="A1686" s="0" t="s">
        <v>759</v>
      </c>
      <c r="B1686" s="0" t="s">
        <v>86</v>
      </c>
      <c r="C1686" s="38" t="n">
        <f aca="false">Sens!$C$1666+Sens!$C$1682-ext_sh*Sens!$C$1601</f>
        <v>51.3470500115664</v>
      </c>
      <c r="D1686" s="38" t="n">
        <f aca="false">Sens!$D$1666+Sens!$D$1682-ext_sh*Sens!$D$1601</f>
        <v>60.2799375433739</v>
      </c>
      <c r="E1686" s="38" t="n">
        <f aca="false">Sens!$E$1666+Sens!$E$1682-ext_sh*Sens!$E$1601</f>
        <v>39.5095167090767</v>
      </c>
      <c r="F1686" s="38" t="n">
        <f aca="false">Sens!$F$1666+Sens!$F$1682-ext_sh*Sens!$F$1601</f>
        <v>37.951394214027</v>
      </c>
      <c r="G1686" s="38" t="n">
        <f aca="false">Sens!$G$1666+Sens!$G$1682-ext_sh*Sens!$G$1601</f>
        <v>77.4609109231037</v>
      </c>
      <c r="H1686" s="38" t="n">
        <f aca="false">Sens!$H$1666+Sens!$H$1682-ext_sh*Sens!$H$1601</f>
        <v>85.1453558128916</v>
      </c>
      <c r="I1686" s="38" t="n">
        <f aca="false">Sens!$I$1666+Sens!$I$1682-ext_sh*Sens!$I$1601</f>
        <v>94.5329219679741</v>
      </c>
      <c r="J1686" s="38" t="n">
        <f aca="false">Sens!$J$1666+Sens!$J$1682-ext_sh*Sens!$J$1601</f>
        <v>103.525527532583</v>
      </c>
      <c r="K1686" s="38" t="n">
        <f aca="false">Sens!$K$1666+Sens!$K$1682-ext_sh*Sens!$K$1601</f>
        <v>111.80756973519</v>
      </c>
      <c r="L1686" s="38" t="n">
        <f aca="false">Sens!$L$1666+Sens!$L$1682-ext_sh*Sens!$L$1601</f>
        <v>120.752175314005</v>
      </c>
      <c r="M1686" s="38" t="n">
        <f aca="false">Sens!$M$1666+Sens!$M$1682-ext_sh*Sens!$M$1601</f>
        <v>130.412349339125</v>
      </c>
      <c r="N1686" s="38" t="n">
        <f aca="false">Sens!$N$1666+Sens!$N$1682-ext_sh*Sens!$N$1601</f>
        <v>28.5693781401809</v>
      </c>
      <c r="O1686" s="38" t="n">
        <f aca="false">Sens!$O$1666+Sens!$O$1682-ext_sh*Sens!$O$1601</f>
        <v>31.7105594031931</v>
      </c>
    </row>
    <row r="1687" customFormat="false" ht="17.15" hidden="false" customHeight="false" outlineLevel="0" collapsed="false">
      <c r="A1687" s="0" t="s">
        <v>760</v>
      </c>
      <c r="B1687" s="0" t="s">
        <v>86</v>
      </c>
      <c r="C1687" s="38" t="n">
        <f aca="false">Sens!$C$1604</f>
        <v>1.80694998843362</v>
      </c>
      <c r="D1687" s="38" t="n">
        <f aca="false">Sens!$D$1604</f>
        <v>6.77606245662607</v>
      </c>
      <c r="E1687" s="38" t="n">
        <f aca="false">Sens!$E$1604</f>
        <v>6.62548329092326</v>
      </c>
      <c r="F1687" s="38" t="n">
        <f aca="false">Sens!$F$1604</f>
        <v>12.6925429907018</v>
      </c>
      <c r="G1687" s="38" t="n">
        <f aca="false">Sens!$G$1604</f>
        <v>19.3180262816251</v>
      </c>
      <c r="H1687" s="38" t="n">
        <f aca="false">Sens!$H$1604</f>
        <v>55.4814075742838</v>
      </c>
      <c r="I1687" s="38" t="n">
        <f aca="false">Sens!$I$1604</f>
        <v>96.7774032721855</v>
      </c>
      <c r="J1687" s="38" t="n">
        <f aca="false">Sens!$J$1604</f>
        <v>138.284087735331</v>
      </c>
      <c r="K1687" s="38" t="n">
        <f aca="false">Sens!$K$1604</f>
        <v>173.666297315773</v>
      </c>
      <c r="L1687" s="38" t="n">
        <f aca="false">Sens!$L$1604</f>
        <v>196.863523355832</v>
      </c>
      <c r="M1687" s="38" t="n">
        <f aca="false">Sens!$M$1604</f>
        <v>207.841388352838</v>
      </c>
      <c r="N1687" s="38" t="n">
        <f aca="false">Sens!$N$1604</f>
        <v>2.37162185981912</v>
      </c>
      <c r="O1687" s="38" t="n">
        <f aca="false">Sens!$O$1604</f>
        <v>4.40444059680694</v>
      </c>
    </row>
    <row r="1688" customFormat="false" ht="17.15" hidden="false" customHeight="false" outlineLevel="0" collapsed="false">
      <c r="A1688" s="0" t="s">
        <v>761</v>
      </c>
      <c r="B1688" s="0" t="s">
        <v>86</v>
      </c>
      <c r="C1688" s="38" t="n">
        <f aca="false">Sens!$C$1669+Sens!$C$1683</f>
        <v>100.66</v>
      </c>
      <c r="D1688" s="38" t="n">
        <f aca="false">Sens!$D$1669+Sens!$D$1683</f>
        <v>121.835</v>
      </c>
      <c r="E1688" s="38" t="n">
        <f aca="false">Sens!$E$1669+Sens!$E$1683</f>
        <v>78.016</v>
      </c>
      <c r="F1688" s="38" t="n">
        <f aca="false">Sens!$F$1669+Sens!$F$1683</f>
        <v>86.4271151764642</v>
      </c>
      <c r="G1688" s="38" t="n">
        <f aca="false">Sens!$G$1669+Sens!$G$1683</f>
        <v>164.443115176464</v>
      </c>
      <c r="H1688" s="38" t="n">
        <f aca="false">Sens!$H$1669+Sens!$H$1683</f>
        <v>218.529416838346</v>
      </c>
      <c r="I1688" s="38" t="n">
        <f aca="false">Sens!$I$1669+Sens!$I$1683</f>
        <v>279.294118371604</v>
      </c>
      <c r="J1688" s="38" t="n">
        <f aca="false">Sens!$J$1669+Sens!$J$1683</f>
        <v>339.305718190139</v>
      </c>
      <c r="K1688" s="38" t="n">
        <f aca="false">Sens!$K$1669+Sens!$K$1683</f>
        <v>391.54493251197</v>
      </c>
      <c r="L1688" s="38" t="n">
        <f aca="false">Sens!$L$1669+Sens!$L$1683</f>
        <v>432.302525061817</v>
      </c>
      <c r="M1688" s="38" t="n">
        <f aca="false">Sens!$M$1669+Sens!$M$1683</f>
        <v>463.236187678237</v>
      </c>
      <c r="N1688" s="38" t="n">
        <f aca="false">Sens!$N$1669+Sens!$N$1683</f>
        <v>56.398</v>
      </c>
      <c r="O1688" s="38" t="n">
        <f aca="false">Sens!$O$1669+Sens!$O$1683</f>
        <v>65.437</v>
      </c>
    </row>
    <row r="1689" customFormat="false" ht="17.15" hidden="false" customHeight="false" outlineLevel="0" collapsed="false">
      <c r="A1689" s="1" t="s">
        <v>762</v>
      </c>
    </row>
    <row r="1690" customFormat="false" ht="15" hidden="false" customHeight="false" outlineLevel="0" collapsed="false">
      <c r="A1690" s="5" t="s">
        <v>551</v>
      </c>
      <c r="B1690" s="0" t="s">
        <v>86</v>
      </c>
      <c r="C1690" s="38" t="n">
        <f aca="false">Q!$D$34</f>
        <v>2.406</v>
      </c>
      <c r="D1690" s="38" t="n">
        <f aca="false">Q!$E$34</f>
        <v>2.274</v>
      </c>
      <c r="E1690" s="38" t="n">
        <f aca="false">Q!$P$34</f>
        <v>2.114</v>
      </c>
      <c r="F1690" s="38" t="n">
        <f aca="false">Sens!$F$1728</f>
        <v>3.24888962733561</v>
      </c>
      <c r="G1690" s="38" t="n">
        <f aca="false">Sens!$E$1690+Sens!$F$1690</f>
        <v>5.36288962733561</v>
      </c>
      <c r="H1690" s="38" t="n">
        <f aca="false">Sens!$H$1728</f>
        <v>7.42354172302123</v>
      </c>
      <c r="I1690" s="38" t="n">
        <f aca="false">Sens!$I$1728</f>
        <v>10.521197547612</v>
      </c>
      <c r="J1690" s="38" t="n">
        <f aca="false">Sens!$J$1728</f>
        <v>13.9327785464028</v>
      </c>
      <c r="K1690" s="38" t="n">
        <f aca="false">Sens!$K$1728</f>
        <v>14.4079157852223</v>
      </c>
      <c r="L1690" s="38" t="n">
        <f aca="false">Sens!$L$1728</f>
        <v>14.4079157852223</v>
      </c>
      <c r="M1690" s="38" t="n">
        <f aca="false">Sens!$M$1728</f>
        <v>14.4079157852223</v>
      </c>
      <c r="N1690" s="38" t="n">
        <f aca="false">Q!$N$34</f>
        <v>1.057</v>
      </c>
      <c r="O1690" s="38" t="n">
        <f aca="false">Q!$O$34</f>
        <v>1.217</v>
      </c>
    </row>
    <row r="1691" customFormat="false" ht="15" hidden="false" customHeight="false" outlineLevel="0" collapsed="false">
      <c r="A1691" s="5" t="s">
        <v>763</v>
      </c>
      <c r="B1691" s="0" t="s">
        <v>86</v>
      </c>
      <c r="F1691" s="38" t="n">
        <f aca="false">Sens!$F$1729</f>
        <v>2.59</v>
      </c>
      <c r="H1691" s="38" t="n">
        <f aca="false">Sens!$H$1729</f>
        <v>4.14892212265326</v>
      </c>
      <c r="I1691" s="38" t="n">
        <f aca="false">Sens!$I$1729</f>
        <v>2.10589651022864</v>
      </c>
      <c r="J1691" s="38" t="n">
        <f aca="false">Sens!$J$1729</f>
        <v>2.10589651022864</v>
      </c>
      <c r="K1691" s="38" t="n">
        <f aca="false">Sens!$K$1729</f>
        <v>2.10589651022864</v>
      </c>
      <c r="L1691" s="38" t="n">
        <f aca="false">Sens!$L$1729</f>
        <v>6.74608433962196</v>
      </c>
      <c r="M1691" s="38" t="n">
        <f aca="false">Sens!$M$1729</f>
        <v>14.6847760693815</v>
      </c>
    </row>
    <row r="1692" customFormat="false" ht="17.15" hidden="false" customHeight="false" outlineLevel="0" collapsed="false">
      <c r="A1692" s="5" t="s">
        <v>764</v>
      </c>
      <c r="B1692" s="0" t="s">
        <v>86</v>
      </c>
      <c r="C1692" s="38" t="n">
        <f aca="false">Q!$D$39</f>
        <v>2.427</v>
      </c>
      <c r="D1692" s="38" t="n">
        <f aca="false">Q!$E$39</f>
        <v>19.61</v>
      </c>
      <c r="E1692" s="38" t="n">
        <f aca="false">Q!$P$39</f>
        <v>71.492</v>
      </c>
      <c r="F1692" s="39" t="n">
        <v>0</v>
      </c>
      <c r="G1692" s="38" t="n">
        <f aca="false">Sens!$E$1692+Sens!$F$1692</f>
        <v>71.492</v>
      </c>
      <c r="H1692" s="39" t="n">
        <v>0</v>
      </c>
      <c r="I1692" s="39" t="n">
        <v>0</v>
      </c>
      <c r="J1692" s="39" t="n">
        <v>0</v>
      </c>
      <c r="K1692" s="39" t="n">
        <v>0</v>
      </c>
      <c r="L1692" s="39" t="n">
        <v>0</v>
      </c>
      <c r="M1692" s="39" t="n">
        <v>0</v>
      </c>
      <c r="N1692" s="38" t="n">
        <f aca="false">Q!$N$39</f>
        <v>6.017</v>
      </c>
      <c r="O1692" s="38" t="n">
        <f aca="false">Q!$O$39</f>
        <v>13.593</v>
      </c>
      <c r="P1692" s="5" t="s">
        <v>765</v>
      </c>
    </row>
    <row r="1693" customFormat="false" ht="15" hidden="false" customHeight="false" outlineLevel="0" collapsed="false">
      <c r="A1693" s="5" t="s">
        <v>554</v>
      </c>
      <c r="B1693" s="0" t="s">
        <v>86</v>
      </c>
      <c r="C1693" s="38" t="n">
        <f aca="false">Q!$D$36</f>
        <v>68.614</v>
      </c>
      <c r="D1693" s="38" t="n">
        <f aca="false">Q!$E$36</f>
        <v>97.311</v>
      </c>
      <c r="E1693" s="38" t="n">
        <f aca="false">Q!$P$36</f>
        <v>120.691</v>
      </c>
      <c r="F1693" s="38" t="n">
        <f aca="false">Sens!$F$1669-Sens!$F$1690+Sens!$F$1691+Sens!$F$1692</f>
        <v>56.6153646796515</v>
      </c>
      <c r="G1693" s="38" t="n">
        <f aca="false">Sens!$E$1693+Sens!$F$1693</f>
        <v>177.306364679652</v>
      </c>
      <c r="H1693" s="38" t="n">
        <f aca="false">Sens!$H$1669-Sens!$H$1690+Sens!$H$1691+Sens!$H$1692</f>
        <v>133.692973918363</v>
      </c>
      <c r="I1693" s="38" t="n">
        <f aca="false">Sens!$I$1669-Sens!$I$1690+Sens!$I$1691+Sens!$I$1692</f>
        <v>145.191827000485</v>
      </c>
      <c r="J1693" s="38" t="n">
        <f aca="false">Sens!$J$1669-Sens!$J$1690+Sens!$J$1691+Sens!$J$1692</f>
        <v>160.894654186539</v>
      </c>
      <c r="K1693" s="38" t="n">
        <f aca="false">Sens!$K$1669-Sens!$K$1690+Sens!$K$1691+Sens!$K$1692</f>
        <v>171.552807085418</v>
      </c>
      <c r="L1693" s="38" t="n">
        <f aca="false">Sens!$L$1669-Sens!$L$1690+Sens!$L$1691+Sens!$L$1692</f>
        <v>186.374957011077</v>
      </c>
      <c r="M1693" s="38" t="n">
        <f aca="false">Sens!$M$1669-Sens!$M$1690+Sens!$M$1691+Sens!$M$1692</f>
        <v>205.2637407181</v>
      </c>
      <c r="N1693" s="38" t="n">
        <f aca="false">Q!$N$36</f>
        <v>42.536</v>
      </c>
      <c r="O1693" s="38" t="n">
        <f aca="false">Q!$O$36</f>
        <v>54.775</v>
      </c>
    </row>
    <row r="1694" customFormat="false" ht="15" hidden="false" customHeight="false" outlineLevel="0" collapsed="false">
      <c r="A1694" s="5" t="s">
        <v>555</v>
      </c>
      <c r="B1694" s="0" t="s">
        <v>86</v>
      </c>
      <c r="C1694" s="38" t="n">
        <f aca="false">Q!$D$37</f>
        <v>9.265</v>
      </c>
      <c r="D1694" s="38" t="n">
        <f aca="false">Q!$E$37</f>
        <v>19.087</v>
      </c>
      <c r="E1694" s="38" t="n">
        <f aca="false">Q!$P$37</f>
        <v>27.759</v>
      </c>
      <c r="F1694" s="38" t="n">
        <f aca="false">Sens!$F$1693*tax</f>
        <v>9.82755127739405</v>
      </c>
      <c r="G1694" s="38" t="n">
        <f aca="false">Sens!$E$1694+Sens!$F$1694</f>
        <v>37.5865512773941</v>
      </c>
      <c r="H1694" s="38" t="n">
        <f aca="false">Sens!$H$1693*tax</f>
        <v>23.2070315901762</v>
      </c>
      <c r="I1694" s="38" t="n">
        <f aca="false">Sens!$I$1693*tax</f>
        <v>25.2030545591211</v>
      </c>
      <c r="J1694" s="38" t="n">
        <f aca="false">Sens!$J$1693*tax</f>
        <v>27.9288223828239</v>
      </c>
      <c r="K1694" s="38" t="n">
        <f aca="false">Sens!$K$1693*tax</f>
        <v>29.7789128084304</v>
      </c>
      <c r="L1694" s="38" t="n">
        <f aca="false">Sens!$L$1693*tax</f>
        <v>32.3518086867819</v>
      </c>
      <c r="M1694" s="38" t="n">
        <f aca="false">Sens!$M$1693*tax</f>
        <v>35.6306092650124</v>
      </c>
      <c r="N1694" s="38" t="n">
        <f aca="false">Q!$N$37</f>
        <v>7.231</v>
      </c>
      <c r="O1694" s="38" t="n">
        <f aca="false">Q!$O$37</f>
        <v>11.856</v>
      </c>
    </row>
    <row r="1695" customFormat="false" ht="15" hidden="false" customHeight="false" outlineLevel="0" collapsed="false">
      <c r="A1695" s="3" t="s">
        <v>556</v>
      </c>
      <c r="B1695" s="8" t="s">
        <v>86</v>
      </c>
      <c r="C1695" s="38" t="n">
        <f aca="false">Q!$D$38</f>
        <v>59.248</v>
      </c>
      <c r="D1695" s="38" t="n">
        <f aca="false">Q!$E$38</f>
        <v>77.67</v>
      </c>
      <c r="E1695" s="38" t="n">
        <f aca="false">Q!$P$38</f>
        <v>92.902</v>
      </c>
      <c r="F1695" s="38" t="n">
        <f aca="false">Sens!$F$1693-Sens!$F$1694</f>
        <v>46.7878134022575</v>
      </c>
      <c r="G1695" s="38" t="n">
        <f aca="false">Sens!$E$1695+Sens!$F$1695</f>
        <v>139.689813402257</v>
      </c>
      <c r="H1695" s="38" t="n">
        <f aca="false">Sens!$H$1693-Sens!$H$1694</f>
        <v>110.485942328187</v>
      </c>
      <c r="I1695" s="38" t="n">
        <f aca="false">Sens!$I$1693-Sens!$I$1694</f>
        <v>119.988772441364</v>
      </c>
      <c r="J1695" s="38" t="n">
        <f aca="false">Sens!$J$1693-Sens!$J$1694</f>
        <v>132.965831803715</v>
      </c>
      <c r="K1695" s="38" t="n">
        <f aca="false">Sens!$K$1693-Sens!$K$1694</f>
        <v>141.773894276988</v>
      </c>
      <c r="L1695" s="38" t="n">
        <f aca="false">Sens!$L$1693-Sens!$L$1694</f>
        <v>154.023148324295</v>
      </c>
      <c r="M1695" s="38" t="n">
        <f aca="false">Sens!$M$1693-Sens!$M$1694</f>
        <v>169.633131453088</v>
      </c>
      <c r="N1695" s="38" t="n">
        <f aca="false">Q!$N$38</f>
        <v>35.291</v>
      </c>
      <c r="O1695" s="38" t="n">
        <f aca="false">Q!$O$38</f>
        <v>42.379</v>
      </c>
    </row>
    <row r="1696" customFormat="false" ht="17.15" hidden="false" customHeight="false" outlineLevel="0" collapsed="false">
      <c r="A1696" s="5" t="s">
        <v>559</v>
      </c>
      <c r="B1696" s="5" t="s">
        <v>33</v>
      </c>
      <c r="C1696" s="22" t="n">
        <f aca="false">Q!$D$41</f>
        <v>10.721</v>
      </c>
      <c r="D1696" s="22" t="n">
        <f aca="false">Q!$E$41</f>
        <v>10.827</v>
      </c>
      <c r="E1696" s="22" t="n">
        <f aca="false">(Q!$L$41+Q!$M$41)/2</f>
        <v>10.8885</v>
      </c>
      <c r="F1696" s="22" t="n">
        <f aca="false">Sens!$G$1696</f>
        <v>10.924806</v>
      </c>
      <c r="G1696" s="22" t="n">
        <f aca="false">Q!$M$41*(1+sh_g*0.25)</f>
        <v>10.924806</v>
      </c>
      <c r="H1696" s="22" t="n">
        <f aca="false">Sens!$G$1696*(1+sh_g)</f>
        <v>11.012204448</v>
      </c>
      <c r="I1696" s="22" t="n">
        <f aca="false">Sens!$H$1696*(1+sh_g)</f>
        <v>11.100302083584</v>
      </c>
      <c r="J1696" s="22" t="n">
        <f aca="false">Sens!$I$1696*(1+sh_g)</f>
        <v>11.1891045002527</v>
      </c>
      <c r="K1696" s="22" t="n">
        <f aca="false">Sens!$J$1696*(1+sh_g)</f>
        <v>11.2786173362547</v>
      </c>
      <c r="L1696" s="22" t="n">
        <f aca="false">Sens!$K$1696*(1+sh_g)</f>
        <v>11.3688462749447</v>
      </c>
      <c r="M1696" s="22" t="n">
        <f aca="false">Sens!$L$1696*(1+sh_g)</f>
        <v>11.4597970451443</v>
      </c>
      <c r="P1696" s="5" t="s">
        <v>766</v>
      </c>
    </row>
    <row r="1697" customFormat="false" ht="17.15" hidden="false" customHeight="false" outlineLevel="0" collapsed="false">
      <c r="A1697" s="5" t="s">
        <v>767</v>
      </c>
      <c r="B1697" s="0" t="s">
        <v>86</v>
      </c>
      <c r="C1697" s="38" t="n">
        <f aca="false">Sens!$C$1695+Sens!$C$1671*(1-tax)</f>
        <v>59.248</v>
      </c>
      <c r="D1697" s="38" t="n">
        <f aca="false">Sens!$D$1695+Sens!$D$1671*(1-tax)</f>
        <v>77.67</v>
      </c>
      <c r="E1697" s="38" t="n">
        <f aca="false">Sens!$E$1695+Sens!$E$1671*(1-tax)</f>
        <v>92.902</v>
      </c>
      <c r="F1697" s="38" t="n">
        <f aca="false">Sens!$F$1695+Sens!$F$1671*(1-tax)</f>
        <v>50.1598513413183</v>
      </c>
      <c r="G1697" s="38" t="n">
        <f aca="false">Sens!$G$1695+Sens!$G$1671*(1-tax)</f>
        <v>143.061851341318</v>
      </c>
      <c r="H1697" s="38" t="n">
        <f aca="false">Sens!$H$1695+Sens!$H$1671*(1-tax)</f>
        <v>125.102775751368</v>
      </c>
      <c r="I1697" s="38" t="n">
        <f aca="false">Sens!$I$1695+Sens!$I$1671*(1-tax)</f>
        <v>145.367942264038</v>
      </c>
      <c r="J1697" s="38" t="n">
        <f aca="false">Sens!$J$1695+Sens!$J$1671*(1-tax)</f>
        <v>169.155216463069</v>
      </c>
      <c r="K1697" s="38" t="n">
        <f aca="false">Sens!$K$1695+Sens!$K$1671*(1-tax)</f>
        <v>187.179336242999</v>
      </c>
      <c r="L1697" s="38" t="n">
        <f aca="false">Sens!$L$1695+Sens!$L$1671*(1-tax)</f>
        <v>205.470868684032</v>
      </c>
      <c r="M1697" s="38" t="n">
        <f aca="false">Sens!$M$1695+Sens!$M$1671*(1-tax)</f>
        <v>223.941539101542</v>
      </c>
      <c r="N1697" s="38" t="n">
        <f aca="false">Sens!$N$1695+Sens!$N$1671*(1-tax)</f>
        <v>35.291</v>
      </c>
      <c r="O1697" s="38" t="n">
        <f aca="false">Sens!$O$1695+Sens!$O$1671*(1-tax)</f>
        <v>42.379</v>
      </c>
    </row>
    <row r="1698" customFormat="false" ht="17.15" hidden="false" customHeight="false" outlineLevel="0" collapsed="false">
      <c r="A1698" s="43" t="s">
        <v>768</v>
      </c>
      <c r="B1698" s="14" t="s">
        <v>27</v>
      </c>
      <c r="C1698" s="44" t="n">
        <f aca="false">Sens!$C$1697/Sens!$C$1696</f>
        <v>5.52635015390355</v>
      </c>
      <c r="D1698" s="44" t="n">
        <f aca="false">Sens!$D$1697/Sens!$D$1696</f>
        <v>7.1737323358271</v>
      </c>
      <c r="E1698" s="44" t="n">
        <f aca="false">Sens!$E$1697/Sens!$E$1696</f>
        <v>8.53212104513937</v>
      </c>
      <c r="F1698" s="14"/>
      <c r="G1698" s="44" t="n">
        <f aca="false">Sens!$G$1697/Sens!$G$1696</f>
        <v>13.0951388373687</v>
      </c>
      <c r="H1698" s="44" t="n">
        <f aca="false">Sens!$H$1697/Sens!$H$1696</f>
        <v>11.3603753310345</v>
      </c>
      <c r="I1698" s="44" t="n">
        <f aca="false">Sens!$I$1697/Sens!$I$1696</f>
        <v>13.0958546145352</v>
      </c>
      <c r="J1698" s="44" t="n">
        <f aca="false">Sens!$J$1697/Sens!$J$1696</f>
        <v>15.1178511613015</v>
      </c>
      <c r="K1698" s="44" t="n">
        <f aca="false">Sens!$K$1697/Sens!$K$1696</f>
        <v>16.5959470618192</v>
      </c>
      <c r="L1698" s="44" t="n">
        <f aca="false">Sens!$L$1697/Sens!$L$1696</f>
        <v>18.0731504072546</v>
      </c>
      <c r="M1698" s="44" t="n">
        <f aca="false">Sens!$M$1697/Sens!$M$1696</f>
        <v>19.5414925953187</v>
      </c>
      <c r="N1698" s="14"/>
      <c r="O1698" s="14"/>
    </row>
    <row r="1699" customFormat="false" ht="17.15" hidden="false" customHeight="false" outlineLevel="0" collapsed="false">
      <c r="A1699" s="0" t="s">
        <v>769</v>
      </c>
      <c r="B1699" s="0" t="s">
        <v>27</v>
      </c>
      <c r="C1699" s="30" t="n">
        <f aca="false">Sens!$C$1695/Sens!$C$1696</f>
        <v>5.52635015390355</v>
      </c>
      <c r="D1699" s="30" t="n">
        <f aca="false">Sens!$D$1695/Sens!$D$1696</f>
        <v>7.1737323358271</v>
      </c>
      <c r="E1699" s="30" t="n">
        <f aca="false">Sens!$E$1695/Sens!$E$1696</f>
        <v>8.53212104513937</v>
      </c>
      <c r="G1699" s="30" t="n">
        <f aca="false">Sens!$G$1695/Sens!$G$1696</f>
        <v>12.7864799981123</v>
      </c>
      <c r="H1699" s="30" t="n">
        <f aca="false">Sens!$H$1695/Sens!$H$1696</f>
        <v>10.0330449593363</v>
      </c>
      <c r="I1699" s="30" t="n">
        <f aca="false">Sens!$I$1695/Sens!$I$1696</f>
        <v>10.8095051411991</v>
      </c>
      <c r="J1699" s="30" t="n">
        <f aca="false">Sens!$J$1695/Sens!$J$1696</f>
        <v>11.8835096946956</v>
      </c>
      <c r="K1699" s="30" t="n">
        <f aca="false">Sens!$K$1695/Sens!$K$1696</f>
        <v>12.5701484543908</v>
      </c>
      <c r="L1699" s="30" t="n">
        <f aca="false">Sens!$L$1695/Sens!$L$1696</f>
        <v>13.5478257511265</v>
      </c>
      <c r="M1699" s="30" t="n">
        <f aca="false">Sens!$M$1695/Sens!$M$1696</f>
        <v>14.8024551207008</v>
      </c>
    </row>
    <row r="1700" customFormat="false" ht="17.15" hidden="false" customHeight="false" outlineLevel="0" collapsed="false">
      <c r="A1700" s="0" t="s">
        <v>770</v>
      </c>
      <c r="B1700" s="0" t="s">
        <v>27</v>
      </c>
      <c r="C1700" s="30" t="n">
        <f aca="false">(Sens!$C$1695-Sens!$C$1692*(1-tax))/Sens!$C$1696</f>
        <v>5.33926775917445</v>
      </c>
      <c r="D1700" s="30" t="n">
        <f aca="false">(Sens!$D$1695-Sens!$D$1692*(1-tax))/Sens!$D$1696</f>
        <v>5.67691812755503</v>
      </c>
      <c r="E1700" s="30" t="n">
        <f aca="false">(Sens!$E$1695-Sens!$E$1692*(1-tax))/Sens!$E$1696</f>
        <v>3.10602057006846</v>
      </c>
      <c r="G1700" s="30" t="n">
        <f aca="false">(Sens!$G$1695-Sens!$G$1692*(1-tax))/Sens!$G$1696</f>
        <v>7.37841188021534</v>
      </c>
      <c r="H1700" s="30" t="n">
        <f aca="false">(Sens!$H$1695-Sens!$H$1692*(1-tax))/Sens!$H$1696</f>
        <v>10.0330449593363</v>
      </c>
      <c r="I1700" s="30" t="n">
        <f aca="false">(Sens!$I$1695-Sens!$I$1692*(1-tax))/Sens!$I$1696</f>
        <v>10.8095051411991</v>
      </c>
      <c r="J1700" s="30" t="n">
        <f aca="false">(Sens!$J$1695-Sens!$J$1692*(1-tax))/Sens!$J$1696</f>
        <v>11.8835096946956</v>
      </c>
      <c r="K1700" s="30" t="n">
        <f aca="false">(Sens!$K$1695-Sens!$K$1692*(1-tax))/Sens!$K$1696</f>
        <v>12.5701484543908</v>
      </c>
      <c r="L1700" s="30" t="n">
        <f aca="false">(Sens!$L$1695-Sens!$L$1692*(1-tax))/Sens!$L$1696</f>
        <v>13.5478257511265</v>
      </c>
      <c r="M1700" s="30" t="n">
        <f aca="false">(Sens!$M$1695-Sens!$M$1692*(1-tax))/Sens!$M$1696</f>
        <v>14.8024551207008</v>
      </c>
      <c r="P1700" s="5" t="s">
        <v>771</v>
      </c>
    </row>
    <row r="1701" customFormat="false" ht="17.15" hidden="false" customHeight="false" outlineLevel="0" collapsed="false">
      <c r="A1701" s="0" t="s">
        <v>772</v>
      </c>
      <c r="B1701" s="0" t="s">
        <v>52</v>
      </c>
      <c r="H1701" s="13" t="n">
        <f aca="false">Sens!$H$1698/Sens!$G$1698-1</f>
        <v>-0.132473853685597</v>
      </c>
      <c r="I1701" s="13" t="n">
        <f aca="false">Sens!$I$1698/Sens!$H$1698-1</f>
        <v>0.152766016344516</v>
      </c>
      <c r="J1701" s="13" t="n">
        <f aca="false">Sens!$J$1698/Sens!$I$1698-1</f>
        <v>0.154399739939243</v>
      </c>
      <c r="K1701" s="13" t="n">
        <f aca="false">Sens!$K$1698/Sens!$J$1698-1</f>
        <v>0.0977715605708094</v>
      </c>
      <c r="L1701" s="13" t="n">
        <f aca="false">Sens!$L$1698/Sens!$K$1698-1</f>
        <v>0.0890098853613395</v>
      </c>
      <c r="M1701" s="13" t="n">
        <f aca="false">Sens!$M$1698/Sens!$L$1698-1</f>
        <v>0.081244395967331</v>
      </c>
    </row>
    <row r="1704" customFormat="false" ht="19.4" hidden="false" customHeight="false" outlineLevel="0" collapsed="false">
      <c r="A1704" s="31" t="s">
        <v>1185</v>
      </c>
    </row>
    <row r="1705" customFormat="false" ht="17.15" hidden="false" customHeight="false" outlineLevel="0" collapsed="false">
      <c r="A1705" s="6" t="s">
        <v>16</v>
      </c>
      <c r="B1705" s="6" t="s">
        <v>17</v>
      </c>
      <c r="C1705" s="20" t="s">
        <v>504</v>
      </c>
      <c r="D1705" s="20" t="s">
        <v>505</v>
      </c>
      <c r="E1705" s="20" t="s">
        <v>587</v>
      </c>
      <c r="F1705" s="20" t="s">
        <v>588</v>
      </c>
      <c r="G1705" s="20" t="s">
        <v>589</v>
      </c>
      <c r="H1705" s="20" t="s">
        <v>590</v>
      </c>
      <c r="I1705" s="20" t="s">
        <v>591</v>
      </c>
      <c r="J1705" s="20" t="s">
        <v>592</v>
      </c>
      <c r="K1705" s="20" t="s">
        <v>593</v>
      </c>
      <c r="L1705" s="20" t="s">
        <v>594</v>
      </c>
      <c r="M1705" s="20" t="s">
        <v>595</v>
      </c>
      <c r="N1705" s="20" t="s">
        <v>596</v>
      </c>
      <c r="O1705" s="20" t="s">
        <v>597</v>
      </c>
      <c r="P1705" s="6" t="s">
        <v>23</v>
      </c>
      <c r="R1705" s="20" t="n">
        <v>2023</v>
      </c>
      <c r="S1705" s="20" t="n">
        <v>2024</v>
      </c>
      <c r="T1705" s="20" t="n">
        <v>2025</v>
      </c>
      <c r="U1705" s="20" t="n">
        <v>2026</v>
      </c>
      <c r="V1705" s="20" t="n">
        <v>2027</v>
      </c>
      <c r="W1705" s="20" t="n">
        <v>2028</v>
      </c>
      <c r="X1705" s="20" t="n">
        <v>2029</v>
      </c>
      <c r="Y1705" s="20" t="n">
        <v>2030</v>
      </c>
      <c r="Z1705" s="20" t="n">
        <v>2031</v>
      </c>
      <c r="AA1705" s="20" t="n">
        <v>2032</v>
      </c>
    </row>
    <row r="1706" customFormat="false" ht="15" hidden="false" customHeight="false" outlineLevel="0" collapsed="false">
      <c r="A1706" s="5" t="s">
        <v>556</v>
      </c>
      <c r="B1706" s="0" t="s">
        <v>86</v>
      </c>
      <c r="C1706" s="38" t="n">
        <f aca="false">Sens!$C$1695</f>
        <v>59.248</v>
      </c>
      <c r="D1706" s="38" t="n">
        <f aca="false">Sens!$D$1695</f>
        <v>77.67</v>
      </c>
      <c r="E1706" s="38" t="n">
        <f aca="false">Sens!$E$1695</f>
        <v>92.902</v>
      </c>
      <c r="F1706" s="38" t="n">
        <f aca="false">Sens!$F$1695</f>
        <v>46.7878134022575</v>
      </c>
      <c r="G1706" s="38" t="n">
        <f aca="false">Sens!$G$1695</f>
        <v>139.689813402257</v>
      </c>
      <c r="H1706" s="38" t="n">
        <f aca="false">Sens!$H$1695</f>
        <v>110.485942328187</v>
      </c>
      <c r="I1706" s="38" t="n">
        <f aca="false">Sens!$I$1695</f>
        <v>119.988772441364</v>
      </c>
      <c r="J1706" s="38" t="n">
        <f aca="false">Sens!$J$1695</f>
        <v>132.965831803715</v>
      </c>
      <c r="K1706" s="38" t="n">
        <f aca="false">Sens!$K$1695</f>
        <v>141.773894276988</v>
      </c>
      <c r="L1706" s="38" t="n">
        <f aca="false">Sens!$L$1695</f>
        <v>154.023148324295</v>
      </c>
      <c r="M1706" s="38" t="n">
        <f aca="false">Sens!$M$1695</f>
        <v>169.633131453088</v>
      </c>
    </row>
    <row r="1707" customFormat="false" ht="17.15" hidden="false" customHeight="false" outlineLevel="0" collapsed="false">
      <c r="A1707" s="5" t="s">
        <v>795</v>
      </c>
      <c r="B1707" s="0" t="s">
        <v>86</v>
      </c>
      <c r="C1707" s="38" t="n">
        <f aca="false">Sens!$C$1683</f>
        <v>32.067</v>
      </c>
      <c r="D1707" s="38" t="n">
        <f aca="false">Sens!$D$1683</f>
        <v>41.86</v>
      </c>
      <c r="E1707" s="38" t="n">
        <f aca="false">Sens!$E$1683</f>
        <v>26.703</v>
      </c>
      <c r="F1707" s="38" t="n">
        <f aca="false">Sens!$F$1683</f>
        <v>29.152860869477</v>
      </c>
      <c r="G1707" s="38" t="n">
        <f aca="false">Sens!$G$1683</f>
        <v>55.855860869477</v>
      </c>
      <c r="H1707" s="38" t="n">
        <f aca="false">Sens!$H$1683</f>
        <v>81.5618233196153</v>
      </c>
      <c r="I1707" s="38" t="n">
        <f aca="false">Sens!$I$1683</f>
        <v>125.686990333735</v>
      </c>
      <c r="J1707" s="38" t="n">
        <f aca="false">Sens!$J$1683</f>
        <v>166.584181967426</v>
      </c>
      <c r="K1707" s="38" t="n">
        <f aca="false">Sens!$K$1683</f>
        <v>207.690106151559</v>
      </c>
      <c r="L1707" s="38" t="n">
        <f aca="false">Sens!$L$1683</f>
        <v>238.26573660514</v>
      </c>
      <c r="M1707" s="38" t="n">
        <f aca="false">Sens!$M$1683</f>
        <v>258.249307244296</v>
      </c>
    </row>
    <row r="1708" customFormat="false" ht="15" hidden="false" customHeight="false" outlineLevel="0" collapsed="false">
      <c r="A1708" s="5" t="s">
        <v>796</v>
      </c>
      <c r="B1708" s="0" t="s">
        <v>86</v>
      </c>
      <c r="C1708" s="38" t="n">
        <f aca="false">Q!$D$48</f>
        <v>22.011</v>
      </c>
      <c r="D1708" s="38" t="n">
        <f aca="false">Q!$E$48</f>
        <v>19.467</v>
      </c>
      <c r="E1708" s="38" t="n">
        <f aca="false">Q!$P$48</f>
        <v>10.07</v>
      </c>
      <c r="F1708" s="38" t="n">
        <f aca="false">sbc_r*Sens!$F$1625</f>
        <v>10.8812411516979</v>
      </c>
      <c r="G1708" s="38" t="n">
        <f aca="false">Sens!$E$1708+Sens!$F$1708</f>
        <v>20.9512411516979</v>
      </c>
      <c r="H1708" s="38" t="n">
        <f aca="false">sbc_r*Sens!$H$1625</f>
        <v>23.7115525180189</v>
      </c>
      <c r="I1708" s="38" t="n">
        <f aca="false">sbc_r*Sens!$I$1625</f>
        <v>27.1192266673699</v>
      </c>
      <c r="J1708" s="38" t="n">
        <f aca="false">sbc_r*Sens!$J$1625</f>
        <v>30.3931779487486</v>
      </c>
      <c r="K1708" s="38" t="n">
        <f aca="false">sbc_r*Sens!$K$1625</f>
        <v>33.2560745603638</v>
      </c>
      <c r="L1708" s="38" t="n">
        <f aca="false">sbc_r*Sens!$L$1625</f>
        <v>35.866579930909</v>
      </c>
      <c r="M1708" s="38" t="n">
        <f aca="false">sbc_r*Sens!$M$1625</f>
        <v>38.233465590268</v>
      </c>
    </row>
    <row r="1709" customFormat="false" ht="17.15" hidden="false" customHeight="false" outlineLevel="0" collapsed="false">
      <c r="A1709" s="5" t="s">
        <v>797</v>
      </c>
      <c r="B1709" s="0" t="s">
        <v>86</v>
      </c>
      <c r="C1709" s="38" t="n">
        <f aca="false">Q!$D$44-Sens!$C$1706-Sens!$C$1707-Sens!$C$1708</f>
        <v>2.551</v>
      </c>
      <c r="D1709" s="38" t="n">
        <f aca="false">Q!$E$44-Sens!$D$1706-Sens!$D$1707-Sens!$D$1708</f>
        <v>0.51700000000001</v>
      </c>
      <c r="E1709" s="38" t="n">
        <f aca="false">Q!$P$44-Sens!$E$1706-Sens!$E$1707-Sens!$E$1708</f>
        <v>-58.256</v>
      </c>
      <c r="F1709" s="38" t="n">
        <f aca="false">oth_r*Sens!$F$1625</f>
        <v>5.23735083156354</v>
      </c>
      <c r="G1709" s="38" t="n">
        <f aca="false">Sens!$E$1709+Sens!$F$1709</f>
        <v>-53.0186491684365</v>
      </c>
      <c r="H1709" s="38" t="n">
        <f aca="false">oth_r*Sens!$H$1625</f>
        <v>11.4128266772703</v>
      </c>
      <c r="I1709" s="38" t="n">
        <f aca="false">oth_r*Sens!$I$1625</f>
        <v>13.0530058435059</v>
      </c>
      <c r="J1709" s="38" t="n">
        <f aca="false">oth_r*Sens!$J$1625</f>
        <v>14.6288216192046</v>
      </c>
      <c r="K1709" s="38" t="n">
        <f aca="false">oth_r*Sens!$K$1625</f>
        <v>16.0067888694924</v>
      </c>
      <c r="L1709" s="38" t="n">
        <f aca="false">oth_r*Sens!$L$1625</f>
        <v>17.2632753568903</v>
      </c>
      <c r="M1709" s="38" t="n">
        <f aca="false">oth_r*Sens!$M$1625</f>
        <v>18.4025029875843</v>
      </c>
      <c r="P1709" s="8" t="s">
        <v>798</v>
      </c>
    </row>
    <row r="1710" customFormat="false" ht="15" hidden="false" customHeight="false" outlineLevel="0" collapsed="false">
      <c r="A1710" s="3" t="s">
        <v>562</v>
      </c>
      <c r="B1710" s="8" t="s">
        <v>86</v>
      </c>
      <c r="C1710" s="38" t="n">
        <f aca="false">Q!$D$44</f>
        <v>115.877</v>
      </c>
      <c r="D1710" s="38" t="n">
        <f aca="false">Q!$E$44</f>
        <v>139.514</v>
      </c>
      <c r="E1710" s="38" t="n">
        <f aca="false">Q!$P$44</f>
        <v>71.419</v>
      </c>
      <c r="F1710" s="38" t="n">
        <f aca="false">Sens!$F$1706+Sens!$F$1707+Sens!$F$1708+Sens!$F$1709</f>
        <v>92.0592662549959</v>
      </c>
      <c r="G1710" s="38" t="n">
        <f aca="false">Sens!$E$1710+Sens!$F$1710</f>
        <v>163.478266254996</v>
      </c>
      <c r="H1710" s="38" t="n">
        <f aca="false">Sens!$H$1706+Sens!$H$1707+Sens!$H$1708+Sens!$H$1709</f>
        <v>227.172144843091</v>
      </c>
      <c r="I1710" s="38" t="n">
        <f aca="false">Sens!$I$1706+Sens!$I$1707+Sens!$I$1708+Sens!$I$1709</f>
        <v>285.847995285975</v>
      </c>
      <c r="J1710" s="38" t="n">
        <f aca="false">Sens!$J$1706+Sens!$J$1707+Sens!$J$1708+Sens!$J$1709</f>
        <v>344.572013339094</v>
      </c>
      <c r="K1710" s="38" t="n">
        <f aca="false">Sens!$K$1706+Sens!$K$1707+Sens!$K$1708+Sens!$K$1709</f>
        <v>398.726863858402</v>
      </c>
      <c r="L1710" s="38" t="n">
        <f aca="false">Sens!$L$1706+Sens!$L$1707+Sens!$L$1708+Sens!$L$1709</f>
        <v>445.418740217234</v>
      </c>
      <c r="M1710" s="38" t="n">
        <f aca="false">Sens!$M$1706+Sens!$M$1707+Sens!$M$1708+Sens!$M$1709</f>
        <v>484.518407275236</v>
      </c>
    </row>
    <row r="1711" customFormat="false" ht="17.15" hidden="false" customHeight="false" outlineLevel="0" collapsed="false">
      <c r="A1711" s="5" t="s">
        <v>799</v>
      </c>
      <c r="B1711" s="0" t="s">
        <v>86</v>
      </c>
      <c r="C1711" s="38" t="n">
        <f aca="false">Sens!$C$1589</f>
        <v>25.2781053077374</v>
      </c>
      <c r="D1711" s="38" t="n">
        <f aca="false">Sens!$D$1589</f>
        <v>69.5686316310026</v>
      </c>
      <c r="E1711" s="38" t="n">
        <f aca="false">Sens!$E$1589</f>
        <v>64.1899206485108</v>
      </c>
      <c r="F1711" s="38" t="n">
        <f aca="false">Sens!$F$1589</f>
        <v>88.7165504612134</v>
      </c>
      <c r="G1711" s="38" t="n">
        <f aca="false">Sens!$G$1589</f>
        <v>152.906471109724</v>
      </c>
      <c r="H1711" s="38" t="n">
        <f aca="false">Sens!$H$1589</f>
        <v>248.214206180938</v>
      </c>
      <c r="I1711" s="38" t="n">
        <f aca="false">Sens!$I$1589</f>
        <v>255.808087388125</v>
      </c>
      <c r="J1711" s="38" t="n">
        <f aca="false">Sens!$J$1589</f>
        <v>261.044855588125</v>
      </c>
      <c r="K1711" s="38" t="n">
        <f aca="false">Sens!$K$1589</f>
        <v>191.136786872001</v>
      </c>
      <c r="L1711" s="38" t="n">
        <f aca="false">Sens!$L$1589</f>
        <v>152.649327355877</v>
      </c>
      <c r="M1711" s="38" t="n">
        <f aca="false">Sens!$M$1589</f>
        <v>157.427937608816</v>
      </c>
    </row>
    <row r="1712" customFormat="false" ht="17.15" hidden="false" customHeight="false" outlineLevel="0" collapsed="false">
      <c r="A1712" s="5" t="s">
        <v>800</v>
      </c>
      <c r="B1712" s="0" t="s">
        <v>86</v>
      </c>
      <c r="C1712" s="38" t="n">
        <f aca="false">cx_awso*Sens!$C$1623</f>
        <v>21.0469989286053</v>
      </c>
      <c r="D1712" s="38" t="n">
        <f aca="false">cx_awso*Sens!$D$1623</f>
        <v>24.0042459822698</v>
      </c>
      <c r="E1712" s="38" t="n">
        <f aca="false">cx_awso*Sens!$E$1623</f>
        <v>14.261729404886</v>
      </c>
      <c r="F1712" s="38" t="n">
        <f aca="false">cx_awso*Sens!$F$1623</f>
        <v>14.3538599588493</v>
      </c>
      <c r="G1712" s="38" t="n">
        <f aca="false">Sens!$E$1712+Sens!$F$1712</f>
        <v>28.6155893637353</v>
      </c>
      <c r="H1712" s="38" t="n">
        <f aca="false">cx_awso*Sens!$H$1623</f>
        <v>32.2034154158406</v>
      </c>
      <c r="I1712" s="38" t="n">
        <f aca="false">cx_awso*Sens!$I$1623</f>
        <v>35.7539519042915</v>
      </c>
      <c r="J1712" s="38" t="n">
        <f aca="false">cx_awso*Sens!$J$1623</f>
        <v>39.1551076091815</v>
      </c>
      <c r="K1712" s="38" t="n">
        <f aca="false">cx_awso*Sens!$K$1623</f>
        <v>42.287516217916</v>
      </c>
      <c r="L1712" s="38" t="n">
        <f aca="false">cx_awso*Sens!$L$1623</f>
        <v>45.6705175153492</v>
      </c>
      <c r="M1712" s="38" t="n">
        <f aca="false">cx_awso*Sens!$M$1623</f>
        <v>49.3241589165772</v>
      </c>
    </row>
    <row r="1713" customFormat="false" ht="17.15" hidden="false" customHeight="false" outlineLevel="0" collapsed="false">
      <c r="A1713" s="5" t="s">
        <v>801</v>
      </c>
      <c r="B1713" s="0" t="s">
        <v>86</v>
      </c>
      <c r="C1713" s="38" t="n">
        <f aca="false">Q!$D$46-Sens!$C$1711-Sens!$C$1712</f>
        <v>31.3328957636573</v>
      </c>
      <c r="D1713" s="38" t="n">
        <f aca="false">Q!$E$46-Sens!$D$1711-Sens!$D$1712</f>
        <v>34.7471223867276</v>
      </c>
      <c r="E1713" s="38" t="n">
        <f aca="false">Q!$P$46-Sens!$E$1711-Sens!$E$1712</f>
        <v>17.8583499466032</v>
      </c>
      <c r="F1713" s="38" t="n">
        <f aca="false">cx_rt*Sens!$F$1552</f>
        <v>20.6195895799373</v>
      </c>
      <c r="G1713" s="38" t="n">
        <f aca="false">Sens!$E$1713+Sens!$F$1713</f>
        <v>38.4779395265405</v>
      </c>
      <c r="H1713" s="38" t="n">
        <f aca="false">cx_rt*Sens!$H$1552</f>
        <v>42.5978994743075</v>
      </c>
      <c r="I1713" s="38" t="n">
        <f aca="false">cx_rt*Sens!$I$1552</f>
        <v>46.5813904136335</v>
      </c>
      <c r="J1713" s="38" t="n">
        <f aca="false">cx_rt*Sens!$J$1552</f>
        <v>50.2781676586844</v>
      </c>
      <c r="K1713" s="38" t="n">
        <f aca="false">cx_rt*Sens!$K$1552</f>
        <v>53.5312440191755</v>
      </c>
      <c r="L1713" s="38" t="n">
        <f aca="false">cx_rt*Sens!$L$1552</f>
        <v>57.0116717051447</v>
      </c>
      <c r="M1713" s="38" t="n">
        <f aca="false">cx_rt*Sens!$M$1552</f>
        <v>60.7365554669226</v>
      </c>
    </row>
    <row r="1714" customFormat="false" ht="15" hidden="false" customHeight="false" outlineLevel="0" collapsed="false">
      <c r="A1714" s="3" t="s">
        <v>802</v>
      </c>
      <c r="B1714" s="8" t="s">
        <v>86</v>
      </c>
      <c r="C1714" s="38" t="n">
        <f aca="false">Q!$D$46</f>
        <v>77.658</v>
      </c>
      <c r="D1714" s="38" t="n">
        <f aca="false">Q!$E$46</f>
        <v>128.32</v>
      </c>
      <c r="E1714" s="38" t="n">
        <f aca="false">Q!$P$46</f>
        <v>96.31</v>
      </c>
      <c r="F1714" s="38" t="n">
        <f aca="false">Sens!$F$1711+Sens!$F$1712+Sens!$F$1713</f>
        <v>123.69</v>
      </c>
      <c r="G1714" s="38" t="n">
        <f aca="false">Sens!$E$1714+Sens!$F$1714</f>
        <v>220</v>
      </c>
      <c r="H1714" s="38" t="n">
        <f aca="false">Sens!$H$1711+Sens!$H$1712+Sens!$H$1713</f>
        <v>323.015521071086</v>
      </c>
      <c r="I1714" s="38" t="n">
        <f aca="false">Sens!$I$1711+Sens!$I$1712+Sens!$I$1713</f>
        <v>338.14342970605</v>
      </c>
      <c r="J1714" s="38" t="n">
        <f aca="false">Sens!$J$1711+Sens!$J$1712+Sens!$J$1713</f>
        <v>350.478130855991</v>
      </c>
      <c r="K1714" s="38" t="n">
        <f aca="false">Sens!$K$1711+Sens!$K$1712+Sens!$K$1713</f>
        <v>286.955547109092</v>
      </c>
      <c r="L1714" s="38" t="n">
        <f aca="false">Sens!$L$1711+Sens!$L$1712+Sens!$L$1713</f>
        <v>255.331516576371</v>
      </c>
      <c r="M1714" s="38" t="n">
        <f aca="false">Sens!$M$1711+Sens!$M$1712+Sens!$M$1713</f>
        <v>267.488651992315</v>
      </c>
    </row>
    <row r="1715" customFormat="false" ht="17.15" hidden="false" customHeight="false" outlineLevel="0" collapsed="false">
      <c r="A1715" s="5" t="s">
        <v>570</v>
      </c>
      <c r="B1715" s="0" t="s">
        <v>86</v>
      </c>
      <c r="C1715" s="38" t="n">
        <f aca="false">Q!$D$50</f>
        <v>2.043</v>
      </c>
      <c r="D1715" s="38" t="n">
        <f aca="false">Q!$E$50</f>
        <v>1.557</v>
      </c>
      <c r="E1715" s="38" t="n">
        <f aca="false">lease_pr/2</f>
        <v>0.8</v>
      </c>
      <c r="F1715" s="38" t="n">
        <f aca="false">lease_pr/2</f>
        <v>0.8</v>
      </c>
      <c r="G1715" s="38" t="n">
        <f aca="false">Sens!$E$1715+Sens!$F$1715</f>
        <v>1.6</v>
      </c>
      <c r="H1715" s="38" t="n">
        <f aca="false">lease_pr</f>
        <v>1.6</v>
      </c>
      <c r="I1715" s="38" t="n">
        <f aca="false">lease_pr</f>
        <v>1.6</v>
      </c>
      <c r="J1715" s="38" t="n">
        <f aca="false">lease_pr</f>
        <v>1.6</v>
      </c>
      <c r="K1715" s="38" t="n">
        <f aca="false">lease_pr</f>
        <v>1.6</v>
      </c>
      <c r="L1715" s="38" t="n">
        <f aca="false">lease_pr</f>
        <v>1.6</v>
      </c>
      <c r="M1715" s="38" t="n">
        <f aca="false">lease_pr</f>
        <v>1.6</v>
      </c>
      <c r="P1715" s="8" t="s">
        <v>803</v>
      </c>
    </row>
    <row r="1716" customFormat="false" ht="15" hidden="false" customHeight="false" outlineLevel="0" collapsed="false">
      <c r="A1716" s="47" t="s">
        <v>804</v>
      </c>
      <c r="B1716" s="14" t="s">
        <v>86</v>
      </c>
      <c r="C1716" s="48" t="n">
        <f aca="false">Sens!$C$1710-Sens!$C$1714-Sens!$C$1715</f>
        <v>36.176</v>
      </c>
      <c r="D1716" s="48" t="n">
        <f aca="false">Sens!$D$1710-Sens!$D$1714-Sens!$D$1715</f>
        <v>9.63700000000002</v>
      </c>
      <c r="E1716" s="48" t="n">
        <f aca="false">Sens!$E$1710-Sens!$E$1714-Sens!$E$1715</f>
        <v>-25.691</v>
      </c>
      <c r="F1716" s="48" t="n">
        <f aca="false">Sens!$F$1710-Sens!$F$1714-Sens!$F$1715</f>
        <v>-32.4307337450041</v>
      </c>
      <c r="G1716" s="48" t="n">
        <f aca="false">Sens!$G$1710-Sens!$G$1714-Sens!$G$1715</f>
        <v>-58.1217337450041</v>
      </c>
      <c r="H1716" s="48" t="n">
        <f aca="false">Sens!$H$1710-Sens!$H$1714-Sens!$H$1715</f>
        <v>-97.4433762279943</v>
      </c>
      <c r="I1716" s="48" t="n">
        <f aca="false">Sens!$I$1710-Sens!$I$1714-Sens!$I$1715</f>
        <v>-53.8954344200751</v>
      </c>
      <c r="J1716" s="48" t="n">
        <f aca="false">Sens!$J$1710-Sens!$J$1714-Sens!$J$1715</f>
        <v>-7.5061175168967</v>
      </c>
      <c r="K1716" s="48" t="n">
        <f aca="false">Sens!$K$1710-Sens!$K$1714-Sens!$K$1715</f>
        <v>110.17131674931</v>
      </c>
      <c r="L1716" s="48" t="n">
        <f aca="false">Sens!$L$1710-Sens!$L$1714-Sens!$L$1715</f>
        <v>188.487223640863</v>
      </c>
      <c r="M1716" s="48" t="n">
        <f aca="false">Sens!$M$1710-Sens!$M$1714-Sens!$M$1715</f>
        <v>215.42975528292</v>
      </c>
      <c r="N1716" s="14"/>
      <c r="O1716" s="14"/>
    </row>
    <row r="1717" customFormat="false" ht="17.15" hidden="false" customHeight="false" outlineLevel="0" collapsed="false">
      <c r="A1717" s="5" t="s">
        <v>805</v>
      </c>
      <c r="B1717" s="0" t="s">
        <v>86</v>
      </c>
      <c r="C1717" s="38" t="n">
        <f aca="false">dps*Sens!$C$1696</f>
        <v>0</v>
      </c>
      <c r="D1717" s="38" t="n">
        <f aca="false">dps*Sens!$D$1696</f>
        <v>0</v>
      </c>
      <c r="E1717" s="38" t="n">
        <f aca="false">dps*Sens!$E$1696</f>
        <v>0</v>
      </c>
      <c r="F1717" s="38" t="n">
        <f aca="false">0</f>
        <v>0</v>
      </c>
      <c r="G1717" s="38" t="n">
        <f aca="false">dps*Sens!$G$1696</f>
        <v>0</v>
      </c>
      <c r="H1717" s="38" t="n">
        <f aca="false">dps*Sens!$H$1696</f>
        <v>0</v>
      </c>
      <c r="I1717" s="38" t="n">
        <f aca="false">dps*Sens!$I$1696</f>
        <v>0</v>
      </c>
      <c r="J1717" s="38" t="n">
        <f aca="false">dps*Sens!$J$1696</f>
        <v>0</v>
      </c>
      <c r="K1717" s="38" t="n">
        <f aca="false">dps*Sens!$K$1696</f>
        <v>0</v>
      </c>
      <c r="L1717" s="38" t="n">
        <f aca="false">dps*Sens!$L$1696</f>
        <v>0</v>
      </c>
      <c r="M1717" s="38" t="n">
        <f aca="false">dps*Sens!$M$1696</f>
        <v>0</v>
      </c>
      <c r="P1717" s="8" t="s">
        <v>806</v>
      </c>
    </row>
    <row r="1718" customFormat="false" ht="17.15" hidden="false" customHeight="false" outlineLevel="0" collapsed="false">
      <c r="A1718" s="5" t="s">
        <v>807</v>
      </c>
      <c r="B1718" s="0" t="s">
        <v>86</v>
      </c>
      <c r="C1718" s="38" t="n">
        <f aca="false">0</f>
        <v>0</v>
      </c>
      <c r="D1718" s="38" t="n">
        <f aca="false">0</f>
        <v>0</v>
      </c>
      <c r="E1718" s="38" t="n">
        <f aca="false">0</f>
        <v>0</v>
      </c>
      <c r="F1718" s="38" t="n">
        <f aca="false">0</f>
        <v>0</v>
      </c>
      <c r="G1718" s="38" t="n">
        <f aca="false">0</f>
        <v>0</v>
      </c>
      <c r="H1718" s="38" t="n">
        <f aca="false">0</f>
        <v>0</v>
      </c>
      <c r="I1718" s="38" t="n">
        <f aca="false">0</f>
        <v>0</v>
      </c>
      <c r="J1718" s="38" t="n">
        <f aca="false">0</f>
        <v>0</v>
      </c>
      <c r="K1718" s="38" t="n">
        <f aca="false">0</f>
        <v>0</v>
      </c>
      <c r="L1718" s="38" t="n">
        <f aca="false">0</f>
        <v>0</v>
      </c>
      <c r="M1718" s="38" t="n">
        <f aca="false">0</f>
        <v>0</v>
      </c>
      <c r="P1718" s="8" t="s">
        <v>808</v>
      </c>
    </row>
    <row r="1719" customFormat="false" ht="15" hidden="false" customHeight="false" outlineLevel="0" collapsed="false">
      <c r="A1719" s="3" t="s">
        <v>809</v>
      </c>
      <c r="B1719" s="8" t="s">
        <v>86</v>
      </c>
      <c r="C1719" s="38" t="n">
        <f aca="false">Sens!$C$1716-Sens!$C$1717</f>
        <v>36.176</v>
      </c>
      <c r="D1719" s="38" t="n">
        <f aca="false">Sens!$D$1716-Sens!$D$1717</f>
        <v>9.63700000000002</v>
      </c>
      <c r="E1719" s="38" t="n">
        <f aca="false">Sens!$E$1716-Sens!$E$1717</f>
        <v>-25.691</v>
      </c>
      <c r="F1719" s="38" t="n">
        <f aca="false">Sens!$F$1716-Sens!$F$1717</f>
        <v>-32.4307337450041</v>
      </c>
      <c r="G1719" s="38" t="n">
        <f aca="false">Sens!$G$1716-Sens!$G$1717</f>
        <v>-58.1217337450041</v>
      </c>
      <c r="H1719" s="38" t="n">
        <f aca="false">Sens!$H$1716-Sens!$H$1717</f>
        <v>-97.4433762279943</v>
      </c>
      <c r="I1719" s="38" t="n">
        <f aca="false">Sens!$I$1716-Sens!$I$1717</f>
        <v>-53.8954344200751</v>
      </c>
      <c r="J1719" s="38" t="n">
        <f aca="false">Sens!$J$1716-Sens!$J$1717</f>
        <v>-7.5061175168967</v>
      </c>
      <c r="K1719" s="38" t="n">
        <f aca="false">Sens!$K$1716-Sens!$K$1717</f>
        <v>110.17131674931</v>
      </c>
      <c r="L1719" s="38" t="n">
        <f aca="false">Sens!$L$1716-Sens!$L$1717</f>
        <v>188.487223640863</v>
      </c>
      <c r="M1719" s="38" t="n">
        <f aca="false">Sens!$M$1716-Sens!$M$1717</f>
        <v>215.42975528292</v>
      </c>
    </row>
    <row r="1720" customFormat="false" ht="17.15" hidden="false" customHeight="false" outlineLevel="0" collapsed="false">
      <c r="A1720" s="5" t="s">
        <v>810</v>
      </c>
      <c r="B1720" s="0" t="s">
        <v>86</v>
      </c>
      <c r="E1720" s="38" t="n">
        <f aca="false">Q!$P$53</f>
        <v>39.767</v>
      </c>
      <c r="F1720" s="38" t="n">
        <f aca="false">inv_2h26</f>
        <v>21.3</v>
      </c>
      <c r="G1720" s="38" t="n">
        <f aca="false">Sens!$E$1720+Sens!$F$1720</f>
        <v>61.067</v>
      </c>
      <c r="H1720" s="39" t="n">
        <v>0</v>
      </c>
      <c r="I1720" s="39" t="n">
        <v>0</v>
      </c>
      <c r="J1720" s="39" t="n">
        <v>0</v>
      </c>
      <c r="K1720" s="39" t="n">
        <v>0</v>
      </c>
      <c r="L1720" s="39" t="n">
        <v>0</v>
      </c>
      <c r="M1720" s="39" t="n">
        <v>0</v>
      </c>
    </row>
    <row r="1721" customFormat="false" ht="17.15" hidden="false" customHeight="false" outlineLevel="0" collapsed="false">
      <c r="A1721" s="5" t="s">
        <v>811</v>
      </c>
      <c r="B1721" s="0" t="s">
        <v>86</v>
      </c>
      <c r="F1721" s="38" t="n">
        <f aca="false">iss_2h26</f>
        <v>29.249999</v>
      </c>
      <c r="G1721" s="38" t="n">
        <f aca="false">Sens!$F$1721</f>
        <v>29.249999</v>
      </c>
      <c r="H1721" s="39" t="n">
        <v>0</v>
      </c>
      <c r="I1721" s="39" t="n">
        <v>0</v>
      </c>
      <c r="J1721" s="39" t="n">
        <v>0</v>
      </c>
      <c r="K1721" s="39" t="n">
        <v>0</v>
      </c>
      <c r="L1721" s="39" t="n">
        <v>0</v>
      </c>
      <c r="M1721" s="39" t="n">
        <v>0</v>
      </c>
    </row>
    <row r="1722" customFormat="false" ht="17.15" hidden="false" customHeight="false" outlineLevel="0" collapsed="false">
      <c r="A1722" s="5" t="s">
        <v>812</v>
      </c>
      <c r="B1722" s="0" t="s">
        <v>86</v>
      </c>
      <c r="F1722" s="38" t="n">
        <f aca="false">cash_q2</f>
        <v>122.988</v>
      </c>
      <c r="G1722" s="38" t="n">
        <f aca="false">cash_q2</f>
        <v>122.988</v>
      </c>
      <c r="H1722" s="38" t="n">
        <f aca="false">Sens!$G$1725</f>
        <v>98.5072652549959</v>
      </c>
      <c r="I1722" s="38" t="n">
        <f aca="false">Sens!$H$1725</f>
        <v>50</v>
      </c>
      <c r="J1722" s="38" t="n">
        <f aca="false">Sens!$I$1725</f>
        <v>50</v>
      </c>
      <c r="K1722" s="38" t="n">
        <f aca="false">Sens!$J$1725</f>
        <v>50</v>
      </c>
      <c r="L1722" s="38" t="n">
        <f aca="false">Sens!$K$1725</f>
        <v>160.17131674931</v>
      </c>
      <c r="M1722" s="38" t="n">
        <f aca="false">Sens!$L$1725</f>
        <v>348.658540390173</v>
      </c>
    </row>
    <row r="1723" customFormat="false" ht="15" hidden="false" customHeight="false" outlineLevel="0" collapsed="false">
      <c r="A1723" s="5" t="s">
        <v>813</v>
      </c>
      <c r="B1723" s="0" t="s">
        <v>86</v>
      </c>
      <c r="F1723" s="38" t="n">
        <f aca="false">Sens!$F$1722+Sens!$F$1719-Sens!$F$1718-Sens!$F$1720+Sens!$F$1721</f>
        <v>98.5072652549959</v>
      </c>
      <c r="H1723" s="38" t="n">
        <f aca="false">Sens!$H$1722+Sens!$H$1719-Sens!$H$1718-Sens!$H$1720+Sens!$H$1721</f>
        <v>1.06388902700159</v>
      </c>
      <c r="I1723" s="38" t="n">
        <f aca="false">Sens!$I$1722+Sens!$I$1719-Sens!$I$1718-Sens!$I$1720+Sens!$I$1721</f>
        <v>-3.89543442007508</v>
      </c>
      <c r="J1723" s="38" t="n">
        <f aca="false">Sens!$J$1722+Sens!$J$1719-Sens!$J$1718-Sens!$J$1720+Sens!$J$1721</f>
        <v>42.4938824831033</v>
      </c>
      <c r="K1723" s="38" t="n">
        <f aca="false">Sens!$K$1722+Sens!$K$1719-Sens!$K$1718-Sens!$K$1720+Sens!$K$1721</f>
        <v>160.17131674931</v>
      </c>
      <c r="L1723" s="38" t="n">
        <f aca="false">Sens!$L$1722+Sens!$L$1719-Sens!$L$1718-Sens!$L$1720+Sens!$L$1721</f>
        <v>348.658540390173</v>
      </c>
      <c r="M1723" s="38" t="n">
        <f aca="false">Sens!$M$1722+Sens!$M$1719-Sens!$M$1718-Sens!$M$1720+Sens!$M$1721</f>
        <v>564.088295673094</v>
      </c>
    </row>
    <row r="1724" customFormat="false" ht="17.15" hidden="false" customHeight="false" outlineLevel="0" collapsed="false">
      <c r="A1724" s="5" t="s">
        <v>814</v>
      </c>
      <c r="B1724" s="0" t="s">
        <v>86</v>
      </c>
      <c r="F1724" s="38" t="n">
        <f aca="false">MAX(0,min_cash-Sens!$F$1723)</f>
        <v>0</v>
      </c>
      <c r="G1724" s="38" t="n">
        <f aca="false">Sens!$F$1724</f>
        <v>0</v>
      </c>
      <c r="H1724" s="38" t="n">
        <f aca="false">MAX(0,min_cash-Sens!$H$1723)</f>
        <v>48.9361109729984</v>
      </c>
      <c r="I1724" s="38" t="n">
        <f aca="false">MAX(0,min_cash-Sens!$I$1723)</f>
        <v>53.8954344200751</v>
      </c>
      <c r="J1724" s="38" t="n">
        <f aca="false">MAX(0,min_cash-Sens!$J$1723)</f>
        <v>7.5061175168967</v>
      </c>
      <c r="K1724" s="38" t="n">
        <f aca="false">MAX(0,min_cash-Sens!$K$1723)</f>
        <v>0</v>
      </c>
      <c r="L1724" s="38" t="n">
        <f aca="false">MAX(0,min_cash-Sens!$L$1723)</f>
        <v>0</v>
      </c>
      <c r="M1724" s="38" t="n">
        <f aca="false">MAX(0,min_cash-Sens!$M$1723)</f>
        <v>0</v>
      </c>
      <c r="P1724" s="5" t="s">
        <v>815</v>
      </c>
    </row>
    <row r="1725" customFormat="false" ht="15" hidden="false" customHeight="false" outlineLevel="0" collapsed="false">
      <c r="A1725" s="5" t="s">
        <v>816</v>
      </c>
      <c r="B1725" s="0" t="s">
        <v>86</v>
      </c>
      <c r="D1725" s="38" t="n">
        <f aca="false">Q!$E$61</f>
        <v>123.029</v>
      </c>
      <c r="E1725" s="38" t="n">
        <f aca="false">Q!$M$61</f>
        <v>122.988</v>
      </c>
      <c r="F1725" s="38" t="n">
        <f aca="false">Sens!$F$1723+Sens!$F$1724</f>
        <v>98.5072652549959</v>
      </c>
      <c r="G1725" s="38" t="n">
        <f aca="false">Sens!$F$1725</f>
        <v>98.5072652549959</v>
      </c>
      <c r="H1725" s="38" t="n">
        <f aca="false">Sens!$H$1723+Sens!$H$1724</f>
        <v>50</v>
      </c>
      <c r="I1725" s="38" t="n">
        <f aca="false">Sens!$I$1723+Sens!$I$1724</f>
        <v>50</v>
      </c>
      <c r="J1725" s="38" t="n">
        <f aca="false">Sens!$J$1723+Sens!$J$1724</f>
        <v>50</v>
      </c>
      <c r="K1725" s="38" t="n">
        <f aca="false">Sens!$K$1723+Sens!$K$1724</f>
        <v>160.17131674931</v>
      </c>
      <c r="L1725" s="38" t="n">
        <f aca="false">Sens!$L$1723+Sens!$L$1724</f>
        <v>348.658540390173</v>
      </c>
      <c r="M1725" s="38" t="n">
        <f aca="false">Sens!$M$1723+Sens!$M$1724</f>
        <v>564.088295673094</v>
      </c>
    </row>
    <row r="1726" customFormat="false" ht="15" hidden="false" customHeight="false" outlineLevel="0" collapsed="false">
      <c r="A1726" s="5" t="s">
        <v>817</v>
      </c>
      <c r="B1726" s="0" t="s">
        <v>86</v>
      </c>
      <c r="D1726" s="38" t="n">
        <f aca="false">Q!$E$62</f>
        <v>68.836</v>
      </c>
      <c r="E1726" s="38" t="n">
        <f aca="false">Q!$M$62</f>
        <v>132.995</v>
      </c>
      <c r="F1726" s="38" t="n">
        <f aca="false">debt_q2+Sens!$F$1721+Sens!$F$1724</f>
        <v>162.244999</v>
      </c>
      <c r="G1726" s="38" t="n">
        <f aca="false">Sens!$F$1726</f>
        <v>162.244999</v>
      </c>
      <c r="H1726" s="38" t="n">
        <f aca="false">Sens!$G$1726+Sens!$H$1724</f>
        <v>211.181109972998</v>
      </c>
      <c r="I1726" s="38" t="n">
        <f aca="false">Sens!$H$1726+Sens!$I$1724</f>
        <v>265.076544393074</v>
      </c>
      <c r="J1726" s="38" t="n">
        <f aca="false">Sens!$I$1726+Sens!$J$1724</f>
        <v>272.58266190997</v>
      </c>
      <c r="K1726" s="38" t="n">
        <f aca="false">Sens!$J$1726+Sens!$K$1724</f>
        <v>272.58266190997</v>
      </c>
      <c r="L1726" s="38" t="n">
        <f aca="false">Sens!$K$1726+Sens!$L$1724</f>
        <v>272.58266190997</v>
      </c>
      <c r="M1726" s="38" t="n">
        <f aca="false">Sens!$L$1726+Sens!$M$1724</f>
        <v>272.58266190997</v>
      </c>
    </row>
    <row r="1727" customFormat="false" ht="15" hidden="false" customHeight="false" outlineLevel="0" collapsed="false">
      <c r="A1727" s="5" t="s">
        <v>818</v>
      </c>
      <c r="B1727" s="0" t="s">
        <v>86</v>
      </c>
      <c r="D1727" s="38" t="n">
        <f aca="false">Sens!$D$1726-Sens!$D$1725</f>
        <v>-54.193</v>
      </c>
      <c r="E1727" s="38" t="n">
        <f aca="false">Sens!$E$1726-Sens!$E$1725</f>
        <v>10.007</v>
      </c>
      <c r="F1727" s="38" t="n">
        <f aca="false">Sens!$F$1726-Sens!$F$1725</f>
        <v>63.7377337450041</v>
      </c>
      <c r="G1727" s="38" t="n">
        <f aca="false">Sens!$G$1726-Sens!$G$1725</f>
        <v>63.7377337450041</v>
      </c>
      <c r="H1727" s="38" t="n">
        <f aca="false">Sens!$H$1726-Sens!$H$1725</f>
        <v>161.181109972998</v>
      </c>
      <c r="I1727" s="38" t="n">
        <f aca="false">Sens!$I$1726-Sens!$I$1725</f>
        <v>215.076544393074</v>
      </c>
      <c r="J1727" s="38" t="n">
        <f aca="false">Sens!$J$1726-Sens!$J$1725</f>
        <v>222.58266190997</v>
      </c>
      <c r="K1727" s="38" t="n">
        <f aca="false">Sens!$K$1726-Sens!$K$1725</f>
        <v>112.41134516066</v>
      </c>
      <c r="L1727" s="38" t="n">
        <f aca="false">Sens!$L$1726-Sens!$L$1725</f>
        <v>-76.0758784802029</v>
      </c>
      <c r="M1727" s="38" t="n">
        <f aca="false">Sens!$M$1726-Sens!$M$1725</f>
        <v>-291.505633763123</v>
      </c>
    </row>
    <row r="1728" customFormat="false" ht="17.15" hidden="false" customHeight="false" outlineLevel="0" collapsed="false">
      <c r="A1728" s="5" t="s">
        <v>819</v>
      </c>
      <c r="B1728" s="0" t="s">
        <v>86</v>
      </c>
      <c r="F1728" s="38" t="n">
        <f aca="false">debt_q2*kd_book*0.5+iss_2h26*kd_new*iss_t</f>
        <v>3.24888962733561</v>
      </c>
      <c r="H1728" s="38" t="n">
        <f aca="false">debt_q2*kd_book+(Sens!$G$1726-debt_q2)*kd_new</f>
        <v>7.42354172302123</v>
      </c>
      <c r="I1728" s="38" t="n">
        <f aca="false">debt_q2*kd_book+(Sens!$H$1726-debt_q2)*kd_new</f>
        <v>10.521197547612</v>
      </c>
      <c r="J1728" s="38" t="n">
        <f aca="false">debt_q2*kd_book+(Sens!$I$1726-debt_q2)*kd_new</f>
        <v>13.9327785464028</v>
      </c>
      <c r="K1728" s="38" t="n">
        <f aca="false">debt_q2*kd_book+(Sens!$J$1726-debt_q2)*kd_new</f>
        <v>14.4079157852223</v>
      </c>
      <c r="L1728" s="38" t="n">
        <f aca="false">debt_q2*kd_book+(Sens!$K$1726-debt_q2)*kd_new</f>
        <v>14.4079157852223</v>
      </c>
      <c r="M1728" s="38" t="n">
        <f aca="false">debt_q2*kd_book+(Sens!$L$1726-debt_q2)*kd_new</f>
        <v>14.4079157852223</v>
      </c>
    </row>
    <row r="1729" customFormat="false" ht="17.15" hidden="false" customHeight="false" outlineLevel="0" collapsed="false">
      <c r="A1729" s="5" t="s">
        <v>820</v>
      </c>
      <c r="B1729" s="0" t="s">
        <v>86</v>
      </c>
      <c r="F1729" s="38" t="n">
        <f aca="false">cash_q2*y_cash*0.5</f>
        <v>2.59</v>
      </c>
      <c r="H1729" s="38" t="n">
        <f aca="false">Sens!$G$1725*y_cash</f>
        <v>4.14892212265326</v>
      </c>
      <c r="I1729" s="38" t="n">
        <f aca="false">Sens!$H$1725*y_cash</f>
        <v>2.10589651022864</v>
      </c>
      <c r="J1729" s="38" t="n">
        <f aca="false">Sens!$I$1725*y_cash</f>
        <v>2.10589651022864</v>
      </c>
      <c r="K1729" s="38" t="n">
        <f aca="false">Sens!$J$1725*y_cash</f>
        <v>2.10589651022864</v>
      </c>
      <c r="L1729" s="38" t="n">
        <f aca="false">Sens!$K$1725*y_cash</f>
        <v>6.74608433962196</v>
      </c>
      <c r="M1729" s="38" t="n">
        <f aca="false">Sens!$L$1725*y_cash</f>
        <v>14.6847760693815</v>
      </c>
    </row>
    <row r="1730" customFormat="false" ht="17.15" hidden="false" customHeight="false" outlineLevel="0" collapsed="false">
      <c r="A1730" s="47" t="s">
        <v>821</v>
      </c>
      <c r="B1730" s="14" t="s">
        <v>86</v>
      </c>
      <c r="C1730" s="14"/>
      <c r="D1730" s="14"/>
      <c r="E1730" s="14"/>
      <c r="F1730" s="14"/>
      <c r="G1730" s="48" t="n">
        <f aca="false">SUM(Sens!$G$1719:$K$1719)</f>
        <v>-106.79534516066</v>
      </c>
      <c r="H1730" s="14"/>
      <c r="I1730" s="14"/>
      <c r="J1730" s="14"/>
      <c r="K1730" s="14"/>
      <c r="L1730" s="14"/>
      <c r="M1730" s="14"/>
      <c r="N1730" s="14"/>
      <c r="O1730" s="14"/>
    </row>
    <row r="1731" customFormat="false" ht="17.15" hidden="false" customHeight="false" outlineLevel="0" collapsed="false">
      <c r="A1731" s="0" t="s">
        <v>787</v>
      </c>
      <c r="B1731" s="0" t="s">
        <v>86</v>
      </c>
      <c r="G1731" s="38" t="n">
        <f aca="false">SUM(Sens!$G$1724:$K$1724)</f>
        <v>110.33766290997</v>
      </c>
    </row>
    <row r="1732" customFormat="false" ht="17.15" hidden="false" customHeight="false" outlineLevel="0" collapsed="false">
      <c r="A1732" s="24" t="s">
        <v>824</v>
      </c>
      <c r="B1732" s="25" t="s">
        <v>86</v>
      </c>
      <c r="C1732" s="25"/>
      <c r="D1732" s="25"/>
      <c r="E1732" s="25"/>
      <c r="F1732" s="25"/>
      <c r="G1732" s="41" t="n">
        <f aca="false">Sens!$G$1730-(Sens!$G$1719+Sens!$H$1719+Sens!$I$1719+Sens!$J$1719+Sens!$K$1719)</f>
        <v>0</v>
      </c>
      <c r="H1732" s="25"/>
      <c r="I1732" s="25"/>
      <c r="J1732" s="25"/>
      <c r="K1732" s="25"/>
      <c r="L1732" s="25"/>
      <c r="M1732" s="25"/>
      <c r="N1732" s="25"/>
      <c r="O1732" s="25"/>
    </row>
    <row r="1735" customFormat="false" ht="19.4" hidden="false" customHeight="false" outlineLevel="0" collapsed="false">
      <c r="A1735" s="31" t="s">
        <v>1186</v>
      </c>
    </row>
    <row r="1736" customFormat="false" ht="17.15" hidden="false" customHeight="false" outlineLevel="0" collapsed="false">
      <c r="A1736" s="6" t="s">
        <v>16</v>
      </c>
      <c r="B1736" s="6" t="s">
        <v>17</v>
      </c>
      <c r="C1736" s="20" t="s">
        <v>504</v>
      </c>
      <c r="D1736" s="20" t="s">
        <v>505</v>
      </c>
      <c r="E1736" s="20" t="s">
        <v>587</v>
      </c>
      <c r="F1736" s="20" t="s">
        <v>588</v>
      </c>
      <c r="G1736" s="20" t="s">
        <v>589</v>
      </c>
      <c r="H1736" s="20" t="s">
        <v>590</v>
      </c>
      <c r="I1736" s="20" t="s">
        <v>591</v>
      </c>
      <c r="J1736" s="20" t="s">
        <v>592</v>
      </c>
      <c r="K1736" s="20" t="s">
        <v>593</v>
      </c>
      <c r="L1736" s="20" t="s">
        <v>594</v>
      </c>
      <c r="M1736" s="20" t="s">
        <v>595</v>
      </c>
      <c r="N1736" s="20" t="s">
        <v>596</v>
      </c>
      <c r="O1736" s="20" t="s">
        <v>597</v>
      </c>
      <c r="P1736" s="6" t="s">
        <v>23</v>
      </c>
      <c r="R1736" s="20" t="n">
        <v>2023</v>
      </c>
      <c r="S1736" s="20" t="n">
        <v>2024</v>
      </c>
      <c r="T1736" s="20" t="n">
        <v>2025</v>
      </c>
      <c r="U1736" s="20" t="n">
        <v>2026</v>
      </c>
      <c r="V1736" s="20" t="n">
        <v>2027</v>
      </c>
      <c r="W1736" s="20" t="n">
        <v>2028</v>
      </c>
      <c r="X1736" s="20" t="n">
        <v>2029</v>
      </c>
      <c r="Y1736" s="20" t="n">
        <v>2030</v>
      </c>
      <c r="Z1736" s="20" t="n">
        <v>2031</v>
      </c>
      <c r="AA1736" s="20" t="n">
        <v>2032</v>
      </c>
    </row>
    <row r="1737" customFormat="false" ht="17.15" hidden="false" customHeight="false" outlineLevel="0" collapsed="false">
      <c r="A1737" s="1" t="s">
        <v>926</v>
      </c>
    </row>
    <row r="1738" customFormat="false" ht="17.15" hidden="false" customHeight="false" outlineLevel="0" collapsed="false">
      <c r="A1738" s="0" t="s">
        <v>927</v>
      </c>
      <c r="B1738" s="0" t="s">
        <v>86</v>
      </c>
      <c r="H1738" s="38" t="n">
        <f aca="false">Sens!$H$1672*(1-tax)</f>
        <v>127.808972058542</v>
      </c>
      <c r="I1738" s="38" t="n">
        <f aca="false">Sens!$I$1672*(1-tax)</f>
        <v>152.322477254474</v>
      </c>
      <c r="J1738" s="38" t="n">
        <f aca="false">Sens!$J$1672*(1-tax)</f>
        <v>178.929134779591</v>
      </c>
      <c r="K1738" s="38" t="n">
        <f aca="false">Sens!$K$1672*(1-tax)</f>
        <v>197.34591532566</v>
      </c>
      <c r="L1738" s="38" t="n">
        <f aca="false">Sens!$L$1672*(1-tax)</f>
        <v>211.802724745098</v>
      </c>
      <c r="M1738" s="38" t="n">
        <f aca="false">Sens!$M$1672*(1-tax)</f>
        <v>223.712737478749</v>
      </c>
    </row>
    <row r="1739" customFormat="false" ht="15" hidden="false" customHeight="false" outlineLevel="0" collapsed="false">
      <c r="A1739" s="5" t="s">
        <v>928</v>
      </c>
      <c r="B1739" s="0" t="s">
        <v>86</v>
      </c>
      <c r="H1739" s="38" t="n">
        <f aca="false">Sens!$H$1683</f>
        <v>81.5618233196153</v>
      </c>
      <c r="I1739" s="38" t="n">
        <f aca="false">Sens!$I$1683</f>
        <v>125.686990333735</v>
      </c>
      <c r="J1739" s="38" t="n">
        <f aca="false">Sens!$J$1683</f>
        <v>166.584181967426</v>
      </c>
      <c r="K1739" s="38" t="n">
        <f aca="false">Sens!$K$1683</f>
        <v>207.690106151559</v>
      </c>
      <c r="L1739" s="38" t="n">
        <f aca="false">Sens!$L$1683</f>
        <v>238.26573660514</v>
      </c>
      <c r="M1739" s="38" t="n">
        <f aca="false">Sens!$M$1683</f>
        <v>258.249307244296</v>
      </c>
    </row>
    <row r="1740" customFormat="false" ht="15" hidden="false" customHeight="false" outlineLevel="0" collapsed="false">
      <c r="A1740" s="5" t="s">
        <v>929</v>
      </c>
      <c r="B1740" s="0" t="s">
        <v>86</v>
      </c>
      <c r="H1740" s="38" t="n">
        <f aca="false">Sens!$H$1714</f>
        <v>323.015521071086</v>
      </c>
      <c r="I1740" s="38" t="n">
        <f aca="false">Sens!$I$1714</f>
        <v>338.14342970605</v>
      </c>
      <c r="J1740" s="38" t="n">
        <f aca="false">Sens!$J$1714</f>
        <v>350.478130855991</v>
      </c>
      <c r="K1740" s="38" t="n">
        <f aca="false">Sens!$K$1714</f>
        <v>286.955547109092</v>
      </c>
      <c r="L1740" s="38" t="n">
        <f aca="false">Sens!$L$1714</f>
        <v>255.331516576371</v>
      </c>
      <c r="M1740" s="38" t="n">
        <f aca="false">Sens!$M$1714</f>
        <v>267.488651992315</v>
      </c>
    </row>
    <row r="1741" customFormat="false" ht="15" hidden="false" customHeight="false" outlineLevel="0" collapsed="false">
      <c r="A1741" s="5" t="s">
        <v>930</v>
      </c>
      <c r="B1741" s="0" t="s">
        <v>86</v>
      </c>
      <c r="H1741" s="38" t="n">
        <f aca="false">Sens!$H$1715</f>
        <v>1.6</v>
      </c>
      <c r="I1741" s="38" t="n">
        <f aca="false">Sens!$I$1715</f>
        <v>1.6</v>
      </c>
      <c r="J1741" s="38" t="n">
        <f aca="false">Sens!$J$1715</f>
        <v>1.6</v>
      </c>
      <c r="K1741" s="38" t="n">
        <f aca="false">Sens!$K$1715</f>
        <v>1.6</v>
      </c>
      <c r="L1741" s="38" t="n">
        <f aca="false">Sens!$L$1715</f>
        <v>1.6</v>
      </c>
      <c r="M1741" s="38" t="n">
        <f aca="false">Sens!$M$1715</f>
        <v>1.6</v>
      </c>
    </row>
    <row r="1742" customFormat="false" ht="15" hidden="false" customHeight="false" outlineLevel="0" collapsed="false">
      <c r="A1742" s="5" t="s">
        <v>931</v>
      </c>
      <c r="B1742" s="0" t="s">
        <v>86</v>
      </c>
      <c r="H1742" s="38" t="n">
        <f aca="false">Sens!$H$1709</f>
        <v>11.4128266772703</v>
      </c>
      <c r="I1742" s="38" t="n">
        <f aca="false">Sens!$I$1709</f>
        <v>13.0530058435059</v>
      </c>
      <c r="J1742" s="38" t="n">
        <f aca="false">Sens!$J$1709</f>
        <v>14.6288216192046</v>
      </c>
      <c r="K1742" s="38" t="n">
        <f aca="false">Sens!$K$1709</f>
        <v>16.0067888694924</v>
      </c>
      <c r="L1742" s="38" t="n">
        <f aca="false">Sens!$L$1709</f>
        <v>17.2632753568903</v>
      </c>
      <c r="M1742" s="38" t="n">
        <f aca="false">Sens!$M$1709</f>
        <v>18.4025029875843</v>
      </c>
    </row>
    <row r="1743" customFormat="false" ht="17.15" hidden="false" customHeight="false" outlineLevel="0" collapsed="false">
      <c r="A1743" s="1" t="s">
        <v>932</v>
      </c>
      <c r="B1743" s="8" t="s">
        <v>86</v>
      </c>
      <c r="H1743" s="38" t="n">
        <f aca="false">Sens!$H$1738+Sens!$H$1739-Sens!$H$1740-Sens!$H$1741+Sens!$H$1742</f>
        <v>-103.831899015658</v>
      </c>
      <c r="I1743" s="38" t="n">
        <f aca="false">Sens!$I$1738+Sens!$I$1739-Sens!$I$1740-Sens!$I$1741+Sens!$I$1742</f>
        <v>-48.6809562743353</v>
      </c>
      <c r="J1743" s="38" t="n">
        <f aca="false">Sens!$J$1738+Sens!$J$1739-Sens!$J$1740-Sens!$J$1741+Sens!$J$1742</f>
        <v>8.06400751023122</v>
      </c>
      <c r="K1743" s="38" t="n">
        <f aca="false">Sens!$K$1738+Sens!$K$1739-Sens!$K$1740-Sens!$K$1741+Sens!$K$1742</f>
        <v>132.487263237619</v>
      </c>
      <c r="L1743" s="38" t="n">
        <f aca="false">Sens!$L$1738+Sens!$L$1739-Sens!$L$1740-Sens!$L$1741+Sens!$L$1742</f>
        <v>210.400220130757</v>
      </c>
      <c r="M1743" s="38" t="n">
        <f aca="false">Sens!$M$1738+Sens!$M$1739-Sens!$M$1740-Sens!$M$1741+Sens!$M$1742</f>
        <v>231.275895718314</v>
      </c>
    </row>
    <row r="1744" customFormat="false" ht="15" hidden="false" customHeight="false" outlineLevel="0" collapsed="false">
      <c r="A1744" s="5" t="s">
        <v>933</v>
      </c>
      <c r="B1744" s="0" t="s">
        <v>57</v>
      </c>
      <c r="H1744" s="40" t="n">
        <f aca="false">1/(1+wacc)^(2027-2026-0.5)</f>
        <v>0.947751320380232</v>
      </c>
      <c r="I1744" s="40" t="n">
        <f aca="false">1/(1+wacc)^(2028-2026-0.5)</f>
        <v>0.851301099754987</v>
      </c>
      <c r="J1744" s="40" t="n">
        <f aca="false">1/(1+wacc)^(2029-2026-0.5)</f>
        <v>0.764666370660713</v>
      </c>
      <c r="K1744" s="40" t="n">
        <f aca="false">1/(1+wacc)^(2030-2026-0.5)</f>
        <v>0.686848235703811</v>
      </c>
      <c r="L1744" s="40" t="n">
        <f aca="false">1/(1+wacc)^(2031-2026-0.5)</f>
        <v>0.616949452715975</v>
      </c>
      <c r="M1744" s="40" t="n">
        <f aca="false">1/(1+wacc)^(2032-2026-0.5)</f>
        <v>0.554164089562688</v>
      </c>
    </row>
    <row r="1745" customFormat="false" ht="15" hidden="false" customHeight="false" outlineLevel="0" collapsed="false">
      <c r="A1745" s="5" t="s">
        <v>934</v>
      </c>
      <c r="B1745" s="0" t="s">
        <v>86</v>
      </c>
      <c r="H1745" s="38" t="n">
        <f aca="false">Sens!$H$1743*Sens!$H$1744</f>
        <v>-98.406819389677</v>
      </c>
      <c r="I1745" s="38" t="n">
        <f aca="false">Sens!$I$1743*Sens!$I$1744</f>
        <v>-41.4421516134661</v>
      </c>
      <c r="J1745" s="38" t="n">
        <f aca="false">Sens!$J$1743*Sens!$J$1744</f>
        <v>6.16627535582924</v>
      </c>
      <c r="K1745" s="38" t="n">
        <f aca="false">Sens!$K$1743*Sens!$K$1744</f>
        <v>90.9986430079849</v>
      </c>
      <c r="L1745" s="38" t="n">
        <f aca="false">Sens!$L$1743*Sens!$L$1744</f>
        <v>129.806300660991</v>
      </c>
      <c r="M1745" s="38" t="n">
        <f aca="false">Sens!$M$1743*Sens!$M$1744</f>
        <v>128.164796188535</v>
      </c>
    </row>
    <row r="1746" customFormat="false" ht="15" hidden="false" customHeight="false" outlineLevel="0" collapsed="false">
      <c r="A1746" s="5" t="s">
        <v>935</v>
      </c>
      <c r="B1746" s="0" t="s">
        <v>86</v>
      </c>
      <c r="C1746" s="38" t="n">
        <f aca="false">SUM(Sens!$H$1745:$M$1745)</f>
        <v>215.287044210197</v>
      </c>
    </row>
    <row r="1747" customFormat="false" ht="17.15" hidden="false" customHeight="false" outlineLevel="0" collapsed="false">
      <c r="A1747" s="5" t="s">
        <v>936</v>
      </c>
      <c r="B1747" s="0" t="s">
        <v>86</v>
      </c>
      <c r="C1747" s="38" t="n">
        <f aca="false">Sens!$M$1738*(1+tg)*(1-tg/ronic)/(wacc-tg)</f>
        <v>2033.79842116048</v>
      </c>
    </row>
    <row r="1748" customFormat="false" ht="15" hidden="false" customHeight="false" outlineLevel="0" collapsed="false">
      <c r="A1748" s="5" t="s">
        <v>937</v>
      </c>
      <c r="B1748" s="0" t="s">
        <v>86</v>
      </c>
      <c r="C1748" s="38" t="n">
        <f aca="false">Sens!$C$1747/(1+wacc)^6</f>
        <v>1068.17075542734</v>
      </c>
    </row>
    <row r="1749" customFormat="false" ht="17.15" hidden="false" customHeight="false" outlineLevel="0" collapsed="false">
      <c r="A1749" s="5" t="s">
        <v>938</v>
      </c>
      <c r="B1749" s="0" t="s">
        <v>86</v>
      </c>
      <c r="C1749" s="38" t="n">
        <f aca="false">Sens!$C$1746+Sens!$C$1748</f>
        <v>1283.45779963754</v>
      </c>
    </row>
    <row r="1750" customFormat="false" ht="17.15" hidden="false" customHeight="false" outlineLevel="0" collapsed="false">
      <c r="A1750" s="5" t="s">
        <v>939</v>
      </c>
      <c r="B1750" s="0" t="s">
        <v>52</v>
      </c>
      <c r="C1750" s="13" t="n">
        <f aca="false">Sens!$C$1748/Sens!$C$1749</f>
        <v>0.832260130195948</v>
      </c>
    </row>
    <row r="1751" customFormat="false" ht="17.15" hidden="false" customHeight="false" outlineLevel="0" collapsed="false">
      <c r="A1751" s="5" t="s">
        <v>940</v>
      </c>
      <c r="B1751" s="0" t="s">
        <v>86</v>
      </c>
      <c r="C1751" s="38" t="n">
        <f aca="false">Sens!$G$1727+fin_debt</f>
        <v>88.2587337450041</v>
      </c>
    </row>
    <row r="1752" customFormat="false" ht="17.15" hidden="false" customHeight="false" outlineLevel="0" collapsed="false">
      <c r="A1752" s="5" t="s">
        <v>941</v>
      </c>
      <c r="B1752" s="0" t="s">
        <v>86</v>
      </c>
      <c r="C1752" s="38" t="n">
        <f aca="false">(ant_val*ant_sh+oai_val*oai_sh)*(1-liq_disc)</f>
        <v>178.944</v>
      </c>
    </row>
    <row r="1753" customFormat="false" ht="15" hidden="false" customHeight="false" outlineLevel="0" collapsed="false">
      <c r="A1753" s="5" t="s">
        <v>942</v>
      </c>
      <c r="B1753" s="0" t="s">
        <v>86</v>
      </c>
      <c r="C1753" s="38" t="n">
        <f aca="false">Sens!$C$1749-Sens!$C$1751+Sens!$C$1752</f>
        <v>1374.14306589254</v>
      </c>
    </row>
    <row r="1754" customFormat="false" ht="17.15" hidden="false" customHeight="false" outlineLevel="0" collapsed="false">
      <c r="A1754" s="5" t="s">
        <v>943</v>
      </c>
      <c r="B1754" s="0" t="s">
        <v>27</v>
      </c>
      <c r="C1754" s="30" t="n">
        <f aca="false">Sens!$C$1753/sh_out</f>
        <v>127.396909258579</v>
      </c>
    </row>
    <row r="1755" customFormat="false" ht="17.15" hidden="false" customHeight="false" outlineLevel="0" collapsed="false">
      <c r="A1755" s="1" t="s">
        <v>944</v>
      </c>
      <c r="B1755" s="8" t="s">
        <v>27</v>
      </c>
      <c r="C1755" s="30" t="n">
        <f aca="false">Sens!$C$1754*(1+ke)^tp_yf-dps*tp_yf</f>
        <v>139.546605539003</v>
      </c>
    </row>
    <row r="1756" customFormat="false" ht="17.15" hidden="false" customHeight="false" outlineLevel="0" collapsed="false">
      <c r="A1756" s="3" t="s">
        <v>945</v>
      </c>
    </row>
    <row r="1757" customFormat="false" ht="17.15" hidden="false" customHeight="false" outlineLevel="0" collapsed="false">
      <c r="A1757" s="5" t="s">
        <v>946</v>
      </c>
      <c r="B1757" s="0" t="s">
        <v>86</v>
      </c>
      <c r="C1757" s="38" t="n">
        <f aca="false">(1-tp_yf)*(Sens!$H$1684+sbc_ab*Sens!$H$1708*Sens!$H$1545/Sens!$H$1625)+tp_yf*(Sens!$I$1684+sbc_ab*Sens!$I$1708*Sens!$I$1545/Sens!$I$1625)</f>
        <v>59.634664536349</v>
      </c>
    </row>
    <row r="1758" customFormat="false" ht="15" hidden="false" customHeight="false" outlineLevel="0" collapsed="false">
      <c r="A1758" s="5" t="s">
        <v>947</v>
      </c>
      <c r="B1758" s="0" t="s">
        <v>57</v>
      </c>
      <c r="C1758" s="30" t="n">
        <f aca="false">m_ads*m_x</f>
        <v>9.11</v>
      </c>
    </row>
    <row r="1759" customFormat="false" ht="17.15" hidden="false" customHeight="false" outlineLevel="0" collapsed="false">
      <c r="A1759" s="5" t="s">
        <v>948</v>
      </c>
      <c r="B1759" s="0" t="s">
        <v>86</v>
      </c>
      <c r="C1759" s="38" t="n">
        <f aca="false">Sens!$C$1757*Sens!$C$1758</f>
        <v>543.271793926139</v>
      </c>
    </row>
    <row r="1760" customFormat="false" ht="17.15" hidden="false" customHeight="false" outlineLevel="0" collapsed="false">
      <c r="A1760" s="5" t="s">
        <v>949</v>
      </c>
      <c r="B1760" s="0" t="s">
        <v>86</v>
      </c>
      <c r="C1760" s="38" t="n">
        <f aca="false">(1-tp_yf)*(Sens!$H$1685+sbc_ab*Sens!$H$1708*(Sens!$H$1552-Sens!$H$1545)/Sens!$H$1625+IF(internal_ai_reading=2,1,0)*(1-ext_sh)*Sens!$H$1582)+tp_yf*(Sens!$I$1685+sbc_ab*Sens!$I$1708*(Sens!$I$1552-Sens!$I$1545)/Sens!$I$1625+IF(internal_ai_reading=2,1,0)*(1-ext_sh)*Sens!$I$1582)</f>
        <v>51.6951811103438</v>
      </c>
    </row>
    <row r="1761" customFormat="false" ht="17.15" hidden="false" customHeight="false" outlineLevel="0" collapsed="false">
      <c r="A1761" s="5" t="s">
        <v>950</v>
      </c>
      <c r="B1761" s="0" t="s">
        <v>57</v>
      </c>
      <c r="C1761" s="30" t="n">
        <f aca="false">m_retail*m_x</f>
        <v>17.72</v>
      </c>
    </row>
    <row r="1762" customFormat="false" ht="17.15" hidden="false" customHeight="false" outlineLevel="0" collapsed="false">
      <c r="A1762" s="5" t="s">
        <v>951</v>
      </c>
      <c r="B1762" s="0" t="s">
        <v>86</v>
      </c>
      <c r="C1762" s="38" t="n">
        <f aca="false">Sens!$C$1760*Sens!$C$1761</f>
        <v>916.038609275292</v>
      </c>
    </row>
    <row r="1763" customFormat="false" ht="17.15" hidden="false" customHeight="false" outlineLevel="0" collapsed="false">
      <c r="A1763" s="0" t="s">
        <v>952</v>
      </c>
      <c r="B1763" s="0" t="s">
        <v>86</v>
      </c>
      <c r="C1763" s="38" t="n">
        <f aca="false">(1-tp_yf)*(Sens!$H$1686+sbc_ab*Sens!$H$1708*Sens!$H$1623/Sens!$H$1625)+tp_yf*(Sens!$I$1686+sbc_ab*Sens!$I$1708*Sens!$I$1623/Sens!$I$1625)</f>
        <v>97.2337130506861</v>
      </c>
    </row>
    <row r="1764" customFormat="false" ht="17.15" hidden="false" customHeight="false" outlineLevel="0" collapsed="false">
      <c r="A1764" s="0" t="s">
        <v>953</v>
      </c>
      <c r="B1764" s="0" t="s">
        <v>57</v>
      </c>
      <c r="C1764" s="30" t="n">
        <f aca="false">m_cloud*m_x</f>
        <v>13.82</v>
      </c>
    </row>
    <row r="1765" customFormat="false" ht="17.15" hidden="false" customHeight="false" outlineLevel="0" collapsed="false">
      <c r="A1765" s="0" t="s">
        <v>954</v>
      </c>
      <c r="B1765" s="0" t="s">
        <v>86</v>
      </c>
      <c r="C1765" s="38" t="n">
        <f aca="false">Sens!$C$1763*Sens!$C$1764</f>
        <v>1343.76991436048</v>
      </c>
    </row>
    <row r="1766" customFormat="false" ht="17.15" hidden="false" customHeight="false" outlineLevel="0" collapsed="false">
      <c r="A1766" s="0" t="s">
        <v>955</v>
      </c>
      <c r="B1766" s="0" t="s">
        <v>86</v>
      </c>
      <c r="H1766" s="38" t="n">
        <f aca="false">Sens!$H$1604-tax*Sens!$H$1605-ext_sh*Sens!$H$1589</f>
        <v>-148.548266146403</v>
      </c>
      <c r="I1766" s="38" t="n">
        <f aca="false">Sens!$I$1604-tax*Sens!$I$1605-ext_sh*Sens!$I$1589</f>
        <v>-115.099727201391</v>
      </c>
      <c r="J1766" s="38" t="n">
        <f aca="false">Sens!$J$1604-tax*Sens!$J$1605-ext_sh*Sens!$J$1589</f>
        <v>-79.9993123343386</v>
      </c>
      <c r="K1766" s="38" t="n">
        <f aca="false">Sens!$K$1604-tax*Sens!$K$1605-ext_sh*Sens!$K$1589</f>
        <v>10.2513718545943</v>
      </c>
      <c r="L1766" s="38" t="n">
        <f aca="false">Sens!$L$1604-tax*Sens!$L$1605-ext_sh*Sens!$L$1589</f>
        <v>63.7860739281038</v>
      </c>
      <c r="M1766" s="38" t="n">
        <f aca="false">Sens!$M$1604-tax*Sens!$M$1605-ext_sh*Sens!$M$1589</f>
        <v>71.0877393731302</v>
      </c>
    </row>
    <row r="1767" customFormat="false" ht="17.15" hidden="false" customHeight="false" outlineLevel="0" collapsed="false">
      <c r="A1767" s="5" t="s">
        <v>956</v>
      </c>
      <c r="B1767" s="0" t="s">
        <v>86</v>
      </c>
      <c r="H1767" s="38" t="n">
        <f aca="false">Sens!$H$1766*Sens!$H$1744</f>
        <v>-140.786815380448</v>
      </c>
      <c r="I1767" s="38" t="n">
        <f aca="false">Sens!$I$1766*Sens!$I$1744</f>
        <v>-97.9845243480428</v>
      </c>
      <c r="J1767" s="38" t="n">
        <f aca="false">Sens!$J$1766*Sens!$J$1744</f>
        <v>-61.1727838180515</v>
      </c>
      <c r="K1767" s="38" t="n">
        <f aca="false">Sens!$K$1766*Sens!$K$1744</f>
        <v>7.04113667187181</v>
      </c>
      <c r="L1767" s="38" t="n">
        <f aca="false">Sens!$L$1766*Sens!$L$1744</f>
        <v>39.3527834008444</v>
      </c>
      <c r="M1767" s="38" t="n">
        <f aca="false">Sens!$M$1766*Sens!$M$1744</f>
        <v>39.3942723687804</v>
      </c>
    </row>
    <row r="1768" customFormat="false" ht="17.15" hidden="false" customHeight="false" outlineLevel="0" collapsed="false">
      <c r="A1768" s="5" t="s">
        <v>957</v>
      </c>
      <c r="B1768" s="0" t="s">
        <v>86</v>
      </c>
      <c r="C1768" s="38" t="n">
        <f aca="false">Sens!$M$1605*(1-tax)*(1+tg)*(1-tg/ronic)/(wacc-tg)</f>
        <v>467.931733540292</v>
      </c>
    </row>
    <row r="1769" customFormat="false" ht="17.15" hidden="false" customHeight="false" outlineLevel="0" collapsed="false">
      <c r="A1769" s="0" t="s">
        <v>958</v>
      </c>
      <c r="B1769" s="0" t="s">
        <v>86</v>
      </c>
      <c r="C1769" s="38" t="n">
        <f aca="false">(SUM(Sens!$I$1767:$M$1767)+Sens!$C$1768/(1+wacc)^6)*(1+wacc)^tp_yf</f>
        <v>188.291488763504</v>
      </c>
    </row>
    <row r="1770" customFormat="false" ht="17.15" hidden="false" customHeight="false" outlineLevel="0" collapsed="false">
      <c r="A1770" s="5" t="s">
        <v>959</v>
      </c>
      <c r="B1770" s="0" t="s">
        <v>86</v>
      </c>
      <c r="C1770" s="38" t="n">
        <f aca="false">(1-tp_yf)*(Sens!$H$1687)+tp_yf*(Sens!$I$1687)</f>
        <v>89.4233218465318</v>
      </c>
    </row>
    <row r="1771" customFormat="false" ht="17.15" hidden="false" customHeight="false" outlineLevel="0" collapsed="false">
      <c r="A1771" s="5" t="s">
        <v>960</v>
      </c>
      <c r="B1771" s="0" t="s">
        <v>86</v>
      </c>
      <c r="C1771" s="38" t="n">
        <f aca="false">Sens!$C$1770*m_ai</f>
        <v>536.539931079191</v>
      </c>
    </row>
    <row r="1772" customFormat="false" ht="17.15" hidden="false" customHeight="false" outlineLevel="0" collapsed="false">
      <c r="A1772" s="0" t="s">
        <v>961</v>
      </c>
      <c r="B1772" s="0" t="s">
        <v>86</v>
      </c>
      <c r="C1772" s="38" t="n">
        <f aca="false">IF(ai_leg=1,Sens!$C$1769,Sens!$C$1771)</f>
        <v>188.291488763504</v>
      </c>
    </row>
    <row r="1773" customFormat="false" ht="17.15" hidden="false" customHeight="false" outlineLevel="0" collapsed="false">
      <c r="A1773" s="5" t="s">
        <v>962</v>
      </c>
      <c r="B1773" s="0" t="s">
        <v>86</v>
      </c>
      <c r="C1773" s="38" t="n">
        <f aca="false">Sens!$C$1759+Sens!$C$1762+Sens!$C$1765+Sens!$C$1772</f>
        <v>2991.37180632542</v>
      </c>
    </row>
    <row r="1774" customFormat="false" ht="17.15" hidden="false" customHeight="false" outlineLevel="0" collapsed="false">
      <c r="A1774" s="5" t="s">
        <v>963</v>
      </c>
      <c r="B1774" s="0" t="s">
        <v>86</v>
      </c>
      <c r="C1774" s="38" t="n">
        <f aca="false">Sens!$H$1727+fin_debt</f>
        <v>185.702109972998</v>
      </c>
    </row>
    <row r="1775" customFormat="false" ht="15" hidden="false" customHeight="false" outlineLevel="0" collapsed="false">
      <c r="A1775" s="5" t="s">
        <v>964</v>
      </c>
      <c r="B1775" s="0" t="s">
        <v>86</v>
      </c>
      <c r="C1775" s="38" t="n">
        <f aca="false">Sens!$C$1773-Sens!$C$1774+Sens!$C$1752</f>
        <v>2984.61369635242</v>
      </c>
    </row>
    <row r="1776" customFormat="false" ht="15" hidden="false" customHeight="false" outlineLevel="0" collapsed="false">
      <c r="A1776" s="3" t="s">
        <v>965</v>
      </c>
      <c r="B1776" s="8" t="s">
        <v>27</v>
      </c>
      <c r="C1776" s="30" t="n">
        <f aca="false">Sens!$C$1775/sh_val</f>
        <v>270.582840738026</v>
      </c>
    </row>
    <row r="1777" customFormat="false" ht="17.15" hidden="false" customHeight="false" outlineLevel="0" collapsed="false">
      <c r="A1777" s="47" t="s">
        <v>966</v>
      </c>
      <c r="B1777" s="14" t="s">
        <v>27</v>
      </c>
      <c r="C1777" s="44" t="n">
        <f aca="false">w_dcf*Sens!$C$1755+(1-w_dcf)*Sens!$C$1776</f>
        <v>205.064723138515</v>
      </c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</row>
    <row r="1778" customFormat="false" ht="17.15" hidden="false" customHeight="false" outlineLevel="0" collapsed="false">
      <c r="A1778" s="5" t="s">
        <v>967</v>
      </c>
      <c r="B1778" s="0" t="s">
        <v>27</v>
      </c>
      <c r="C1778" s="30" t="n">
        <f aca="false">v022_wdcf*Sens!$C$1755+(1-v022_wdcf)*Sens!$C$1776</f>
        <v>211.616534898466</v>
      </c>
    </row>
    <row r="1779" customFormat="false" ht="17.15" hidden="false" customHeight="false" outlineLevel="0" collapsed="false">
      <c r="A1779" s="5" t="s">
        <v>968</v>
      </c>
      <c r="B1779" s="0" t="s">
        <v>27</v>
      </c>
      <c r="C1779" s="30" t="n">
        <f aca="false">(Sens!$C$1775-Sens!$C$1772+Sens!$C$1771)/sh_val</f>
        <v>302.154783505538</v>
      </c>
    </row>
    <row r="1782" customFormat="false" ht="19.4" hidden="false" customHeight="false" outlineLevel="0" collapsed="false">
      <c r="A1782" s="31" t="s">
        <v>1187</v>
      </c>
    </row>
    <row r="1783" customFormat="false" ht="17.15" hidden="false" customHeight="false" outlineLevel="0" collapsed="false">
      <c r="A1783" s="6" t="s">
        <v>16</v>
      </c>
      <c r="B1783" s="6" t="s">
        <v>17</v>
      </c>
      <c r="C1783" s="20" t="s">
        <v>504</v>
      </c>
      <c r="D1783" s="20" t="s">
        <v>505</v>
      </c>
      <c r="E1783" s="20" t="s">
        <v>587</v>
      </c>
      <c r="F1783" s="20" t="s">
        <v>588</v>
      </c>
      <c r="G1783" s="20" t="s">
        <v>589</v>
      </c>
      <c r="H1783" s="20" t="s">
        <v>590</v>
      </c>
      <c r="I1783" s="20" t="s">
        <v>591</v>
      </c>
      <c r="J1783" s="20" t="s">
        <v>592</v>
      </c>
      <c r="K1783" s="20" t="s">
        <v>593</v>
      </c>
      <c r="L1783" s="20" t="s">
        <v>594</v>
      </c>
      <c r="M1783" s="20" t="s">
        <v>595</v>
      </c>
      <c r="N1783" s="20" t="s">
        <v>596</v>
      </c>
      <c r="O1783" s="20" t="s">
        <v>597</v>
      </c>
      <c r="P1783" s="6" t="s">
        <v>23</v>
      </c>
      <c r="R1783" s="20" t="n">
        <v>2023</v>
      </c>
      <c r="S1783" s="20" t="n">
        <v>2024</v>
      </c>
      <c r="T1783" s="20" t="n">
        <v>2025</v>
      </c>
      <c r="U1783" s="20" t="n">
        <v>2026</v>
      </c>
      <c r="V1783" s="20" t="n">
        <v>2027</v>
      </c>
      <c r="W1783" s="20" t="n">
        <v>2028</v>
      </c>
      <c r="X1783" s="20" t="n">
        <v>2029</v>
      </c>
      <c r="Y1783" s="20" t="n">
        <v>2030</v>
      </c>
      <c r="Z1783" s="20" t="n">
        <v>2031</v>
      </c>
      <c r="AA1783" s="20" t="n">
        <v>2032</v>
      </c>
    </row>
    <row r="1784" customFormat="false" ht="17.15" hidden="false" customHeight="false" outlineLevel="0" collapsed="false">
      <c r="A1784" s="1" t="s">
        <v>677</v>
      </c>
    </row>
    <row r="1785" customFormat="false" ht="17.15" hidden="false" customHeight="false" outlineLevel="0" collapsed="false">
      <c r="A1785" s="0" t="s">
        <v>526</v>
      </c>
      <c r="B1785" s="0" t="s">
        <v>86</v>
      </c>
      <c r="C1785" s="38" t="n">
        <f aca="false">Q!$D$10</f>
        <v>247.029</v>
      </c>
      <c r="D1785" s="38" t="n">
        <f aca="false">Q!$E$10</f>
        <v>269.287</v>
      </c>
      <c r="E1785" s="38" t="n">
        <f aca="false">Q!$P$10</f>
        <v>134.686</v>
      </c>
      <c r="F1785" s="38" t="n">
        <f aca="false">Sens!$O$1785*(1+Sens!$F$1786)*Sens!$F$1797</f>
        <v>158.293876822267</v>
      </c>
      <c r="G1785" s="38" t="n">
        <f aca="false">Sens!$E$1785+Sens!$F$1785</f>
        <v>292.979876822267</v>
      </c>
      <c r="H1785" s="38" t="n">
        <f aca="false">Sens!$G$1785*(1+Sens!$H$1786)</f>
        <v>318.184543087396</v>
      </c>
      <c r="I1785" s="38" t="n">
        <f aca="false">Sens!$H$1785*(1+Sens!$I$1786)</f>
        <v>341.736278761793</v>
      </c>
      <c r="J1785" s="38" t="n">
        <f aca="false">Sens!$I$1785*(1+Sens!$J$1786)</f>
        <v>362.927192787048</v>
      </c>
      <c r="K1785" s="38" t="n">
        <f aca="false">Sens!$J$1785*(1+Sens!$K$1786)</f>
        <v>381.0735524264</v>
      </c>
      <c r="L1785" s="38" t="n">
        <f aca="false">Sens!$K$1785*(1+Sens!$L$1786)</f>
        <v>400.12723004772</v>
      </c>
      <c r="M1785" s="38" t="n">
        <f aca="false">Sens!$L$1785*(1+Sens!$M$1786)</f>
        <v>420.133591550106</v>
      </c>
      <c r="N1785" s="38" t="n">
        <f aca="false">Q!$N$10</f>
        <v>118.892</v>
      </c>
      <c r="O1785" s="38" t="n">
        <f aca="false">Q!$O$10</f>
        <v>150.395</v>
      </c>
      <c r="P1785" s="8" t="s">
        <v>678</v>
      </c>
    </row>
    <row r="1786" customFormat="false" ht="17.15" hidden="false" customHeight="false" outlineLevel="0" collapsed="false">
      <c r="A1786" s="0" t="s">
        <v>679</v>
      </c>
      <c r="B1786" s="0" t="s">
        <v>52</v>
      </c>
      <c r="E1786" s="13" t="n">
        <f aca="false">Sens!$E$1785/Sens!$N$1785-1</f>
        <v>0.132843252699929</v>
      </c>
      <c r="F1786" s="13" t="n">
        <f aca="false">Sens!$O$1785/(Q!$F$10+Q!$G$10)-1</f>
        <v>0.0980382135842941</v>
      </c>
      <c r="G1786" s="13" t="n">
        <f aca="false">Sens!$G$1785/Sens!$D$1785-1</f>
        <v>0.0879837378791657</v>
      </c>
      <c r="H1786" s="13" t="n">
        <f aca="false">Sens!$F$1786+(g_os-Sens!$F$1786)*1/4</f>
        <v>0.0860286601882206</v>
      </c>
      <c r="I1786" s="13" t="n">
        <f aca="false">Sens!$F$1786+(g_os-Sens!$F$1786)*2/4</f>
        <v>0.074019106792147</v>
      </c>
      <c r="J1786" s="13" t="n">
        <f aca="false">Sens!$F$1786+(g_os-Sens!$F$1786)*3/4</f>
        <v>0.0620095533960735</v>
      </c>
      <c r="K1786" s="13" t="n">
        <f aca="false">Sens!$F$1786+(g_os-Sens!$F$1786)*4/4</f>
        <v>0.05</v>
      </c>
      <c r="L1786" s="13" t="n">
        <f aca="false">g_os</f>
        <v>0.05</v>
      </c>
      <c r="M1786" s="13" t="n">
        <f aca="false">g_os</f>
        <v>0.05</v>
      </c>
      <c r="P1786" s="8" t="s">
        <v>680</v>
      </c>
    </row>
    <row r="1787" customFormat="false" ht="17.15" hidden="false" customHeight="false" outlineLevel="0" collapsed="false">
      <c r="A1787" s="0" t="s">
        <v>527</v>
      </c>
      <c r="B1787" s="0" t="s">
        <v>86</v>
      </c>
      <c r="C1787" s="38" t="n">
        <f aca="false">Q!$D$11</f>
        <v>21.215</v>
      </c>
      <c r="D1787" s="38" t="n">
        <f aca="false">Q!$E$11</f>
        <v>22.561</v>
      </c>
      <c r="E1787" s="38" t="n">
        <f aca="false">Q!$P$11</f>
        <v>11.579</v>
      </c>
      <c r="F1787" s="38" t="n">
        <f aca="false">Sens!$O$1787*(1+Sens!$F$1788)*Sens!$F$1797</f>
        <v>11.5938724610325</v>
      </c>
      <c r="G1787" s="38" t="n">
        <f aca="false">Sens!$E$1787+Sens!$F$1787</f>
        <v>23.1728724610325</v>
      </c>
      <c r="H1787" s="38" t="n">
        <f aca="false">Sens!$G$1787*(1+Sens!$H$1788)</f>
        <v>24.353392759506</v>
      </c>
      <c r="I1787" s="38" t="n">
        <f aca="false">Sens!$H$1787*(1+Sens!$I$1788)</f>
        <v>25.4240338872015</v>
      </c>
      <c r="J1787" s="38" t="n">
        <f aca="false">Sens!$I$1787*(1+Sens!$J$1788)</f>
        <v>26.3642491017174</v>
      </c>
      <c r="K1787" s="38" t="n">
        <f aca="false">Sens!$J$1787*(1+Sens!$K$1788)</f>
        <v>27.155176574769</v>
      </c>
      <c r="L1787" s="38" t="n">
        <f aca="false">Sens!$K$1787*(1+Sens!$L$1788)</f>
        <v>27.969831872012</v>
      </c>
      <c r="M1787" s="38" t="n">
        <f aca="false">Sens!$L$1787*(1+Sens!$M$1788)</f>
        <v>28.8089268281724</v>
      </c>
      <c r="N1787" s="38" t="n">
        <f aca="false">Q!$N$11</f>
        <v>11.128</v>
      </c>
      <c r="O1787" s="38" t="n">
        <f aca="false">Q!$O$11</f>
        <v>11.433</v>
      </c>
      <c r="P1787" s="8" t="s">
        <v>678</v>
      </c>
    </row>
    <row r="1788" customFormat="false" ht="17.15" hidden="false" customHeight="false" outlineLevel="0" collapsed="false">
      <c r="A1788" s="0" t="s">
        <v>681</v>
      </c>
      <c r="B1788" s="0" t="s">
        <v>52</v>
      </c>
      <c r="E1788" s="13" t="n">
        <f aca="false">Sens!$E$1787/Sens!$N$1787-1</f>
        <v>0.0405283968368082</v>
      </c>
      <c r="F1788" s="13" t="n">
        <f aca="false">Sens!$O$1787/(Q!$F$11+Q!$G$11)-1</f>
        <v>0.0579254187100955</v>
      </c>
      <c r="G1788" s="13" t="n">
        <f aca="false">Sens!$G$1787/Sens!$D$1787-1</f>
        <v>0.0271208040881397</v>
      </c>
      <c r="H1788" s="13" t="n">
        <f aca="false">Sens!$F$1788+(g_ps-Sens!$F$1788)*1/4</f>
        <v>0.0509440640325716</v>
      </c>
      <c r="I1788" s="13" t="n">
        <f aca="false">Sens!$F$1788+(g_ps-Sens!$F$1788)*2/4</f>
        <v>0.0439627093550477</v>
      </c>
      <c r="J1788" s="13" t="n">
        <f aca="false">Sens!$F$1788+(g_ps-Sens!$F$1788)*3/4</f>
        <v>0.0369813546775239</v>
      </c>
      <c r="K1788" s="13" t="n">
        <f aca="false">Sens!$F$1788+(g_ps-Sens!$F$1788)*4/4</f>
        <v>0.03</v>
      </c>
      <c r="L1788" s="13" t="n">
        <f aca="false">g_ps</f>
        <v>0.03</v>
      </c>
      <c r="M1788" s="13" t="n">
        <f aca="false">g_ps</f>
        <v>0.03</v>
      </c>
      <c r="P1788" s="8" t="s">
        <v>682</v>
      </c>
    </row>
    <row r="1789" customFormat="false" ht="17.15" hidden="false" customHeight="false" outlineLevel="0" collapsed="false">
      <c r="A1789" s="0" t="s">
        <v>528</v>
      </c>
      <c r="B1789" s="0" t="s">
        <v>86</v>
      </c>
      <c r="C1789" s="38" t="n">
        <f aca="false">Q!$D$12</f>
        <v>156.146</v>
      </c>
      <c r="D1789" s="38" t="n">
        <f aca="false">Q!$E$12</f>
        <v>172.162</v>
      </c>
      <c r="E1789" s="38" t="n">
        <f aca="false">Q!$P$12</f>
        <v>88.358</v>
      </c>
      <c r="F1789" s="38" t="n">
        <f aca="false">Sens!$O$1789*(1+Sens!$F$1790)*Sens!$F$1797</f>
        <v>102.004388260171</v>
      </c>
      <c r="G1789" s="38" t="n">
        <f aca="false">Sens!$E$1789+Sens!$F$1789</f>
        <v>190.362388260171</v>
      </c>
      <c r="H1789" s="38" t="n">
        <f aca="false">Sens!$G$1789*(1+Sens!$H$1790)</f>
        <v>210.343106588311</v>
      </c>
      <c r="I1789" s="38" t="n">
        <f aca="false">Sens!$H$1789*(1+Sens!$I$1790)</f>
        <v>229.969728494648</v>
      </c>
      <c r="J1789" s="38" t="n">
        <f aca="false">Sens!$I$1789*(1+Sens!$J$1790)</f>
        <v>248.747636972598</v>
      </c>
      <c r="K1789" s="38" t="n">
        <f aca="false">Sens!$J$1789*(1+Sens!$K$1790)</f>
        <v>266.15997156068</v>
      </c>
      <c r="L1789" s="38" t="n">
        <f aca="false">Sens!$K$1789*(1+Sens!$L$1790)</f>
        <v>284.791169569927</v>
      </c>
      <c r="M1789" s="38" t="n">
        <f aca="false">Sens!$L$1789*(1+Sens!$M$1790)</f>
        <v>304.726551439822</v>
      </c>
      <c r="N1789" s="38" t="n">
        <f aca="false">Q!$N$12</f>
        <v>76.86</v>
      </c>
      <c r="O1789" s="38" t="n">
        <f aca="false">Q!$O$12</f>
        <v>95.302</v>
      </c>
      <c r="P1789" s="8" t="s">
        <v>678</v>
      </c>
    </row>
    <row r="1790" customFormat="false" ht="17.15" hidden="false" customHeight="false" outlineLevel="0" collapsed="false">
      <c r="A1790" s="0" t="s">
        <v>683</v>
      </c>
      <c r="B1790" s="0" t="s">
        <v>52</v>
      </c>
      <c r="E1790" s="13" t="n">
        <f aca="false">Sens!$E$1789/Sens!$N$1789-1</f>
        <v>0.1495966692688</v>
      </c>
      <c r="F1790" s="13" t="n">
        <f aca="false">Sens!$O$1789/(Q!$F$12+Q!$G$12)-1</f>
        <v>0.11661530890813</v>
      </c>
      <c r="G1790" s="13" t="n">
        <f aca="false">Sens!$G$1789/Sens!$D$1789-1</f>
        <v>0.105716640490767</v>
      </c>
      <c r="H1790" s="13" t="n">
        <f aca="false">Sens!$F$1790+(g_sp-Sens!$F$1790)*1/4</f>
        <v>0.104961481681098</v>
      </c>
      <c r="I1790" s="13" t="n">
        <f aca="false">Sens!$F$1790+(g_sp-Sens!$F$1790)*2/4</f>
        <v>0.0933076544540651</v>
      </c>
      <c r="J1790" s="13" t="n">
        <f aca="false">Sens!$F$1790+(g_sp-Sens!$F$1790)*3/4</f>
        <v>0.0816538272270325</v>
      </c>
      <c r="K1790" s="13" t="n">
        <f aca="false">Sens!$F$1790+(g_sp-Sens!$F$1790)*4/4</f>
        <v>0.07</v>
      </c>
      <c r="L1790" s="13" t="n">
        <f aca="false">g_sp</f>
        <v>0.07</v>
      </c>
      <c r="M1790" s="13" t="n">
        <f aca="false">g_sp</f>
        <v>0.07</v>
      </c>
      <c r="P1790" s="8" t="s">
        <v>684</v>
      </c>
    </row>
    <row r="1791" customFormat="false" ht="17.15" hidden="false" customHeight="false" outlineLevel="0" collapsed="false">
      <c r="A1791" s="0" t="s">
        <v>529</v>
      </c>
      <c r="B1791" s="0" t="s">
        <v>86</v>
      </c>
      <c r="C1791" s="38" t="n">
        <f aca="false">Q!$D$13</f>
        <v>56.214</v>
      </c>
      <c r="D1791" s="38" t="n">
        <f aca="false">Q!$E$13</f>
        <v>68.635</v>
      </c>
      <c r="E1791" s="38" t="n">
        <f aca="false">Q!$P$13</f>
        <v>37.052</v>
      </c>
      <c r="F1791" s="38" t="n">
        <f aca="false">Sens!$O$1791*(1+Sens!$F$1792)*Sens!$F$1797</f>
        <v>46.1572219944148</v>
      </c>
      <c r="G1791" s="38" t="n">
        <f aca="false">Sens!$E$1791+Sens!$F$1791</f>
        <v>83.2092219944148</v>
      </c>
      <c r="H1791" s="38" t="n">
        <f aca="false">Sens!$G$1791*(1+Sens!$H$1792)</f>
        <v>99.8969223878976</v>
      </c>
      <c r="I1791" s="38" t="n">
        <f aca="false">Sens!$H$1791*(1+Sens!$I$1792)</f>
        <v>116.583111095496</v>
      </c>
      <c r="J1791" s="38" t="n">
        <f aca="false">Sens!$I$1791*(1+Sens!$J$1792)</f>
        <v>132.148941941952</v>
      </c>
      <c r="K1791" s="38" t="n">
        <f aca="false">Sens!$J$1791*(1+Sens!$K$1792)</f>
        <v>145.363836136147</v>
      </c>
      <c r="L1791" s="38" t="n">
        <f aca="false">Sens!$K$1791*(1+Sens!$L$1792)</f>
        <v>159.900219749762</v>
      </c>
      <c r="M1791" s="38" t="n">
        <f aca="false">Sens!$L$1791*(1+Sens!$M$1792)</f>
        <v>175.890241724738</v>
      </c>
      <c r="N1791" s="38" t="n">
        <f aca="false">Q!$N$13</f>
        <v>29.615</v>
      </c>
      <c r="O1791" s="38" t="n">
        <f aca="false">Q!$O$13</f>
        <v>39.02</v>
      </c>
      <c r="P1791" s="8" t="s">
        <v>678</v>
      </c>
    </row>
    <row r="1792" customFormat="false" ht="17.15" hidden="false" customHeight="false" outlineLevel="0" collapsed="false">
      <c r="A1792" s="0" t="s">
        <v>685</v>
      </c>
      <c r="B1792" s="0" t="s">
        <v>52</v>
      </c>
      <c r="E1792" s="13" t="n">
        <f aca="false">Sens!$E$1791/Sens!$N$1791-1</f>
        <v>0.25112274185379</v>
      </c>
      <c r="F1792" s="13" t="n">
        <f aca="false">Sens!$O$1791/(Q!$F$13+Q!$G$13)-1</f>
        <v>0.234068123596572</v>
      </c>
      <c r="G1792" s="13" t="n">
        <f aca="false">Sens!$G$1791/Sens!$D$1791-1</f>
        <v>0.212343876949294</v>
      </c>
      <c r="H1792" s="13" t="n">
        <f aca="false">Sens!$F$1792+(g_ad-Sens!$F$1792)*1/4</f>
        <v>0.200551092697429</v>
      </c>
      <c r="I1792" s="13" t="n">
        <f aca="false">Sens!$F$1792+(g_ad-Sens!$F$1792)*2/4</f>
        <v>0.167034061798286</v>
      </c>
      <c r="J1792" s="13" t="n">
        <f aca="false">Sens!$F$1792+(g_ad-Sens!$F$1792)*3/4</f>
        <v>0.133517030899143</v>
      </c>
      <c r="K1792" s="13" t="n">
        <f aca="false">Sens!$F$1792+(g_ad-Sens!$F$1792)*4/4</f>
        <v>0.1</v>
      </c>
      <c r="L1792" s="13" t="n">
        <f aca="false">g_ad</f>
        <v>0.1</v>
      </c>
      <c r="M1792" s="13" t="n">
        <f aca="false">g_ad</f>
        <v>0.1</v>
      </c>
      <c r="P1792" s="8" t="s">
        <v>686</v>
      </c>
    </row>
    <row r="1793" customFormat="false" ht="17.15" hidden="false" customHeight="false" outlineLevel="0" collapsed="false">
      <c r="A1793" s="0" t="s">
        <v>530</v>
      </c>
      <c r="B1793" s="0" t="s">
        <v>86</v>
      </c>
      <c r="C1793" s="38" t="n">
        <f aca="false">Q!$D$14</f>
        <v>44.374</v>
      </c>
      <c r="D1793" s="38" t="n">
        <f aca="false">Q!$E$14</f>
        <v>49.619</v>
      </c>
      <c r="E1793" s="38" t="n">
        <f aca="false">Q!$P$14</f>
        <v>27.157</v>
      </c>
      <c r="F1793" s="38" t="n">
        <f aca="false">Sens!$O$1793*(1+Sens!$F$1794)*Sens!$F$1797</f>
        <v>27.7764165988154</v>
      </c>
      <c r="G1793" s="38" t="n">
        <f aca="false">Sens!$E$1793+Sens!$F$1793</f>
        <v>54.9334165988154</v>
      </c>
      <c r="H1793" s="38" t="n">
        <f aca="false">Sens!$G$1793*(1+Sens!$H$1794)</f>
        <v>61.1564112561829</v>
      </c>
      <c r="I1793" s="38" t="n">
        <f aca="false">Sens!$H$1793*(1+Sens!$I$1794)</f>
        <v>67.2020282103945</v>
      </c>
      <c r="J1793" s="38" t="n">
        <f aca="false">Sens!$I$1793*(1+Sens!$J$1794)</f>
        <v>72.8757274028885</v>
      </c>
      <c r="K1793" s="38" t="n">
        <f aca="false">Sens!$J$1793*(1+Sens!$K$1794)</f>
        <v>77.9770283210907</v>
      </c>
      <c r="L1793" s="38" t="n">
        <f aca="false">Sens!$K$1793*(1+Sens!$L$1794)</f>
        <v>83.4354203035671</v>
      </c>
      <c r="M1793" s="38" t="n">
        <f aca="false">Sens!$L$1793*(1+Sens!$M$1794)</f>
        <v>89.2758997248168</v>
      </c>
      <c r="N1793" s="38" t="n">
        <f aca="false">Q!$N$14</f>
        <v>23.923</v>
      </c>
      <c r="O1793" s="38" t="n">
        <f aca="false">Q!$O$14</f>
        <v>25.696</v>
      </c>
      <c r="P1793" s="8" t="s">
        <v>678</v>
      </c>
    </row>
    <row r="1794" customFormat="false" ht="17.15" hidden="false" customHeight="false" outlineLevel="0" collapsed="false">
      <c r="A1794" s="0" t="s">
        <v>687</v>
      </c>
      <c r="B1794" s="0" t="s">
        <v>52</v>
      </c>
      <c r="E1794" s="13" t="n">
        <f aca="false">Sens!$E$1793/Sens!$N$1793-1</f>
        <v>0.135183714417088</v>
      </c>
      <c r="F1794" s="13" t="n">
        <f aca="false">Sens!$O$1793/(Q!$F$14+Q!$G$14)-1</f>
        <v>0.127709997366804</v>
      </c>
      <c r="G1794" s="13" t="n">
        <f aca="false">Sens!$G$1793/Sens!$D$1793-1</f>
        <v>0.107104468022641</v>
      </c>
      <c r="H1794" s="13" t="n">
        <f aca="false">Sens!$F$1794+(g_sub-Sens!$F$1794)*1/4</f>
        <v>0.113282498025103</v>
      </c>
      <c r="I1794" s="13" t="n">
        <f aca="false">Sens!$F$1794+(g_sub-Sens!$F$1794)*2/4</f>
        <v>0.0988549986834021</v>
      </c>
      <c r="J1794" s="13" t="n">
        <f aca="false">Sens!$F$1794+(g_sub-Sens!$F$1794)*3/4</f>
        <v>0.084427499341701</v>
      </c>
      <c r="K1794" s="13" t="n">
        <f aca="false">Sens!$F$1794+(g_sub-Sens!$F$1794)*4/4</f>
        <v>0.07</v>
      </c>
      <c r="L1794" s="13" t="n">
        <f aca="false">g_sub</f>
        <v>0.07</v>
      </c>
      <c r="M1794" s="13" t="n">
        <f aca="false">g_sub</f>
        <v>0.07</v>
      </c>
      <c r="P1794" s="8" t="s">
        <v>688</v>
      </c>
    </row>
    <row r="1795" customFormat="false" ht="17.15" hidden="false" customHeight="false" outlineLevel="0" collapsed="false">
      <c r="A1795" s="0" t="s">
        <v>531</v>
      </c>
      <c r="B1795" s="0" t="s">
        <v>86</v>
      </c>
      <c r="C1795" s="38" t="n">
        <f aca="false">Q!$D$15</f>
        <v>5.425</v>
      </c>
      <c r="D1795" s="38" t="n">
        <f aca="false">Q!$E$15</f>
        <v>5.935</v>
      </c>
      <c r="E1795" s="38" t="n">
        <f aca="false">Q!$P$15</f>
        <v>3.474</v>
      </c>
      <c r="F1795" s="38" t="n">
        <f aca="false">Sens!$O$1795*(1+Sens!$F$1796)*Sens!$F$1797</f>
        <v>3.22246550883619</v>
      </c>
      <c r="G1795" s="38" t="n">
        <f aca="false">Sens!$E$1795+Sens!$F$1795</f>
        <v>6.69646550883619</v>
      </c>
      <c r="H1795" s="38" t="n">
        <f aca="false">Sens!$G$1795*(1+Sens!$H$1796)</f>
        <v>7.16251344209196</v>
      </c>
      <c r="I1795" s="38" t="n">
        <f aca="false">Sens!$H$1795*(1+Sens!$I$1796)</f>
        <v>7.61421070299826</v>
      </c>
      <c r="J1795" s="38" t="n">
        <f aca="false">Sens!$I$1795*(1+Sens!$J$1796)</f>
        <v>8.04465753523932</v>
      </c>
      <c r="K1795" s="38" t="n">
        <f aca="false">Sens!$J$1795*(1+Sens!$K$1796)</f>
        <v>8.44689041200128</v>
      </c>
      <c r="L1795" s="38" t="n">
        <f aca="false">Sens!$K$1795*(1+Sens!$L$1796)</f>
        <v>8.86923493260135</v>
      </c>
      <c r="M1795" s="38" t="n">
        <f aca="false">Sens!$L$1795*(1+Sens!$M$1796)</f>
        <v>9.31269667923142</v>
      </c>
      <c r="N1795" s="38" t="n">
        <f aca="false">Q!$N$15</f>
        <v>2.811</v>
      </c>
      <c r="O1795" s="38" t="n">
        <f aca="false">Q!$O$15</f>
        <v>3.124</v>
      </c>
      <c r="P1795" s="8" t="s">
        <v>678</v>
      </c>
    </row>
    <row r="1796" customFormat="false" ht="17.15" hidden="false" customHeight="false" outlineLevel="0" collapsed="false">
      <c r="A1796" s="0" t="s">
        <v>689</v>
      </c>
      <c r="B1796" s="0" t="s">
        <v>52</v>
      </c>
      <c r="E1796" s="13" t="n">
        <f aca="false">Sens!$E$1795/Sens!$N$1795-1</f>
        <v>0.235859124866596</v>
      </c>
      <c r="F1796" s="13" t="n">
        <f aca="false">Sens!$O$1795/(Q!$F$15+Q!$G$15)-1</f>
        <v>0.0761281433000345</v>
      </c>
      <c r="G1796" s="13" t="n">
        <f aca="false">Sens!$G$1795/Sens!$D$1795-1</f>
        <v>0.128300843948811</v>
      </c>
      <c r="H1796" s="13" t="n">
        <f aca="false">Sens!$F$1796+(g_ot-Sens!$F$1796)*1/4</f>
        <v>0.0695961074750259</v>
      </c>
      <c r="I1796" s="13" t="n">
        <f aca="false">Sens!$F$1796+(g_ot-Sens!$F$1796)*2/4</f>
        <v>0.0630640716500172</v>
      </c>
      <c r="J1796" s="13" t="n">
        <f aca="false">Sens!$F$1796+(g_ot-Sens!$F$1796)*3/4</f>
        <v>0.0565320358250086</v>
      </c>
      <c r="K1796" s="13" t="n">
        <f aca="false">Sens!$F$1796+(g_ot-Sens!$F$1796)*4/4</f>
        <v>0.05</v>
      </c>
      <c r="L1796" s="13" t="n">
        <f aca="false">g_ot</f>
        <v>0.05</v>
      </c>
      <c r="M1796" s="13" t="n">
        <f aca="false">g_ot</f>
        <v>0.05</v>
      </c>
      <c r="P1796" s="8" t="s">
        <v>690</v>
      </c>
    </row>
    <row r="1797" customFormat="false" ht="17.15" hidden="false" customHeight="false" outlineLevel="0" collapsed="false">
      <c r="A1797" s="0" t="s">
        <v>691</v>
      </c>
      <c r="B1797" s="0" t="s">
        <v>57</v>
      </c>
      <c r="F1797" s="40" t="n">
        <f aca="false">(g26q3_mid*Q!$O$8/Q!$J$8-Thesis!$F$89-Thesis!$F$93)/(Sens!$O$1785*(1+Sens!$F$1786)+Sens!$O$1787*(1+Sens!$F$1788)+Sens!$O$1789*(1+Sens!$F$1790)+Sens!$O$1791*(1+Sens!$F$1792)+Sens!$O$1793*(1+Sens!$F$1794)+Sens!$O$1795*(1+Sens!$F$1796))</f>
        <v>0.958546670622329</v>
      </c>
      <c r="P1797" s="8" t="s">
        <v>692</v>
      </c>
    </row>
    <row r="1798" customFormat="false" ht="17.15" hidden="false" customHeight="false" outlineLevel="0" collapsed="false">
      <c r="A1798" s="3" t="s">
        <v>693</v>
      </c>
      <c r="B1798" s="8" t="s">
        <v>86</v>
      </c>
      <c r="C1798" s="38" t="n">
        <f aca="false">Sens!$C$1785+Sens!$C$1787+Sens!$C$1789+Sens!$C$1791+Sens!$C$1793+Sens!$C$1795</f>
        <v>530.403</v>
      </c>
      <c r="D1798" s="38" t="n">
        <f aca="false">Sens!$D$1785+Sens!$D$1787+Sens!$D$1789+Sens!$D$1791+Sens!$D$1793+Sens!$D$1795</f>
        <v>588.199</v>
      </c>
      <c r="E1798" s="38" t="n">
        <f aca="false">Sens!$E$1785+Sens!$E$1787+Sens!$E$1789+Sens!$E$1791+Sens!$E$1793+Sens!$E$1795</f>
        <v>302.306</v>
      </c>
      <c r="F1798" s="38" t="n">
        <f aca="false">Sens!$F$1785+Sens!$F$1787+Sens!$F$1789+Sens!$F$1791+Sens!$F$1793+Sens!$F$1795</f>
        <v>349.048241645537</v>
      </c>
      <c r="G1798" s="38" t="n">
        <f aca="false">Sens!$G$1785+Sens!$G$1787+Sens!$G$1789+Sens!$G$1791+Sens!$G$1793+Sens!$G$1795</f>
        <v>651.354241645537</v>
      </c>
      <c r="H1798" s="38" t="n">
        <f aca="false">Sens!$H$1785+Sens!$H$1787+Sens!$H$1789+Sens!$H$1791+Sens!$H$1793+Sens!$H$1795</f>
        <v>721.096889521386</v>
      </c>
      <c r="I1798" s="38" t="n">
        <f aca="false">Sens!$I$1785+Sens!$I$1787+Sens!$I$1789+Sens!$I$1791+Sens!$I$1793+Sens!$I$1795</f>
        <v>788.529391152531</v>
      </c>
      <c r="J1798" s="38" t="n">
        <f aca="false">Sens!$J$1785+Sens!$J$1787+Sens!$J$1789+Sens!$J$1791+Sens!$J$1793+Sens!$J$1795</f>
        <v>851.108405741443</v>
      </c>
      <c r="K1798" s="38" t="n">
        <f aca="false">Sens!$K$1785+Sens!$K$1787+Sens!$K$1789+Sens!$K$1791+Sens!$K$1793+Sens!$K$1795</f>
        <v>906.176455431088</v>
      </c>
      <c r="L1798" s="38" t="n">
        <f aca="false">Sens!$L$1785+Sens!$L$1787+Sens!$L$1789+Sens!$L$1791+Sens!$L$1793+Sens!$L$1795</f>
        <v>965.093106475589</v>
      </c>
      <c r="M1798" s="38" t="n">
        <f aca="false">Sens!$M$1785+Sens!$M$1787+Sens!$M$1789+Sens!$M$1791+Sens!$M$1793+Sens!$M$1795</f>
        <v>1028.14790794689</v>
      </c>
      <c r="N1798" s="38" t="n">
        <f aca="false">Sens!$N$1785+Sens!$N$1787+Sens!$N$1789+Sens!$N$1791+Sens!$N$1793+Sens!$N$1795</f>
        <v>263.229</v>
      </c>
      <c r="O1798" s="38" t="n">
        <f aca="false">Sens!$O$1785+Sens!$O$1787+Sens!$O$1789+Sens!$O$1791+Sens!$O$1793+Sens!$O$1795</f>
        <v>324.97</v>
      </c>
    </row>
    <row r="1799" customFormat="false" ht="17.15" hidden="false" customHeight="false" outlineLevel="0" collapsed="false">
      <c r="A1799" s="5" t="s">
        <v>694</v>
      </c>
      <c r="B1799" s="0" t="s">
        <v>52</v>
      </c>
      <c r="C1799" s="13" t="n">
        <f aca="false">Q!$D$5/(Q!$D$5+Q!$D$6)</f>
        <v>0.730570905519011</v>
      </c>
      <c r="D1799" s="13" t="n">
        <f aca="false">Q!$E$5/(Q!$E$5+Q!$E$6)</f>
        <v>0.724763217890544</v>
      </c>
      <c r="E1799" s="13" t="n">
        <f aca="false">Q!$P$5/(Q!$P$5+Q!$P$6)</f>
        <v>0.728797972914861</v>
      </c>
      <c r="F1799" s="13" t="n">
        <f aca="false">Sens!$O$1799</f>
        <v>0.718066283041511</v>
      </c>
      <c r="G1799" s="13" t="n">
        <f aca="false">Sens!$G$1800/Sens!$G$1798</f>
        <v>0.723047066202847</v>
      </c>
      <c r="H1799" s="13" t="n">
        <f aca="false">Sens!$G$1799</f>
        <v>0.723047066202847</v>
      </c>
      <c r="I1799" s="13" t="n">
        <f aca="false">Sens!$G$1799</f>
        <v>0.723047066202847</v>
      </c>
      <c r="J1799" s="13" t="n">
        <f aca="false">Sens!$G$1799</f>
        <v>0.723047066202847</v>
      </c>
      <c r="K1799" s="13" t="n">
        <f aca="false">Sens!$G$1799</f>
        <v>0.723047066202847</v>
      </c>
      <c r="L1799" s="13" t="n">
        <f aca="false">Sens!$G$1799</f>
        <v>0.723047066202847</v>
      </c>
      <c r="M1799" s="13" t="n">
        <f aca="false">Sens!$G$1799</f>
        <v>0.723047066202847</v>
      </c>
      <c r="N1799" s="13" t="n">
        <f aca="false">Q!$N$5/(Q!$N$5+Q!$N$6)</f>
        <v>0.733030935041352</v>
      </c>
      <c r="O1799" s="13" t="n">
        <f aca="false">Q!$O$5/(Q!$O$5+Q!$O$6)</f>
        <v>0.718066283041511</v>
      </c>
      <c r="P1799" s="8" t="s">
        <v>695</v>
      </c>
    </row>
    <row r="1800" customFormat="false" ht="17.15" hidden="false" customHeight="false" outlineLevel="0" collapsed="false">
      <c r="A1800" s="1" t="s">
        <v>519</v>
      </c>
      <c r="B1800" s="8" t="s">
        <v>86</v>
      </c>
      <c r="C1800" s="38" t="n">
        <f aca="false">Q!$D$5</f>
        <v>387.497</v>
      </c>
      <c r="D1800" s="38" t="n">
        <f aca="false">Q!$E$5</f>
        <v>426.305</v>
      </c>
      <c r="E1800" s="38" t="n">
        <f aca="false">Q!$P$5</f>
        <v>220.32</v>
      </c>
      <c r="F1800" s="38" t="n">
        <f aca="false">Sens!$F$1798*Sens!$F$1799</f>
        <v>250.639773480586</v>
      </c>
      <c r="G1800" s="38" t="n">
        <f aca="false">Sens!$E$1800+Sens!$F$1800</f>
        <v>470.959773480586</v>
      </c>
      <c r="H1800" s="38" t="n">
        <f aca="false">Sens!$H$1798*Sens!$H$1799</f>
        <v>521.386990416437</v>
      </c>
      <c r="I1800" s="38" t="n">
        <f aca="false">Sens!$I$1798*Sens!$I$1799</f>
        <v>570.143862887555</v>
      </c>
      <c r="J1800" s="38" t="n">
        <f aca="false">Sens!$J$1798*Sens!$J$1799</f>
        <v>615.391435791933</v>
      </c>
      <c r="K1800" s="38" t="n">
        <f aca="false">Sens!$K$1798*Sens!$K$1799</f>
        <v>655.208227561543</v>
      </c>
      <c r="L1800" s="38" t="n">
        <f aca="false">Sens!$L$1798*Sens!$L$1799</f>
        <v>697.807739249767</v>
      </c>
      <c r="M1800" s="38" t="n">
        <f aca="false">Sens!$M$1798*Sens!$M$1799</f>
        <v>743.399328463592</v>
      </c>
      <c r="N1800" s="38" t="n">
        <f aca="false">Q!$N$5</f>
        <v>192.955</v>
      </c>
      <c r="O1800" s="38" t="n">
        <f aca="false">Q!$O$5</f>
        <v>233.35</v>
      </c>
      <c r="P1800" s="5" t="s">
        <v>696</v>
      </c>
    </row>
    <row r="1801" customFormat="false" ht="17.15" hidden="false" customHeight="false" outlineLevel="0" collapsed="false">
      <c r="A1801" s="1" t="s">
        <v>522</v>
      </c>
      <c r="B1801" s="8" t="s">
        <v>86</v>
      </c>
      <c r="C1801" s="38" t="n">
        <f aca="false">Q!$D$6</f>
        <v>142.906</v>
      </c>
      <c r="D1801" s="38" t="n">
        <f aca="false">Q!$E$6</f>
        <v>161.894</v>
      </c>
      <c r="E1801" s="38" t="n">
        <f aca="false">Q!$P$6</f>
        <v>81.986</v>
      </c>
      <c r="F1801" s="38" t="n">
        <f aca="false">Sens!$F$1798*(1-Sens!$F$1799)</f>
        <v>98.408468164951</v>
      </c>
      <c r="G1801" s="38" t="n">
        <f aca="false">Sens!$E$1801+Sens!$F$1801</f>
        <v>180.394468164951</v>
      </c>
      <c r="H1801" s="38" t="n">
        <f aca="false">Sens!$H$1798*(1-Sens!$H$1799)</f>
        <v>199.709899104949</v>
      </c>
      <c r="I1801" s="38" t="n">
        <f aca="false">Sens!$I$1798*(1-Sens!$I$1799)</f>
        <v>218.385528264976</v>
      </c>
      <c r="J1801" s="38" t="n">
        <f aca="false">Sens!$J$1798*(1-Sens!$J$1799)</f>
        <v>235.71696994951</v>
      </c>
      <c r="K1801" s="38" t="n">
        <f aca="false">Sens!$K$1798*(1-Sens!$K$1799)</f>
        <v>250.968227869545</v>
      </c>
      <c r="L1801" s="38" t="n">
        <f aca="false">Sens!$L$1798*(1-Sens!$L$1799)</f>
        <v>267.285367225822</v>
      </c>
      <c r="M1801" s="38" t="n">
        <f aca="false">Sens!$M$1798*(1-Sens!$M$1799)</f>
        <v>284.748579483295</v>
      </c>
      <c r="N1801" s="38" t="n">
        <f aca="false">Q!$N$6</f>
        <v>70.274</v>
      </c>
      <c r="O1801" s="38" t="n">
        <f aca="false">Q!$O$6</f>
        <v>91.62</v>
      </c>
      <c r="P1801" s="5" t="s">
        <v>697</v>
      </c>
    </row>
    <row r="1802" customFormat="false" ht="17.15" hidden="false" customHeight="false" outlineLevel="0" collapsed="false">
      <c r="A1802" s="5" t="s">
        <v>698</v>
      </c>
      <c r="B1802" s="0" t="s">
        <v>86</v>
      </c>
      <c r="C1802" s="38" t="n">
        <f aca="false">Sens!$C$1791*Sens!$C$1799</f>
        <v>41.0683128828457</v>
      </c>
      <c r="D1802" s="38" t="n">
        <f aca="false">Sens!$D$1791*Sens!$D$1799</f>
        <v>49.7441234599175</v>
      </c>
      <c r="E1802" s="38" t="n">
        <f aca="false">Sens!$E$1791*Sens!$E$1799</f>
        <v>27.0034224924414</v>
      </c>
      <c r="F1802" s="38" t="n">
        <f aca="false">Sens!$F$1791*Sens!$F$1799</f>
        <v>33.1439448330513</v>
      </c>
      <c r="G1802" s="38" t="n">
        <f aca="false">Sens!$G$1791*Sens!$G$1799</f>
        <v>60.164183844083</v>
      </c>
      <c r="H1802" s="38" t="n">
        <f aca="false">Sens!$H$1791*Sens!$H$1799</f>
        <v>72.2301766552629</v>
      </c>
      <c r="I1802" s="38" t="n">
        <f aca="false">Sens!$I$1791*Sens!$I$1799</f>
        <v>84.2950764463991</v>
      </c>
      <c r="J1802" s="38" t="n">
        <f aca="false">Sens!$J$1791*Sens!$J$1799</f>
        <v>95.5499047729386</v>
      </c>
      <c r="K1802" s="38" t="n">
        <f aca="false">Sens!$K$1791*Sens!$K$1799</f>
        <v>105.104895250232</v>
      </c>
      <c r="L1802" s="38" t="n">
        <f aca="false">Sens!$L$1791*Sens!$L$1799</f>
        <v>115.615384775256</v>
      </c>
      <c r="M1802" s="38" t="n">
        <f aca="false">Sens!$M$1791*Sens!$M$1799</f>
        <v>127.176923252781</v>
      </c>
      <c r="N1802" s="38" t="n">
        <f aca="false">Sens!$N$1791*Sens!$N$1799</f>
        <v>21.7087111412496</v>
      </c>
      <c r="O1802" s="38" t="n">
        <f aca="false">Sens!$O$1791*Sens!$O$1799</f>
        <v>28.0189463642798</v>
      </c>
      <c r="P1802" s="5" t="s">
        <v>699</v>
      </c>
    </row>
    <row r="1803" customFormat="false" ht="15" hidden="false" customHeight="false" outlineLevel="0" collapsed="false">
      <c r="A1803" s="5" t="s">
        <v>700</v>
      </c>
      <c r="B1803" s="0" t="s">
        <v>86</v>
      </c>
      <c r="C1803" s="38" t="n">
        <f aca="false">Sens!$C$1791-Sens!$C$1802</f>
        <v>15.1456871171543</v>
      </c>
      <c r="D1803" s="38" t="n">
        <f aca="false">Sens!$D$1791-Sens!$D$1802</f>
        <v>18.8908765400825</v>
      </c>
      <c r="E1803" s="38" t="n">
        <f aca="false">Sens!$E$1791-Sens!$E$1802</f>
        <v>10.0485775075586</v>
      </c>
      <c r="F1803" s="38" t="n">
        <f aca="false">Sens!$F$1791-Sens!$F$1802</f>
        <v>13.0132771613635</v>
      </c>
      <c r="G1803" s="38" t="n">
        <f aca="false">Sens!$G$1791-Sens!$G$1802</f>
        <v>23.0450381503318</v>
      </c>
      <c r="H1803" s="38" t="n">
        <f aca="false">Sens!$H$1791-Sens!$H$1802</f>
        <v>27.6667457326347</v>
      </c>
      <c r="I1803" s="38" t="n">
        <f aca="false">Sens!$I$1791-Sens!$I$1802</f>
        <v>32.2880346490971</v>
      </c>
      <c r="J1803" s="38" t="n">
        <f aca="false">Sens!$J$1791-Sens!$J$1802</f>
        <v>36.5990371690132</v>
      </c>
      <c r="K1803" s="38" t="n">
        <f aca="false">Sens!$K$1791-Sens!$K$1802</f>
        <v>40.2589408859145</v>
      </c>
      <c r="L1803" s="38" t="n">
        <f aca="false">Sens!$L$1791-Sens!$L$1802</f>
        <v>44.2848349745059</v>
      </c>
      <c r="M1803" s="38" t="n">
        <f aca="false">Sens!$M$1791-Sens!$M$1802</f>
        <v>48.7133184719565</v>
      </c>
      <c r="N1803" s="38" t="n">
        <f aca="false">Sens!$N$1791-Sens!$N$1802</f>
        <v>7.90628885875037</v>
      </c>
      <c r="O1803" s="38" t="n">
        <f aca="false">Sens!$O$1791-Sens!$O$1802</f>
        <v>11.0010536357202</v>
      </c>
    </row>
    <row r="1804" customFormat="false" ht="19.4" hidden="false" customHeight="false" outlineLevel="0" collapsed="false">
      <c r="A1804" s="31" t="s">
        <v>1188</v>
      </c>
    </row>
    <row r="1805" customFormat="false" ht="17.15" hidden="false" customHeight="false" outlineLevel="0" collapsed="false">
      <c r="A1805" s="6" t="s">
        <v>16</v>
      </c>
      <c r="B1805" s="6" t="s">
        <v>17</v>
      </c>
      <c r="C1805" s="20" t="s">
        <v>504</v>
      </c>
      <c r="D1805" s="20" t="s">
        <v>505</v>
      </c>
      <c r="E1805" s="20" t="s">
        <v>587</v>
      </c>
      <c r="F1805" s="20" t="s">
        <v>588</v>
      </c>
      <c r="G1805" s="20" t="s">
        <v>589</v>
      </c>
      <c r="H1805" s="20" t="s">
        <v>590</v>
      </c>
      <c r="I1805" s="20" t="s">
        <v>591</v>
      </c>
      <c r="J1805" s="20" t="s">
        <v>592</v>
      </c>
      <c r="K1805" s="20" t="s">
        <v>593</v>
      </c>
      <c r="L1805" s="20" t="s">
        <v>594</v>
      </c>
      <c r="M1805" s="20" t="s">
        <v>595</v>
      </c>
      <c r="N1805" s="20" t="s">
        <v>596</v>
      </c>
      <c r="O1805" s="20" t="s">
        <v>597</v>
      </c>
      <c r="P1805" s="6" t="s">
        <v>23</v>
      </c>
      <c r="R1805" s="20" t="n">
        <v>2023</v>
      </c>
      <c r="S1805" s="20" t="n">
        <v>2024</v>
      </c>
      <c r="T1805" s="20" t="n">
        <v>2025</v>
      </c>
      <c r="U1805" s="20" t="n">
        <v>2026</v>
      </c>
      <c r="V1805" s="20" t="n">
        <v>2027</v>
      </c>
      <c r="W1805" s="20" t="n">
        <v>2028</v>
      </c>
      <c r="X1805" s="20" t="n">
        <v>2029</v>
      </c>
      <c r="Y1805" s="20" t="n">
        <v>2030</v>
      </c>
      <c r="Z1805" s="20" t="n">
        <v>2031</v>
      </c>
      <c r="AA1805" s="20" t="n">
        <v>2032</v>
      </c>
    </row>
    <row r="1806" customFormat="false" ht="17.15" hidden="false" customHeight="false" outlineLevel="0" collapsed="false">
      <c r="A1806" s="1" t="s">
        <v>598</v>
      </c>
    </row>
    <row r="1807" customFormat="false" ht="17.15" hidden="false" customHeight="false" outlineLevel="0" collapsed="false">
      <c r="A1807" s="5" t="s">
        <v>599</v>
      </c>
      <c r="B1807" s="0" t="s">
        <v>144</v>
      </c>
      <c r="H1807" s="32" t="n">
        <f aca="false">pace_B</f>
        <v>3634.3</v>
      </c>
      <c r="I1807" s="32" t="n">
        <f aca="false">pace_B</f>
        <v>3634.3</v>
      </c>
      <c r="J1807" s="32" t="n">
        <f aca="false">pace_B</f>
        <v>3634.3</v>
      </c>
      <c r="K1807" s="32" t="n">
        <f aca="false">pace_B+(Sens!$J$1808*tg-pace_B)*1/3</f>
        <v>2570.86716666667</v>
      </c>
      <c r="L1807" s="32" t="n">
        <f aca="false">pace_B+(Sens!$J$1808*tg-pace_B)*2/3</f>
        <v>1507.43433333333</v>
      </c>
      <c r="M1807" s="32" t="n">
        <f aca="false">pace_B+(Sens!$J$1808*tg-pace_B)*3/3</f>
        <v>444.0015</v>
      </c>
      <c r="P1807" s="5" t="s">
        <v>600</v>
      </c>
    </row>
    <row r="1808" customFormat="false" ht="17.15" hidden="false" customHeight="false" outlineLevel="0" collapsed="false">
      <c r="A1808" s="15" t="s">
        <v>601</v>
      </c>
      <c r="B1808" s="14" t="s">
        <v>129</v>
      </c>
      <c r="C1808" s="33" t="n">
        <f aca="false">mw_ye24</f>
        <v>360</v>
      </c>
      <c r="D1808" s="33" t="n">
        <f aca="false">mw_ye25</f>
        <v>1440</v>
      </c>
      <c r="E1808" s="33" t="n">
        <f aca="false">mw_open</f>
        <v>2080</v>
      </c>
      <c r="F1808" s="33" t="n">
        <f aca="false">Sens!$E$1808+pace_B*0.5</f>
        <v>3897.15</v>
      </c>
      <c r="G1808" s="33" t="n">
        <f aca="false">Sens!$F$1808</f>
        <v>3897.15</v>
      </c>
      <c r="H1808" s="33" t="n">
        <f aca="false">Sens!$G$1808+Sens!$H$1807</f>
        <v>7531.45</v>
      </c>
      <c r="I1808" s="33" t="n">
        <f aca="false">Sens!$H$1808+Sens!$I$1807</f>
        <v>11165.75</v>
      </c>
      <c r="J1808" s="33" t="n">
        <f aca="false">Sens!$I$1808+Sens!$J$1807</f>
        <v>14800.05</v>
      </c>
      <c r="K1808" s="33" t="n">
        <f aca="false">Sens!$J$1808+Sens!$K$1807</f>
        <v>17370.9171666667</v>
      </c>
      <c r="L1808" s="33" t="n">
        <f aca="false">Sens!$K$1808+Sens!$L$1807</f>
        <v>18878.3515</v>
      </c>
      <c r="M1808" s="33" t="n">
        <f aca="false">Sens!$L$1808+Sens!$M$1807</f>
        <v>19322.353</v>
      </c>
      <c r="N1808" s="33" t="n">
        <f aca="false">(mw_ye24+mw_ye25)/2</f>
        <v>900</v>
      </c>
      <c r="O1808" s="33" t="n">
        <f aca="false">mw_ye25</f>
        <v>1440</v>
      </c>
      <c r="P1808" s="5" t="s">
        <v>602</v>
      </c>
    </row>
    <row r="1809" customFormat="false" ht="17.15" hidden="false" customHeight="false" outlineLevel="0" collapsed="false">
      <c r="A1809" s="5" t="s">
        <v>603</v>
      </c>
      <c r="B1809" s="0" t="s">
        <v>129</v>
      </c>
      <c r="C1809" s="32" t="n">
        <f aca="false">(mw_ye23+mw_ye24)/2</f>
        <v>240</v>
      </c>
      <c r="D1809" s="32" t="n">
        <f aca="false">(Sens!$C$1808+Sens!$D$1808)/2</f>
        <v>900</v>
      </c>
      <c r="E1809" s="32" t="n">
        <f aca="false">(Sens!$D$1808+Sens!$E$1808)/2</f>
        <v>1760</v>
      </c>
      <c r="F1809" s="32" t="n">
        <f aca="false">(Sens!$E$1808+Sens!$F$1808)/2</f>
        <v>2988.575</v>
      </c>
      <c r="G1809" s="32" t="n">
        <f aca="false">(Sens!$E$1809+Sens!$F$1809)/2</f>
        <v>2374.2875</v>
      </c>
      <c r="H1809" s="32" t="n">
        <f aca="false">(Sens!$G$1808+Sens!$H$1808)/2</f>
        <v>5714.3</v>
      </c>
      <c r="I1809" s="32" t="n">
        <f aca="false">(Sens!$H$1808+Sens!$I$1808)/2</f>
        <v>9348.6</v>
      </c>
      <c r="J1809" s="32" t="n">
        <f aca="false">(Sens!$I$1808+Sens!$J$1808)/2</f>
        <v>12982.9</v>
      </c>
      <c r="K1809" s="32" t="n">
        <f aca="false">(Sens!$J$1808+Sens!$K$1808)/2</f>
        <v>16085.4835833333</v>
      </c>
      <c r="L1809" s="32" t="n">
        <f aca="false">(Sens!$K$1808+Sens!$L$1808)/2</f>
        <v>18124.6343333333</v>
      </c>
      <c r="M1809" s="32" t="n">
        <f aca="false">(Sens!$L$1808+Sens!$M$1808)/2</f>
        <v>19100.35225</v>
      </c>
      <c r="N1809" s="32" t="n">
        <f aca="false">(Sens!$C$1808+Sens!$N$1808)/2</f>
        <v>630</v>
      </c>
      <c r="O1809" s="32" t="n">
        <f aca="false">(Sens!$N$1808+Sens!$O$1808)/2</f>
        <v>1170</v>
      </c>
    </row>
    <row r="1810" customFormat="false" ht="15" hidden="false" customHeight="false" outlineLevel="0" collapsed="false">
      <c r="A1810" s="5" t="s">
        <v>604</v>
      </c>
      <c r="B1810" s="5" t="s">
        <v>123</v>
      </c>
      <c r="C1810" s="34" t="n">
        <v>1</v>
      </c>
      <c r="D1810" s="34" t="n">
        <v>1</v>
      </c>
      <c r="E1810" s="34" t="n">
        <v>0.5</v>
      </c>
      <c r="F1810" s="34" t="n">
        <v>0.5</v>
      </c>
      <c r="G1810" s="34" t="n">
        <v>1</v>
      </c>
      <c r="H1810" s="34" t="n">
        <v>1</v>
      </c>
      <c r="I1810" s="34" t="n">
        <v>1</v>
      </c>
      <c r="J1810" s="34" t="n">
        <v>1</v>
      </c>
      <c r="K1810" s="34" t="n">
        <v>1</v>
      </c>
      <c r="L1810" s="34" t="n">
        <v>1</v>
      </c>
      <c r="M1810" s="34" t="n">
        <v>1</v>
      </c>
      <c r="N1810" s="34" t="n">
        <v>0.5</v>
      </c>
      <c r="O1810" s="34" t="n">
        <v>0.5</v>
      </c>
    </row>
    <row r="1811" customFormat="false" ht="17.15" hidden="false" customHeight="false" outlineLevel="0" collapsed="false">
      <c r="A1811" s="5" t="s">
        <v>605</v>
      </c>
      <c r="B1811" s="0" t="s">
        <v>129</v>
      </c>
      <c r="C1811" s="32" t="n">
        <f aca="false">Sens!$C$1808-mw_ye23</f>
        <v>240</v>
      </c>
      <c r="D1811" s="32" t="n">
        <f aca="false">Sens!$D$1808-Sens!$C$1808</f>
        <v>1080</v>
      </c>
      <c r="E1811" s="32" t="n">
        <f aca="false">Sens!$E$1808-Sens!$D$1808</f>
        <v>640</v>
      </c>
      <c r="F1811" s="32" t="n">
        <f aca="false">Sens!$F$1808-Sens!$E$1808</f>
        <v>1817.15</v>
      </c>
      <c r="G1811" s="32" t="n">
        <f aca="false">Sens!$E$1811+Sens!$F$1811</f>
        <v>2457.15</v>
      </c>
      <c r="H1811" s="32" t="n">
        <f aca="false">Sens!$H$1808-Sens!$G$1808</f>
        <v>3634.3</v>
      </c>
      <c r="I1811" s="32" t="n">
        <f aca="false">Sens!$I$1808-Sens!$H$1808</f>
        <v>3634.3</v>
      </c>
      <c r="J1811" s="32" t="n">
        <f aca="false">Sens!$J$1808-Sens!$I$1808</f>
        <v>3634.3</v>
      </c>
      <c r="K1811" s="32" t="n">
        <f aca="false">Sens!$K$1808-Sens!$J$1808</f>
        <v>2570.86716666667</v>
      </c>
      <c r="L1811" s="32" t="n">
        <f aca="false">Sens!$L$1808-Sens!$K$1808</f>
        <v>1507.43433333333</v>
      </c>
      <c r="M1811" s="32" t="n">
        <f aca="false">Sens!$M$1808-Sens!$L$1808</f>
        <v>444.001499999999</v>
      </c>
      <c r="N1811" s="32" t="n">
        <f aca="false">Sens!$N$1808-Sens!$C$1808</f>
        <v>540</v>
      </c>
      <c r="O1811" s="32" t="n">
        <f aca="false">Sens!$O$1808-Sens!$N$1808</f>
        <v>540</v>
      </c>
    </row>
    <row r="1812" customFormat="false" ht="17.15" hidden="false" customHeight="false" outlineLevel="0" collapsed="false">
      <c r="A1812" s="5" t="s">
        <v>606</v>
      </c>
      <c r="B1812" s="0" t="s">
        <v>129</v>
      </c>
      <c r="C1812" s="32" t="n">
        <f aca="false">Sens!$C$1811/ext_sh</f>
        <v>300</v>
      </c>
      <c r="D1812" s="32" t="n">
        <f aca="false">Sens!$D$1811/ext_sh</f>
        <v>1350</v>
      </c>
      <c r="E1812" s="32" t="n">
        <f aca="false">Sens!$E$1811/ext_sh</f>
        <v>800</v>
      </c>
      <c r="F1812" s="32" t="n">
        <f aca="false">Sens!$F$1811/ext_sh</f>
        <v>2271.4375</v>
      </c>
      <c r="G1812" s="32" t="n">
        <f aca="false">Sens!$G$1811/ext_sh</f>
        <v>3071.4375</v>
      </c>
      <c r="H1812" s="32" t="n">
        <f aca="false">Sens!$H$1811/ext_sh</f>
        <v>4542.875</v>
      </c>
      <c r="I1812" s="32" t="n">
        <f aca="false">Sens!$I$1811/ext_sh</f>
        <v>4542.875</v>
      </c>
      <c r="J1812" s="32" t="n">
        <f aca="false">Sens!$J$1811/ext_sh</f>
        <v>4542.875</v>
      </c>
      <c r="K1812" s="32" t="n">
        <f aca="false">Sens!$K$1811/ext_sh</f>
        <v>3213.58395833333</v>
      </c>
      <c r="L1812" s="32" t="n">
        <f aca="false">Sens!$L$1811/ext_sh</f>
        <v>1884.29291666667</v>
      </c>
      <c r="M1812" s="32" t="n">
        <f aca="false">Sens!$M$1811/ext_sh</f>
        <v>555.001874999998</v>
      </c>
      <c r="N1812" s="32" t="n">
        <f aca="false">Sens!$N$1811/ext_sh</f>
        <v>675</v>
      </c>
      <c r="O1812" s="32" t="n">
        <f aca="false">Sens!$O$1811/ext_sh</f>
        <v>675</v>
      </c>
      <c r="P1812" s="8" t="s">
        <v>607</v>
      </c>
      <c r="R1812" s="32" t="n">
        <f aca="false">mw_ye23/ext_sh</f>
        <v>150</v>
      </c>
      <c r="S1812" s="32" t="n">
        <f aca="false">Sens!$C$1812</f>
        <v>300</v>
      </c>
      <c r="T1812" s="32" t="n">
        <f aca="false">Sens!$D$1812</f>
        <v>1350</v>
      </c>
      <c r="U1812" s="32" t="n">
        <f aca="false">Sens!$G$1812</f>
        <v>3071.4375</v>
      </c>
      <c r="V1812" s="32" t="n">
        <f aca="false">Sens!$H$1812</f>
        <v>4542.875</v>
      </c>
      <c r="W1812" s="32" t="n">
        <f aca="false">Sens!$I$1812</f>
        <v>4542.875</v>
      </c>
      <c r="X1812" s="32" t="n">
        <f aca="false">Sens!$J$1812</f>
        <v>4542.875</v>
      </c>
      <c r="Y1812" s="32" t="n">
        <f aca="false">Sens!$K$1812</f>
        <v>3213.58395833333</v>
      </c>
      <c r="Z1812" s="32" t="n">
        <f aca="false">Sens!$L$1812</f>
        <v>1884.29291666667</v>
      </c>
      <c r="AA1812" s="32" t="n">
        <f aca="false">Sens!$M$1812</f>
        <v>555.001874999998</v>
      </c>
    </row>
    <row r="1813" customFormat="false" ht="17.15" hidden="false" customHeight="false" outlineLevel="0" collapsed="false">
      <c r="A1813" s="1" t="s">
        <v>608</v>
      </c>
    </row>
    <row r="1814" customFormat="false" ht="17.15" hidden="false" customHeight="false" outlineLevel="0" collapsed="false">
      <c r="A1814" s="0" t="s">
        <v>609</v>
      </c>
      <c r="B1814" s="0" t="s">
        <v>52</v>
      </c>
      <c r="F1814" s="35" t="n">
        <f aca="false">na_vr26</f>
        <v>0</v>
      </c>
      <c r="G1814" s="35" t="n">
        <f aca="false">na_vr26</f>
        <v>0</v>
      </c>
      <c r="H1814" s="35" t="n">
        <f aca="false">na_vr27</f>
        <v>0.5</v>
      </c>
      <c r="I1814" s="35" t="n">
        <f aca="false">na_vr28</f>
        <v>1</v>
      </c>
      <c r="J1814" s="35" t="n">
        <f aca="false">na_vr28</f>
        <v>1</v>
      </c>
      <c r="K1814" s="35" t="n">
        <f aca="false">na_vr28</f>
        <v>1</v>
      </c>
      <c r="L1814" s="35" t="n">
        <f aca="false">na_vr28</f>
        <v>1</v>
      </c>
      <c r="M1814" s="35" t="n">
        <f aca="false">na_vr28</f>
        <v>1</v>
      </c>
    </row>
    <row r="1815" customFormat="false" ht="17.15" hidden="false" customHeight="false" outlineLevel="0" collapsed="false">
      <c r="A1815" s="5" t="s">
        <v>610</v>
      </c>
      <c r="B1815" s="0" t="s">
        <v>173</v>
      </c>
      <c r="F1815" s="36" t="n">
        <f aca="false">cust_sh*tk_he_gb300*cf_chip+(1-cust_sh)*((1-Sens!$F$1814)*tk_he_gb300+Sens!$F$1814*tk_he_vr200)</f>
        <v>10.8864110021101</v>
      </c>
      <c r="G1815" s="36" t="n">
        <f aca="false">cust_sh*tk_he_gb300*cf_chip+(1-cust_sh)*((1-Sens!$G$1814)*tk_he_gb300+Sens!$G$1814*tk_he_vr200)</f>
        <v>10.8864110021101</v>
      </c>
      <c r="H1815" s="36" t="n">
        <f aca="false">cust_sh*tk_he_gb300*cf_chip+(1-cust_sh)*((1-Sens!$H$1814)*tk_he_gb300+Sens!$H$1814*tk_he_vr200)</f>
        <v>11.2211760027286</v>
      </c>
      <c r="I1815" s="36" t="n">
        <f aca="false">cust_sh*tk_he_gb300*cf_chip+(1-cust_sh)*((1-Sens!$I$1814)*tk_he_gb300+Sens!$I$1814*tk_he_vr200)</f>
        <v>11.5559410033471</v>
      </c>
      <c r="J1815" s="36" t="n">
        <f aca="false">cust_sh*tk_he_gb300*cf_chip+(1-cust_sh)*((1-Sens!$J$1814)*tk_he_gb300+Sens!$J$1814*tk_he_vr200)</f>
        <v>11.5559410033471</v>
      </c>
      <c r="K1815" s="36" t="n">
        <f aca="false">cust_sh*tk_he_gb300*cf_chip+(1-cust_sh)*((1-Sens!$K$1814)*tk_he_gb300+Sens!$K$1814*tk_he_vr200)</f>
        <v>11.5559410033471</v>
      </c>
      <c r="L1815" s="36" t="n">
        <f aca="false">cust_sh*tk_he_gb300*cf_chip+(1-cust_sh)*((1-Sens!$L$1814)*tk_he_gb300+Sens!$L$1814*tk_he_vr200)</f>
        <v>11.5559410033471</v>
      </c>
      <c r="M1815" s="36" t="n">
        <f aca="false">cust_sh*tk_he_gb300*cf_chip+(1-cust_sh)*((1-Sens!$M$1814)*tk_he_gb300+Sens!$M$1814*tk_he_vr200)</f>
        <v>11.5559410033471</v>
      </c>
    </row>
    <row r="1816" customFormat="false" ht="17.15" hidden="false" customHeight="false" outlineLevel="0" collapsed="false">
      <c r="A1816" s="5" t="s">
        <v>611</v>
      </c>
      <c r="B1816" s="0" t="s">
        <v>173</v>
      </c>
      <c r="F1816" s="36" t="n">
        <f aca="false">cust_sh*tk_ox_gb300+(1-cust_sh)*((1-Sens!$F$1814)*tk_ox_gb300+Sens!$F$1814*tk_ox_vr200)</f>
        <v>1.98263481314457</v>
      </c>
      <c r="G1816" s="36" t="n">
        <f aca="false">cust_sh*tk_ox_gb300+(1-cust_sh)*((1-Sens!$G$1814)*tk_ox_gb300+Sens!$G$1814*tk_ox_vr200)</f>
        <v>1.98263481314457</v>
      </c>
      <c r="H1816" s="36" t="n">
        <f aca="false">cust_sh*tk_ox_gb300+(1-cust_sh)*((1-Sens!$H$1814)*tk_ox_gb300+Sens!$H$1814*tk_ox_vr200)</f>
        <v>2.01034999693694</v>
      </c>
      <c r="I1816" s="36" t="n">
        <f aca="false">cust_sh*tk_ox_gb300+(1-cust_sh)*((1-Sens!$I$1814)*tk_ox_gb300+Sens!$I$1814*tk_ox_vr200)</f>
        <v>2.0380651807293</v>
      </c>
      <c r="J1816" s="36" t="n">
        <f aca="false">cust_sh*tk_ox_gb300+(1-cust_sh)*((1-Sens!$J$1814)*tk_ox_gb300+Sens!$J$1814*tk_ox_vr200)</f>
        <v>2.0380651807293</v>
      </c>
      <c r="K1816" s="36" t="n">
        <f aca="false">cust_sh*tk_ox_gb300+(1-cust_sh)*((1-Sens!$K$1814)*tk_ox_gb300+Sens!$K$1814*tk_ox_vr200)</f>
        <v>2.0380651807293</v>
      </c>
      <c r="L1816" s="36" t="n">
        <f aca="false">cust_sh*tk_ox_gb300+(1-cust_sh)*((1-Sens!$L$1814)*tk_ox_gb300+Sens!$L$1814*tk_ox_vr200)</f>
        <v>2.0380651807293</v>
      </c>
      <c r="M1816" s="36" t="n">
        <f aca="false">cust_sh*tk_ox_gb300+(1-cust_sh)*((1-Sens!$M$1814)*tk_ox_gb300+Sens!$M$1814*tk_ox_vr200)</f>
        <v>2.0380651807293</v>
      </c>
    </row>
    <row r="1817" customFormat="false" ht="17.15" hidden="false" customHeight="false" outlineLevel="0" collapsed="false">
      <c r="A1817" s="5" t="s">
        <v>612</v>
      </c>
      <c r="B1817" s="0" t="s">
        <v>192</v>
      </c>
      <c r="F1817" s="36" t="n">
        <f aca="false">cust_sh*tk_cx_gb300*cf_cx+(1-cust_sh)*((1-Sens!$F$1814)*tk_cx_gb300+Sens!$F$1814*tk_cx_vr200)</f>
        <v>32.237224</v>
      </c>
      <c r="G1817" s="36" t="n">
        <f aca="false">cust_sh*tk_cx_gb300*cf_cx+(1-cust_sh)*((1-Sens!$G$1814)*tk_cx_gb300+Sens!$G$1814*tk_cx_vr200)</f>
        <v>32.237224</v>
      </c>
      <c r="H1817" s="36" t="n">
        <f aca="false">cust_sh*tk_cx_gb300*cf_cx+(1-cust_sh)*((1-Sens!$H$1814)*tk_cx_gb300+Sens!$H$1814*tk_cx_vr200)</f>
        <v>33.574506</v>
      </c>
      <c r="I1817" s="36" t="n">
        <f aca="false">cust_sh*tk_cx_gb300*cf_cx+(1-cust_sh)*((1-Sens!$I$1814)*tk_cx_gb300+Sens!$I$1814*tk_cx_vr200)</f>
        <v>34.911788</v>
      </c>
      <c r="J1817" s="36" t="n">
        <f aca="false">cust_sh*tk_cx_gb300*cf_cx+(1-cust_sh)*((1-Sens!$J$1814)*tk_cx_gb300+Sens!$J$1814*tk_cx_vr200)</f>
        <v>34.911788</v>
      </c>
      <c r="K1817" s="36" t="n">
        <f aca="false">cust_sh*tk_cx_gb300*cf_cx+(1-cust_sh)*((1-Sens!$K$1814)*tk_cx_gb300+Sens!$K$1814*tk_cx_vr200)</f>
        <v>34.911788</v>
      </c>
      <c r="L1817" s="36" t="n">
        <f aca="false">cust_sh*tk_cx_gb300*cf_cx+(1-cust_sh)*((1-Sens!$L$1814)*tk_cx_gb300+Sens!$L$1814*tk_cx_vr200)</f>
        <v>34.911788</v>
      </c>
      <c r="M1817" s="36" t="n">
        <f aca="false">cust_sh*tk_cx_gb300*cf_cx+(1-cust_sh)*((1-Sens!$M$1814)*tk_cx_gb300+Sens!$M$1814*tk_cx_vr200)</f>
        <v>34.911788</v>
      </c>
    </row>
    <row r="1818" customFormat="false" ht="17.15" hidden="false" customHeight="false" outlineLevel="0" collapsed="false">
      <c r="A1818" s="5" t="s">
        <v>613</v>
      </c>
      <c r="B1818" s="0" t="s">
        <v>129</v>
      </c>
      <c r="F1818" s="32" t="n">
        <f aca="false">Sens!$F$1808-mw_open</f>
        <v>1817.15</v>
      </c>
      <c r="G1818" s="32" t="n">
        <f aca="false">Sens!$F$1818</f>
        <v>1817.15</v>
      </c>
      <c r="H1818" s="32" t="n">
        <f aca="false">Sens!$H$1808-mw_open</f>
        <v>5451.45</v>
      </c>
      <c r="I1818" s="32" t="n">
        <f aca="false">Sens!$I$1808-mw_open</f>
        <v>9085.75</v>
      </c>
      <c r="J1818" s="32" t="n">
        <f aca="false">Sens!$J$1808-mw_open</f>
        <v>12720.05</v>
      </c>
      <c r="K1818" s="32" t="n">
        <f aca="false">Sens!$K$1808-mw_open</f>
        <v>15290.9171666667</v>
      </c>
      <c r="L1818" s="32" t="n">
        <f aca="false">Sens!$L$1808-mw_open</f>
        <v>16798.3515</v>
      </c>
      <c r="M1818" s="32" t="n">
        <f aca="false">Sens!$M$1808-mw_open</f>
        <v>17242.353</v>
      </c>
    </row>
    <row r="1819" customFormat="false" ht="17.15" hidden="false" customHeight="false" outlineLevel="0" collapsed="false">
      <c r="A1819" s="0" t="s">
        <v>614</v>
      </c>
      <c r="B1819" s="0" t="s">
        <v>615</v>
      </c>
      <c r="F1819" s="32" t="n">
        <f aca="false">Sens!$F$1811*Sens!$F$1815</f>
        <v>19782.2417524844</v>
      </c>
      <c r="G1819" s="32" t="n">
        <f aca="false">Sens!$F$1819</f>
        <v>19782.2417524844</v>
      </c>
      <c r="H1819" s="32" t="n">
        <f aca="false">Sens!$G$1819+Sens!$H$1811*Sens!$H$1815</f>
        <v>60563.3616992009</v>
      </c>
      <c r="I1819" s="32" t="n">
        <f aca="false">Sens!$H$1819+Sens!$I$1811*Sens!$I$1815</f>
        <v>102561.118087665</v>
      </c>
      <c r="J1819" s="32" t="n">
        <f aca="false">Sens!$I$1819+Sens!$J$1811*Sens!$J$1815</f>
        <v>144558.87447613</v>
      </c>
      <c r="K1819" s="32" t="n">
        <f aca="false">Sens!$J$1819+Sens!$K$1811*Sens!$K$1815</f>
        <v>174267.663781572</v>
      </c>
      <c r="L1819" s="32" t="n">
        <f aca="false">Sens!$K$1819+Sens!$L$1811*Sens!$L$1815</f>
        <v>191687.486003992</v>
      </c>
      <c r="M1819" s="32" t="n">
        <f aca="false">Sens!$L$1819+Sens!$M$1811*Sens!$M$1815</f>
        <v>196818.341143389</v>
      </c>
    </row>
    <row r="1820" customFormat="false" ht="17.15" hidden="false" customHeight="false" outlineLevel="0" collapsed="false">
      <c r="A1820" s="0" t="s">
        <v>616</v>
      </c>
      <c r="B1820" s="0" t="s">
        <v>615</v>
      </c>
      <c r="F1820" s="32" t="n">
        <f aca="false">Sens!$F$1811*Sens!$F$1816</f>
        <v>3602.74485070566</v>
      </c>
      <c r="G1820" s="32" t="n">
        <f aca="false">Sens!$F$1820</f>
        <v>3602.74485070566</v>
      </c>
      <c r="H1820" s="32" t="n">
        <f aca="false">Sens!$G$1820+Sens!$H$1811*Sens!$H$1816</f>
        <v>10908.9598445736</v>
      </c>
      <c r="I1820" s="32" t="n">
        <f aca="false">Sens!$H$1820+Sens!$I$1811*Sens!$I$1816</f>
        <v>18315.9001308981</v>
      </c>
      <c r="J1820" s="32" t="n">
        <f aca="false">Sens!$I$1820+Sens!$J$1811*Sens!$J$1816</f>
        <v>25722.8404172225</v>
      </c>
      <c r="K1820" s="32" t="n">
        <f aca="false">Sens!$J$1820+Sens!$K$1811*Sens!$K$1816</f>
        <v>30962.4352738861</v>
      </c>
      <c r="L1820" s="32" t="n">
        <f aca="false">Sens!$K$1820+Sens!$L$1811*Sens!$L$1816</f>
        <v>34034.6847008886</v>
      </c>
      <c r="M1820" s="32" t="n">
        <f aca="false">Sens!$L$1820+Sens!$M$1811*Sens!$M$1816</f>
        <v>34939.5886982302</v>
      </c>
    </row>
    <row r="1821" customFormat="false" ht="17.15" hidden="false" customHeight="false" outlineLevel="0" collapsed="false">
      <c r="A1821" s="5" t="s">
        <v>617</v>
      </c>
      <c r="B1821" s="0" t="s">
        <v>173</v>
      </c>
      <c r="F1821" s="36" t="n">
        <f aca="false">IF(Sens!$F$1818&gt;0,Sens!$F$1819/Sens!$F$1818,Sens!$F$1815)</f>
        <v>10.8864110021101</v>
      </c>
      <c r="G1821" s="36" t="n">
        <f aca="false">IF(Sens!$G$1818&gt;0,Sens!$G$1819/Sens!$G$1818,Sens!$G$1815)</f>
        <v>10.8864110021101</v>
      </c>
      <c r="H1821" s="36" t="n">
        <f aca="false">IF(Sens!$H$1818&gt;0,Sens!$H$1819/Sens!$H$1818,Sens!$H$1815)</f>
        <v>11.1095876691891</v>
      </c>
      <c r="I1821" s="36" t="n">
        <f aca="false">IF(Sens!$I$1818&gt;0,Sens!$I$1819/Sens!$I$1818,Sens!$I$1815)</f>
        <v>11.2881290028523</v>
      </c>
      <c r="J1821" s="36" t="n">
        <f aca="false">IF(Sens!$J$1818&gt;0,Sens!$J$1819/Sens!$J$1818,Sens!$J$1815)</f>
        <v>11.3646467172794</v>
      </c>
      <c r="K1821" s="36" t="n">
        <f aca="false">IF(Sens!$K$1818&gt;0,Sens!$K$1819/Sens!$K$1818,Sens!$K$1815)</f>
        <v>11.3968090914432</v>
      </c>
      <c r="L1821" s="36" t="n">
        <f aca="false">IF(Sens!$L$1818&gt;0,Sens!$L$1819/Sens!$L$1818,Sens!$L$1815)</f>
        <v>11.4110891181192</v>
      </c>
      <c r="M1821" s="36" t="n">
        <f aca="false">IF(Sens!$M$1818&gt;0,Sens!$M$1819/Sens!$M$1818,Sens!$M$1815)</f>
        <v>11.4148191458201</v>
      </c>
    </row>
    <row r="1822" customFormat="false" ht="17.15" hidden="false" customHeight="false" outlineLevel="0" collapsed="false">
      <c r="A1822" s="5" t="s">
        <v>618</v>
      </c>
      <c r="B1822" s="0" t="s">
        <v>173</v>
      </c>
      <c r="F1822" s="36" t="n">
        <f aca="false">IF(Sens!$F$1818&gt;0,Sens!$F$1820/Sens!$F$1818,Sens!$F$1816)</f>
        <v>1.98263481314457</v>
      </c>
      <c r="G1822" s="36" t="n">
        <f aca="false">IF(Sens!$G$1818&gt;0,Sens!$G$1820/Sens!$G$1818,Sens!$G$1816)</f>
        <v>1.98263481314457</v>
      </c>
      <c r="H1822" s="36" t="n">
        <f aca="false">IF(Sens!$H$1818&gt;0,Sens!$H$1820/Sens!$H$1818,Sens!$H$1816)</f>
        <v>2.00111160233948</v>
      </c>
      <c r="I1822" s="36" t="n">
        <f aca="false">IF(Sens!$I$1818&gt;0,Sens!$I$1820/Sens!$I$1818,Sens!$I$1816)</f>
        <v>2.01589303369541</v>
      </c>
      <c r="J1822" s="36" t="n">
        <f aca="false">IF(Sens!$J$1818&gt;0,Sens!$J$1820/Sens!$J$1818,Sens!$J$1816)</f>
        <v>2.02222793284795</v>
      </c>
      <c r="K1822" s="36" t="n">
        <f aca="false">IF(Sens!$K$1818&gt;0,Sens!$K$1820/Sens!$K$1818,Sens!$K$1816)</f>
        <v>2.02489065478573</v>
      </c>
      <c r="L1822" s="36" t="n">
        <f aca="false">IF(Sens!$L$1818&gt;0,Sens!$L$1820/Sens!$L$1818,Sens!$L$1816)</f>
        <v>2.0260728977417</v>
      </c>
      <c r="M1822" s="36" t="n">
        <f aca="false">IF(Sens!$M$1818&gt;0,Sens!$M$1820/Sens!$M$1818,Sens!$M$1816)</f>
        <v>2.02638170661685</v>
      </c>
    </row>
    <row r="1823" customFormat="false" ht="17.15" hidden="false" customHeight="false" outlineLevel="0" collapsed="false">
      <c r="A1823" s="15" t="s">
        <v>619</v>
      </c>
      <c r="B1823" s="14" t="s">
        <v>173</v>
      </c>
      <c r="C1823" s="14"/>
      <c r="D1823" s="14"/>
      <c r="E1823" s="14"/>
      <c r="F1823" s="37" t="n">
        <f aca="false">Sens!$F$1821*k_B</f>
        <v>10.7987645808025</v>
      </c>
      <c r="G1823" s="37" t="n">
        <f aca="false">Sens!$G$1821*k_B</f>
        <v>10.7987645808025</v>
      </c>
      <c r="H1823" s="37" t="n">
        <f aca="false">Sens!$H$1821*k_B</f>
        <v>11.0201444540452</v>
      </c>
      <c r="I1823" s="37" t="n">
        <f aca="false">Sens!$I$1821*k_B</f>
        <v>11.1972483526393</v>
      </c>
      <c r="J1823" s="37" t="n">
        <f aca="false">Sens!$J$1821*k_B</f>
        <v>11.2731500234653</v>
      </c>
      <c r="K1823" s="37" t="n">
        <f aca="false">Sens!$K$1821*k_B</f>
        <v>11.3050534585724</v>
      </c>
      <c r="L1823" s="37" t="n">
        <f aca="false">Sens!$L$1821*k_B</f>
        <v>11.3192185168503</v>
      </c>
      <c r="M1823" s="37" t="n">
        <f aca="false">Sens!$M$1821*k_B</f>
        <v>11.3229185141234</v>
      </c>
      <c r="N1823" s="14"/>
      <c r="O1823" s="14"/>
      <c r="P1823" s="5" t="s">
        <v>620</v>
      </c>
    </row>
    <row r="1824" customFormat="false" ht="17.15" hidden="false" customHeight="false" outlineLevel="0" collapsed="false">
      <c r="A1824" s="5" t="s">
        <v>621</v>
      </c>
      <c r="B1824" s="0" t="s">
        <v>129</v>
      </c>
      <c r="F1824" s="32" t="n">
        <f aca="false">Sens!$F$1818/2</f>
        <v>908.575</v>
      </c>
      <c r="H1824" s="32" t="n">
        <f aca="false">(Sens!$G$1818+Sens!$H$1818)/2</f>
        <v>3634.3</v>
      </c>
      <c r="I1824" s="32" t="n">
        <f aca="false">(Sens!$H$1818+Sens!$I$1818)/2</f>
        <v>7268.6</v>
      </c>
      <c r="J1824" s="32" t="n">
        <f aca="false">(Sens!$I$1818+Sens!$J$1818)/2</f>
        <v>10902.9</v>
      </c>
      <c r="K1824" s="32" t="n">
        <f aca="false">(Sens!$J$1818+Sens!$K$1818)/2</f>
        <v>14005.4835833333</v>
      </c>
      <c r="L1824" s="32" t="n">
        <f aca="false">(Sens!$K$1818+Sens!$L$1818)/2</f>
        <v>16044.6343333333</v>
      </c>
      <c r="M1824" s="32" t="n">
        <f aca="false">(Sens!$L$1818+Sens!$M$1818)/2</f>
        <v>17020.35225</v>
      </c>
    </row>
    <row r="1825" customFormat="false" ht="17.15" hidden="false" customHeight="false" outlineLevel="0" collapsed="false">
      <c r="A1825" s="1" t="s">
        <v>622</v>
      </c>
    </row>
    <row r="1826" customFormat="false" ht="17.15" hidden="false" customHeight="false" outlineLevel="0" collapsed="false">
      <c r="A1826" s="1" t="s">
        <v>623</v>
      </c>
      <c r="B1826" s="8" t="s">
        <v>86</v>
      </c>
      <c r="C1826" s="38" t="n">
        <f aca="false">Sens!$C$1809*rpm_open*Sens!$C$1810/1000</f>
        <v>2.32100535697364</v>
      </c>
      <c r="D1826" s="38" t="n">
        <f aca="false">Sens!$D$1809*rpm_open*Sens!$D$1810/1000</f>
        <v>8.70377008865116</v>
      </c>
      <c r="E1826" s="38" t="n">
        <f aca="false">Sens!$E$1809*rpm_open*Sens!$E$1810/1000</f>
        <v>8.51035297557002</v>
      </c>
      <c r="F1826" s="38" t="n">
        <f aca="false">(mw_open*rpm_open+Sens!$F$1824*Sens!$F$1823)*Sens!$F$1810/1000</f>
        <v>14.9634336447205</v>
      </c>
      <c r="G1826" s="38" t="n">
        <f aca="false">Sens!$E$1826+Sens!$F$1826</f>
        <v>23.4737866202905</v>
      </c>
      <c r="H1826" s="38" t="n">
        <f aca="false">(mw_open*rpm_open+Sens!$H$1824*Sens!$H$1823)/1000</f>
        <v>60.1658907497746</v>
      </c>
      <c r="I1826" s="38" t="n">
        <f aca="false">(mw_open*rpm_open+Sens!$I$1824*Sens!$I$1823)/1000</f>
        <v>101.503699136432</v>
      </c>
      <c r="J1826" s="38" t="n">
        <f aca="false">(mw_open*rpm_open+Sens!$J$1824*Sens!$J$1823)/1000</f>
        <v>143.025407151278</v>
      </c>
      <c r="K1826" s="38" t="n">
        <f aca="false">(mw_open*rpm_open+Sens!$K$1824*Sens!$K$1823)/1000</f>
        <v>178.44812038318</v>
      </c>
      <c r="L1826" s="38" t="n">
        <f aca="false">(mw_open*rpm_open+Sens!$L$1824*Sens!$L$1823)/1000</f>
        <v>201.728101802396</v>
      </c>
      <c r="M1826" s="38" t="n">
        <f aca="false">(mw_open*rpm_open+Sens!$M$1824*Sens!$M$1823)/1000</f>
        <v>212.835441368865</v>
      </c>
      <c r="N1826" s="38" t="n">
        <f aca="false">Sens!$N$1809*rpm_open*Sens!$N$1810/1000</f>
        <v>3.04631953102791</v>
      </c>
      <c r="O1826" s="38" t="n">
        <f aca="false">Sens!$O$1809*rpm_open*Sens!$O$1810/1000</f>
        <v>5.65745055762326</v>
      </c>
      <c r="P1826" s="5" t="s">
        <v>624</v>
      </c>
    </row>
    <row r="1827" customFormat="false" ht="17.15" hidden="false" customHeight="false" outlineLevel="0" collapsed="false">
      <c r="A1827" s="5" t="s">
        <v>625</v>
      </c>
      <c r="B1827" s="0" t="s">
        <v>173</v>
      </c>
      <c r="C1827" s="36" t="n">
        <f aca="false">Sens!$C$1826*1000/(Sens!$C$1809*Sens!$C$1810)</f>
        <v>9.67085565405685</v>
      </c>
      <c r="D1827" s="36" t="n">
        <f aca="false">Sens!$D$1826*1000/(Sens!$D$1809*Sens!$D$1810)</f>
        <v>9.67085565405685</v>
      </c>
      <c r="E1827" s="36" t="n">
        <f aca="false">Sens!$E$1826*1000/(Sens!$E$1809*Sens!$E$1810)</f>
        <v>9.67085565405685</v>
      </c>
      <c r="F1827" s="36" t="n">
        <f aca="false">Sens!$F$1826*1000/(Sens!$F$1809*Sens!$F$1810)</f>
        <v>10.0137581588017</v>
      </c>
      <c r="G1827" s="36" t="n">
        <f aca="false">Sens!$G$1826*1000/(Sens!$G$1809*Sens!$G$1810)</f>
        <v>9.88666562928478</v>
      </c>
      <c r="H1827" s="36" t="n">
        <f aca="false">Sens!$H$1826*1000/(Sens!$H$1809*Sens!$H$1810)</f>
        <v>10.5290045586992</v>
      </c>
      <c r="I1827" s="36" t="n">
        <f aca="false">Sens!$I$1826*1000/(Sens!$I$1809*Sens!$I$1810)</f>
        <v>10.8576363451674</v>
      </c>
      <c r="J1827" s="36" t="n">
        <f aca="false">Sens!$J$1826*1000/(Sens!$J$1809*Sens!$J$1810)</f>
        <v>11.0164452588619</v>
      </c>
      <c r="K1827" s="36" t="n">
        <f aca="false">Sens!$K$1826*1000/(Sens!$K$1809*Sens!$K$1810)</f>
        <v>11.0937367508227</v>
      </c>
      <c r="L1827" s="36" t="n">
        <f aca="false">Sens!$L$1826*1000/(Sens!$L$1809*Sens!$L$1810)</f>
        <v>11.1300508519168</v>
      </c>
      <c r="M1827" s="36" t="n">
        <f aca="false">Sens!$M$1826*1000/(Sens!$M$1809*Sens!$M$1810)</f>
        <v>11.1430113216297</v>
      </c>
      <c r="N1827" s="36" t="n">
        <f aca="false">Sens!$N$1826*1000/(Sens!$N$1809*Sens!$N$1810)</f>
        <v>9.67085565405685</v>
      </c>
      <c r="O1827" s="36" t="n">
        <f aca="false">Sens!$O$1826*1000/(Sens!$O$1809*Sens!$O$1810)</f>
        <v>9.67085565405685</v>
      </c>
    </row>
    <row r="1828" customFormat="false" ht="17.15" hidden="false" customHeight="false" outlineLevel="0" collapsed="false">
      <c r="A1828" s="0" t="s">
        <v>626</v>
      </c>
      <c r="B1828" s="0" t="s">
        <v>86</v>
      </c>
      <c r="C1828" s="38" t="n">
        <f aca="false">Sens!$C$1809/ext_sh*(ox_open+rent_mw)*Sens!$C$1810/1000</f>
        <v>0.642569210675032</v>
      </c>
      <c r="D1828" s="38" t="n">
        <f aca="false">Sens!$D$1809/ext_sh*(ox_open+rent_mw)*Sens!$D$1810/1000</f>
        <v>2.40963454003137</v>
      </c>
      <c r="E1828" s="38" t="n">
        <f aca="false">Sens!$E$1809/ext_sh*(ox_open+rent_mw)*Sens!$E$1810/1000</f>
        <v>2.35608710580845</v>
      </c>
      <c r="F1828" s="38" t="n">
        <f aca="false">((mw_open*ox_open+Sens!$F$1824*Sens!$F$1822)/ext_sh+Sens!$F$1809/ext_sh*rent_mw)*Sens!$F$1810/1000</f>
        <v>4.05421991106232</v>
      </c>
      <c r="G1828" s="38" t="n">
        <f aca="false">Sens!$E$1828+Sens!$F$1828</f>
        <v>6.41030701687077</v>
      </c>
      <c r="H1828" s="38" t="n">
        <f aca="false">((mw_open*ox_open+Sens!$H$1824*Sens!$H$1822)/ext_sh+Sens!$H$1809/ext_sh*rent_mw)*Sens!$H$1810/1000</f>
        <v>15.8108975546616</v>
      </c>
      <c r="I1828" s="38" t="n">
        <f aca="false">((mw_open*ox_open+Sens!$I$1824*Sens!$I$1822)/ext_sh+Sens!$I$1809/ext_sh*rent_mw)*Sens!$I$1810/1000</f>
        <v>26.1871623400817</v>
      </c>
      <c r="J1828" s="38" t="n">
        <f aca="false">((mw_open*ox_open+Sens!$J$1824*Sens!$J$1822)/ext_sh+Sens!$J$1809/ext_sh*rent_mw)*Sens!$J$1810/1000</f>
        <v>36.5826128954935</v>
      </c>
      <c r="K1828" s="38" t="n">
        <f aca="false">((mw_open*ox_open+Sens!$K$1824*Sens!$K$1822)/ext_sh+Sens!$K$1809/ext_sh*rent_mw)*Sens!$K$1810/1000</f>
        <v>45.4546361137628</v>
      </c>
      <c r="L1828" s="38" t="n">
        <f aca="false">((mw_open*ox_open+Sens!$L$1824*Sens!$L$1822)/ext_sh+Sens!$L$1809/ext_sh*rent_mw)*Sens!$L$1810/1000</f>
        <v>51.2855695554452</v>
      </c>
      <c r="M1828" s="38" t="n">
        <f aca="false">((mw_open*ox_open+Sens!$M$1824*Sens!$M$1822)/ext_sh+Sens!$M$1809/ext_sh*rent_mw)*Sens!$M$1810/1000</f>
        <v>54.0722927838398</v>
      </c>
      <c r="N1828" s="38" t="n">
        <f aca="false">Sens!$N$1809/ext_sh*(ox_open+rent_mw)*Sens!$N$1810/1000</f>
        <v>0.84337208901098</v>
      </c>
      <c r="O1828" s="38" t="n">
        <f aca="false">Sens!$O$1809/ext_sh*(ox_open+rent_mw)*Sens!$O$1810/1000</f>
        <v>1.56626245102039</v>
      </c>
    </row>
    <row r="1829" customFormat="false" ht="17.15" hidden="false" customHeight="false" outlineLevel="0" collapsed="false">
      <c r="A1829" s="0" t="s">
        <v>627</v>
      </c>
      <c r="B1829" s="0" t="s">
        <v>86</v>
      </c>
      <c r="C1829" s="38" t="n">
        <f aca="false">Q!$D$7</f>
        <v>107.556</v>
      </c>
      <c r="D1829" s="38" t="n">
        <f aca="false">Q!$E$7</f>
        <v>128.725</v>
      </c>
      <c r="E1829" s="38" t="n">
        <f aca="false">Q!$P$7</f>
        <v>79.819</v>
      </c>
      <c r="N1829" s="38" t="n">
        <f aca="false">Q!$N$7</f>
        <v>60.14</v>
      </c>
      <c r="O1829" s="38" t="n">
        <f aca="false">Q!$O$7</f>
        <v>68.585</v>
      </c>
    </row>
    <row r="1830" customFormat="false" ht="17.15" hidden="false" customHeight="false" outlineLevel="0" collapsed="false">
      <c r="A1830" s="1" t="s">
        <v>628</v>
      </c>
      <c r="B1830" s="8" t="s">
        <v>86</v>
      </c>
      <c r="C1830" s="38" t="n">
        <f aca="false">Sens!$C$1829-Sens!$C$1826</f>
        <v>105.234994643026</v>
      </c>
      <c r="D1830" s="38" t="n">
        <f aca="false">Sens!$D$1829-Sens!$D$1826</f>
        <v>120.021229911349</v>
      </c>
      <c r="E1830" s="38" t="n">
        <f aca="false">Sens!$E$1829-Sens!$E$1826</f>
        <v>71.30864702443</v>
      </c>
      <c r="F1830" s="38" t="n">
        <f aca="false">Sens!$O$1830*(1+Sens!$F$1831)</f>
        <v>71.7692997942464</v>
      </c>
      <c r="G1830" s="38" t="n">
        <f aca="false">Sens!$E$1830+Sens!$F$1830</f>
        <v>143.077946818676</v>
      </c>
      <c r="H1830" s="38" t="n">
        <f aca="false">Sens!$G$1830*(1+Sens!$H$1831)</f>
        <v>161.017077079203</v>
      </c>
      <c r="I1830" s="38" t="n">
        <f aca="false">Sens!$H$1830*(1+Sens!$I$1831)</f>
        <v>178.769759521457</v>
      </c>
      <c r="J1830" s="38" t="n">
        <f aca="false">Sens!$I$1830*(1+Sens!$J$1831)</f>
        <v>195.775538045907</v>
      </c>
      <c r="K1830" s="38" t="n">
        <f aca="false">Sens!$J$1830*(1+Sens!$K$1831)</f>
        <v>211.43758108958</v>
      </c>
      <c r="L1830" s="38" t="n">
        <f aca="false">Sens!$K$1830*(1+Sens!$L$1831)</f>
        <v>228.352587576746</v>
      </c>
      <c r="M1830" s="38" t="n">
        <f aca="false">Sens!$L$1830*(1+Sens!$M$1831)</f>
        <v>246.620794582886</v>
      </c>
      <c r="N1830" s="38" t="n">
        <f aca="false">Sens!$N$1829-Sens!$N$1826</f>
        <v>57.0936804689721</v>
      </c>
      <c r="O1830" s="38" t="n">
        <f aca="false">Sens!$O$1829-Sens!$O$1826</f>
        <v>62.9275494423768</v>
      </c>
      <c r="P1830" s="5" t="s">
        <v>629</v>
      </c>
    </row>
    <row r="1831" customFormat="false" ht="17.15" hidden="false" customHeight="false" outlineLevel="0" collapsed="false">
      <c r="A1831" s="0" t="s">
        <v>630</v>
      </c>
      <c r="B1831" s="0" t="s">
        <v>52</v>
      </c>
      <c r="D1831" s="13" t="n">
        <f aca="false">Sens!$D$1830/Sens!$C$1830-1</f>
        <v>0.140506827776062</v>
      </c>
      <c r="E1831" s="13" t="n">
        <f aca="false">Sens!$E$1830/Sens!$N$1830-1</f>
        <v>0.248976181579029</v>
      </c>
      <c r="F1831" s="13" t="n">
        <f aca="false">Sens!$D$1831</f>
        <v>0.140506827776062</v>
      </c>
      <c r="G1831" s="13" t="n">
        <f aca="false">Sens!$G$1830/Sens!$D$1830-1</f>
        <v>0.19210532106993</v>
      </c>
      <c r="H1831" s="13" t="n">
        <f aca="false">Sens!$F$1831+(g_awso_lt-Sens!$F$1831)*1/4</f>
        <v>0.125380120832046</v>
      </c>
      <c r="I1831" s="13" t="n">
        <f aca="false">Sens!$F$1831+(g_awso_lt-Sens!$F$1831)*2/4</f>
        <v>0.110253413888031</v>
      </c>
      <c r="J1831" s="13" t="n">
        <f aca="false">Sens!$F$1831+(g_awso_lt-Sens!$F$1831)*3/4</f>
        <v>0.0951267069440154</v>
      </c>
      <c r="K1831" s="13" t="n">
        <f aca="false">Sens!$F$1831+(g_awso_lt-Sens!$F$1831)*4/4</f>
        <v>0.08</v>
      </c>
      <c r="L1831" s="13" t="n">
        <f aca="false">g_awso_lt</f>
        <v>0.08</v>
      </c>
      <c r="M1831" s="13" t="n">
        <f aca="false">g_awso_lt</f>
        <v>0.08</v>
      </c>
      <c r="P1831" s="5" t="s">
        <v>631</v>
      </c>
    </row>
    <row r="1832" customFormat="false" ht="17.15" hidden="false" customHeight="false" outlineLevel="0" collapsed="false">
      <c r="A1832" s="1" t="s">
        <v>632</v>
      </c>
    </row>
    <row r="1833" customFormat="false" ht="17.15" hidden="false" customHeight="false" outlineLevel="0" collapsed="false">
      <c r="A1833" s="0" t="s">
        <v>633</v>
      </c>
      <c r="B1833" s="0" t="s">
        <v>86</v>
      </c>
      <c r="F1833" s="38" t="n">
        <f aca="false">cx_rt*Sens!$F$1798+cx_awso*Sens!$F$1830</f>
        <v>34.9734495387866</v>
      </c>
    </row>
    <row r="1834" customFormat="false" ht="17.15" hidden="false" customHeight="false" outlineLevel="0" collapsed="false">
      <c r="A1834" s="0" t="s">
        <v>634</v>
      </c>
      <c r="B1834" s="0" t="s">
        <v>52</v>
      </c>
      <c r="C1834" s="13" t="n">
        <f aca="false">tk_cx_h100/(tk_cx_h100+tk_fac*(1-colo_sh))</f>
        <v>0.730756458006641</v>
      </c>
      <c r="D1834" s="13" t="n">
        <f aca="false">tk_cx_h100/(tk_cx_h100+tk_fac*(1-colo_sh))</f>
        <v>0.730756458006641</v>
      </c>
      <c r="E1834" s="13" t="n">
        <f aca="false">Sens!$F$1834</f>
        <v>0.760792334328868</v>
      </c>
      <c r="F1834" s="13" t="n">
        <f aca="false">Sens!$F$1817/(Sens!$F$1817+tk_fac*(1-colo_sh))</f>
        <v>0.760792334328868</v>
      </c>
      <c r="G1834" s="13" t="n">
        <f aca="false">Sens!$G$1817/(Sens!$G$1817+tk_fac*(1-colo_sh))</f>
        <v>0.760792334328868</v>
      </c>
      <c r="H1834" s="13" t="n">
        <f aca="false">Sens!$H$1817/(Sens!$H$1817+tk_fac*(1-colo_sh))</f>
        <v>0.768110668862996</v>
      </c>
      <c r="I1834" s="13" t="n">
        <f aca="false">Sens!$I$1817/(Sens!$I$1817+tk_fac*(1-colo_sh))</f>
        <v>0.77499450139483</v>
      </c>
      <c r="J1834" s="13" t="n">
        <f aca="false">Sens!$J$1817/(Sens!$J$1817+tk_fac*(1-colo_sh))</f>
        <v>0.77499450139483</v>
      </c>
      <c r="K1834" s="13" t="n">
        <f aca="false">Sens!$K$1817/(Sens!$K$1817+tk_fac*(1-colo_sh))</f>
        <v>0.77499450139483</v>
      </c>
      <c r="L1834" s="13" t="n">
        <f aca="false">Sens!$L$1817/(Sens!$L$1817+tk_fac*(1-colo_sh))</f>
        <v>0.77499450139483</v>
      </c>
      <c r="M1834" s="13" t="n">
        <f aca="false">Sens!$M$1817/(Sens!$M$1817+tk_fac*(1-colo_sh))</f>
        <v>0.77499450139483</v>
      </c>
    </row>
    <row r="1835" customFormat="false" ht="17.15" hidden="false" customHeight="false" outlineLevel="0" collapsed="false">
      <c r="A1835" s="1" t="s">
        <v>635</v>
      </c>
      <c r="B1835" s="8" t="s">
        <v>86</v>
      </c>
      <c r="C1835" s="38" t="n">
        <f aca="false">Q!$D$46-cx_rt*Q!$D$16-cx_awso*Sens!$C$1830</f>
        <v>25.2781053077374</v>
      </c>
      <c r="D1835" s="38" t="n">
        <f aca="false">Q!$E$46-cx_rt*Q!$E$16-cx_awso*Sens!$D$1830</f>
        <v>69.5686316310026</v>
      </c>
      <c r="E1835" s="38" t="n">
        <f aca="false">Q!$P$46-cx_rt*Q!$P$16-cx_awso*Sens!$E$1830</f>
        <v>64.1899206485108</v>
      </c>
      <c r="F1835" s="38" t="n">
        <f aca="false">capex_g26-Q!$P$46-Sens!$F$1833</f>
        <v>88.7165504612134</v>
      </c>
      <c r="G1835" s="38" t="n">
        <f aca="false">Sens!$E$1835+Sens!$F$1835</f>
        <v>152.906471109724</v>
      </c>
      <c r="H1835" s="38" t="n">
        <f aca="false">Sens!$H$1812*(Sens!$H$1817+tk_fac*(1-colo_sh))/1000+Sens!$H$1836</f>
        <v>198.57136494475</v>
      </c>
      <c r="I1835" s="38" t="n">
        <f aca="false">Sens!$I$1812*(Sens!$I$1817+tk_fac*(1-colo_sh))/1000+Sens!$I$1836</f>
        <v>209.8832381105</v>
      </c>
      <c r="J1835" s="38" t="n">
        <f aca="false">Sens!$J$1812*(Sens!$J$1817+tk_fac*(1-colo_sh))/1000+Sens!$J$1836</f>
        <v>215.1200063105</v>
      </c>
      <c r="K1835" s="38" t="n">
        <f aca="false">Sens!$K$1812*(Sens!$K$1817+tk_fac*(1-colo_sh))/1000+Sens!$K$1836</f>
        <v>191.895762675201</v>
      </c>
      <c r="L1835" s="38" t="n">
        <f aca="false">Sens!$L$1812*(Sens!$L$1817+tk_fac*(1-colo_sh))/1000+Sens!$L$1836</f>
        <v>192.112602695152</v>
      </c>
      <c r="M1835" s="38" t="n">
        <f aca="false">Sens!$M$1812*(Sens!$M$1817+tk_fac*(1-colo_sh))/1000+Sens!$M$1836</f>
        <v>183.601495715103</v>
      </c>
      <c r="P1835" s="5" t="s">
        <v>636</v>
      </c>
      <c r="R1835" s="38" t="n">
        <f aca="false">Q!$C$46-cx_rt*Q!$C$16-cx_awso*(Q!$C$7-mw_ye23/2*rpm_open/1000)</f>
        <v>1.50429979529945</v>
      </c>
      <c r="S1835" s="38" t="n">
        <f aca="false">Sens!$C$1835</f>
        <v>25.2781053077374</v>
      </c>
      <c r="T1835" s="38" t="n">
        <f aca="false">Sens!$D$1835</f>
        <v>69.5686316310026</v>
      </c>
      <c r="U1835" s="38" t="n">
        <f aca="false">Sens!$G$1835</f>
        <v>152.906471109724</v>
      </c>
      <c r="V1835" s="38" t="n">
        <f aca="false">Sens!$H$1835</f>
        <v>198.57136494475</v>
      </c>
      <c r="W1835" s="38" t="n">
        <f aca="false">Sens!$I$1835</f>
        <v>209.8832381105</v>
      </c>
      <c r="X1835" s="38" t="n">
        <f aca="false">Sens!$J$1835</f>
        <v>215.1200063105</v>
      </c>
      <c r="Y1835" s="38" t="n">
        <f aca="false">Sens!$K$1835</f>
        <v>191.895762675201</v>
      </c>
      <c r="Z1835" s="38" t="n">
        <f aca="false">Sens!$L$1835</f>
        <v>192.112602695152</v>
      </c>
      <c r="AA1835" s="38" t="n">
        <f aca="false">Sens!$M$1835</f>
        <v>183.601495715103</v>
      </c>
    </row>
    <row r="1836" customFormat="false" ht="17.15" hidden="false" customHeight="false" outlineLevel="0" collapsed="false">
      <c r="A1836" s="0" t="s">
        <v>637</v>
      </c>
      <c r="B1836" s="0" t="s">
        <v>86</v>
      </c>
      <c r="H1836" s="38" t="n">
        <f aca="false">SUMPRODUCT(--(Sens!$R$1805:$AA$1805=2027-tk_life_lo),Sens!$R$1812:$AA$1812)*Sens!$H$1817/1000</f>
        <v>0</v>
      </c>
      <c r="I1836" s="38" t="n">
        <f aca="false">SUMPRODUCT(--(Sens!$R$1805:$AA$1805=2028-tk_life_lo),Sens!$R$1812:$AA$1812)*Sens!$I$1817/1000</f>
        <v>5.2367682</v>
      </c>
      <c r="J1836" s="38" t="n">
        <f aca="false">SUMPRODUCT(--(Sens!$R$1805:$AA$1805=2029-tk_life_lo),Sens!$R$1812:$AA$1812)*Sens!$J$1817/1000</f>
        <v>10.4735364</v>
      </c>
      <c r="K1836" s="38" t="n">
        <f aca="false">SUMPRODUCT(--(Sens!$R$1805:$AA$1805=2030-tk_life_lo),Sens!$R$1812:$AA$1812)*Sens!$K$1817/1000</f>
        <v>47.1309138</v>
      </c>
      <c r="L1836" s="38" t="n">
        <f aca="false">SUMPRODUCT(--(Sens!$R$1805:$AA$1805=2031-tk_life_lo),Sens!$R$1812:$AA$1812)*Sens!$L$1817/1000</f>
        <v>107.22937485525</v>
      </c>
      <c r="M1836" s="38" t="n">
        <f aca="false">SUMPRODUCT(--(Sens!$R$1805:$AA$1805=2032-tk_life_lo),Sens!$R$1812:$AA$1812)*Sens!$M$1817/1000</f>
        <v>158.5998889105</v>
      </c>
    </row>
    <row r="1837" customFormat="false" ht="17.15" hidden="false" customHeight="false" outlineLevel="0" collapsed="false">
      <c r="A1837" s="0" t="s">
        <v>638</v>
      </c>
      <c r="B1837" s="0" t="s">
        <v>86</v>
      </c>
      <c r="C1837" s="38" t="n">
        <f aca="false">MIN(Sens!$C$1835,Sens!$C$1812*(tk_cx_h100+tk_fac*(1-colo_sh))/1000)</f>
        <v>11.2938642</v>
      </c>
      <c r="D1837" s="38" t="n">
        <f aca="false">MIN(Sens!$D$1835,Sens!$D$1812*(tk_cx_h100+tk_fac*(1-colo_sh))/1000)</f>
        <v>50.8223889</v>
      </c>
      <c r="E1837" s="38" t="n">
        <f aca="false">MIN(Sens!$E$1835,Sens!$E$1812*(Sens!$F$1817+tk_fac*(1-colo_sh))/1000)</f>
        <v>33.8985792</v>
      </c>
      <c r="F1837" s="38" t="n">
        <f aca="false">Sens!$F$1835</f>
        <v>88.7165504612134</v>
      </c>
      <c r="G1837" s="38" t="n">
        <f aca="false">Sens!$E$1837+Sens!$F$1837</f>
        <v>122.615129661213</v>
      </c>
      <c r="H1837" s="38" t="n">
        <f aca="false">Sens!$H$1835</f>
        <v>198.57136494475</v>
      </c>
      <c r="I1837" s="38" t="n">
        <f aca="false">Sens!$I$1835</f>
        <v>209.8832381105</v>
      </c>
      <c r="J1837" s="38" t="n">
        <f aca="false">Sens!$J$1835</f>
        <v>215.1200063105</v>
      </c>
      <c r="K1837" s="38" t="n">
        <f aca="false">Sens!$K$1835</f>
        <v>191.895762675201</v>
      </c>
      <c r="L1837" s="38" t="n">
        <f aca="false">Sens!$L$1835</f>
        <v>192.112602695152</v>
      </c>
      <c r="M1837" s="38" t="n">
        <f aca="false">Sens!$M$1835</f>
        <v>183.601495715103</v>
      </c>
      <c r="P1837" s="5" t="s">
        <v>639</v>
      </c>
      <c r="R1837" s="38" t="n">
        <f aca="false">MIN(Sens!$R$1835,Sens!$R$1812*(tk_cx_h100+tk_fac*(1-colo_sh))/1000)</f>
        <v>1.50429979529945</v>
      </c>
      <c r="S1837" s="38" t="n">
        <f aca="false">Sens!$C$1837</f>
        <v>11.2938642</v>
      </c>
      <c r="T1837" s="38" t="n">
        <f aca="false">Sens!$D$1837</f>
        <v>50.8223889</v>
      </c>
      <c r="U1837" s="38" t="n">
        <f aca="false">Sens!$G$1837</f>
        <v>122.615129661213</v>
      </c>
      <c r="V1837" s="38" t="n">
        <f aca="false">Sens!$H$1837</f>
        <v>198.57136494475</v>
      </c>
      <c r="W1837" s="38" t="n">
        <f aca="false">Sens!$I$1837</f>
        <v>209.8832381105</v>
      </c>
      <c r="X1837" s="38" t="n">
        <f aca="false">Sens!$J$1837</f>
        <v>215.1200063105</v>
      </c>
      <c r="Y1837" s="38" t="n">
        <f aca="false">Sens!$K$1837</f>
        <v>191.895762675201</v>
      </c>
      <c r="Z1837" s="38" t="n">
        <f aca="false">Sens!$L$1837</f>
        <v>192.112602695152</v>
      </c>
      <c r="AA1837" s="38" t="n">
        <f aca="false">Sens!$M$1837</f>
        <v>183.601495715103</v>
      </c>
    </row>
    <row r="1838" customFormat="false" ht="17.15" hidden="false" customHeight="false" outlineLevel="0" collapsed="false">
      <c r="A1838" s="5" t="s">
        <v>640</v>
      </c>
      <c r="B1838" s="0" t="s">
        <v>86</v>
      </c>
      <c r="C1838" s="38" t="n">
        <f aca="false">Sens!$C$1835-Sens!$C$1837</f>
        <v>13.9842411077374</v>
      </c>
      <c r="D1838" s="38" t="n">
        <f aca="false">Sens!$D$1835-Sens!$D$1837</f>
        <v>18.7462427310026</v>
      </c>
      <c r="E1838" s="38" t="n">
        <f aca="false">Sens!$E$1835-Sens!$E$1837</f>
        <v>30.2913414485108</v>
      </c>
      <c r="F1838" s="38" t="n">
        <f aca="false">Sens!$F$1835-Sens!$F$1837</f>
        <v>0</v>
      </c>
      <c r="G1838" s="38" t="n">
        <f aca="false">Sens!$G$1835-Sens!$G$1837</f>
        <v>30.2913414485108</v>
      </c>
      <c r="H1838" s="38" t="n">
        <f aca="false">Sens!$H$1835-Sens!$H$1837</f>
        <v>0</v>
      </c>
      <c r="I1838" s="38" t="n">
        <f aca="false">Sens!$I$1835-Sens!$I$1837</f>
        <v>0</v>
      </c>
      <c r="J1838" s="38" t="n">
        <f aca="false">Sens!$J$1835-Sens!$J$1837</f>
        <v>0</v>
      </c>
      <c r="K1838" s="38" t="n">
        <f aca="false">Sens!$K$1835-Sens!$K$1837</f>
        <v>0</v>
      </c>
      <c r="L1838" s="38" t="n">
        <f aca="false">Sens!$L$1835-Sens!$L$1837</f>
        <v>0</v>
      </c>
      <c r="M1838" s="38" t="n">
        <f aca="false">Sens!$M$1835-Sens!$M$1837</f>
        <v>0</v>
      </c>
      <c r="P1838" s="5" t="s">
        <v>641</v>
      </c>
      <c r="R1838" s="38" t="n">
        <f aca="false">Sens!$R$1835-Sens!$R$1837</f>
        <v>0</v>
      </c>
      <c r="S1838" s="38" t="n">
        <f aca="false">Sens!$S$1835-Sens!$S$1837</f>
        <v>13.9842411077374</v>
      </c>
      <c r="T1838" s="38" t="n">
        <f aca="false">Sens!$T$1835-Sens!$T$1837</f>
        <v>18.7462427310026</v>
      </c>
      <c r="U1838" s="38" t="n">
        <f aca="false">Sens!$U$1835-Sens!$U$1837</f>
        <v>30.2913414485108</v>
      </c>
      <c r="V1838" s="38" t="n">
        <f aca="false">Sens!$V$1835-Sens!$V$1837</f>
        <v>0</v>
      </c>
      <c r="W1838" s="38" t="n">
        <f aca="false">Sens!$W$1835-Sens!$W$1837</f>
        <v>0</v>
      </c>
      <c r="X1838" s="38" t="n">
        <f aca="false">Sens!$X$1835-Sens!$X$1837</f>
        <v>0</v>
      </c>
      <c r="Y1838" s="38" t="n">
        <f aca="false">Sens!$Y$1835-Sens!$Y$1837</f>
        <v>0</v>
      </c>
      <c r="Z1838" s="38" t="n">
        <f aca="false">Sens!$Z$1835-Sens!$Z$1837</f>
        <v>0</v>
      </c>
      <c r="AA1838" s="38" t="n">
        <f aca="false">Sens!$AA$1835-Sens!$AA$1837</f>
        <v>0</v>
      </c>
    </row>
    <row r="1839" customFormat="false" ht="17.15" hidden="false" customHeight="false" outlineLevel="0" collapsed="false">
      <c r="A1839" s="5" t="s">
        <v>642</v>
      </c>
      <c r="B1839" s="0" t="s">
        <v>86</v>
      </c>
      <c r="R1839" s="38" t="n">
        <f aca="false">Sens!$R$1838*Sens!$C$1834</f>
        <v>0</v>
      </c>
      <c r="S1839" s="38" t="n">
        <f aca="false">Sens!$S$1838*Sens!$C$1834</f>
        <v>10.219074499801</v>
      </c>
      <c r="T1839" s="38" t="n">
        <f aca="false">Sens!$T$1838*Sens!$C$1834</f>
        <v>13.6989379390402</v>
      </c>
      <c r="U1839" s="38" t="n">
        <f aca="false">Sens!$U$1838*Sens!$E$1834</f>
        <v>23.0454203705653</v>
      </c>
      <c r="V1839" s="38" t="n">
        <f aca="false">Sens!$V$1838*Sens!$E$1834</f>
        <v>0</v>
      </c>
      <c r="W1839" s="38" t="n">
        <f aca="false">Sens!$W$1838*Sens!$E$1834</f>
        <v>0</v>
      </c>
      <c r="X1839" s="38" t="n">
        <f aca="false">Sens!$X$1838*Sens!$E$1834</f>
        <v>0</v>
      </c>
      <c r="Y1839" s="38" t="n">
        <f aca="false">Sens!$Y$1838*Sens!$E$1834</f>
        <v>0</v>
      </c>
      <c r="Z1839" s="38" t="n">
        <f aca="false">Sens!$Z$1838*Sens!$E$1834</f>
        <v>0</v>
      </c>
      <c r="AA1839" s="38" t="n">
        <f aca="false">Sens!$AA$1838*Sens!$E$1834</f>
        <v>0</v>
      </c>
    </row>
    <row r="1840" customFormat="false" ht="17.15" hidden="false" customHeight="false" outlineLevel="0" collapsed="false">
      <c r="A1840" s="5" t="s">
        <v>643</v>
      </c>
      <c r="B1840" s="0" t="s">
        <v>86</v>
      </c>
      <c r="R1840" s="38" t="n">
        <f aca="false">SUMPRODUCT(--(Sens!$R$1805:$AA$1805=2023-cip_lag),Sens!$R$1839:$AA$1839)</f>
        <v>0</v>
      </c>
      <c r="S1840" s="38" t="n">
        <f aca="false">SUMPRODUCT(--(Sens!$R$1805:$AA$1805=2024-cip_lag),Sens!$R$1839:$AA$1839)</f>
        <v>0</v>
      </c>
      <c r="T1840" s="38" t="n">
        <f aca="false">SUMPRODUCT(--(Sens!$R$1805:$AA$1805=2025-cip_lag),Sens!$R$1839:$AA$1839)</f>
        <v>10.219074499801</v>
      </c>
      <c r="U1840" s="38" t="n">
        <f aca="false">SUMPRODUCT(--(Sens!$R$1805:$AA$1805=2026-cip_lag),Sens!$R$1839:$AA$1839)</f>
        <v>13.6989379390402</v>
      </c>
      <c r="V1840" s="38" t="n">
        <f aca="false">SUMPRODUCT(--(Sens!$R$1805:$AA$1805=2027-cip_lag),Sens!$R$1839:$AA$1839)</f>
        <v>23.0454203705653</v>
      </c>
      <c r="W1840" s="38" t="n">
        <f aca="false">SUMPRODUCT(--(Sens!$R$1805:$AA$1805=2028-cip_lag),Sens!$R$1839:$AA$1839)</f>
        <v>0</v>
      </c>
      <c r="X1840" s="38" t="n">
        <f aca="false">SUMPRODUCT(--(Sens!$R$1805:$AA$1805=2029-cip_lag),Sens!$R$1839:$AA$1839)</f>
        <v>0</v>
      </c>
      <c r="Y1840" s="38" t="n">
        <f aca="false">SUMPRODUCT(--(Sens!$R$1805:$AA$1805=2030-cip_lag),Sens!$R$1839:$AA$1839)</f>
        <v>0</v>
      </c>
      <c r="Z1840" s="38" t="n">
        <f aca="false">SUMPRODUCT(--(Sens!$R$1805:$AA$1805=2031-cip_lag),Sens!$R$1839:$AA$1839)</f>
        <v>0</v>
      </c>
      <c r="AA1840" s="38" t="n">
        <f aca="false">SUMPRODUCT(--(Sens!$R$1805:$AA$1805=2032-cip_lag),Sens!$R$1839:$AA$1839)</f>
        <v>0</v>
      </c>
    </row>
    <row r="1841" customFormat="false" ht="15" hidden="false" customHeight="false" outlineLevel="0" collapsed="false">
      <c r="A1841" s="5" t="s">
        <v>644</v>
      </c>
      <c r="B1841" s="0" t="s">
        <v>86</v>
      </c>
      <c r="R1841" s="38" t="n">
        <f aca="false">SUMPRODUCT(--(Sens!$R$1805:$AA$1805=2023-cip_lag),Sens!$R$1838:$AA$1838)-Sens!$R$1840</f>
        <v>0</v>
      </c>
      <c r="S1841" s="38" t="n">
        <f aca="false">SUMPRODUCT(--(Sens!$R$1805:$AA$1805=2024-cip_lag),Sens!$R$1838:$AA$1838)-Sens!$S$1840</f>
        <v>0</v>
      </c>
      <c r="T1841" s="38" t="n">
        <f aca="false">SUMPRODUCT(--(Sens!$R$1805:$AA$1805=2025-cip_lag),Sens!$R$1838:$AA$1838)-Sens!$T$1840</f>
        <v>3.76516660793636</v>
      </c>
      <c r="U1841" s="38" t="n">
        <f aca="false">SUMPRODUCT(--(Sens!$R$1805:$AA$1805=2026-cip_lag),Sens!$R$1838:$AA$1838)-Sens!$U$1840</f>
        <v>5.04730479196242</v>
      </c>
      <c r="V1841" s="38" t="n">
        <f aca="false">SUMPRODUCT(--(Sens!$R$1805:$AA$1805=2027-cip_lag),Sens!$R$1838:$AA$1838)-Sens!$V$1840</f>
        <v>7.24592107794548</v>
      </c>
      <c r="W1841" s="38" t="n">
        <f aca="false">SUMPRODUCT(--(Sens!$R$1805:$AA$1805=2028-cip_lag),Sens!$R$1838:$AA$1838)-Sens!$W$1840</f>
        <v>0</v>
      </c>
      <c r="X1841" s="38" t="n">
        <f aca="false">SUMPRODUCT(--(Sens!$R$1805:$AA$1805=2029-cip_lag),Sens!$R$1838:$AA$1838)-Sens!$X$1840</f>
        <v>0</v>
      </c>
      <c r="Y1841" s="38" t="n">
        <f aca="false">SUMPRODUCT(--(Sens!$R$1805:$AA$1805=2030-cip_lag),Sens!$R$1838:$AA$1838)-Sens!$Y$1840</f>
        <v>0</v>
      </c>
      <c r="Z1841" s="38" t="n">
        <f aca="false">SUMPRODUCT(--(Sens!$R$1805:$AA$1805=2031-cip_lag),Sens!$R$1838:$AA$1838)-Sens!$Z$1840</f>
        <v>0</v>
      </c>
      <c r="AA1841" s="38" t="n">
        <f aca="false">SUMPRODUCT(--(Sens!$R$1805:$AA$1805=2032-cip_lag),Sens!$R$1838:$AA$1838)-Sens!$AA$1840</f>
        <v>0</v>
      </c>
    </row>
    <row r="1842" customFormat="false" ht="17.15" hidden="false" customHeight="false" outlineLevel="0" collapsed="false">
      <c r="A1842" s="5" t="s">
        <v>645</v>
      </c>
      <c r="B1842" s="0" t="s">
        <v>86</v>
      </c>
      <c r="C1842" s="38" t="n">
        <f aca="false">Sens!$C$1837*Sens!$C$1834</f>
        <v>8.2530642</v>
      </c>
      <c r="D1842" s="38" t="n">
        <f aca="false">Sens!$D$1837*Sens!$D$1834</f>
        <v>37.1387889</v>
      </c>
      <c r="E1842" s="38" t="n">
        <f aca="false">Sens!$E$1837*Sens!$E$1834</f>
        <v>25.7897792</v>
      </c>
      <c r="F1842" s="38" t="n">
        <f aca="false">Sens!$F$1837*Sens!$F$1834</f>
        <v>67.4948715189913</v>
      </c>
      <c r="G1842" s="38" t="n">
        <f aca="false">Sens!$E$1842+Sens!$F$1842</f>
        <v>93.2846507189913</v>
      </c>
      <c r="H1842" s="38" t="n">
        <f aca="false">(Sens!$H$1837-Sens!$H$1836)*Sens!$H$1834+Sens!$H$1836</f>
        <v>152.52478394475</v>
      </c>
      <c r="I1842" s="38" t="n">
        <f aca="false">(Sens!$I$1837-Sens!$I$1836)*Sens!$I$1834+Sens!$I$1836</f>
        <v>163.8366571105</v>
      </c>
      <c r="J1842" s="38" t="n">
        <f aca="false">(Sens!$J$1837-Sens!$J$1836)*Sens!$J$1834+Sens!$J$1836</f>
        <v>169.0734253105</v>
      </c>
      <c r="K1842" s="38" t="n">
        <f aca="false">(Sens!$K$1837-Sens!$K$1836)*Sens!$K$1834+Sens!$K$1836</f>
        <v>159.322875673534</v>
      </c>
      <c r="L1842" s="38" t="n">
        <f aca="false">(Sens!$L$1837-Sens!$L$1836)*Sens!$L$1834+Sens!$L$1836</f>
        <v>173.013409691818</v>
      </c>
      <c r="M1842" s="38" t="n">
        <f aca="false">(Sens!$M$1837-Sens!$M$1836)*Sens!$M$1834+Sens!$M$1836</f>
        <v>177.975996710103</v>
      </c>
      <c r="R1842" s="38" t="n">
        <f aca="false">Sens!$R$1837*Sens!$C$1834</f>
        <v>1.09927679019314</v>
      </c>
      <c r="S1842" s="38" t="n">
        <f aca="false">Sens!$C$1842</f>
        <v>8.2530642</v>
      </c>
      <c r="T1842" s="38" t="n">
        <f aca="false">Sens!$D$1842</f>
        <v>37.1387889</v>
      </c>
      <c r="U1842" s="38" t="n">
        <f aca="false">Sens!$G$1842</f>
        <v>93.2846507189913</v>
      </c>
      <c r="V1842" s="38" t="n">
        <f aca="false">Sens!$H$1842</f>
        <v>152.52478394475</v>
      </c>
      <c r="W1842" s="38" t="n">
        <f aca="false">Sens!$I$1842</f>
        <v>163.8366571105</v>
      </c>
      <c r="X1842" s="38" t="n">
        <f aca="false">Sens!$J$1842</f>
        <v>169.0734253105</v>
      </c>
      <c r="Y1842" s="38" t="n">
        <f aca="false">Sens!$K$1842</f>
        <v>159.322875673534</v>
      </c>
      <c r="Z1842" s="38" t="n">
        <f aca="false">Sens!$L$1842</f>
        <v>173.013409691818</v>
      </c>
      <c r="AA1842" s="38" t="n">
        <f aca="false">Sens!$M$1842</f>
        <v>177.975996710103</v>
      </c>
    </row>
    <row r="1843" customFormat="false" ht="15" hidden="false" customHeight="false" outlineLevel="0" collapsed="false">
      <c r="A1843" s="5" t="s">
        <v>646</v>
      </c>
      <c r="B1843" s="0" t="s">
        <v>86</v>
      </c>
      <c r="C1843" s="38" t="n">
        <f aca="false">Sens!$C$1837-Sens!$C$1842</f>
        <v>3.0408</v>
      </c>
      <c r="D1843" s="38" t="n">
        <f aca="false">Sens!$D$1837-Sens!$D$1842</f>
        <v>13.6836</v>
      </c>
      <c r="E1843" s="38" t="n">
        <f aca="false">Sens!$E$1837-Sens!$E$1842</f>
        <v>8.1088</v>
      </c>
      <c r="F1843" s="38" t="n">
        <f aca="false">Sens!$F$1837-Sens!$F$1842</f>
        <v>21.2216789422221</v>
      </c>
      <c r="G1843" s="38" t="n">
        <f aca="false">Sens!$G$1837-Sens!$G$1842</f>
        <v>29.3304789422221</v>
      </c>
      <c r="H1843" s="38" t="n">
        <f aca="false">Sens!$H$1837-Sens!$H$1842</f>
        <v>46.046581</v>
      </c>
      <c r="I1843" s="38" t="n">
        <f aca="false">Sens!$I$1837-Sens!$I$1842</f>
        <v>46.046581</v>
      </c>
      <c r="J1843" s="38" t="n">
        <f aca="false">Sens!$J$1837-Sens!$J$1842</f>
        <v>46.046581</v>
      </c>
      <c r="K1843" s="38" t="n">
        <f aca="false">Sens!$K$1837-Sens!$K$1842</f>
        <v>32.5728870016667</v>
      </c>
      <c r="L1843" s="38" t="n">
        <f aca="false">Sens!$L$1837-Sens!$L$1842</f>
        <v>19.0991930033334</v>
      </c>
      <c r="M1843" s="38" t="n">
        <f aca="false">Sens!$M$1837-Sens!$M$1842</f>
        <v>5.625499005</v>
      </c>
      <c r="R1843" s="38" t="n">
        <f aca="false">Sens!$R$1837-Sens!$R$1842</f>
        <v>0.405023005106309</v>
      </c>
      <c r="S1843" s="38" t="n">
        <f aca="false">Sens!$S$1837-Sens!$S$1842</f>
        <v>3.0408</v>
      </c>
      <c r="T1843" s="38" t="n">
        <f aca="false">Sens!$T$1837-Sens!$T$1842</f>
        <v>13.6836</v>
      </c>
      <c r="U1843" s="38" t="n">
        <f aca="false">Sens!$U$1837-Sens!$U$1842</f>
        <v>29.3304789422221</v>
      </c>
      <c r="V1843" s="38" t="n">
        <f aca="false">Sens!$V$1837-Sens!$V$1842</f>
        <v>46.046581</v>
      </c>
      <c r="W1843" s="38" t="n">
        <f aca="false">Sens!$W$1837-Sens!$W$1842</f>
        <v>46.046581</v>
      </c>
      <c r="X1843" s="38" t="n">
        <f aca="false">Sens!$X$1837-Sens!$X$1842</f>
        <v>46.046581</v>
      </c>
      <c r="Y1843" s="38" t="n">
        <f aca="false">Sens!$Y$1837-Sens!$Y$1842</f>
        <v>32.5728870016667</v>
      </c>
      <c r="Z1843" s="38" t="n">
        <f aca="false">Sens!$Z$1837-Sens!$Z$1842</f>
        <v>19.0991930033334</v>
      </c>
      <c r="AA1843" s="38" t="n">
        <f aca="false">Sens!$AA$1837-Sens!$AA$1842</f>
        <v>5.625499005</v>
      </c>
    </row>
    <row r="1844" customFormat="false" ht="17.15" hidden="false" customHeight="false" outlineLevel="0" collapsed="false">
      <c r="A1844" s="0" t="s">
        <v>647</v>
      </c>
      <c r="B1844" s="0" t="s">
        <v>52</v>
      </c>
      <c r="C1844" s="13" t="n">
        <f aca="false">Sens!$C$1835/Sens!$C$1960</f>
        <v>0.325505489553393</v>
      </c>
      <c r="D1844" s="13" t="n">
        <f aca="false">Sens!$D$1835/Sens!$D$1960</f>
        <v>0.54214956071542</v>
      </c>
      <c r="E1844" s="13" t="n">
        <f aca="false">Sens!$E$1835/Sens!$E$1960</f>
        <v>0.666492790452817</v>
      </c>
      <c r="F1844" s="13" t="n">
        <f aca="false">Sens!$F$1835/Sens!$F$1960</f>
        <v>0.71724917504417</v>
      </c>
      <c r="G1844" s="13" t="n">
        <f aca="false">Sens!$G$1835/Sens!$G$1960</f>
        <v>0.69502941413511</v>
      </c>
      <c r="H1844" s="13" t="n">
        <f aca="false">Sens!$H$1835/Sens!$H$1960</f>
        <v>0.726376041178204</v>
      </c>
      <c r="I1844" s="13" t="n">
        <f aca="false">Sens!$I$1835/Sens!$I$1960</f>
        <v>0.718240564315889</v>
      </c>
      <c r="J1844" s="13" t="n">
        <f aca="false">Sens!$J$1835/Sens!$J$1960</f>
        <v>0.706346046234102</v>
      </c>
      <c r="K1844" s="13" t="n">
        <f aca="false">Sens!$K$1835/Sens!$K$1960</f>
        <v>0.666965854670113</v>
      </c>
      <c r="L1844" s="13" t="n">
        <f aca="false">Sens!$L$1835/Sens!$L$1960</f>
        <v>0.651682485456269</v>
      </c>
      <c r="M1844" s="13" t="n">
        <f aca="false">Sens!$M$1835/Sens!$M$1960</f>
        <v>0.625213219138598</v>
      </c>
    </row>
    <row r="1845" customFormat="false" ht="17.15" hidden="false" customHeight="false" outlineLevel="0" collapsed="false">
      <c r="A1845" s="0" t="s">
        <v>648</v>
      </c>
      <c r="B1845" s="0" t="s">
        <v>86</v>
      </c>
      <c r="C1845" s="38" t="n">
        <f aca="false">Sens!$S$1845</f>
        <v>0.219855358038628</v>
      </c>
      <c r="D1845" s="38" t="n">
        <f aca="false">Sens!$T$1845</f>
        <v>1.87046819803863</v>
      </c>
      <c r="E1845" s="38" t="n">
        <f aca="false">Sens!$G$1845/2</f>
        <v>5.67102043899942</v>
      </c>
      <c r="F1845" s="38" t="n">
        <f aca="false">Sens!$G$1845/2</f>
        <v>5.67102043899942</v>
      </c>
      <c r="G1845" s="38" t="n">
        <f aca="false">Sens!$U$1845</f>
        <v>11.3420408779988</v>
      </c>
      <c r="H1845" s="38" t="n">
        <f aca="false">Sens!$V$1845</f>
        <v>32.7387586096051</v>
      </c>
      <c r="I1845" s="38" t="n">
        <f aca="false">Sens!$W$1845</f>
        <v>67.8527994726682</v>
      </c>
      <c r="J1845" s="38" t="n">
        <f aca="false">Sens!$X$1845</f>
        <v>100.40027553673</v>
      </c>
      <c r="K1845" s="38" t="n">
        <f aca="false">Sens!$Y$1845</f>
        <v>132.56434775883</v>
      </c>
      <c r="L1845" s="38" t="n">
        <f aca="false">Sens!$Z$1845</f>
        <v>154.957350213576</v>
      </c>
      <c r="M1845" s="38" t="n">
        <f aca="false">Sens!$AA$1845</f>
        <v>168.163314420334</v>
      </c>
      <c r="N1845" s="38" t="n">
        <f aca="false">Sens!$D$1845/2</f>
        <v>0.935234099019314</v>
      </c>
      <c r="O1845" s="38" t="n">
        <f aca="false">Sens!$D$1845/2</f>
        <v>0.935234099019314</v>
      </c>
      <c r="R1845" s="38" t="n">
        <f aca="false">(SUMPRODUCT(--(Sens!$R$1805:$AA$1805&lt;Sens!R$1805),--(Sens!$R$1805:$AA$1805&gt;=Sens!R$1805-tk_life_lo),Sens!$R$1842:$AA$1842)+SUMPRODUCT(--(Sens!$R$1805:$AA$1805&lt;Sens!R$1805),--(Sens!$R$1805:$AA$1805&gt;=Sens!R$1805-tk_life_lo),Sens!$R$1840:$AA$1840))/tk_life_lo</f>
        <v>0</v>
      </c>
      <c r="S1845" s="38" t="n">
        <f aca="false">(SUMPRODUCT(--(Sens!$R$1805:$AA$1805&lt;Sens!S$1805),--(Sens!$R$1805:$AA$1805&gt;=Sens!S$1805-tk_life_lo),Sens!$R$1842:$AA$1842)+SUMPRODUCT(--(Sens!$R$1805:$AA$1805&lt;Sens!S$1805),--(Sens!$R$1805:$AA$1805&gt;=Sens!S$1805-tk_life_lo),Sens!$R$1840:$AA$1840))/tk_life_lo</f>
        <v>0.219855358038628</v>
      </c>
      <c r="T1845" s="38" t="n">
        <f aca="false">(SUMPRODUCT(--(Sens!$R$1805:$AA$1805&lt;Sens!T$1805),--(Sens!$R$1805:$AA$1805&gt;=Sens!T$1805-tk_life_lo),Sens!$R$1842:$AA$1842)+SUMPRODUCT(--(Sens!$R$1805:$AA$1805&lt;Sens!T$1805),--(Sens!$R$1805:$AA$1805&gt;=Sens!T$1805-tk_life_lo),Sens!$R$1840:$AA$1840))/tk_life_lo</f>
        <v>1.87046819803863</v>
      </c>
      <c r="U1845" s="38" t="n">
        <f aca="false">(SUMPRODUCT(--(Sens!$R$1805:$AA$1805&lt;Sens!U$1805),--(Sens!$R$1805:$AA$1805&gt;=Sens!U$1805-tk_life_lo),Sens!$R$1842:$AA$1842)+SUMPRODUCT(--(Sens!$R$1805:$AA$1805&lt;Sens!U$1805),--(Sens!$R$1805:$AA$1805&gt;=Sens!U$1805-tk_life_lo),Sens!$R$1840:$AA$1840))/tk_life_lo</f>
        <v>11.3420408779988</v>
      </c>
      <c r="V1845" s="38" t="n">
        <f aca="false">(SUMPRODUCT(--(Sens!$R$1805:$AA$1805&lt;Sens!V$1805),--(Sens!$R$1805:$AA$1805&gt;=Sens!V$1805-tk_life_lo),Sens!$R$1842:$AA$1842)+SUMPRODUCT(--(Sens!$R$1805:$AA$1805&lt;Sens!V$1805),--(Sens!$R$1805:$AA$1805&gt;=Sens!V$1805-tk_life_lo),Sens!$R$1840:$AA$1840))/tk_life_lo</f>
        <v>32.7387586096051</v>
      </c>
      <c r="W1845" s="38" t="n">
        <f aca="false">(SUMPRODUCT(--(Sens!$R$1805:$AA$1805&lt;Sens!W$1805),--(Sens!$R$1805:$AA$1805&gt;=Sens!W$1805-tk_life_lo),Sens!$R$1842:$AA$1842)+SUMPRODUCT(--(Sens!$R$1805:$AA$1805&lt;Sens!W$1805),--(Sens!$R$1805:$AA$1805&gt;=Sens!W$1805-tk_life_lo),Sens!$R$1840:$AA$1840))/tk_life_lo</f>
        <v>67.8527994726682</v>
      </c>
      <c r="X1845" s="38" t="n">
        <f aca="false">(SUMPRODUCT(--(Sens!$R$1805:$AA$1805&lt;Sens!X$1805),--(Sens!$R$1805:$AA$1805&gt;=Sens!X$1805-tk_life_lo),Sens!$R$1842:$AA$1842)+SUMPRODUCT(--(Sens!$R$1805:$AA$1805&lt;Sens!X$1805),--(Sens!$R$1805:$AA$1805&gt;=Sens!X$1805-tk_life_lo),Sens!$R$1840:$AA$1840))/tk_life_lo</f>
        <v>100.40027553673</v>
      </c>
      <c r="Y1845" s="38" t="n">
        <f aca="false">(SUMPRODUCT(--(Sens!$R$1805:$AA$1805&lt;Sens!Y$1805),--(Sens!$R$1805:$AA$1805&gt;=Sens!Y$1805-tk_life_lo),Sens!$R$1842:$AA$1842)+SUMPRODUCT(--(Sens!$R$1805:$AA$1805&lt;Sens!Y$1805),--(Sens!$R$1805:$AA$1805&gt;=Sens!Y$1805-tk_life_lo),Sens!$R$1840:$AA$1840))/tk_life_lo</f>
        <v>132.56434775883</v>
      </c>
      <c r="Z1845" s="38" t="n">
        <f aca="false">(SUMPRODUCT(--(Sens!$R$1805:$AA$1805&lt;Sens!Z$1805),--(Sens!$R$1805:$AA$1805&gt;=Sens!Z$1805-tk_life_lo),Sens!$R$1842:$AA$1842)+SUMPRODUCT(--(Sens!$R$1805:$AA$1805&lt;Sens!Z$1805),--(Sens!$R$1805:$AA$1805&gt;=Sens!Z$1805-tk_life_lo),Sens!$R$1840:$AA$1840))/tk_life_lo</f>
        <v>154.957350213576</v>
      </c>
      <c r="AA1845" s="38" t="n">
        <f aca="false">(SUMPRODUCT(--(Sens!$R$1805:$AA$1805&lt;Sens!AA$1805),--(Sens!$R$1805:$AA$1805&gt;=Sens!AA$1805-tk_life_lo),Sens!$R$1842:$AA$1842)+SUMPRODUCT(--(Sens!$R$1805:$AA$1805&lt;Sens!AA$1805),--(Sens!$R$1805:$AA$1805&gt;=Sens!AA$1805-tk_life_lo),Sens!$R$1840:$AA$1840))/tk_life_lo</f>
        <v>168.163314420334</v>
      </c>
    </row>
    <row r="1846" customFormat="false" ht="17.15" hidden="false" customHeight="false" outlineLevel="0" collapsed="false">
      <c r="A1846" s="0" t="s">
        <v>649</v>
      </c>
      <c r="B1846" s="0" t="s">
        <v>86</v>
      </c>
      <c r="C1846" s="38" t="n">
        <f aca="false">Sens!$S$1846</f>
        <v>0.0202511502553155</v>
      </c>
      <c r="D1846" s="38" t="n">
        <f aca="false">Sens!$T$1846</f>
        <v>0.172291150255315</v>
      </c>
      <c r="E1846" s="38" t="n">
        <f aca="false">Sens!$G$1846/2</f>
        <v>0.522364740326067</v>
      </c>
      <c r="F1846" s="38" t="n">
        <f aca="false">Sens!$G$1846/2</f>
        <v>0.522364740326067</v>
      </c>
      <c r="G1846" s="38" t="n">
        <f aca="false">Sens!$U$1846</f>
        <v>1.04472948065213</v>
      </c>
      <c r="H1846" s="38" t="n">
        <f aca="false">Sens!$V$1846</f>
        <v>2.76361866736136</v>
      </c>
      <c r="I1846" s="38" t="n">
        <f aca="false">Sens!$W$1846</f>
        <v>5.42824377125863</v>
      </c>
      <c r="J1846" s="38" t="n">
        <f aca="false">Sens!$X$1846</f>
        <v>7.73057282125864</v>
      </c>
      <c r="K1846" s="38" t="n">
        <f aca="false">Sens!$Y$1846</f>
        <v>10.0329018712586</v>
      </c>
      <c r="L1846" s="38" t="n">
        <f aca="false">Sens!$Z$1846</f>
        <v>11.661546221342</v>
      </c>
      <c r="M1846" s="38" t="n">
        <f aca="false">Sens!$AA$1846</f>
        <v>12.6165058715086</v>
      </c>
      <c r="N1846" s="38" t="n">
        <f aca="false">Sens!$D$1846/2</f>
        <v>0.0861455751276577</v>
      </c>
      <c r="O1846" s="38" t="n">
        <f aca="false">Sens!$D$1846/2</f>
        <v>0.0861455751276577</v>
      </c>
      <c r="R1846" s="38" t="n">
        <f aca="false">(SUMPRODUCT(--(Sens!$R$1805:$AA$1805&lt;Sens!R$1805),Sens!$R$1843:$AA$1843)+SUMPRODUCT(--(Sens!$R$1805:$AA$1805&lt;Sens!R$1805),Sens!$R$1841:$AA$1841))/fac_life</f>
        <v>0</v>
      </c>
      <c r="S1846" s="38" t="n">
        <f aca="false">(SUMPRODUCT(--(Sens!$R$1805:$AA$1805&lt;Sens!S$1805),Sens!$R$1843:$AA$1843)+SUMPRODUCT(--(Sens!$R$1805:$AA$1805&lt;Sens!S$1805),Sens!$R$1841:$AA$1841))/fac_life</f>
        <v>0.0202511502553155</v>
      </c>
      <c r="T1846" s="38" t="n">
        <f aca="false">(SUMPRODUCT(--(Sens!$R$1805:$AA$1805&lt;Sens!T$1805),Sens!$R$1843:$AA$1843)+SUMPRODUCT(--(Sens!$R$1805:$AA$1805&lt;Sens!T$1805),Sens!$R$1841:$AA$1841))/fac_life</f>
        <v>0.172291150255315</v>
      </c>
      <c r="U1846" s="38" t="n">
        <f aca="false">(SUMPRODUCT(--(Sens!$R$1805:$AA$1805&lt;Sens!U$1805),Sens!$R$1843:$AA$1843)+SUMPRODUCT(--(Sens!$R$1805:$AA$1805&lt;Sens!U$1805),Sens!$R$1841:$AA$1841))/fac_life</f>
        <v>1.04472948065213</v>
      </c>
      <c r="V1846" s="38" t="n">
        <f aca="false">(SUMPRODUCT(--(Sens!$R$1805:$AA$1805&lt;Sens!V$1805),Sens!$R$1843:$AA$1843)+SUMPRODUCT(--(Sens!$R$1805:$AA$1805&lt;Sens!V$1805),Sens!$R$1841:$AA$1841))/fac_life</f>
        <v>2.76361866736136</v>
      </c>
      <c r="W1846" s="38" t="n">
        <f aca="false">(SUMPRODUCT(--(Sens!$R$1805:$AA$1805&lt;Sens!W$1805),Sens!$R$1843:$AA$1843)+SUMPRODUCT(--(Sens!$R$1805:$AA$1805&lt;Sens!W$1805),Sens!$R$1841:$AA$1841))/fac_life</f>
        <v>5.42824377125863</v>
      </c>
      <c r="X1846" s="38" t="n">
        <f aca="false">(SUMPRODUCT(--(Sens!$R$1805:$AA$1805&lt;Sens!X$1805),Sens!$R$1843:$AA$1843)+SUMPRODUCT(--(Sens!$R$1805:$AA$1805&lt;Sens!X$1805),Sens!$R$1841:$AA$1841))/fac_life</f>
        <v>7.73057282125864</v>
      </c>
      <c r="Y1846" s="38" t="n">
        <f aca="false">(SUMPRODUCT(--(Sens!$R$1805:$AA$1805&lt;Sens!Y$1805),Sens!$R$1843:$AA$1843)+SUMPRODUCT(--(Sens!$R$1805:$AA$1805&lt;Sens!Y$1805),Sens!$R$1841:$AA$1841))/fac_life</f>
        <v>10.0329018712586</v>
      </c>
      <c r="Z1846" s="38" t="n">
        <f aca="false">(SUMPRODUCT(--(Sens!$R$1805:$AA$1805&lt;Sens!Z$1805),Sens!$R$1843:$AA$1843)+SUMPRODUCT(--(Sens!$R$1805:$AA$1805&lt;Sens!Z$1805),Sens!$R$1841:$AA$1841))/fac_life</f>
        <v>11.661546221342</v>
      </c>
      <c r="AA1846" s="38" t="n">
        <f aca="false">(SUMPRODUCT(--(Sens!$R$1805:$AA$1805&lt;Sens!AA$1805),Sens!$R$1843:$AA$1843)+SUMPRODUCT(--(Sens!$R$1805:$AA$1805&lt;Sens!AA$1805),Sens!$R$1841:$AA$1841))/fac_life</f>
        <v>12.6165058715086</v>
      </c>
    </row>
    <row r="1847" customFormat="false" ht="17.15" hidden="false" customHeight="false" outlineLevel="0" collapsed="false">
      <c r="A1847" s="1" t="s">
        <v>650</v>
      </c>
      <c r="B1847" s="8" t="s">
        <v>86</v>
      </c>
      <c r="C1847" s="38" t="n">
        <f aca="false">Sens!$C$1845+Sens!$C$1846</f>
        <v>0.240106508293943</v>
      </c>
      <c r="D1847" s="38" t="n">
        <f aca="false">Sens!$D$1845+Sens!$D$1846</f>
        <v>2.04275934829394</v>
      </c>
      <c r="E1847" s="38" t="n">
        <f aca="false">Sens!$E$1845+Sens!$E$1846</f>
        <v>6.19338517932549</v>
      </c>
      <c r="F1847" s="38" t="n">
        <f aca="false">Sens!$F$1845+Sens!$F$1846</f>
        <v>6.19338517932549</v>
      </c>
      <c r="G1847" s="38" t="n">
        <f aca="false">Sens!$G$1845+Sens!$G$1846</f>
        <v>12.386770358651</v>
      </c>
      <c r="H1847" s="38" t="n">
        <f aca="false">Sens!$H$1845+Sens!$H$1846</f>
        <v>35.5023772769665</v>
      </c>
      <c r="I1847" s="38" t="n">
        <f aca="false">Sens!$I$1845+Sens!$I$1846</f>
        <v>73.2810432439269</v>
      </c>
      <c r="J1847" s="38" t="n">
        <f aca="false">Sens!$J$1845+Sens!$J$1846</f>
        <v>108.130848357988</v>
      </c>
      <c r="K1847" s="38" t="n">
        <f aca="false">Sens!$K$1845+Sens!$K$1846</f>
        <v>142.597249630088</v>
      </c>
      <c r="L1847" s="38" t="n">
        <f aca="false">Sens!$L$1845+Sens!$L$1846</f>
        <v>166.618896434918</v>
      </c>
      <c r="M1847" s="38" t="n">
        <f aca="false">Sens!$M$1845+Sens!$M$1846</f>
        <v>180.779820291842</v>
      </c>
      <c r="N1847" s="38" t="n">
        <f aca="false">Sens!$N$1845+Sens!$N$1846</f>
        <v>1.02137967414697</v>
      </c>
      <c r="O1847" s="38" t="n">
        <f aca="false">Sens!$O$1845+Sens!$O$1846</f>
        <v>1.02137967414697</v>
      </c>
      <c r="R1847" s="38" t="n">
        <f aca="false">Sens!$R$1845+Sens!$R$1846</f>
        <v>0</v>
      </c>
      <c r="S1847" s="38" t="n">
        <f aca="false">Sens!$S$1845+Sens!$S$1846</f>
        <v>0.240106508293943</v>
      </c>
      <c r="T1847" s="38" t="n">
        <f aca="false">Sens!$T$1845+Sens!$T$1846</f>
        <v>2.04275934829394</v>
      </c>
      <c r="U1847" s="38" t="n">
        <f aca="false">Sens!$U$1845+Sens!$U$1846</f>
        <v>12.386770358651</v>
      </c>
      <c r="V1847" s="38" t="n">
        <f aca="false">Sens!$V$1845+Sens!$V$1846</f>
        <v>35.5023772769665</v>
      </c>
      <c r="W1847" s="38" t="n">
        <f aca="false">Sens!$W$1845+Sens!$W$1846</f>
        <v>73.2810432439269</v>
      </c>
      <c r="X1847" s="38" t="n">
        <f aca="false">Sens!$X$1845+Sens!$X$1846</f>
        <v>108.130848357988</v>
      </c>
      <c r="Y1847" s="38" t="n">
        <f aca="false">Sens!$Y$1845+Sens!$Y$1846</f>
        <v>142.597249630088</v>
      </c>
      <c r="Z1847" s="38" t="n">
        <f aca="false">Sens!$Z$1845+Sens!$Z$1846</f>
        <v>166.618896434918</v>
      </c>
      <c r="AA1847" s="38" t="n">
        <f aca="false">Sens!$AA$1845+Sens!$AA$1846</f>
        <v>180.779820291842</v>
      </c>
    </row>
    <row r="1848" customFormat="false" ht="17.15" hidden="false" customHeight="false" outlineLevel="0" collapsed="false">
      <c r="A1848" s="0" t="s">
        <v>651</v>
      </c>
      <c r="B1848" s="0" t="s">
        <v>86</v>
      </c>
      <c r="C1848" s="38" t="n">
        <f aca="false">Sens!$S$1848</f>
        <v>26.5422985947429</v>
      </c>
      <c r="D1848" s="38" t="n">
        <f aca="false">Sens!$T$1848</f>
        <v>94.0681708774516</v>
      </c>
      <c r="G1848" s="38" t="n">
        <f aca="false">Sens!$U$1848</f>
        <v>234.587871628525</v>
      </c>
      <c r="H1848" s="38" t="n">
        <f aca="false">Sens!$V$1848</f>
        <v>397.656859296308</v>
      </c>
      <c r="I1848" s="38" t="n">
        <f aca="false">Sens!$W$1848</f>
        <v>534.259054162882</v>
      </c>
      <c r="J1848" s="38" t="n">
        <f aca="false">Sens!$X$1848</f>
        <v>641.248212115393</v>
      </c>
      <c r="K1848" s="38" t="n">
        <f aca="false">Sens!$Y$1848</f>
        <v>690.546725160506</v>
      </c>
      <c r="L1848" s="38" t="n">
        <f aca="false">Sens!$Z$1848</f>
        <v>716.04043142074</v>
      </c>
      <c r="M1848" s="38" t="n">
        <f aca="false">Sens!$AA$1848</f>
        <v>718.862106844</v>
      </c>
      <c r="R1848" s="38" t="n">
        <f aca="false">SUM(Sens!$R$1835:$R$1835)-SUM(Sens!$R$1847:$R$1847)</f>
        <v>1.50429979529945</v>
      </c>
      <c r="S1848" s="38" t="n">
        <f aca="false">SUM(Sens!$R$1835:$S$1835)-SUM(Sens!$R$1847:$S$1847)</f>
        <v>26.5422985947429</v>
      </c>
      <c r="T1848" s="38" t="n">
        <f aca="false">SUM(Sens!$R$1835:$T$1835)-SUM(Sens!$R$1847:$T$1847)</f>
        <v>94.0681708774516</v>
      </c>
      <c r="U1848" s="38" t="n">
        <f aca="false">SUM(Sens!$R$1835:$U$1835)-SUM(Sens!$R$1847:$U$1847)</f>
        <v>234.587871628525</v>
      </c>
      <c r="V1848" s="38" t="n">
        <f aca="false">SUM(Sens!$R$1835:$V$1835)-SUM(Sens!$R$1847:$V$1847)</f>
        <v>397.656859296308</v>
      </c>
      <c r="W1848" s="38" t="n">
        <f aca="false">SUM(Sens!$R$1835:$W$1835)-SUM(Sens!$R$1847:$W$1847)</f>
        <v>534.259054162882</v>
      </c>
      <c r="X1848" s="38" t="n">
        <f aca="false">SUM(Sens!$R$1835:$X$1835)-SUM(Sens!$R$1847:$X$1847)</f>
        <v>641.248212115393</v>
      </c>
      <c r="Y1848" s="38" t="n">
        <f aca="false">SUM(Sens!$R$1835:$Y$1835)-SUM(Sens!$R$1847:$Y$1847)</f>
        <v>690.546725160506</v>
      </c>
      <c r="Z1848" s="38" t="n">
        <f aca="false">SUM(Sens!$R$1835:$Z$1835)-SUM(Sens!$R$1847:$Z$1847)</f>
        <v>716.04043142074</v>
      </c>
      <c r="AA1848" s="38" t="n">
        <f aca="false">SUM(Sens!$R$1835:$AA$1835)-SUM(Sens!$R$1847:$AA$1847)</f>
        <v>718.862106844</v>
      </c>
    </row>
    <row r="1849" customFormat="false" ht="17.15" hidden="false" customHeight="false" outlineLevel="0" collapsed="false">
      <c r="A1849" s="1" t="s">
        <v>652</v>
      </c>
    </row>
    <row r="1850" customFormat="false" ht="17.15" hidden="false" customHeight="false" outlineLevel="0" collapsed="false">
      <c r="A1850" s="0" t="s">
        <v>653</v>
      </c>
      <c r="B1850" s="0" t="s">
        <v>86</v>
      </c>
      <c r="C1850" s="38" t="n">
        <f aca="false">Sens!$C$1826-ext_sh*Sens!$C$1828</f>
        <v>1.80694998843362</v>
      </c>
      <c r="D1850" s="38" t="n">
        <f aca="false">Sens!$D$1826-ext_sh*Sens!$D$1828</f>
        <v>6.77606245662607</v>
      </c>
      <c r="E1850" s="38" t="n">
        <f aca="false">Sens!$E$1826-ext_sh*Sens!$E$1828</f>
        <v>6.62548329092326</v>
      </c>
      <c r="F1850" s="38" t="n">
        <f aca="false">Sens!$F$1826-ext_sh*Sens!$F$1828</f>
        <v>11.7200577158706</v>
      </c>
      <c r="G1850" s="38" t="n">
        <f aca="false">Sens!$G$1826-ext_sh*Sens!$G$1828</f>
        <v>18.3455410067939</v>
      </c>
      <c r="H1850" s="38" t="n">
        <f aca="false">Sens!$H$1826-ext_sh*Sens!$H$1828</f>
        <v>47.5171727060453</v>
      </c>
      <c r="I1850" s="38" t="n">
        <f aca="false">Sens!$I$1826-ext_sh*Sens!$I$1828</f>
        <v>80.5539692643667</v>
      </c>
      <c r="J1850" s="38" t="n">
        <f aca="false">Sens!$J$1826-ext_sh*Sens!$J$1828</f>
        <v>113.759316834883</v>
      </c>
      <c r="K1850" s="38" t="n">
        <f aca="false">Sens!$K$1826-ext_sh*Sens!$K$1828</f>
        <v>142.084411492169</v>
      </c>
      <c r="L1850" s="38" t="n">
        <f aca="false">Sens!$L$1826-ext_sh*Sens!$L$1828</f>
        <v>160.69964615804</v>
      </c>
      <c r="M1850" s="38" t="n">
        <f aca="false">Sens!$M$1826-ext_sh*Sens!$M$1828</f>
        <v>169.577607141793</v>
      </c>
      <c r="N1850" s="38" t="n">
        <f aca="false">Sens!$N$1826-ext_sh*Sens!$N$1828</f>
        <v>2.37162185981912</v>
      </c>
      <c r="O1850" s="38" t="n">
        <f aca="false">Sens!$O$1826-ext_sh*Sens!$O$1828</f>
        <v>4.40444059680694</v>
      </c>
    </row>
    <row r="1851" customFormat="false" ht="17.15" hidden="false" customHeight="false" outlineLevel="0" collapsed="false">
      <c r="A1851" s="1" t="s">
        <v>654</v>
      </c>
      <c r="B1851" s="8" t="s">
        <v>86</v>
      </c>
      <c r="C1851" s="38" t="n">
        <f aca="false">Sens!$C$1850-ext_sh*Sens!$C$1847</f>
        <v>1.61486478179846</v>
      </c>
      <c r="D1851" s="38" t="n">
        <f aca="false">Sens!$D$1850-ext_sh*Sens!$D$1847</f>
        <v>5.14185497799091</v>
      </c>
      <c r="E1851" s="38" t="n">
        <f aca="false">Sens!$E$1850-ext_sh*Sens!$E$1847</f>
        <v>1.67077514746287</v>
      </c>
      <c r="F1851" s="38" t="n">
        <f aca="false">Sens!$F$1850-ext_sh*Sens!$F$1847</f>
        <v>6.7653495724102</v>
      </c>
      <c r="G1851" s="38" t="n">
        <f aca="false">Sens!$G$1850-ext_sh*Sens!$G$1847</f>
        <v>8.43612471987308</v>
      </c>
      <c r="H1851" s="38" t="n">
        <f aca="false">Sens!$H$1850-ext_sh*Sens!$H$1847</f>
        <v>19.1152708844721</v>
      </c>
      <c r="I1851" s="38" t="n">
        <f aca="false">Sens!$I$1850-ext_sh*Sens!$I$1847</f>
        <v>21.9291346692252</v>
      </c>
      <c r="J1851" s="38" t="n">
        <f aca="false">Sens!$J$1850-ext_sh*Sens!$J$1847</f>
        <v>27.2546381484928</v>
      </c>
      <c r="K1851" s="38" t="n">
        <f aca="false">Sens!$K$1850-ext_sh*Sens!$K$1847</f>
        <v>28.0066117880988</v>
      </c>
      <c r="L1851" s="38" t="n">
        <f aca="false">Sens!$L$1850-ext_sh*Sens!$L$1847</f>
        <v>27.4045290101057</v>
      </c>
      <c r="M1851" s="38" t="n">
        <f aca="false">Sens!$M$1850-ext_sh*Sens!$M$1847</f>
        <v>24.9537509083195</v>
      </c>
      <c r="N1851" s="38" t="n">
        <f aca="false">Sens!$N$1850-ext_sh*Sens!$N$1847</f>
        <v>1.55451812050155</v>
      </c>
      <c r="O1851" s="38" t="n">
        <f aca="false">Sens!$O$1850-ext_sh*Sens!$O$1847</f>
        <v>3.58733685748937</v>
      </c>
    </row>
    <row r="1852" customFormat="false" ht="17.15" hidden="false" customHeight="false" outlineLevel="0" collapsed="false">
      <c r="A1852" s="0" t="s">
        <v>655</v>
      </c>
      <c r="B1852" s="0" t="s">
        <v>52</v>
      </c>
      <c r="C1852" s="13" t="n">
        <f aca="false">Sens!$C$1851/Sens!$C$1826</f>
        <v>0.695760902466888</v>
      </c>
      <c r="D1852" s="13" t="n">
        <f aca="false">Sens!$D$1851/Sens!$D$1826</f>
        <v>0.590761810757774</v>
      </c>
      <c r="E1852" s="13" t="n">
        <f aca="false">Sens!$E$1851/Sens!$E$1826</f>
        <v>0.19632266161686</v>
      </c>
      <c r="F1852" s="13" t="n">
        <f aca="false">Sens!$F$1851/Sens!$F$1826</f>
        <v>0.45212547688192</v>
      </c>
      <c r="G1852" s="13" t="n">
        <f aca="false">Sens!$G$1851/Sens!$G$1826</f>
        <v>0.359384911192001</v>
      </c>
      <c r="H1852" s="13" t="n">
        <f aca="false">Sens!$H$1851/Sens!$H$1826</f>
        <v>0.317709430480654</v>
      </c>
      <c r="I1852" s="13" t="n">
        <f aca="false">Sens!$I$1851/Sens!$I$1826</f>
        <v>0.216042714263547</v>
      </c>
      <c r="J1852" s="13" t="n">
        <f aca="false">Sens!$J$1851/Sens!$J$1826</f>
        <v>0.190558018266402</v>
      </c>
      <c r="K1852" s="13" t="n">
        <f aca="false">Sens!$K$1851/Sens!$K$1826</f>
        <v>0.156945400870351</v>
      </c>
      <c r="L1852" s="13" t="n">
        <f aca="false">Sens!$L$1851/Sens!$L$1826</f>
        <v>0.135848841907757</v>
      </c>
      <c r="M1852" s="13" t="n">
        <f aca="false">Sens!$M$1851/Sens!$M$1826</f>
        <v>0.117244340265079</v>
      </c>
      <c r="N1852" s="13" t="n">
        <f aca="false">Sens!$N$1851/Sens!$N$1826</f>
        <v>0.510293849567715</v>
      </c>
      <c r="O1852" s="13" t="n">
        <f aca="false">Sens!$O$1851/Sens!$O$1826</f>
        <v>0.634090712937037</v>
      </c>
    </row>
    <row r="1853" customFormat="false" ht="17.15" hidden="false" customHeight="false" outlineLevel="0" collapsed="false">
      <c r="A1853" s="5" t="s">
        <v>656</v>
      </c>
      <c r="B1853" s="0" t="s">
        <v>86</v>
      </c>
      <c r="C1853" s="39" t="n">
        <v>0</v>
      </c>
      <c r="D1853" s="39" t="n">
        <v>0</v>
      </c>
      <c r="E1853" s="39" t="n">
        <v>0</v>
      </c>
      <c r="F1853" s="38" t="n">
        <f aca="false">IF(internal_ai_reading=2,1,0)*(1-ext_sh)/ext_sh*(mw_open*he_open+Sens!$F$1824*Sens!$F$1821)*Sens!$F$1810/1000</f>
        <v>3.77122048175818</v>
      </c>
      <c r="G1853" s="38" t="n">
        <f aca="false">Sens!$E$1853+Sens!$F$1853</f>
        <v>3.77122048175818</v>
      </c>
      <c r="H1853" s="38" t="n">
        <f aca="false">IF(internal_ai_reading=2,1,0)*(1-ext_sh)/ext_sh*(mw_open*he_open+Sens!$H$1824*Sens!$H$1821)*Sens!$H$1810/1000</f>
        <v>15.1635543609893</v>
      </c>
      <c r="I1853" s="38" t="n">
        <f aca="false">IF(internal_ai_reading=2,1,0)*(1-ext_sh)/ext_sh*(mw_open*he_open+Sens!$I$1824*Sens!$I$1821)*Sens!$I$1810/1000</f>
        <v>25.5818843619889</v>
      </c>
      <c r="J1853" s="38" t="n">
        <f aca="false">IF(internal_ai_reading=2,1,0)*(1-ext_sh)/ext_sh*(mw_open*he_open+Sens!$J$1824*Sens!$J$1821)*Sens!$J$1810/1000</f>
        <v>36.0465624179122</v>
      </c>
      <c r="K1853" s="38" t="n">
        <f aca="false">IF(internal_ai_reading=2,1,0)*(1-ext_sh)/ext_sh*(mw_open*he_open+Sens!$K$1824*Sens!$K$1821)*Sens!$K$1810/1000</f>
        <v>44.9741164026038</v>
      </c>
      <c r="L1853" s="38" t="n">
        <f aca="false">IF(internal_ai_reading=2,1,0)*(1-ext_sh)/ext_sh*(mw_open*he_open+Sens!$L$1824*Sens!$L$1821)*Sens!$L$1810/1000</f>
        <v>50.8413488057813</v>
      </c>
      <c r="M1853" s="38" t="n">
        <f aca="false">IF(internal_ai_reading=2,1,0)*(1-ext_sh)/ext_sh*(mw_open*he_open+Sens!$M$1824*Sens!$M$1821)*Sens!$M$1810/1000</f>
        <v>53.6407214274315</v>
      </c>
      <c r="N1853" s="39" t="n">
        <v>0</v>
      </c>
      <c r="O1853" s="39" t="n">
        <v>0</v>
      </c>
      <c r="P1853" s="8" t="s">
        <v>657</v>
      </c>
    </row>
    <row r="1854" customFormat="false" ht="17.15" hidden="false" customHeight="false" outlineLevel="0" collapsed="false">
      <c r="A1854" s="5" t="s">
        <v>658</v>
      </c>
      <c r="B1854" s="0" t="s">
        <v>86</v>
      </c>
      <c r="C1854" s="38" t="n">
        <f aca="false">(1-ext_sh)*(Sens!$C$1828+Sens!$C$1847)</f>
        <v>0.176535143793795</v>
      </c>
      <c r="D1854" s="38" t="n">
        <f aca="false">(1-ext_sh)*(Sens!$D$1828+Sens!$D$1847)</f>
        <v>0.890478777665063</v>
      </c>
      <c r="E1854" s="38" t="n">
        <f aca="false">(1-ext_sh)*(Sens!$E$1828+Sens!$E$1847)</f>
        <v>1.70989445702679</v>
      </c>
      <c r="F1854" s="38" t="n">
        <f aca="false">(1-ext_sh)*(Sens!$F$1828+Sens!$F$1847)</f>
        <v>2.04952101807756</v>
      </c>
      <c r="G1854" s="38" t="n">
        <f aca="false">(1-ext_sh)*(Sens!$G$1828+Sens!$G$1847)</f>
        <v>3.75941547510435</v>
      </c>
      <c r="H1854" s="38" t="n">
        <f aca="false">(1-ext_sh)*(Sens!$H$1828+Sens!$H$1847)</f>
        <v>10.2626549663256</v>
      </c>
      <c r="I1854" s="38" t="n">
        <f aca="false">(1-ext_sh)*(Sens!$I$1828+Sens!$I$1847)</f>
        <v>19.8936411168017</v>
      </c>
      <c r="J1854" s="38" t="n">
        <f aca="false">(1-ext_sh)*(Sens!$J$1828+Sens!$J$1847)</f>
        <v>28.9426922506963</v>
      </c>
      <c r="K1854" s="38" t="n">
        <f aca="false">(1-ext_sh)*(Sens!$K$1828+Sens!$K$1847)</f>
        <v>37.6103771487702</v>
      </c>
      <c r="L1854" s="38" t="n">
        <f aca="false">(1-ext_sh)*(Sens!$L$1828+Sens!$L$1847)</f>
        <v>43.5808931980727</v>
      </c>
      <c r="M1854" s="38" t="n">
        <f aca="false">(1-ext_sh)*(Sens!$M$1828+Sens!$M$1847)</f>
        <v>46.9704226151364</v>
      </c>
      <c r="N1854" s="38" t="n">
        <f aca="false">(1-ext_sh)*(Sens!$N$1828+Sens!$N$1847)</f>
        <v>0.37295035263159</v>
      </c>
      <c r="O1854" s="38" t="n">
        <f aca="false">(1-ext_sh)*(Sens!$O$1828+Sens!$O$1847)</f>
        <v>0.517528425033472</v>
      </c>
    </row>
    <row r="1855" customFormat="false" ht="17.15" hidden="false" customHeight="false" outlineLevel="0" collapsed="false">
      <c r="A1855" s="0" t="s">
        <v>659</v>
      </c>
      <c r="B1855" s="0" t="s">
        <v>86</v>
      </c>
      <c r="C1855" s="38" t="n">
        <f aca="false">Q!$D$24</f>
        <v>39.834</v>
      </c>
      <c r="D1855" s="38" t="n">
        <f aca="false">Q!$E$24</f>
        <v>45.606</v>
      </c>
      <c r="E1855" s="38" t="n">
        <f aca="false">Q!$P$24</f>
        <v>30.782</v>
      </c>
      <c r="N1855" s="38" t="n">
        <f aca="false">Q!$N$24</f>
        <v>21.707</v>
      </c>
      <c r="O1855" s="38" t="n">
        <f aca="false">Q!$O$24</f>
        <v>23.899</v>
      </c>
    </row>
    <row r="1856" customFormat="false" ht="17.15" hidden="false" customHeight="false" outlineLevel="0" collapsed="false">
      <c r="A1856" s="0" t="s">
        <v>660</v>
      </c>
      <c r="B1856" s="0" t="s">
        <v>86</v>
      </c>
      <c r="C1856" s="38" t="n">
        <f aca="false">Sens!$C$1855-Sens!$C$1851</f>
        <v>38.2191352182015</v>
      </c>
      <c r="D1856" s="38" t="n">
        <f aca="false">Sens!$D$1855-Sens!$D$1851</f>
        <v>40.4641450220091</v>
      </c>
      <c r="E1856" s="38" t="n">
        <f aca="false">Sens!$E$1855-Sens!$E$1851</f>
        <v>29.1112248525371</v>
      </c>
      <c r="F1856" s="38" t="n">
        <f aca="false">Sens!$F$1830*Sens!$F$1857</f>
        <v>26.4239166377985</v>
      </c>
      <c r="G1856" s="38" t="n">
        <f aca="false">Sens!$E$1856+Sens!$F$1856</f>
        <v>55.5351414903356</v>
      </c>
      <c r="H1856" s="38" t="n">
        <f aca="false">Sens!$H$1830*Sens!$H$1857</f>
        <v>59.2830337512075</v>
      </c>
      <c r="I1856" s="38" t="n">
        <f aca="false">Sens!$I$1830*Sens!$I$1857</f>
        <v>65.8191906079175</v>
      </c>
      <c r="J1856" s="38" t="n">
        <f aca="false">Sens!$J$1830*Sens!$J$1857</f>
        <v>72.0803534641692</v>
      </c>
      <c r="K1856" s="38" t="n">
        <f aca="false">Sens!$K$1830*Sens!$K$1857</f>
        <v>77.8467817413027</v>
      </c>
      <c r="L1856" s="38" t="n">
        <f aca="false">Sens!$L$1830*Sens!$L$1857</f>
        <v>84.0745242806069</v>
      </c>
      <c r="M1856" s="38" t="n">
        <f aca="false">Sens!$M$1830*Sens!$M$1857</f>
        <v>90.8004862230555</v>
      </c>
      <c r="N1856" s="38" t="n">
        <f aca="false">Sens!$N$1855-Sens!$N$1851</f>
        <v>20.1524818794985</v>
      </c>
      <c r="O1856" s="38" t="n">
        <f aca="false">Sens!$O$1855-Sens!$O$1851</f>
        <v>20.3116631425106</v>
      </c>
      <c r="P1856" s="5" t="s">
        <v>661</v>
      </c>
    </row>
    <row r="1857" customFormat="false" ht="17.15" hidden="false" customHeight="false" outlineLevel="0" collapsed="false">
      <c r="A1857" s="0" t="s">
        <v>662</v>
      </c>
      <c r="B1857" s="0" t="s">
        <v>52</v>
      </c>
      <c r="C1857" s="13" t="n">
        <f aca="false">Sens!$C$1856/Sens!$C$1830</f>
        <v>0.363178953425587</v>
      </c>
      <c r="D1857" s="13" t="n">
        <f aca="false">Sens!$D$1856/Sens!$D$1830</f>
        <v>0.337141562804323</v>
      </c>
      <c r="E1857" s="13" t="n">
        <f aca="false">Sens!$E$1856/Sens!$E$1830</f>
        <v>0.408242563381742</v>
      </c>
      <c r="F1857" s="13" t="n">
        <f aca="false">(Sens!$O$1856+Sens!$E$1856)/(Sens!$O$1830+Sens!$E$1830)</f>
        <v>0.368178548676838</v>
      </c>
      <c r="G1857" s="13" t="n">
        <f aca="false">Sens!$G$1856/Sens!$G$1830</f>
        <v>0.388146061116712</v>
      </c>
      <c r="H1857" s="13" t="n">
        <f aca="false">Sens!$F$1857</f>
        <v>0.368178548676838</v>
      </c>
      <c r="I1857" s="13" t="n">
        <f aca="false">Sens!$F$1857</f>
        <v>0.368178548676838</v>
      </c>
      <c r="J1857" s="13" t="n">
        <f aca="false">Sens!$F$1857</f>
        <v>0.368178548676838</v>
      </c>
      <c r="K1857" s="13" t="n">
        <f aca="false">Sens!$F$1857</f>
        <v>0.368178548676838</v>
      </c>
      <c r="L1857" s="13" t="n">
        <f aca="false">Sens!$F$1857</f>
        <v>0.368178548676838</v>
      </c>
      <c r="M1857" s="13" t="n">
        <f aca="false">Sens!$F$1857</f>
        <v>0.368178548676838</v>
      </c>
      <c r="N1857" s="13" t="n">
        <f aca="false">Sens!$N$1856/Sens!$N$1830</f>
        <v>0.352972197867861</v>
      </c>
      <c r="O1857" s="13" t="n">
        <f aca="false">Sens!$O$1856/Sens!$O$1830</f>
        <v>0.322778549657494</v>
      </c>
      <c r="P1857" s="8" t="s">
        <v>663</v>
      </c>
    </row>
    <row r="1858" customFormat="false" ht="17.15" hidden="false" customHeight="false" outlineLevel="0" collapsed="false">
      <c r="A1858" s="0" t="s">
        <v>664</v>
      </c>
      <c r="B1858" s="0" t="s">
        <v>52</v>
      </c>
      <c r="D1858" s="13" t="n">
        <f aca="false">(Q!$E$31-ext_sh*Sens!$D$1847)/Sens!$D$1830</f>
        <v>0.165102395101278</v>
      </c>
    </row>
    <row r="1859" customFormat="false" ht="17.15" hidden="false" customHeight="false" outlineLevel="0" collapsed="false">
      <c r="A1859" s="0" t="s">
        <v>665</v>
      </c>
      <c r="B1859" s="0" t="s">
        <v>86</v>
      </c>
      <c r="C1859" s="38" t="n">
        <f aca="false">Q!$D$31</f>
        <v>13.32</v>
      </c>
      <c r="D1859" s="38" t="n">
        <f aca="false">Q!$E$31</f>
        <v>21.45</v>
      </c>
      <c r="E1859" s="38" t="n">
        <f aca="false">Q!$P$31</f>
        <v>15.353</v>
      </c>
      <c r="F1859" s="38" t="n">
        <f aca="false">ext_sh*Sens!$F$1847+Sens!$D$1858*Sens!$F$1830</f>
        <v>16.8039914342321</v>
      </c>
      <c r="G1859" s="38" t="n">
        <f aca="false">Sens!$E$1859+Sens!$F$1859</f>
        <v>32.1569914342321</v>
      </c>
      <c r="H1859" s="38" t="n">
        <f aca="false">ext_sh*Sens!$H$1847+Sens!$D$1858*Sens!$H$1830</f>
        <v>54.9862068995567</v>
      </c>
      <c r="I1859" s="38" t="n">
        <f aca="false">ext_sh*Sens!$I$1847+Sens!$D$1858*Sens!$I$1830</f>
        <v>88.1401500638136</v>
      </c>
      <c r="J1859" s="38" t="n">
        <f aca="false">ext_sh*Sens!$J$1847+Sens!$D$1858*Sens!$J$1830</f>
        <v>118.827688920011</v>
      </c>
      <c r="K1859" s="38" t="n">
        <f aca="false">ext_sh*Sens!$K$1847+Sens!$D$1858*Sens!$K$1830</f>
        <v>148.986650756381</v>
      </c>
      <c r="L1859" s="38" t="n">
        <f aca="false">ext_sh*Sens!$L$1847+Sens!$D$1858*Sens!$L$1830</f>
        <v>170.99667628443</v>
      </c>
      <c r="M1859" s="38" t="n">
        <f aca="false">ext_sh*Sens!$M$1847+Sens!$D$1858*Sens!$M$1830</f>
        <v>185.341540100889</v>
      </c>
      <c r="N1859" s="38" t="n">
        <f aca="false">Q!$N$31</f>
        <v>9.234</v>
      </c>
      <c r="O1859" s="38" t="n">
        <f aca="false">Q!$O$31</f>
        <v>12.216</v>
      </c>
    </row>
    <row r="1860" customFormat="false" ht="17.15" hidden="false" customHeight="false" outlineLevel="0" collapsed="false">
      <c r="A1860" s="1" t="s">
        <v>666</v>
      </c>
    </row>
    <row r="1861" customFormat="false" ht="17.15" hidden="false" customHeight="false" outlineLevel="0" collapsed="false">
      <c r="A1861" s="15" t="s">
        <v>667</v>
      </c>
      <c r="B1861" s="14" t="s">
        <v>52</v>
      </c>
      <c r="C1861" s="14"/>
      <c r="D1861" s="14"/>
      <c r="E1861" s="14"/>
      <c r="F1861" s="14"/>
      <c r="G1861" s="17" t="n">
        <f aca="false">Sens!$G$1851*(1-tax)/(ext_sh*(Sens!$D$1848+Sens!$G$1848)/2)</f>
        <v>0.0530322213970187</v>
      </c>
      <c r="H1861" s="17" t="n">
        <f aca="false">Sens!$H$1851*(1-tax)/(ext_sh*(Sens!$G$1848+Sens!$H$1848)/2)</f>
        <v>0.0624645602567958</v>
      </c>
      <c r="I1861" s="17" t="n">
        <f aca="false">Sens!$I$1851*(1-tax)/(ext_sh*(Sens!$H$1848+Sens!$I$1848)/2)</f>
        <v>0.048616446899135</v>
      </c>
      <c r="J1861" s="17" t="n">
        <f aca="false">Sens!$J$1851*(1-tax)/(ext_sh*(Sens!$I$1848+Sens!$J$1848)/2)</f>
        <v>0.04790198949295</v>
      </c>
      <c r="K1861" s="17" t="n">
        <f aca="false">Sens!$K$1851*(1-tax)/(ext_sh*(Sens!$J$1848+Sens!$K$1848)/2)</f>
        <v>0.0434471867454772</v>
      </c>
      <c r="L1861" s="17" t="n">
        <f aca="false">Sens!$L$1851*(1-tax)/(ext_sh*(Sens!$K$1848+Sens!$L$1848)/2)</f>
        <v>0.0402526190941126</v>
      </c>
      <c r="M1861" s="17" t="n">
        <f aca="false">Sens!$M$1851*(1-tax)/(ext_sh*(Sens!$L$1848+Sens!$M$1848)/2)</f>
        <v>0.0359295584883743</v>
      </c>
      <c r="N1861" s="14"/>
      <c r="O1861" s="14"/>
      <c r="P1861" s="8" t="s">
        <v>668</v>
      </c>
    </row>
    <row r="1862" customFormat="false" ht="17.15" hidden="false" customHeight="false" outlineLevel="0" collapsed="false">
      <c r="A1862" s="5" t="s">
        <v>669</v>
      </c>
      <c r="B1862" s="0" t="s">
        <v>57</v>
      </c>
      <c r="H1862" s="36" t="n">
        <f aca="false">Sens!$H$1826*1000/(mw_open*he_open+Sens!$H$1824*Sens!$H$1821)</f>
        <v>0.991949006767191</v>
      </c>
      <c r="I1862" s="36" t="n">
        <f aca="false">Sens!$I$1826*1000/(mw_open*he_open+Sens!$I$1824*Sens!$I$1821)</f>
        <v>0.991949006767191</v>
      </c>
      <c r="J1862" s="36" t="n">
        <f aca="false">Sens!$J$1826*1000/(mw_open*he_open+Sens!$J$1824*Sens!$J$1821)</f>
        <v>0.991949006767191</v>
      </c>
      <c r="K1862" s="36" t="n">
        <f aca="false">Sens!$K$1826*1000/(mw_open*he_open+Sens!$K$1824*Sens!$K$1821)</f>
        <v>0.991949006767191</v>
      </c>
      <c r="L1862" s="36" t="n">
        <f aca="false">Sens!$L$1826*1000/(mw_open*he_open+Sens!$L$1824*Sens!$L$1821)</f>
        <v>0.991949006767191</v>
      </c>
      <c r="M1862" s="36" t="n">
        <f aca="false">Sens!$M$1826*1000/(mw_open*he_open+Sens!$M$1824*Sens!$M$1821)</f>
        <v>0.991949006767191</v>
      </c>
    </row>
    <row r="1863" customFormat="false" ht="17.15" hidden="false" customHeight="false" outlineLevel="0" collapsed="false">
      <c r="A1863" s="5" t="s">
        <v>670</v>
      </c>
      <c r="B1863" s="0" t="s">
        <v>57</v>
      </c>
      <c r="H1863" s="36" t="n">
        <f aca="false">Sens!$H$1862*(Sens!$H$1826+wacc*ext_sh*(Sens!$G$1848+Sens!$H$1848)/2/(1-tax)-Sens!$H$1851)/Sens!$H$1826</f>
        <v>1.24841532235143</v>
      </c>
      <c r="I1863" s="36" t="n">
        <f aca="false">Sens!$I$1862*(Sens!$I$1826+wacc*ext_sh*(Sens!$H$1848+Sens!$I$1848)/2/(1-tax)-Sens!$I$1851)/Sens!$I$1826</f>
        <v>1.2770654864209</v>
      </c>
      <c r="J1863" s="36" t="n">
        <f aca="false">Sens!$J$1862*(Sens!$J$1826+wacc*ext_sh*(Sens!$I$1848+Sens!$J$1848)/2/(1-tax)-Sens!$J$1851)/Sens!$J$1826</f>
        <v>1.25000291752886</v>
      </c>
      <c r="K1863" s="36" t="n">
        <f aca="false">Sens!$K$1862*(Sens!$K$1826+wacc*ext_sh*(Sens!$J$1848+Sens!$K$1848)/2/(1-tax)-Sens!$K$1851)/Sens!$K$1826</f>
        <v>1.24223938696916</v>
      </c>
      <c r="L1863" s="36" t="n">
        <f aca="false">Sens!$L$1862*(Sens!$L$1826+wacc*ext_sh*(Sens!$K$1848+Sens!$L$1848)/2/(1-tax)-Sens!$L$1851)/Sens!$L$1826</f>
        <v>1.23648369264147</v>
      </c>
      <c r="M1863" s="36" t="n">
        <f aca="false">Sens!$M$1862*(Sens!$M$1826+wacc*ext_sh*(Sens!$L$1848+Sens!$M$1848)/2/(1-tax)-Sens!$M$1851)/Sens!$M$1826</f>
        <v>1.24238108766475</v>
      </c>
    </row>
    <row r="1864" customFormat="false" ht="17.15" hidden="false" customHeight="false" outlineLevel="0" collapsed="false">
      <c r="A1864" s="5" t="s">
        <v>671</v>
      </c>
      <c r="B1864" s="0" t="s">
        <v>52</v>
      </c>
      <c r="C1864" s="13" t="n">
        <f aca="false">Sens!$C$1827/tk_pq</f>
        <v>0.195316432429398</v>
      </c>
      <c r="D1864" s="13" t="n">
        <f aca="false">Sens!$D$1827/tk_pq</f>
        <v>0.195316432429398</v>
      </c>
      <c r="E1864" s="13" t="n">
        <f aca="false">Sens!$E$1827/tk_pq</f>
        <v>0.195316432429398</v>
      </c>
      <c r="F1864" s="13" t="n">
        <f aca="false">Sens!$F$1827/tk_pq</f>
        <v>0.202241827274866</v>
      </c>
      <c r="G1864" s="13" t="n">
        <f aca="false">Sens!$G$1827/tk_pq</f>
        <v>0.199675016194063</v>
      </c>
      <c r="H1864" s="13" t="n">
        <f aca="false">Sens!$H$1827/tk_pq</f>
        <v>0.212647947710325</v>
      </c>
      <c r="I1864" s="13" t="n">
        <f aca="false">Sens!$I$1827/tk_pq</f>
        <v>0.219285125475351</v>
      </c>
      <c r="J1864" s="13" t="n">
        <f aca="false">Sens!$J$1827/tk_pq</f>
        <v>0.222492493217189</v>
      </c>
      <c r="K1864" s="13" t="n">
        <f aca="false">Sens!$K$1827/tk_pq</f>
        <v>0.224053502812094</v>
      </c>
      <c r="L1864" s="13" t="n">
        <f aca="false">Sens!$L$1827/tk_pq</f>
        <v>0.224786916785614</v>
      </c>
      <c r="M1864" s="13" t="n">
        <f aca="false">Sens!$M$1827/tk_pq</f>
        <v>0.225048671566937</v>
      </c>
      <c r="N1864" s="13" t="n">
        <f aca="false">Sens!$N$1827/tk_pq</f>
        <v>0.195316432429398</v>
      </c>
      <c r="O1864" s="13" t="n">
        <f aca="false">Sens!$O$1827/tk_pq</f>
        <v>0.195316432429398</v>
      </c>
      <c r="P1864" s="5" t="s">
        <v>672</v>
      </c>
    </row>
    <row r="1867" customFormat="false" ht="17.15" hidden="false" customHeight="false" outlineLevel="0" collapsed="false">
      <c r="A1867" s="1" t="s">
        <v>701</v>
      </c>
    </row>
    <row r="1868" customFormat="false" ht="17.15" hidden="false" customHeight="false" outlineLevel="0" collapsed="false">
      <c r="A1868" s="0" t="s">
        <v>702</v>
      </c>
      <c r="B1868" s="0" t="s">
        <v>86</v>
      </c>
      <c r="C1868" s="38" t="n">
        <f aca="false">Sens!$C$1826</f>
        <v>2.32100535697364</v>
      </c>
      <c r="D1868" s="38" t="n">
        <f aca="false">Sens!$D$1826</f>
        <v>8.70377008865116</v>
      </c>
      <c r="E1868" s="38" t="n">
        <f aca="false">Sens!$E$1826</f>
        <v>8.51035297557002</v>
      </c>
      <c r="F1868" s="38" t="n">
        <f aca="false">Sens!$F$1826</f>
        <v>14.9634336447205</v>
      </c>
      <c r="G1868" s="38" t="n">
        <f aca="false">Sens!$G$1826</f>
        <v>23.4737866202905</v>
      </c>
      <c r="H1868" s="38" t="n">
        <f aca="false">Sens!$H$1826</f>
        <v>60.1658907497746</v>
      </c>
      <c r="I1868" s="38" t="n">
        <f aca="false">Sens!$I$1826</f>
        <v>101.503699136432</v>
      </c>
      <c r="J1868" s="38" t="n">
        <f aca="false">Sens!$J$1826</f>
        <v>143.025407151278</v>
      </c>
      <c r="K1868" s="38" t="n">
        <f aca="false">Sens!$K$1826</f>
        <v>178.44812038318</v>
      </c>
      <c r="L1868" s="38" t="n">
        <f aca="false">Sens!$L$1826</f>
        <v>201.728101802396</v>
      </c>
      <c r="M1868" s="38" t="n">
        <f aca="false">Sens!$M$1826</f>
        <v>212.835441368865</v>
      </c>
      <c r="N1868" s="38" t="n">
        <f aca="false">Sens!$N$1826</f>
        <v>3.04631953102791</v>
      </c>
      <c r="O1868" s="38" t="n">
        <f aca="false">Sens!$O$1826</f>
        <v>5.65745055762326</v>
      </c>
      <c r="P1868" s="8" t="s">
        <v>703</v>
      </c>
    </row>
    <row r="1869" customFormat="false" ht="17.15" hidden="false" customHeight="false" outlineLevel="0" collapsed="false">
      <c r="A1869" s="0" t="s">
        <v>704</v>
      </c>
      <c r="B1869" s="0" t="s">
        <v>86</v>
      </c>
      <c r="C1869" s="38" t="n">
        <f aca="false">Sens!$C$1830</f>
        <v>105.234994643026</v>
      </c>
      <c r="D1869" s="38" t="n">
        <f aca="false">Sens!$D$1830</f>
        <v>120.021229911349</v>
      </c>
      <c r="E1869" s="38" t="n">
        <f aca="false">Sens!$E$1830</f>
        <v>71.30864702443</v>
      </c>
      <c r="F1869" s="38" t="n">
        <f aca="false">Sens!$F$1830</f>
        <v>71.7692997942464</v>
      </c>
      <c r="G1869" s="38" t="n">
        <f aca="false">Sens!$G$1830</f>
        <v>143.077946818676</v>
      </c>
      <c r="H1869" s="38" t="n">
        <f aca="false">Sens!$H$1830</f>
        <v>161.017077079203</v>
      </c>
      <c r="I1869" s="38" t="n">
        <f aca="false">Sens!$I$1830</f>
        <v>178.769759521457</v>
      </c>
      <c r="J1869" s="38" t="n">
        <f aca="false">Sens!$J$1830</f>
        <v>195.775538045907</v>
      </c>
      <c r="K1869" s="38" t="n">
        <f aca="false">Sens!$K$1830</f>
        <v>211.43758108958</v>
      </c>
      <c r="L1869" s="38" t="n">
        <f aca="false">Sens!$L$1830</f>
        <v>228.352587576746</v>
      </c>
      <c r="M1869" s="38" t="n">
        <f aca="false">Sens!$M$1830</f>
        <v>246.620794582886</v>
      </c>
      <c r="N1869" s="38" t="n">
        <f aca="false">Sens!$N$1830</f>
        <v>57.0936804689721</v>
      </c>
      <c r="O1869" s="38" t="n">
        <f aca="false">Sens!$O$1830</f>
        <v>62.9275494423768</v>
      </c>
      <c r="P1869" s="8" t="s">
        <v>703</v>
      </c>
    </row>
    <row r="1870" customFormat="false" ht="17.15" hidden="false" customHeight="false" outlineLevel="0" collapsed="false">
      <c r="A1870" s="1" t="s">
        <v>523</v>
      </c>
      <c r="B1870" s="8" t="s">
        <v>86</v>
      </c>
      <c r="C1870" s="38" t="n">
        <f aca="false">Q!$D$7</f>
        <v>107.556</v>
      </c>
      <c r="D1870" s="38" t="n">
        <f aca="false">Q!$E$7</f>
        <v>128.725</v>
      </c>
      <c r="E1870" s="38" t="n">
        <f aca="false">Q!$P$7</f>
        <v>79.819</v>
      </c>
      <c r="F1870" s="38" t="n">
        <f aca="false">Sens!$F$1868+Sens!$F$1869</f>
        <v>86.7327334389669</v>
      </c>
      <c r="G1870" s="38" t="n">
        <f aca="false">Sens!$G$1868+Sens!$G$1869</f>
        <v>166.551733438967</v>
      </c>
      <c r="H1870" s="38" t="n">
        <f aca="false">Sens!$H$1868+Sens!$H$1869</f>
        <v>221.182967828978</v>
      </c>
      <c r="I1870" s="38" t="n">
        <f aca="false">Sens!$I$1868+Sens!$I$1869</f>
        <v>280.27345865789</v>
      </c>
      <c r="J1870" s="38" t="n">
        <f aca="false">Sens!$J$1868+Sens!$J$1869</f>
        <v>338.800945197185</v>
      </c>
      <c r="K1870" s="38" t="n">
        <f aca="false">Sens!$K$1868+Sens!$K$1869</f>
        <v>389.88570147276</v>
      </c>
      <c r="L1870" s="38" t="n">
        <f aca="false">Sens!$L$1868+Sens!$L$1869</f>
        <v>430.080689379143</v>
      </c>
      <c r="M1870" s="38" t="n">
        <f aca="false">Sens!$M$1868+Sens!$M$1869</f>
        <v>459.456235951751</v>
      </c>
      <c r="N1870" s="38" t="n">
        <f aca="false">Q!$N$7</f>
        <v>60.14</v>
      </c>
      <c r="O1870" s="38" t="n">
        <f aca="false">Q!$O$7</f>
        <v>68.585</v>
      </c>
      <c r="P1870" s="5" t="s">
        <v>705</v>
      </c>
    </row>
    <row r="1871" customFormat="false" ht="15" hidden="false" customHeight="false" outlineLevel="0" collapsed="false">
      <c r="A1871" s="3" t="s">
        <v>706</v>
      </c>
      <c r="B1871" s="8" t="s">
        <v>86</v>
      </c>
      <c r="C1871" s="38" t="n">
        <f aca="false">Q!$D$8</f>
        <v>637.959</v>
      </c>
      <c r="D1871" s="38" t="n">
        <f aca="false">Q!$E$8</f>
        <v>716.924</v>
      </c>
      <c r="E1871" s="38" t="n">
        <f aca="false">Q!$P$8</f>
        <v>382.125</v>
      </c>
      <c r="F1871" s="38" t="n">
        <f aca="false">Sens!$F$1798+Sens!$F$1870</f>
        <v>435.780975084504</v>
      </c>
      <c r="G1871" s="38" t="n">
        <f aca="false">Sens!$G$1798+Sens!$G$1870</f>
        <v>817.905975084504</v>
      </c>
      <c r="H1871" s="38" t="n">
        <f aca="false">Sens!$H$1798+Sens!$H$1870</f>
        <v>942.279857350364</v>
      </c>
      <c r="I1871" s="38" t="n">
        <f aca="false">Sens!$I$1798+Sens!$I$1870</f>
        <v>1068.80284981042</v>
      </c>
      <c r="J1871" s="38" t="n">
        <f aca="false">Sens!$J$1798+Sens!$J$1870</f>
        <v>1189.90935093863</v>
      </c>
      <c r="K1871" s="38" t="n">
        <f aca="false">Sens!$K$1798+Sens!$K$1870</f>
        <v>1296.06215690385</v>
      </c>
      <c r="L1871" s="38" t="n">
        <f aca="false">Sens!$L$1798+Sens!$L$1870</f>
        <v>1395.17379585473</v>
      </c>
      <c r="M1871" s="38" t="n">
        <f aca="false">Sens!$M$1798+Sens!$M$1870</f>
        <v>1487.60414389864</v>
      </c>
      <c r="N1871" s="38" t="n">
        <f aca="false">Q!$N$8</f>
        <v>323.369</v>
      </c>
      <c r="O1871" s="38" t="n">
        <f aca="false">Q!$O$8</f>
        <v>393.555</v>
      </c>
    </row>
    <row r="1872" customFormat="false" ht="17.15" hidden="false" customHeight="false" outlineLevel="0" collapsed="false">
      <c r="A1872" s="24" t="s">
        <v>714</v>
      </c>
      <c r="B1872" s="25" t="s">
        <v>86</v>
      </c>
      <c r="C1872" s="41" t="n">
        <f aca="false">Sens!$C$1798-(Sens!$C$1800+Sens!$C$1801)</f>
        <v>0</v>
      </c>
      <c r="D1872" s="41" t="n">
        <f aca="false">Sens!$D$1798-(Sens!$D$1800+Sens!$D$1801)</f>
        <v>0</v>
      </c>
      <c r="E1872" s="41" t="n">
        <f aca="false">Sens!$E$1798-(Sens!$E$1800+Sens!$E$1801)</f>
        <v>0</v>
      </c>
      <c r="F1872" s="41" t="n">
        <f aca="false">Sens!$F$1798-(Sens!$F$1800+Sens!$F$1801)</f>
        <v>0</v>
      </c>
      <c r="G1872" s="41" t="n">
        <f aca="false">Sens!$G$1798-(Sens!$G$1800+Sens!$G$1801)</f>
        <v>0</v>
      </c>
      <c r="H1872" s="41" t="n">
        <f aca="false">Sens!$H$1798-(Sens!$H$1800+Sens!$H$1801)</f>
        <v>0</v>
      </c>
      <c r="I1872" s="41" t="n">
        <f aca="false">Sens!$I$1798-(Sens!$I$1800+Sens!$I$1801)</f>
        <v>0</v>
      </c>
      <c r="J1872" s="41" t="n">
        <f aca="false">Sens!$J$1798-(Sens!$J$1800+Sens!$J$1801)</f>
        <v>0</v>
      </c>
      <c r="K1872" s="41" t="n">
        <f aca="false">Sens!$K$1798-(Sens!$K$1800+Sens!$K$1801)</f>
        <v>0</v>
      </c>
      <c r="L1872" s="41" t="n">
        <f aca="false">Sens!$L$1798-(Sens!$L$1800+Sens!$L$1801)</f>
        <v>0</v>
      </c>
      <c r="M1872" s="41" t="n">
        <f aca="false">Sens!$M$1798-(Sens!$M$1800+Sens!$M$1801)</f>
        <v>0</v>
      </c>
      <c r="N1872" s="41" t="n">
        <f aca="false">Sens!$N$1798-(Sens!$N$1800+Sens!$N$1801)</f>
        <v>0</v>
      </c>
      <c r="O1872" s="41" t="n">
        <f aca="false">Sens!$O$1798-(Sens!$O$1800+Sens!$O$1801)</f>
        <v>0</v>
      </c>
    </row>
    <row r="1873" customFormat="false" ht="17.15" hidden="false" customHeight="false" outlineLevel="0" collapsed="false">
      <c r="A1873" s="24" t="s">
        <v>715</v>
      </c>
      <c r="B1873" s="25" t="s">
        <v>86</v>
      </c>
      <c r="C1873" s="41" t="n">
        <f aca="false">Sens!$C$1868+Sens!$C$1869-Sens!$C$1870</f>
        <v>0</v>
      </c>
      <c r="D1873" s="41" t="n">
        <f aca="false">Sens!$D$1868+Sens!$D$1869-Sens!$D$1870</f>
        <v>0</v>
      </c>
      <c r="E1873" s="41" t="n">
        <f aca="false">Sens!$E$1868+Sens!$E$1869-Sens!$E$1870</f>
        <v>0</v>
      </c>
      <c r="F1873" s="41" t="n">
        <f aca="false">Sens!$F$1868+Sens!$F$1869-Sens!$F$1870</f>
        <v>0</v>
      </c>
      <c r="G1873" s="41" t="n">
        <f aca="false">Sens!$G$1868+Sens!$G$1869-Sens!$G$1870</f>
        <v>0</v>
      </c>
      <c r="H1873" s="41" t="n">
        <f aca="false">Sens!$H$1868+Sens!$H$1869-Sens!$H$1870</f>
        <v>0</v>
      </c>
      <c r="I1873" s="41" t="n">
        <f aca="false">Sens!$I$1868+Sens!$I$1869-Sens!$I$1870</f>
        <v>0</v>
      </c>
      <c r="J1873" s="41" t="n">
        <f aca="false">Sens!$J$1868+Sens!$J$1869-Sens!$J$1870</f>
        <v>0</v>
      </c>
      <c r="K1873" s="41" t="n">
        <f aca="false">Sens!$K$1868+Sens!$K$1869-Sens!$K$1870</f>
        <v>0</v>
      </c>
      <c r="L1873" s="41" t="n">
        <f aca="false">Sens!$L$1868+Sens!$L$1869-Sens!$L$1870</f>
        <v>0</v>
      </c>
      <c r="M1873" s="41" t="n">
        <f aca="false">Sens!$M$1868+Sens!$M$1869-Sens!$M$1870</f>
        <v>0</v>
      </c>
      <c r="N1873" s="41" t="n">
        <f aca="false">Sens!$N$1868+Sens!$N$1869-Sens!$N$1870</f>
        <v>0</v>
      </c>
      <c r="O1873" s="41" t="n">
        <f aca="false">Sens!$O$1868+Sens!$O$1869-Sens!$O$1870</f>
        <v>0</v>
      </c>
    </row>
    <row r="1874" customFormat="false" ht="17.15" hidden="false" customHeight="false" outlineLevel="0" collapsed="false">
      <c r="A1874" s="24" t="s">
        <v>716</v>
      </c>
      <c r="B1874" s="25" t="s">
        <v>86</v>
      </c>
      <c r="C1874" s="41" t="n">
        <f aca="false">Sens!$C$1800+Sens!$C$1801+Sens!$C$1870-Sens!$C$1871</f>
        <v>0</v>
      </c>
      <c r="D1874" s="41" t="n">
        <f aca="false">Sens!$D$1800+Sens!$D$1801+Sens!$D$1870-Sens!$D$1871</f>
        <v>0</v>
      </c>
      <c r="E1874" s="41" t="n">
        <f aca="false">Sens!$E$1800+Sens!$E$1801+Sens!$E$1870-Sens!$E$1871</f>
        <v>0</v>
      </c>
      <c r="F1874" s="41" t="n">
        <f aca="false">Sens!$F$1800+Sens!$F$1801+Sens!$F$1870-Sens!$F$1871</f>
        <v>0</v>
      </c>
      <c r="G1874" s="41" t="n">
        <f aca="false">Sens!$G$1800+Sens!$G$1801+Sens!$G$1870-Sens!$G$1871</f>
        <v>0</v>
      </c>
      <c r="H1874" s="41" t="n">
        <f aca="false">Sens!$H$1800+Sens!$H$1801+Sens!$H$1870-Sens!$H$1871</f>
        <v>0</v>
      </c>
      <c r="I1874" s="41" t="n">
        <f aca="false">Sens!$I$1800+Sens!$I$1801+Sens!$I$1870-Sens!$I$1871</f>
        <v>0</v>
      </c>
      <c r="J1874" s="41" t="n">
        <f aca="false">Sens!$J$1800+Sens!$J$1801+Sens!$J$1870-Sens!$J$1871</f>
        <v>0</v>
      </c>
      <c r="K1874" s="41" t="n">
        <f aca="false">Sens!$K$1800+Sens!$K$1801+Sens!$K$1870-Sens!$K$1871</f>
        <v>0</v>
      </c>
      <c r="L1874" s="41" t="n">
        <f aca="false">Sens!$L$1800+Sens!$L$1801+Sens!$L$1870-Sens!$L$1871</f>
        <v>0</v>
      </c>
      <c r="M1874" s="41" t="n">
        <f aca="false">Sens!$M$1800+Sens!$M$1801+Sens!$M$1870-Sens!$M$1871</f>
        <v>0</v>
      </c>
      <c r="N1874" s="41" t="n">
        <f aca="false">Sens!$N$1800+Sens!$N$1801+Sens!$N$1870-Sens!$N$1871</f>
        <v>0</v>
      </c>
      <c r="O1874" s="41" t="n">
        <f aca="false">Sens!$O$1800+Sens!$O$1801+Sens!$O$1870-Sens!$O$1871</f>
        <v>0</v>
      </c>
    </row>
    <row r="1875" customFormat="false" ht="15" hidden="false" customHeight="false" outlineLevel="0" collapsed="false">
      <c r="A1875" s="5" t="s">
        <v>710</v>
      </c>
      <c r="B1875" s="0" t="s">
        <v>52</v>
      </c>
      <c r="G1875" s="13" t="n">
        <f aca="false">Sens!$G$1871/Sens!$D$1871-1</f>
        <v>0.140854504918937</v>
      </c>
      <c r="H1875" s="13" t="n">
        <f aca="false">Sens!$H$1871/Sens!$G$1871-1</f>
        <v>0.152063789793209</v>
      </c>
      <c r="I1875" s="13" t="n">
        <f aca="false">Sens!$I$1871/Sens!$H$1871-1</f>
        <v>0.134273264437417</v>
      </c>
      <c r="J1875" s="13" t="n">
        <f aca="false">Sens!$J$1871/Sens!$I$1871-1</f>
        <v>0.113310421234083</v>
      </c>
      <c r="K1875" s="13" t="n">
        <f aca="false">Sens!$K$1871/Sens!$J$1871-1</f>
        <v>0.0892108343223652</v>
      </c>
      <c r="L1875" s="13" t="n">
        <f aca="false">Sens!$L$1871/Sens!$K$1871-1</f>
        <v>0.076471362444261</v>
      </c>
      <c r="M1875" s="13" t="n">
        <f aca="false">Sens!$M$1871/Sens!$L$1871-1</f>
        <v>0.066250060256672</v>
      </c>
    </row>
    <row r="1876" customFormat="false" ht="17.15" hidden="false" customHeight="false" outlineLevel="0" collapsed="false">
      <c r="A1876" s="0" t="s">
        <v>711</v>
      </c>
      <c r="B1876" s="0" t="s">
        <v>52</v>
      </c>
      <c r="C1876" s="13" t="n">
        <f aca="false">Sens!$C$1870/Sens!$C$1871</f>
        <v>0.168593906504964</v>
      </c>
      <c r="D1876" s="13" t="n">
        <f aca="false">Sens!$D$1870/Sens!$D$1871</f>
        <v>0.179551807444025</v>
      </c>
      <c r="E1876" s="13" t="n">
        <f aca="false">Sens!$E$1870/Sens!$E$1871</f>
        <v>0.208881910369643</v>
      </c>
      <c r="F1876" s="13" t="n">
        <f aca="false">Sens!$F$1870/Sens!$F$1871</f>
        <v>0.199028269699356</v>
      </c>
      <c r="G1876" s="13" t="n">
        <f aca="false">Sens!$G$1870/Sens!$G$1871</f>
        <v>0.203631882529968</v>
      </c>
      <c r="H1876" s="13" t="n">
        <f aca="false">Sens!$H$1870/Sens!$H$1871</f>
        <v>0.234731715958496</v>
      </c>
      <c r="I1876" s="13" t="n">
        <f aca="false">Sens!$I$1870/Sens!$I$1871</f>
        <v>0.262231204480418</v>
      </c>
      <c r="J1876" s="13" t="n">
        <f aca="false">Sens!$J$1870/Sens!$J$1871</f>
        <v>0.284728366013706</v>
      </c>
      <c r="K1876" s="13" t="n">
        <f aca="false">Sens!$K$1870/Sens!$K$1871</f>
        <v>0.300823304959505</v>
      </c>
      <c r="L1876" s="13" t="n">
        <f aca="false">Sens!$L$1870/Sens!$L$1871</f>
        <v>0.308263164529735</v>
      </c>
      <c r="M1876" s="13" t="n">
        <f aca="false">Sens!$M$1870/Sens!$M$1871</f>
        <v>0.308856517936036</v>
      </c>
      <c r="N1876" s="13" t="n">
        <f aca="false">Sens!$N$1870/Sens!$N$1871</f>
        <v>0.185979484737251</v>
      </c>
      <c r="O1876" s="13" t="n">
        <f aca="false">Sens!$O$1870/Sens!$O$1871</f>
        <v>0.174270432341096</v>
      </c>
    </row>
    <row r="1877" customFormat="false" ht="17.15" hidden="false" customHeight="false" outlineLevel="0" collapsed="false">
      <c r="A1877" s="0" t="s">
        <v>712</v>
      </c>
      <c r="B1877" s="0" t="s">
        <v>52</v>
      </c>
      <c r="C1877" s="13" t="n">
        <f aca="false">Sens!$C$1868/Sens!$C$1870</f>
        <v>0.0215795060896058</v>
      </c>
      <c r="D1877" s="13" t="n">
        <f aca="false">Sens!$D$1868/Sens!$D$1870</f>
        <v>0.0676152269462122</v>
      </c>
      <c r="E1877" s="13" t="n">
        <f aca="false">Sens!$E$1868/Sens!$E$1870</f>
        <v>0.106620641395783</v>
      </c>
      <c r="F1877" s="13" t="n">
        <f aca="false">Sens!$F$1868/Sens!$F$1870</f>
        <v>0.172523487401099</v>
      </c>
      <c r="G1877" s="13" t="n">
        <f aca="false">Sens!$G$1868/Sens!$G$1870</f>
        <v>0.140939911795589</v>
      </c>
      <c r="H1877" s="13" t="n">
        <f aca="false">Sens!$H$1868/Sens!$H$1870</f>
        <v>0.272018642937714</v>
      </c>
      <c r="I1877" s="13" t="n">
        <f aca="false">Sens!$I$1868/Sens!$I$1870</f>
        <v>0.362159512436497</v>
      </c>
      <c r="J1877" s="13" t="n">
        <f aca="false">Sens!$J$1868/Sens!$J$1870</f>
        <v>0.422151735934609</v>
      </c>
      <c r="K1877" s="13" t="n">
        <f aca="false">Sens!$K$1868/Sens!$K$1870</f>
        <v>0.45769342068485</v>
      </c>
      <c r="L1877" s="13" t="n">
        <f aca="false">Sens!$L$1868/Sens!$L$1870</f>
        <v>0.469047103913472</v>
      </c>
      <c r="M1877" s="13" t="n">
        <f aca="false">Sens!$M$1868/Sens!$M$1870</f>
        <v>0.463233328258093</v>
      </c>
      <c r="N1877" s="13" t="n">
        <f aca="false">Sens!$N$1868/Sens!$N$1870</f>
        <v>0.0506537999838362</v>
      </c>
      <c r="O1877" s="13" t="n">
        <f aca="false">Sens!$O$1868/Sens!$O$1870</f>
        <v>0.0824881615167056</v>
      </c>
    </row>
    <row r="1880" customFormat="false" ht="19.4" hidden="false" customHeight="false" outlineLevel="0" collapsed="false">
      <c r="A1880" s="31" t="s">
        <v>1189</v>
      </c>
    </row>
    <row r="1881" customFormat="false" ht="17.15" hidden="false" customHeight="false" outlineLevel="0" collapsed="false">
      <c r="A1881" s="6" t="s">
        <v>16</v>
      </c>
      <c r="B1881" s="6" t="s">
        <v>17</v>
      </c>
      <c r="C1881" s="20" t="s">
        <v>504</v>
      </c>
      <c r="D1881" s="20" t="s">
        <v>505</v>
      </c>
      <c r="E1881" s="20" t="s">
        <v>587</v>
      </c>
      <c r="F1881" s="20" t="s">
        <v>588</v>
      </c>
      <c r="G1881" s="20" t="s">
        <v>589</v>
      </c>
      <c r="H1881" s="20" t="s">
        <v>590</v>
      </c>
      <c r="I1881" s="20" t="s">
        <v>591</v>
      </c>
      <c r="J1881" s="20" t="s">
        <v>592</v>
      </c>
      <c r="K1881" s="20" t="s">
        <v>593</v>
      </c>
      <c r="L1881" s="20" t="s">
        <v>594</v>
      </c>
      <c r="M1881" s="20" t="s">
        <v>595</v>
      </c>
      <c r="N1881" s="20" t="s">
        <v>596</v>
      </c>
      <c r="O1881" s="20" t="s">
        <v>597</v>
      </c>
      <c r="P1881" s="6" t="s">
        <v>23</v>
      </c>
      <c r="R1881" s="20" t="n">
        <v>2023</v>
      </c>
      <c r="S1881" s="20" t="n">
        <v>2024</v>
      </c>
      <c r="T1881" s="20" t="n">
        <v>2025</v>
      </c>
      <c r="U1881" s="20" t="n">
        <v>2026</v>
      </c>
      <c r="V1881" s="20" t="n">
        <v>2027</v>
      </c>
      <c r="W1881" s="20" t="n">
        <v>2028</v>
      </c>
      <c r="X1881" s="20" t="n">
        <v>2029</v>
      </c>
      <c r="Y1881" s="20" t="n">
        <v>2030</v>
      </c>
      <c r="Z1881" s="20" t="n">
        <v>2031</v>
      </c>
      <c r="AA1881" s="20" t="n">
        <v>2032</v>
      </c>
    </row>
    <row r="1882" customFormat="false" ht="17.15" hidden="false" customHeight="false" outlineLevel="0" collapsed="false">
      <c r="A1882" s="1" t="s">
        <v>727</v>
      </c>
    </row>
    <row r="1883" customFormat="false" ht="15" hidden="false" customHeight="false" outlineLevel="0" collapsed="false">
      <c r="A1883" s="0" t="s">
        <v>526</v>
      </c>
      <c r="B1883" s="0" t="s">
        <v>86</v>
      </c>
      <c r="C1883" s="38" t="n">
        <f aca="false">Sens!$C$1785</f>
        <v>247.029</v>
      </c>
      <c r="D1883" s="38" t="n">
        <f aca="false">Sens!$D$1785</f>
        <v>269.287</v>
      </c>
      <c r="E1883" s="38" t="n">
        <f aca="false">Sens!$E$1785</f>
        <v>134.686</v>
      </c>
      <c r="F1883" s="38" t="n">
        <f aca="false">Sens!$F$1785</f>
        <v>158.293876822267</v>
      </c>
      <c r="G1883" s="38" t="n">
        <f aca="false">Sens!$G$1785</f>
        <v>292.979876822267</v>
      </c>
      <c r="H1883" s="38" t="n">
        <f aca="false">Sens!$H$1785</f>
        <v>318.184543087396</v>
      </c>
      <c r="I1883" s="38" t="n">
        <f aca="false">Sens!$I$1785</f>
        <v>341.736278761793</v>
      </c>
      <c r="J1883" s="38" t="n">
        <f aca="false">Sens!$J$1785</f>
        <v>362.927192787048</v>
      </c>
      <c r="K1883" s="38" t="n">
        <f aca="false">Sens!$K$1785</f>
        <v>381.0735524264</v>
      </c>
      <c r="L1883" s="38" t="n">
        <f aca="false">Sens!$L$1785</f>
        <v>400.12723004772</v>
      </c>
      <c r="M1883" s="38" t="n">
        <f aca="false">Sens!$M$1785</f>
        <v>420.133591550106</v>
      </c>
      <c r="N1883" s="38" t="n">
        <f aca="false">Sens!$N$1785</f>
        <v>118.892</v>
      </c>
      <c r="O1883" s="38" t="n">
        <f aca="false">Sens!$O$1785</f>
        <v>150.395</v>
      </c>
    </row>
    <row r="1884" customFormat="false" ht="15" hidden="false" customHeight="false" outlineLevel="0" collapsed="false">
      <c r="A1884" s="0" t="s">
        <v>527</v>
      </c>
      <c r="B1884" s="0" t="s">
        <v>86</v>
      </c>
      <c r="C1884" s="38" t="n">
        <f aca="false">Sens!$C$1787</f>
        <v>21.215</v>
      </c>
      <c r="D1884" s="38" t="n">
        <f aca="false">Sens!$D$1787</f>
        <v>22.561</v>
      </c>
      <c r="E1884" s="38" t="n">
        <f aca="false">Sens!$E$1787</f>
        <v>11.579</v>
      </c>
      <c r="F1884" s="38" t="n">
        <f aca="false">Sens!$F$1787</f>
        <v>11.5938724610325</v>
      </c>
      <c r="G1884" s="38" t="n">
        <f aca="false">Sens!$G$1787</f>
        <v>23.1728724610325</v>
      </c>
      <c r="H1884" s="38" t="n">
        <f aca="false">Sens!$H$1787</f>
        <v>24.353392759506</v>
      </c>
      <c r="I1884" s="38" t="n">
        <f aca="false">Sens!$I$1787</f>
        <v>25.4240338872015</v>
      </c>
      <c r="J1884" s="38" t="n">
        <f aca="false">Sens!$J$1787</f>
        <v>26.3642491017174</v>
      </c>
      <c r="K1884" s="38" t="n">
        <f aca="false">Sens!$K$1787</f>
        <v>27.155176574769</v>
      </c>
      <c r="L1884" s="38" t="n">
        <f aca="false">Sens!$L$1787</f>
        <v>27.969831872012</v>
      </c>
      <c r="M1884" s="38" t="n">
        <f aca="false">Sens!$M$1787</f>
        <v>28.8089268281724</v>
      </c>
      <c r="N1884" s="38" t="n">
        <f aca="false">Sens!$N$1787</f>
        <v>11.128</v>
      </c>
      <c r="O1884" s="38" t="n">
        <f aca="false">Sens!$O$1787</f>
        <v>11.433</v>
      </c>
    </row>
    <row r="1885" customFormat="false" ht="15" hidden="false" customHeight="false" outlineLevel="0" collapsed="false">
      <c r="A1885" s="0" t="s">
        <v>528</v>
      </c>
      <c r="B1885" s="0" t="s">
        <v>86</v>
      </c>
      <c r="C1885" s="38" t="n">
        <f aca="false">Sens!$C$1789</f>
        <v>156.146</v>
      </c>
      <c r="D1885" s="38" t="n">
        <f aca="false">Sens!$D$1789</f>
        <v>172.162</v>
      </c>
      <c r="E1885" s="38" t="n">
        <f aca="false">Sens!$E$1789</f>
        <v>88.358</v>
      </c>
      <c r="F1885" s="38" t="n">
        <f aca="false">Sens!$F$1789</f>
        <v>102.004388260171</v>
      </c>
      <c r="G1885" s="38" t="n">
        <f aca="false">Sens!$G$1789</f>
        <v>190.362388260171</v>
      </c>
      <c r="H1885" s="38" t="n">
        <f aca="false">Sens!$H$1789</f>
        <v>210.343106588311</v>
      </c>
      <c r="I1885" s="38" t="n">
        <f aca="false">Sens!$I$1789</f>
        <v>229.969728494648</v>
      </c>
      <c r="J1885" s="38" t="n">
        <f aca="false">Sens!$J$1789</f>
        <v>248.747636972598</v>
      </c>
      <c r="K1885" s="38" t="n">
        <f aca="false">Sens!$K$1789</f>
        <v>266.15997156068</v>
      </c>
      <c r="L1885" s="38" t="n">
        <f aca="false">Sens!$L$1789</f>
        <v>284.791169569927</v>
      </c>
      <c r="M1885" s="38" t="n">
        <f aca="false">Sens!$M$1789</f>
        <v>304.726551439822</v>
      </c>
      <c r="N1885" s="38" t="n">
        <f aca="false">Sens!$N$1789</f>
        <v>76.86</v>
      </c>
      <c r="O1885" s="38" t="n">
        <f aca="false">Sens!$O$1789</f>
        <v>95.302</v>
      </c>
    </row>
    <row r="1886" customFormat="false" ht="15" hidden="false" customHeight="false" outlineLevel="0" collapsed="false">
      <c r="A1886" s="0" t="s">
        <v>529</v>
      </c>
      <c r="B1886" s="0" t="s">
        <v>86</v>
      </c>
      <c r="C1886" s="38" t="n">
        <f aca="false">Sens!$C$1791</f>
        <v>56.214</v>
      </c>
      <c r="D1886" s="38" t="n">
        <f aca="false">Sens!$D$1791</f>
        <v>68.635</v>
      </c>
      <c r="E1886" s="38" t="n">
        <f aca="false">Sens!$E$1791</f>
        <v>37.052</v>
      </c>
      <c r="F1886" s="38" t="n">
        <f aca="false">Sens!$F$1791</f>
        <v>46.1572219944148</v>
      </c>
      <c r="G1886" s="38" t="n">
        <f aca="false">Sens!$G$1791</f>
        <v>83.2092219944148</v>
      </c>
      <c r="H1886" s="38" t="n">
        <f aca="false">Sens!$H$1791</f>
        <v>99.8969223878976</v>
      </c>
      <c r="I1886" s="38" t="n">
        <f aca="false">Sens!$I$1791</f>
        <v>116.583111095496</v>
      </c>
      <c r="J1886" s="38" t="n">
        <f aca="false">Sens!$J$1791</f>
        <v>132.148941941952</v>
      </c>
      <c r="K1886" s="38" t="n">
        <f aca="false">Sens!$K$1791</f>
        <v>145.363836136147</v>
      </c>
      <c r="L1886" s="38" t="n">
        <f aca="false">Sens!$L$1791</f>
        <v>159.900219749762</v>
      </c>
      <c r="M1886" s="38" t="n">
        <f aca="false">Sens!$M$1791</f>
        <v>175.890241724738</v>
      </c>
      <c r="N1886" s="38" t="n">
        <f aca="false">Sens!$N$1791</f>
        <v>29.615</v>
      </c>
      <c r="O1886" s="38" t="n">
        <f aca="false">Sens!$O$1791</f>
        <v>39.02</v>
      </c>
    </row>
    <row r="1887" customFormat="false" ht="15" hidden="false" customHeight="false" outlineLevel="0" collapsed="false">
      <c r="A1887" s="0" t="s">
        <v>530</v>
      </c>
      <c r="B1887" s="0" t="s">
        <v>86</v>
      </c>
      <c r="C1887" s="38" t="n">
        <f aca="false">Sens!$C$1793</f>
        <v>44.374</v>
      </c>
      <c r="D1887" s="38" t="n">
        <f aca="false">Sens!$D$1793</f>
        <v>49.619</v>
      </c>
      <c r="E1887" s="38" t="n">
        <f aca="false">Sens!$E$1793</f>
        <v>27.157</v>
      </c>
      <c r="F1887" s="38" t="n">
        <f aca="false">Sens!$F$1793</f>
        <v>27.7764165988154</v>
      </c>
      <c r="G1887" s="38" t="n">
        <f aca="false">Sens!$G$1793</f>
        <v>54.9334165988154</v>
      </c>
      <c r="H1887" s="38" t="n">
        <f aca="false">Sens!$H$1793</f>
        <v>61.1564112561829</v>
      </c>
      <c r="I1887" s="38" t="n">
        <f aca="false">Sens!$I$1793</f>
        <v>67.2020282103945</v>
      </c>
      <c r="J1887" s="38" t="n">
        <f aca="false">Sens!$J$1793</f>
        <v>72.8757274028885</v>
      </c>
      <c r="K1887" s="38" t="n">
        <f aca="false">Sens!$K$1793</f>
        <v>77.9770283210907</v>
      </c>
      <c r="L1887" s="38" t="n">
        <f aca="false">Sens!$L$1793</f>
        <v>83.4354203035671</v>
      </c>
      <c r="M1887" s="38" t="n">
        <f aca="false">Sens!$M$1793</f>
        <v>89.2758997248168</v>
      </c>
      <c r="N1887" s="38" t="n">
        <f aca="false">Sens!$N$1793</f>
        <v>23.923</v>
      </c>
      <c r="O1887" s="38" t="n">
        <f aca="false">Sens!$O$1793</f>
        <v>25.696</v>
      </c>
    </row>
    <row r="1888" customFormat="false" ht="15" hidden="false" customHeight="false" outlineLevel="0" collapsed="false">
      <c r="A1888" s="0" t="s">
        <v>531</v>
      </c>
      <c r="B1888" s="0" t="s">
        <v>86</v>
      </c>
      <c r="C1888" s="38" t="n">
        <f aca="false">Sens!$C$1795</f>
        <v>5.425</v>
      </c>
      <c r="D1888" s="38" t="n">
        <f aca="false">Sens!$D$1795</f>
        <v>5.935</v>
      </c>
      <c r="E1888" s="38" t="n">
        <f aca="false">Sens!$E$1795</f>
        <v>3.474</v>
      </c>
      <c r="F1888" s="38" t="n">
        <f aca="false">Sens!$F$1795</f>
        <v>3.22246550883619</v>
      </c>
      <c r="G1888" s="38" t="n">
        <f aca="false">Sens!$G$1795</f>
        <v>6.69646550883619</v>
      </c>
      <c r="H1888" s="38" t="n">
        <f aca="false">Sens!$H$1795</f>
        <v>7.16251344209196</v>
      </c>
      <c r="I1888" s="38" t="n">
        <f aca="false">Sens!$I$1795</f>
        <v>7.61421070299826</v>
      </c>
      <c r="J1888" s="38" t="n">
        <f aca="false">Sens!$J$1795</f>
        <v>8.04465753523932</v>
      </c>
      <c r="K1888" s="38" t="n">
        <f aca="false">Sens!$K$1795</f>
        <v>8.44689041200128</v>
      </c>
      <c r="L1888" s="38" t="n">
        <f aca="false">Sens!$L$1795</f>
        <v>8.86923493260135</v>
      </c>
      <c r="M1888" s="38" t="n">
        <f aca="false">Sens!$M$1795</f>
        <v>9.31269667923142</v>
      </c>
      <c r="N1888" s="38" t="n">
        <f aca="false">Sens!$N$1795</f>
        <v>2.811</v>
      </c>
      <c r="O1888" s="38" t="n">
        <f aca="false">Sens!$O$1795</f>
        <v>3.124</v>
      </c>
    </row>
    <row r="1889" customFormat="false" ht="17.15" hidden="false" customHeight="false" outlineLevel="0" collapsed="false">
      <c r="A1889" s="0" t="s">
        <v>728</v>
      </c>
      <c r="B1889" s="0" t="s">
        <v>86</v>
      </c>
      <c r="C1889" s="38" t="n">
        <f aca="false">Sens!$C$1870</f>
        <v>107.556</v>
      </c>
      <c r="D1889" s="38" t="n">
        <f aca="false">Sens!$D$1870</f>
        <v>128.725</v>
      </c>
      <c r="E1889" s="38" t="n">
        <f aca="false">Sens!$E$1870</f>
        <v>79.819</v>
      </c>
      <c r="F1889" s="38" t="n">
        <f aca="false">Sens!$F$1870</f>
        <v>86.7327334389669</v>
      </c>
      <c r="G1889" s="38" t="n">
        <f aca="false">Sens!$G$1870</f>
        <v>166.551733438967</v>
      </c>
      <c r="H1889" s="38" t="n">
        <f aca="false">Sens!$H$1870</f>
        <v>221.182967828978</v>
      </c>
      <c r="I1889" s="38" t="n">
        <f aca="false">Sens!$I$1870</f>
        <v>280.27345865789</v>
      </c>
      <c r="J1889" s="38" t="n">
        <f aca="false">Sens!$J$1870</f>
        <v>338.800945197185</v>
      </c>
      <c r="K1889" s="38" t="n">
        <f aca="false">Sens!$K$1870</f>
        <v>389.88570147276</v>
      </c>
      <c r="L1889" s="38" t="n">
        <f aca="false">Sens!$L$1870</f>
        <v>430.080689379143</v>
      </c>
      <c r="M1889" s="38" t="n">
        <f aca="false">Sens!$M$1870</f>
        <v>459.456235951751</v>
      </c>
      <c r="N1889" s="38" t="n">
        <f aca="false">Sens!$N$1870</f>
        <v>60.14</v>
      </c>
      <c r="O1889" s="38" t="n">
        <f aca="false">Sens!$O$1870</f>
        <v>68.585</v>
      </c>
    </row>
    <row r="1890" customFormat="false" ht="15" hidden="false" customHeight="false" outlineLevel="0" collapsed="false">
      <c r="A1890" s="1" t="s">
        <v>519</v>
      </c>
      <c r="B1890" s="8" t="s">
        <v>86</v>
      </c>
      <c r="C1890" s="38" t="n">
        <f aca="false">Sens!$C$1800</f>
        <v>387.497</v>
      </c>
      <c r="D1890" s="38" t="n">
        <f aca="false">Sens!$D$1800</f>
        <v>426.305</v>
      </c>
      <c r="E1890" s="38" t="n">
        <f aca="false">Sens!$E$1800</f>
        <v>220.32</v>
      </c>
      <c r="F1890" s="38" t="n">
        <f aca="false">Sens!$F$1800</f>
        <v>250.639773480586</v>
      </c>
      <c r="G1890" s="38" t="n">
        <f aca="false">Sens!$G$1800</f>
        <v>470.959773480586</v>
      </c>
      <c r="H1890" s="38" t="n">
        <f aca="false">Sens!$H$1800</f>
        <v>521.386990416437</v>
      </c>
      <c r="I1890" s="38" t="n">
        <f aca="false">Sens!$I$1800</f>
        <v>570.143862887555</v>
      </c>
      <c r="J1890" s="38" t="n">
        <f aca="false">Sens!$J$1800</f>
        <v>615.391435791933</v>
      </c>
      <c r="K1890" s="38" t="n">
        <f aca="false">Sens!$K$1800</f>
        <v>655.208227561543</v>
      </c>
      <c r="L1890" s="38" t="n">
        <f aca="false">Sens!$L$1800</f>
        <v>697.807739249767</v>
      </c>
      <c r="M1890" s="38" t="n">
        <f aca="false">Sens!$M$1800</f>
        <v>743.399328463592</v>
      </c>
      <c r="N1890" s="38" t="n">
        <f aca="false">Sens!$N$1800</f>
        <v>192.955</v>
      </c>
      <c r="O1890" s="38" t="n">
        <f aca="false">Sens!$O$1800</f>
        <v>233.35</v>
      </c>
    </row>
    <row r="1891" customFormat="false" ht="15" hidden="false" customHeight="false" outlineLevel="0" collapsed="false">
      <c r="A1891" s="1" t="s">
        <v>522</v>
      </c>
      <c r="B1891" s="8" t="s">
        <v>86</v>
      </c>
      <c r="C1891" s="38" t="n">
        <f aca="false">Sens!$C$1801</f>
        <v>142.906</v>
      </c>
      <c r="D1891" s="38" t="n">
        <f aca="false">Sens!$D$1801</f>
        <v>161.894</v>
      </c>
      <c r="E1891" s="38" t="n">
        <f aca="false">Sens!$E$1801</f>
        <v>81.986</v>
      </c>
      <c r="F1891" s="38" t="n">
        <f aca="false">Sens!$F$1801</f>
        <v>98.408468164951</v>
      </c>
      <c r="G1891" s="38" t="n">
        <f aca="false">Sens!$G$1801</f>
        <v>180.394468164951</v>
      </c>
      <c r="H1891" s="38" t="n">
        <f aca="false">Sens!$H$1801</f>
        <v>199.709899104949</v>
      </c>
      <c r="I1891" s="38" t="n">
        <f aca="false">Sens!$I$1801</f>
        <v>218.385528264976</v>
      </c>
      <c r="J1891" s="38" t="n">
        <f aca="false">Sens!$J$1801</f>
        <v>235.71696994951</v>
      </c>
      <c r="K1891" s="38" t="n">
        <f aca="false">Sens!$K$1801</f>
        <v>250.968227869545</v>
      </c>
      <c r="L1891" s="38" t="n">
        <f aca="false">Sens!$L$1801</f>
        <v>267.285367225822</v>
      </c>
      <c r="M1891" s="38" t="n">
        <f aca="false">Sens!$M$1801</f>
        <v>284.748579483295</v>
      </c>
      <c r="N1891" s="38" t="n">
        <f aca="false">Sens!$N$1801</f>
        <v>70.274</v>
      </c>
      <c r="O1891" s="38" t="n">
        <f aca="false">Sens!$O$1801</f>
        <v>91.62</v>
      </c>
    </row>
    <row r="1892" customFormat="false" ht="15" hidden="false" customHeight="false" outlineLevel="0" collapsed="false">
      <c r="A1892" s="1" t="s">
        <v>523</v>
      </c>
      <c r="B1892" s="8" t="s">
        <v>86</v>
      </c>
      <c r="C1892" s="38" t="n">
        <f aca="false">Sens!$C$1870</f>
        <v>107.556</v>
      </c>
      <c r="D1892" s="38" t="n">
        <f aca="false">Sens!$D$1870</f>
        <v>128.725</v>
      </c>
      <c r="E1892" s="38" t="n">
        <f aca="false">Sens!$E$1870</f>
        <v>79.819</v>
      </c>
      <c r="F1892" s="38" t="n">
        <f aca="false">Sens!$F$1870</f>
        <v>86.7327334389669</v>
      </c>
      <c r="G1892" s="38" t="n">
        <f aca="false">Sens!$G$1870</f>
        <v>166.551733438967</v>
      </c>
      <c r="H1892" s="38" t="n">
        <f aca="false">Sens!$H$1870</f>
        <v>221.182967828978</v>
      </c>
      <c r="I1892" s="38" t="n">
        <f aca="false">Sens!$I$1870</f>
        <v>280.27345865789</v>
      </c>
      <c r="J1892" s="38" t="n">
        <f aca="false">Sens!$J$1870</f>
        <v>338.800945197185</v>
      </c>
      <c r="K1892" s="38" t="n">
        <f aca="false">Sens!$K$1870</f>
        <v>389.88570147276</v>
      </c>
      <c r="L1892" s="38" t="n">
        <f aca="false">Sens!$L$1870</f>
        <v>430.080689379143</v>
      </c>
      <c r="M1892" s="38" t="n">
        <f aca="false">Sens!$M$1870</f>
        <v>459.456235951751</v>
      </c>
      <c r="N1892" s="38" t="n">
        <f aca="false">Sens!$N$1870</f>
        <v>60.14</v>
      </c>
      <c r="O1892" s="38" t="n">
        <f aca="false">Sens!$O$1870</f>
        <v>68.585</v>
      </c>
    </row>
    <row r="1893" customFormat="false" ht="17.15" hidden="false" customHeight="false" outlineLevel="0" collapsed="false">
      <c r="A1893" s="0" t="s">
        <v>702</v>
      </c>
      <c r="B1893" s="0" t="s">
        <v>86</v>
      </c>
      <c r="C1893" s="38" t="n">
        <f aca="false">Sens!$C$1868</f>
        <v>2.32100535697364</v>
      </c>
      <c r="D1893" s="38" t="n">
        <f aca="false">Sens!$D$1868</f>
        <v>8.70377008865116</v>
      </c>
      <c r="E1893" s="38" t="n">
        <f aca="false">Sens!$E$1868</f>
        <v>8.51035297557002</v>
      </c>
      <c r="F1893" s="38" t="n">
        <f aca="false">Sens!$F$1868</f>
        <v>14.9634336447205</v>
      </c>
      <c r="G1893" s="38" t="n">
        <f aca="false">Sens!$G$1868</f>
        <v>23.4737866202905</v>
      </c>
      <c r="H1893" s="38" t="n">
        <f aca="false">Sens!$H$1868</f>
        <v>60.1658907497746</v>
      </c>
      <c r="I1893" s="38" t="n">
        <f aca="false">Sens!$I$1868</f>
        <v>101.503699136432</v>
      </c>
      <c r="J1893" s="38" t="n">
        <f aca="false">Sens!$J$1868</f>
        <v>143.025407151278</v>
      </c>
      <c r="K1893" s="38" t="n">
        <f aca="false">Sens!$K$1868</f>
        <v>178.44812038318</v>
      </c>
      <c r="L1893" s="38" t="n">
        <f aca="false">Sens!$L$1868</f>
        <v>201.728101802396</v>
      </c>
      <c r="M1893" s="38" t="n">
        <f aca="false">Sens!$M$1868</f>
        <v>212.835441368865</v>
      </c>
      <c r="N1893" s="38" t="n">
        <f aca="false">Sens!$N$1868</f>
        <v>3.04631953102791</v>
      </c>
      <c r="O1893" s="38" t="n">
        <f aca="false">Sens!$O$1868</f>
        <v>5.65745055762326</v>
      </c>
    </row>
    <row r="1894" customFormat="false" ht="17.15" hidden="false" customHeight="false" outlineLevel="0" collapsed="false">
      <c r="A1894" s="0" t="s">
        <v>704</v>
      </c>
      <c r="B1894" s="0" t="s">
        <v>86</v>
      </c>
      <c r="C1894" s="38" t="n">
        <f aca="false">Sens!$C$1869</f>
        <v>105.234994643026</v>
      </c>
      <c r="D1894" s="38" t="n">
        <f aca="false">Sens!$D$1869</f>
        <v>120.021229911349</v>
      </c>
      <c r="E1894" s="38" t="n">
        <f aca="false">Sens!$E$1869</f>
        <v>71.30864702443</v>
      </c>
      <c r="F1894" s="38" t="n">
        <f aca="false">Sens!$F$1869</f>
        <v>71.7692997942464</v>
      </c>
      <c r="G1894" s="38" t="n">
        <f aca="false">Sens!$G$1869</f>
        <v>143.077946818676</v>
      </c>
      <c r="H1894" s="38" t="n">
        <f aca="false">Sens!$H$1869</f>
        <v>161.017077079203</v>
      </c>
      <c r="I1894" s="38" t="n">
        <f aca="false">Sens!$I$1869</f>
        <v>178.769759521457</v>
      </c>
      <c r="J1894" s="38" t="n">
        <f aca="false">Sens!$J$1869</f>
        <v>195.775538045907</v>
      </c>
      <c r="K1894" s="38" t="n">
        <f aca="false">Sens!$K$1869</f>
        <v>211.43758108958</v>
      </c>
      <c r="L1894" s="38" t="n">
        <f aca="false">Sens!$L$1869</f>
        <v>228.352587576746</v>
      </c>
      <c r="M1894" s="38" t="n">
        <f aca="false">Sens!$M$1869</f>
        <v>246.620794582886</v>
      </c>
      <c r="N1894" s="38" t="n">
        <f aca="false">Sens!$N$1869</f>
        <v>57.0936804689721</v>
      </c>
      <c r="O1894" s="38" t="n">
        <f aca="false">Sens!$O$1869</f>
        <v>62.9275494423768</v>
      </c>
    </row>
    <row r="1895" customFormat="false" ht="15" hidden="false" customHeight="false" outlineLevel="0" collapsed="false">
      <c r="A1895" s="3" t="s">
        <v>524</v>
      </c>
      <c r="B1895" s="8" t="s">
        <v>86</v>
      </c>
      <c r="C1895" s="38" t="n">
        <f aca="false">Sens!$C$1871</f>
        <v>637.959</v>
      </c>
      <c r="D1895" s="38" t="n">
        <f aca="false">Sens!$D$1871</f>
        <v>716.924</v>
      </c>
      <c r="E1895" s="38" t="n">
        <f aca="false">Sens!$E$1871</f>
        <v>382.125</v>
      </c>
      <c r="F1895" s="38" t="n">
        <f aca="false">Sens!$F$1871</f>
        <v>435.780975084504</v>
      </c>
      <c r="G1895" s="38" t="n">
        <f aca="false">Sens!$G$1871</f>
        <v>817.905975084504</v>
      </c>
      <c r="H1895" s="38" t="n">
        <f aca="false">Sens!$H$1871</f>
        <v>942.279857350364</v>
      </c>
      <c r="I1895" s="38" t="n">
        <f aca="false">Sens!$I$1871</f>
        <v>1068.80284981042</v>
      </c>
      <c r="J1895" s="38" t="n">
        <f aca="false">Sens!$J$1871</f>
        <v>1189.90935093863</v>
      </c>
      <c r="K1895" s="38" t="n">
        <f aca="false">Sens!$K$1871</f>
        <v>1296.06215690385</v>
      </c>
      <c r="L1895" s="38" t="n">
        <f aca="false">Sens!$L$1871</f>
        <v>1395.17379585473</v>
      </c>
      <c r="M1895" s="38" t="n">
        <f aca="false">Sens!$M$1871</f>
        <v>1487.60414389864</v>
      </c>
      <c r="N1895" s="38" t="n">
        <f aca="false">Sens!$N$1871</f>
        <v>323.369</v>
      </c>
      <c r="O1895" s="38" t="n">
        <f aca="false">Sens!$O$1871</f>
        <v>393.555</v>
      </c>
    </row>
    <row r="1896" customFormat="false" ht="17.15" hidden="false" customHeight="false" outlineLevel="0" collapsed="false">
      <c r="A1896" s="24" t="s">
        <v>714</v>
      </c>
      <c r="B1896" s="25" t="s">
        <v>86</v>
      </c>
      <c r="C1896" s="41" t="n">
        <f aca="false">Sens!$C$1883+Sens!$C$1884+Sens!$C$1885+Sens!$C$1886+Sens!$C$1887+Sens!$C$1888-(Sens!$C$1890+Sens!$C$1891)</f>
        <v>0</v>
      </c>
      <c r="D1896" s="41" t="n">
        <f aca="false">Sens!$D$1883+Sens!$D$1884+Sens!$D$1885+Sens!$D$1886+Sens!$D$1887+Sens!$D$1888-(Sens!$D$1890+Sens!$D$1891)</f>
        <v>0</v>
      </c>
      <c r="E1896" s="41" t="n">
        <f aca="false">Sens!$E$1883+Sens!$E$1884+Sens!$E$1885+Sens!$E$1886+Sens!$E$1887+Sens!$E$1888-(Sens!$E$1890+Sens!$E$1891)</f>
        <v>0</v>
      </c>
      <c r="F1896" s="41" t="n">
        <f aca="false">Sens!$F$1883+Sens!$F$1884+Sens!$F$1885+Sens!$F$1886+Sens!$F$1887+Sens!$F$1888-(Sens!$F$1890+Sens!$F$1891)</f>
        <v>0</v>
      </c>
      <c r="G1896" s="41" t="n">
        <f aca="false">Sens!$G$1883+Sens!$G$1884+Sens!$G$1885+Sens!$G$1886+Sens!$G$1887+Sens!$G$1888-(Sens!$G$1890+Sens!$G$1891)</f>
        <v>0</v>
      </c>
      <c r="H1896" s="41" t="n">
        <f aca="false">Sens!$H$1883+Sens!$H$1884+Sens!$H$1885+Sens!$H$1886+Sens!$H$1887+Sens!$H$1888-(Sens!$H$1890+Sens!$H$1891)</f>
        <v>0</v>
      </c>
      <c r="I1896" s="41" t="n">
        <f aca="false">Sens!$I$1883+Sens!$I$1884+Sens!$I$1885+Sens!$I$1886+Sens!$I$1887+Sens!$I$1888-(Sens!$I$1890+Sens!$I$1891)</f>
        <v>0</v>
      </c>
      <c r="J1896" s="41" t="n">
        <f aca="false">Sens!$J$1883+Sens!$J$1884+Sens!$J$1885+Sens!$J$1886+Sens!$J$1887+Sens!$J$1888-(Sens!$J$1890+Sens!$J$1891)</f>
        <v>0</v>
      </c>
      <c r="K1896" s="41" t="n">
        <f aca="false">Sens!$K$1883+Sens!$K$1884+Sens!$K$1885+Sens!$K$1886+Sens!$K$1887+Sens!$K$1888-(Sens!$K$1890+Sens!$K$1891)</f>
        <v>0</v>
      </c>
      <c r="L1896" s="41" t="n">
        <f aca="false">Sens!$L$1883+Sens!$L$1884+Sens!$L$1885+Sens!$L$1886+Sens!$L$1887+Sens!$L$1888-(Sens!$L$1890+Sens!$L$1891)</f>
        <v>0</v>
      </c>
      <c r="M1896" s="41" t="n">
        <f aca="false">Sens!$M$1883+Sens!$M$1884+Sens!$M$1885+Sens!$M$1886+Sens!$M$1887+Sens!$M$1888-(Sens!$M$1890+Sens!$M$1891)</f>
        <v>0</v>
      </c>
      <c r="N1896" s="41" t="n">
        <f aca="false">Sens!$N$1883+Sens!$N$1884+Sens!$N$1885+Sens!$N$1886+Sens!$N$1887+Sens!$N$1888-(Sens!$N$1890+Sens!$N$1891)</f>
        <v>0</v>
      </c>
      <c r="O1896" s="41" t="n">
        <f aca="false">Sens!$O$1883+Sens!$O$1884+Sens!$O$1885+Sens!$O$1886+Sens!$O$1887+Sens!$O$1888-(Sens!$O$1890+Sens!$O$1891)</f>
        <v>0</v>
      </c>
    </row>
    <row r="1897" customFormat="false" ht="17.15" hidden="false" customHeight="false" outlineLevel="0" collapsed="false">
      <c r="A1897" s="24" t="s">
        <v>715</v>
      </c>
      <c r="B1897" s="25" t="s">
        <v>86</v>
      </c>
      <c r="C1897" s="41" t="n">
        <f aca="false">Sens!$C$1893+Sens!$C$1894-Sens!$C$1892</f>
        <v>0</v>
      </c>
      <c r="D1897" s="41" t="n">
        <f aca="false">Sens!$D$1893+Sens!$D$1894-Sens!$D$1892</f>
        <v>0</v>
      </c>
      <c r="E1897" s="41" t="n">
        <f aca="false">Sens!$E$1893+Sens!$E$1894-Sens!$E$1892</f>
        <v>0</v>
      </c>
      <c r="F1897" s="41" t="n">
        <f aca="false">Sens!$F$1893+Sens!$F$1894-Sens!$F$1892</f>
        <v>0</v>
      </c>
      <c r="G1897" s="41" t="n">
        <f aca="false">Sens!$G$1893+Sens!$G$1894-Sens!$G$1892</f>
        <v>0</v>
      </c>
      <c r="H1897" s="41" t="n">
        <f aca="false">Sens!$H$1893+Sens!$H$1894-Sens!$H$1892</f>
        <v>0</v>
      </c>
      <c r="I1897" s="41" t="n">
        <f aca="false">Sens!$I$1893+Sens!$I$1894-Sens!$I$1892</f>
        <v>0</v>
      </c>
      <c r="J1897" s="41" t="n">
        <f aca="false">Sens!$J$1893+Sens!$J$1894-Sens!$J$1892</f>
        <v>0</v>
      </c>
      <c r="K1897" s="41" t="n">
        <f aca="false">Sens!$K$1893+Sens!$K$1894-Sens!$K$1892</f>
        <v>0</v>
      </c>
      <c r="L1897" s="41" t="n">
        <f aca="false">Sens!$L$1893+Sens!$L$1894-Sens!$L$1892</f>
        <v>0</v>
      </c>
      <c r="M1897" s="41" t="n">
        <f aca="false">Sens!$M$1893+Sens!$M$1894-Sens!$M$1892</f>
        <v>0</v>
      </c>
      <c r="N1897" s="41" t="n">
        <f aca="false">Sens!$N$1893+Sens!$N$1894-Sens!$N$1892</f>
        <v>0</v>
      </c>
      <c r="O1897" s="41" t="n">
        <f aca="false">Sens!$O$1893+Sens!$O$1894-Sens!$O$1892</f>
        <v>0</v>
      </c>
    </row>
    <row r="1898" customFormat="false" ht="17.15" hidden="false" customHeight="false" outlineLevel="0" collapsed="false">
      <c r="A1898" s="24" t="s">
        <v>774</v>
      </c>
      <c r="B1898" s="25" t="s">
        <v>86</v>
      </c>
      <c r="C1898" s="41" t="n">
        <f aca="false">Sens!$C$1883+Sens!$C$1884+Sens!$C$1885+Sens!$C$1886+Sens!$C$1887+Sens!$C$1888+Sens!$C$1889-Sens!$C$1895</f>
        <v>0</v>
      </c>
      <c r="D1898" s="41" t="n">
        <f aca="false">Sens!$D$1883+Sens!$D$1884+Sens!$D$1885+Sens!$D$1886+Sens!$D$1887+Sens!$D$1888+Sens!$D$1889-Sens!$D$1895</f>
        <v>0</v>
      </c>
      <c r="E1898" s="41" t="n">
        <f aca="false">Sens!$E$1883+Sens!$E$1884+Sens!$E$1885+Sens!$E$1886+Sens!$E$1887+Sens!$E$1888+Sens!$E$1889-Sens!$E$1895</f>
        <v>0</v>
      </c>
      <c r="F1898" s="41" t="n">
        <f aca="false">Sens!$F$1883+Sens!$F$1884+Sens!$F$1885+Sens!$F$1886+Sens!$F$1887+Sens!$F$1888+Sens!$F$1889-Sens!$F$1895</f>
        <v>0</v>
      </c>
      <c r="G1898" s="41" t="n">
        <f aca="false">Sens!$G$1883+Sens!$G$1884+Sens!$G$1885+Sens!$G$1886+Sens!$G$1887+Sens!$G$1888+Sens!$G$1889-Sens!$G$1895</f>
        <v>0</v>
      </c>
      <c r="H1898" s="41" t="n">
        <f aca="false">Sens!$H$1883+Sens!$H$1884+Sens!$H$1885+Sens!$H$1886+Sens!$H$1887+Sens!$H$1888+Sens!$H$1889-Sens!$H$1895</f>
        <v>0</v>
      </c>
      <c r="I1898" s="41" t="n">
        <f aca="false">Sens!$I$1883+Sens!$I$1884+Sens!$I$1885+Sens!$I$1886+Sens!$I$1887+Sens!$I$1888+Sens!$I$1889-Sens!$I$1895</f>
        <v>0</v>
      </c>
      <c r="J1898" s="41" t="n">
        <f aca="false">Sens!$J$1883+Sens!$J$1884+Sens!$J$1885+Sens!$J$1886+Sens!$J$1887+Sens!$J$1888+Sens!$J$1889-Sens!$J$1895</f>
        <v>0</v>
      </c>
      <c r="K1898" s="41" t="n">
        <f aca="false">Sens!$K$1883+Sens!$K$1884+Sens!$K$1885+Sens!$K$1886+Sens!$K$1887+Sens!$K$1888+Sens!$K$1889-Sens!$K$1895</f>
        <v>0</v>
      </c>
      <c r="L1898" s="41" t="n">
        <f aca="false">Sens!$L$1883+Sens!$L$1884+Sens!$L$1885+Sens!$L$1886+Sens!$L$1887+Sens!$L$1888+Sens!$L$1889-Sens!$L$1895</f>
        <v>0</v>
      </c>
      <c r="M1898" s="41" t="n">
        <f aca="false">Sens!$M$1883+Sens!$M$1884+Sens!$M$1885+Sens!$M$1886+Sens!$M$1887+Sens!$M$1888+Sens!$M$1889-Sens!$M$1895</f>
        <v>0</v>
      </c>
      <c r="N1898" s="41" t="n">
        <f aca="false">Sens!$N$1883+Sens!$N$1884+Sens!$N$1885+Sens!$N$1886+Sens!$N$1887+Sens!$N$1888+Sens!$N$1889-Sens!$N$1895</f>
        <v>0</v>
      </c>
      <c r="O1898" s="41" t="n">
        <f aca="false">Sens!$O$1883+Sens!$O$1884+Sens!$O$1885+Sens!$O$1886+Sens!$O$1887+Sens!$O$1888+Sens!$O$1889-Sens!$O$1895</f>
        <v>0</v>
      </c>
    </row>
    <row r="1899" customFormat="false" ht="17.15" hidden="false" customHeight="false" outlineLevel="0" collapsed="false">
      <c r="A1899" s="24" t="s">
        <v>716</v>
      </c>
      <c r="B1899" s="25" t="s">
        <v>86</v>
      </c>
      <c r="C1899" s="41" t="n">
        <f aca="false">Sens!$C$1890+Sens!$C$1891+Sens!$C$1892-Sens!$C$1895</f>
        <v>0</v>
      </c>
      <c r="D1899" s="41" t="n">
        <f aca="false">Sens!$D$1890+Sens!$D$1891+Sens!$D$1892-Sens!$D$1895</f>
        <v>0</v>
      </c>
      <c r="E1899" s="41" t="n">
        <f aca="false">Sens!$E$1890+Sens!$E$1891+Sens!$E$1892-Sens!$E$1895</f>
        <v>0</v>
      </c>
      <c r="F1899" s="41" t="n">
        <f aca="false">Sens!$F$1890+Sens!$F$1891+Sens!$F$1892-Sens!$F$1895</f>
        <v>0</v>
      </c>
      <c r="G1899" s="41" t="n">
        <f aca="false">Sens!$G$1890+Sens!$G$1891+Sens!$G$1892-Sens!$G$1895</f>
        <v>0</v>
      </c>
      <c r="H1899" s="41" t="n">
        <f aca="false">Sens!$H$1890+Sens!$H$1891+Sens!$H$1892-Sens!$H$1895</f>
        <v>0</v>
      </c>
      <c r="I1899" s="41" t="n">
        <f aca="false">Sens!$I$1890+Sens!$I$1891+Sens!$I$1892-Sens!$I$1895</f>
        <v>0</v>
      </c>
      <c r="J1899" s="41" t="n">
        <f aca="false">Sens!$J$1890+Sens!$J$1891+Sens!$J$1892-Sens!$J$1895</f>
        <v>0</v>
      </c>
      <c r="K1899" s="41" t="n">
        <f aca="false">Sens!$K$1890+Sens!$K$1891+Sens!$K$1892-Sens!$K$1895</f>
        <v>0</v>
      </c>
      <c r="L1899" s="41" t="n">
        <f aca="false">Sens!$L$1890+Sens!$L$1891+Sens!$L$1892-Sens!$L$1895</f>
        <v>0</v>
      </c>
      <c r="M1899" s="41" t="n">
        <f aca="false">Sens!$M$1890+Sens!$M$1891+Sens!$M$1892-Sens!$M$1895</f>
        <v>0</v>
      </c>
      <c r="N1899" s="41" t="n">
        <f aca="false">Sens!$N$1890+Sens!$N$1891+Sens!$N$1892-Sens!$N$1895</f>
        <v>0</v>
      </c>
      <c r="O1899" s="41" t="n">
        <f aca="false">Sens!$O$1890+Sens!$O$1891+Sens!$O$1892-Sens!$O$1895</f>
        <v>0</v>
      </c>
    </row>
    <row r="1900" customFormat="false" ht="17.15" hidden="false" customHeight="false" outlineLevel="0" collapsed="false">
      <c r="A1900" s="1" t="s">
        <v>730</v>
      </c>
    </row>
    <row r="1901" customFormat="false" ht="17.15" hidden="false" customHeight="false" outlineLevel="0" collapsed="false">
      <c r="A1901" s="0" t="s">
        <v>731</v>
      </c>
      <c r="B1901" s="0" t="s">
        <v>86</v>
      </c>
      <c r="C1901" s="38" t="n">
        <f aca="false">Sens!$C$1802*m_ad</f>
        <v>20.5341564414228</v>
      </c>
      <c r="D1901" s="38" t="n">
        <f aca="false">Sens!$D$1802*m_ad</f>
        <v>24.8720617299587</v>
      </c>
      <c r="E1901" s="38" t="n">
        <f aca="false">Sens!$E$1802*m_ad</f>
        <v>13.5017112462207</v>
      </c>
      <c r="F1901" s="38" t="n">
        <f aca="false">Sens!$F$1802*m_ad</f>
        <v>16.5719724165257</v>
      </c>
      <c r="G1901" s="38" t="n">
        <f aca="false">Sens!$G$1802*m_ad</f>
        <v>30.0820919220415</v>
      </c>
      <c r="H1901" s="38" t="n">
        <f aca="false">Sens!$H$1802*m_ad</f>
        <v>36.1150883276314</v>
      </c>
      <c r="I1901" s="38" t="n">
        <f aca="false">Sens!$I$1802*m_ad</f>
        <v>42.1475382231996</v>
      </c>
      <c r="J1901" s="38" t="n">
        <f aca="false">Sens!$J$1802*m_ad</f>
        <v>47.7749523864693</v>
      </c>
      <c r="K1901" s="38" t="n">
        <f aca="false">Sens!$K$1802*m_ad</f>
        <v>52.5524476251162</v>
      </c>
      <c r="L1901" s="38" t="n">
        <f aca="false">Sens!$L$1802*m_ad</f>
        <v>57.8076923876279</v>
      </c>
      <c r="M1901" s="38" t="n">
        <f aca="false">Sens!$M$1802*m_ad</f>
        <v>63.5884616263907</v>
      </c>
      <c r="N1901" s="38" t="n">
        <f aca="false">Sens!$N$1802*m_ad</f>
        <v>10.8543555706248</v>
      </c>
      <c r="O1901" s="38" t="n">
        <f aca="false">Sens!$O$1802*m_ad</f>
        <v>14.0094731821399</v>
      </c>
    </row>
    <row r="1902" customFormat="false" ht="17.15" hidden="false" customHeight="false" outlineLevel="0" collapsed="false">
      <c r="A1902" s="0" t="s">
        <v>732</v>
      </c>
      <c r="B1902" s="0" t="s">
        <v>86</v>
      </c>
      <c r="C1902" s="38" t="n">
        <f aca="false">Sens!$C$1800-Sens!$C$1802</f>
        <v>346.428687117154</v>
      </c>
      <c r="D1902" s="38" t="n">
        <f aca="false">Sens!$D$1800-Sens!$D$1802</f>
        <v>376.560876540083</v>
      </c>
      <c r="E1902" s="38" t="n">
        <f aca="false">Sens!$E$1800-Sens!$E$1802</f>
        <v>193.316577507559</v>
      </c>
      <c r="F1902" s="38" t="n">
        <f aca="false">Sens!$F$1800-Sens!$F$1802</f>
        <v>217.495828647535</v>
      </c>
      <c r="G1902" s="38" t="n">
        <f aca="false">Sens!$G$1800-Sens!$G$1802</f>
        <v>410.795589636503</v>
      </c>
      <c r="H1902" s="38" t="n">
        <f aca="false">Sens!$H$1800-Sens!$H$1802</f>
        <v>449.156813761174</v>
      </c>
      <c r="I1902" s="38" t="n">
        <f aca="false">Sens!$I$1800-Sens!$I$1802</f>
        <v>485.848786441156</v>
      </c>
      <c r="J1902" s="38" t="n">
        <f aca="false">Sens!$J$1800-Sens!$J$1802</f>
        <v>519.841531018994</v>
      </c>
      <c r="K1902" s="38" t="n">
        <f aca="false">Sens!$K$1800-Sens!$K$1802</f>
        <v>550.103332311311</v>
      </c>
      <c r="L1902" s="38" t="n">
        <f aca="false">Sens!$L$1800-Sens!$L$1802</f>
        <v>582.192354474511</v>
      </c>
      <c r="M1902" s="38" t="n">
        <f aca="false">Sens!$M$1800-Sens!$M$1802</f>
        <v>616.22240521081</v>
      </c>
      <c r="N1902" s="38" t="n">
        <f aca="false">Sens!$N$1800-Sens!$N$1802</f>
        <v>171.24628885875</v>
      </c>
      <c r="O1902" s="38" t="n">
        <f aca="false">Sens!$O$1800-Sens!$O$1802</f>
        <v>205.33105363572</v>
      </c>
    </row>
    <row r="1903" customFormat="false" ht="17.15" hidden="false" customHeight="false" outlineLevel="0" collapsed="false">
      <c r="A1903" s="0" t="s">
        <v>733</v>
      </c>
      <c r="B1903" s="0" t="s">
        <v>86</v>
      </c>
      <c r="C1903" s="38" t="n">
        <f aca="false">Sens!$C$1854*Sens!$C$1799</f>
        <v>0.128971439857362</v>
      </c>
      <c r="D1903" s="38" t="n">
        <f aca="false">Sens!$D$1854*Sens!$D$1799</f>
        <v>0.645386264363769</v>
      </c>
      <c r="E1903" s="38" t="n">
        <f aca="false">Sens!$E$1854*Sens!$E$1799</f>
        <v>1.24616761417948</v>
      </c>
      <c r="F1903" s="38" t="n">
        <f aca="false">Sens!$F$1854*Sens!$F$1799</f>
        <v>1.47169193946641</v>
      </c>
      <c r="G1903" s="38" t="n">
        <f aca="false">Sens!$G$1854*Sens!$G$1799</f>
        <v>2.71823432991178</v>
      </c>
      <c r="H1903" s="38" t="n">
        <f aca="false">Sens!$H$1854*Sens!$H$1799</f>
        <v>7.42038256485381</v>
      </c>
      <c r="I1903" s="38" t="n">
        <f aca="false">Sens!$I$1854*Sens!$I$1799</f>
        <v>14.3840388455958</v>
      </c>
      <c r="J1903" s="38" t="n">
        <f aca="false">Sens!$J$1854*Sens!$J$1799</f>
        <v>20.9269287198779</v>
      </c>
      <c r="K1903" s="38" t="n">
        <f aca="false">Sens!$K$1854*Sens!$K$1799</f>
        <v>27.1940728562009</v>
      </c>
      <c r="L1903" s="38" t="n">
        <f aca="false">Sens!$L$1854*Sens!$L$1799</f>
        <v>31.5110369693661</v>
      </c>
      <c r="M1903" s="38" t="n">
        <f aca="false">Sens!$M$1854*Sens!$M$1799</f>
        <v>33.9618262701822</v>
      </c>
      <c r="N1903" s="38" t="n">
        <f aca="false">Sens!$N$1854*Sens!$N$1799</f>
        <v>0.273384145713536</v>
      </c>
      <c r="O1903" s="38" t="n">
        <f aca="false">Sens!$O$1854*Sens!$O$1799</f>
        <v>0.371619712532113</v>
      </c>
    </row>
    <row r="1904" customFormat="false" ht="17.15" hidden="false" customHeight="false" outlineLevel="0" collapsed="false">
      <c r="A1904" s="0" t="s">
        <v>734</v>
      </c>
      <c r="B1904" s="0" t="s">
        <v>52</v>
      </c>
      <c r="C1904" s="28" t="n">
        <f aca="false">(Sens!$C$1905-Sens!$C$1901+Sens!$C$1903)/Sens!$C$1902</f>
        <v>0.0131681213712299</v>
      </c>
      <c r="D1904" s="28" t="n">
        <f aca="false">(Sens!$D$1905-Sens!$D$1901+Sens!$D$1903)/Sens!$D$1902</f>
        <v>0.0143199277204547</v>
      </c>
      <c r="E1904" s="28" t="n">
        <f aca="false">(Sens!$E$1905-Sens!$E$1901+Sens!$E$1903)/Sens!$E$1902</f>
        <v>0.0265598348271917</v>
      </c>
      <c r="F1904" s="28" t="n">
        <f aca="false">Sens!$O$1904+(Sens!$E$1904-Sens!$N$1904)</f>
        <v>0.0231184642505616</v>
      </c>
      <c r="G1904" s="28" t="n">
        <f aca="false">(Sens!$G$1905-Sens!$G$1901+Sens!$G$1903)/Sens!$G$1902</f>
        <v>0.0247193316587192</v>
      </c>
      <c r="H1904" s="28" t="n">
        <f aca="false">Sens!$G$1904+step_na</f>
        <v>0.0277193316587192</v>
      </c>
      <c r="I1904" s="28" t="n">
        <f aca="false">Sens!$H$1904+step_na</f>
        <v>0.0307193316587191</v>
      </c>
      <c r="J1904" s="28" t="n">
        <f aca="false">Sens!$I$1904+step_na</f>
        <v>0.0337193316587192</v>
      </c>
      <c r="K1904" s="28" t="n">
        <f aca="false">Sens!$J$1904+step_na</f>
        <v>0.0367193316587192</v>
      </c>
      <c r="L1904" s="28" t="n">
        <f aca="false">Sens!$K$1904</f>
        <v>0.0367193316587192</v>
      </c>
      <c r="M1904" s="28" t="n">
        <f aca="false">Sens!$L$1904</f>
        <v>0.0367193316587192</v>
      </c>
      <c r="N1904" s="28" t="n">
        <f aca="false">(Sens!$N$1905-Sens!$N$1901+Sens!$N$1903)/Sens!$N$1902</f>
        <v>0.0162165766837686</v>
      </c>
      <c r="O1904" s="28" t="n">
        <f aca="false">(Sens!$O$1905-Sens!$O$1901+Sens!$O$1903)/Sens!$O$1902</f>
        <v>0.0127752061071385</v>
      </c>
      <c r="P1904" s="8" t="s">
        <v>735</v>
      </c>
    </row>
    <row r="1905" customFormat="false" ht="17.15" hidden="false" customHeight="false" outlineLevel="0" collapsed="false">
      <c r="A1905" s="1" t="s">
        <v>736</v>
      </c>
      <c r="B1905" s="8" t="s">
        <v>86</v>
      </c>
      <c r="C1905" s="38" t="n">
        <f aca="false">Q!$D$22</f>
        <v>24.967</v>
      </c>
      <c r="D1905" s="38" t="n">
        <f aca="false">Q!$E$22</f>
        <v>29.619</v>
      </c>
      <c r="E1905" s="38" t="n">
        <f aca="false">Q!$P$22</f>
        <v>17.39</v>
      </c>
      <c r="F1905" s="38" t="n">
        <f aca="false">Sens!$F$1901+Sens!$F$1902*Sens!$F$1904-Sens!$F$1903</f>
        <v>20.1284500162935</v>
      </c>
      <c r="G1905" s="38" t="n">
        <f aca="false">Sens!$E$1905+Sens!$F$1905</f>
        <v>37.5184500162935</v>
      </c>
      <c r="H1905" s="38" t="n">
        <f aca="false">Sens!$H$1901+Sens!$H$1902*Sens!$H$1904-Sens!$H$1903</f>
        <v>41.1450324501972</v>
      </c>
      <c r="I1905" s="38" t="n">
        <f aca="false">Sens!$I$1901+Sens!$I$1902*Sens!$I$1904-Sens!$I$1903</f>
        <v>42.6884493842759</v>
      </c>
      <c r="J1905" s="38" t="n">
        <f aca="false">Sens!$J$1901+Sens!$J$1902*Sens!$J$1904-Sens!$J$1903</f>
        <v>44.3767326609973</v>
      </c>
      <c r="K1905" s="38" t="n">
        <f aca="false">Sens!$K$1901+Sens!$K$1902*Sens!$K$1904-Sens!$K$1903</f>
        <v>45.557801474621</v>
      </c>
      <c r="L1905" s="38" t="n">
        <f aca="false">Sens!$L$1901+Sens!$L$1902*Sens!$L$1904-Sens!$L$1903</f>
        <v>47.674369571382</v>
      </c>
      <c r="M1905" s="38" t="n">
        <f aca="false">Sens!$M$1901+Sens!$M$1902*Sens!$M$1904-Sens!$M$1903</f>
        <v>52.2539102286778</v>
      </c>
      <c r="N1905" s="38" t="n">
        <f aca="false">Q!$N$22</f>
        <v>13.358</v>
      </c>
      <c r="O1905" s="38" t="n">
        <f aca="false">Q!$O$22</f>
        <v>16.261</v>
      </c>
    </row>
    <row r="1906" customFormat="false" ht="17.15" hidden="false" customHeight="false" outlineLevel="0" collapsed="false">
      <c r="A1906" s="0" t="s">
        <v>737</v>
      </c>
      <c r="B1906" s="0" t="s">
        <v>86</v>
      </c>
      <c r="C1906" s="38" t="n">
        <f aca="false">Sens!$C$1803*m_ad</f>
        <v>7.57284355857716</v>
      </c>
      <c r="D1906" s="38" t="n">
        <f aca="false">Sens!$D$1803*m_ad</f>
        <v>9.44543827004127</v>
      </c>
      <c r="E1906" s="38" t="n">
        <f aca="false">Sens!$E$1803*m_ad</f>
        <v>5.02428875377928</v>
      </c>
      <c r="F1906" s="38" t="n">
        <f aca="false">Sens!$F$1803*m_ad</f>
        <v>6.50663858068173</v>
      </c>
      <c r="G1906" s="38" t="n">
        <f aca="false">Sens!$G$1803*m_ad</f>
        <v>11.5225190751659</v>
      </c>
      <c r="H1906" s="38" t="n">
        <f aca="false">Sens!$H$1803*m_ad</f>
        <v>13.8333728663174</v>
      </c>
      <c r="I1906" s="38" t="n">
        <f aca="false">Sens!$I$1803*m_ad</f>
        <v>16.1440173245485</v>
      </c>
      <c r="J1906" s="38" t="n">
        <f aca="false">Sens!$J$1803*m_ad</f>
        <v>18.2995185845066</v>
      </c>
      <c r="K1906" s="38" t="n">
        <f aca="false">Sens!$K$1803*m_ad</f>
        <v>20.1294704429572</v>
      </c>
      <c r="L1906" s="38" t="n">
        <f aca="false">Sens!$L$1803*m_ad</f>
        <v>22.142417487253</v>
      </c>
      <c r="M1906" s="38" t="n">
        <f aca="false">Sens!$M$1803*m_ad</f>
        <v>24.3566592359783</v>
      </c>
      <c r="N1906" s="38" t="n">
        <f aca="false">Sens!$N$1803*m_ad</f>
        <v>3.95314442937518</v>
      </c>
      <c r="O1906" s="38" t="n">
        <f aca="false">Sens!$O$1803*m_ad</f>
        <v>5.50052681786011</v>
      </c>
    </row>
    <row r="1907" customFormat="false" ht="17.15" hidden="false" customHeight="false" outlineLevel="0" collapsed="false">
      <c r="A1907" s="0" t="s">
        <v>738</v>
      </c>
      <c r="B1907" s="0" t="s">
        <v>86</v>
      </c>
      <c r="C1907" s="38" t="n">
        <f aca="false">Sens!$C$1801-Sens!$C$1803</f>
        <v>127.760312882846</v>
      </c>
      <c r="D1907" s="38" t="n">
        <f aca="false">Sens!$D$1801-Sens!$D$1803</f>
        <v>143.003123459917</v>
      </c>
      <c r="E1907" s="38" t="n">
        <f aca="false">Sens!$E$1801-Sens!$E$1803</f>
        <v>71.9374224924414</v>
      </c>
      <c r="F1907" s="38" t="n">
        <f aca="false">Sens!$F$1801-Sens!$F$1803</f>
        <v>85.3951910035875</v>
      </c>
      <c r="G1907" s="38" t="n">
        <f aca="false">Sens!$G$1801-Sens!$G$1803</f>
        <v>157.349430014619</v>
      </c>
      <c r="H1907" s="38" t="n">
        <f aca="false">Sens!$H$1801-Sens!$H$1803</f>
        <v>172.043153372315</v>
      </c>
      <c r="I1907" s="38" t="n">
        <f aca="false">Sens!$I$1801-Sens!$I$1803</f>
        <v>186.097493615879</v>
      </c>
      <c r="J1907" s="38" t="n">
        <f aca="false">Sens!$J$1801-Sens!$J$1803</f>
        <v>199.117932780497</v>
      </c>
      <c r="K1907" s="38" t="n">
        <f aca="false">Sens!$K$1801-Sens!$K$1803</f>
        <v>210.70928698363</v>
      </c>
      <c r="L1907" s="38" t="n">
        <f aca="false">Sens!$L$1801-Sens!$L$1803</f>
        <v>223.000532251316</v>
      </c>
      <c r="M1907" s="38" t="n">
        <f aca="false">Sens!$M$1801-Sens!$M$1803</f>
        <v>236.035261011339</v>
      </c>
      <c r="N1907" s="38" t="n">
        <f aca="false">Sens!$N$1801-Sens!$N$1803</f>
        <v>62.3677111412496</v>
      </c>
      <c r="O1907" s="38" t="n">
        <f aca="false">Sens!$O$1801-Sens!$O$1803</f>
        <v>80.6189463642798</v>
      </c>
    </row>
    <row r="1908" customFormat="false" ht="17.15" hidden="false" customHeight="false" outlineLevel="0" collapsed="false">
      <c r="A1908" s="0" t="s">
        <v>739</v>
      </c>
      <c r="B1908" s="0" t="s">
        <v>86</v>
      </c>
      <c r="C1908" s="38" t="n">
        <f aca="false">Sens!$C$1854*(1-Sens!$C$1799)</f>
        <v>0.0475637039364334</v>
      </c>
      <c r="D1908" s="38" t="n">
        <f aca="false">Sens!$D$1854*(1-Sens!$D$1799)</f>
        <v>0.245092513301294</v>
      </c>
      <c r="E1908" s="38" t="n">
        <f aca="false">Sens!$E$1854*(1-Sens!$E$1799)</f>
        <v>0.463726842847308</v>
      </c>
      <c r="F1908" s="38" t="n">
        <f aca="false">Sens!$F$1854*(1-Sens!$F$1799)</f>
        <v>0.577829078611152</v>
      </c>
      <c r="G1908" s="38" t="n">
        <f aca="false">Sens!$G$1854*(1-Sens!$G$1799)</f>
        <v>1.04118114519257</v>
      </c>
      <c r="H1908" s="38" t="n">
        <f aca="false">Sens!$H$1854*(1-Sens!$H$1799)</f>
        <v>2.8422724014718</v>
      </c>
      <c r="I1908" s="38" t="n">
        <f aca="false">Sens!$I$1854*(1-Sens!$I$1799)</f>
        <v>5.5096022712059</v>
      </c>
      <c r="J1908" s="38" t="n">
        <f aca="false">Sens!$J$1854*(1-Sens!$J$1799)</f>
        <v>8.01576353081847</v>
      </c>
      <c r="K1908" s="38" t="n">
        <f aca="false">Sens!$K$1854*(1-Sens!$K$1799)</f>
        <v>10.4163042925693</v>
      </c>
      <c r="L1908" s="38" t="n">
        <f aca="false">Sens!$L$1854*(1-Sens!$L$1799)</f>
        <v>12.0698562287066</v>
      </c>
      <c r="M1908" s="38" t="n">
        <f aca="false">Sens!$M$1854*(1-Sens!$M$1799)</f>
        <v>13.0085963449542</v>
      </c>
      <c r="N1908" s="38" t="n">
        <f aca="false">Sens!$N$1854*(1-Sens!$N$1799)</f>
        <v>0.0995662069180537</v>
      </c>
      <c r="O1908" s="38" t="n">
        <f aca="false">Sens!$O$1854*(1-Sens!$O$1799)</f>
        <v>0.145908712501359</v>
      </c>
    </row>
    <row r="1909" customFormat="false" ht="17.15" hidden="false" customHeight="false" outlineLevel="0" collapsed="false">
      <c r="A1909" s="0" t="s">
        <v>740</v>
      </c>
      <c r="B1909" s="0" t="s">
        <v>52</v>
      </c>
      <c r="C1909" s="28" t="n">
        <f aca="false">(Sens!$C$1910-Sens!$C$1906+Sens!$C$1908)/Sens!$C$1907</f>
        <v>-0.0292209667493855</v>
      </c>
      <c r="D1909" s="28" t="n">
        <f aca="false">(Sens!$D$1910-Sens!$D$1906+Sens!$D$1908)/Sens!$D$1907</f>
        <v>-0.0311206192498821</v>
      </c>
      <c r="E1909" s="28" t="n">
        <f aca="false">(Sens!$E$1910-Sens!$E$1906+Sens!$E$1908)/Sens!$E$1907</f>
        <v>-0.0197332884852961</v>
      </c>
      <c r="F1909" s="28" t="n">
        <f aca="false">Sens!$O$1909+(Sens!$E$1909-Sens!$N$1909)</f>
        <v>-0.0368526998453573</v>
      </c>
      <c r="G1909" s="28" t="n">
        <f aca="false">(Sens!$G$1910-Sens!$G$1906+Sens!$G$1908)/Sens!$G$1907</f>
        <v>-0.028971009108653</v>
      </c>
      <c r="H1909" s="28" t="n">
        <f aca="false">Sens!$G$1909+step_in</f>
        <v>-0.028971009108653</v>
      </c>
      <c r="I1909" s="28" t="n">
        <f aca="false">Sens!$H$1909+step_in</f>
        <v>-0.028971009108653</v>
      </c>
      <c r="J1909" s="28" t="n">
        <f aca="false">Sens!$I$1909+step_in</f>
        <v>-0.028971009108653</v>
      </c>
      <c r="K1909" s="28" t="n">
        <f aca="false">Sens!$J$1909+step_in</f>
        <v>-0.028971009108653</v>
      </c>
      <c r="L1909" s="28" t="n">
        <f aca="false">Sens!$K$1909</f>
        <v>-0.028971009108653</v>
      </c>
      <c r="M1909" s="28" t="n">
        <f aca="false">Sens!$L$1909</f>
        <v>-0.028971009108653</v>
      </c>
      <c r="N1909" s="28" t="n">
        <f aca="false">(Sens!$N$1910-Sens!$N$1906+Sens!$N$1908)/Sens!$N$1907</f>
        <v>-0.0215268156853869</v>
      </c>
      <c r="O1909" s="28" t="n">
        <f aca="false">(Sens!$O$1910-Sens!$O$1906+Sens!$O$1908)/Sens!$O$1907</f>
        <v>-0.038646227045448</v>
      </c>
      <c r="P1909" s="8" t="s">
        <v>735</v>
      </c>
    </row>
    <row r="1910" customFormat="false" ht="17.15" hidden="false" customHeight="false" outlineLevel="0" collapsed="false">
      <c r="A1910" s="1" t="s">
        <v>741</v>
      </c>
      <c r="B1910" s="8" t="s">
        <v>86</v>
      </c>
      <c r="C1910" s="38" t="n">
        <f aca="false">Q!$D$23</f>
        <v>3.792</v>
      </c>
      <c r="D1910" s="38" t="n">
        <f aca="false">Q!$E$23</f>
        <v>4.75</v>
      </c>
      <c r="E1910" s="38" t="n">
        <f aca="false">Q!$P$23</f>
        <v>3.141</v>
      </c>
      <c r="F1910" s="38" t="n">
        <f aca="false">Sens!$F$1906+Sens!$F$1907*Sens!$F$1909-Sens!$F$1908</f>
        <v>2.78176615977841</v>
      </c>
      <c r="G1910" s="38" t="n">
        <f aca="false">Sens!$E$1910+Sens!$F$1910</f>
        <v>5.92276615977842</v>
      </c>
      <c r="H1910" s="38" t="n">
        <f aca="false">Sens!$H$1906+Sens!$H$1907*Sens!$H$1909-Sens!$H$1908</f>
        <v>6.00683670141484</v>
      </c>
      <c r="I1910" s="38" t="n">
        <f aca="false">Sens!$I$1906+Sens!$I$1907*Sens!$I$1909-Sens!$I$1908</f>
        <v>5.24298287069951</v>
      </c>
      <c r="J1910" s="38" t="n">
        <f aca="false">Sens!$J$1906+Sens!$J$1907*Sens!$J$1909-Sens!$J$1908</f>
        <v>4.51510760940818</v>
      </c>
      <c r="K1910" s="38" t="n">
        <f aca="false">Sens!$K$1906+Sens!$K$1907*Sens!$K$1909-Sens!$K$1908</f>
        <v>3.60870547790741</v>
      </c>
      <c r="L1910" s="38" t="n">
        <f aca="false">Sens!$L$1906+Sens!$L$1907*Sens!$L$1909-Sens!$L$1908</f>
        <v>3.612010807459</v>
      </c>
      <c r="M1910" s="38" t="n">
        <f aca="false">Sens!$M$1906+Sens!$M$1907*Sens!$M$1909-Sens!$M$1908</f>
        <v>4.50988319430132</v>
      </c>
      <c r="N1910" s="38" t="n">
        <f aca="false">Q!$N$23</f>
        <v>2.511</v>
      </c>
      <c r="O1910" s="38" t="n">
        <f aca="false">Q!$O$23</f>
        <v>2.239</v>
      </c>
    </row>
    <row r="1911" customFormat="false" ht="17.15" hidden="false" customHeight="false" outlineLevel="0" collapsed="false">
      <c r="A1911" s="0" t="s">
        <v>742</v>
      </c>
      <c r="B1911" s="0" t="s">
        <v>86</v>
      </c>
      <c r="C1911" s="38" t="n">
        <f aca="false">Sens!$C$1851</f>
        <v>1.61486478179846</v>
      </c>
      <c r="D1911" s="38" t="n">
        <f aca="false">Sens!$D$1851</f>
        <v>5.14185497799091</v>
      </c>
      <c r="E1911" s="38" t="n">
        <f aca="false">Sens!$E$1851</f>
        <v>1.67077514746287</v>
      </c>
      <c r="F1911" s="38" t="n">
        <f aca="false">Sens!$F$1851</f>
        <v>6.7653495724102</v>
      </c>
      <c r="G1911" s="38" t="n">
        <f aca="false">Sens!$G$1851</f>
        <v>8.43612471987308</v>
      </c>
      <c r="H1911" s="38" t="n">
        <f aca="false">Sens!$H$1851</f>
        <v>19.1152708844721</v>
      </c>
      <c r="I1911" s="38" t="n">
        <f aca="false">Sens!$I$1851</f>
        <v>21.9291346692252</v>
      </c>
      <c r="J1911" s="38" t="n">
        <f aca="false">Sens!$J$1851</f>
        <v>27.2546381484928</v>
      </c>
      <c r="K1911" s="38" t="n">
        <f aca="false">Sens!$K$1851</f>
        <v>28.0066117880988</v>
      </c>
      <c r="L1911" s="38" t="n">
        <f aca="false">Sens!$L$1851</f>
        <v>27.4045290101057</v>
      </c>
      <c r="M1911" s="38" t="n">
        <f aca="false">Sens!$M$1851</f>
        <v>24.9537509083195</v>
      </c>
      <c r="N1911" s="38" t="n">
        <f aca="false">Sens!$N$1851</f>
        <v>1.55451812050155</v>
      </c>
      <c r="O1911" s="38" t="n">
        <f aca="false">Sens!$O$1851</f>
        <v>3.58733685748937</v>
      </c>
    </row>
    <row r="1912" customFormat="false" ht="17.15" hidden="false" customHeight="false" outlineLevel="0" collapsed="false">
      <c r="A1912" s="0" t="s">
        <v>660</v>
      </c>
      <c r="B1912" s="0" t="s">
        <v>86</v>
      </c>
      <c r="C1912" s="38" t="n">
        <f aca="false">Sens!$C$1856</f>
        <v>38.2191352182015</v>
      </c>
      <c r="D1912" s="38" t="n">
        <f aca="false">Sens!$D$1856</f>
        <v>40.4641450220091</v>
      </c>
      <c r="E1912" s="38" t="n">
        <f aca="false">Sens!$E$1856</f>
        <v>29.1112248525371</v>
      </c>
      <c r="F1912" s="38" t="n">
        <f aca="false">Sens!$F$1856</f>
        <v>26.4239166377985</v>
      </c>
      <c r="G1912" s="38" t="n">
        <f aca="false">Sens!$G$1856</f>
        <v>55.5351414903356</v>
      </c>
      <c r="H1912" s="38" t="n">
        <f aca="false">Sens!$H$1856</f>
        <v>59.2830337512075</v>
      </c>
      <c r="I1912" s="38" t="n">
        <f aca="false">Sens!$I$1856</f>
        <v>65.8191906079175</v>
      </c>
      <c r="J1912" s="38" t="n">
        <f aca="false">Sens!$J$1856</f>
        <v>72.0803534641692</v>
      </c>
      <c r="K1912" s="38" t="n">
        <f aca="false">Sens!$K$1856</f>
        <v>77.8467817413027</v>
      </c>
      <c r="L1912" s="38" t="n">
        <f aca="false">Sens!$L$1856</f>
        <v>84.0745242806069</v>
      </c>
      <c r="M1912" s="38" t="n">
        <f aca="false">Sens!$M$1856</f>
        <v>90.8004862230555</v>
      </c>
      <c r="N1912" s="38" t="n">
        <f aca="false">Sens!$N$1856</f>
        <v>20.1524818794985</v>
      </c>
      <c r="O1912" s="38" t="n">
        <f aca="false">Sens!$O$1856</f>
        <v>20.3116631425106</v>
      </c>
    </row>
    <row r="1913" customFormat="false" ht="17.15" hidden="false" customHeight="false" outlineLevel="0" collapsed="false">
      <c r="A1913" s="1" t="s">
        <v>743</v>
      </c>
      <c r="B1913" s="8" t="s">
        <v>86</v>
      </c>
      <c r="C1913" s="38" t="n">
        <f aca="false">Q!$D$24</f>
        <v>39.834</v>
      </c>
      <c r="D1913" s="38" t="n">
        <f aca="false">Q!$E$24</f>
        <v>45.606</v>
      </c>
      <c r="E1913" s="38" t="n">
        <f aca="false">Q!$P$24</f>
        <v>30.782</v>
      </c>
      <c r="F1913" s="38" t="n">
        <f aca="false">Sens!$F$1911+Sens!$F$1912</f>
        <v>33.1892662102087</v>
      </c>
      <c r="G1913" s="38" t="n">
        <f aca="false">Sens!$G$1911+Sens!$G$1912</f>
        <v>63.9712662102087</v>
      </c>
      <c r="H1913" s="38" t="n">
        <f aca="false">Sens!$H$1911+Sens!$H$1912</f>
        <v>78.3983046356796</v>
      </c>
      <c r="I1913" s="38" t="n">
        <f aca="false">Sens!$I$1911+Sens!$I$1912</f>
        <v>87.7483252771427</v>
      </c>
      <c r="J1913" s="38" t="n">
        <f aca="false">Sens!$J$1911+Sens!$J$1912</f>
        <v>99.334991612662</v>
      </c>
      <c r="K1913" s="38" t="n">
        <f aca="false">Sens!$K$1911+Sens!$K$1912</f>
        <v>105.853393529402</v>
      </c>
      <c r="L1913" s="38" t="n">
        <f aca="false">Sens!$L$1911+Sens!$L$1912</f>
        <v>111.479053290713</v>
      </c>
      <c r="M1913" s="38" t="n">
        <f aca="false">Sens!$M$1911+Sens!$M$1912</f>
        <v>115.754237131375</v>
      </c>
      <c r="N1913" s="38" t="n">
        <f aca="false">Q!$N$24</f>
        <v>21.707</v>
      </c>
      <c r="O1913" s="38" t="n">
        <f aca="false">Q!$O$24</f>
        <v>23.899</v>
      </c>
    </row>
    <row r="1914" customFormat="false" ht="17.15" hidden="false" customHeight="false" outlineLevel="0" collapsed="false">
      <c r="A1914" s="5" t="s">
        <v>744</v>
      </c>
      <c r="B1914" s="0" t="s">
        <v>86</v>
      </c>
      <c r="C1914" s="38" t="n">
        <f aca="false">Q!$D$26</f>
        <v>0</v>
      </c>
      <c r="D1914" s="38" t="n">
        <f aca="false">Q!$E$26</f>
        <v>0</v>
      </c>
      <c r="E1914" s="38" t="n">
        <f aca="false">Q!$P$26</f>
        <v>0</v>
      </c>
      <c r="F1914" s="39" t="n">
        <v>0</v>
      </c>
      <c r="G1914" s="38" t="n">
        <f aca="false">Sens!$E$1914+Sens!$F$1914</f>
        <v>0</v>
      </c>
      <c r="H1914" s="39" t="n">
        <v>0</v>
      </c>
      <c r="I1914" s="39" t="n">
        <v>0</v>
      </c>
      <c r="J1914" s="39" t="n">
        <v>0</v>
      </c>
      <c r="K1914" s="39" t="n">
        <v>0</v>
      </c>
      <c r="L1914" s="39" t="n">
        <v>0</v>
      </c>
      <c r="M1914" s="39" t="n">
        <v>0</v>
      </c>
      <c r="N1914" s="38" t="n">
        <f aca="false">Q!$N$26</f>
        <v>0</v>
      </c>
      <c r="O1914" s="38" t="n">
        <f aca="false">Q!$O$26</f>
        <v>0</v>
      </c>
    </row>
    <row r="1915" customFormat="false" ht="15" hidden="false" customHeight="false" outlineLevel="0" collapsed="false">
      <c r="A1915" s="3" t="s">
        <v>541</v>
      </c>
      <c r="B1915" s="8" t="s">
        <v>86</v>
      </c>
      <c r="C1915" s="38" t="n">
        <f aca="false">Q!$D$25</f>
        <v>68.593</v>
      </c>
      <c r="D1915" s="38" t="n">
        <f aca="false">Q!$E$25</f>
        <v>79.975</v>
      </c>
      <c r="E1915" s="38" t="n">
        <f aca="false">Q!$P$25</f>
        <v>51.313</v>
      </c>
      <c r="F1915" s="38" t="n">
        <f aca="false">Sens!$F$1905+Sens!$F$1910+Sens!$F$1913+Sens!$F$1914</f>
        <v>56.0994823862807</v>
      </c>
      <c r="G1915" s="38" t="n">
        <f aca="false">Sens!$G$1905+Sens!$G$1910+Sens!$G$1913+Sens!$G$1914</f>
        <v>107.412482386281</v>
      </c>
      <c r="H1915" s="38" t="n">
        <f aca="false">Sens!$H$1905+Sens!$H$1910+Sens!$H$1913+Sens!$H$1914</f>
        <v>125.550173787292</v>
      </c>
      <c r="I1915" s="38" t="n">
        <f aca="false">Sens!$I$1905+Sens!$I$1910+Sens!$I$1913+Sens!$I$1914</f>
        <v>135.679757532118</v>
      </c>
      <c r="J1915" s="38" t="n">
        <f aca="false">Sens!$J$1905+Sens!$J$1910+Sens!$J$1913+Sens!$J$1914</f>
        <v>148.226831883067</v>
      </c>
      <c r="K1915" s="38" t="n">
        <f aca="false">Sens!$K$1905+Sens!$K$1910+Sens!$K$1913+Sens!$K$1914</f>
        <v>155.01990048193</v>
      </c>
      <c r="L1915" s="38" t="n">
        <f aca="false">Sens!$L$1905+Sens!$L$1910+Sens!$L$1913+Sens!$L$1914</f>
        <v>162.765433669554</v>
      </c>
      <c r="M1915" s="38" t="n">
        <f aca="false">Sens!$M$1905+Sens!$M$1910+Sens!$M$1913+Sens!$M$1914</f>
        <v>172.518030554354</v>
      </c>
      <c r="N1915" s="38" t="n">
        <f aca="false">Q!$N$25</f>
        <v>37.576</v>
      </c>
      <c r="O1915" s="38" t="n">
        <f aca="false">Q!$O$25</f>
        <v>42.399</v>
      </c>
    </row>
    <row r="1916" customFormat="false" ht="17.15" hidden="false" customHeight="false" outlineLevel="0" collapsed="false">
      <c r="A1916" s="24" t="s">
        <v>775</v>
      </c>
      <c r="B1916" s="25" t="s">
        <v>86</v>
      </c>
      <c r="C1916" s="41" t="n">
        <f aca="false">Sens!$C$1905+Sens!$C$1910+Sens!$C$1913+Sens!$C$1914-Sens!$C$1915</f>
        <v>0</v>
      </c>
      <c r="D1916" s="41" t="n">
        <f aca="false">Sens!$D$1905+Sens!$D$1910+Sens!$D$1913+Sens!$D$1914-Sens!$D$1915</f>
        <v>0</v>
      </c>
      <c r="E1916" s="41" t="n">
        <f aca="false">Sens!$E$1905+Sens!$E$1910+Sens!$E$1913+Sens!$E$1914-Sens!$E$1915</f>
        <v>0</v>
      </c>
      <c r="F1916" s="41" t="n">
        <f aca="false">Sens!$F$1905+Sens!$F$1910+Sens!$F$1913+Sens!$F$1914-Sens!$F$1915</f>
        <v>0</v>
      </c>
      <c r="G1916" s="41" t="n">
        <f aca="false">Sens!$G$1905+Sens!$G$1910+Sens!$G$1913+Sens!$G$1914-Sens!$G$1915</f>
        <v>0</v>
      </c>
      <c r="H1916" s="41" t="n">
        <f aca="false">Sens!$H$1905+Sens!$H$1910+Sens!$H$1913+Sens!$H$1914-Sens!$H$1915</f>
        <v>0</v>
      </c>
      <c r="I1916" s="41" t="n">
        <f aca="false">Sens!$I$1905+Sens!$I$1910+Sens!$I$1913+Sens!$I$1914-Sens!$I$1915</f>
        <v>0</v>
      </c>
      <c r="J1916" s="41" t="n">
        <f aca="false">Sens!$J$1905+Sens!$J$1910+Sens!$J$1913+Sens!$J$1914-Sens!$J$1915</f>
        <v>0</v>
      </c>
      <c r="K1916" s="41" t="n">
        <f aca="false">Sens!$K$1905+Sens!$K$1910+Sens!$K$1913+Sens!$K$1914-Sens!$K$1915</f>
        <v>0</v>
      </c>
      <c r="L1916" s="41" t="n">
        <f aca="false">Sens!$L$1905+Sens!$L$1910+Sens!$L$1913+Sens!$L$1914-Sens!$L$1915</f>
        <v>0</v>
      </c>
      <c r="M1916" s="41" t="n">
        <f aca="false">Sens!$M$1905+Sens!$M$1910+Sens!$M$1913+Sens!$M$1914-Sens!$M$1915</f>
        <v>0</v>
      </c>
      <c r="N1916" s="41" t="n">
        <f aca="false">Sens!$N$1905+Sens!$N$1910+Sens!$N$1913+Sens!$N$1914-Sens!$N$1915</f>
        <v>0</v>
      </c>
      <c r="O1916" s="41" t="n">
        <f aca="false">Sens!$O$1905+Sens!$O$1910+Sens!$O$1913+Sens!$O$1914-Sens!$O$1915</f>
        <v>0</v>
      </c>
    </row>
    <row r="1917" customFormat="false" ht="17.15" hidden="false" customHeight="false" outlineLevel="0" collapsed="false">
      <c r="A1917" s="5" t="s">
        <v>746</v>
      </c>
      <c r="B1917" s="0" t="s">
        <v>86</v>
      </c>
      <c r="C1917" s="38" t="n">
        <f aca="false">Sens!$C$1853</f>
        <v>0</v>
      </c>
      <c r="D1917" s="38" t="n">
        <f aca="false">Sens!$D$1853</f>
        <v>0</v>
      </c>
      <c r="E1917" s="38" t="n">
        <f aca="false">Sens!$E$1853</f>
        <v>0</v>
      </c>
      <c r="F1917" s="38" t="n">
        <f aca="false">Sens!$F$1853</f>
        <v>3.77122048175818</v>
      </c>
      <c r="G1917" s="38" t="n">
        <f aca="false">Sens!$G$1853</f>
        <v>3.77122048175818</v>
      </c>
      <c r="H1917" s="38" t="n">
        <f aca="false">Sens!$H$1853</f>
        <v>15.1635543609893</v>
      </c>
      <c r="I1917" s="38" t="n">
        <f aca="false">Sens!$I$1853</f>
        <v>25.5818843619889</v>
      </c>
      <c r="J1917" s="38" t="n">
        <f aca="false">Sens!$J$1853</f>
        <v>36.0465624179122</v>
      </c>
      <c r="K1917" s="38" t="n">
        <f aca="false">Sens!$K$1853</f>
        <v>44.9741164026038</v>
      </c>
      <c r="L1917" s="38" t="n">
        <f aca="false">Sens!$L$1853</f>
        <v>50.8413488057813</v>
      </c>
      <c r="M1917" s="38" t="n">
        <f aca="false">Sens!$M$1853</f>
        <v>53.6407214274315</v>
      </c>
      <c r="N1917" s="38" t="n">
        <f aca="false">Sens!$N$1853</f>
        <v>0</v>
      </c>
      <c r="O1917" s="38" t="n">
        <f aca="false">Sens!$O$1853</f>
        <v>0</v>
      </c>
      <c r="P1917" s="5" t="s">
        <v>747</v>
      </c>
    </row>
    <row r="1918" customFormat="false" ht="17.15" hidden="false" customHeight="false" outlineLevel="0" collapsed="false">
      <c r="A1918" s="5" t="s">
        <v>748</v>
      </c>
      <c r="B1918" s="0" t="s">
        <v>86</v>
      </c>
      <c r="C1918" s="38" t="n">
        <f aca="false">Sens!$C$1915+Sens!$C$1917</f>
        <v>68.593</v>
      </c>
      <c r="D1918" s="38" t="n">
        <f aca="false">Sens!$D$1915+Sens!$D$1917</f>
        <v>79.975</v>
      </c>
      <c r="E1918" s="38" t="n">
        <f aca="false">Sens!$E$1915+Sens!$E$1917</f>
        <v>51.313</v>
      </c>
      <c r="F1918" s="38" t="n">
        <f aca="false">Sens!$F$1915+Sens!$F$1917</f>
        <v>59.8707028680389</v>
      </c>
      <c r="G1918" s="38" t="n">
        <f aca="false">Sens!$G$1915+Sens!$G$1917</f>
        <v>111.183702868039</v>
      </c>
      <c r="H1918" s="38" t="n">
        <f aca="false">Sens!$H$1915+Sens!$H$1917</f>
        <v>140.713728148281</v>
      </c>
      <c r="I1918" s="38" t="n">
        <f aca="false">Sens!$I$1915+Sens!$I$1917</f>
        <v>161.261641894107</v>
      </c>
      <c r="J1918" s="38" t="n">
        <f aca="false">Sens!$J$1915+Sens!$J$1917</f>
        <v>184.27339430098</v>
      </c>
      <c r="K1918" s="38" t="n">
        <f aca="false">Sens!$K$1915+Sens!$K$1917</f>
        <v>199.994016884534</v>
      </c>
      <c r="L1918" s="38" t="n">
        <f aca="false">Sens!$L$1915+Sens!$L$1917</f>
        <v>213.606782475335</v>
      </c>
      <c r="M1918" s="38" t="n">
        <f aca="false">Sens!$M$1915+Sens!$M$1917</f>
        <v>226.158751981786</v>
      </c>
      <c r="N1918" s="38" t="n">
        <f aca="false">Sens!$N$1915+Sens!$N$1917</f>
        <v>37.576</v>
      </c>
      <c r="O1918" s="38" t="n">
        <f aca="false">Sens!$O$1915+Sens!$O$1917</f>
        <v>42.399</v>
      </c>
    </row>
    <row r="1919" customFormat="false" ht="17.15" hidden="false" customHeight="false" outlineLevel="0" collapsed="false">
      <c r="A1919" s="0" t="s">
        <v>749</v>
      </c>
      <c r="B1919" s="0" t="s">
        <v>52</v>
      </c>
      <c r="C1919" s="13" t="n">
        <f aca="false">Sens!$C$1905/Sens!$C$1890</f>
        <v>0.0644314665661928</v>
      </c>
      <c r="D1919" s="13" t="n">
        <f aca="false">Sens!$D$1905/Sens!$D$1890</f>
        <v>0.0694784250712518</v>
      </c>
      <c r="E1919" s="13" t="n">
        <f aca="false">Sens!$E$1905/Sens!$E$1890</f>
        <v>0.0789306463326071</v>
      </c>
      <c r="F1919" s="13" t="n">
        <f aca="false">Sens!$F$1905/Sens!$F$1890</f>
        <v>0.0803082836246364</v>
      </c>
      <c r="G1919" s="13" t="n">
        <f aca="false">Sens!$G$1905/Sens!$G$1890</f>
        <v>0.0796638102210233</v>
      </c>
      <c r="H1919" s="13" t="n">
        <f aca="false">Sens!$H$1905/Sens!$H$1890</f>
        <v>0.0789145744072636</v>
      </c>
      <c r="I1919" s="13" t="n">
        <f aca="false">Sens!$I$1905/Sens!$I$1890</f>
        <v>0.074873119159918</v>
      </c>
      <c r="J1919" s="13" t="n">
        <f aca="false">Sens!$J$1905/Sens!$J$1890</f>
        <v>0.072111391351896</v>
      </c>
      <c r="K1919" s="13" t="n">
        <f aca="false">Sens!$K$1905/Sens!$K$1890</f>
        <v>0.0695317908997743</v>
      </c>
      <c r="L1919" s="13" t="n">
        <f aca="false">Sens!$L$1905/Sens!$L$1890</f>
        <v>0.0683202075440408</v>
      </c>
      <c r="M1919" s="13" t="n">
        <f aca="false">Sens!$M$1905/Sens!$M$1890</f>
        <v>0.0702904996385626</v>
      </c>
      <c r="N1919" s="13" t="n">
        <f aca="false">Sens!$N$1905/Sens!$N$1890</f>
        <v>0.069228576611127</v>
      </c>
      <c r="O1919" s="13" t="n">
        <f aca="false">Sens!$O$1905/Sens!$O$1890</f>
        <v>0.069685022498393</v>
      </c>
    </row>
    <row r="1920" customFormat="false" ht="17.15" hidden="false" customHeight="false" outlineLevel="0" collapsed="false">
      <c r="A1920" s="0" t="s">
        <v>750</v>
      </c>
      <c r="B1920" s="0" t="s">
        <v>52</v>
      </c>
      <c r="C1920" s="13" t="n">
        <f aca="false">Sens!$C$1910/Sens!$C$1891</f>
        <v>0.026534925055631</v>
      </c>
      <c r="D1920" s="13" t="n">
        <f aca="false">Sens!$D$1910/Sens!$D$1891</f>
        <v>0.0293401855535103</v>
      </c>
      <c r="E1920" s="13" t="n">
        <f aca="false">Sens!$E$1910/Sens!$E$1891</f>
        <v>0.03831141902276</v>
      </c>
      <c r="F1920" s="13" t="n">
        <f aca="false">Sens!$F$1910/Sens!$F$1891</f>
        <v>0.0282675486332706</v>
      </c>
      <c r="G1920" s="13" t="n">
        <f aca="false">Sens!$G$1910/Sens!$G$1891</f>
        <v>0.0328323047819997</v>
      </c>
      <c r="H1920" s="13" t="n">
        <f aca="false">Sens!$H$1910/Sens!$H$1891</f>
        <v>0.0300778115072714</v>
      </c>
      <c r="I1920" s="13" t="n">
        <f aca="false">Sens!$I$1910/Sens!$I$1891</f>
        <v>0.0240079226510741</v>
      </c>
      <c r="J1920" s="13" t="n">
        <f aca="false">Sens!$J$1910/Sens!$J$1891</f>
        <v>0.0191547838510537</v>
      </c>
      <c r="K1920" s="13" t="n">
        <f aca="false">Sens!$K$1910/Sens!$K$1891</f>
        <v>0.0143791328031501</v>
      </c>
      <c r="L1920" s="13" t="n">
        <f aca="false">Sens!$L$1910/Sens!$L$1891</f>
        <v>0.0135136870564534</v>
      </c>
      <c r="M1920" s="13" t="n">
        <f aca="false">Sens!$M$1910/Sens!$M$1891</f>
        <v>0.0158381235912922</v>
      </c>
      <c r="N1920" s="13" t="n">
        <f aca="false">Sens!$N$1910/Sens!$N$1891</f>
        <v>0.0357315650169337</v>
      </c>
      <c r="O1920" s="13" t="n">
        <f aca="false">Sens!$O$1910/Sens!$O$1891</f>
        <v>0.0244378956559703</v>
      </c>
    </row>
    <row r="1921" customFormat="false" ht="17.15" hidden="false" customHeight="false" outlineLevel="0" collapsed="false">
      <c r="A1921" s="14" t="s">
        <v>751</v>
      </c>
      <c r="B1921" s="14" t="s">
        <v>52</v>
      </c>
      <c r="C1921" s="17" t="n">
        <f aca="false">Sens!$C$1913/Sens!$C$1892</f>
        <v>0.370355907620217</v>
      </c>
      <c r="D1921" s="17" t="n">
        <f aca="false">Sens!$D$1913/Sens!$D$1892</f>
        <v>0.35429015342785</v>
      </c>
      <c r="E1921" s="17" t="n">
        <f aca="false">Sens!$E$1913/Sens!$E$1892</f>
        <v>0.385647527531039</v>
      </c>
      <c r="F1921" s="17" t="n">
        <f aca="false">Sens!$F$1913/Sens!$F$1892</f>
        <v>0.382661365487388</v>
      </c>
      <c r="G1921" s="17" t="n">
        <f aca="false">Sens!$G$1913/Sens!$G$1892</f>
        <v>0.384092467183184</v>
      </c>
      <c r="H1921" s="17" t="n">
        <f aca="false">Sens!$H$1913/Sens!$H$1892</f>
        <v>0.354450007634849</v>
      </c>
      <c r="I1921" s="17" t="n">
        <f aca="false">Sens!$I$1913/Sens!$I$1892</f>
        <v>0.313081109061601</v>
      </c>
      <c r="J1921" s="17" t="n">
        <f aca="false">Sens!$J$1913/Sens!$J$1892</f>
        <v>0.293195733426446</v>
      </c>
      <c r="K1921" s="17" t="n">
        <f aca="false">Sens!$K$1913/Sens!$K$1892</f>
        <v>0.271498526695258</v>
      </c>
      <c r="L1921" s="17" t="n">
        <f aca="false">Sens!$L$1913/Sens!$L$1892</f>
        <v>0.259204972563734</v>
      </c>
      <c r="M1921" s="17" t="n">
        <f aca="false">Sens!$M$1913/Sens!$M$1892</f>
        <v>0.251937460140449</v>
      </c>
      <c r="N1921" s="17" t="n">
        <f aca="false">Sens!$N$1913/Sens!$N$1892</f>
        <v>0.360941137346192</v>
      </c>
      <c r="O1921" s="17" t="n">
        <f aca="false">Sens!$O$1913/Sens!$O$1892</f>
        <v>0.348458117664212</v>
      </c>
    </row>
    <row r="1922" customFormat="false" ht="17.15" hidden="false" customHeight="false" outlineLevel="0" collapsed="false">
      <c r="A1922" s="0" t="s">
        <v>752</v>
      </c>
      <c r="B1922" s="0" t="s">
        <v>52</v>
      </c>
      <c r="C1922" s="13" t="n">
        <f aca="false">Sens!$C$1911/Sens!$C$1893</f>
        <v>0.695760902466888</v>
      </c>
      <c r="D1922" s="13" t="n">
        <f aca="false">Sens!$D$1911/Sens!$D$1893</f>
        <v>0.590761810757774</v>
      </c>
      <c r="E1922" s="13" t="n">
        <f aca="false">Sens!$E$1911/Sens!$E$1893</f>
        <v>0.19632266161686</v>
      </c>
      <c r="F1922" s="13" t="n">
        <f aca="false">Sens!$F$1911/Sens!$F$1893</f>
        <v>0.45212547688192</v>
      </c>
      <c r="G1922" s="13" t="n">
        <f aca="false">Sens!$G$1911/Sens!$G$1893</f>
        <v>0.359384911192001</v>
      </c>
      <c r="H1922" s="13" t="n">
        <f aca="false">Sens!$H$1911/Sens!$H$1893</f>
        <v>0.317709430480654</v>
      </c>
      <c r="I1922" s="13" t="n">
        <f aca="false">Sens!$I$1911/Sens!$I$1893</f>
        <v>0.216042714263547</v>
      </c>
      <c r="J1922" s="13" t="n">
        <f aca="false">Sens!$J$1911/Sens!$J$1893</f>
        <v>0.190558018266402</v>
      </c>
      <c r="K1922" s="13" t="n">
        <f aca="false">Sens!$K$1911/Sens!$K$1893</f>
        <v>0.156945400870351</v>
      </c>
      <c r="L1922" s="13" t="n">
        <f aca="false">Sens!$L$1911/Sens!$L$1893</f>
        <v>0.135848841907757</v>
      </c>
      <c r="M1922" s="13" t="n">
        <f aca="false">Sens!$M$1911/Sens!$M$1893</f>
        <v>0.117244340265079</v>
      </c>
      <c r="N1922" s="13" t="n">
        <f aca="false">Sens!$N$1911/Sens!$N$1893</f>
        <v>0.510293849567715</v>
      </c>
      <c r="O1922" s="13" t="n">
        <f aca="false">Sens!$O$1911/Sens!$O$1893</f>
        <v>0.634090712937037</v>
      </c>
    </row>
    <row r="1923" customFormat="false" ht="15" hidden="false" customHeight="false" outlineLevel="0" collapsed="false">
      <c r="A1923" s="5" t="s">
        <v>753</v>
      </c>
      <c r="B1923" s="0" t="s">
        <v>52</v>
      </c>
      <c r="C1923" s="13" t="n">
        <f aca="false">Sens!$C$1915/Sens!$C$1895</f>
        <v>0.107519448742004</v>
      </c>
      <c r="D1923" s="13" t="n">
        <f aca="false">Sens!$D$1915/Sens!$D$1895</f>
        <v>0.111552967957552</v>
      </c>
      <c r="E1923" s="13" t="n">
        <f aca="false">Sens!$E$1915/Sens!$E$1895</f>
        <v>0.13428328426562</v>
      </c>
      <c r="F1923" s="13" t="n">
        <f aca="false">Sens!$F$1915/Sens!$F$1895</f>
        <v>0.128733206802803</v>
      </c>
      <c r="G1923" s="13" t="n">
        <f aca="false">Sens!$G$1915/Sens!$G$1895</f>
        <v>0.131326198436419</v>
      </c>
      <c r="H1923" s="13" t="n">
        <f aca="false">Sens!$H$1915/Sens!$H$1895</f>
        <v>0.133240854941261</v>
      </c>
      <c r="I1923" s="13" t="n">
        <f aca="false">Sens!$I$1915/Sens!$I$1895</f>
        <v>0.126945542441419</v>
      </c>
      <c r="J1923" s="13" t="n">
        <f aca="false">Sens!$J$1915/Sens!$J$1895</f>
        <v>0.124569852120368</v>
      </c>
      <c r="K1923" s="13" t="n">
        <f aca="false">Sens!$K$1915/Sens!$K$1895</f>
        <v>0.119608384255471</v>
      </c>
      <c r="L1923" s="13" t="n">
        <f aca="false">Sens!$L$1915/Sens!$L$1895</f>
        <v>0.116663195763247</v>
      </c>
      <c r="M1923" s="13" t="n">
        <f aca="false">Sens!$M$1915/Sens!$M$1895</f>
        <v>0.115970388535103</v>
      </c>
      <c r="N1923" s="13" t="n">
        <f aca="false">Sens!$N$1915/Sens!$N$1895</f>
        <v>0.116201614873411</v>
      </c>
      <c r="O1923" s="13" t="n">
        <f aca="false">Sens!$O$1915/Sens!$O$1895</f>
        <v>0.107733353660861</v>
      </c>
    </row>
    <row r="1924" customFormat="false" ht="17.15" hidden="false" customHeight="false" outlineLevel="0" collapsed="false">
      <c r="A1924" s="1" t="s">
        <v>754</v>
      </c>
    </row>
    <row r="1925" customFormat="false" ht="17.15" hidden="false" customHeight="false" outlineLevel="0" collapsed="false">
      <c r="A1925" s="5" t="s">
        <v>755</v>
      </c>
      <c r="B1925" s="0" t="s">
        <v>52</v>
      </c>
      <c r="D1925" s="28" t="n">
        <f aca="false">(Q!$E$29+Q!$E$30-(1-ext_sh)*Sens!$D$1847)/Sens!$D$1798</f>
        <v>0.0340045599029261</v>
      </c>
    </row>
    <row r="1926" customFormat="false" ht="17.15" hidden="false" customHeight="false" outlineLevel="0" collapsed="false">
      <c r="A1926" s="0" t="s">
        <v>545</v>
      </c>
      <c r="B1926" s="0" t="s">
        <v>86</v>
      </c>
      <c r="C1926" s="38" t="n">
        <f aca="false">Q!$D$29</f>
        <v>14.285</v>
      </c>
      <c r="D1926" s="38" t="n">
        <f aca="false">Q!$E$29</f>
        <v>15.503</v>
      </c>
      <c r="E1926" s="38" t="n">
        <f aca="false">Q!$P$29</f>
        <v>8.78</v>
      </c>
      <c r="F1926" s="38" t="n">
        <f aca="false">(Sens!$D$1925*Sens!$F$1798+(1-ext_sh)*Sens!$F$1847)*Sens!$F$1799</f>
        <v>9.41234740640894</v>
      </c>
      <c r="G1926" s="38" t="n">
        <f aca="false">Sens!$E$1926+Sens!$F$1926</f>
        <v>18.1923474064089</v>
      </c>
      <c r="H1926" s="38" t="n">
        <f aca="false">(Sens!$D$1925*Sens!$H$1798+(1-ext_sh)*Sens!$H$1847)*Sens!$H$1799</f>
        <v>22.8635130948895</v>
      </c>
      <c r="I1926" s="38" t="n">
        <f aca="false">(Sens!$D$1925*Sens!$I$1798+(1-ext_sh)*Sens!$I$1847)*Sens!$I$1799</f>
        <v>29.9846198040066</v>
      </c>
      <c r="J1926" s="38" t="n">
        <f aca="false">(Sens!$D$1925*Sens!$J$1798+(1-ext_sh)*Sens!$J$1847)*Sens!$J$1799</f>
        <v>36.5628534763881</v>
      </c>
      <c r="K1926" s="38" t="n">
        <f aca="false">(Sens!$D$1925*Sens!$K$1798+(1-ext_sh)*Sens!$K$1847)*Sens!$K$1799</f>
        <v>42.9009720217326</v>
      </c>
      <c r="L1926" s="38" t="n">
        <f aca="false">(Sens!$D$1925*Sens!$L$1798+(1-ext_sh)*Sens!$L$1847)*Sens!$L$1799</f>
        <v>47.8233059182889</v>
      </c>
      <c r="M1926" s="38" t="n">
        <f aca="false">(Sens!$D$1925*Sens!$M$1798+(1-ext_sh)*Sens!$M$1847)*Sens!$M$1799</f>
        <v>51.4214307346741</v>
      </c>
      <c r="N1926" s="38" t="n">
        <f aca="false">Q!$N$29</f>
        <v>7.272</v>
      </c>
      <c r="O1926" s="38" t="n">
        <f aca="false">Q!$O$29</f>
        <v>8.231</v>
      </c>
    </row>
    <row r="1927" customFormat="false" ht="17.15" hidden="false" customHeight="false" outlineLevel="0" collapsed="false">
      <c r="A1927" s="0" t="s">
        <v>547</v>
      </c>
      <c r="B1927" s="0" t="s">
        <v>86</v>
      </c>
      <c r="C1927" s="38" t="n">
        <f aca="false">Q!$D$30</f>
        <v>4.462</v>
      </c>
      <c r="D1927" s="38" t="n">
        <f aca="false">Q!$E$30</f>
        <v>4.907</v>
      </c>
      <c r="E1927" s="38" t="n">
        <f aca="false">Q!$P$30</f>
        <v>2.57</v>
      </c>
      <c r="F1927" s="38" t="n">
        <f aca="false">(Sens!$D$1925*Sens!$F$1798+(1-ext_sh)*Sens!$F$1847)*(1-Sens!$F$1799)</f>
        <v>3.69556147150284</v>
      </c>
      <c r="G1927" s="38" t="n">
        <f aca="false">Sens!$E$1927+Sens!$F$1927</f>
        <v>6.26556147150284</v>
      </c>
      <c r="H1927" s="38" t="n">
        <f aca="false">(Sens!$D$1925*Sens!$H$1798+(1-ext_sh)*Sens!$H$1847)*(1-Sens!$H$1799)</f>
        <v>8.75754473604742</v>
      </c>
      <c r="I1927" s="38" t="n">
        <f aca="false">(Sens!$D$1925*Sens!$I$1798+(1-ext_sh)*Sens!$I$1847)*(1-Sens!$I$1799)</f>
        <v>11.4851837614429</v>
      </c>
      <c r="J1927" s="38" t="n">
        <f aca="false">(Sens!$D$1925*Sens!$J$1798+(1-ext_sh)*Sens!$J$1847)*(1-Sens!$J$1799)</f>
        <v>14.0048829621283</v>
      </c>
      <c r="K1927" s="38" t="n">
        <f aca="false">(Sens!$D$1925*Sens!$K$1798+(1-ext_sh)*Sens!$K$1847)*(1-Sens!$K$1799)</f>
        <v>16.4326094656127</v>
      </c>
      <c r="L1927" s="38" t="n">
        <f aca="false">(Sens!$D$1925*Sens!$L$1798+(1-ext_sh)*Sens!$L$1847)*(1-Sens!$L$1799)</f>
        <v>18.318039719745</v>
      </c>
      <c r="M1927" s="38" t="n">
        <f aca="false">(Sens!$D$1925*Sens!$M$1798+(1-ext_sh)*Sens!$M$1847)*(1-Sens!$M$1799)</f>
        <v>19.6962504485424</v>
      </c>
      <c r="N1927" s="38" t="n">
        <f aca="false">Q!$N$30</f>
        <v>2.316</v>
      </c>
      <c r="O1927" s="38" t="n">
        <f aca="false">Q!$O$30</f>
        <v>2.591</v>
      </c>
    </row>
    <row r="1928" customFormat="false" ht="17.15" hidden="false" customHeight="false" outlineLevel="0" collapsed="false">
      <c r="A1928" s="0" t="s">
        <v>548</v>
      </c>
      <c r="B1928" s="0" t="s">
        <v>86</v>
      </c>
      <c r="C1928" s="38" t="n">
        <f aca="false">Sens!$C$1859</f>
        <v>13.32</v>
      </c>
      <c r="D1928" s="38" t="n">
        <f aca="false">Sens!$D$1859</f>
        <v>21.45</v>
      </c>
      <c r="E1928" s="38" t="n">
        <f aca="false">Sens!$E$1859</f>
        <v>15.353</v>
      </c>
      <c r="F1928" s="38" t="n">
        <f aca="false">Sens!$F$1859</f>
        <v>16.8039914342321</v>
      </c>
      <c r="G1928" s="38" t="n">
        <f aca="false">Sens!$G$1859</f>
        <v>32.1569914342321</v>
      </c>
      <c r="H1928" s="38" t="n">
        <f aca="false">Sens!$H$1859</f>
        <v>54.9862068995567</v>
      </c>
      <c r="I1928" s="38" t="n">
        <f aca="false">Sens!$I$1859</f>
        <v>88.1401500638136</v>
      </c>
      <c r="J1928" s="38" t="n">
        <f aca="false">Sens!$J$1859</f>
        <v>118.827688920011</v>
      </c>
      <c r="K1928" s="38" t="n">
        <f aca="false">Sens!$K$1859</f>
        <v>148.986650756381</v>
      </c>
      <c r="L1928" s="38" t="n">
        <f aca="false">Sens!$L$1859</f>
        <v>170.99667628443</v>
      </c>
      <c r="M1928" s="38" t="n">
        <f aca="false">Sens!$M$1859</f>
        <v>185.341540100889</v>
      </c>
      <c r="N1928" s="38" t="n">
        <f aca="false">Sens!$N$1859</f>
        <v>9.234</v>
      </c>
      <c r="O1928" s="38" t="n">
        <f aca="false">Sens!$O$1859</f>
        <v>12.216</v>
      </c>
    </row>
    <row r="1929" customFormat="false" ht="17.15" hidden="false" customHeight="false" outlineLevel="0" collapsed="false">
      <c r="A1929" s="5" t="s">
        <v>756</v>
      </c>
      <c r="B1929" s="0" t="s">
        <v>86</v>
      </c>
      <c r="C1929" s="38" t="n">
        <f aca="false">Sens!$C$1926+Sens!$C$1927+Sens!$C$1928</f>
        <v>32.067</v>
      </c>
      <c r="D1929" s="38" t="n">
        <f aca="false">Sens!$D$1926+Sens!$D$1927+Sens!$D$1928</f>
        <v>41.86</v>
      </c>
      <c r="E1929" s="38" t="n">
        <f aca="false">Sens!$E$1926+Sens!$E$1927+Sens!$E$1928</f>
        <v>26.703</v>
      </c>
      <c r="F1929" s="38" t="n">
        <f aca="false">Sens!$F$1926+Sens!$F$1927+Sens!$F$1928</f>
        <v>29.9119003121439</v>
      </c>
      <c r="G1929" s="38" t="n">
        <f aca="false">Sens!$G$1926+Sens!$G$1927+Sens!$G$1928</f>
        <v>56.6149003121439</v>
      </c>
      <c r="H1929" s="38" t="n">
        <f aca="false">Sens!$H$1926+Sens!$H$1927+Sens!$H$1928</f>
        <v>86.6072647304937</v>
      </c>
      <c r="I1929" s="38" t="n">
        <f aca="false">Sens!$I$1926+Sens!$I$1927+Sens!$I$1928</f>
        <v>129.609953629263</v>
      </c>
      <c r="J1929" s="38" t="n">
        <f aca="false">Sens!$J$1926+Sens!$J$1927+Sens!$J$1928</f>
        <v>169.395425358528</v>
      </c>
      <c r="K1929" s="38" t="n">
        <f aca="false">Sens!$K$1926+Sens!$K$1927+Sens!$K$1928</f>
        <v>208.320232243726</v>
      </c>
      <c r="L1929" s="38" t="n">
        <f aca="false">Sens!$L$1926+Sens!$L$1927+Sens!$L$1928</f>
        <v>237.138021922464</v>
      </c>
      <c r="M1929" s="38" t="n">
        <f aca="false">Sens!$M$1926+Sens!$M$1927+Sens!$M$1928</f>
        <v>256.459221284105</v>
      </c>
      <c r="N1929" s="38" t="n">
        <f aca="false">Sens!$N$1926+Sens!$N$1927+Sens!$N$1928</f>
        <v>18.822</v>
      </c>
      <c r="O1929" s="38" t="n">
        <f aca="false">Sens!$O$1926+Sens!$O$1927+Sens!$O$1928</f>
        <v>23.038</v>
      </c>
    </row>
    <row r="1930" customFormat="false" ht="17.15" hidden="false" customHeight="false" outlineLevel="0" collapsed="false">
      <c r="A1930" s="0" t="s">
        <v>757</v>
      </c>
      <c r="B1930" s="0" t="s">
        <v>86</v>
      </c>
      <c r="C1930" s="38" t="n">
        <f aca="false">Sens!$C$1901+Sens!$C$1906</f>
        <v>28.107</v>
      </c>
      <c r="D1930" s="38" t="n">
        <f aca="false">Sens!$D$1901+Sens!$D$1906</f>
        <v>34.3175</v>
      </c>
      <c r="E1930" s="38" t="n">
        <f aca="false">Sens!$E$1901+Sens!$E$1906</f>
        <v>18.526</v>
      </c>
      <c r="F1930" s="38" t="n">
        <f aca="false">Sens!$F$1901+Sens!$F$1906</f>
        <v>23.0786109972074</v>
      </c>
      <c r="G1930" s="38" t="n">
        <f aca="false">Sens!$G$1901+Sens!$G$1906</f>
        <v>41.6046109972074</v>
      </c>
      <c r="H1930" s="38" t="n">
        <f aca="false">Sens!$H$1901+Sens!$H$1906</f>
        <v>49.9484611939488</v>
      </c>
      <c r="I1930" s="38" t="n">
        <f aca="false">Sens!$I$1901+Sens!$I$1906</f>
        <v>58.2915555477481</v>
      </c>
      <c r="J1930" s="38" t="n">
        <f aca="false">Sens!$J$1901+Sens!$J$1906</f>
        <v>66.0744709709759</v>
      </c>
      <c r="K1930" s="38" t="n">
        <f aca="false">Sens!$K$1901+Sens!$K$1906</f>
        <v>72.6819180680735</v>
      </c>
      <c r="L1930" s="38" t="n">
        <f aca="false">Sens!$L$1901+Sens!$L$1906</f>
        <v>79.9501098748808</v>
      </c>
      <c r="M1930" s="38" t="n">
        <f aca="false">Sens!$M$1901+Sens!$M$1906</f>
        <v>87.9451208623689</v>
      </c>
      <c r="N1930" s="38" t="n">
        <f aca="false">Sens!$N$1901+Sens!$N$1906</f>
        <v>14.8075</v>
      </c>
      <c r="O1930" s="38" t="n">
        <f aca="false">Sens!$O$1901+Sens!$O$1906</f>
        <v>19.51</v>
      </c>
    </row>
    <row r="1931" customFormat="false" ht="17.15" hidden="false" customHeight="false" outlineLevel="0" collapsed="false">
      <c r="A1931" s="0" t="s">
        <v>758</v>
      </c>
      <c r="B1931" s="0" t="s">
        <v>86</v>
      </c>
      <c r="C1931" s="38" t="n">
        <f aca="false">Sens!$C$1905+Sens!$C$1910+Sens!$C$1926+Sens!$C$1927-Sens!$C$1930</f>
        <v>19.399</v>
      </c>
      <c r="D1931" s="38" t="n">
        <f aca="false">Sens!$D$1905+Sens!$D$1910+Sens!$D$1926+Sens!$D$1927-Sens!$D$1930</f>
        <v>20.4615</v>
      </c>
      <c r="E1931" s="38" t="n">
        <f aca="false">Sens!$E$1905+Sens!$E$1910+Sens!$E$1926+Sens!$E$1927-Sens!$E$1930</f>
        <v>13.355</v>
      </c>
      <c r="F1931" s="38" t="n">
        <f aca="false">Sens!$F$1905+Sens!$F$1910+Sens!$F$1926+Sens!$F$1927-Sens!$F$1930</f>
        <v>12.9395140567764</v>
      </c>
      <c r="G1931" s="38" t="n">
        <f aca="false">Sens!$G$1905+Sens!$G$1910+Sens!$G$1926+Sens!$G$1927-Sens!$G$1930</f>
        <v>26.2945140567764</v>
      </c>
      <c r="H1931" s="38" t="n">
        <f aca="false">Sens!$H$1905+Sens!$H$1910+Sens!$H$1926+Sens!$H$1927-Sens!$H$1930</f>
        <v>28.8244657886002</v>
      </c>
      <c r="I1931" s="38" t="n">
        <f aca="false">Sens!$I$1905+Sens!$I$1910+Sens!$I$1926+Sens!$I$1927-Sens!$I$1930</f>
        <v>31.1096802726767</v>
      </c>
      <c r="J1931" s="38" t="n">
        <f aca="false">Sens!$J$1905+Sens!$J$1910+Sens!$J$1926+Sens!$J$1927-Sens!$J$1930</f>
        <v>33.385105737946</v>
      </c>
      <c r="K1931" s="38" t="n">
        <f aca="false">Sens!$K$1905+Sens!$K$1910+Sens!$K$1926+Sens!$K$1927-Sens!$K$1930</f>
        <v>35.8181703718002</v>
      </c>
      <c r="L1931" s="38" t="n">
        <f aca="false">Sens!$L$1905+Sens!$L$1910+Sens!$L$1926+Sens!$L$1927-Sens!$L$1930</f>
        <v>37.477616141994</v>
      </c>
      <c r="M1931" s="38" t="n">
        <f aca="false">Sens!$M$1905+Sens!$M$1910+Sens!$M$1926+Sens!$M$1927-Sens!$M$1930</f>
        <v>39.9363537438266</v>
      </c>
      <c r="N1931" s="38" t="n">
        <f aca="false">Sens!$N$1905+Sens!$N$1910+Sens!$N$1926+Sens!$N$1927-Sens!$N$1930</f>
        <v>10.6495</v>
      </c>
      <c r="O1931" s="38" t="n">
        <f aca="false">Sens!$O$1905+Sens!$O$1910+Sens!$O$1926+Sens!$O$1927-Sens!$O$1930</f>
        <v>9.81200000000001</v>
      </c>
    </row>
    <row r="1932" customFormat="false" ht="17.15" hidden="false" customHeight="false" outlineLevel="0" collapsed="false">
      <c r="A1932" s="0" t="s">
        <v>759</v>
      </c>
      <c r="B1932" s="0" t="s">
        <v>86</v>
      </c>
      <c r="C1932" s="38" t="n">
        <f aca="false">Sens!$C$1912+Sens!$C$1928-ext_sh*Sens!$C$1847</f>
        <v>51.3470500115664</v>
      </c>
      <c r="D1932" s="38" t="n">
        <f aca="false">Sens!$D$1912+Sens!$D$1928-ext_sh*Sens!$D$1847</f>
        <v>60.2799375433739</v>
      </c>
      <c r="E1932" s="38" t="n">
        <f aca="false">Sens!$E$1912+Sens!$E$1928-ext_sh*Sens!$E$1847</f>
        <v>39.5095167090767</v>
      </c>
      <c r="F1932" s="38" t="n">
        <f aca="false">Sens!$F$1912+Sens!$F$1928-ext_sh*Sens!$F$1847</f>
        <v>38.2731999285703</v>
      </c>
      <c r="G1932" s="38" t="n">
        <f aca="false">Sens!$G$1912+Sens!$G$1928-ext_sh*Sens!$G$1847</f>
        <v>77.782716637647</v>
      </c>
      <c r="H1932" s="38" t="n">
        <f aca="false">Sens!$H$1912+Sens!$H$1928-ext_sh*Sens!$H$1847</f>
        <v>85.8673388291911</v>
      </c>
      <c r="I1932" s="38" t="n">
        <f aca="false">Sens!$I$1912+Sens!$I$1928-ext_sh*Sens!$I$1847</f>
        <v>95.3345060765897</v>
      </c>
      <c r="J1932" s="38" t="n">
        <f aca="false">Sens!$J$1912+Sens!$J$1928-ext_sh*Sens!$J$1847</f>
        <v>104.40336369779</v>
      </c>
      <c r="K1932" s="38" t="n">
        <f aca="false">Sens!$K$1912+Sens!$K$1928-ext_sh*Sens!$K$1847</f>
        <v>112.755632793613</v>
      </c>
      <c r="L1932" s="38" t="n">
        <f aca="false">Sens!$L$1912+Sens!$L$1928-ext_sh*Sens!$L$1847</f>
        <v>121.776083417102</v>
      </c>
      <c r="M1932" s="38" t="n">
        <f aca="false">Sens!$M$1912+Sens!$M$1928-ext_sh*Sens!$M$1847</f>
        <v>131.51817009047</v>
      </c>
      <c r="N1932" s="38" t="n">
        <f aca="false">Sens!$N$1912+Sens!$N$1928-ext_sh*Sens!$N$1847</f>
        <v>28.5693781401809</v>
      </c>
      <c r="O1932" s="38" t="n">
        <f aca="false">Sens!$O$1912+Sens!$O$1928-ext_sh*Sens!$O$1847</f>
        <v>31.7105594031931</v>
      </c>
    </row>
    <row r="1933" customFormat="false" ht="17.15" hidden="false" customHeight="false" outlineLevel="0" collapsed="false">
      <c r="A1933" s="0" t="s">
        <v>760</v>
      </c>
      <c r="B1933" s="0" t="s">
        <v>86</v>
      </c>
      <c r="C1933" s="38" t="n">
        <f aca="false">Sens!$C$1850</f>
        <v>1.80694998843362</v>
      </c>
      <c r="D1933" s="38" t="n">
        <f aca="false">Sens!$D$1850</f>
        <v>6.77606245662607</v>
      </c>
      <c r="E1933" s="38" t="n">
        <f aca="false">Sens!$E$1850</f>
        <v>6.62548329092326</v>
      </c>
      <c r="F1933" s="38" t="n">
        <f aca="false">Sens!$F$1850</f>
        <v>11.7200577158706</v>
      </c>
      <c r="G1933" s="38" t="n">
        <f aca="false">Sens!$G$1850</f>
        <v>18.3455410067939</v>
      </c>
      <c r="H1933" s="38" t="n">
        <f aca="false">Sens!$H$1850</f>
        <v>47.5171727060453</v>
      </c>
      <c r="I1933" s="38" t="n">
        <f aca="false">Sens!$I$1850</f>
        <v>80.5539692643667</v>
      </c>
      <c r="J1933" s="38" t="n">
        <f aca="false">Sens!$J$1850</f>
        <v>113.759316834883</v>
      </c>
      <c r="K1933" s="38" t="n">
        <f aca="false">Sens!$K$1850</f>
        <v>142.084411492169</v>
      </c>
      <c r="L1933" s="38" t="n">
        <f aca="false">Sens!$L$1850</f>
        <v>160.69964615804</v>
      </c>
      <c r="M1933" s="38" t="n">
        <f aca="false">Sens!$M$1850</f>
        <v>169.577607141793</v>
      </c>
      <c r="N1933" s="38" t="n">
        <f aca="false">Sens!$N$1850</f>
        <v>2.37162185981912</v>
      </c>
      <c r="O1933" s="38" t="n">
        <f aca="false">Sens!$O$1850</f>
        <v>4.40444059680694</v>
      </c>
    </row>
    <row r="1934" customFormat="false" ht="17.15" hidden="false" customHeight="false" outlineLevel="0" collapsed="false">
      <c r="A1934" s="0" t="s">
        <v>761</v>
      </c>
      <c r="B1934" s="0" t="s">
        <v>86</v>
      </c>
      <c r="C1934" s="38" t="n">
        <f aca="false">Sens!$C$1915+Sens!$C$1929</f>
        <v>100.66</v>
      </c>
      <c r="D1934" s="38" t="n">
        <f aca="false">Sens!$D$1915+Sens!$D$1929</f>
        <v>121.835</v>
      </c>
      <c r="E1934" s="38" t="n">
        <f aca="false">Sens!$E$1915+Sens!$E$1929</f>
        <v>78.016</v>
      </c>
      <c r="F1934" s="38" t="n">
        <f aca="false">Sens!$F$1915+Sens!$F$1929</f>
        <v>86.0113826984246</v>
      </c>
      <c r="G1934" s="38" t="n">
        <f aca="false">Sens!$G$1915+Sens!$G$1929</f>
        <v>164.027382698425</v>
      </c>
      <c r="H1934" s="38" t="n">
        <f aca="false">Sens!$H$1915+Sens!$H$1929</f>
        <v>212.157438517785</v>
      </c>
      <c r="I1934" s="38" t="n">
        <f aca="false">Sens!$I$1915+Sens!$I$1929</f>
        <v>265.289711161381</v>
      </c>
      <c r="J1934" s="38" t="n">
        <f aca="false">Sens!$J$1915+Sens!$J$1929</f>
        <v>317.622257241595</v>
      </c>
      <c r="K1934" s="38" t="n">
        <f aca="false">Sens!$K$1915+Sens!$K$1929</f>
        <v>363.340132725656</v>
      </c>
      <c r="L1934" s="38" t="n">
        <f aca="false">Sens!$L$1915+Sens!$L$1929</f>
        <v>399.903455592017</v>
      </c>
      <c r="M1934" s="38" t="n">
        <f aca="false">Sens!$M$1915+Sens!$M$1929</f>
        <v>428.977251838459</v>
      </c>
      <c r="N1934" s="38" t="n">
        <f aca="false">Sens!$N$1915+Sens!$N$1929</f>
        <v>56.398</v>
      </c>
      <c r="O1934" s="38" t="n">
        <f aca="false">Sens!$O$1915+Sens!$O$1929</f>
        <v>65.437</v>
      </c>
    </row>
    <row r="1935" customFormat="false" ht="17.15" hidden="false" customHeight="false" outlineLevel="0" collapsed="false">
      <c r="A1935" s="1" t="s">
        <v>762</v>
      </c>
    </row>
    <row r="1936" customFormat="false" ht="15" hidden="false" customHeight="false" outlineLevel="0" collapsed="false">
      <c r="A1936" s="5" t="s">
        <v>551</v>
      </c>
      <c r="B1936" s="0" t="s">
        <v>86</v>
      </c>
      <c r="C1936" s="38" t="n">
        <f aca="false">Q!$D$34</f>
        <v>2.406</v>
      </c>
      <c r="D1936" s="38" t="n">
        <f aca="false">Q!$E$34</f>
        <v>2.274</v>
      </c>
      <c r="E1936" s="38" t="n">
        <f aca="false">Q!$P$34</f>
        <v>2.114</v>
      </c>
      <c r="F1936" s="38" t="n">
        <f aca="false">Sens!$F$1974</f>
        <v>3.24888962733561</v>
      </c>
      <c r="G1936" s="38" t="n">
        <f aca="false">Sens!$E$1936+Sens!$F$1936</f>
        <v>5.36288962733561</v>
      </c>
      <c r="H1936" s="38" t="n">
        <f aca="false">Sens!$H$1974</f>
        <v>7.42354172302123</v>
      </c>
      <c r="I1936" s="38" t="n">
        <f aca="false">Sens!$I$1974</f>
        <v>7.69691288764793</v>
      </c>
      <c r="J1936" s="38" t="n">
        <f aca="false">Sens!$J$1974</f>
        <v>8.79070700205836</v>
      </c>
      <c r="K1936" s="38" t="n">
        <f aca="false">Sens!$K$1974</f>
        <v>8.79070700205836</v>
      </c>
      <c r="L1936" s="38" t="n">
        <f aca="false">Sens!$L$1974</f>
        <v>8.79070700205836</v>
      </c>
      <c r="M1936" s="38" t="n">
        <f aca="false">Sens!$M$1974</f>
        <v>8.79070700205836</v>
      </c>
      <c r="N1936" s="38" t="n">
        <f aca="false">Q!$N$34</f>
        <v>1.057</v>
      </c>
      <c r="O1936" s="38" t="n">
        <f aca="false">Q!$O$34</f>
        <v>1.217</v>
      </c>
    </row>
    <row r="1937" customFormat="false" ht="15" hidden="false" customHeight="false" outlineLevel="0" collapsed="false">
      <c r="A1937" s="5" t="s">
        <v>763</v>
      </c>
      <c r="B1937" s="0" t="s">
        <v>86</v>
      </c>
      <c r="F1937" s="38" t="n">
        <f aca="false">Sens!$F$1975</f>
        <v>2.59</v>
      </c>
      <c r="H1937" s="38" t="n">
        <f aca="false">Sens!$H$1975</f>
        <v>4.13809587112639</v>
      </c>
      <c r="I1937" s="38" t="n">
        <f aca="false">Sens!$I$1975</f>
        <v>2.10589651022864</v>
      </c>
      <c r="J1937" s="38" t="n">
        <f aca="false">Sens!$J$1975</f>
        <v>2.10589651022864</v>
      </c>
      <c r="K1937" s="38" t="n">
        <f aca="false">Sens!$K$1975</f>
        <v>3.12107786366861</v>
      </c>
      <c r="L1937" s="38" t="n">
        <f aca="false">Sens!$L$1975</f>
        <v>6.92159235593478</v>
      </c>
      <c r="M1937" s="38" t="n">
        <f aca="false">Sens!$M$1975</f>
        <v>12.1934962866017</v>
      </c>
    </row>
    <row r="1938" customFormat="false" ht="17.15" hidden="false" customHeight="false" outlineLevel="0" collapsed="false">
      <c r="A1938" s="5" t="s">
        <v>764</v>
      </c>
      <c r="B1938" s="0" t="s">
        <v>86</v>
      </c>
      <c r="C1938" s="38" t="n">
        <f aca="false">Q!$D$39</f>
        <v>2.427</v>
      </c>
      <c r="D1938" s="38" t="n">
        <f aca="false">Q!$E$39</f>
        <v>19.61</v>
      </c>
      <c r="E1938" s="38" t="n">
        <f aca="false">Q!$P$39</f>
        <v>71.492</v>
      </c>
      <c r="F1938" s="39" t="n">
        <v>0</v>
      </c>
      <c r="G1938" s="38" t="n">
        <f aca="false">Sens!$E$1938+Sens!$F$1938</f>
        <v>71.492</v>
      </c>
      <c r="H1938" s="39" t="n">
        <v>0</v>
      </c>
      <c r="I1938" s="39" t="n">
        <v>0</v>
      </c>
      <c r="J1938" s="39" t="n">
        <v>0</v>
      </c>
      <c r="K1938" s="39" t="n">
        <v>0</v>
      </c>
      <c r="L1938" s="39" t="n">
        <v>0</v>
      </c>
      <c r="M1938" s="39" t="n">
        <v>0</v>
      </c>
      <c r="N1938" s="38" t="n">
        <f aca="false">Q!$N$39</f>
        <v>6.017</v>
      </c>
      <c r="O1938" s="38" t="n">
        <f aca="false">Q!$O$39</f>
        <v>13.593</v>
      </c>
      <c r="P1938" s="5" t="s">
        <v>765</v>
      </c>
    </row>
    <row r="1939" customFormat="false" ht="15" hidden="false" customHeight="false" outlineLevel="0" collapsed="false">
      <c r="A1939" s="5" t="s">
        <v>554</v>
      </c>
      <c r="B1939" s="0" t="s">
        <v>86</v>
      </c>
      <c r="C1939" s="38" t="n">
        <f aca="false">Q!$D$36</f>
        <v>68.614</v>
      </c>
      <c r="D1939" s="38" t="n">
        <f aca="false">Q!$E$36</f>
        <v>97.311</v>
      </c>
      <c r="E1939" s="38" t="n">
        <f aca="false">Q!$P$36</f>
        <v>120.691</v>
      </c>
      <c r="F1939" s="38" t="n">
        <f aca="false">Sens!$F$1915-Sens!$F$1936+Sens!$F$1937+Sens!$F$1938</f>
        <v>55.4405927589451</v>
      </c>
      <c r="G1939" s="38" t="n">
        <f aca="false">Sens!$E$1939+Sens!$F$1939</f>
        <v>176.131592758945</v>
      </c>
      <c r="H1939" s="38" t="n">
        <f aca="false">Sens!$H$1915-Sens!$H$1936+Sens!$H$1937+Sens!$H$1938</f>
        <v>122.264727935397</v>
      </c>
      <c r="I1939" s="38" t="n">
        <f aca="false">Sens!$I$1915-Sens!$I$1936+Sens!$I$1937+Sens!$I$1938</f>
        <v>130.088741154699</v>
      </c>
      <c r="J1939" s="38" t="n">
        <f aca="false">Sens!$J$1915-Sens!$J$1936+Sens!$J$1937+Sens!$J$1938</f>
        <v>141.542021391238</v>
      </c>
      <c r="K1939" s="38" t="n">
        <f aca="false">Sens!$K$1915-Sens!$K$1936+Sens!$K$1937+Sens!$K$1938</f>
        <v>149.35027134354</v>
      </c>
      <c r="L1939" s="38" t="n">
        <f aca="false">Sens!$L$1915-Sens!$L$1936+Sens!$L$1937+Sens!$L$1938</f>
        <v>160.89631902343</v>
      </c>
      <c r="M1939" s="38" t="n">
        <f aca="false">Sens!$M$1915-Sens!$M$1936+Sens!$M$1937+Sens!$M$1938</f>
        <v>175.920819838897</v>
      </c>
      <c r="N1939" s="38" t="n">
        <f aca="false">Q!$N$36</f>
        <v>42.536</v>
      </c>
      <c r="O1939" s="38" t="n">
        <f aca="false">Q!$O$36</f>
        <v>54.775</v>
      </c>
    </row>
    <row r="1940" customFormat="false" ht="15" hidden="false" customHeight="false" outlineLevel="0" collapsed="false">
      <c r="A1940" s="5" t="s">
        <v>555</v>
      </c>
      <c r="B1940" s="0" t="s">
        <v>86</v>
      </c>
      <c r="C1940" s="38" t="n">
        <f aca="false">Q!$D$37</f>
        <v>9.265</v>
      </c>
      <c r="D1940" s="38" t="n">
        <f aca="false">Q!$E$37</f>
        <v>19.087</v>
      </c>
      <c r="E1940" s="38" t="n">
        <f aca="false">Q!$P$37</f>
        <v>27.759</v>
      </c>
      <c r="F1940" s="38" t="n">
        <f aca="false">Sens!$F$1939*tax</f>
        <v>9.62362904965055</v>
      </c>
      <c r="G1940" s="38" t="n">
        <f aca="false">Sens!$E$1940+Sens!$F$1940</f>
        <v>37.3826290496506</v>
      </c>
      <c r="H1940" s="38" t="n">
        <f aca="false">Sens!$H$1939*tax</f>
        <v>21.2232649211144</v>
      </c>
      <c r="I1940" s="38" t="n">
        <f aca="false">Sens!$I$1939*tax</f>
        <v>22.5813925520636</v>
      </c>
      <c r="J1940" s="38" t="n">
        <f aca="false">Sens!$J$1939*tax</f>
        <v>24.5695047801811</v>
      </c>
      <c r="K1940" s="38" t="n">
        <f aca="false">Sens!$K$1939*tax</f>
        <v>25.9248961518902</v>
      </c>
      <c r="L1940" s="38" t="n">
        <f aca="false">Sens!$L$1939*tax</f>
        <v>27.9291113727476</v>
      </c>
      <c r="M1940" s="38" t="n">
        <f aca="false">Sens!$M$1939*tax</f>
        <v>30.5371322345178</v>
      </c>
      <c r="N1940" s="38" t="n">
        <f aca="false">Q!$N$37</f>
        <v>7.231</v>
      </c>
      <c r="O1940" s="38" t="n">
        <f aca="false">Q!$O$37</f>
        <v>11.856</v>
      </c>
    </row>
    <row r="1941" customFormat="false" ht="15" hidden="false" customHeight="false" outlineLevel="0" collapsed="false">
      <c r="A1941" s="3" t="s">
        <v>556</v>
      </c>
      <c r="B1941" s="8" t="s">
        <v>86</v>
      </c>
      <c r="C1941" s="38" t="n">
        <f aca="false">Q!$D$38</f>
        <v>59.248</v>
      </c>
      <c r="D1941" s="38" t="n">
        <f aca="false">Q!$E$38</f>
        <v>77.67</v>
      </c>
      <c r="E1941" s="38" t="n">
        <f aca="false">Q!$P$38</f>
        <v>92.902</v>
      </c>
      <c r="F1941" s="38" t="n">
        <f aca="false">Sens!$F$1939-Sens!$F$1940</f>
        <v>45.8169637092945</v>
      </c>
      <c r="G1941" s="38" t="n">
        <f aca="false">Sens!$E$1941+Sens!$F$1941</f>
        <v>138.718963709295</v>
      </c>
      <c r="H1941" s="38" t="n">
        <f aca="false">Sens!$H$1939-Sens!$H$1940</f>
        <v>101.041463014282</v>
      </c>
      <c r="I1941" s="38" t="n">
        <f aca="false">Sens!$I$1939-Sens!$I$1940</f>
        <v>107.507348602635</v>
      </c>
      <c r="J1941" s="38" t="n">
        <f aca="false">Sens!$J$1939-Sens!$J$1940</f>
        <v>116.972516611057</v>
      </c>
      <c r="K1941" s="38" t="n">
        <f aca="false">Sens!$K$1939-Sens!$K$1940</f>
        <v>123.42537519165</v>
      </c>
      <c r="L1941" s="38" t="n">
        <f aca="false">Sens!$L$1939-Sens!$L$1940</f>
        <v>132.967207650682</v>
      </c>
      <c r="M1941" s="38" t="n">
        <f aca="false">Sens!$M$1939-Sens!$M$1940</f>
        <v>145.38368760438</v>
      </c>
      <c r="N1941" s="38" t="n">
        <f aca="false">Q!$N$38</f>
        <v>35.291</v>
      </c>
      <c r="O1941" s="38" t="n">
        <f aca="false">Q!$O$38</f>
        <v>42.379</v>
      </c>
    </row>
    <row r="1942" customFormat="false" ht="17.15" hidden="false" customHeight="false" outlineLevel="0" collapsed="false">
      <c r="A1942" s="5" t="s">
        <v>559</v>
      </c>
      <c r="B1942" s="5" t="s">
        <v>33</v>
      </c>
      <c r="C1942" s="22" t="n">
        <f aca="false">Q!$D$41</f>
        <v>10.721</v>
      </c>
      <c r="D1942" s="22" t="n">
        <f aca="false">Q!$E$41</f>
        <v>10.827</v>
      </c>
      <c r="E1942" s="22" t="n">
        <f aca="false">(Q!$L$41+Q!$M$41)/2</f>
        <v>10.8885</v>
      </c>
      <c r="F1942" s="22" t="n">
        <f aca="false">Sens!$G$1942</f>
        <v>10.924806</v>
      </c>
      <c r="G1942" s="22" t="n">
        <f aca="false">Q!$M$41*(1+sh_g*0.25)</f>
        <v>10.924806</v>
      </c>
      <c r="H1942" s="22" t="n">
        <f aca="false">Sens!$G$1942*(1+sh_g)</f>
        <v>11.012204448</v>
      </c>
      <c r="I1942" s="22" t="n">
        <f aca="false">Sens!$H$1942*(1+sh_g)</f>
        <v>11.100302083584</v>
      </c>
      <c r="J1942" s="22" t="n">
        <f aca="false">Sens!$I$1942*(1+sh_g)</f>
        <v>11.1891045002527</v>
      </c>
      <c r="K1942" s="22" t="n">
        <f aca="false">Sens!$J$1942*(1+sh_g)</f>
        <v>11.2786173362547</v>
      </c>
      <c r="L1942" s="22" t="n">
        <f aca="false">Sens!$K$1942*(1+sh_g)</f>
        <v>11.3688462749447</v>
      </c>
      <c r="M1942" s="22" t="n">
        <f aca="false">Sens!$L$1942*(1+sh_g)</f>
        <v>11.4597970451443</v>
      </c>
      <c r="P1942" s="5" t="s">
        <v>766</v>
      </c>
    </row>
    <row r="1943" customFormat="false" ht="17.15" hidden="false" customHeight="false" outlineLevel="0" collapsed="false">
      <c r="A1943" s="5" t="s">
        <v>767</v>
      </c>
      <c r="B1943" s="0" t="s">
        <v>86</v>
      </c>
      <c r="C1943" s="38" t="n">
        <f aca="false">Sens!$C$1941+Sens!$C$1917*(1-tax)</f>
        <v>59.248</v>
      </c>
      <c r="D1943" s="38" t="n">
        <f aca="false">Sens!$D$1941+Sens!$D$1917*(1-tax)</f>
        <v>77.67</v>
      </c>
      <c r="E1943" s="38" t="n">
        <f aca="false">Sens!$E$1941+Sens!$E$1917*(1-tax)</f>
        <v>92.902</v>
      </c>
      <c r="F1943" s="38" t="n">
        <f aca="false">Sens!$F$1941+Sens!$F$1917*(1-tax)</f>
        <v>48.9335586689432</v>
      </c>
      <c r="G1943" s="38" t="n">
        <f aca="false">Sens!$G$1941+Sens!$G$1917*(1-tax)</f>
        <v>141.835558668943</v>
      </c>
      <c r="H1943" s="38" t="n">
        <f aca="false">Sens!$H$1941+Sens!$H$1917*(1-tax)</f>
        <v>113.572858969627</v>
      </c>
      <c r="I1943" s="38" t="n">
        <f aca="false">Sens!$I$1941+Sens!$I$1917*(1-tax)</f>
        <v>128.648613677574</v>
      </c>
      <c r="J1943" s="38" t="n">
        <f aca="false">Sens!$J$1941+Sens!$J$1917*(1-tax)</f>
        <v>146.76195355534</v>
      </c>
      <c r="K1943" s="38" t="n">
        <f aca="false">Sens!$K$1941+Sens!$K$1917*(1-tax)</f>
        <v>160.592680888309</v>
      </c>
      <c r="L1943" s="38" t="n">
        <f aca="false">Sens!$L$1941+Sens!$L$1917*(1-tax)</f>
        <v>174.983284991238</v>
      </c>
      <c r="M1943" s="38" t="n">
        <f aca="false">Sens!$M$1941+Sens!$M$1917*(1-tax)</f>
        <v>189.71320979522</v>
      </c>
      <c r="N1943" s="38" t="n">
        <f aca="false">Sens!$N$1941+Sens!$N$1917*(1-tax)</f>
        <v>35.291</v>
      </c>
      <c r="O1943" s="38" t="n">
        <f aca="false">Sens!$O$1941+Sens!$O$1917*(1-tax)</f>
        <v>42.379</v>
      </c>
    </row>
    <row r="1944" customFormat="false" ht="17.15" hidden="false" customHeight="false" outlineLevel="0" collapsed="false">
      <c r="A1944" s="43" t="s">
        <v>768</v>
      </c>
      <c r="B1944" s="14" t="s">
        <v>27</v>
      </c>
      <c r="C1944" s="44" t="n">
        <f aca="false">Sens!$C$1943/Sens!$C$1942</f>
        <v>5.52635015390355</v>
      </c>
      <c r="D1944" s="44" t="n">
        <f aca="false">Sens!$D$1943/Sens!$D$1942</f>
        <v>7.1737323358271</v>
      </c>
      <c r="E1944" s="44" t="n">
        <f aca="false">Sens!$E$1943/Sens!$E$1942</f>
        <v>8.53212104513937</v>
      </c>
      <c r="F1944" s="14"/>
      <c r="G1944" s="44" t="n">
        <f aca="false">Sens!$G$1943/Sens!$G$1942</f>
        <v>12.9828903752564</v>
      </c>
      <c r="H1944" s="44" t="n">
        <f aca="false">Sens!$H$1943/Sens!$H$1942</f>
        <v>10.3133627336763</v>
      </c>
      <c r="I1944" s="44" t="n">
        <f aca="false">Sens!$I$1943/Sens!$I$1942</f>
        <v>11.5896497869036</v>
      </c>
      <c r="J1944" s="44" t="n">
        <f aca="false">Sens!$J$1943/Sens!$J$1942</f>
        <v>13.1165057536129</v>
      </c>
      <c r="K1944" s="44" t="n">
        <f aca="false">Sens!$K$1943/Sens!$K$1942</f>
        <v>14.2386851242918</v>
      </c>
      <c r="L1944" s="44" t="n">
        <f aca="false">Sens!$L$1943/Sens!$L$1942</f>
        <v>15.3914725170376</v>
      </c>
      <c r="M1944" s="44" t="n">
        <f aca="false">Sens!$M$1943/Sens!$M$1942</f>
        <v>16.5546744892489</v>
      </c>
      <c r="N1944" s="14"/>
      <c r="O1944" s="14"/>
    </row>
    <row r="1945" customFormat="false" ht="17.15" hidden="false" customHeight="false" outlineLevel="0" collapsed="false">
      <c r="A1945" s="0" t="s">
        <v>769</v>
      </c>
      <c r="B1945" s="0" t="s">
        <v>27</v>
      </c>
      <c r="C1945" s="30" t="n">
        <f aca="false">Sens!$C$1941/Sens!$C$1942</f>
        <v>5.52635015390355</v>
      </c>
      <c r="D1945" s="30" t="n">
        <f aca="false">Sens!$D$1941/Sens!$D$1942</f>
        <v>7.1737323358271</v>
      </c>
      <c r="E1945" s="30" t="n">
        <f aca="false">Sens!$E$1941/Sens!$E$1942</f>
        <v>8.53212104513937</v>
      </c>
      <c r="G1945" s="30" t="n">
        <f aca="false">Sens!$G$1941/Sens!$G$1942</f>
        <v>12.6976134596161</v>
      </c>
      <c r="H1945" s="30" t="n">
        <f aca="false">Sens!$H$1941/Sens!$H$1942</f>
        <v>9.1754074755335</v>
      </c>
      <c r="I1945" s="30" t="n">
        <f aca="false">Sens!$I$1941/Sens!$I$1942</f>
        <v>9.68508314396467</v>
      </c>
      <c r="J1945" s="30" t="n">
        <f aca="false">Sens!$J$1941/Sens!$J$1942</f>
        <v>10.4541446197428</v>
      </c>
      <c r="K1945" s="30" t="n">
        <f aca="false">Sens!$K$1941/Sens!$K$1942</f>
        <v>10.9433072788899</v>
      </c>
      <c r="L1945" s="30" t="n">
        <f aca="false">Sens!$L$1941/Sens!$L$1942</f>
        <v>11.6957520961228</v>
      </c>
      <c r="M1945" s="30" t="n">
        <f aca="false">Sens!$M$1941/Sens!$M$1942</f>
        <v>12.6864103292284</v>
      </c>
    </row>
    <row r="1946" customFormat="false" ht="17.15" hidden="false" customHeight="false" outlineLevel="0" collapsed="false">
      <c r="A1946" s="0" t="s">
        <v>770</v>
      </c>
      <c r="B1946" s="0" t="s">
        <v>27</v>
      </c>
      <c r="C1946" s="30" t="n">
        <f aca="false">(Sens!$C$1941-Sens!$C$1938*(1-tax))/Sens!$C$1942</f>
        <v>5.33926775917445</v>
      </c>
      <c r="D1946" s="30" t="n">
        <f aca="false">(Sens!$D$1941-Sens!$D$1938*(1-tax))/Sens!$D$1942</f>
        <v>5.67691812755503</v>
      </c>
      <c r="E1946" s="30" t="n">
        <f aca="false">(Sens!$E$1941-Sens!$E$1938*(1-tax))/Sens!$E$1942</f>
        <v>3.10602057006846</v>
      </c>
      <c r="G1946" s="30" t="n">
        <f aca="false">(Sens!$G$1941-Sens!$G$1938*(1-tax))/Sens!$G$1942</f>
        <v>7.2895453417191</v>
      </c>
      <c r="H1946" s="30" t="n">
        <f aca="false">(Sens!$H$1941-Sens!$H$1938*(1-tax))/Sens!$H$1942</f>
        <v>9.1754074755335</v>
      </c>
      <c r="I1946" s="30" t="n">
        <f aca="false">(Sens!$I$1941-Sens!$I$1938*(1-tax))/Sens!$I$1942</f>
        <v>9.68508314396467</v>
      </c>
      <c r="J1946" s="30" t="n">
        <f aca="false">(Sens!$J$1941-Sens!$J$1938*(1-tax))/Sens!$J$1942</f>
        <v>10.4541446197428</v>
      </c>
      <c r="K1946" s="30" t="n">
        <f aca="false">(Sens!$K$1941-Sens!$K$1938*(1-tax))/Sens!$K$1942</f>
        <v>10.9433072788899</v>
      </c>
      <c r="L1946" s="30" t="n">
        <f aca="false">(Sens!$L$1941-Sens!$L$1938*(1-tax))/Sens!$L$1942</f>
        <v>11.6957520961228</v>
      </c>
      <c r="M1946" s="30" t="n">
        <f aca="false">(Sens!$M$1941-Sens!$M$1938*(1-tax))/Sens!$M$1942</f>
        <v>12.6864103292284</v>
      </c>
      <c r="P1946" s="5" t="s">
        <v>771</v>
      </c>
    </row>
    <row r="1947" customFormat="false" ht="17.15" hidden="false" customHeight="false" outlineLevel="0" collapsed="false">
      <c r="A1947" s="0" t="s">
        <v>772</v>
      </c>
      <c r="B1947" s="0" t="s">
        <v>52</v>
      </c>
      <c r="H1947" s="13" t="n">
        <f aca="false">Sens!$H$1944/Sens!$G$1944-1</f>
        <v>-0.20561890029264</v>
      </c>
      <c r="I1947" s="13" t="n">
        <f aca="false">Sens!$I$1944/Sens!$H$1944-1</f>
        <v>0.123750815925423</v>
      </c>
      <c r="J1947" s="13" t="n">
        <f aca="false">Sens!$J$1944/Sens!$I$1944-1</f>
        <v>0.131743063404272</v>
      </c>
      <c r="K1947" s="13" t="n">
        <f aca="false">Sens!$K$1944/Sens!$J$1944-1</f>
        <v>0.0855547500041891</v>
      </c>
      <c r="L1947" s="13" t="n">
        <f aca="false">Sens!$L$1944/Sens!$K$1944-1</f>
        <v>0.0809616465764229</v>
      </c>
      <c r="M1947" s="13" t="n">
        <f aca="false">Sens!$M$1944/Sens!$L$1944-1</f>
        <v>0.0755744436358281</v>
      </c>
    </row>
    <row r="1950" customFormat="false" ht="19.4" hidden="false" customHeight="false" outlineLevel="0" collapsed="false">
      <c r="A1950" s="31" t="s">
        <v>1190</v>
      </c>
    </row>
    <row r="1951" customFormat="false" ht="17.15" hidden="false" customHeight="false" outlineLevel="0" collapsed="false">
      <c r="A1951" s="6" t="s">
        <v>16</v>
      </c>
      <c r="B1951" s="6" t="s">
        <v>17</v>
      </c>
      <c r="C1951" s="20" t="s">
        <v>504</v>
      </c>
      <c r="D1951" s="20" t="s">
        <v>505</v>
      </c>
      <c r="E1951" s="20" t="s">
        <v>587</v>
      </c>
      <c r="F1951" s="20" t="s">
        <v>588</v>
      </c>
      <c r="G1951" s="20" t="s">
        <v>589</v>
      </c>
      <c r="H1951" s="20" t="s">
        <v>590</v>
      </c>
      <c r="I1951" s="20" t="s">
        <v>591</v>
      </c>
      <c r="J1951" s="20" t="s">
        <v>592</v>
      </c>
      <c r="K1951" s="20" t="s">
        <v>593</v>
      </c>
      <c r="L1951" s="20" t="s">
        <v>594</v>
      </c>
      <c r="M1951" s="20" t="s">
        <v>595</v>
      </c>
      <c r="N1951" s="20" t="s">
        <v>596</v>
      </c>
      <c r="O1951" s="20" t="s">
        <v>597</v>
      </c>
      <c r="P1951" s="6" t="s">
        <v>23</v>
      </c>
      <c r="R1951" s="20" t="n">
        <v>2023</v>
      </c>
      <c r="S1951" s="20" t="n">
        <v>2024</v>
      </c>
      <c r="T1951" s="20" t="n">
        <v>2025</v>
      </c>
      <c r="U1951" s="20" t="n">
        <v>2026</v>
      </c>
      <c r="V1951" s="20" t="n">
        <v>2027</v>
      </c>
      <c r="W1951" s="20" t="n">
        <v>2028</v>
      </c>
      <c r="X1951" s="20" t="n">
        <v>2029</v>
      </c>
      <c r="Y1951" s="20" t="n">
        <v>2030</v>
      </c>
      <c r="Z1951" s="20" t="n">
        <v>2031</v>
      </c>
      <c r="AA1951" s="20" t="n">
        <v>2032</v>
      </c>
    </row>
    <row r="1952" customFormat="false" ht="15" hidden="false" customHeight="false" outlineLevel="0" collapsed="false">
      <c r="A1952" s="5" t="s">
        <v>556</v>
      </c>
      <c r="B1952" s="0" t="s">
        <v>86</v>
      </c>
      <c r="C1952" s="38" t="n">
        <f aca="false">Sens!$C$1941</f>
        <v>59.248</v>
      </c>
      <c r="D1952" s="38" t="n">
        <f aca="false">Sens!$D$1941</f>
        <v>77.67</v>
      </c>
      <c r="E1952" s="38" t="n">
        <f aca="false">Sens!$E$1941</f>
        <v>92.902</v>
      </c>
      <c r="F1952" s="38" t="n">
        <f aca="false">Sens!$F$1941</f>
        <v>45.8169637092945</v>
      </c>
      <c r="G1952" s="38" t="n">
        <f aca="false">Sens!$G$1941</f>
        <v>138.718963709295</v>
      </c>
      <c r="H1952" s="38" t="n">
        <f aca="false">Sens!$H$1941</f>
        <v>101.041463014282</v>
      </c>
      <c r="I1952" s="38" t="n">
        <f aca="false">Sens!$I$1941</f>
        <v>107.507348602635</v>
      </c>
      <c r="J1952" s="38" t="n">
        <f aca="false">Sens!$J$1941</f>
        <v>116.972516611057</v>
      </c>
      <c r="K1952" s="38" t="n">
        <f aca="false">Sens!$K$1941</f>
        <v>123.42537519165</v>
      </c>
      <c r="L1952" s="38" t="n">
        <f aca="false">Sens!$L$1941</f>
        <v>132.967207650682</v>
      </c>
      <c r="M1952" s="38" t="n">
        <f aca="false">Sens!$M$1941</f>
        <v>145.38368760438</v>
      </c>
    </row>
    <row r="1953" customFormat="false" ht="17.15" hidden="false" customHeight="false" outlineLevel="0" collapsed="false">
      <c r="A1953" s="5" t="s">
        <v>795</v>
      </c>
      <c r="B1953" s="0" t="s">
        <v>86</v>
      </c>
      <c r="C1953" s="38" t="n">
        <f aca="false">Sens!$C$1929</f>
        <v>32.067</v>
      </c>
      <c r="D1953" s="38" t="n">
        <f aca="false">Sens!$D$1929</f>
        <v>41.86</v>
      </c>
      <c r="E1953" s="38" t="n">
        <f aca="false">Sens!$E$1929</f>
        <v>26.703</v>
      </c>
      <c r="F1953" s="38" t="n">
        <f aca="false">Sens!$F$1929</f>
        <v>29.9119003121439</v>
      </c>
      <c r="G1953" s="38" t="n">
        <f aca="false">Sens!$G$1929</f>
        <v>56.6149003121439</v>
      </c>
      <c r="H1953" s="38" t="n">
        <f aca="false">Sens!$H$1929</f>
        <v>86.6072647304937</v>
      </c>
      <c r="I1953" s="38" t="n">
        <f aca="false">Sens!$I$1929</f>
        <v>129.609953629263</v>
      </c>
      <c r="J1953" s="38" t="n">
        <f aca="false">Sens!$J$1929</f>
        <v>169.395425358528</v>
      </c>
      <c r="K1953" s="38" t="n">
        <f aca="false">Sens!$K$1929</f>
        <v>208.320232243726</v>
      </c>
      <c r="L1953" s="38" t="n">
        <f aca="false">Sens!$L$1929</f>
        <v>237.138021922464</v>
      </c>
      <c r="M1953" s="38" t="n">
        <f aca="false">Sens!$M$1929</f>
        <v>256.459221284105</v>
      </c>
    </row>
    <row r="1954" customFormat="false" ht="15" hidden="false" customHeight="false" outlineLevel="0" collapsed="false">
      <c r="A1954" s="5" t="s">
        <v>796</v>
      </c>
      <c r="B1954" s="0" t="s">
        <v>86</v>
      </c>
      <c r="C1954" s="38" t="n">
        <f aca="false">Q!$D$48</f>
        <v>22.011</v>
      </c>
      <c r="D1954" s="38" t="n">
        <f aca="false">Q!$E$48</f>
        <v>19.467</v>
      </c>
      <c r="E1954" s="38" t="n">
        <f aca="false">Q!$P$48</f>
        <v>10.07</v>
      </c>
      <c r="F1954" s="38" t="n">
        <f aca="false">sbc_r*Sens!$F$1871</f>
        <v>10.8507035798037</v>
      </c>
      <c r="G1954" s="38" t="n">
        <f aca="false">Sens!$E$1954+Sens!$F$1954</f>
        <v>20.9207035798037</v>
      </c>
      <c r="H1954" s="38" t="n">
        <f aca="false">sbc_r*Sens!$H$1871</f>
        <v>23.46224366345</v>
      </c>
      <c r="I1954" s="38" t="n">
        <f aca="false">sbc_r*Sens!$I$1871</f>
        <v>26.6125957111676</v>
      </c>
      <c r="J1954" s="38" t="n">
        <f aca="false">sbc_r*Sens!$J$1871</f>
        <v>29.6280801413323</v>
      </c>
      <c r="K1954" s="38" t="n">
        <f aca="false">sbc_r*Sens!$K$1871</f>
        <v>32.2712258901105</v>
      </c>
      <c r="L1954" s="38" t="n">
        <f aca="false">sbc_r*Sens!$L$1871</f>
        <v>34.7390505016737</v>
      </c>
      <c r="M1954" s="38" t="n">
        <f aca="false">sbc_r*Sens!$M$1871</f>
        <v>37.0405146906692</v>
      </c>
    </row>
    <row r="1955" customFormat="false" ht="17.15" hidden="false" customHeight="false" outlineLevel="0" collapsed="false">
      <c r="A1955" s="5" t="s">
        <v>797</v>
      </c>
      <c r="B1955" s="0" t="s">
        <v>86</v>
      </c>
      <c r="C1955" s="38" t="n">
        <f aca="false">Q!$D$44-Sens!$C$1952-Sens!$C$1953-Sens!$C$1954</f>
        <v>2.551</v>
      </c>
      <c r="D1955" s="38" t="n">
        <f aca="false">Q!$E$44-Sens!$D$1952-Sens!$D$1953-Sens!$D$1954</f>
        <v>0.51700000000001</v>
      </c>
      <c r="E1955" s="38" t="n">
        <f aca="false">Q!$P$44-Sens!$E$1952-Sens!$E$1953-Sens!$E$1954</f>
        <v>-58.256</v>
      </c>
      <c r="F1955" s="38" t="n">
        <f aca="false">oth_r*Sens!$F$1871</f>
        <v>5.22265251035878</v>
      </c>
      <c r="G1955" s="38" t="n">
        <f aca="false">Sens!$E$1955+Sens!$F$1955</f>
        <v>-53.0333474896412</v>
      </c>
      <c r="H1955" s="38" t="n">
        <f aca="false">oth_r*Sens!$H$1871</f>
        <v>11.2928295263397</v>
      </c>
      <c r="I1955" s="38" t="n">
        <f aca="false">oth_r*Sens!$I$1871</f>
        <v>12.8091546115766</v>
      </c>
      <c r="J1955" s="38" t="n">
        <f aca="false">oth_r*Sens!$J$1871</f>
        <v>14.2605653162668</v>
      </c>
      <c r="K1955" s="38" t="n">
        <f aca="false">oth_r*Sens!$K$1871</f>
        <v>15.5327622460396</v>
      </c>
      <c r="L1955" s="38" t="n">
        <f aca="false">oth_r*Sens!$L$1871</f>
        <v>16.720573737517</v>
      </c>
      <c r="M1955" s="38" t="n">
        <f aca="false">oth_r*Sens!$M$1871</f>
        <v>17.8283127551536</v>
      </c>
      <c r="P1955" s="8" t="s">
        <v>798</v>
      </c>
    </row>
    <row r="1956" customFormat="false" ht="15" hidden="false" customHeight="false" outlineLevel="0" collapsed="false">
      <c r="A1956" s="3" t="s">
        <v>562</v>
      </c>
      <c r="B1956" s="8" t="s">
        <v>86</v>
      </c>
      <c r="C1956" s="38" t="n">
        <f aca="false">Q!$D$44</f>
        <v>115.877</v>
      </c>
      <c r="D1956" s="38" t="n">
        <f aca="false">Q!$E$44</f>
        <v>139.514</v>
      </c>
      <c r="E1956" s="38" t="n">
        <f aca="false">Q!$P$44</f>
        <v>71.419</v>
      </c>
      <c r="F1956" s="38" t="n">
        <f aca="false">Sens!$F$1952+Sens!$F$1953+Sens!$F$1954+Sens!$F$1955</f>
        <v>91.8022201116009</v>
      </c>
      <c r="G1956" s="38" t="n">
        <f aca="false">Sens!$E$1956+Sens!$F$1956</f>
        <v>163.221220111601</v>
      </c>
      <c r="H1956" s="38" t="n">
        <f aca="false">Sens!$H$1952+Sens!$H$1953+Sens!$H$1954+Sens!$H$1955</f>
        <v>222.403800934566</v>
      </c>
      <c r="I1956" s="38" t="n">
        <f aca="false">Sens!$I$1952+Sens!$I$1953+Sens!$I$1954+Sens!$I$1955</f>
        <v>276.539052554642</v>
      </c>
      <c r="J1956" s="38" t="n">
        <f aca="false">Sens!$J$1952+Sens!$J$1953+Sens!$J$1954+Sens!$J$1955</f>
        <v>330.256587427183</v>
      </c>
      <c r="K1956" s="38" t="n">
        <f aca="false">Sens!$K$1952+Sens!$K$1953+Sens!$K$1954+Sens!$K$1955</f>
        <v>379.549595571526</v>
      </c>
      <c r="L1956" s="38" t="n">
        <f aca="false">Sens!$L$1952+Sens!$L$1953+Sens!$L$1954+Sens!$L$1955</f>
        <v>421.564853812337</v>
      </c>
      <c r="M1956" s="38" t="n">
        <f aca="false">Sens!$M$1952+Sens!$M$1953+Sens!$M$1954+Sens!$M$1955</f>
        <v>456.711736334308</v>
      </c>
    </row>
    <row r="1957" customFormat="false" ht="17.15" hidden="false" customHeight="false" outlineLevel="0" collapsed="false">
      <c r="A1957" s="5" t="s">
        <v>799</v>
      </c>
      <c r="B1957" s="0" t="s">
        <v>86</v>
      </c>
      <c r="C1957" s="38" t="n">
        <f aca="false">Sens!$C$1835</f>
        <v>25.2781053077374</v>
      </c>
      <c r="D1957" s="38" t="n">
        <f aca="false">Sens!$D$1835</f>
        <v>69.5686316310026</v>
      </c>
      <c r="E1957" s="38" t="n">
        <f aca="false">Sens!$E$1835</f>
        <v>64.1899206485108</v>
      </c>
      <c r="F1957" s="38" t="n">
        <f aca="false">Sens!$F$1835</f>
        <v>88.7165504612134</v>
      </c>
      <c r="G1957" s="38" t="n">
        <f aca="false">Sens!$G$1835</f>
        <v>152.906471109724</v>
      </c>
      <c r="H1957" s="38" t="n">
        <f aca="false">Sens!$H$1835</f>
        <v>198.57136494475</v>
      </c>
      <c r="I1957" s="38" t="n">
        <f aca="false">Sens!$I$1835</f>
        <v>209.8832381105</v>
      </c>
      <c r="J1957" s="38" t="n">
        <f aca="false">Sens!$J$1835</f>
        <v>215.1200063105</v>
      </c>
      <c r="K1957" s="38" t="n">
        <f aca="false">Sens!$K$1835</f>
        <v>191.895762675201</v>
      </c>
      <c r="L1957" s="38" t="n">
        <f aca="false">Sens!$L$1835</f>
        <v>192.112602695152</v>
      </c>
      <c r="M1957" s="38" t="n">
        <f aca="false">Sens!$M$1835</f>
        <v>183.601495715103</v>
      </c>
    </row>
    <row r="1958" customFormat="false" ht="17.15" hidden="false" customHeight="false" outlineLevel="0" collapsed="false">
      <c r="A1958" s="5" t="s">
        <v>800</v>
      </c>
      <c r="B1958" s="0" t="s">
        <v>86</v>
      </c>
      <c r="C1958" s="38" t="n">
        <f aca="false">cx_awso*Sens!$C$1869</f>
        <v>21.0469989286053</v>
      </c>
      <c r="D1958" s="38" t="n">
        <f aca="false">cx_awso*Sens!$D$1869</f>
        <v>24.0042459822698</v>
      </c>
      <c r="E1958" s="38" t="n">
        <f aca="false">cx_awso*Sens!$E$1869</f>
        <v>14.261729404886</v>
      </c>
      <c r="F1958" s="38" t="n">
        <f aca="false">cx_awso*Sens!$F$1869</f>
        <v>14.3538599588493</v>
      </c>
      <c r="G1958" s="38" t="n">
        <f aca="false">Sens!$E$1958+Sens!$F$1958</f>
        <v>28.6155893637353</v>
      </c>
      <c r="H1958" s="38" t="n">
        <f aca="false">cx_awso*Sens!$H$1869</f>
        <v>32.2034154158406</v>
      </c>
      <c r="I1958" s="38" t="n">
        <f aca="false">cx_awso*Sens!$I$1869</f>
        <v>35.7539519042915</v>
      </c>
      <c r="J1958" s="38" t="n">
        <f aca="false">cx_awso*Sens!$J$1869</f>
        <v>39.1551076091815</v>
      </c>
      <c r="K1958" s="38" t="n">
        <f aca="false">cx_awso*Sens!$K$1869</f>
        <v>42.287516217916</v>
      </c>
      <c r="L1958" s="38" t="n">
        <f aca="false">cx_awso*Sens!$L$1869</f>
        <v>45.6705175153492</v>
      </c>
      <c r="M1958" s="38" t="n">
        <f aca="false">cx_awso*Sens!$M$1869</f>
        <v>49.3241589165772</v>
      </c>
    </row>
    <row r="1959" customFormat="false" ht="17.15" hidden="false" customHeight="false" outlineLevel="0" collapsed="false">
      <c r="A1959" s="5" t="s">
        <v>801</v>
      </c>
      <c r="B1959" s="0" t="s">
        <v>86</v>
      </c>
      <c r="C1959" s="38" t="n">
        <f aca="false">Q!$D$46-Sens!$C$1957-Sens!$C$1958</f>
        <v>31.3328957636573</v>
      </c>
      <c r="D1959" s="38" t="n">
        <f aca="false">Q!$E$46-Sens!$D$1957-Sens!$D$1958</f>
        <v>34.7471223867276</v>
      </c>
      <c r="E1959" s="38" t="n">
        <f aca="false">Q!$P$46-Sens!$E$1957-Sens!$E$1958</f>
        <v>17.8583499466032</v>
      </c>
      <c r="F1959" s="38" t="n">
        <f aca="false">cx_rt*Sens!$F$1798</f>
        <v>20.6195895799373</v>
      </c>
      <c r="G1959" s="38" t="n">
        <f aca="false">Sens!$E$1959+Sens!$F$1959</f>
        <v>38.4779395265405</v>
      </c>
      <c r="H1959" s="38" t="n">
        <f aca="false">cx_rt*Sens!$H$1798</f>
        <v>42.5978994743075</v>
      </c>
      <c r="I1959" s="38" t="n">
        <f aca="false">cx_rt*Sens!$I$1798</f>
        <v>46.5813904136335</v>
      </c>
      <c r="J1959" s="38" t="n">
        <f aca="false">cx_rt*Sens!$J$1798</f>
        <v>50.2781676586844</v>
      </c>
      <c r="K1959" s="38" t="n">
        <f aca="false">cx_rt*Sens!$K$1798</f>
        <v>53.5312440191755</v>
      </c>
      <c r="L1959" s="38" t="n">
        <f aca="false">cx_rt*Sens!$L$1798</f>
        <v>57.0116717051447</v>
      </c>
      <c r="M1959" s="38" t="n">
        <f aca="false">cx_rt*Sens!$M$1798</f>
        <v>60.7365554669226</v>
      </c>
    </row>
    <row r="1960" customFormat="false" ht="15" hidden="false" customHeight="false" outlineLevel="0" collapsed="false">
      <c r="A1960" s="3" t="s">
        <v>802</v>
      </c>
      <c r="B1960" s="8" t="s">
        <v>86</v>
      </c>
      <c r="C1960" s="38" t="n">
        <f aca="false">Q!$D$46</f>
        <v>77.658</v>
      </c>
      <c r="D1960" s="38" t="n">
        <f aca="false">Q!$E$46</f>
        <v>128.32</v>
      </c>
      <c r="E1960" s="38" t="n">
        <f aca="false">Q!$P$46</f>
        <v>96.31</v>
      </c>
      <c r="F1960" s="38" t="n">
        <f aca="false">Sens!$F$1957+Sens!$F$1958+Sens!$F$1959</f>
        <v>123.69</v>
      </c>
      <c r="G1960" s="38" t="n">
        <f aca="false">Sens!$E$1960+Sens!$F$1960</f>
        <v>220</v>
      </c>
      <c r="H1960" s="38" t="n">
        <f aca="false">Sens!$H$1957+Sens!$H$1958+Sens!$H$1959</f>
        <v>273.372679834898</v>
      </c>
      <c r="I1960" s="38" t="n">
        <f aca="false">Sens!$I$1957+Sens!$I$1958+Sens!$I$1959</f>
        <v>292.218580428425</v>
      </c>
      <c r="J1960" s="38" t="n">
        <f aca="false">Sens!$J$1957+Sens!$J$1958+Sens!$J$1959</f>
        <v>304.553281578366</v>
      </c>
      <c r="K1960" s="38" t="n">
        <f aca="false">Sens!$K$1957+Sens!$K$1958+Sens!$K$1959</f>
        <v>287.714522912292</v>
      </c>
      <c r="L1960" s="38" t="n">
        <f aca="false">Sens!$L$1957+Sens!$L$1958+Sens!$L$1959</f>
        <v>294.794791915646</v>
      </c>
      <c r="M1960" s="38" t="n">
        <f aca="false">Sens!$M$1957+Sens!$M$1958+Sens!$M$1959</f>
        <v>293.662210098602</v>
      </c>
    </row>
    <row r="1961" customFormat="false" ht="17.15" hidden="false" customHeight="false" outlineLevel="0" collapsed="false">
      <c r="A1961" s="5" t="s">
        <v>570</v>
      </c>
      <c r="B1961" s="0" t="s">
        <v>86</v>
      </c>
      <c r="C1961" s="38" t="n">
        <f aca="false">Q!$D$50</f>
        <v>2.043</v>
      </c>
      <c r="D1961" s="38" t="n">
        <f aca="false">Q!$E$50</f>
        <v>1.557</v>
      </c>
      <c r="E1961" s="38" t="n">
        <f aca="false">lease_pr/2</f>
        <v>0.8</v>
      </c>
      <c r="F1961" s="38" t="n">
        <f aca="false">lease_pr/2</f>
        <v>0.8</v>
      </c>
      <c r="G1961" s="38" t="n">
        <f aca="false">Sens!$E$1961+Sens!$F$1961</f>
        <v>1.6</v>
      </c>
      <c r="H1961" s="38" t="n">
        <f aca="false">lease_pr</f>
        <v>1.6</v>
      </c>
      <c r="I1961" s="38" t="n">
        <f aca="false">lease_pr</f>
        <v>1.6</v>
      </c>
      <c r="J1961" s="38" t="n">
        <f aca="false">lease_pr</f>
        <v>1.6</v>
      </c>
      <c r="K1961" s="38" t="n">
        <f aca="false">lease_pr</f>
        <v>1.6</v>
      </c>
      <c r="L1961" s="38" t="n">
        <f aca="false">lease_pr</f>
        <v>1.6</v>
      </c>
      <c r="M1961" s="38" t="n">
        <f aca="false">lease_pr</f>
        <v>1.6</v>
      </c>
      <c r="P1961" s="8" t="s">
        <v>803</v>
      </c>
    </row>
    <row r="1962" customFormat="false" ht="15" hidden="false" customHeight="false" outlineLevel="0" collapsed="false">
      <c r="A1962" s="47" t="s">
        <v>804</v>
      </c>
      <c r="B1962" s="14" t="s">
        <v>86</v>
      </c>
      <c r="C1962" s="48" t="n">
        <f aca="false">Sens!$C$1956-Sens!$C$1960-Sens!$C$1961</f>
        <v>36.176</v>
      </c>
      <c r="D1962" s="48" t="n">
        <f aca="false">Sens!$D$1956-Sens!$D$1960-Sens!$D$1961</f>
        <v>9.63700000000002</v>
      </c>
      <c r="E1962" s="48" t="n">
        <f aca="false">Sens!$E$1956-Sens!$E$1960-Sens!$E$1961</f>
        <v>-25.691</v>
      </c>
      <c r="F1962" s="48" t="n">
        <f aca="false">Sens!$F$1956-Sens!$F$1960-Sens!$F$1961</f>
        <v>-32.6877798883991</v>
      </c>
      <c r="G1962" s="48" t="n">
        <f aca="false">Sens!$G$1956-Sens!$G$1960-Sens!$G$1961</f>
        <v>-58.3787798883991</v>
      </c>
      <c r="H1962" s="48" t="n">
        <f aca="false">Sens!$H$1956-Sens!$H$1960-Sens!$H$1961</f>
        <v>-52.5688789003323</v>
      </c>
      <c r="I1962" s="48" t="n">
        <f aca="false">Sens!$I$1956-Sens!$I$1960-Sens!$I$1961</f>
        <v>-17.2795278737826</v>
      </c>
      <c r="J1962" s="48" t="n">
        <f aca="false">Sens!$J$1956-Sens!$J$1960-Sens!$J$1961</f>
        <v>24.1033058488175</v>
      </c>
      <c r="K1962" s="48" t="n">
        <f aca="false">Sens!$K$1956-Sens!$K$1960-Sens!$K$1961</f>
        <v>90.2350726592339</v>
      </c>
      <c r="L1962" s="48" t="n">
        <f aca="false">Sens!$L$1956-Sens!$L$1960-Sens!$L$1961</f>
        <v>125.170061896691</v>
      </c>
      <c r="M1962" s="48" t="n">
        <f aca="false">Sens!$M$1956-Sens!$M$1960-Sens!$M$1961</f>
        <v>161.449526235705</v>
      </c>
      <c r="N1962" s="14"/>
      <c r="O1962" s="14"/>
    </row>
    <row r="1963" customFormat="false" ht="17.15" hidden="false" customHeight="false" outlineLevel="0" collapsed="false">
      <c r="A1963" s="5" t="s">
        <v>805</v>
      </c>
      <c r="B1963" s="0" t="s">
        <v>86</v>
      </c>
      <c r="C1963" s="38" t="n">
        <f aca="false">dps*Sens!$C$1942</f>
        <v>0</v>
      </c>
      <c r="D1963" s="38" t="n">
        <f aca="false">dps*Sens!$D$1942</f>
        <v>0</v>
      </c>
      <c r="E1963" s="38" t="n">
        <f aca="false">dps*Sens!$E$1942</f>
        <v>0</v>
      </c>
      <c r="F1963" s="38" t="n">
        <f aca="false">0</f>
        <v>0</v>
      </c>
      <c r="G1963" s="38" t="n">
        <f aca="false">dps*Sens!$G$1942</f>
        <v>0</v>
      </c>
      <c r="H1963" s="38" t="n">
        <f aca="false">dps*Sens!$H$1942</f>
        <v>0</v>
      </c>
      <c r="I1963" s="38" t="n">
        <f aca="false">dps*Sens!$I$1942</f>
        <v>0</v>
      </c>
      <c r="J1963" s="38" t="n">
        <f aca="false">dps*Sens!$J$1942</f>
        <v>0</v>
      </c>
      <c r="K1963" s="38" t="n">
        <f aca="false">dps*Sens!$K$1942</f>
        <v>0</v>
      </c>
      <c r="L1963" s="38" t="n">
        <f aca="false">dps*Sens!$L$1942</f>
        <v>0</v>
      </c>
      <c r="M1963" s="38" t="n">
        <f aca="false">dps*Sens!$M$1942</f>
        <v>0</v>
      </c>
      <c r="P1963" s="8" t="s">
        <v>806</v>
      </c>
    </row>
    <row r="1964" customFormat="false" ht="17.15" hidden="false" customHeight="false" outlineLevel="0" collapsed="false">
      <c r="A1964" s="5" t="s">
        <v>807</v>
      </c>
      <c r="B1964" s="0" t="s">
        <v>86</v>
      </c>
      <c r="C1964" s="38" t="n">
        <f aca="false">0</f>
        <v>0</v>
      </c>
      <c r="D1964" s="38" t="n">
        <f aca="false">0</f>
        <v>0</v>
      </c>
      <c r="E1964" s="38" t="n">
        <f aca="false">0</f>
        <v>0</v>
      </c>
      <c r="F1964" s="38" t="n">
        <f aca="false">0</f>
        <v>0</v>
      </c>
      <c r="G1964" s="38" t="n">
        <f aca="false">0</f>
        <v>0</v>
      </c>
      <c r="H1964" s="38" t="n">
        <f aca="false">0</f>
        <v>0</v>
      </c>
      <c r="I1964" s="38" t="n">
        <f aca="false">0</f>
        <v>0</v>
      </c>
      <c r="J1964" s="38" t="n">
        <f aca="false">0</f>
        <v>0</v>
      </c>
      <c r="K1964" s="38" t="n">
        <f aca="false">0</f>
        <v>0</v>
      </c>
      <c r="L1964" s="38" t="n">
        <f aca="false">0</f>
        <v>0</v>
      </c>
      <c r="M1964" s="38" t="n">
        <f aca="false">0</f>
        <v>0</v>
      </c>
      <c r="P1964" s="8" t="s">
        <v>808</v>
      </c>
    </row>
    <row r="1965" customFormat="false" ht="15" hidden="false" customHeight="false" outlineLevel="0" collapsed="false">
      <c r="A1965" s="3" t="s">
        <v>809</v>
      </c>
      <c r="B1965" s="8" t="s">
        <v>86</v>
      </c>
      <c r="C1965" s="38" t="n">
        <f aca="false">Sens!$C$1962-Sens!$C$1963</f>
        <v>36.176</v>
      </c>
      <c r="D1965" s="38" t="n">
        <f aca="false">Sens!$D$1962-Sens!$D$1963</f>
        <v>9.63700000000002</v>
      </c>
      <c r="E1965" s="38" t="n">
        <f aca="false">Sens!$E$1962-Sens!$E$1963</f>
        <v>-25.691</v>
      </c>
      <c r="F1965" s="38" t="n">
        <f aca="false">Sens!$F$1962-Sens!$F$1963</f>
        <v>-32.6877798883991</v>
      </c>
      <c r="G1965" s="38" t="n">
        <f aca="false">Sens!$G$1962-Sens!$G$1963</f>
        <v>-58.3787798883991</v>
      </c>
      <c r="H1965" s="38" t="n">
        <f aca="false">Sens!$H$1962-Sens!$H$1963</f>
        <v>-52.5688789003323</v>
      </c>
      <c r="I1965" s="38" t="n">
        <f aca="false">Sens!$I$1962-Sens!$I$1963</f>
        <v>-17.2795278737826</v>
      </c>
      <c r="J1965" s="38" t="n">
        <f aca="false">Sens!$J$1962-Sens!$J$1963</f>
        <v>24.1033058488175</v>
      </c>
      <c r="K1965" s="38" t="n">
        <f aca="false">Sens!$K$1962-Sens!$K$1963</f>
        <v>90.2350726592339</v>
      </c>
      <c r="L1965" s="38" t="n">
        <f aca="false">Sens!$L$1962-Sens!$L$1963</f>
        <v>125.170061896691</v>
      </c>
      <c r="M1965" s="38" t="n">
        <f aca="false">Sens!$M$1962-Sens!$M$1963</f>
        <v>161.449526235705</v>
      </c>
    </row>
    <row r="1966" customFormat="false" ht="17.15" hidden="false" customHeight="false" outlineLevel="0" collapsed="false">
      <c r="A1966" s="5" t="s">
        <v>810</v>
      </c>
      <c r="B1966" s="0" t="s">
        <v>86</v>
      </c>
      <c r="E1966" s="38" t="n">
        <f aca="false">Q!$P$53</f>
        <v>39.767</v>
      </c>
      <c r="F1966" s="38" t="n">
        <f aca="false">inv_2h26</f>
        <v>21.3</v>
      </c>
      <c r="G1966" s="38" t="n">
        <f aca="false">Sens!$E$1966+Sens!$F$1966</f>
        <v>61.067</v>
      </c>
      <c r="H1966" s="39" t="n">
        <v>0</v>
      </c>
      <c r="I1966" s="39" t="n">
        <v>0</v>
      </c>
      <c r="J1966" s="39" t="n">
        <v>0</v>
      </c>
      <c r="K1966" s="39" t="n">
        <v>0</v>
      </c>
      <c r="L1966" s="39" t="n">
        <v>0</v>
      </c>
      <c r="M1966" s="39" t="n">
        <v>0</v>
      </c>
    </row>
    <row r="1967" customFormat="false" ht="17.15" hidden="false" customHeight="false" outlineLevel="0" collapsed="false">
      <c r="A1967" s="5" t="s">
        <v>811</v>
      </c>
      <c r="B1967" s="0" t="s">
        <v>86</v>
      </c>
      <c r="F1967" s="38" t="n">
        <f aca="false">iss_2h26</f>
        <v>29.249999</v>
      </c>
      <c r="G1967" s="38" t="n">
        <f aca="false">Sens!$F$1967</f>
        <v>29.249999</v>
      </c>
      <c r="H1967" s="39" t="n">
        <v>0</v>
      </c>
      <c r="I1967" s="39" t="n">
        <v>0</v>
      </c>
      <c r="J1967" s="39" t="n">
        <v>0</v>
      </c>
      <c r="K1967" s="39" t="n">
        <v>0</v>
      </c>
      <c r="L1967" s="39" t="n">
        <v>0</v>
      </c>
      <c r="M1967" s="39" t="n">
        <v>0</v>
      </c>
    </row>
    <row r="1968" customFormat="false" ht="17.15" hidden="false" customHeight="false" outlineLevel="0" collapsed="false">
      <c r="A1968" s="5" t="s">
        <v>812</v>
      </c>
      <c r="B1968" s="0" t="s">
        <v>86</v>
      </c>
      <c r="F1968" s="38" t="n">
        <f aca="false">cash_q2</f>
        <v>122.988</v>
      </c>
      <c r="G1968" s="38" t="n">
        <f aca="false">cash_q2</f>
        <v>122.988</v>
      </c>
      <c r="H1968" s="38" t="n">
        <f aca="false">Sens!$G$1971</f>
        <v>98.2502191116009</v>
      </c>
      <c r="I1968" s="38" t="n">
        <f aca="false">Sens!$H$1971</f>
        <v>50</v>
      </c>
      <c r="J1968" s="38" t="n">
        <f aca="false">Sens!$I$1971</f>
        <v>50</v>
      </c>
      <c r="K1968" s="38" t="n">
        <f aca="false">Sens!$J$1971</f>
        <v>74.1033058488175</v>
      </c>
      <c r="L1968" s="38" t="n">
        <f aca="false">Sens!$K$1971</f>
        <v>164.338378508051</v>
      </c>
      <c r="M1968" s="38" t="n">
        <f aca="false">Sens!$L$1971</f>
        <v>289.508440404742</v>
      </c>
    </row>
    <row r="1969" customFormat="false" ht="15" hidden="false" customHeight="false" outlineLevel="0" collapsed="false">
      <c r="A1969" s="5" t="s">
        <v>813</v>
      </c>
      <c r="B1969" s="0" t="s">
        <v>86</v>
      </c>
      <c r="F1969" s="38" t="n">
        <f aca="false">Sens!$F$1968+Sens!$F$1965-Sens!$F$1964-Sens!$F$1966+Sens!$F$1967</f>
        <v>98.2502191116009</v>
      </c>
      <c r="H1969" s="38" t="n">
        <f aca="false">Sens!$H$1968+Sens!$H$1965-Sens!$H$1964-Sens!$H$1966+Sens!$H$1967</f>
        <v>45.6813402112686</v>
      </c>
      <c r="I1969" s="38" t="n">
        <f aca="false">Sens!$I$1968+Sens!$I$1965-Sens!$I$1964-Sens!$I$1966+Sens!$I$1967</f>
        <v>32.7204721262175</v>
      </c>
      <c r="J1969" s="38" t="n">
        <f aca="false">Sens!$J$1968+Sens!$J$1965-Sens!$J$1964-Sens!$J$1966+Sens!$J$1967</f>
        <v>74.1033058488175</v>
      </c>
      <c r="K1969" s="38" t="n">
        <f aca="false">Sens!$K$1968+Sens!$K$1965-Sens!$K$1964-Sens!$K$1966+Sens!$K$1967</f>
        <v>164.338378508051</v>
      </c>
      <c r="L1969" s="38" t="n">
        <f aca="false">Sens!$L$1968+Sens!$L$1965-Sens!$L$1964-Sens!$L$1966+Sens!$L$1967</f>
        <v>289.508440404742</v>
      </c>
      <c r="M1969" s="38" t="n">
        <f aca="false">Sens!$M$1968+Sens!$M$1965-Sens!$M$1964-Sens!$M$1966+Sens!$M$1967</f>
        <v>450.957966640448</v>
      </c>
    </row>
    <row r="1970" customFormat="false" ht="17.15" hidden="false" customHeight="false" outlineLevel="0" collapsed="false">
      <c r="A1970" s="5" t="s">
        <v>814</v>
      </c>
      <c r="B1970" s="0" t="s">
        <v>86</v>
      </c>
      <c r="F1970" s="38" t="n">
        <f aca="false">MAX(0,min_cash-Sens!$F$1969)</f>
        <v>0</v>
      </c>
      <c r="G1970" s="38" t="n">
        <f aca="false">Sens!$F$1970</f>
        <v>0</v>
      </c>
      <c r="H1970" s="38" t="n">
        <f aca="false">MAX(0,min_cash-Sens!$H$1969)</f>
        <v>4.31865978873143</v>
      </c>
      <c r="I1970" s="38" t="n">
        <f aca="false">MAX(0,min_cash-Sens!$I$1969)</f>
        <v>17.2795278737826</v>
      </c>
      <c r="J1970" s="38" t="n">
        <f aca="false">MAX(0,min_cash-Sens!$J$1969)</f>
        <v>0</v>
      </c>
      <c r="K1970" s="38" t="n">
        <f aca="false">MAX(0,min_cash-Sens!$K$1969)</f>
        <v>0</v>
      </c>
      <c r="L1970" s="38" t="n">
        <f aca="false">MAX(0,min_cash-Sens!$L$1969)</f>
        <v>0</v>
      </c>
      <c r="M1970" s="38" t="n">
        <f aca="false">MAX(0,min_cash-Sens!$M$1969)</f>
        <v>0</v>
      </c>
      <c r="P1970" s="5" t="s">
        <v>815</v>
      </c>
    </row>
    <row r="1971" customFormat="false" ht="15" hidden="false" customHeight="false" outlineLevel="0" collapsed="false">
      <c r="A1971" s="5" t="s">
        <v>816</v>
      </c>
      <c r="B1971" s="0" t="s">
        <v>86</v>
      </c>
      <c r="D1971" s="38" t="n">
        <f aca="false">Q!$E$61</f>
        <v>123.029</v>
      </c>
      <c r="E1971" s="38" t="n">
        <f aca="false">Q!$M$61</f>
        <v>122.988</v>
      </c>
      <c r="F1971" s="38" t="n">
        <f aca="false">Sens!$F$1969+Sens!$F$1970</f>
        <v>98.2502191116009</v>
      </c>
      <c r="G1971" s="38" t="n">
        <f aca="false">Sens!$F$1971</f>
        <v>98.2502191116009</v>
      </c>
      <c r="H1971" s="38" t="n">
        <f aca="false">Sens!$H$1969+Sens!$H$1970</f>
        <v>50</v>
      </c>
      <c r="I1971" s="38" t="n">
        <f aca="false">Sens!$I$1969+Sens!$I$1970</f>
        <v>50</v>
      </c>
      <c r="J1971" s="38" t="n">
        <f aca="false">Sens!$J$1969+Sens!$J$1970</f>
        <v>74.1033058488175</v>
      </c>
      <c r="K1971" s="38" t="n">
        <f aca="false">Sens!$K$1969+Sens!$K$1970</f>
        <v>164.338378508051</v>
      </c>
      <c r="L1971" s="38" t="n">
        <f aca="false">Sens!$L$1969+Sens!$L$1970</f>
        <v>289.508440404742</v>
      </c>
      <c r="M1971" s="38" t="n">
        <f aca="false">Sens!$M$1969+Sens!$M$1970</f>
        <v>450.957966640448</v>
      </c>
    </row>
    <row r="1972" customFormat="false" ht="15" hidden="false" customHeight="false" outlineLevel="0" collapsed="false">
      <c r="A1972" s="5" t="s">
        <v>817</v>
      </c>
      <c r="B1972" s="0" t="s">
        <v>86</v>
      </c>
      <c r="D1972" s="38" t="n">
        <f aca="false">Q!$E$62</f>
        <v>68.836</v>
      </c>
      <c r="E1972" s="38" t="n">
        <f aca="false">Q!$M$62</f>
        <v>132.995</v>
      </c>
      <c r="F1972" s="38" t="n">
        <f aca="false">debt_q2+Sens!$F$1967+Sens!$F$1970</f>
        <v>162.244999</v>
      </c>
      <c r="G1972" s="38" t="n">
        <f aca="false">Sens!$F$1972</f>
        <v>162.244999</v>
      </c>
      <c r="H1972" s="38" t="n">
        <f aca="false">Sens!$G$1972+Sens!$H$1970</f>
        <v>166.563658788731</v>
      </c>
      <c r="I1972" s="38" t="n">
        <f aca="false">Sens!$H$1972+Sens!$I$1970</f>
        <v>183.843186662514</v>
      </c>
      <c r="J1972" s="38" t="n">
        <f aca="false">Sens!$I$1972+Sens!$J$1970</f>
        <v>183.843186662514</v>
      </c>
      <c r="K1972" s="38" t="n">
        <f aca="false">Sens!$J$1972+Sens!$K$1970</f>
        <v>183.843186662514</v>
      </c>
      <c r="L1972" s="38" t="n">
        <f aca="false">Sens!$K$1972+Sens!$L$1970</f>
        <v>183.843186662514</v>
      </c>
      <c r="M1972" s="38" t="n">
        <f aca="false">Sens!$L$1972+Sens!$M$1970</f>
        <v>183.843186662514</v>
      </c>
    </row>
    <row r="1973" customFormat="false" ht="15" hidden="false" customHeight="false" outlineLevel="0" collapsed="false">
      <c r="A1973" s="5" t="s">
        <v>818</v>
      </c>
      <c r="B1973" s="0" t="s">
        <v>86</v>
      </c>
      <c r="D1973" s="38" t="n">
        <f aca="false">Sens!$D$1972-Sens!$D$1971</f>
        <v>-54.193</v>
      </c>
      <c r="E1973" s="38" t="n">
        <f aca="false">Sens!$E$1972-Sens!$E$1971</f>
        <v>10.007</v>
      </c>
      <c r="F1973" s="38" t="n">
        <f aca="false">Sens!$F$1972-Sens!$F$1971</f>
        <v>63.9947798883991</v>
      </c>
      <c r="G1973" s="38" t="n">
        <f aca="false">Sens!$G$1972-Sens!$G$1971</f>
        <v>63.9947798883991</v>
      </c>
      <c r="H1973" s="38" t="n">
        <f aca="false">Sens!$H$1972-Sens!$H$1971</f>
        <v>116.563658788731</v>
      </c>
      <c r="I1973" s="38" t="n">
        <f aca="false">Sens!$I$1972-Sens!$I$1971</f>
        <v>133.843186662514</v>
      </c>
      <c r="J1973" s="38" t="n">
        <f aca="false">Sens!$J$1972-Sens!$J$1971</f>
        <v>109.739880813696</v>
      </c>
      <c r="K1973" s="38" t="n">
        <f aca="false">Sens!$K$1972-Sens!$K$1971</f>
        <v>19.5048081544625</v>
      </c>
      <c r="L1973" s="38" t="n">
        <f aca="false">Sens!$L$1972-Sens!$L$1971</f>
        <v>-105.665253742228</v>
      </c>
      <c r="M1973" s="38" t="n">
        <f aca="false">Sens!$M$1972-Sens!$M$1971</f>
        <v>-267.114779977934</v>
      </c>
    </row>
    <row r="1974" customFormat="false" ht="17.15" hidden="false" customHeight="false" outlineLevel="0" collapsed="false">
      <c r="A1974" s="5" t="s">
        <v>819</v>
      </c>
      <c r="B1974" s="0" t="s">
        <v>86</v>
      </c>
      <c r="F1974" s="38" t="n">
        <f aca="false">debt_q2*kd_book*0.5+iss_2h26*kd_new*iss_t</f>
        <v>3.24888962733561</v>
      </c>
      <c r="H1974" s="38" t="n">
        <f aca="false">debt_q2*kd_book+(Sens!$G$1972-debt_q2)*kd_new</f>
        <v>7.42354172302123</v>
      </c>
      <c r="I1974" s="38" t="n">
        <f aca="false">debt_q2*kd_book+(Sens!$H$1972-debt_q2)*kd_new</f>
        <v>7.69691288764793</v>
      </c>
      <c r="J1974" s="38" t="n">
        <f aca="false">debt_q2*kd_book+(Sens!$I$1972-debt_q2)*kd_new</f>
        <v>8.79070700205836</v>
      </c>
      <c r="K1974" s="38" t="n">
        <f aca="false">debt_q2*kd_book+(Sens!$J$1972-debt_q2)*kd_new</f>
        <v>8.79070700205836</v>
      </c>
      <c r="L1974" s="38" t="n">
        <f aca="false">debt_q2*kd_book+(Sens!$K$1972-debt_q2)*kd_new</f>
        <v>8.79070700205836</v>
      </c>
      <c r="M1974" s="38" t="n">
        <f aca="false">debt_q2*kd_book+(Sens!$L$1972-debt_q2)*kd_new</f>
        <v>8.79070700205836</v>
      </c>
    </row>
    <row r="1975" customFormat="false" ht="17.15" hidden="false" customHeight="false" outlineLevel="0" collapsed="false">
      <c r="A1975" s="5" t="s">
        <v>820</v>
      </c>
      <c r="B1975" s="0" t="s">
        <v>86</v>
      </c>
      <c r="F1975" s="38" t="n">
        <f aca="false">cash_q2*y_cash*0.5</f>
        <v>2.59</v>
      </c>
      <c r="H1975" s="38" t="n">
        <f aca="false">Sens!$G$1971*y_cash</f>
        <v>4.13809587112639</v>
      </c>
      <c r="I1975" s="38" t="n">
        <f aca="false">Sens!$H$1971*y_cash</f>
        <v>2.10589651022864</v>
      </c>
      <c r="J1975" s="38" t="n">
        <f aca="false">Sens!$I$1971*y_cash</f>
        <v>2.10589651022864</v>
      </c>
      <c r="K1975" s="38" t="n">
        <f aca="false">Sens!$J$1971*y_cash</f>
        <v>3.12107786366861</v>
      </c>
      <c r="L1975" s="38" t="n">
        <f aca="false">Sens!$K$1971*y_cash</f>
        <v>6.92159235593478</v>
      </c>
      <c r="M1975" s="38" t="n">
        <f aca="false">Sens!$L$1971*y_cash</f>
        <v>12.1934962866017</v>
      </c>
    </row>
    <row r="1976" customFormat="false" ht="17.15" hidden="false" customHeight="false" outlineLevel="0" collapsed="false">
      <c r="A1976" s="47" t="s">
        <v>821</v>
      </c>
      <c r="B1976" s="14" t="s">
        <v>86</v>
      </c>
      <c r="C1976" s="14"/>
      <c r="D1976" s="14"/>
      <c r="E1976" s="14"/>
      <c r="F1976" s="14"/>
      <c r="G1976" s="48" t="n">
        <f aca="false">SUM(Sens!$G$1965:$K$1965)</f>
        <v>-13.8888081544625</v>
      </c>
      <c r="H1976" s="14"/>
      <c r="I1976" s="14"/>
      <c r="J1976" s="14"/>
      <c r="K1976" s="14"/>
      <c r="L1976" s="14"/>
      <c r="M1976" s="14"/>
      <c r="N1976" s="14"/>
      <c r="O1976" s="14"/>
    </row>
    <row r="1977" customFormat="false" ht="17.15" hidden="false" customHeight="false" outlineLevel="0" collapsed="false">
      <c r="A1977" s="0" t="s">
        <v>787</v>
      </c>
      <c r="B1977" s="0" t="s">
        <v>86</v>
      </c>
      <c r="G1977" s="38" t="n">
        <f aca="false">SUM(Sens!$G$1970:$K$1970)</f>
        <v>21.598187662514</v>
      </c>
    </row>
    <row r="1978" customFormat="false" ht="17.15" hidden="false" customHeight="false" outlineLevel="0" collapsed="false">
      <c r="A1978" s="24" t="s">
        <v>824</v>
      </c>
      <c r="B1978" s="25" t="s">
        <v>86</v>
      </c>
      <c r="C1978" s="25"/>
      <c r="D1978" s="25"/>
      <c r="E1978" s="25"/>
      <c r="F1978" s="25"/>
      <c r="G1978" s="41" t="n">
        <f aca="false">Sens!$G$1976-(Sens!$G$1965+Sens!$H$1965+Sens!$I$1965+Sens!$J$1965+Sens!$K$1965)</f>
        <v>0</v>
      </c>
      <c r="H1978" s="25"/>
      <c r="I1978" s="25"/>
      <c r="J1978" s="25"/>
      <c r="K1978" s="25"/>
      <c r="L1978" s="25"/>
      <c r="M1978" s="25"/>
      <c r="N1978" s="25"/>
      <c r="O1978" s="25"/>
    </row>
    <row r="1981" customFormat="false" ht="19.4" hidden="false" customHeight="false" outlineLevel="0" collapsed="false">
      <c r="A1981" s="31" t="s">
        <v>1191</v>
      </c>
    </row>
    <row r="1982" customFormat="false" ht="17.15" hidden="false" customHeight="false" outlineLevel="0" collapsed="false">
      <c r="A1982" s="6" t="s">
        <v>16</v>
      </c>
      <c r="B1982" s="6" t="s">
        <v>17</v>
      </c>
      <c r="C1982" s="20" t="s">
        <v>504</v>
      </c>
      <c r="D1982" s="20" t="s">
        <v>505</v>
      </c>
      <c r="E1982" s="20" t="s">
        <v>587</v>
      </c>
      <c r="F1982" s="20" t="s">
        <v>588</v>
      </c>
      <c r="G1982" s="20" t="s">
        <v>589</v>
      </c>
      <c r="H1982" s="20" t="s">
        <v>590</v>
      </c>
      <c r="I1982" s="20" t="s">
        <v>591</v>
      </c>
      <c r="J1982" s="20" t="s">
        <v>592</v>
      </c>
      <c r="K1982" s="20" t="s">
        <v>593</v>
      </c>
      <c r="L1982" s="20" t="s">
        <v>594</v>
      </c>
      <c r="M1982" s="20" t="s">
        <v>595</v>
      </c>
      <c r="N1982" s="20" t="s">
        <v>596</v>
      </c>
      <c r="O1982" s="20" t="s">
        <v>597</v>
      </c>
      <c r="P1982" s="6" t="s">
        <v>23</v>
      </c>
      <c r="R1982" s="20" t="n">
        <v>2023</v>
      </c>
      <c r="S1982" s="20" t="n">
        <v>2024</v>
      </c>
      <c r="T1982" s="20" t="n">
        <v>2025</v>
      </c>
      <c r="U1982" s="20" t="n">
        <v>2026</v>
      </c>
      <c r="V1982" s="20" t="n">
        <v>2027</v>
      </c>
      <c r="W1982" s="20" t="n">
        <v>2028</v>
      </c>
      <c r="X1982" s="20" t="n">
        <v>2029</v>
      </c>
      <c r="Y1982" s="20" t="n">
        <v>2030</v>
      </c>
      <c r="Z1982" s="20" t="n">
        <v>2031</v>
      </c>
      <c r="AA1982" s="20" t="n">
        <v>2032</v>
      </c>
    </row>
    <row r="1983" customFormat="false" ht="17.15" hidden="false" customHeight="false" outlineLevel="0" collapsed="false">
      <c r="A1983" s="1" t="s">
        <v>926</v>
      </c>
    </row>
    <row r="1984" customFormat="false" ht="17.15" hidden="false" customHeight="false" outlineLevel="0" collapsed="false">
      <c r="A1984" s="0" t="s">
        <v>927</v>
      </c>
      <c r="B1984" s="0" t="s">
        <v>86</v>
      </c>
      <c r="H1984" s="38" t="n">
        <f aca="false">Sens!$H$1918*(1-tax)</f>
        <v>116.288002258582</v>
      </c>
      <c r="I1984" s="38" t="n">
        <f aca="false">Sens!$I$1918*(1-tax)</f>
        <v>133.269116123789</v>
      </c>
      <c r="J1984" s="38" t="n">
        <f aca="false">Sens!$J$1918*(1-tax)</f>
        <v>152.286384382394</v>
      </c>
      <c r="K1984" s="38" t="n">
        <f aca="false">Sens!$K$1918*(1-tax)</f>
        <v>165.278150136595</v>
      </c>
      <c r="L1984" s="38" t="n">
        <f aca="false">Sens!$L$1918*(1-tax)</f>
        <v>176.527950256313</v>
      </c>
      <c r="M1984" s="38" t="n">
        <f aca="false">Sens!$M$1918*(1-tax)</f>
        <v>186.901092077825</v>
      </c>
    </row>
    <row r="1985" customFormat="false" ht="15" hidden="false" customHeight="false" outlineLevel="0" collapsed="false">
      <c r="A1985" s="5" t="s">
        <v>928</v>
      </c>
      <c r="B1985" s="0" t="s">
        <v>86</v>
      </c>
      <c r="H1985" s="38" t="n">
        <f aca="false">Sens!$H$1929</f>
        <v>86.6072647304937</v>
      </c>
      <c r="I1985" s="38" t="n">
        <f aca="false">Sens!$I$1929</f>
        <v>129.609953629263</v>
      </c>
      <c r="J1985" s="38" t="n">
        <f aca="false">Sens!$J$1929</f>
        <v>169.395425358528</v>
      </c>
      <c r="K1985" s="38" t="n">
        <f aca="false">Sens!$K$1929</f>
        <v>208.320232243726</v>
      </c>
      <c r="L1985" s="38" t="n">
        <f aca="false">Sens!$L$1929</f>
        <v>237.138021922464</v>
      </c>
      <c r="M1985" s="38" t="n">
        <f aca="false">Sens!$M$1929</f>
        <v>256.459221284105</v>
      </c>
    </row>
    <row r="1986" customFormat="false" ht="15" hidden="false" customHeight="false" outlineLevel="0" collapsed="false">
      <c r="A1986" s="5" t="s">
        <v>929</v>
      </c>
      <c r="B1986" s="0" t="s">
        <v>86</v>
      </c>
      <c r="H1986" s="38" t="n">
        <f aca="false">Sens!$H$1960</f>
        <v>273.372679834898</v>
      </c>
      <c r="I1986" s="38" t="n">
        <f aca="false">Sens!$I$1960</f>
        <v>292.218580428425</v>
      </c>
      <c r="J1986" s="38" t="n">
        <f aca="false">Sens!$J$1960</f>
        <v>304.553281578366</v>
      </c>
      <c r="K1986" s="38" t="n">
        <f aca="false">Sens!$K$1960</f>
        <v>287.714522912292</v>
      </c>
      <c r="L1986" s="38" t="n">
        <f aca="false">Sens!$L$1960</f>
        <v>294.794791915646</v>
      </c>
      <c r="M1986" s="38" t="n">
        <f aca="false">Sens!$M$1960</f>
        <v>293.662210098602</v>
      </c>
    </row>
    <row r="1987" customFormat="false" ht="15" hidden="false" customHeight="false" outlineLevel="0" collapsed="false">
      <c r="A1987" s="5" t="s">
        <v>930</v>
      </c>
      <c r="B1987" s="0" t="s">
        <v>86</v>
      </c>
      <c r="H1987" s="38" t="n">
        <f aca="false">Sens!$H$1961</f>
        <v>1.6</v>
      </c>
      <c r="I1987" s="38" t="n">
        <f aca="false">Sens!$I$1961</f>
        <v>1.6</v>
      </c>
      <c r="J1987" s="38" t="n">
        <f aca="false">Sens!$J$1961</f>
        <v>1.6</v>
      </c>
      <c r="K1987" s="38" t="n">
        <f aca="false">Sens!$K$1961</f>
        <v>1.6</v>
      </c>
      <c r="L1987" s="38" t="n">
        <f aca="false">Sens!$L$1961</f>
        <v>1.6</v>
      </c>
      <c r="M1987" s="38" t="n">
        <f aca="false">Sens!$M$1961</f>
        <v>1.6</v>
      </c>
    </row>
    <row r="1988" customFormat="false" ht="15" hidden="false" customHeight="false" outlineLevel="0" collapsed="false">
      <c r="A1988" s="5" t="s">
        <v>931</v>
      </c>
      <c r="B1988" s="0" t="s">
        <v>86</v>
      </c>
      <c r="H1988" s="38" t="n">
        <f aca="false">Sens!$H$1955</f>
        <v>11.2928295263397</v>
      </c>
      <c r="I1988" s="38" t="n">
        <f aca="false">Sens!$I$1955</f>
        <v>12.8091546115766</v>
      </c>
      <c r="J1988" s="38" t="n">
        <f aca="false">Sens!$J$1955</f>
        <v>14.2605653162668</v>
      </c>
      <c r="K1988" s="38" t="n">
        <f aca="false">Sens!$K$1955</f>
        <v>15.5327622460396</v>
      </c>
      <c r="L1988" s="38" t="n">
        <f aca="false">Sens!$L$1955</f>
        <v>16.720573737517</v>
      </c>
      <c r="M1988" s="38" t="n">
        <f aca="false">Sens!$M$1955</f>
        <v>17.8283127551536</v>
      </c>
    </row>
    <row r="1989" customFormat="false" ht="17.15" hidden="false" customHeight="false" outlineLevel="0" collapsed="false">
      <c r="A1989" s="1" t="s">
        <v>932</v>
      </c>
      <c r="B1989" s="8" t="s">
        <v>86</v>
      </c>
      <c r="H1989" s="38" t="n">
        <f aca="false">Sens!$H$1984+Sens!$H$1985-Sens!$H$1986-Sens!$H$1987+Sens!$H$1988</f>
        <v>-60.7845833194829</v>
      </c>
      <c r="I1989" s="38" t="n">
        <f aca="false">Sens!$I$1984+Sens!$I$1985-Sens!$I$1986-Sens!$I$1987+Sens!$I$1988</f>
        <v>-18.1303560637963</v>
      </c>
      <c r="J1989" s="38" t="n">
        <f aca="false">Sens!$J$1984+Sens!$J$1985-Sens!$J$1986-Sens!$J$1987+Sens!$J$1988</f>
        <v>29.789093478823</v>
      </c>
      <c r="K1989" s="38" t="n">
        <f aca="false">Sens!$K$1984+Sens!$K$1985-Sens!$K$1986-Sens!$K$1987+Sens!$K$1988</f>
        <v>99.8166217140679</v>
      </c>
      <c r="L1989" s="38" t="n">
        <f aca="false">Sens!$L$1984+Sens!$L$1985-Sens!$L$1986-Sens!$L$1987+Sens!$L$1988</f>
        <v>133.991754000648</v>
      </c>
      <c r="M1989" s="38" t="n">
        <f aca="false">Sens!$M$1984+Sens!$M$1985-Sens!$M$1986-Sens!$M$1987+Sens!$M$1988</f>
        <v>165.926416018482</v>
      </c>
    </row>
    <row r="1990" customFormat="false" ht="15" hidden="false" customHeight="false" outlineLevel="0" collapsed="false">
      <c r="A1990" s="5" t="s">
        <v>933</v>
      </c>
      <c r="B1990" s="0" t="s">
        <v>57</v>
      </c>
      <c r="H1990" s="40" t="n">
        <f aca="false">1/(1+wacc)^(2027-2026-0.5)</f>
        <v>0.947751320380232</v>
      </c>
      <c r="I1990" s="40" t="n">
        <f aca="false">1/(1+wacc)^(2028-2026-0.5)</f>
        <v>0.851301099754987</v>
      </c>
      <c r="J1990" s="40" t="n">
        <f aca="false">1/(1+wacc)^(2029-2026-0.5)</f>
        <v>0.764666370660713</v>
      </c>
      <c r="K1990" s="40" t="n">
        <f aca="false">1/(1+wacc)^(2030-2026-0.5)</f>
        <v>0.686848235703811</v>
      </c>
      <c r="L1990" s="40" t="n">
        <f aca="false">1/(1+wacc)^(2031-2026-0.5)</f>
        <v>0.616949452715975</v>
      </c>
      <c r="M1990" s="40" t="n">
        <f aca="false">1/(1+wacc)^(2032-2026-0.5)</f>
        <v>0.554164089562688</v>
      </c>
    </row>
    <row r="1991" customFormat="false" ht="15" hidden="false" customHeight="false" outlineLevel="0" collapsed="false">
      <c r="A1991" s="5" t="s">
        <v>934</v>
      </c>
      <c r="B1991" s="0" t="s">
        <v>86</v>
      </c>
      <c r="H1991" s="38" t="n">
        <f aca="false">Sens!$H$1989*Sens!$H$1990</f>
        <v>-57.6086690998022</v>
      </c>
      <c r="I1991" s="38" t="n">
        <f aca="false">Sens!$I$1989*Sens!$I$1990</f>
        <v>-15.4343920560593</v>
      </c>
      <c r="J1991" s="38" t="n">
        <f aca="false">Sens!$J$1989*Sens!$J$1990</f>
        <v>22.7787179957243</v>
      </c>
      <c r="K1991" s="38" t="n">
        <f aca="false">Sens!$K$1989*Sens!$K$1990</f>
        <v>68.5588705182222</v>
      </c>
      <c r="L1991" s="38" t="n">
        <f aca="false">Sens!$L$1989*Sens!$L$1990</f>
        <v>82.6661392991535</v>
      </c>
      <c r="M1991" s="38" t="n">
        <f aca="false">Sens!$M$1989*Sens!$M$1990</f>
        <v>91.9504612672818</v>
      </c>
    </row>
    <row r="1992" customFormat="false" ht="15" hidden="false" customHeight="false" outlineLevel="0" collapsed="false">
      <c r="A1992" s="5" t="s">
        <v>935</v>
      </c>
      <c r="B1992" s="0" t="s">
        <v>86</v>
      </c>
      <c r="C1992" s="38" t="n">
        <f aca="false">SUM(Sens!$H$1991:$M$1991)</f>
        <v>192.91112792452</v>
      </c>
    </row>
    <row r="1993" customFormat="false" ht="17.15" hidden="false" customHeight="false" outlineLevel="0" collapsed="false">
      <c r="A1993" s="5" t="s">
        <v>936</v>
      </c>
      <c r="B1993" s="0" t="s">
        <v>86</v>
      </c>
      <c r="C1993" s="38" t="n">
        <f aca="false">Sens!$M$1984*(1+tg)*(1-tg/ronic)/(wacc-tg)</f>
        <v>1699.13948693762</v>
      </c>
    </row>
    <row r="1994" customFormat="false" ht="15" hidden="false" customHeight="false" outlineLevel="0" collapsed="false">
      <c r="A1994" s="5" t="s">
        <v>937</v>
      </c>
      <c r="B1994" s="0" t="s">
        <v>86</v>
      </c>
      <c r="C1994" s="38" t="n">
        <f aca="false">Sens!$C$1993/(1+wacc)^6</f>
        <v>892.404621055298</v>
      </c>
    </row>
    <row r="1995" customFormat="false" ht="17.15" hidden="false" customHeight="false" outlineLevel="0" collapsed="false">
      <c r="A1995" s="5" t="s">
        <v>938</v>
      </c>
      <c r="B1995" s="0" t="s">
        <v>86</v>
      </c>
      <c r="C1995" s="38" t="n">
        <f aca="false">Sens!$C$1992+Sens!$C$1994</f>
        <v>1085.31574897982</v>
      </c>
    </row>
    <row r="1996" customFormat="false" ht="17.15" hidden="false" customHeight="false" outlineLevel="0" collapsed="false">
      <c r="A1996" s="5" t="s">
        <v>939</v>
      </c>
      <c r="B1996" s="0" t="s">
        <v>52</v>
      </c>
      <c r="C1996" s="13" t="n">
        <f aca="false">Sens!$C$1994/Sens!$C$1995</f>
        <v>0.822253451950869</v>
      </c>
    </row>
    <row r="1997" customFormat="false" ht="17.15" hidden="false" customHeight="false" outlineLevel="0" collapsed="false">
      <c r="A1997" s="5" t="s">
        <v>940</v>
      </c>
      <c r="B1997" s="0" t="s">
        <v>86</v>
      </c>
      <c r="C1997" s="38" t="n">
        <f aca="false">Sens!$G$1973+fin_debt</f>
        <v>88.5157798883991</v>
      </c>
    </row>
    <row r="1998" customFormat="false" ht="17.15" hidden="false" customHeight="false" outlineLevel="0" collapsed="false">
      <c r="A1998" s="5" t="s">
        <v>941</v>
      </c>
      <c r="B1998" s="0" t="s">
        <v>86</v>
      </c>
      <c r="C1998" s="38" t="n">
        <f aca="false">(ant_val*ant_sh+oai_val*oai_sh)*(1-liq_disc)</f>
        <v>178.944</v>
      </c>
    </row>
    <row r="1999" customFormat="false" ht="15" hidden="false" customHeight="false" outlineLevel="0" collapsed="false">
      <c r="A1999" s="5" t="s">
        <v>942</v>
      </c>
      <c r="B1999" s="0" t="s">
        <v>86</v>
      </c>
      <c r="C1999" s="38" t="n">
        <f aca="false">Sens!$C$1995-Sens!$C$1997+Sens!$C$1998</f>
        <v>1175.74396909142</v>
      </c>
    </row>
    <row r="2000" customFormat="false" ht="17.15" hidden="false" customHeight="false" outlineLevel="0" collapsed="false">
      <c r="A2000" s="5" t="s">
        <v>943</v>
      </c>
      <c r="B2000" s="0" t="s">
        <v>27</v>
      </c>
      <c r="C2000" s="30" t="n">
        <f aca="false">Sens!$C$1999/sh_out</f>
        <v>109.003313744753</v>
      </c>
    </row>
    <row r="2001" customFormat="false" ht="17.15" hidden="false" customHeight="false" outlineLevel="0" collapsed="false">
      <c r="A2001" s="1" t="s">
        <v>944</v>
      </c>
      <c r="B2001" s="8" t="s">
        <v>27</v>
      </c>
      <c r="C2001" s="30" t="n">
        <f aca="false">Sens!$C$2000*(1+ke)^tp_yf-dps*tp_yf</f>
        <v>119.398834038503</v>
      </c>
    </row>
    <row r="2002" customFormat="false" ht="17.15" hidden="false" customHeight="false" outlineLevel="0" collapsed="false">
      <c r="A2002" s="3" t="s">
        <v>945</v>
      </c>
    </row>
    <row r="2003" customFormat="false" ht="17.15" hidden="false" customHeight="false" outlineLevel="0" collapsed="false">
      <c r="A2003" s="5" t="s">
        <v>946</v>
      </c>
      <c r="B2003" s="0" t="s">
        <v>86</v>
      </c>
      <c r="C2003" s="38" t="n">
        <f aca="false">(1-tp_yf)*(Sens!$H$1930+sbc_ab*Sens!$H$1954*Sens!$H$1791/Sens!$H$1871)+tp_yf*(Sens!$I$1930+sbc_ab*Sens!$I$1954*Sens!$I$1791/Sens!$I$1871)</f>
        <v>59.634664536349</v>
      </c>
    </row>
    <row r="2004" customFormat="false" ht="15" hidden="false" customHeight="false" outlineLevel="0" collapsed="false">
      <c r="A2004" s="5" t="s">
        <v>947</v>
      </c>
      <c r="B2004" s="0" t="s">
        <v>57</v>
      </c>
      <c r="C2004" s="30" t="n">
        <f aca="false">m_ads*m_x</f>
        <v>9.11</v>
      </c>
    </row>
    <row r="2005" customFormat="false" ht="17.15" hidden="false" customHeight="false" outlineLevel="0" collapsed="false">
      <c r="A2005" s="5" t="s">
        <v>948</v>
      </c>
      <c r="B2005" s="0" t="s">
        <v>86</v>
      </c>
      <c r="C2005" s="38" t="n">
        <f aca="false">Sens!$C$2003*Sens!$C$2004</f>
        <v>543.271793926139</v>
      </c>
    </row>
    <row r="2006" customFormat="false" ht="17.15" hidden="false" customHeight="false" outlineLevel="0" collapsed="false">
      <c r="A2006" s="5" t="s">
        <v>949</v>
      </c>
      <c r="B2006" s="0" t="s">
        <v>86</v>
      </c>
      <c r="C2006" s="38" t="n">
        <f aca="false">(1-tp_yf)*(Sens!$H$1931+sbc_ab*Sens!$H$1954*(Sens!$H$1798-Sens!$H$1791)/Sens!$H$1871+IF(internal_ai_reading=2,1,0)*(1-ext_sh)*Sens!$H$1828)+tp_yf*(Sens!$I$1931+sbc_ab*Sens!$I$1954*(Sens!$I$1798-Sens!$I$1791)/Sens!$I$1871+IF(internal_ai_reading=2,1,0)*(1-ext_sh)*Sens!$I$1828)</f>
        <v>52.0766626561933</v>
      </c>
    </row>
    <row r="2007" customFormat="false" ht="17.15" hidden="false" customHeight="false" outlineLevel="0" collapsed="false">
      <c r="A2007" s="5" t="s">
        <v>950</v>
      </c>
      <c r="B2007" s="0" t="s">
        <v>57</v>
      </c>
      <c r="C2007" s="30" t="n">
        <f aca="false">m_retail*m_x</f>
        <v>17.72</v>
      </c>
    </row>
    <row r="2008" customFormat="false" ht="17.15" hidden="false" customHeight="false" outlineLevel="0" collapsed="false">
      <c r="A2008" s="5" t="s">
        <v>951</v>
      </c>
      <c r="B2008" s="0" t="s">
        <v>86</v>
      </c>
      <c r="C2008" s="38" t="n">
        <f aca="false">Sens!$C$2006*Sens!$C$2007</f>
        <v>922.798462267745</v>
      </c>
    </row>
    <row r="2009" customFormat="false" ht="17.15" hidden="false" customHeight="false" outlineLevel="0" collapsed="false">
      <c r="A2009" s="0" t="s">
        <v>952</v>
      </c>
      <c r="B2009" s="0" t="s">
        <v>86</v>
      </c>
      <c r="C2009" s="38" t="n">
        <f aca="false">(1-tp_yf)*(Sens!$H$1932+sbc_ab*Sens!$H$1954*Sens!$H$1869/Sens!$H$1871)+tp_yf*(Sens!$I$1932+sbc_ab*Sens!$I$1954*Sens!$I$1869/Sens!$I$1871)</f>
        <v>98.0211216223139</v>
      </c>
    </row>
    <row r="2010" customFormat="false" ht="17.15" hidden="false" customHeight="false" outlineLevel="0" collapsed="false">
      <c r="A2010" s="0" t="s">
        <v>953</v>
      </c>
      <c r="B2010" s="0" t="s">
        <v>57</v>
      </c>
      <c r="C2010" s="30" t="n">
        <f aca="false">m_cloud*m_x</f>
        <v>13.82</v>
      </c>
    </row>
    <row r="2011" customFormat="false" ht="17.15" hidden="false" customHeight="false" outlineLevel="0" collapsed="false">
      <c r="A2011" s="0" t="s">
        <v>954</v>
      </c>
      <c r="B2011" s="0" t="s">
        <v>86</v>
      </c>
      <c r="C2011" s="38" t="n">
        <f aca="false">Sens!$C$2009*Sens!$C$2010</f>
        <v>1354.65190082038</v>
      </c>
    </row>
    <row r="2012" customFormat="false" ht="17.15" hidden="false" customHeight="false" outlineLevel="0" collapsed="false">
      <c r="A2012" s="0" t="s">
        <v>955</v>
      </c>
      <c r="B2012" s="0" t="s">
        <v>86</v>
      </c>
      <c r="H2012" s="38" t="n">
        <f aca="false">Sens!$H$1850-tax*Sens!$H$1851-ext_sh*Sens!$H$1835</f>
        <v>-114.658034497469</v>
      </c>
      <c r="I2012" s="38" t="n">
        <f aca="false">Sens!$I$1850-tax*Sens!$I$1851-ext_sh*Sens!$I$1835</f>
        <v>-91.1591796847995</v>
      </c>
      <c r="J2012" s="38" t="n">
        <f aca="false">Sens!$J$1850-tax*Sens!$J$1851-ext_sh*Sens!$J$1835</f>
        <v>-63.0676716747501</v>
      </c>
      <c r="K2012" s="38" t="n">
        <f aca="false">Sens!$K$1850-tax*Sens!$K$1851-ext_sh*Sens!$K$1835</f>
        <v>-16.2937130974873</v>
      </c>
      <c r="L2012" s="38" t="n">
        <f aca="false">Sens!$L$1850-tax*Sens!$L$1851-ext_sh*Sens!$L$1835</f>
        <v>2.25256180642748</v>
      </c>
      <c r="M2012" s="38" t="n">
        <f aca="false">Sens!$M$1850-tax*Sens!$M$1851-ext_sh*Sens!$M$1835</f>
        <v>18.3648255308717</v>
      </c>
    </row>
    <row r="2013" customFormat="false" ht="17.15" hidden="false" customHeight="false" outlineLevel="0" collapsed="false">
      <c r="A2013" s="5" t="s">
        <v>956</v>
      </c>
      <c r="B2013" s="0" t="s">
        <v>86</v>
      </c>
      <c r="H2013" s="38" t="n">
        <f aca="false">Sens!$H$2012*Sens!$H$1990</f>
        <v>-108.667303587178</v>
      </c>
      <c r="I2013" s="38" t="n">
        <f aca="false">Sens!$I$2012*Sens!$I$1990</f>
        <v>-77.6039099184323</v>
      </c>
      <c r="J2013" s="38" t="n">
        <f aca="false">Sens!$J$2012*Sens!$J$1990</f>
        <v>-48.2257276055526</v>
      </c>
      <c r="K2013" s="38" t="n">
        <f aca="false">Sens!$K$2012*Sens!$K$1990</f>
        <v>-11.1913080940732</v>
      </c>
      <c r="L2013" s="38" t="n">
        <f aca="false">Sens!$L$2012*Sens!$L$1990</f>
        <v>1.38971677368434</v>
      </c>
      <c r="M2013" s="38" t="n">
        <f aca="false">Sens!$M$2012*Sens!$M$1990</f>
        <v>10.1771268202931</v>
      </c>
    </row>
    <row r="2014" customFormat="false" ht="17.15" hidden="false" customHeight="false" outlineLevel="0" collapsed="false">
      <c r="A2014" s="5" t="s">
        <v>957</v>
      </c>
      <c r="B2014" s="0" t="s">
        <v>86</v>
      </c>
      <c r="C2014" s="38" t="n">
        <f aca="false">Sens!$M$1851*(1-tax)*(1+tg)*(1-tg/ronic)/(wacc-tg)</f>
        <v>187.47849969983</v>
      </c>
    </row>
    <row r="2015" customFormat="false" ht="17.15" hidden="false" customHeight="false" outlineLevel="0" collapsed="false">
      <c r="A2015" s="0" t="s">
        <v>958</v>
      </c>
      <c r="B2015" s="0" t="s">
        <v>86</v>
      </c>
      <c r="C2015" s="38" t="n">
        <f aca="false">(SUM(Sens!$I$2013:$M$2013)+Sens!$C$2014/(1+wacc)^6)*(1+wacc)^tp_yf</f>
        <v>-29.4774829108561</v>
      </c>
    </row>
    <row r="2016" customFormat="false" ht="17.15" hidden="false" customHeight="false" outlineLevel="0" collapsed="false">
      <c r="A2016" s="5" t="s">
        <v>959</v>
      </c>
      <c r="B2016" s="0" t="s">
        <v>86</v>
      </c>
      <c r="C2016" s="38" t="n">
        <f aca="false">(1-tp_yf)*(Sens!$H$1933)+tp_yf*(Sens!$I$1933)</f>
        <v>74.6707041238437</v>
      </c>
    </row>
    <row r="2017" customFormat="false" ht="17.15" hidden="false" customHeight="false" outlineLevel="0" collapsed="false">
      <c r="A2017" s="5" t="s">
        <v>960</v>
      </c>
      <c r="B2017" s="0" t="s">
        <v>86</v>
      </c>
      <c r="C2017" s="38" t="n">
        <f aca="false">Sens!$C$2016*m_ai</f>
        <v>448.024224743062</v>
      </c>
    </row>
    <row r="2018" customFormat="false" ht="17.15" hidden="false" customHeight="false" outlineLevel="0" collapsed="false">
      <c r="A2018" s="0" t="s">
        <v>961</v>
      </c>
      <c r="B2018" s="0" t="s">
        <v>86</v>
      </c>
      <c r="C2018" s="38" t="n">
        <f aca="false">IF(ai_leg=1,Sens!$C$2015,Sens!$C$2017)</f>
        <v>-29.4774829108561</v>
      </c>
    </row>
    <row r="2019" customFormat="false" ht="17.15" hidden="false" customHeight="false" outlineLevel="0" collapsed="false">
      <c r="A2019" s="5" t="s">
        <v>962</v>
      </c>
      <c r="B2019" s="0" t="s">
        <v>86</v>
      </c>
      <c r="C2019" s="38" t="n">
        <f aca="false">Sens!$C$2005+Sens!$C$2008+Sens!$C$2011+Sens!$C$2018</f>
        <v>2791.24467410341</v>
      </c>
    </row>
    <row r="2020" customFormat="false" ht="17.15" hidden="false" customHeight="false" outlineLevel="0" collapsed="false">
      <c r="A2020" s="5" t="s">
        <v>963</v>
      </c>
      <c r="B2020" s="0" t="s">
        <v>86</v>
      </c>
      <c r="C2020" s="38" t="n">
        <f aca="false">Sens!$H$1973+fin_debt</f>
        <v>141.084658788731</v>
      </c>
    </row>
    <row r="2021" customFormat="false" ht="15" hidden="false" customHeight="false" outlineLevel="0" collapsed="false">
      <c r="A2021" s="5" t="s">
        <v>964</v>
      </c>
      <c r="B2021" s="0" t="s">
        <v>86</v>
      </c>
      <c r="C2021" s="38" t="n">
        <f aca="false">Sens!$C$2019-Sens!$C$2020+Sens!$C$1998</f>
        <v>2829.10401531467</v>
      </c>
    </row>
    <row r="2022" customFormat="false" ht="15" hidden="false" customHeight="false" outlineLevel="0" collapsed="false">
      <c r="A2022" s="3" t="s">
        <v>965</v>
      </c>
      <c r="B2022" s="8" t="s">
        <v>27</v>
      </c>
      <c r="C2022" s="30" t="n">
        <f aca="false">Sens!$C$2021/sh_val</f>
        <v>256.484449609927</v>
      </c>
    </row>
    <row r="2023" customFormat="false" ht="17.15" hidden="false" customHeight="false" outlineLevel="0" collapsed="false">
      <c r="A2023" s="47" t="s">
        <v>966</v>
      </c>
      <c r="B2023" s="14" t="s">
        <v>27</v>
      </c>
      <c r="C2023" s="44" t="n">
        <f aca="false">w_dcf*Sens!$C$2001+(1-w_dcf)*Sens!$C$2022</f>
        <v>187.941641824215</v>
      </c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</row>
    <row r="2024" customFormat="false" ht="17.15" hidden="false" customHeight="false" outlineLevel="0" collapsed="false">
      <c r="A2024" s="5" t="s">
        <v>967</v>
      </c>
      <c r="B2024" s="0" t="s">
        <v>27</v>
      </c>
      <c r="C2024" s="30" t="n">
        <f aca="false">v022_wdcf*Sens!$C$2001+(1-v022_wdcf)*Sens!$C$2022</f>
        <v>194.795922602786</v>
      </c>
    </row>
    <row r="2025" customFormat="false" ht="17.15" hidden="false" customHeight="false" outlineLevel="0" collapsed="false">
      <c r="A2025" s="5" t="s">
        <v>968</v>
      </c>
      <c r="B2025" s="0" t="s">
        <v>27</v>
      </c>
      <c r="C2025" s="30" t="n">
        <f aca="false">(Sens!$C$2021-Sens!$C$2018+Sens!$C$2017)/sh_val</f>
        <v>299.774396537451</v>
      </c>
    </row>
    <row r="2028" customFormat="false" ht="19.4" hidden="false" customHeight="false" outlineLevel="0" collapsed="false">
      <c r="A2028" s="31" t="s">
        <v>1192</v>
      </c>
    </row>
    <row r="2029" customFormat="false" ht="17.15" hidden="false" customHeight="false" outlineLevel="0" collapsed="false">
      <c r="A2029" s="6" t="s">
        <v>16</v>
      </c>
      <c r="B2029" s="6" t="s">
        <v>17</v>
      </c>
      <c r="C2029" s="20" t="s">
        <v>504</v>
      </c>
      <c r="D2029" s="20" t="s">
        <v>505</v>
      </c>
      <c r="E2029" s="20" t="s">
        <v>587</v>
      </c>
      <c r="F2029" s="20" t="s">
        <v>588</v>
      </c>
      <c r="G2029" s="20" t="s">
        <v>589</v>
      </c>
      <c r="H2029" s="20" t="s">
        <v>590</v>
      </c>
      <c r="I2029" s="20" t="s">
        <v>591</v>
      </c>
      <c r="J2029" s="20" t="s">
        <v>592</v>
      </c>
      <c r="K2029" s="20" t="s">
        <v>593</v>
      </c>
      <c r="L2029" s="20" t="s">
        <v>594</v>
      </c>
      <c r="M2029" s="20" t="s">
        <v>595</v>
      </c>
      <c r="N2029" s="20" t="s">
        <v>596</v>
      </c>
      <c r="O2029" s="20" t="s">
        <v>597</v>
      </c>
      <c r="P2029" s="6" t="s">
        <v>23</v>
      </c>
      <c r="R2029" s="20" t="n">
        <v>2023</v>
      </c>
      <c r="S2029" s="20" t="n">
        <v>2024</v>
      </c>
      <c r="T2029" s="20" t="n">
        <v>2025</v>
      </c>
      <c r="U2029" s="20" t="n">
        <v>2026</v>
      </c>
      <c r="V2029" s="20" t="n">
        <v>2027</v>
      </c>
      <c r="W2029" s="20" t="n">
        <v>2028</v>
      </c>
      <c r="X2029" s="20" t="n">
        <v>2029</v>
      </c>
      <c r="Y2029" s="20" t="n">
        <v>2030</v>
      </c>
      <c r="Z2029" s="20" t="n">
        <v>2031</v>
      </c>
      <c r="AA2029" s="20" t="n">
        <v>2032</v>
      </c>
    </row>
    <row r="2030" customFormat="false" ht="17.15" hidden="false" customHeight="false" outlineLevel="0" collapsed="false">
      <c r="A2030" s="1" t="s">
        <v>677</v>
      </c>
    </row>
    <row r="2031" customFormat="false" ht="17.15" hidden="false" customHeight="false" outlineLevel="0" collapsed="false">
      <c r="A2031" s="0" t="s">
        <v>526</v>
      </c>
      <c r="B2031" s="0" t="s">
        <v>86</v>
      </c>
      <c r="C2031" s="38" t="n">
        <f aca="false">Q!$D$10</f>
        <v>247.029</v>
      </c>
      <c r="D2031" s="38" t="n">
        <f aca="false">Q!$E$10</f>
        <v>269.287</v>
      </c>
      <c r="E2031" s="38" t="n">
        <f aca="false">Q!$P$10</f>
        <v>134.686</v>
      </c>
      <c r="F2031" s="38" t="n">
        <f aca="false">Sens!$O$2031*(1+Sens!$F$2032)*Sens!$F$2043</f>
        <v>158.293876822267</v>
      </c>
      <c r="G2031" s="38" t="n">
        <f aca="false">Sens!$E$2031+Sens!$F$2031</f>
        <v>292.979876822267</v>
      </c>
      <c r="H2031" s="38" t="n">
        <f aca="false">Sens!$G$2031*(1+Sens!$H$2032)</f>
        <v>318.184543087396</v>
      </c>
      <c r="I2031" s="38" t="n">
        <f aca="false">Sens!$H$2031*(1+Sens!$I$2032)</f>
        <v>341.736278761793</v>
      </c>
      <c r="J2031" s="38" t="n">
        <f aca="false">Sens!$I$2031*(1+Sens!$J$2032)</f>
        <v>362.927192787048</v>
      </c>
      <c r="K2031" s="38" t="n">
        <f aca="false">Sens!$J$2031*(1+Sens!$K$2032)</f>
        <v>381.0735524264</v>
      </c>
      <c r="L2031" s="38" t="n">
        <f aca="false">Sens!$K$2031*(1+Sens!$L$2032)</f>
        <v>400.12723004772</v>
      </c>
      <c r="M2031" s="38" t="n">
        <f aca="false">Sens!$L$2031*(1+Sens!$M$2032)</f>
        <v>420.133591550106</v>
      </c>
      <c r="N2031" s="38" t="n">
        <f aca="false">Q!$N$10</f>
        <v>118.892</v>
      </c>
      <c r="O2031" s="38" t="n">
        <f aca="false">Q!$O$10</f>
        <v>150.395</v>
      </c>
      <c r="P2031" s="8" t="s">
        <v>678</v>
      </c>
    </row>
    <row r="2032" customFormat="false" ht="17.15" hidden="false" customHeight="false" outlineLevel="0" collapsed="false">
      <c r="A2032" s="0" t="s">
        <v>679</v>
      </c>
      <c r="B2032" s="0" t="s">
        <v>52</v>
      </c>
      <c r="E2032" s="13" t="n">
        <f aca="false">Sens!$E$2031/Sens!$N$2031-1</f>
        <v>0.132843252699929</v>
      </c>
      <c r="F2032" s="13" t="n">
        <f aca="false">Sens!$O$2031/(Q!$F$10+Q!$G$10)-1</f>
        <v>0.0980382135842941</v>
      </c>
      <c r="G2032" s="13" t="n">
        <f aca="false">Sens!$G$2031/Sens!$D$2031-1</f>
        <v>0.0879837378791657</v>
      </c>
      <c r="H2032" s="13" t="n">
        <f aca="false">Sens!$F$2032+(g_os-Sens!$F$2032)*1/4</f>
        <v>0.0860286601882206</v>
      </c>
      <c r="I2032" s="13" t="n">
        <f aca="false">Sens!$F$2032+(g_os-Sens!$F$2032)*2/4</f>
        <v>0.074019106792147</v>
      </c>
      <c r="J2032" s="13" t="n">
        <f aca="false">Sens!$F$2032+(g_os-Sens!$F$2032)*3/4</f>
        <v>0.0620095533960735</v>
      </c>
      <c r="K2032" s="13" t="n">
        <f aca="false">Sens!$F$2032+(g_os-Sens!$F$2032)*4/4</f>
        <v>0.05</v>
      </c>
      <c r="L2032" s="13" t="n">
        <f aca="false">g_os</f>
        <v>0.05</v>
      </c>
      <c r="M2032" s="13" t="n">
        <f aca="false">g_os</f>
        <v>0.05</v>
      </c>
      <c r="P2032" s="8" t="s">
        <v>680</v>
      </c>
    </row>
    <row r="2033" customFormat="false" ht="17.15" hidden="false" customHeight="false" outlineLevel="0" collapsed="false">
      <c r="A2033" s="0" t="s">
        <v>527</v>
      </c>
      <c r="B2033" s="0" t="s">
        <v>86</v>
      </c>
      <c r="C2033" s="38" t="n">
        <f aca="false">Q!$D$11</f>
        <v>21.215</v>
      </c>
      <c r="D2033" s="38" t="n">
        <f aca="false">Q!$E$11</f>
        <v>22.561</v>
      </c>
      <c r="E2033" s="38" t="n">
        <f aca="false">Q!$P$11</f>
        <v>11.579</v>
      </c>
      <c r="F2033" s="38" t="n">
        <f aca="false">Sens!$O$2033*(1+Sens!$F$2034)*Sens!$F$2043</f>
        <v>11.5938724610325</v>
      </c>
      <c r="G2033" s="38" t="n">
        <f aca="false">Sens!$E$2033+Sens!$F$2033</f>
        <v>23.1728724610325</v>
      </c>
      <c r="H2033" s="38" t="n">
        <f aca="false">Sens!$G$2033*(1+Sens!$H$2034)</f>
        <v>24.353392759506</v>
      </c>
      <c r="I2033" s="38" t="n">
        <f aca="false">Sens!$H$2033*(1+Sens!$I$2034)</f>
        <v>25.4240338872015</v>
      </c>
      <c r="J2033" s="38" t="n">
        <f aca="false">Sens!$I$2033*(1+Sens!$J$2034)</f>
        <v>26.3642491017174</v>
      </c>
      <c r="K2033" s="38" t="n">
        <f aca="false">Sens!$J$2033*(1+Sens!$K$2034)</f>
        <v>27.155176574769</v>
      </c>
      <c r="L2033" s="38" t="n">
        <f aca="false">Sens!$K$2033*(1+Sens!$L$2034)</f>
        <v>27.969831872012</v>
      </c>
      <c r="M2033" s="38" t="n">
        <f aca="false">Sens!$L$2033*(1+Sens!$M$2034)</f>
        <v>28.8089268281724</v>
      </c>
      <c r="N2033" s="38" t="n">
        <f aca="false">Q!$N$11</f>
        <v>11.128</v>
      </c>
      <c r="O2033" s="38" t="n">
        <f aca="false">Q!$O$11</f>
        <v>11.433</v>
      </c>
      <c r="P2033" s="8" t="s">
        <v>678</v>
      </c>
    </row>
    <row r="2034" customFormat="false" ht="17.15" hidden="false" customHeight="false" outlineLevel="0" collapsed="false">
      <c r="A2034" s="0" t="s">
        <v>681</v>
      </c>
      <c r="B2034" s="0" t="s">
        <v>52</v>
      </c>
      <c r="E2034" s="13" t="n">
        <f aca="false">Sens!$E$2033/Sens!$N$2033-1</f>
        <v>0.0405283968368082</v>
      </c>
      <c r="F2034" s="13" t="n">
        <f aca="false">Sens!$O$2033/(Q!$F$11+Q!$G$11)-1</f>
        <v>0.0579254187100955</v>
      </c>
      <c r="G2034" s="13" t="n">
        <f aca="false">Sens!$G$2033/Sens!$D$2033-1</f>
        <v>0.0271208040881397</v>
      </c>
      <c r="H2034" s="13" t="n">
        <f aca="false">Sens!$F$2034+(g_ps-Sens!$F$2034)*1/4</f>
        <v>0.0509440640325716</v>
      </c>
      <c r="I2034" s="13" t="n">
        <f aca="false">Sens!$F$2034+(g_ps-Sens!$F$2034)*2/4</f>
        <v>0.0439627093550477</v>
      </c>
      <c r="J2034" s="13" t="n">
        <f aca="false">Sens!$F$2034+(g_ps-Sens!$F$2034)*3/4</f>
        <v>0.0369813546775239</v>
      </c>
      <c r="K2034" s="13" t="n">
        <f aca="false">Sens!$F$2034+(g_ps-Sens!$F$2034)*4/4</f>
        <v>0.03</v>
      </c>
      <c r="L2034" s="13" t="n">
        <f aca="false">g_ps</f>
        <v>0.03</v>
      </c>
      <c r="M2034" s="13" t="n">
        <f aca="false">g_ps</f>
        <v>0.03</v>
      </c>
      <c r="P2034" s="8" t="s">
        <v>682</v>
      </c>
    </row>
    <row r="2035" customFormat="false" ht="17.15" hidden="false" customHeight="false" outlineLevel="0" collapsed="false">
      <c r="A2035" s="0" t="s">
        <v>528</v>
      </c>
      <c r="B2035" s="0" t="s">
        <v>86</v>
      </c>
      <c r="C2035" s="38" t="n">
        <f aca="false">Q!$D$12</f>
        <v>156.146</v>
      </c>
      <c r="D2035" s="38" t="n">
        <f aca="false">Q!$E$12</f>
        <v>172.162</v>
      </c>
      <c r="E2035" s="38" t="n">
        <f aca="false">Q!$P$12</f>
        <v>88.358</v>
      </c>
      <c r="F2035" s="38" t="n">
        <f aca="false">Sens!$O$2035*(1+Sens!$F$2036)*Sens!$F$2043</f>
        <v>102.004388260171</v>
      </c>
      <c r="G2035" s="38" t="n">
        <f aca="false">Sens!$E$2035+Sens!$F$2035</f>
        <v>190.362388260171</v>
      </c>
      <c r="H2035" s="38" t="n">
        <f aca="false">Sens!$G$2035*(1+Sens!$H$2036)</f>
        <v>210.343106588311</v>
      </c>
      <c r="I2035" s="38" t="n">
        <f aca="false">Sens!$H$2035*(1+Sens!$I$2036)</f>
        <v>229.969728494648</v>
      </c>
      <c r="J2035" s="38" t="n">
        <f aca="false">Sens!$I$2035*(1+Sens!$J$2036)</f>
        <v>248.747636972598</v>
      </c>
      <c r="K2035" s="38" t="n">
        <f aca="false">Sens!$J$2035*(1+Sens!$K$2036)</f>
        <v>266.15997156068</v>
      </c>
      <c r="L2035" s="38" t="n">
        <f aca="false">Sens!$K$2035*(1+Sens!$L$2036)</f>
        <v>284.791169569927</v>
      </c>
      <c r="M2035" s="38" t="n">
        <f aca="false">Sens!$L$2035*(1+Sens!$M$2036)</f>
        <v>304.726551439822</v>
      </c>
      <c r="N2035" s="38" t="n">
        <f aca="false">Q!$N$12</f>
        <v>76.86</v>
      </c>
      <c r="O2035" s="38" t="n">
        <f aca="false">Q!$O$12</f>
        <v>95.302</v>
      </c>
      <c r="P2035" s="8" t="s">
        <v>678</v>
      </c>
    </row>
    <row r="2036" customFormat="false" ht="17.15" hidden="false" customHeight="false" outlineLevel="0" collapsed="false">
      <c r="A2036" s="0" t="s">
        <v>683</v>
      </c>
      <c r="B2036" s="0" t="s">
        <v>52</v>
      </c>
      <c r="E2036" s="13" t="n">
        <f aca="false">Sens!$E$2035/Sens!$N$2035-1</f>
        <v>0.1495966692688</v>
      </c>
      <c r="F2036" s="13" t="n">
        <f aca="false">Sens!$O$2035/(Q!$F$12+Q!$G$12)-1</f>
        <v>0.11661530890813</v>
      </c>
      <c r="G2036" s="13" t="n">
        <f aca="false">Sens!$G$2035/Sens!$D$2035-1</f>
        <v>0.105716640490767</v>
      </c>
      <c r="H2036" s="13" t="n">
        <f aca="false">Sens!$F$2036+(g_sp-Sens!$F$2036)*1/4</f>
        <v>0.104961481681098</v>
      </c>
      <c r="I2036" s="13" t="n">
        <f aca="false">Sens!$F$2036+(g_sp-Sens!$F$2036)*2/4</f>
        <v>0.0933076544540651</v>
      </c>
      <c r="J2036" s="13" t="n">
        <f aca="false">Sens!$F$2036+(g_sp-Sens!$F$2036)*3/4</f>
        <v>0.0816538272270325</v>
      </c>
      <c r="K2036" s="13" t="n">
        <f aca="false">Sens!$F$2036+(g_sp-Sens!$F$2036)*4/4</f>
        <v>0.07</v>
      </c>
      <c r="L2036" s="13" t="n">
        <f aca="false">g_sp</f>
        <v>0.07</v>
      </c>
      <c r="M2036" s="13" t="n">
        <f aca="false">g_sp</f>
        <v>0.07</v>
      </c>
      <c r="P2036" s="8" t="s">
        <v>684</v>
      </c>
    </row>
    <row r="2037" customFormat="false" ht="17.15" hidden="false" customHeight="false" outlineLevel="0" collapsed="false">
      <c r="A2037" s="0" t="s">
        <v>529</v>
      </c>
      <c r="B2037" s="0" t="s">
        <v>86</v>
      </c>
      <c r="C2037" s="38" t="n">
        <f aca="false">Q!$D$13</f>
        <v>56.214</v>
      </c>
      <c r="D2037" s="38" t="n">
        <f aca="false">Q!$E$13</f>
        <v>68.635</v>
      </c>
      <c r="E2037" s="38" t="n">
        <f aca="false">Q!$P$13</f>
        <v>37.052</v>
      </c>
      <c r="F2037" s="38" t="n">
        <f aca="false">Sens!$O$2037*(1+Sens!$F$2038)*Sens!$F$2043</f>
        <v>46.1572219944148</v>
      </c>
      <c r="G2037" s="38" t="n">
        <f aca="false">Sens!$E$2037+Sens!$F$2037</f>
        <v>83.2092219944148</v>
      </c>
      <c r="H2037" s="38" t="n">
        <f aca="false">Sens!$G$2037*(1+Sens!$H$2038)</f>
        <v>99.8969223878976</v>
      </c>
      <c r="I2037" s="38" t="n">
        <f aca="false">Sens!$H$2037*(1+Sens!$I$2038)</f>
        <v>116.583111095496</v>
      </c>
      <c r="J2037" s="38" t="n">
        <f aca="false">Sens!$I$2037*(1+Sens!$J$2038)</f>
        <v>132.148941941952</v>
      </c>
      <c r="K2037" s="38" t="n">
        <f aca="false">Sens!$J$2037*(1+Sens!$K$2038)</f>
        <v>145.363836136147</v>
      </c>
      <c r="L2037" s="38" t="n">
        <f aca="false">Sens!$K$2037*(1+Sens!$L$2038)</f>
        <v>159.900219749762</v>
      </c>
      <c r="M2037" s="38" t="n">
        <f aca="false">Sens!$L$2037*(1+Sens!$M$2038)</f>
        <v>175.890241724738</v>
      </c>
      <c r="N2037" s="38" t="n">
        <f aca="false">Q!$N$13</f>
        <v>29.615</v>
      </c>
      <c r="O2037" s="38" t="n">
        <f aca="false">Q!$O$13</f>
        <v>39.02</v>
      </c>
      <c r="P2037" s="8" t="s">
        <v>678</v>
      </c>
    </row>
    <row r="2038" customFormat="false" ht="17.15" hidden="false" customHeight="false" outlineLevel="0" collapsed="false">
      <c r="A2038" s="0" t="s">
        <v>685</v>
      </c>
      <c r="B2038" s="0" t="s">
        <v>52</v>
      </c>
      <c r="E2038" s="13" t="n">
        <f aca="false">Sens!$E$2037/Sens!$N$2037-1</f>
        <v>0.25112274185379</v>
      </c>
      <c r="F2038" s="13" t="n">
        <f aca="false">Sens!$O$2037/(Q!$F$13+Q!$G$13)-1</f>
        <v>0.234068123596572</v>
      </c>
      <c r="G2038" s="13" t="n">
        <f aca="false">Sens!$G$2037/Sens!$D$2037-1</f>
        <v>0.212343876949294</v>
      </c>
      <c r="H2038" s="13" t="n">
        <f aca="false">Sens!$F$2038+(g_ad-Sens!$F$2038)*1/4</f>
        <v>0.200551092697429</v>
      </c>
      <c r="I2038" s="13" t="n">
        <f aca="false">Sens!$F$2038+(g_ad-Sens!$F$2038)*2/4</f>
        <v>0.167034061798286</v>
      </c>
      <c r="J2038" s="13" t="n">
        <f aca="false">Sens!$F$2038+(g_ad-Sens!$F$2038)*3/4</f>
        <v>0.133517030899143</v>
      </c>
      <c r="K2038" s="13" t="n">
        <f aca="false">Sens!$F$2038+(g_ad-Sens!$F$2038)*4/4</f>
        <v>0.1</v>
      </c>
      <c r="L2038" s="13" t="n">
        <f aca="false">g_ad</f>
        <v>0.1</v>
      </c>
      <c r="M2038" s="13" t="n">
        <f aca="false">g_ad</f>
        <v>0.1</v>
      </c>
      <c r="P2038" s="8" t="s">
        <v>686</v>
      </c>
    </row>
    <row r="2039" customFormat="false" ht="17.15" hidden="false" customHeight="false" outlineLevel="0" collapsed="false">
      <c r="A2039" s="0" t="s">
        <v>530</v>
      </c>
      <c r="B2039" s="0" t="s">
        <v>86</v>
      </c>
      <c r="C2039" s="38" t="n">
        <f aca="false">Q!$D$14</f>
        <v>44.374</v>
      </c>
      <c r="D2039" s="38" t="n">
        <f aca="false">Q!$E$14</f>
        <v>49.619</v>
      </c>
      <c r="E2039" s="38" t="n">
        <f aca="false">Q!$P$14</f>
        <v>27.157</v>
      </c>
      <c r="F2039" s="38" t="n">
        <f aca="false">Sens!$O$2039*(1+Sens!$F$2040)*Sens!$F$2043</f>
        <v>27.7764165988154</v>
      </c>
      <c r="G2039" s="38" t="n">
        <f aca="false">Sens!$E$2039+Sens!$F$2039</f>
        <v>54.9334165988154</v>
      </c>
      <c r="H2039" s="38" t="n">
        <f aca="false">Sens!$G$2039*(1+Sens!$H$2040)</f>
        <v>61.1564112561829</v>
      </c>
      <c r="I2039" s="38" t="n">
        <f aca="false">Sens!$H$2039*(1+Sens!$I$2040)</f>
        <v>67.2020282103945</v>
      </c>
      <c r="J2039" s="38" t="n">
        <f aca="false">Sens!$I$2039*(1+Sens!$J$2040)</f>
        <v>72.8757274028885</v>
      </c>
      <c r="K2039" s="38" t="n">
        <f aca="false">Sens!$J$2039*(1+Sens!$K$2040)</f>
        <v>77.9770283210907</v>
      </c>
      <c r="L2039" s="38" t="n">
        <f aca="false">Sens!$K$2039*(1+Sens!$L$2040)</f>
        <v>83.4354203035671</v>
      </c>
      <c r="M2039" s="38" t="n">
        <f aca="false">Sens!$L$2039*(1+Sens!$M$2040)</f>
        <v>89.2758997248168</v>
      </c>
      <c r="N2039" s="38" t="n">
        <f aca="false">Q!$N$14</f>
        <v>23.923</v>
      </c>
      <c r="O2039" s="38" t="n">
        <f aca="false">Q!$O$14</f>
        <v>25.696</v>
      </c>
      <c r="P2039" s="8" t="s">
        <v>678</v>
      </c>
    </row>
    <row r="2040" customFormat="false" ht="17.15" hidden="false" customHeight="false" outlineLevel="0" collapsed="false">
      <c r="A2040" s="0" t="s">
        <v>687</v>
      </c>
      <c r="B2040" s="0" t="s">
        <v>52</v>
      </c>
      <c r="E2040" s="13" t="n">
        <f aca="false">Sens!$E$2039/Sens!$N$2039-1</f>
        <v>0.135183714417088</v>
      </c>
      <c r="F2040" s="13" t="n">
        <f aca="false">Sens!$O$2039/(Q!$F$14+Q!$G$14)-1</f>
        <v>0.127709997366804</v>
      </c>
      <c r="G2040" s="13" t="n">
        <f aca="false">Sens!$G$2039/Sens!$D$2039-1</f>
        <v>0.107104468022641</v>
      </c>
      <c r="H2040" s="13" t="n">
        <f aca="false">Sens!$F$2040+(g_sub-Sens!$F$2040)*1/4</f>
        <v>0.113282498025103</v>
      </c>
      <c r="I2040" s="13" t="n">
        <f aca="false">Sens!$F$2040+(g_sub-Sens!$F$2040)*2/4</f>
        <v>0.0988549986834021</v>
      </c>
      <c r="J2040" s="13" t="n">
        <f aca="false">Sens!$F$2040+(g_sub-Sens!$F$2040)*3/4</f>
        <v>0.084427499341701</v>
      </c>
      <c r="K2040" s="13" t="n">
        <f aca="false">Sens!$F$2040+(g_sub-Sens!$F$2040)*4/4</f>
        <v>0.07</v>
      </c>
      <c r="L2040" s="13" t="n">
        <f aca="false">g_sub</f>
        <v>0.07</v>
      </c>
      <c r="M2040" s="13" t="n">
        <f aca="false">g_sub</f>
        <v>0.07</v>
      </c>
      <c r="P2040" s="8" t="s">
        <v>688</v>
      </c>
    </row>
    <row r="2041" customFormat="false" ht="17.15" hidden="false" customHeight="false" outlineLevel="0" collapsed="false">
      <c r="A2041" s="0" t="s">
        <v>531</v>
      </c>
      <c r="B2041" s="0" t="s">
        <v>86</v>
      </c>
      <c r="C2041" s="38" t="n">
        <f aca="false">Q!$D$15</f>
        <v>5.425</v>
      </c>
      <c r="D2041" s="38" t="n">
        <f aca="false">Q!$E$15</f>
        <v>5.935</v>
      </c>
      <c r="E2041" s="38" t="n">
        <f aca="false">Q!$P$15</f>
        <v>3.474</v>
      </c>
      <c r="F2041" s="38" t="n">
        <f aca="false">Sens!$O$2041*(1+Sens!$F$2042)*Sens!$F$2043</f>
        <v>3.22246550883619</v>
      </c>
      <c r="G2041" s="38" t="n">
        <f aca="false">Sens!$E$2041+Sens!$F$2041</f>
        <v>6.69646550883619</v>
      </c>
      <c r="H2041" s="38" t="n">
        <f aca="false">Sens!$G$2041*(1+Sens!$H$2042)</f>
        <v>7.16251344209196</v>
      </c>
      <c r="I2041" s="38" t="n">
        <f aca="false">Sens!$H$2041*(1+Sens!$I$2042)</f>
        <v>7.61421070299826</v>
      </c>
      <c r="J2041" s="38" t="n">
        <f aca="false">Sens!$I$2041*(1+Sens!$J$2042)</f>
        <v>8.04465753523932</v>
      </c>
      <c r="K2041" s="38" t="n">
        <f aca="false">Sens!$J$2041*(1+Sens!$K$2042)</f>
        <v>8.44689041200128</v>
      </c>
      <c r="L2041" s="38" t="n">
        <f aca="false">Sens!$K$2041*(1+Sens!$L$2042)</f>
        <v>8.86923493260135</v>
      </c>
      <c r="M2041" s="38" t="n">
        <f aca="false">Sens!$L$2041*(1+Sens!$M$2042)</f>
        <v>9.31269667923142</v>
      </c>
      <c r="N2041" s="38" t="n">
        <f aca="false">Q!$N$15</f>
        <v>2.811</v>
      </c>
      <c r="O2041" s="38" t="n">
        <f aca="false">Q!$O$15</f>
        <v>3.124</v>
      </c>
      <c r="P2041" s="8" t="s">
        <v>678</v>
      </c>
    </row>
    <row r="2042" customFormat="false" ht="17.15" hidden="false" customHeight="false" outlineLevel="0" collapsed="false">
      <c r="A2042" s="0" t="s">
        <v>689</v>
      </c>
      <c r="B2042" s="0" t="s">
        <v>52</v>
      </c>
      <c r="E2042" s="13" t="n">
        <f aca="false">Sens!$E$2041/Sens!$N$2041-1</f>
        <v>0.235859124866596</v>
      </c>
      <c r="F2042" s="13" t="n">
        <f aca="false">Sens!$O$2041/(Q!$F$15+Q!$G$15)-1</f>
        <v>0.0761281433000345</v>
      </c>
      <c r="G2042" s="13" t="n">
        <f aca="false">Sens!$G$2041/Sens!$D$2041-1</f>
        <v>0.128300843948811</v>
      </c>
      <c r="H2042" s="13" t="n">
        <f aca="false">Sens!$F$2042+(g_ot-Sens!$F$2042)*1/4</f>
        <v>0.0695961074750259</v>
      </c>
      <c r="I2042" s="13" t="n">
        <f aca="false">Sens!$F$2042+(g_ot-Sens!$F$2042)*2/4</f>
        <v>0.0630640716500172</v>
      </c>
      <c r="J2042" s="13" t="n">
        <f aca="false">Sens!$F$2042+(g_ot-Sens!$F$2042)*3/4</f>
        <v>0.0565320358250086</v>
      </c>
      <c r="K2042" s="13" t="n">
        <f aca="false">Sens!$F$2042+(g_ot-Sens!$F$2042)*4/4</f>
        <v>0.05</v>
      </c>
      <c r="L2042" s="13" t="n">
        <f aca="false">g_ot</f>
        <v>0.05</v>
      </c>
      <c r="M2042" s="13" t="n">
        <f aca="false">g_ot</f>
        <v>0.05</v>
      </c>
      <c r="P2042" s="8" t="s">
        <v>690</v>
      </c>
    </row>
    <row r="2043" customFormat="false" ht="17.15" hidden="false" customHeight="false" outlineLevel="0" collapsed="false">
      <c r="A2043" s="0" t="s">
        <v>691</v>
      </c>
      <c r="B2043" s="0" t="s">
        <v>57</v>
      </c>
      <c r="F2043" s="40" t="n">
        <f aca="false">(g26q3_mid*Q!$O$8/Q!$J$8-Thesis!$F$89-Thesis!$F$93)/(Sens!$O$2031*(1+Sens!$F$2032)+Sens!$O$2033*(1+Sens!$F$2034)+Sens!$O$2035*(1+Sens!$F$2036)+Sens!$O$2037*(1+Sens!$F$2038)+Sens!$O$2039*(1+Sens!$F$2040)+Sens!$O$2041*(1+Sens!$F$2042))</f>
        <v>0.958546670622329</v>
      </c>
      <c r="P2043" s="8" t="s">
        <v>692</v>
      </c>
    </row>
    <row r="2044" customFormat="false" ht="17.15" hidden="false" customHeight="false" outlineLevel="0" collapsed="false">
      <c r="A2044" s="3" t="s">
        <v>693</v>
      </c>
      <c r="B2044" s="8" t="s">
        <v>86</v>
      </c>
      <c r="C2044" s="38" t="n">
        <f aca="false">Sens!$C$2031+Sens!$C$2033+Sens!$C$2035+Sens!$C$2037+Sens!$C$2039+Sens!$C$2041</f>
        <v>530.403</v>
      </c>
      <c r="D2044" s="38" t="n">
        <f aca="false">Sens!$D$2031+Sens!$D$2033+Sens!$D$2035+Sens!$D$2037+Sens!$D$2039+Sens!$D$2041</f>
        <v>588.199</v>
      </c>
      <c r="E2044" s="38" t="n">
        <f aca="false">Sens!$E$2031+Sens!$E$2033+Sens!$E$2035+Sens!$E$2037+Sens!$E$2039+Sens!$E$2041</f>
        <v>302.306</v>
      </c>
      <c r="F2044" s="38" t="n">
        <f aca="false">Sens!$F$2031+Sens!$F$2033+Sens!$F$2035+Sens!$F$2037+Sens!$F$2039+Sens!$F$2041</f>
        <v>349.048241645537</v>
      </c>
      <c r="G2044" s="38" t="n">
        <f aca="false">Sens!$G$2031+Sens!$G$2033+Sens!$G$2035+Sens!$G$2037+Sens!$G$2039+Sens!$G$2041</f>
        <v>651.354241645537</v>
      </c>
      <c r="H2044" s="38" t="n">
        <f aca="false">Sens!$H$2031+Sens!$H$2033+Sens!$H$2035+Sens!$H$2037+Sens!$H$2039+Sens!$H$2041</f>
        <v>721.096889521386</v>
      </c>
      <c r="I2044" s="38" t="n">
        <f aca="false">Sens!$I$2031+Sens!$I$2033+Sens!$I$2035+Sens!$I$2037+Sens!$I$2039+Sens!$I$2041</f>
        <v>788.529391152531</v>
      </c>
      <c r="J2044" s="38" t="n">
        <f aca="false">Sens!$J$2031+Sens!$J$2033+Sens!$J$2035+Sens!$J$2037+Sens!$J$2039+Sens!$J$2041</f>
        <v>851.108405741443</v>
      </c>
      <c r="K2044" s="38" t="n">
        <f aca="false">Sens!$K$2031+Sens!$K$2033+Sens!$K$2035+Sens!$K$2037+Sens!$K$2039+Sens!$K$2041</f>
        <v>906.176455431088</v>
      </c>
      <c r="L2044" s="38" t="n">
        <f aca="false">Sens!$L$2031+Sens!$L$2033+Sens!$L$2035+Sens!$L$2037+Sens!$L$2039+Sens!$L$2041</f>
        <v>965.093106475589</v>
      </c>
      <c r="M2044" s="38" t="n">
        <f aca="false">Sens!$M$2031+Sens!$M$2033+Sens!$M$2035+Sens!$M$2037+Sens!$M$2039+Sens!$M$2041</f>
        <v>1028.14790794689</v>
      </c>
      <c r="N2044" s="38" t="n">
        <f aca="false">Sens!$N$2031+Sens!$N$2033+Sens!$N$2035+Sens!$N$2037+Sens!$N$2039+Sens!$N$2041</f>
        <v>263.229</v>
      </c>
      <c r="O2044" s="38" t="n">
        <f aca="false">Sens!$O$2031+Sens!$O$2033+Sens!$O$2035+Sens!$O$2037+Sens!$O$2039+Sens!$O$2041</f>
        <v>324.97</v>
      </c>
    </row>
    <row r="2045" customFormat="false" ht="17.15" hidden="false" customHeight="false" outlineLevel="0" collapsed="false">
      <c r="A2045" s="5" t="s">
        <v>694</v>
      </c>
      <c r="B2045" s="0" t="s">
        <v>52</v>
      </c>
      <c r="C2045" s="13" t="n">
        <f aca="false">Q!$D$5/(Q!$D$5+Q!$D$6)</f>
        <v>0.730570905519011</v>
      </c>
      <c r="D2045" s="13" t="n">
        <f aca="false">Q!$E$5/(Q!$E$5+Q!$E$6)</f>
        <v>0.724763217890544</v>
      </c>
      <c r="E2045" s="13" t="n">
        <f aca="false">Q!$P$5/(Q!$P$5+Q!$P$6)</f>
        <v>0.728797972914861</v>
      </c>
      <c r="F2045" s="13" t="n">
        <f aca="false">Sens!$O$2045</f>
        <v>0.718066283041511</v>
      </c>
      <c r="G2045" s="13" t="n">
        <f aca="false">Sens!$G$2046/Sens!$G$2044</f>
        <v>0.723047066202847</v>
      </c>
      <c r="H2045" s="13" t="n">
        <f aca="false">Sens!$G$2045</f>
        <v>0.723047066202847</v>
      </c>
      <c r="I2045" s="13" t="n">
        <f aca="false">Sens!$G$2045</f>
        <v>0.723047066202847</v>
      </c>
      <c r="J2045" s="13" t="n">
        <f aca="false">Sens!$G$2045</f>
        <v>0.723047066202847</v>
      </c>
      <c r="K2045" s="13" t="n">
        <f aca="false">Sens!$G$2045</f>
        <v>0.723047066202847</v>
      </c>
      <c r="L2045" s="13" t="n">
        <f aca="false">Sens!$G$2045</f>
        <v>0.723047066202847</v>
      </c>
      <c r="M2045" s="13" t="n">
        <f aca="false">Sens!$G$2045</f>
        <v>0.723047066202847</v>
      </c>
      <c r="N2045" s="13" t="n">
        <f aca="false">Q!$N$5/(Q!$N$5+Q!$N$6)</f>
        <v>0.733030935041352</v>
      </c>
      <c r="O2045" s="13" t="n">
        <f aca="false">Q!$O$5/(Q!$O$5+Q!$O$6)</f>
        <v>0.718066283041511</v>
      </c>
      <c r="P2045" s="8" t="s">
        <v>695</v>
      </c>
    </row>
    <row r="2046" customFormat="false" ht="17.15" hidden="false" customHeight="false" outlineLevel="0" collapsed="false">
      <c r="A2046" s="1" t="s">
        <v>519</v>
      </c>
      <c r="B2046" s="8" t="s">
        <v>86</v>
      </c>
      <c r="C2046" s="38" t="n">
        <f aca="false">Q!$D$5</f>
        <v>387.497</v>
      </c>
      <c r="D2046" s="38" t="n">
        <f aca="false">Q!$E$5</f>
        <v>426.305</v>
      </c>
      <c r="E2046" s="38" t="n">
        <f aca="false">Q!$P$5</f>
        <v>220.32</v>
      </c>
      <c r="F2046" s="38" t="n">
        <f aca="false">Sens!$F$2044*Sens!$F$2045</f>
        <v>250.639773480586</v>
      </c>
      <c r="G2046" s="38" t="n">
        <f aca="false">Sens!$E$2046+Sens!$F$2046</f>
        <v>470.959773480586</v>
      </c>
      <c r="H2046" s="38" t="n">
        <f aca="false">Sens!$H$2044*Sens!$H$2045</f>
        <v>521.386990416437</v>
      </c>
      <c r="I2046" s="38" t="n">
        <f aca="false">Sens!$I$2044*Sens!$I$2045</f>
        <v>570.143862887555</v>
      </c>
      <c r="J2046" s="38" t="n">
        <f aca="false">Sens!$J$2044*Sens!$J$2045</f>
        <v>615.391435791933</v>
      </c>
      <c r="K2046" s="38" t="n">
        <f aca="false">Sens!$K$2044*Sens!$K$2045</f>
        <v>655.208227561543</v>
      </c>
      <c r="L2046" s="38" t="n">
        <f aca="false">Sens!$L$2044*Sens!$L$2045</f>
        <v>697.807739249767</v>
      </c>
      <c r="M2046" s="38" t="n">
        <f aca="false">Sens!$M$2044*Sens!$M$2045</f>
        <v>743.399328463592</v>
      </c>
      <c r="N2046" s="38" t="n">
        <f aca="false">Q!$N$5</f>
        <v>192.955</v>
      </c>
      <c r="O2046" s="38" t="n">
        <f aca="false">Q!$O$5</f>
        <v>233.35</v>
      </c>
      <c r="P2046" s="5" t="s">
        <v>696</v>
      </c>
    </row>
    <row r="2047" customFormat="false" ht="17.15" hidden="false" customHeight="false" outlineLevel="0" collapsed="false">
      <c r="A2047" s="1" t="s">
        <v>522</v>
      </c>
      <c r="B2047" s="8" t="s">
        <v>86</v>
      </c>
      <c r="C2047" s="38" t="n">
        <f aca="false">Q!$D$6</f>
        <v>142.906</v>
      </c>
      <c r="D2047" s="38" t="n">
        <f aca="false">Q!$E$6</f>
        <v>161.894</v>
      </c>
      <c r="E2047" s="38" t="n">
        <f aca="false">Q!$P$6</f>
        <v>81.986</v>
      </c>
      <c r="F2047" s="38" t="n">
        <f aca="false">Sens!$F$2044*(1-Sens!$F$2045)</f>
        <v>98.408468164951</v>
      </c>
      <c r="G2047" s="38" t="n">
        <f aca="false">Sens!$E$2047+Sens!$F$2047</f>
        <v>180.394468164951</v>
      </c>
      <c r="H2047" s="38" t="n">
        <f aca="false">Sens!$H$2044*(1-Sens!$H$2045)</f>
        <v>199.709899104949</v>
      </c>
      <c r="I2047" s="38" t="n">
        <f aca="false">Sens!$I$2044*(1-Sens!$I$2045)</f>
        <v>218.385528264976</v>
      </c>
      <c r="J2047" s="38" t="n">
        <f aca="false">Sens!$J$2044*(1-Sens!$J$2045)</f>
        <v>235.71696994951</v>
      </c>
      <c r="K2047" s="38" t="n">
        <f aca="false">Sens!$K$2044*(1-Sens!$K$2045)</f>
        <v>250.968227869545</v>
      </c>
      <c r="L2047" s="38" t="n">
        <f aca="false">Sens!$L$2044*(1-Sens!$L$2045)</f>
        <v>267.285367225822</v>
      </c>
      <c r="M2047" s="38" t="n">
        <f aca="false">Sens!$M$2044*(1-Sens!$M$2045)</f>
        <v>284.748579483295</v>
      </c>
      <c r="N2047" s="38" t="n">
        <f aca="false">Q!$N$6</f>
        <v>70.274</v>
      </c>
      <c r="O2047" s="38" t="n">
        <f aca="false">Q!$O$6</f>
        <v>91.62</v>
      </c>
      <c r="P2047" s="5" t="s">
        <v>697</v>
      </c>
    </row>
    <row r="2048" customFormat="false" ht="17.15" hidden="false" customHeight="false" outlineLevel="0" collapsed="false">
      <c r="A2048" s="5" t="s">
        <v>698</v>
      </c>
      <c r="B2048" s="0" t="s">
        <v>86</v>
      </c>
      <c r="C2048" s="38" t="n">
        <f aca="false">Sens!$C$2037*Sens!$C$2045</f>
        <v>41.0683128828457</v>
      </c>
      <c r="D2048" s="38" t="n">
        <f aca="false">Sens!$D$2037*Sens!$D$2045</f>
        <v>49.7441234599175</v>
      </c>
      <c r="E2048" s="38" t="n">
        <f aca="false">Sens!$E$2037*Sens!$E$2045</f>
        <v>27.0034224924414</v>
      </c>
      <c r="F2048" s="38" t="n">
        <f aca="false">Sens!$F$2037*Sens!$F$2045</f>
        <v>33.1439448330513</v>
      </c>
      <c r="G2048" s="38" t="n">
        <f aca="false">Sens!$G$2037*Sens!$G$2045</f>
        <v>60.164183844083</v>
      </c>
      <c r="H2048" s="38" t="n">
        <f aca="false">Sens!$H$2037*Sens!$H$2045</f>
        <v>72.2301766552629</v>
      </c>
      <c r="I2048" s="38" t="n">
        <f aca="false">Sens!$I$2037*Sens!$I$2045</f>
        <v>84.2950764463991</v>
      </c>
      <c r="J2048" s="38" t="n">
        <f aca="false">Sens!$J$2037*Sens!$J$2045</f>
        <v>95.5499047729386</v>
      </c>
      <c r="K2048" s="38" t="n">
        <f aca="false">Sens!$K$2037*Sens!$K$2045</f>
        <v>105.104895250232</v>
      </c>
      <c r="L2048" s="38" t="n">
        <f aca="false">Sens!$L$2037*Sens!$L$2045</f>
        <v>115.615384775256</v>
      </c>
      <c r="M2048" s="38" t="n">
        <f aca="false">Sens!$M$2037*Sens!$M$2045</f>
        <v>127.176923252781</v>
      </c>
      <c r="N2048" s="38" t="n">
        <f aca="false">Sens!$N$2037*Sens!$N$2045</f>
        <v>21.7087111412496</v>
      </c>
      <c r="O2048" s="38" t="n">
        <f aca="false">Sens!$O$2037*Sens!$O$2045</f>
        <v>28.0189463642798</v>
      </c>
      <c r="P2048" s="5" t="s">
        <v>699</v>
      </c>
    </row>
    <row r="2049" customFormat="false" ht="15" hidden="false" customHeight="false" outlineLevel="0" collapsed="false">
      <c r="A2049" s="5" t="s">
        <v>700</v>
      </c>
      <c r="B2049" s="0" t="s">
        <v>86</v>
      </c>
      <c r="C2049" s="38" t="n">
        <f aca="false">Sens!$C$2037-Sens!$C$2048</f>
        <v>15.1456871171543</v>
      </c>
      <c r="D2049" s="38" t="n">
        <f aca="false">Sens!$D$2037-Sens!$D$2048</f>
        <v>18.8908765400825</v>
      </c>
      <c r="E2049" s="38" t="n">
        <f aca="false">Sens!$E$2037-Sens!$E$2048</f>
        <v>10.0485775075586</v>
      </c>
      <c r="F2049" s="38" t="n">
        <f aca="false">Sens!$F$2037-Sens!$F$2048</f>
        <v>13.0132771613635</v>
      </c>
      <c r="G2049" s="38" t="n">
        <f aca="false">Sens!$G$2037-Sens!$G$2048</f>
        <v>23.0450381503318</v>
      </c>
      <c r="H2049" s="38" t="n">
        <f aca="false">Sens!$H$2037-Sens!$H$2048</f>
        <v>27.6667457326347</v>
      </c>
      <c r="I2049" s="38" t="n">
        <f aca="false">Sens!$I$2037-Sens!$I$2048</f>
        <v>32.2880346490971</v>
      </c>
      <c r="J2049" s="38" t="n">
        <f aca="false">Sens!$J$2037-Sens!$J$2048</f>
        <v>36.5990371690132</v>
      </c>
      <c r="K2049" s="38" t="n">
        <f aca="false">Sens!$K$2037-Sens!$K$2048</f>
        <v>40.2589408859145</v>
      </c>
      <c r="L2049" s="38" t="n">
        <f aca="false">Sens!$L$2037-Sens!$L$2048</f>
        <v>44.2848349745059</v>
      </c>
      <c r="M2049" s="38" t="n">
        <f aca="false">Sens!$M$2037-Sens!$M$2048</f>
        <v>48.7133184719565</v>
      </c>
      <c r="N2049" s="38" t="n">
        <f aca="false">Sens!$N$2037-Sens!$N$2048</f>
        <v>7.90628885875037</v>
      </c>
      <c r="O2049" s="38" t="n">
        <f aca="false">Sens!$O$2037-Sens!$O$2048</f>
        <v>11.0010536357202</v>
      </c>
    </row>
    <row r="2050" customFormat="false" ht="19.4" hidden="false" customHeight="false" outlineLevel="0" collapsed="false">
      <c r="A2050" s="31" t="s">
        <v>1193</v>
      </c>
    </row>
    <row r="2051" customFormat="false" ht="17.15" hidden="false" customHeight="false" outlineLevel="0" collapsed="false">
      <c r="A2051" s="6" t="s">
        <v>16</v>
      </c>
      <c r="B2051" s="6" t="s">
        <v>17</v>
      </c>
      <c r="C2051" s="20" t="s">
        <v>504</v>
      </c>
      <c r="D2051" s="20" t="s">
        <v>505</v>
      </c>
      <c r="E2051" s="20" t="s">
        <v>587</v>
      </c>
      <c r="F2051" s="20" t="s">
        <v>588</v>
      </c>
      <c r="G2051" s="20" t="s">
        <v>589</v>
      </c>
      <c r="H2051" s="20" t="s">
        <v>590</v>
      </c>
      <c r="I2051" s="20" t="s">
        <v>591</v>
      </c>
      <c r="J2051" s="20" t="s">
        <v>592</v>
      </c>
      <c r="K2051" s="20" t="s">
        <v>593</v>
      </c>
      <c r="L2051" s="20" t="s">
        <v>594</v>
      </c>
      <c r="M2051" s="20" t="s">
        <v>595</v>
      </c>
      <c r="N2051" s="20" t="s">
        <v>596</v>
      </c>
      <c r="O2051" s="20" t="s">
        <v>597</v>
      </c>
      <c r="P2051" s="6" t="s">
        <v>23</v>
      </c>
      <c r="R2051" s="20" t="n">
        <v>2023</v>
      </c>
      <c r="S2051" s="20" t="n">
        <v>2024</v>
      </c>
      <c r="T2051" s="20" t="n">
        <v>2025</v>
      </c>
      <c r="U2051" s="20" t="n">
        <v>2026</v>
      </c>
      <c r="V2051" s="20" t="n">
        <v>2027</v>
      </c>
      <c r="W2051" s="20" t="n">
        <v>2028</v>
      </c>
      <c r="X2051" s="20" t="n">
        <v>2029</v>
      </c>
      <c r="Y2051" s="20" t="n">
        <v>2030</v>
      </c>
      <c r="Z2051" s="20" t="n">
        <v>2031</v>
      </c>
      <c r="AA2051" s="20" t="n">
        <v>2032</v>
      </c>
    </row>
    <row r="2052" customFormat="false" ht="17.15" hidden="false" customHeight="false" outlineLevel="0" collapsed="false">
      <c r="A2052" s="1" t="s">
        <v>598</v>
      </c>
    </row>
    <row r="2053" customFormat="false" ht="17.15" hidden="false" customHeight="false" outlineLevel="0" collapsed="false">
      <c r="A2053" s="5" t="s">
        <v>599</v>
      </c>
      <c r="B2053" s="0" t="s">
        <v>144</v>
      </c>
      <c r="H2053" s="32" t="n">
        <f aca="false">pace_B</f>
        <v>3634.3</v>
      </c>
      <c r="I2053" s="32" t="n">
        <f aca="false">pace_B</f>
        <v>3634.3</v>
      </c>
      <c r="J2053" s="32" t="n">
        <f aca="false">pace_B</f>
        <v>3634.3</v>
      </c>
      <c r="K2053" s="32" t="n">
        <f aca="false">pace_B+(Sens!$J$2054*tg-pace_B)*1/3</f>
        <v>2570.86716666667</v>
      </c>
      <c r="L2053" s="32" t="n">
        <f aca="false">pace_B+(Sens!$J$2054*tg-pace_B)*2/3</f>
        <v>1507.43433333333</v>
      </c>
      <c r="M2053" s="32" t="n">
        <f aca="false">pace_B+(Sens!$J$2054*tg-pace_B)*3/3</f>
        <v>444.0015</v>
      </c>
      <c r="P2053" s="5" t="s">
        <v>600</v>
      </c>
    </row>
    <row r="2054" customFormat="false" ht="17.15" hidden="false" customHeight="false" outlineLevel="0" collapsed="false">
      <c r="A2054" s="15" t="s">
        <v>601</v>
      </c>
      <c r="B2054" s="14" t="s">
        <v>129</v>
      </c>
      <c r="C2054" s="33" t="n">
        <f aca="false">mw_ye24</f>
        <v>360</v>
      </c>
      <c r="D2054" s="33" t="n">
        <f aca="false">mw_ye25</f>
        <v>1440</v>
      </c>
      <c r="E2054" s="33" t="n">
        <f aca="false">mw_open</f>
        <v>2080</v>
      </c>
      <c r="F2054" s="33" t="n">
        <f aca="false">Sens!$E$2054+pace_B*0.5</f>
        <v>3897.15</v>
      </c>
      <c r="G2054" s="33" t="n">
        <f aca="false">Sens!$F$2054</f>
        <v>3897.15</v>
      </c>
      <c r="H2054" s="33" t="n">
        <f aca="false">Sens!$G$2054+Sens!$H$2053</f>
        <v>7531.45</v>
      </c>
      <c r="I2054" s="33" t="n">
        <f aca="false">Sens!$H$2054+Sens!$I$2053</f>
        <v>11165.75</v>
      </c>
      <c r="J2054" s="33" t="n">
        <f aca="false">Sens!$I$2054+Sens!$J$2053</f>
        <v>14800.05</v>
      </c>
      <c r="K2054" s="33" t="n">
        <f aca="false">Sens!$J$2054+Sens!$K$2053</f>
        <v>17370.9171666667</v>
      </c>
      <c r="L2054" s="33" t="n">
        <f aca="false">Sens!$K$2054+Sens!$L$2053</f>
        <v>18878.3515</v>
      </c>
      <c r="M2054" s="33" t="n">
        <f aca="false">Sens!$L$2054+Sens!$M$2053</f>
        <v>19322.353</v>
      </c>
      <c r="N2054" s="33" t="n">
        <f aca="false">(mw_ye24+mw_ye25)/2</f>
        <v>900</v>
      </c>
      <c r="O2054" s="33" t="n">
        <f aca="false">mw_ye25</f>
        <v>1440</v>
      </c>
      <c r="P2054" s="5" t="s">
        <v>602</v>
      </c>
    </row>
    <row r="2055" customFormat="false" ht="17.15" hidden="false" customHeight="false" outlineLevel="0" collapsed="false">
      <c r="A2055" s="5" t="s">
        <v>603</v>
      </c>
      <c r="B2055" s="0" t="s">
        <v>129</v>
      </c>
      <c r="C2055" s="32" t="n">
        <f aca="false">(mw_ye23+mw_ye24)/2</f>
        <v>240</v>
      </c>
      <c r="D2055" s="32" t="n">
        <f aca="false">(Sens!$C$2054+Sens!$D$2054)/2</f>
        <v>900</v>
      </c>
      <c r="E2055" s="32" t="n">
        <f aca="false">(Sens!$D$2054+Sens!$E$2054)/2</f>
        <v>1760</v>
      </c>
      <c r="F2055" s="32" t="n">
        <f aca="false">(Sens!$E$2054+Sens!$F$2054)/2</f>
        <v>2988.575</v>
      </c>
      <c r="G2055" s="32" t="n">
        <f aca="false">(Sens!$E$2055+Sens!$F$2055)/2</f>
        <v>2374.2875</v>
      </c>
      <c r="H2055" s="32" t="n">
        <f aca="false">(Sens!$G$2054+Sens!$H$2054)/2</f>
        <v>5714.3</v>
      </c>
      <c r="I2055" s="32" t="n">
        <f aca="false">(Sens!$H$2054+Sens!$I$2054)/2</f>
        <v>9348.6</v>
      </c>
      <c r="J2055" s="32" t="n">
        <f aca="false">(Sens!$I$2054+Sens!$J$2054)/2</f>
        <v>12982.9</v>
      </c>
      <c r="K2055" s="32" t="n">
        <f aca="false">(Sens!$J$2054+Sens!$K$2054)/2</f>
        <v>16085.4835833333</v>
      </c>
      <c r="L2055" s="32" t="n">
        <f aca="false">(Sens!$K$2054+Sens!$L$2054)/2</f>
        <v>18124.6343333333</v>
      </c>
      <c r="M2055" s="32" t="n">
        <f aca="false">(Sens!$L$2054+Sens!$M$2054)/2</f>
        <v>19100.35225</v>
      </c>
      <c r="N2055" s="32" t="n">
        <f aca="false">(Sens!$C$2054+Sens!$N$2054)/2</f>
        <v>630</v>
      </c>
      <c r="O2055" s="32" t="n">
        <f aca="false">(Sens!$N$2054+Sens!$O$2054)/2</f>
        <v>1170</v>
      </c>
    </row>
    <row r="2056" customFormat="false" ht="15" hidden="false" customHeight="false" outlineLevel="0" collapsed="false">
      <c r="A2056" s="5" t="s">
        <v>604</v>
      </c>
      <c r="B2056" s="5" t="s">
        <v>123</v>
      </c>
      <c r="C2056" s="34" t="n">
        <v>1</v>
      </c>
      <c r="D2056" s="34" t="n">
        <v>1</v>
      </c>
      <c r="E2056" s="34" t="n">
        <v>0.5</v>
      </c>
      <c r="F2056" s="34" t="n">
        <v>0.5</v>
      </c>
      <c r="G2056" s="34" t="n">
        <v>1</v>
      </c>
      <c r="H2056" s="34" t="n">
        <v>1</v>
      </c>
      <c r="I2056" s="34" t="n">
        <v>1</v>
      </c>
      <c r="J2056" s="34" t="n">
        <v>1</v>
      </c>
      <c r="K2056" s="34" t="n">
        <v>1</v>
      </c>
      <c r="L2056" s="34" t="n">
        <v>1</v>
      </c>
      <c r="M2056" s="34" t="n">
        <v>1</v>
      </c>
      <c r="N2056" s="34" t="n">
        <v>0.5</v>
      </c>
      <c r="O2056" s="34" t="n">
        <v>0.5</v>
      </c>
    </row>
    <row r="2057" customFormat="false" ht="17.15" hidden="false" customHeight="false" outlineLevel="0" collapsed="false">
      <c r="A2057" s="5" t="s">
        <v>605</v>
      </c>
      <c r="B2057" s="0" t="s">
        <v>129</v>
      </c>
      <c r="C2057" s="32" t="n">
        <f aca="false">Sens!$C$2054-mw_ye23</f>
        <v>240</v>
      </c>
      <c r="D2057" s="32" t="n">
        <f aca="false">Sens!$D$2054-Sens!$C$2054</f>
        <v>1080</v>
      </c>
      <c r="E2057" s="32" t="n">
        <f aca="false">Sens!$E$2054-Sens!$D$2054</f>
        <v>640</v>
      </c>
      <c r="F2057" s="32" t="n">
        <f aca="false">Sens!$F$2054-Sens!$E$2054</f>
        <v>1817.15</v>
      </c>
      <c r="G2057" s="32" t="n">
        <f aca="false">Sens!$E$2057+Sens!$F$2057</f>
        <v>2457.15</v>
      </c>
      <c r="H2057" s="32" t="n">
        <f aca="false">Sens!$H$2054-Sens!$G$2054</f>
        <v>3634.3</v>
      </c>
      <c r="I2057" s="32" t="n">
        <f aca="false">Sens!$I$2054-Sens!$H$2054</f>
        <v>3634.3</v>
      </c>
      <c r="J2057" s="32" t="n">
        <f aca="false">Sens!$J$2054-Sens!$I$2054</f>
        <v>3634.3</v>
      </c>
      <c r="K2057" s="32" t="n">
        <f aca="false">Sens!$K$2054-Sens!$J$2054</f>
        <v>2570.86716666667</v>
      </c>
      <c r="L2057" s="32" t="n">
        <f aca="false">Sens!$L$2054-Sens!$K$2054</f>
        <v>1507.43433333333</v>
      </c>
      <c r="M2057" s="32" t="n">
        <f aca="false">Sens!$M$2054-Sens!$L$2054</f>
        <v>444.001499999999</v>
      </c>
      <c r="N2057" s="32" t="n">
        <f aca="false">Sens!$N$2054-Sens!$C$2054</f>
        <v>540</v>
      </c>
      <c r="O2057" s="32" t="n">
        <f aca="false">Sens!$O$2054-Sens!$N$2054</f>
        <v>540</v>
      </c>
    </row>
    <row r="2058" customFormat="false" ht="17.15" hidden="false" customHeight="false" outlineLevel="0" collapsed="false">
      <c r="A2058" s="5" t="s">
        <v>606</v>
      </c>
      <c r="B2058" s="0" t="s">
        <v>129</v>
      </c>
      <c r="C2058" s="32" t="n">
        <f aca="false">Sens!$C$2057/ext_sh</f>
        <v>300</v>
      </c>
      <c r="D2058" s="32" t="n">
        <f aca="false">Sens!$D$2057/ext_sh</f>
        <v>1350</v>
      </c>
      <c r="E2058" s="32" t="n">
        <f aca="false">Sens!$E$2057/ext_sh</f>
        <v>800</v>
      </c>
      <c r="F2058" s="32" t="n">
        <f aca="false">Sens!$F$2057/ext_sh</f>
        <v>2271.4375</v>
      </c>
      <c r="G2058" s="32" t="n">
        <f aca="false">Sens!$G$2057/ext_sh</f>
        <v>3071.4375</v>
      </c>
      <c r="H2058" s="32" t="n">
        <f aca="false">Sens!$H$2057/ext_sh</f>
        <v>4542.875</v>
      </c>
      <c r="I2058" s="32" t="n">
        <f aca="false">Sens!$I$2057/ext_sh</f>
        <v>4542.875</v>
      </c>
      <c r="J2058" s="32" t="n">
        <f aca="false">Sens!$J$2057/ext_sh</f>
        <v>4542.875</v>
      </c>
      <c r="K2058" s="32" t="n">
        <f aca="false">Sens!$K$2057/ext_sh</f>
        <v>3213.58395833333</v>
      </c>
      <c r="L2058" s="32" t="n">
        <f aca="false">Sens!$L$2057/ext_sh</f>
        <v>1884.29291666667</v>
      </c>
      <c r="M2058" s="32" t="n">
        <f aca="false">Sens!$M$2057/ext_sh</f>
        <v>555.001874999998</v>
      </c>
      <c r="N2058" s="32" t="n">
        <f aca="false">Sens!$N$2057/ext_sh</f>
        <v>675</v>
      </c>
      <c r="O2058" s="32" t="n">
        <f aca="false">Sens!$O$2057/ext_sh</f>
        <v>675</v>
      </c>
      <c r="P2058" s="8" t="s">
        <v>607</v>
      </c>
      <c r="R2058" s="32" t="n">
        <f aca="false">mw_ye23/ext_sh</f>
        <v>150</v>
      </c>
      <c r="S2058" s="32" t="n">
        <f aca="false">Sens!$C$2058</f>
        <v>300</v>
      </c>
      <c r="T2058" s="32" t="n">
        <f aca="false">Sens!$D$2058</f>
        <v>1350</v>
      </c>
      <c r="U2058" s="32" t="n">
        <f aca="false">Sens!$G$2058</f>
        <v>3071.4375</v>
      </c>
      <c r="V2058" s="32" t="n">
        <f aca="false">Sens!$H$2058</f>
        <v>4542.875</v>
      </c>
      <c r="W2058" s="32" t="n">
        <f aca="false">Sens!$I$2058</f>
        <v>4542.875</v>
      </c>
      <c r="X2058" s="32" t="n">
        <f aca="false">Sens!$J$2058</f>
        <v>4542.875</v>
      </c>
      <c r="Y2058" s="32" t="n">
        <f aca="false">Sens!$K$2058</f>
        <v>3213.58395833333</v>
      </c>
      <c r="Z2058" s="32" t="n">
        <f aca="false">Sens!$L$2058</f>
        <v>1884.29291666667</v>
      </c>
      <c r="AA2058" s="32" t="n">
        <f aca="false">Sens!$M$2058</f>
        <v>555.001874999998</v>
      </c>
    </row>
    <row r="2059" customFormat="false" ht="17.15" hidden="false" customHeight="false" outlineLevel="0" collapsed="false">
      <c r="A2059" s="1" t="s">
        <v>608</v>
      </c>
    </row>
    <row r="2060" customFormat="false" ht="17.15" hidden="false" customHeight="false" outlineLevel="0" collapsed="false">
      <c r="A2060" s="0" t="s">
        <v>609</v>
      </c>
      <c r="B2060" s="0" t="s">
        <v>52</v>
      </c>
      <c r="F2060" s="35" t="n">
        <f aca="false">na_vr26</f>
        <v>0</v>
      </c>
      <c r="G2060" s="35" t="n">
        <f aca="false">na_vr26</f>
        <v>0</v>
      </c>
      <c r="H2060" s="35" t="n">
        <f aca="false">na_vr27</f>
        <v>0.5</v>
      </c>
      <c r="I2060" s="35" t="n">
        <f aca="false">na_vr28</f>
        <v>1</v>
      </c>
      <c r="J2060" s="35" t="n">
        <f aca="false">na_vr28</f>
        <v>1</v>
      </c>
      <c r="K2060" s="35" t="n">
        <f aca="false">na_vr28</f>
        <v>1</v>
      </c>
      <c r="L2060" s="35" t="n">
        <f aca="false">na_vr28</f>
        <v>1</v>
      </c>
      <c r="M2060" s="35" t="n">
        <f aca="false">na_vr28</f>
        <v>1</v>
      </c>
    </row>
    <row r="2061" customFormat="false" ht="17.15" hidden="false" customHeight="false" outlineLevel="0" collapsed="false">
      <c r="A2061" s="5" t="s">
        <v>610</v>
      </c>
      <c r="B2061" s="0" t="s">
        <v>173</v>
      </c>
      <c r="F2061" s="36" t="n">
        <f aca="false">cust_sh*tk_he_gb300*cf_chip+(1-cust_sh)*((1-Sens!$F$2060)*tk_he_gb300+Sens!$F$2060*tk_he_vr200)</f>
        <v>10.8864110021101</v>
      </c>
      <c r="G2061" s="36" t="n">
        <f aca="false">cust_sh*tk_he_gb300*cf_chip+(1-cust_sh)*((1-Sens!$G$2060)*tk_he_gb300+Sens!$G$2060*tk_he_vr200)</f>
        <v>10.8864110021101</v>
      </c>
      <c r="H2061" s="36" t="n">
        <f aca="false">cust_sh*tk_he_gb300*cf_chip+(1-cust_sh)*((1-Sens!$H$2060)*tk_he_gb300+Sens!$H$2060*tk_he_vr200)</f>
        <v>11.2211760027286</v>
      </c>
      <c r="I2061" s="36" t="n">
        <f aca="false">cust_sh*tk_he_gb300*cf_chip+(1-cust_sh)*((1-Sens!$I$2060)*tk_he_gb300+Sens!$I$2060*tk_he_vr200)</f>
        <v>11.5559410033471</v>
      </c>
      <c r="J2061" s="36" t="n">
        <f aca="false">cust_sh*tk_he_gb300*cf_chip+(1-cust_sh)*((1-Sens!$J$2060)*tk_he_gb300+Sens!$J$2060*tk_he_vr200)</f>
        <v>11.5559410033471</v>
      </c>
      <c r="K2061" s="36" t="n">
        <f aca="false">cust_sh*tk_he_gb300*cf_chip+(1-cust_sh)*((1-Sens!$K$2060)*tk_he_gb300+Sens!$K$2060*tk_he_vr200)</f>
        <v>11.5559410033471</v>
      </c>
      <c r="L2061" s="36" t="n">
        <f aca="false">cust_sh*tk_he_gb300*cf_chip+(1-cust_sh)*((1-Sens!$L$2060)*tk_he_gb300+Sens!$L$2060*tk_he_vr200)</f>
        <v>11.5559410033471</v>
      </c>
      <c r="M2061" s="36" t="n">
        <f aca="false">cust_sh*tk_he_gb300*cf_chip+(1-cust_sh)*((1-Sens!$M$2060)*tk_he_gb300+Sens!$M$2060*tk_he_vr200)</f>
        <v>11.5559410033471</v>
      </c>
    </row>
    <row r="2062" customFormat="false" ht="17.15" hidden="false" customHeight="false" outlineLevel="0" collapsed="false">
      <c r="A2062" s="5" t="s">
        <v>611</v>
      </c>
      <c r="B2062" s="0" t="s">
        <v>173</v>
      </c>
      <c r="F2062" s="36" t="n">
        <f aca="false">cust_sh*tk_ox_gb300+(1-cust_sh)*((1-Sens!$F$2060)*tk_ox_gb300+Sens!$F$2060*tk_ox_vr200)</f>
        <v>1.98263481314457</v>
      </c>
      <c r="G2062" s="36" t="n">
        <f aca="false">cust_sh*tk_ox_gb300+(1-cust_sh)*((1-Sens!$G$2060)*tk_ox_gb300+Sens!$G$2060*tk_ox_vr200)</f>
        <v>1.98263481314457</v>
      </c>
      <c r="H2062" s="36" t="n">
        <f aca="false">cust_sh*tk_ox_gb300+(1-cust_sh)*((1-Sens!$H$2060)*tk_ox_gb300+Sens!$H$2060*tk_ox_vr200)</f>
        <v>2.01034999693694</v>
      </c>
      <c r="I2062" s="36" t="n">
        <f aca="false">cust_sh*tk_ox_gb300+(1-cust_sh)*((1-Sens!$I$2060)*tk_ox_gb300+Sens!$I$2060*tk_ox_vr200)</f>
        <v>2.0380651807293</v>
      </c>
      <c r="J2062" s="36" t="n">
        <f aca="false">cust_sh*tk_ox_gb300+(1-cust_sh)*((1-Sens!$J$2060)*tk_ox_gb300+Sens!$J$2060*tk_ox_vr200)</f>
        <v>2.0380651807293</v>
      </c>
      <c r="K2062" s="36" t="n">
        <f aca="false">cust_sh*tk_ox_gb300+(1-cust_sh)*((1-Sens!$K$2060)*tk_ox_gb300+Sens!$K$2060*tk_ox_vr200)</f>
        <v>2.0380651807293</v>
      </c>
      <c r="L2062" s="36" t="n">
        <f aca="false">cust_sh*tk_ox_gb300+(1-cust_sh)*((1-Sens!$L$2060)*tk_ox_gb300+Sens!$L$2060*tk_ox_vr200)</f>
        <v>2.0380651807293</v>
      </c>
      <c r="M2062" s="36" t="n">
        <f aca="false">cust_sh*tk_ox_gb300+(1-cust_sh)*((1-Sens!$M$2060)*tk_ox_gb300+Sens!$M$2060*tk_ox_vr200)</f>
        <v>2.0380651807293</v>
      </c>
    </row>
    <row r="2063" customFormat="false" ht="17.15" hidden="false" customHeight="false" outlineLevel="0" collapsed="false">
      <c r="A2063" s="5" t="s">
        <v>612</v>
      </c>
      <c r="B2063" s="0" t="s">
        <v>192</v>
      </c>
      <c r="F2063" s="36" t="n">
        <f aca="false">cust_sh*tk_cx_gb300*cf_cx+(1-cust_sh)*((1-Sens!$F$2060)*tk_cx_gb300+Sens!$F$2060*tk_cx_vr200)</f>
        <v>32.237224</v>
      </c>
      <c r="G2063" s="36" t="n">
        <f aca="false">cust_sh*tk_cx_gb300*cf_cx+(1-cust_sh)*((1-Sens!$G$2060)*tk_cx_gb300+Sens!$G$2060*tk_cx_vr200)</f>
        <v>32.237224</v>
      </c>
      <c r="H2063" s="36" t="n">
        <f aca="false">cust_sh*tk_cx_gb300*cf_cx+(1-cust_sh)*((1-Sens!$H$2060)*tk_cx_gb300+Sens!$H$2060*tk_cx_vr200)</f>
        <v>33.574506</v>
      </c>
      <c r="I2063" s="36" t="n">
        <f aca="false">cust_sh*tk_cx_gb300*cf_cx+(1-cust_sh)*((1-Sens!$I$2060)*tk_cx_gb300+Sens!$I$2060*tk_cx_vr200)</f>
        <v>34.911788</v>
      </c>
      <c r="J2063" s="36" t="n">
        <f aca="false">cust_sh*tk_cx_gb300*cf_cx+(1-cust_sh)*((1-Sens!$J$2060)*tk_cx_gb300+Sens!$J$2060*tk_cx_vr200)</f>
        <v>34.911788</v>
      </c>
      <c r="K2063" s="36" t="n">
        <f aca="false">cust_sh*tk_cx_gb300*cf_cx+(1-cust_sh)*((1-Sens!$K$2060)*tk_cx_gb300+Sens!$K$2060*tk_cx_vr200)</f>
        <v>34.911788</v>
      </c>
      <c r="L2063" s="36" t="n">
        <f aca="false">cust_sh*tk_cx_gb300*cf_cx+(1-cust_sh)*((1-Sens!$L$2060)*tk_cx_gb300+Sens!$L$2060*tk_cx_vr200)</f>
        <v>34.911788</v>
      </c>
      <c r="M2063" s="36" t="n">
        <f aca="false">cust_sh*tk_cx_gb300*cf_cx+(1-cust_sh)*((1-Sens!$M$2060)*tk_cx_gb300+Sens!$M$2060*tk_cx_vr200)</f>
        <v>34.911788</v>
      </c>
    </row>
    <row r="2064" customFormat="false" ht="17.15" hidden="false" customHeight="false" outlineLevel="0" collapsed="false">
      <c r="A2064" s="5" t="s">
        <v>613</v>
      </c>
      <c r="B2064" s="0" t="s">
        <v>129</v>
      </c>
      <c r="F2064" s="32" t="n">
        <f aca="false">Sens!$F$2054-mw_open</f>
        <v>1817.15</v>
      </c>
      <c r="G2064" s="32" t="n">
        <f aca="false">Sens!$F$2064</f>
        <v>1817.15</v>
      </c>
      <c r="H2064" s="32" t="n">
        <f aca="false">Sens!$H$2054-mw_open</f>
        <v>5451.45</v>
      </c>
      <c r="I2064" s="32" t="n">
        <f aca="false">Sens!$I$2054-mw_open</f>
        <v>9085.75</v>
      </c>
      <c r="J2064" s="32" t="n">
        <f aca="false">Sens!$J$2054-mw_open</f>
        <v>12720.05</v>
      </c>
      <c r="K2064" s="32" t="n">
        <f aca="false">Sens!$K$2054-mw_open</f>
        <v>15290.9171666667</v>
      </c>
      <c r="L2064" s="32" t="n">
        <f aca="false">Sens!$L$2054-mw_open</f>
        <v>16798.3515</v>
      </c>
      <c r="M2064" s="32" t="n">
        <f aca="false">Sens!$M$2054-mw_open</f>
        <v>17242.353</v>
      </c>
    </row>
    <row r="2065" customFormat="false" ht="17.15" hidden="false" customHeight="false" outlineLevel="0" collapsed="false">
      <c r="A2065" s="0" t="s">
        <v>614</v>
      </c>
      <c r="B2065" s="0" t="s">
        <v>615</v>
      </c>
      <c r="F2065" s="32" t="n">
        <f aca="false">Sens!$F$2057*Sens!$F$2061</f>
        <v>19782.2417524844</v>
      </c>
      <c r="G2065" s="32" t="n">
        <f aca="false">Sens!$F$2065</f>
        <v>19782.2417524844</v>
      </c>
      <c r="H2065" s="32" t="n">
        <f aca="false">Sens!$G$2065+Sens!$H$2057*Sens!$H$2061</f>
        <v>60563.3616992009</v>
      </c>
      <c r="I2065" s="32" t="n">
        <f aca="false">Sens!$H$2065+Sens!$I$2057*Sens!$I$2061</f>
        <v>102561.118087665</v>
      </c>
      <c r="J2065" s="32" t="n">
        <f aca="false">Sens!$I$2065+Sens!$J$2057*Sens!$J$2061</f>
        <v>144558.87447613</v>
      </c>
      <c r="K2065" s="32" t="n">
        <f aca="false">Sens!$J$2065+Sens!$K$2057*Sens!$K$2061</f>
        <v>174267.663781572</v>
      </c>
      <c r="L2065" s="32" t="n">
        <f aca="false">Sens!$K$2065+Sens!$L$2057*Sens!$L$2061</f>
        <v>191687.486003992</v>
      </c>
      <c r="M2065" s="32" t="n">
        <f aca="false">Sens!$L$2065+Sens!$M$2057*Sens!$M$2061</f>
        <v>196818.341143389</v>
      </c>
    </row>
    <row r="2066" customFormat="false" ht="17.15" hidden="false" customHeight="false" outlineLevel="0" collapsed="false">
      <c r="A2066" s="0" t="s">
        <v>616</v>
      </c>
      <c r="B2066" s="0" t="s">
        <v>615</v>
      </c>
      <c r="F2066" s="32" t="n">
        <f aca="false">Sens!$F$2057*Sens!$F$2062</f>
        <v>3602.74485070566</v>
      </c>
      <c r="G2066" s="32" t="n">
        <f aca="false">Sens!$F$2066</f>
        <v>3602.74485070566</v>
      </c>
      <c r="H2066" s="32" t="n">
        <f aca="false">Sens!$G$2066+Sens!$H$2057*Sens!$H$2062</f>
        <v>10908.9598445736</v>
      </c>
      <c r="I2066" s="32" t="n">
        <f aca="false">Sens!$H$2066+Sens!$I$2057*Sens!$I$2062</f>
        <v>18315.9001308981</v>
      </c>
      <c r="J2066" s="32" t="n">
        <f aca="false">Sens!$I$2066+Sens!$J$2057*Sens!$J$2062</f>
        <v>25722.8404172225</v>
      </c>
      <c r="K2066" s="32" t="n">
        <f aca="false">Sens!$J$2066+Sens!$K$2057*Sens!$K$2062</f>
        <v>30962.4352738861</v>
      </c>
      <c r="L2066" s="32" t="n">
        <f aca="false">Sens!$K$2066+Sens!$L$2057*Sens!$L$2062</f>
        <v>34034.6847008886</v>
      </c>
      <c r="M2066" s="32" t="n">
        <f aca="false">Sens!$L$2066+Sens!$M$2057*Sens!$M$2062</f>
        <v>34939.5886982302</v>
      </c>
    </row>
    <row r="2067" customFormat="false" ht="17.15" hidden="false" customHeight="false" outlineLevel="0" collapsed="false">
      <c r="A2067" s="5" t="s">
        <v>617</v>
      </c>
      <c r="B2067" s="0" t="s">
        <v>173</v>
      </c>
      <c r="F2067" s="36" t="n">
        <f aca="false">IF(Sens!$F$2064&gt;0,Sens!$F$2065/Sens!$F$2064,Sens!$F$2061)</f>
        <v>10.8864110021101</v>
      </c>
      <c r="G2067" s="36" t="n">
        <f aca="false">IF(Sens!$G$2064&gt;0,Sens!$G$2065/Sens!$G$2064,Sens!$G$2061)</f>
        <v>10.8864110021101</v>
      </c>
      <c r="H2067" s="36" t="n">
        <f aca="false">IF(Sens!$H$2064&gt;0,Sens!$H$2065/Sens!$H$2064,Sens!$H$2061)</f>
        <v>11.1095876691891</v>
      </c>
      <c r="I2067" s="36" t="n">
        <f aca="false">IF(Sens!$I$2064&gt;0,Sens!$I$2065/Sens!$I$2064,Sens!$I$2061)</f>
        <v>11.2881290028523</v>
      </c>
      <c r="J2067" s="36" t="n">
        <f aca="false">IF(Sens!$J$2064&gt;0,Sens!$J$2065/Sens!$J$2064,Sens!$J$2061)</f>
        <v>11.3646467172794</v>
      </c>
      <c r="K2067" s="36" t="n">
        <f aca="false">IF(Sens!$K$2064&gt;0,Sens!$K$2065/Sens!$K$2064,Sens!$K$2061)</f>
        <v>11.3968090914432</v>
      </c>
      <c r="L2067" s="36" t="n">
        <f aca="false">IF(Sens!$L$2064&gt;0,Sens!$L$2065/Sens!$L$2064,Sens!$L$2061)</f>
        <v>11.4110891181192</v>
      </c>
      <c r="M2067" s="36" t="n">
        <f aca="false">IF(Sens!$M$2064&gt;0,Sens!$M$2065/Sens!$M$2064,Sens!$M$2061)</f>
        <v>11.4148191458201</v>
      </c>
    </row>
    <row r="2068" customFormat="false" ht="17.15" hidden="false" customHeight="false" outlineLevel="0" collapsed="false">
      <c r="A2068" s="5" t="s">
        <v>618</v>
      </c>
      <c r="B2068" s="0" t="s">
        <v>173</v>
      </c>
      <c r="F2068" s="36" t="n">
        <f aca="false">IF(Sens!$F$2064&gt;0,Sens!$F$2066/Sens!$F$2064,Sens!$F$2062)</f>
        <v>1.98263481314457</v>
      </c>
      <c r="G2068" s="36" t="n">
        <f aca="false">IF(Sens!$G$2064&gt;0,Sens!$G$2066/Sens!$G$2064,Sens!$G$2062)</f>
        <v>1.98263481314457</v>
      </c>
      <c r="H2068" s="36" t="n">
        <f aca="false">IF(Sens!$H$2064&gt;0,Sens!$H$2066/Sens!$H$2064,Sens!$H$2062)</f>
        <v>2.00111160233948</v>
      </c>
      <c r="I2068" s="36" t="n">
        <f aca="false">IF(Sens!$I$2064&gt;0,Sens!$I$2066/Sens!$I$2064,Sens!$I$2062)</f>
        <v>2.01589303369541</v>
      </c>
      <c r="J2068" s="36" t="n">
        <f aca="false">IF(Sens!$J$2064&gt;0,Sens!$J$2066/Sens!$J$2064,Sens!$J$2062)</f>
        <v>2.02222793284795</v>
      </c>
      <c r="K2068" s="36" t="n">
        <f aca="false">IF(Sens!$K$2064&gt;0,Sens!$K$2066/Sens!$K$2064,Sens!$K$2062)</f>
        <v>2.02489065478573</v>
      </c>
      <c r="L2068" s="36" t="n">
        <f aca="false">IF(Sens!$L$2064&gt;0,Sens!$L$2066/Sens!$L$2064,Sens!$L$2062)</f>
        <v>2.0260728977417</v>
      </c>
      <c r="M2068" s="36" t="n">
        <f aca="false">IF(Sens!$M$2064&gt;0,Sens!$M$2066/Sens!$M$2064,Sens!$M$2062)</f>
        <v>2.02638170661685</v>
      </c>
    </row>
    <row r="2069" customFormat="false" ht="17.15" hidden="false" customHeight="false" outlineLevel="0" collapsed="false">
      <c r="A2069" s="15" t="s">
        <v>619</v>
      </c>
      <c r="B2069" s="14" t="s">
        <v>173</v>
      </c>
      <c r="C2069" s="14"/>
      <c r="D2069" s="14"/>
      <c r="E2069" s="14"/>
      <c r="F2069" s="37" t="n">
        <f aca="false">Sens!$F$2067*k_B</f>
        <v>10.7987645808025</v>
      </c>
      <c r="G2069" s="37" t="n">
        <f aca="false">Sens!$G$2067*k_B</f>
        <v>10.7987645808025</v>
      </c>
      <c r="H2069" s="37" t="n">
        <f aca="false">Sens!$H$2067*k_B</f>
        <v>11.0201444540452</v>
      </c>
      <c r="I2069" s="37" t="n">
        <f aca="false">Sens!$I$2067*k_B</f>
        <v>11.1972483526393</v>
      </c>
      <c r="J2069" s="37" t="n">
        <f aca="false">Sens!$J$2067*k_B</f>
        <v>11.2731500234653</v>
      </c>
      <c r="K2069" s="37" t="n">
        <f aca="false">Sens!$K$2067*k_B</f>
        <v>11.3050534585724</v>
      </c>
      <c r="L2069" s="37" t="n">
        <f aca="false">Sens!$L$2067*k_B</f>
        <v>11.3192185168503</v>
      </c>
      <c r="M2069" s="37" t="n">
        <f aca="false">Sens!$M$2067*k_B</f>
        <v>11.3229185141234</v>
      </c>
      <c r="N2069" s="14"/>
      <c r="O2069" s="14"/>
      <c r="P2069" s="5" t="s">
        <v>620</v>
      </c>
    </row>
    <row r="2070" customFormat="false" ht="17.15" hidden="false" customHeight="false" outlineLevel="0" collapsed="false">
      <c r="A2070" s="5" t="s">
        <v>621</v>
      </c>
      <c r="B2070" s="0" t="s">
        <v>129</v>
      </c>
      <c r="F2070" s="32" t="n">
        <f aca="false">Sens!$F$2064/2</f>
        <v>908.575</v>
      </c>
      <c r="H2070" s="32" t="n">
        <f aca="false">(Sens!$G$2064+Sens!$H$2064)/2</f>
        <v>3634.3</v>
      </c>
      <c r="I2070" s="32" t="n">
        <f aca="false">(Sens!$H$2064+Sens!$I$2064)/2</f>
        <v>7268.6</v>
      </c>
      <c r="J2070" s="32" t="n">
        <f aca="false">(Sens!$I$2064+Sens!$J$2064)/2</f>
        <v>10902.9</v>
      </c>
      <c r="K2070" s="32" t="n">
        <f aca="false">(Sens!$J$2064+Sens!$K$2064)/2</f>
        <v>14005.4835833333</v>
      </c>
      <c r="L2070" s="32" t="n">
        <f aca="false">(Sens!$K$2064+Sens!$L$2064)/2</f>
        <v>16044.6343333333</v>
      </c>
      <c r="M2070" s="32" t="n">
        <f aca="false">(Sens!$L$2064+Sens!$M$2064)/2</f>
        <v>17020.35225</v>
      </c>
    </row>
    <row r="2071" customFormat="false" ht="17.15" hidden="false" customHeight="false" outlineLevel="0" collapsed="false">
      <c r="A2071" s="1" t="s">
        <v>622</v>
      </c>
    </row>
    <row r="2072" customFormat="false" ht="17.15" hidden="false" customHeight="false" outlineLevel="0" collapsed="false">
      <c r="A2072" s="1" t="s">
        <v>623</v>
      </c>
      <c r="B2072" s="8" t="s">
        <v>86</v>
      </c>
      <c r="C2072" s="38" t="n">
        <f aca="false">Sens!$C$2055*rpm_open*Sens!$C$2056/1000</f>
        <v>2.32100535697364</v>
      </c>
      <c r="D2072" s="38" t="n">
        <f aca="false">Sens!$D$2055*rpm_open*Sens!$D$2056/1000</f>
        <v>8.70377008865116</v>
      </c>
      <c r="E2072" s="38" t="n">
        <f aca="false">Sens!$E$2055*rpm_open*Sens!$E$2056/1000</f>
        <v>8.51035297557002</v>
      </c>
      <c r="F2072" s="38" t="n">
        <f aca="false">(mw_open*rpm_open+Sens!$F$2070*Sens!$F$2069)*Sens!$F$2056/1000</f>
        <v>14.9634336447205</v>
      </c>
      <c r="G2072" s="38" t="n">
        <f aca="false">Sens!$E$2072+Sens!$F$2072</f>
        <v>23.4737866202905</v>
      </c>
      <c r="H2072" s="38" t="n">
        <f aca="false">(mw_open*rpm_open+Sens!$H$2070*Sens!$H$2069)/1000</f>
        <v>60.1658907497746</v>
      </c>
      <c r="I2072" s="38" t="n">
        <f aca="false">(mw_open*rpm_open+Sens!$I$2070*Sens!$I$2069)/1000</f>
        <v>101.503699136432</v>
      </c>
      <c r="J2072" s="38" t="n">
        <f aca="false">(mw_open*rpm_open+Sens!$J$2070*Sens!$J$2069)/1000</f>
        <v>143.025407151278</v>
      </c>
      <c r="K2072" s="38" t="n">
        <f aca="false">(mw_open*rpm_open+Sens!$K$2070*Sens!$K$2069)/1000</f>
        <v>178.44812038318</v>
      </c>
      <c r="L2072" s="38" t="n">
        <f aca="false">(mw_open*rpm_open+Sens!$L$2070*Sens!$L$2069)/1000</f>
        <v>201.728101802396</v>
      </c>
      <c r="M2072" s="38" t="n">
        <f aca="false">(mw_open*rpm_open+Sens!$M$2070*Sens!$M$2069)/1000</f>
        <v>212.835441368865</v>
      </c>
      <c r="N2072" s="38" t="n">
        <f aca="false">Sens!$N$2055*rpm_open*Sens!$N$2056/1000</f>
        <v>3.04631953102791</v>
      </c>
      <c r="O2072" s="38" t="n">
        <f aca="false">Sens!$O$2055*rpm_open*Sens!$O$2056/1000</f>
        <v>5.65745055762326</v>
      </c>
      <c r="P2072" s="5" t="s">
        <v>624</v>
      </c>
    </row>
    <row r="2073" customFormat="false" ht="17.15" hidden="false" customHeight="false" outlineLevel="0" collapsed="false">
      <c r="A2073" s="5" t="s">
        <v>625</v>
      </c>
      <c r="B2073" s="0" t="s">
        <v>173</v>
      </c>
      <c r="C2073" s="36" t="n">
        <f aca="false">Sens!$C$2072*1000/(Sens!$C$2055*Sens!$C$2056)</f>
        <v>9.67085565405685</v>
      </c>
      <c r="D2073" s="36" t="n">
        <f aca="false">Sens!$D$2072*1000/(Sens!$D$2055*Sens!$D$2056)</f>
        <v>9.67085565405685</v>
      </c>
      <c r="E2073" s="36" t="n">
        <f aca="false">Sens!$E$2072*1000/(Sens!$E$2055*Sens!$E$2056)</f>
        <v>9.67085565405685</v>
      </c>
      <c r="F2073" s="36" t="n">
        <f aca="false">Sens!$F$2072*1000/(Sens!$F$2055*Sens!$F$2056)</f>
        <v>10.0137581588017</v>
      </c>
      <c r="G2073" s="36" t="n">
        <f aca="false">Sens!$G$2072*1000/(Sens!$G$2055*Sens!$G$2056)</f>
        <v>9.88666562928478</v>
      </c>
      <c r="H2073" s="36" t="n">
        <f aca="false">Sens!$H$2072*1000/(Sens!$H$2055*Sens!$H$2056)</f>
        <v>10.5290045586992</v>
      </c>
      <c r="I2073" s="36" t="n">
        <f aca="false">Sens!$I$2072*1000/(Sens!$I$2055*Sens!$I$2056)</f>
        <v>10.8576363451674</v>
      </c>
      <c r="J2073" s="36" t="n">
        <f aca="false">Sens!$J$2072*1000/(Sens!$J$2055*Sens!$J$2056)</f>
        <v>11.0164452588619</v>
      </c>
      <c r="K2073" s="36" t="n">
        <f aca="false">Sens!$K$2072*1000/(Sens!$K$2055*Sens!$K$2056)</f>
        <v>11.0937367508227</v>
      </c>
      <c r="L2073" s="36" t="n">
        <f aca="false">Sens!$L$2072*1000/(Sens!$L$2055*Sens!$L$2056)</f>
        <v>11.1300508519168</v>
      </c>
      <c r="M2073" s="36" t="n">
        <f aca="false">Sens!$M$2072*1000/(Sens!$M$2055*Sens!$M$2056)</f>
        <v>11.1430113216297</v>
      </c>
      <c r="N2073" s="36" t="n">
        <f aca="false">Sens!$N$2072*1000/(Sens!$N$2055*Sens!$N$2056)</f>
        <v>9.67085565405685</v>
      </c>
      <c r="O2073" s="36" t="n">
        <f aca="false">Sens!$O$2072*1000/(Sens!$O$2055*Sens!$O$2056)</f>
        <v>9.67085565405685</v>
      </c>
    </row>
    <row r="2074" customFormat="false" ht="17.15" hidden="false" customHeight="false" outlineLevel="0" collapsed="false">
      <c r="A2074" s="0" t="s">
        <v>626</v>
      </c>
      <c r="B2074" s="0" t="s">
        <v>86</v>
      </c>
      <c r="C2074" s="38" t="n">
        <f aca="false">Sens!$C$2055/ext_sh*(ox_open+rent_mw)*Sens!$C$2056/1000</f>
        <v>0.642569210675032</v>
      </c>
      <c r="D2074" s="38" t="n">
        <f aca="false">Sens!$D$2055/ext_sh*(ox_open+rent_mw)*Sens!$D$2056/1000</f>
        <v>2.40963454003137</v>
      </c>
      <c r="E2074" s="38" t="n">
        <f aca="false">Sens!$E$2055/ext_sh*(ox_open+rent_mw)*Sens!$E$2056/1000</f>
        <v>2.35608710580845</v>
      </c>
      <c r="F2074" s="38" t="n">
        <f aca="false">((mw_open*ox_open+Sens!$F$2070*Sens!$F$2068)/ext_sh+Sens!$F$2055/ext_sh*rent_mw)*Sens!$F$2056/1000</f>
        <v>4.05421991106232</v>
      </c>
      <c r="G2074" s="38" t="n">
        <f aca="false">Sens!$E$2074+Sens!$F$2074</f>
        <v>6.41030701687077</v>
      </c>
      <c r="H2074" s="38" t="n">
        <f aca="false">((mw_open*ox_open+Sens!$H$2070*Sens!$H$2068)/ext_sh+Sens!$H$2055/ext_sh*rent_mw)*Sens!$H$2056/1000</f>
        <v>15.8108975546616</v>
      </c>
      <c r="I2074" s="38" t="n">
        <f aca="false">((mw_open*ox_open+Sens!$I$2070*Sens!$I$2068)/ext_sh+Sens!$I$2055/ext_sh*rent_mw)*Sens!$I$2056/1000</f>
        <v>26.1871623400817</v>
      </c>
      <c r="J2074" s="38" t="n">
        <f aca="false">((mw_open*ox_open+Sens!$J$2070*Sens!$J$2068)/ext_sh+Sens!$J$2055/ext_sh*rent_mw)*Sens!$J$2056/1000</f>
        <v>36.5826128954935</v>
      </c>
      <c r="K2074" s="38" t="n">
        <f aca="false">((mw_open*ox_open+Sens!$K$2070*Sens!$K$2068)/ext_sh+Sens!$K$2055/ext_sh*rent_mw)*Sens!$K$2056/1000</f>
        <v>45.4546361137628</v>
      </c>
      <c r="L2074" s="38" t="n">
        <f aca="false">((mw_open*ox_open+Sens!$L$2070*Sens!$L$2068)/ext_sh+Sens!$L$2055/ext_sh*rent_mw)*Sens!$L$2056/1000</f>
        <v>51.2855695554452</v>
      </c>
      <c r="M2074" s="38" t="n">
        <f aca="false">((mw_open*ox_open+Sens!$M$2070*Sens!$M$2068)/ext_sh+Sens!$M$2055/ext_sh*rent_mw)*Sens!$M$2056/1000</f>
        <v>54.0722927838398</v>
      </c>
      <c r="N2074" s="38" t="n">
        <f aca="false">Sens!$N$2055/ext_sh*(ox_open+rent_mw)*Sens!$N$2056/1000</f>
        <v>0.84337208901098</v>
      </c>
      <c r="O2074" s="38" t="n">
        <f aca="false">Sens!$O$2055/ext_sh*(ox_open+rent_mw)*Sens!$O$2056/1000</f>
        <v>1.56626245102039</v>
      </c>
    </row>
    <row r="2075" customFormat="false" ht="17.15" hidden="false" customHeight="false" outlineLevel="0" collapsed="false">
      <c r="A2075" s="0" t="s">
        <v>627</v>
      </c>
      <c r="B2075" s="0" t="s">
        <v>86</v>
      </c>
      <c r="C2075" s="38" t="n">
        <f aca="false">Q!$D$7</f>
        <v>107.556</v>
      </c>
      <c r="D2075" s="38" t="n">
        <f aca="false">Q!$E$7</f>
        <v>128.725</v>
      </c>
      <c r="E2075" s="38" t="n">
        <f aca="false">Q!$P$7</f>
        <v>79.819</v>
      </c>
      <c r="N2075" s="38" t="n">
        <f aca="false">Q!$N$7</f>
        <v>60.14</v>
      </c>
      <c r="O2075" s="38" t="n">
        <f aca="false">Q!$O$7</f>
        <v>68.585</v>
      </c>
    </row>
    <row r="2076" customFormat="false" ht="17.15" hidden="false" customHeight="false" outlineLevel="0" collapsed="false">
      <c r="A2076" s="1" t="s">
        <v>628</v>
      </c>
      <c r="B2076" s="8" t="s">
        <v>86</v>
      </c>
      <c r="C2076" s="38" t="n">
        <f aca="false">Sens!$C$2075-Sens!$C$2072</f>
        <v>105.234994643026</v>
      </c>
      <c r="D2076" s="38" t="n">
        <f aca="false">Sens!$D$2075-Sens!$D$2072</f>
        <v>120.021229911349</v>
      </c>
      <c r="E2076" s="38" t="n">
        <f aca="false">Sens!$E$2075-Sens!$E$2072</f>
        <v>71.30864702443</v>
      </c>
      <c r="F2076" s="38" t="n">
        <f aca="false">Sens!$O$2076*(1+Sens!$F$2077)</f>
        <v>71.7692997942464</v>
      </c>
      <c r="G2076" s="38" t="n">
        <f aca="false">Sens!$E$2076+Sens!$F$2076</f>
        <v>143.077946818676</v>
      </c>
      <c r="H2076" s="38" t="n">
        <f aca="false">Sens!$G$2076*(1+Sens!$H$2077)</f>
        <v>161.017077079203</v>
      </c>
      <c r="I2076" s="38" t="n">
        <f aca="false">Sens!$H$2076*(1+Sens!$I$2077)</f>
        <v>178.769759521457</v>
      </c>
      <c r="J2076" s="38" t="n">
        <f aca="false">Sens!$I$2076*(1+Sens!$J$2077)</f>
        <v>195.775538045907</v>
      </c>
      <c r="K2076" s="38" t="n">
        <f aca="false">Sens!$J$2076*(1+Sens!$K$2077)</f>
        <v>211.43758108958</v>
      </c>
      <c r="L2076" s="38" t="n">
        <f aca="false">Sens!$K$2076*(1+Sens!$L$2077)</f>
        <v>228.352587576746</v>
      </c>
      <c r="M2076" s="38" t="n">
        <f aca="false">Sens!$L$2076*(1+Sens!$M$2077)</f>
        <v>246.620794582886</v>
      </c>
      <c r="N2076" s="38" t="n">
        <f aca="false">Sens!$N$2075-Sens!$N$2072</f>
        <v>57.0936804689721</v>
      </c>
      <c r="O2076" s="38" t="n">
        <f aca="false">Sens!$O$2075-Sens!$O$2072</f>
        <v>62.9275494423768</v>
      </c>
      <c r="P2076" s="5" t="s">
        <v>629</v>
      </c>
    </row>
    <row r="2077" customFormat="false" ht="17.15" hidden="false" customHeight="false" outlineLevel="0" collapsed="false">
      <c r="A2077" s="0" t="s">
        <v>630</v>
      </c>
      <c r="B2077" s="0" t="s">
        <v>52</v>
      </c>
      <c r="D2077" s="13" t="n">
        <f aca="false">Sens!$D$2076/Sens!$C$2076-1</f>
        <v>0.140506827776062</v>
      </c>
      <c r="E2077" s="13" t="n">
        <f aca="false">Sens!$E$2076/Sens!$N$2076-1</f>
        <v>0.248976181579029</v>
      </c>
      <c r="F2077" s="13" t="n">
        <f aca="false">Sens!$D$2077</f>
        <v>0.140506827776062</v>
      </c>
      <c r="G2077" s="13" t="n">
        <f aca="false">Sens!$G$2076/Sens!$D$2076-1</f>
        <v>0.19210532106993</v>
      </c>
      <c r="H2077" s="13" t="n">
        <f aca="false">Sens!$F$2077+(g_awso_lt-Sens!$F$2077)*1/4</f>
        <v>0.125380120832046</v>
      </c>
      <c r="I2077" s="13" t="n">
        <f aca="false">Sens!$F$2077+(g_awso_lt-Sens!$F$2077)*2/4</f>
        <v>0.110253413888031</v>
      </c>
      <c r="J2077" s="13" t="n">
        <f aca="false">Sens!$F$2077+(g_awso_lt-Sens!$F$2077)*3/4</f>
        <v>0.0951267069440154</v>
      </c>
      <c r="K2077" s="13" t="n">
        <f aca="false">Sens!$F$2077+(g_awso_lt-Sens!$F$2077)*4/4</f>
        <v>0.08</v>
      </c>
      <c r="L2077" s="13" t="n">
        <f aca="false">g_awso_lt</f>
        <v>0.08</v>
      </c>
      <c r="M2077" s="13" t="n">
        <f aca="false">g_awso_lt</f>
        <v>0.08</v>
      </c>
      <c r="P2077" s="5" t="s">
        <v>631</v>
      </c>
    </row>
    <row r="2078" customFormat="false" ht="17.15" hidden="false" customHeight="false" outlineLevel="0" collapsed="false">
      <c r="A2078" s="1" t="s">
        <v>632</v>
      </c>
    </row>
    <row r="2079" customFormat="false" ht="17.15" hidden="false" customHeight="false" outlineLevel="0" collapsed="false">
      <c r="A2079" s="0" t="s">
        <v>633</v>
      </c>
      <c r="B2079" s="0" t="s">
        <v>86</v>
      </c>
      <c r="F2079" s="38" t="n">
        <f aca="false">cx_rt*Sens!$F$2044+cx_awso*Sens!$F$2076</f>
        <v>34.9734495387866</v>
      </c>
    </row>
    <row r="2080" customFormat="false" ht="17.15" hidden="false" customHeight="false" outlineLevel="0" collapsed="false">
      <c r="A2080" s="0" t="s">
        <v>634</v>
      </c>
      <c r="B2080" s="0" t="s">
        <v>52</v>
      </c>
      <c r="C2080" s="13" t="n">
        <f aca="false">tk_cx_h100/(tk_cx_h100+tk_fac*(1-colo_sh))</f>
        <v>0.730756458006641</v>
      </c>
      <c r="D2080" s="13" t="n">
        <f aca="false">tk_cx_h100/(tk_cx_h100+tk_fac*(1-colo_sh))</f>
        <v>0.730756458006641</v>
      </c>
      <c r="E2080" s="13" t="n">
        <f aca="false">Sens!$F$2080</f>
        <v>0.760792334328868</v>
      </c>
      <c r="F2080" s="13" t="n">
        <f aca="false">Sens!$F$2063/(Sens!$F$2063+tk_fac*(1-colo_sh))</f>
        <v>0.760792334328868</v>
      </c>
      <c r="G2080" s="13" t="n">
        <f aca="false">Sens!$G$2063/(Sens!$G$2063+tk_fac*(1-colo_sh))</f>
        <v>0.760792334328868</v>
      </c>
      <c r="H2080" s="13" t="n">
        <f aca="false">Sens!$H$2063/(Sens!$H$2063+tk_fac*(1-colo_sh))</f>
        <v>0.768110668862996</v>
      </c>
      <c r="I2080" s="13" t="n">
        <f aca="false">Sens!$I$2063/(Sens!$I$2063+tk_fac*(1-colo_sh))</f>
        <v>0.77499450139483</v>
      </c>
      <c r="J2080" s="13" t="n">
        <f aca="false">Sens!$J$2063/(Sens!$J$2063+tk_fac*(1-colo_sh))</f>
        <v>0.77499450139483</v>
      </c>
      <c r="K2080" s="13" t="n">
        <f aca="false">Sens!$K$2063/(Sens!$K$2063+tk_fac*(1-colo_sh))</f>
        <v>0.77499450139483</v>
      </c>
      <c r="L2080" s="13" t="n">
        <f aca="false">Sens!$L$2063/(Sens!$L$2063+tk_fac*(1-colo_sh))</f>
        <v>0.77499450139483</v>
      </c>
      <c r="M2080" s="13" t="n">
        <f aca="false">Sens!$M$2063/(Sens!$M$2063+tk_fac*(1-colo_sh))</f>
        <v>0.77499450139483</v>
      </c>
    </row>
    <row r="2081" customFormat="false" ht="17.15" hidden="false" customHeight="false" outlineLevel="0" collapsed="false">
      <c r="A2081" s="1" t="s">
        <v>635</v>
      </c>
      <c r="B2081" s="8" t="s">
        <v>86</v>
      </c>
      <c r="C2081" s="38" t="n">
        <f aca="false">Q!$D$46-cx_rt*Q!$D$16-cx_awso*Sens!$C$2076</f>
        <v>25.2781053077374</v>
      </c>
      <c r="D2081" s="38" t="n">
        <f aca="false">Q!$E$46-cx_rt*Q!$E$16-cx_awso*Sens!$D$2076</f>
        <v>69.5686316310026</v>
      </c>
      <c r="E2081" s="38" t="n">
        <f aca="false">Q!$P$46-cx_rt*Q!$P$16-cx_awso*Sens!$E$2076</f>
        <v>64.1899206485108</v>
      </c>
      <c r="F2081" s="38" t="n">
        <f aca="false">capex_g26-Q!$P$46-Sens!$F$2079</f>
        <v>88.7165504612134</v>
      </c>
      <c r="G2081" s="38" t="n">
        <f aca="false">Sens!$E$2081+Sens!$F$2081</f>
        <v>152.906471109724</v>
      </c>
      <c r="H2081" s="38" t="n">
        <f aca="false">Sens!$H$2058*(Sens!$H$2063+tk_fac*(1-colo_sh))/1000+Sens!$H$2082</f>
        <v>198.57136494475</v>
      </c>
      <c r="I2081" s="38" t="n">
        <f aca="false">Sens!$I$2058*(Sens!$I$2063+tk_fac*(1-colo_sh))/1000+Sens!$I$2082</f>
        <v>204.6464699105</v>
      </c>
      <c r="J2081" s="38" t="n">
        <f aca="false">Sens!$J$2058*(Sens!$J$2063+tk_fac*(1-colo_sh))/1000+Sens!$J$2082</f>
        <v>204.6464699105</v>
      </c>
      <c r="K2081" s="38" t="n">
        <f aca="false">Sens!$K$2058*(Sens!$K$2063+tk_fac*(1-colo_sh))/1000+Sens!$K$2082</f>
        <v>150.001617075201</v>
      </c>
      <c r="L2081" s="38" t="n">
        <f aca="false">Sens!$L$2058*(Sens!$L$2063+tk_fac*(1-colo_sh))/1000+Sens!$L$2082</f>
        <v>95.3567642399017</v>
      </c>
      <c r="M2081" s="38" t="n">
        <f aca="false">Sens!$M$2058*(Sens!$M$2063+tk_fac*(1-colo_sh))/1000+Sens!$M$2082</f>
        <v>72.1325206046024</v>
      </c>
      <c r="P2081" s="5" t="s">
        <v>636</v>
      </c>
      <c r="R2081" s="38" t="n">
        <f aca="false">Q!$C$46-cx_rt*Q!$C$16-cx_awso*(Q!$C$7-mw_ye23/2*rpm_open/1000)</f>
        <v>1.50429979529945</v>
      </c>
      <c r="S2081" s="38" t="n">
        <f aca="false">Sens!$C$2081</f>
        <v>25.2781053077374</v>
      </c>
      <c r="T2081" s="38" t="n">
        <f aca="false">Sens!$D$2081</f>
        <v>69.5686316310026</v>
      </c>
      <c r="U2081" s="38" t="n">
        <f aca="false">Sens!$G$2081</f>
        <v>152.906471109724</v>
      </c>
      <c r="V2081" s="38" t="n">
        <f aca="false">Sens!$H$2081</f>
        <v>198.57136494475</v>
      </c>
      <c r="W2081" s="38" t="n">
        <f aca="false">Sens!$I$2081</f>
        <v>204.6464699105</v>
      </c>
      <c r="X2081" s="38" t="n">
        <f aca="false">Sens!$J$2081</f>
        <v>204.6464699105</v>
      </c>
      <c r="Y2081" s="38" t="n">
        <f aca="false">Sens!$K$2081</f>
        <v>150.001617075201</v>
      </c>
      <c r="Z2081" s="38" t="n">
        <f aca="false">Sens!$L$2081</f>
        <v>95.3567642399017</v>
      </c>
      <c r="AA2081" s="38" t="n">
        <f aca="false">Sens!$M$2081</f>
        <v>72.1325206046024</v>
      </c>
    </row>
    <row r="2082" customFormat="false" ht="17.15" hidden="false" customHeight="false" outlineLevel="0" collapsed="false">
      <c r="A2082" s="0" t="s">
        <v>637</v>
      </c>
      <c r="B2082" s="0" t="s">
        <v>86</v>
      </c>
      <c r="H2082" s="38" t="n">
        <f aca="false">SUMPRODUCT(--(Sens!$R$2051:$AA$2051=2027-tk_life_hi),Sens!$R$2058:$AA$2058)*Sens!$H$2063/1000</f>
        <v>0</v>
      </c>
      <c r="I2082" s="38" t="n">
        <f aca="false">SUMPRODUCT(--(Sens!$R$2051:$AA$2051=2028-tk_life_hi),Sens!$R$2058:$AA$2058)*Sens!$I$2063/1000</f>
        <v>0</v>
      </c>
      <c r="J2082" s="38" t="n">
        <f aca="false">SUMPRODUCT(--(Sens!$R$2051:$AA$2051=2029-tk_life_hi),Sens!$R$2058:$AA$2058)*Sens!$J$2063/1000</f>
        <v>0</v>
      </c>
      <c r="K2082" s="38" t="n">
        <f aca="false">SUMPRODUCT(--(Sens!$R$2051:$AA$2051=2030-tk_life_hi),Sens!$R$2058:$AA$2058)*Sens!$K$2063/1000</f>
        <v>5.2367682</v>
      </c>
      <c r="L2082" s="38" t="n">
        <f aca="false">SUMPRODUCT(--(Sens!$R$2051:$AA$2051=2031-tk_life_hi),Sens!$R$2058:$AA$2058)*Sens!$L$2063/1000</f>
        <v>10.4735364</v>
      </c>
      <c r="M2082" s="38" t="n">
        <f aca="false">SUMPRODUCT(--(Sens!$R$2051:$AA$2051=2032-tk_life_hi),Sens!$R$2058:$AA$2058)*Sens!$M$2063/1000</f>
        <v>47.1309138</v>
      </c>
    </row>
    <row r="2083" customFormat="false" ht="17.15" hidden="false" customHeight="false" outlineLevel="0" collapsed="false">
      <c r="A2083" s="0" t="s">
        <v>638</v>
      </c>
      <c r="B2083" s="0" t="s">
        <v>86</v>
      </c>
      <c r="C2083" s="38" t="n">
        <f aca="false">MIN(Sens!$C$2081,Sens!$C$2058*(tk_cx_h100+tk_fac*(1-colo_sh))/1000)</f>
        <v>11.2938642</v>
      </c>
      <c r="D2083" s="38" t="n">
        <f aca="false">MIN(Sens!$D$2081,Sens!$D$2058*(tk_cx_h100+tk_fac*(1-colo_sh))/1000)</f>
        <v>50.8223889</v>
      </c>
      <c r="E2083" s="38" t="n">
        <f aca="false">MIN(Sens!$E$2081,Sens!$E$2058*(Sens!$F$2063+tk_fac*(1-colo_sh))/1000)</f>
        <v>33.8985792</v>
      </c>
      <c r="F2083" s="38" t="n">
        <f aca="false">Sens!$F$2081</f>
        <v>88.7165504612134</v>
      </c>
      <c r="G2083" s="38" t="n">
        <f aca="false">Sens!$E$2083+Sens!$F$2083</f>
        <v>122.615129661213</v>
      </c>
      <c r="H2083" s="38" t="n">
        <f aca="false">Sens!$H$2081</f>
        <v>198.57136494475</v>
      </c>
      <c r="I2083" s="38" t="n">
        <f aca="false">Sens!$I$2081</f>
        <v>204.6464699105</v>
      </c>
      <c r="J2083" s="38" t="n">
        <f aca="false">Sens!$J$2081</f>
        <v>204.6464699105</v>
      </c>
      <c r="K2083" s="38" t="n">
        <f aca="false">Sens!$K$2081</f>
        <v>150.001617075201</v>
      </c>
      <c r="L2083" s="38" t="n">
        <f aca="false">Sens!$L$2081</f>
        <v>95.3567642399017</v>
      </c>
      <c r="M2083" s="38" t="n">
        <f aca="false">Sens!$M$2081</f>
        <v>72.1325206046024</v>
      </c>
      <c r="P2083" s="5" t="s">
        <v>639</v>
      </c>
      <c r="R2083" s="38" t="n">
        <f aca="false">MIN(Sens!$R$2081,Sens!$R$2058*(tk_cx_h100+tk_fac*(1-colo_sh))/1000)</f>
        <v>1.50429979529945</v>
      </c>
      <c r="S2083" s="38" t="n">
        <f aca="false">Sens!$C$2083</f>
        <v>11.2938642</v>
      </c>
      <c r="T2083" s="38" t="n">
        <f aca="false">Sens!$D$2083</f>
        <v>50.8223889</v>
      </c>
      <c r="U2083" s="38" t="n">
        <f aca="false">Sens!$G$2083</f>
        <v>122.615129661213</v>
      </c>
      <c r="V2083" s="38" t="n">
        <f aca="false">Sens!$H$2083</f>
        <v>198.57136494475</v>
      </c>
      <c r="W2083" s="38" t="n">
        <f aca="false">Sens!$I$2083</f>
        <v>204.6464699105</v>
      </c>
      <c r="X2083" s="38" t="n">
        <f aca="false">Sens!$J$2083</f>
        <v>204.6464699105</v>
      </c>
      <c r="Y2083" s="38" t="n">
        <f aca="false">Sens!$K$2083</f>
        <v>150.001617075201</v>
      </c>
      <c r="Z2083" s="38" t="n">
        <f aca="false">Sens!$L$2083</f>
        <v>95.3567642399017</v>
      </c>
      <c r="AA2083" s="38" t="n">
        <f aca="false">Sens!$M$2083</f>
        <v>72.1325206046024</v>
      </c>
    </row>
    <row r="2084" customFormat="false" ht="17.15" hidden="false" customHeight="false" outlineLevel="0" collapsed="false">
      <c r="A2084" s="5" t="s">
        <v>640</v>
      </c>
      <c r="B2084" s="0" t="s">
        <v>86</v>
      </c>
      <c r="C2084" s="38" t="n">
        <f aca="false">Sens!$C$2081-Sens!$C$2083</f>
        <v>13.9842411077374</v>
      </c>
      <c r="D2084" s="38" t="n">
        <f aca="false">Sens!$D$2081-Sens!$D$2083</f>
        <v>18.7462427310026</v>
      </c>
      <c r="E2084" s="38" t="n">
        <f aca="false">Sens!$E$2081-Sens!$E$2083</f>
        <v>30.2913414485108</v>
      </c>
      <c r="F2084" s="38" t="n">
        <f aca="false">Sens!$F$2081-Sens!$F$2083</f>
        <v>0</v>
      </c>
      <c r="G2084" s="38" t="n">
        <f aca="false">Sens!$G$2081-Sens!$G$2083</f>
        <v>30.2913414485108</v>
      </c>
      <c r="H2084" s="38" t="n">
        <f aca="false">Sens!$H$2081-Sens!$H$2083</f>
        <v>0</v>
      </c>
      <c r="I2084" s="38" t="n">
        <f aca="false">Sens!$I$2081-Sens!$I$2083</f>
        <v>0</v>
      </c>
      <c r="J2084" s="38" t="n">
        <f aca="false">Sens!$J$2081-Sens!$J$2083</f>
        <v>0</v>
      </c>
      <c r="K2084" s="38" t="n">
        <f aca="false">Sens!$K$2081-Sens!$K$2083</f>
        <v>0</v>
      </c>
      <c r="L2084" s="38" t="n">
        <f aca="false">Sens!$L$2081-Sens!$L$2083</f>
        <v>0</v>
      </c>
      <c r="M2084" s="38" t="n">
        <f aca="false">Sens!$M$2081-Sens!$M$2083</f>
        <v>0</v>
      </c>
      <c r="P2084" s="5" t="s">
        <v>641</v>
      </c>
      <c r="R2084" s="38" t="n">
        <f aca="false">Sens!$R$2081-Sens!$R$2083</f>
        <v>0</v>
      </c>
      <c r="S2084" s="38" t="n">
        <f aca="false">Sens!$S$2081-Sens!$S$2083</f>
        <v>13.9842411077374</v>
      </c>
      <c r="T2084" s="38" t="n">
        <f aca="false">Sens!$T$2081-Sens!$T$2083</f>
        <v>18.7462427310026</v>
      </c>
      <c r="U2084" s="38" t="n">
        <f aca="false">Sens!$U$2081-Sens!$U$2083</f>
        <v>30.2913414485108</v>
      </c>
      <c r="V2084" s="38" t="n">
        <f aca="false">Sens!$V$2081-Sens!$V$2083</f>
        <v>0</v>
      </c>
      <c r="W2084" s="38" t="n">
        <f aca="false">Sens!$W$2081-Sens!$W$2083</f>
        <v>0</v>
      </c>
      <c r="X2084" s="38" t="n">
        <f aca="false">Sens!$X$2081-Sens!$X$2083</f>
        <v>0</v>
      </c>
      <c r="Y2084" s="38" t="n">
        <f aca="false">Sens!$Y$2081-Sens!$Y$2083</f>
        <v>0</v>
      </c>
      <c r="Z2084" s="38" t="n">
        <f aca="false">Sens!$Z$2081-Sens!$Z$2083</f>
        <v>0</v>
      </c>
      <c r="AA2084" s="38" t="n">
        <f aca="false">Sens!$AA$2081-Sens!$AA$2083</f>
        <v>0</v>
      </c>
    </row>
    <row r="2085" customFormat="false" ht="17.15" hidden="false" customHeight="false" outlineLevel="0" collapsed="false">
      <c r="A2085" s="5" t="s">
        <v>642</v>
      </c>
      <c r="B2085" s="0" t="s">
        <v>86</v>
      </c>
      <c r="R2085" s="38" t="n">
        <f aca="false">Sens!$R$2084*Sens!$C$2080</f>
        <v>0</v>
      </c>
      <c r="S2085" s="38" t="n">
        <f aca="false">Sens!$S$2084*Sens!$C$2080</f>
        <v>10.219074499801</v>
      </c>
      <c r="T2085" s="38" t="n">
        <f aca="false">Sens!$T$2084*Sens!$C$2080</f>
        <v>13.6989379390402</v>
      </c>
      <c r="U2085" s="38" t="n">
        <f aca="false">Sens!$U$2084*Sens!$E$2080</f>
        <v>23.0454203705653</v>
      </c>
      <c r="V2085" s="38" t="n">
        <f aca="false">Sens!$V$2084*Sens!$E$2080</f>
        <v>0</v>
      </c>
      <c r="W2085" s="38" t="n">
        <f aca="false">Sens!$W$2084*Sens!$E$2080</f>
        <v>0</v>
      </c>
      <c r="X2085" s="38" t="n">
        <f aca="false">Sens!$X$2084*Sens!$E$2080</f>
        <v>0</v>
      </c>
      <c r="Y2085" s="38" t="n">
        <f aca="false">Sens!$Y$2084*Sens!$E$2080</f>
        <v>0</v>
      </c>
      <c r="Z2085" s="38" t="n">
        <f aca="false">Sens!$Z$2084*Sens!$E$2080</f>
        <v>0</v>
      </c>
      <c r="AA2085" s="38" t="n">
        <f aca="false">Sens!$AA$2084*Sens!$E$2080</f>
        <v>0</v>
      </c>
    </row>
    <row r="2086" customFormat="false" ht="17.15" hidden="false" customHeight="false" outlineLevel="0" collapsed="false">
      <c r="A2086" s="5" t="s">
        <v>643</v>
      </c>
      <c r="B2086" s="0" t="s">
        <v>86</v>
      </c>
      <c r="R2086" s="38" t="n">
        <f aca="false">SUMPRODUCT(--(Sens!$R$2051:$AA$2051=2023-cip_lag),Sens!$R$2085:$AA$2085)</f>
        <v>0</v>
      </c>
      <c r="S2086" s="38" t="n">
        <f aca="false">SUMPRODUCT(--(Sens!$R$2051:$AA$2051=2024-cip_lag),Sens!$R$2085:$AA$2085)</f>
        <v>0</v>
      </c>
      <c r="T2086" s="38" t="n">
        <f aca="false">SUMPRODUCT(--(Sens!$R$2051:$AA$2051=2025-cip_lag),Sens!$R$2085:$AA$2085)</f>
        <v>10.219074499801</v>
      </c>
      <c r="U2086" s="38" t="n">
        <f aca="false">SUMPRODUCT(--(Sens!$R$2051:$AA$2051=2026-cip_lag),Sens!$R$2085:$AA$2085)</f>
        <v>13.6989379390402</v>
      </c>
      <c r="V2086" s="38" t="n">
        <f aca="false">SUMPRODUCT(--(Sens!$R$2051:$AA$2051=2027-cip_lag),Sens!$R$2085:$AA$2085)</f>
        <v>23.0454203705653</v>
      </c>
      <c r="W2086" s="38" t="n">
        <f aca="false">SUMPRODUCT(--(Sens!$R$2051:$AA$2051=2028-cip_lag),Sens!$R$2085:$AA$2085)</f>
        <v>0</v>
      </c>
      <c r="X2086" s="38" t="n">
        <f aca="false">SUMPRODUCT(--(Sens!$R$2051:$AA$2051=2029-cip_lag),Sens!$R$2085:$AA$2085)</f>
        <v>0</v>
      </c>
      <c r="Y2086" s="38" t="n">
        <f aca="false">SUMPRODUCT(--(Sens!$R$2051:$AA$2051=2030-cip_lag),Sens!$R$2085:$AA$2085)</f>
        <v>0</v>
      </c>
      <c r="Z2086" s="38" t="n">
        <f aca="false">SUMPRODUCT(--(Sens!$R$2051:$AA$2051=2031-cip_lag),Sens!$R$2085:$AA$2085)</f>
        <v>0</v>
      </c>
      <c r="AA2086" s="38" t="n">
        <f aca="false">SUMPRODUCT(--(Sens!$R$2051:$AA$2051=2032-cip_lag),Sens!$R$2085:$AA$2085)</f>
        <v>0</v>
      </c>
    </row>
    <row r="2087" customFormat="false" ht="15" hidden="false" customHeight="false" outlineLevel="0" collapsed="false">
      <c r="A2087" s="5" t="s">
        <v>644</v>
      </c>
      <c r="B2087" s="0" t="s">
        <v>86</v>
      </c>
      <c r="R2087" s="38" t="n">
        <f aca="false">SUMPRODUCT(--(Sens!$R$2051:$AA$2051=2023-cip_lag),Sens!$R$2084:$AA$2084)-Sens!$R$2086</f>
        <v>0</v>
      </c>
      <c r="S2087" s="38" t="n">
        <f aca="false">SUMPRODUCT(--(Sens!$R$2051:$AA$2051=2024-cip_lag),Sens!$R$2084:$AA$2084)-Sens!$S$2086</f>
        <v>0</v>
      </c>
      <c r="T2087" s="38" t="n">
        <f aca="false">SUMPRODUCT(--(Sens!$R$2051:$AA$2051=2025-cip_lag),Sens!$R$2084:$AA$2084)-Sens!$T$2086</f>
        <v>3.76516660793636</v>
      </c>
      <c r="U2087" s="38" t="n">
        <f aca="false">SUMPRODUCT(--(Sens!$R$2051:$AA$2051=2026-cip_lag),Sens!$R$2084:$AA$2084)-Sens!$U$2086</f>
        <v>5.04730479196242</v>
      </c>
      <c r="V2087" s="38" t="n">
        <f aca="false">SUMPRODUCT(--(Sens!$R$2051:$AA$2051=2027-cip_lag),Sens!$R$2084:$AA$2084)-Sens!$V$2086</f>
        <v>7.24592107794548</v>
      </c>
      <c r="W2087" s="38" t="n">
        <f aca="false">SUMPRODUCT(--(Sens!$R$2051:$AA$2051=2028-cip_lag),Sens!$R$2084:$AA$2084)-Sens!$W$2086</f>
        <v>0</v>
      </c>
      <c r="X2087" s="38" t="n">
        <f aca="false">SUMPRODUCT(--(Sens!$R$2051:$AA$2051=2029-cip_lag),Sens!$R$2084:$AA$2084)-Sens!$X$2086</f>
        <v>0</v>
      </c>
      <c r="Y2087" s="38" t="n">
        <f aca="false">SUMPRODUCT(--(Sens!$R$2051:$AA$2051=2030-cip_lag),Sens!$R$2084:$AA$2084)-Sens!$Y$2086</f>
        <v>0</v>
      </c>
      <c r="Z2087" s="38" t="n">
        <f aca="false">SUMPRODUCT(--(Sens!$R$2051:$AA$2051=2031-cip_lag),Sens!$R$2084:$AA$2084)-Sens!$Z$2086</f>
        <v>0</v>
      </c>
      <c r="AA2087" s="38" t="n">
        <f aca="false">SUMPRODUCT(--(Sens!$R$2051:$AA$2051=2032-cip_lag),Sens!$R$2084:$AA$2084)-Sens!$AA$2086</f>
        <v>0</v>
      </c>
    </row>
    <row r="2088" customFormat="false" ht="17.15" hidden="false" customHeight="false" outlineLevel="0" collapsed="false">
      <c r="A2088" s="5" t="s">
        <v>645</v>
      </c>
      <c r="B2088" s="0" t="s">
        <v>86</v>
      </c>
      <c r="C2088" s="38" t="n">
        <f aca="false">Sens!$C$2083*Sens!$C$2080</f>
        <v>8.2530642</v>
      </c>
      <c r="D2088" s="38" t="n">
        <f aca="false">Sens!$D$2083*Sens!$D$2080</f>
        <v>37.1387889</v>
      </c>
      <c r="E2088" s="38" t="n">
        <f aca="false">Sens!$E$2083*Sens!$E$2080</f>
        <v>25.7897792</v>
      </c>
      <c r="F2088" s="38" t="n">
        <f aca="false">Sens!$F$2083*Sens!$F$2080</f>
        <v>67.4948715189913</v>
      </c>
      <c r="G2088" s="38" t="n">
        <f aca="false">Sens!$E$2088+Sens!$F$2088</f>
        <v>93.2846507189913</v>
      </c>
      <c r="H2088" s="38" t="n">
        <f aca="false">(Sens!$H$2083-Sens!$H$2082)*Sens!$H$2080+Sens!$H$2082</f>
        <v>152.52478394475</v>
      </c>
      <c r="I2088" s="38" t="n">
        <f aca="false">(Sens!$I$2083-Sens!$I$2082)*Sens!$I$2080+Sens!$I$2082</f>
        <v>158.5998889105</v>
      </c>
      <c r="J2088" s="38" t="n">
        <f aca="false">(Sens!$J$2083-Sens!$J$2082)*Sens!$J$2080+Sens!$J$2082</f>
        <v>158.5998889105</v>
      </c>
      <c r="K2088" s="38" t="n">
        <f aca="false">(Sens!$K$2083-Sens!$K$2082)*Sens!$K$2080+Sens!$K$2082</f>
        <v>117.428730073534</v>
      </c>
      <c r="L2088" s="38" t="n">
        <f aca="false">(Sens!$L$2083-Sens!$L$2082)*Sens!$L$2080+Sens!$L$2082</f>
        <v>76.2575712365684</v>
      </c>
      <c r="M2088" s="38" t="n">
        <f aca="false">(Sens!$M$2083-Sens!$M$2082)*Sens!$M$2080+Sens!$M$2082</f>
        <v>66.5070215996024</v>
      </c>
      <c r="R2088" s="38" t="n">
        <f aca="false">Sens!$R$2083*Sens!$C$2080</f>
        <v>1.09927679019314</v>
      </c>
      <c r="S2088" s="38" t="n">
        <f aca="false">Sens!$C$2088</f>
        <v>8.2530642</v>
      </c>
      <c r="T2088" s="38" t="n">
        <f aca="false">Sens!$D$2088</f>
        <v>37.1387889</v>
      </c>
      <c r="U2088" s="38" t="n">
        <f aca="false">Sens!$G$2088</f>
        <v>93.2846507189913</v>
      </c>
      <c r="V2088" s="38" t="n">
        <f aca="false">Sens!$H$2088</f>
        <v>152.52478394475</v>
      </c>
      <c r="W2088" s="38" t="n">
        <f aca="false">Sens!$I$2088</f>
        <v>158.5998889105</v>
      </c>
      <c r="X2088" s="38" t="n">
        <f aca="false">Sens!$J$2088</f>
        <v>158.5998889105</v>
      </c>
      <c r="Y2088" s="38" t="n">
        <f aca="false">Sens!$K$2088</f>
        <v>117.428730073534</v>
      </c>
      <c r="Z2088" s="38" t="n">
        <f aca="false">Sens!$L$2088</f>
        <v>76.2575712365684</v>
      </c>
      <c r="AA2088" s="38" t="n">
        <f aca="false">Sens!$M$2088</f>
        <v>66.5070215996024</v>
      </c>
    </row>
    <row r="2089" customFormat="false" ht="15" hidden="false" customHeight="false" outlineLevel="0" collapsed="false">
      <c r="A2089" s="5" t="s">
        <v>646</v>
      </c>
      <c r="B2089" s="0" t="s">
        <v>86</v>
      </c>
      <c r="C2089" s="38" t="n">
        <f aca="false">Sens!$C$2083-Sens!$C$2088</f>
        <v>3.0408</v>
      </c>
      <c r="D2089" s="38" t="n">
        <f aca="false">Sens!$D$2083-Sens!$D$2088</f>
        <v>13.6836</v>
      </c>
      <c r="E2089" s="38" t="n">
        <f aca="false">Sens!$E$2083-Sens!$E$2088</f>
        <v>8.1088</v>
      </c>
      <c r="F2089" s="38" t="n">
        <f aca="false">Sens!$F$2083-Sens!$F$2088</f>
        <v>21.2216789422221</v>
      </c>
      <c r="G2089" s="38" t="n">
        <f aca="false">Sens!$G$2083-Sens!$G$2088</f>
        <v>29.3304789422221</v>
      </c>
      <c r="H2089" s="38" t="n">
        <f aca="false">Sens!$H$2083-Sens!$H$2088</f>
        <v>46.046581</v>
      </c>
      <c r="I2089" s="38" t="n">
        <f aca="false">Sens!$I$2083-Sens!$I$2088</f>
        <v>46.046581</v>
      </c>
      <c r="J2089" s="38" t="n">
        <f aca="false">Sens!$J$2083-Sens!$J$2088</f>
        <v>46.046581</v>
      </c>
      <c r="K2089" s="38" t="n">
        <f aca="false">Sens!$K$2083-Sens!$K$2088</f>
        <v>32.5728870016667</v>
      </c>
      <c r="L2089" s="38" t="n">
        <f aca="false">Sens!$L$2083-Sens!$L$2088</f>
        <v>19.0991930033334</v>
      </c>
      <c r="M2089" s="38" t="n">
        <f aca="false">Sens!$M$2083-Sens!$M$2088</f>
        <v>5.62549900499998</v>
      </c>
      <c r="R2089" s="38" t="n">
        <f aca="false">Sens!$R$2083-Sens!$R$2088</f>
        <v>0.405023005106309</v>
      </c>
      <c r="S2089" s="38" t="n">
        <f aca="false">Sens!$S$2083-Sens!$S$2088</f>
        <v>3.0408</v>
      </c>
      <c r="T2089" s="38" t="n">
        <f aca="false">Sens!$T$2083-Sens!$T$2088</f>
        <v>13.6836</v>
      </c>
      <c r="U2089" s="38" t="n">
        <f aca="false">Sens!$U$2083-Sens!$U$2088</f>
        <v>29.3304789422221</v>
      </c>
      <c r="V2089" s="38" t="n">
        <f aca="false">Sens!$V$2083-Sens!$V$2088</f>
        <v>46.046581</v>
      </c>
      <c r="W2089" s="38" t="n">
        <f aca="false">Sens!$W$2083-Sens!$W$2088</f>
        <v>46.046581</v>
      </c>
      <c r="X2089" s="38" t="n">
        <f aca="false">Sens!$X$2083-Sens!$X$2088</f>
        <v>46.046581</v>
      </c>
      <c r="Y2089" s="38" t="n">
        <f aca="false">Sens!$Y$2083-Sens!$Y$2088</f>
        <v>32.5728870016667</v>
      </c>
      <c r="Z2089" s="38" t="n">
        <f aca="false">Sens!$Z$2083-Sens!$Z$2088</f>
        <v>19.0991930033334</v>
      </c>
      <c r="AA2089" s="38" t="n">
        <f aca="false">Sens!$AA$2083-Sens!$AA$2088</f>
        <v>5.62549900499998</v>
      </c>
    </row>
    <row r="2090" customFormat="false" ht="17.15" hidden="false" customHeight="false" outlineLevel="0" collapsed="false">
      <c r="A2090" s="0" t="s">
        <v>647</v>
      </c>
      <c r="B2090" s="0" t="s">
        <v>52</v>
      </c>
      <c r="C2090" s="13" t="n">
        <f aca="false">Sens!$C$2081/Sens!$C$2206</f>
        <v>0.325505489553393</v>
      </c>
      <c r="D2090" s="13" t="n">
        <f aca="false">Sens!$D$2081/Sens!$D$2206</f>
        <v>0.54214956071542</v>
      </c>
      <c r="E2090" s="13" t="n">
        <f aca="false">Sens!$E$2081/Sens!$E$2206</f>
        <v>0.666492790452817</v>
      </c>
      <c r="F2090" s="13" t="n">
        <f aca="false">Sens!$F$2081/Sens!$F$2206</f>
        <v>0.71724917504417</v>
      </c>
      <c r="G2090" s="13" t="n">
        <f aca="false">Sens!$G$2081/Sens!$G$2206</f>
        <v>0.69502941413511</v>
      </c>
      <c r="H2090" s="13" t="n">
        <f aca="false">Sens!$H$2081/Sens!$H$2206</f>
        <v>0.726376041178204</v>
      </c>
      <c r="I2090" s="13" t="n">
        <f aca="false">Sens!$I$2081/Sens!$I$2206</f>
        <v>0.713099092661699</v>
      </c>
      <c r="J2090" s="13" t="n">
        <f aca="false">Sens!$J$2081/Sens!$J$2206</f>
        <v>0.695887674230598</v>
      </c>
      <c r="K2090" s="13" t="n">
        <f aca="false">Sens!$K$2081/Sens!$K$2206</f>
        <v>0.610208228932289</v>
      </c>
      <c r="L2090" s="13" t="n">
        <f aca="false">Sens!$L$2081/Sens!$L$2206</f>
        <v>0.481505090658699</v>
      </c>
      <c r="M2090" s="13" t="n">
        <f aca="false">Sens!$M$2081/Sens!$M$2206</f>
        <v>0.395912178678385</v>
      </c>
    </row>
    <row r="2091" customFormat="false" ht="17.15" hidden="false" customHeight="false" outlineLevel="0" collapsed="false">
      <c r="A2091" s="0" t="s">
        <v>648</v>
      </c>
      <c r="B2091" s="0" t="s">
        <v>86</v>
      </c>
      <c r="C2091" s="38" t="n">
        <f aca="false">Sens!$S$2091</f>
        <v>0.157039541456163</v>
      </c>
      <c r="D2091" s="38" t="n">
        <f aca="false">Sens!$T$2091</f>
        <v>1.33604871288473</v>
      </c>
      <c r="E2091" s="38" t="n">
        <f aca="false">Sens!$G$2091/2</f>
        <v>4.05072888499959</v>
      </c>
      <c r="F2091" s="38" t="n">
        <f aca="false">Sens!$G$2091/2</f>
        <v>4.05072888499959</v>
      </c>
      <c r="G2091" s="38" t="n">
        <f aca="false">Sens!$U$2091</f>
        <v>8.10145776999917</v>
      </c>
      <c r="H2091" s="38" t="n">
        <f aca="false">Sens!$V$2091</f>
        <v>23.3848275782894</v>
      </c>
      <c r="I2091" s="38" t="n">
        <f aca="false">Sens!$W$2091</f>
        <v>48.4662853376202</v>
      </c>
      <c r="J2091" s="38" t="n">
        <f aca="false">Sens!$X$2091</f>
        <v>71.1234123248344</v>
      </c>
      <c r="K2091" s="38" t="n">
        <f aca="false">Sens!$Y$2091</f>
        <v>93.7805393120487</v>
      </c>
      <c r="L2091" s="38" t="n">
        <f aca="false">Sens!$Z$2091</f>
        <v>110.39903263824</v>
      </c>
      <c r="M2091" s="38" t="n">
        <f aca="false">Sens!$AA$2091</f>
        <v>120.113962214893</v>
      </c>
      <c r="N2091" s="38" t="n">
        <f aca="false">Sens!$D$2091/2</f>
        <v>0.668024356442367</v>
      </c>
      <c r="O2091" s="38" t="n">
        <f aca="false">Sens!$D$2091/2</f>
        <v>0.668024356442367</v>
      </c>
      <c r="R2091" s="38" t="n">
        <f aca="false">(SUMPRODUCT(--(Sens!$R$2051:$AA$2051&lt;Sens!R$2051),--(Sens!$R$2051:$AA$2051&gt;=Sens!R$2051-tk_life_hi),Sens!$R$2088:$AA$2088)+SUMPRODUCT(--(Sens!$R$2051:$AA$2051&lt;Sens!R$2051),--(Sens!$R$2051:$AA$2051&gt;=Sens!R$2051-tk_life_hi),Sens!$R$2086:$AA$2086))/tk_life_hi</f>
        <v>0</v>
      </c>
      <c r="S2091" s="38" t="n">
        <f aca="false">(SUMPRODUCT(--(Sens!$R$2051:$AA$2051&lt;Sens!S$2051),--(Sens!$R$2051:$AA$2051&gt;=Sens!S$2051-tk_life_hi),Sens!$R$2088:$AA$2088)+SUMPRODUCT(--(Sens!$R$2051:$AA$2051&lt;Sens!S$2051),--(Sens!$R$2051:$AA$2051&gt;=Sens!S$2051-tk_life_hi),Sens!$R$2086:$AA$2086))/tk_life_hi</f>
        <v>0.157039541456163</v>
      </c>
      <c r="T2091" s="38" t="n">
        <f aca="false">(SUMPRODUCT(--(Sens!$R$2051:$AA$2051&lt;Sens!T$2051),--(Sens!$R$2051:$AA$2051&gt;=Sens!T$2051-tk_life_hi),Sens!$R$2088:$AA$2088)+SUMPRODUCT(--(Sens!$R$2051:$AA$2051&lt;Sens!T$2051),--(Sens!$R$2051:$AA$2051&gt;=Sens!T$2051-tk_life_hi),Sens!$R$2086:$AA$2086))/tk_life_hi</f>
        <v>1.33604871288473</v>
      </c>
      <c r="U2091" s="38" t="n">
        <f aca="false">(SUMPRODUCT(--(Sens!$R$2051:$AA$2051&lt;Sens!U$2051),--(Sens!$R$2051:$AA$2051&gt;=Sens!U$2051-tk_life_hi),Sens!$R$2088:$AA$2088)+SUMPRODUCT(--(Sens!$R$2051:$AA$2051&lt;Sens!U$2051),--(Sens!$R$2051:$AA$2051&gt;=Sens!U$2051-tk_life_hi),Sens!$R$2086:$AA$2086))/tk_life_hi</f>
        <v>8.10145776999917</v>
      </c>
      <c r="V2091" s="38" t="n">
        <f aca="false">(SUMPRODUCT(--(Sens!$R$2051:$AA$2051&lt;Sens!V$2051),--(Sens!$R$2051:$AA$2051&gt;=Sens!V$2051-tk_life_hi),Sens!$R$2088:$AA$2088)+SUMPRODUCT(--(Sens!$R$2051:$AA$2051&lt;Sens!V$2051),--(Sens!$R$2051:$AA$2051&gt;=Sens!V$2051-tk_life_hi),Sens!$R$2086:$AA$2086))/tk_life_hi</f>
        <v>23.3848275782894</v>
      </c>
      <c r="W2091" s="38" t="n">
        <f aca="false">(SUMPRODUCT(--(Sens!$R$2051:$AA$2051&lt;Sens!W$2051),--(Sens!$R$2051:$AA$2051&gt;=Sens!W$2051-tk_life_hi),Sens!$R$2088:$AA$2088)+SUMPRODUCT(--(Sens!$R$2051:$AA$2051&lt;Sens!W$2051),--(Sens!$R$2051:$AA$2051&gt;=Sens!W$2051-tk_life_hi),Sens!$R$2086:$AA$2086))/tk_life_hi</f>
        <v>48.4662853376202</v>
      </c>
      <c r="X2091" s="38" t="n">
        <f aca="false">(SUMPRODUCT(--(Sens!$R$2051:$AA$2051&lt;Sens!X$2051),--(Sens!$R$2051:$AA$2051&gt;=Sens!X$2051-tk_life_hi),Sens!$R$2088:$AA$2088)+SUMPRODUCT(--(Sens!$R$2051:$AA$2051&lt;Sens!X$2051),--(Sens!$R$2051:$AA$2051&gt;=Sens!X$2051-tk_life_hi),Sens!$R$2086:$AA$2086))/tk_life_hi</f>
        <v>71.1234123248344</v>
      </c>
      <c r="Y2091" s="38" t="n">
        <f aca="false">(SUMPRODUCT(--(Sens!$R$2051:$AA$2051&lt;Sens!Y$2051),--(Sens!$R$2051:$AA$2051&gt;=Sens!Y$2051-tk_life_hi),Sens!$R$2088:$AA$2088)+SUMPRODUCT(--(Sens!$R$2051:$AA$2051&lt;Sens!Y$2051),--(Sens!$R$2051:$AA$2051&gt;=Sens!Y$2051-tk_life_hi),Sens!$R$2086:$AA$2086))/tk_life_hi</f>
        <v>93.7805393120487</v>
      </c>
      <c r="Z2091" s="38" t="n">
        <f aca="false">(SUMPRODUCT(--(Sens!$R$2051:$AA$2051&lt;Sens!Z$2051),--(Sens!$R$2051:$AA$2051&gt;=Sens!Z$2051-tk_life_hi),Sens!$R$2088:$AA$2088)+SUMPRODUCT(--(Sens!$R$2051:$AA$2051&lt;Sens!Z$2051),--(Sens!$R$2051:$AA$2051&gt;=Sens!Z$2051-tk_life_hi),Sens!$R$2086:$AA$2086))/tk_life_hi</f>
        <v>110.39903263824</v>
      </c>
      <c r="AA2091" s="38" t="n">
        <f aca="false">(SUMPRODUCT(--(Sens!$R$2051:$AA$2051&lt;Sens!AA$2051),--(Sens!$R$2051:$AA$2051&gt;=Sens!AA$2051-tk_life_hi),Sens!$R$2088:$AA$2088)+SUMPRODUCT(--(Sens!$R$2051:$AA$2051&lt;Sens!AA$2051),--(Sens!$R$2051:$AA$2051&gt;=Sens!AA$2051-tk_life_hi),Sens!$R$2086:$AA$2086))/tk_life_hi</f>
        <v>120.113962214893</v>
      </c>
    </row>
    <row r="2092" customFormat="false" ht="17.15" hidden="false" customHeight="false" outlineLevel="0" collapsed="false">
      <c r="A2092" s="0" t="s">
        <v>649</v>
      </c>
      <c r="B2092" s="0" t="s">
        <v>86</v>
      </c>
      <c r="C2092" s="38" t="n">
        <f aca="false">Sens!$S$2092</f>
        <v>0.0202511502553155</v>
      </c>
      <c r="D2092" s="38" t="n">
        <f aca="false">Sens!$T$2092</f>
        <v>0.172291150255315</v>
      </c>
      <c r="E2092" s="38" t="n">
        <f aca="false">Sens!$G$2092/2</f>
        <v>0.522364740326067</v>
      </c>
      <c r="F2092" s="38" t="n">
        <f aca="false">Sens!$G$2092/2</f>
        <v>0.522364740326067</v>
      </c>
      <c r="G2092" s="38" t="n">
        <f aca="false">Sens!$U$2092</f>
        <v>1.04472948065213</v>
      </c>
      <c r="H2092" s="38" t="n">
        <f aca="false">Sens!$V$2092</f>
        <v>2.76361866736136</v>
      </c>
      <c r="I2092" s="38" t="n">
        <f aca="false">Sens!$W$2092</f>
        <v>5.42824377125863</v>
      </c>
      <c r="J2092" s="38" t="n">
        <f aca="false">Sens!$X$2092</f>
        <v>7.73057282125864</v>
      </c>
      <c r="K2092" s="38" t="n">
        <f aca="false">Sens!$Y$2092</f>
        <v>10.0329018712586</v>
      </c>
      <c r="L2092" s="38" t="n">
        <f aca="false">Sens!$Z$2092</f>
        <v>11.661546221342</v>
      </c>
      <c r="M2092" s="38" t="n">
        <f aca="false">Sens!$AA$2092</f>
        <v>12.6165058715086</v>
      </c>
      <c r="N2092" s="38" t="n">
        <f aca="false">Sens!$D$2092/2</f>
        <v>0.0861455751276577</v>
      </c>
      <c r="O2092" s="38" t="n">
        <f aca="false">Sens!$D$2092/2</f>
        <v>0.0861455751276577</v>
      </c>
      <c r="R2092" s="38" t="n">
        <f aca="false">(SUMPRODUCT(--(Sens!$R$2051:$AA$2051&lt;Sens!R$2051),Sens!$R$2089:$AA$2089)+SUMPRODUCT(--(Sens!$R$2051:$AA$2051&lt;Sens!R$2051),Sens!$R$2087:$AA$2087))/fac_life</f>
        <v>0</v>
      </c>
      <c r="S2092" s="38" t="n">
        <f aca="false">(SUMPRODUCT(--(Sens!$R$2051:$AA$2051&lt;Sens!S$2051),Sens!$R$2089:$AA$2089)+SUMPRODUCT(--(Sens!$R$2051:$AA$2051&lt;Sens!S$2051),Sens!$R$2087:$AA$2087))/fac_life</f>
        <v>0.0202511502553155</v>
      </c>
      <c r="T2092" s="38" t="n">
        <f aca="false">(SUMPRODUCT(--(Sens!$R$2051:$AA$2051&lt;Sens!T$2051),Sens!$R$2089:$AA$2089)+SUMPRODUCT(--(Sens!$R$2051:$AA$2051&lt;Sens!T$2051),Sens!$R$2087:$AA$2087))/fac_life</f>
        <v>0.172291150255315</v>
      </c>
      <c r="U2092" s="38" t="n">
        <f aca="false">(SUMPRODUCT(--(Sens!$R$2051:$AA$2051&lt;Sens!U$2051),Sens!$R$2089:$AA$2089)+SUMPRODUCT(--(Sens!$R$2051:$AA$2051&lt;Sens!U$2051),Sens!$R$2087:$AA$2087))/fac_life</f>
        <v>1.04472948065213</v>
      </c>
      <c r="V2092" s="38" t="n">
        <f aca="false">(SUMPRODUCT(--(Sens!$R$2051:$AA$2051&lt;Sens!V$2051),Sens!$R$2089:$AA$2089)+SUMPRODUCT(--(Sens!$R$2051:$AA$2051&lt;Sens!V$2051),Sens!$R$2087:$AA$2087))/fac_life</f>
        <v>2.76361866736136</v>
      </c>
      <c r="W2092" s="38" t="n">
        <f aca="false">(SUMPRODUCT(--(Sens!$R$2051:$AA$2051&lt;Sens!W$2051),Sens!$R$2089:$AA$2089)+SUMPRODUCT(--(Sens!$R$2051:$AA$2051&lt;Sens!W$2051),Sens!$R$2087:$AA$2087))/fac_life</f>
        <v>5.42824377125863</v>
      </c>
      <c r="X2092" s="38" t="n">
        <f aca="false">(SUMPRODUCT(--(Sens!$R$2051:$AA$2051&lt;Sens!X$2051),Sens!$R$2089:$AA$2089)+SUMPRODUCT(--(Sens!$R$2051:$AA$2051&lt;Sens!X$2051),Sens!$R$2087:$AA$2087))/fac_life</f>
        <v>7.73057282125864</v>
      </c>
      <c r="Y2092" s="38" t="n">
        <f aca="false">(SUMPRODUCT(--(Sens!$R$2051:$AA$2051&lt;Sens!Y$2051),Sens!$R$2089:$AA$2089)+SUMPRODUCT(--(Sens!$R$2051:$AA$2051&lt;Sens!Y$2051),Sens!$R$2087:$AA$2087))/fac_life</f>
        <v>10.0329018712586</v>
      </c>
      <c r="Z2092" s="38" t="n">
        <f aca="false">(SUMPRODUCT(--(Sens!$R$2051:$AA$2051&lt;Sens!Z$2051),Sens!$R$2089:$AA$2089)+SUMPRODUCT(--(Sens!$R$2051:$AA$2051&lt;Sens!Z$2051),Sens!$R$2087:$AA$2087))/fac_life</f>
        <v>11.661546221342</v>
      </c>
      <c r="AA2092" s="38" t="n">
        <f aca="false">(SUMPRODUCT(--(Sens!$R$2051:$AA$2051&lt;Sens!AA$2051),Sens!$R$2089:$AA$2089)+SUMPRODUCT(--(Sens!$R$2051:$AA$2051&lt;Sens!AA$2051),Sens!$R$2087:$AA$2087))/fac_life</f>
        <v>12.6165058715086</v>
      </c>
    </row>
    <row r="2093" customFormat="false" ht="17.15" hidden="false" customHeight="false" outlineLevel="0" collapsed="false">
      <c r="A2093" s="1" t="s">
        <v>650</v>
      </c>
      <c r="B2093" s="8" t="s">
        <v>86</v>
      </c>
      <c r="C2093" s="38" t="n">
        <f aca="false">Sens!$C$2091+Sens!$C$2092</f>
        <v>0.177290691711478</v>
      </c>
      <c r="D2093" s="38" t="n">
        <f aca="false">Sens!$D$2091+Sens!$D$2092</f>
        <v>1.50833986314005</v>
      </c>
      <c r="E2093" s="38" t="n">
        <f aca="false">Sens!$E$2091+Sens!$E$2092</f>
        <v>4.57309362532565</v>
      </c>
      <c r="F2093" s="38" t="n">
        <f aca="false">Sens!$F$2091+Sens!$F$2092</f>
        <v>4.57309362532565</v>
      </c>
      <c r="G2093" s="38" t="n">
        <f aca="false">Sens!$G$2091+Sens!$G$2092</f>
        <v>9.1461872506513</v>
      </c>
      <c r="H2093" s="38" t="n">
        <f aca="false">Sens!$H$2091+Sens!$H$2092</f>
        <v>26.1484462456508</v>
      </c>
      <c r="I2093" s="38" t="n">
        <f aca="false">Sens!$I$2091+Sens!$I$2092</f>
        <v>53.8945291088788</v>
      </c>
      <c r="J2093" s="38" t="n">
        <f aca="false">Sens!$J$2091+Sens!$J$2092</f>
        <v>78.8539851460931</v>
      </c>
      <c r="K2093" s="38" t="n">
        <f aca="false">Sens!$K$2091+Sens!$K$2092</f>
        <v>103.813441183307</v>
      </c>
      <c r="L2093" s="38" t="n">
        <f aca="false">Sens!$L$2091+Sens!$L$2092</f>
        <v>122.060578859582</v>
      </c>
      <c r="M2093" s="38" t="n">
        <f aca="false">Sens!$M$2091+Sens!$M$2092</f>
        <v>132.730468086402</v>
      </c>
      <c r="N2093" s="38" t="n">
        <f aca="false">Sens!$N$2091+Sens!$N$2092</f>
        <v>0.754169931570025</v>
      </c>
      <c r="O2093" s="38" t="n">
        <f aca="false">Sens!$O$2091+Sens!$O$2092</f>
        <v>0.754169931570025</v>
      </c>
      <c r="R2093" s="38" t="n">
        <f aca="false">Sens!$R$2091+Sens!$R$2092</f>
        <v>0</v>
      </c>
      <c r="S2093" s="38" t="n">
        <f aca="false">Sens!$S$2091+Sens!$S$2092</f>
        <v>0.177290691711478</v>
      </c>
      <c r="T2093" s="38" t="n">
        <f aca="false">Sens!$T$2091+Sens!$T$2092</f>
        <v>1.50833986314005</v>
      </c>
      <c r="U2093" s="38" t="n">
        <f aca="false">Sens!$U$2091+Sens!$U$2092</f>
        <v>9.1461872506513</v>
      </c>
      <c r="V2093" s="38" t="n">
        <f aca="false">Sens!$V$2091+Sens!$V$2092</f>
        <v>26.1484462456508</v>
      </c>
      <c r="W2093" s="38" t="n">
        <f aca="false">Sens!$W$2091+Sens!$W$2092</f>
        <v>53.8945291088788</v>
      </c>
      <c r="X2093" s="38" t="n">
        <f aca="false">Sens!$X$2091+Sens!$X$2092</f>
        <v>78.8539851460931</v>
      </c>
      <c r="Y2093" s="38" t="n">
        <f aca="false">Sens!$Y$2091+Sens!$Y$2092</f>
        <v>103.813441183307</v>
      </c>
      <c r="Z2093" s="38" t="n">
        <f aca="false">Sens!$Z$2091+Sens!$Z$2092</f>
        <v>122.060578859582</v>
      </c>
      <c r="AA2093" s="38" t="n">
        <f aca="false">Sens!$AA$2091+Sens!$AA$2092</f>
        <v>132.730468086402</v>
      </c>
    </row>
    <row r="2094" customFormat="false" ht="17.15" hidden="false" customHeight="false" outlineLevel="0" collapsed="false">
      <c r="A2094" s="0" t="s">
        <v>651</v>
      </c>
      <c r="B2094" s="0" t="s">
        <v>86</v>
      </c>
      <c r="C2094" s="38" t="n">
        <f aca="false">Sens!$S$2094</f>
        <v>26.6051144113254</v>
      </c>
      <c r="D2094" s="38" t="n">
        <f aca="false">Sens!$T$2094</f>
        <v>94.665406179188</v>
      </c>
      <c r="G2094" s="38" t="n">
        <f aca="false">Sens!$U$2094</f>
        <v>238.425690038261</v>
      </c>
      <c r="H2094" s="38" t="n">
        <f aca="false">Sens!$V$2094</f>
        <v>410.84860873736</v>
      </c>
      <c r="I2094" s="38" t="n">
        <f aca="false">Sens!$W$2094</f>
        <v>561.600549538981</v>
      </c>
      <c r="J2094" s="38" t="n">
        <f aca="false">Sens!$X$2094</f>
        <v>687.393034303388</v>
      </c>
      <c r="K2094" s="38" t="n">
        <f aca="false">Sens!$Y$2094</f>
        <v>733.581210195282</v>
      </c>
      <c r="L2094" s="38" t="n">
        <f aca="false">Sens!$Z$2094</f>
        <v>706.877395575601</v>
      </c>
      <c r="M2094" s="38" t="n">
        <f aca="false">Sens!$AA$2094</f>
        <v>646.279448093802</v>
      </c>
      <c r="R2094" s="38" t="n">
        <f aca="false">SUM(Sens!$R$2081:$R$2081)-SUM(Sens!$R$2093:$R$2093)</f>
        <v>1.50429979529945</v>
      </c>
      <c r="S2094" s="38" t="n">
        <f aca="false">SUM(Sens!$R$2081:$S$2081)-SUM(Sens!$R$2093:$S$2093)</f>
        <v>26.6051144113254</v>
      </c>
      <c r="T2094" s="38" t="n">
        <f aca="false">SUM(Sens!$R$2081:$T$2081)-SUM(Sens!$R$2093:$T$2093)</f>
        <v>94.665406179188</v>
      </c>
      <c r="U2094" s="38" t="n">
        <f aca="false">SUM(Sens!$R$2081:$U$2081)-SUM(Sens!$R$2093:$U$2093)</f>
        <v>238.425690038261</v>
      </c>
      <c r="V2094" s="38" t="n">
        <f aca="false">SUM(Sens!$R$2081:$V$2081)-SUM(Sens!$R$2093:$V$2093)</f>
        <v>410.84860873736</v>
      </c>
      <c r="W2094" s="38" t="n">
        <f aca="false">SUM(Sens!$R$2081:$W$2081)-SUM(Sens!$R$2093:$W$2093)</f>
        <v>561.600549538981</v>
      </c>
      <c r="X2094" s="38" t="n">
        <f aca="false">SUM(Sens!$R$2081:$X$2081)-SUM(Sens!$R$2093:$X$2093)</f>
        <v>687.393034303388</v>
      </c>
      <c r="Y2094" s="38" t="n">
        <f aca="false">SUM(Sens!$R$2081:$Y$2081)-SUM(Sens!$R$2093:$Y$2093)</f>
        <v>733.581210195282</v>
      </c>
      <c r="Z2094" s="38" t="n">
        <f aca="false">SUM(Sens!$R$2081:$Z$2081)-SUM(Sens!$R$2093:$Z$2093)</f>
        <v>706.877395575601</v>
      </c>
      <c r="AA2094" s="38" t="n">
        <f aca="false">SUM(Sens!$R$2081:$AA$2081)-SUM(Sens!$R$2093:$AA$2093)</f>
        <v>646.279448093802</v>
      </c>
    </row>
    <row r="2095" customFormat="false" ht="17.15" hidden="false" customHeight="false" outlineLevel="0" collapsed="false">
      <c r="A2095" s="1" t="s">
        <v>652</v>
      </c>
    </row>
    <row r="2096" customFormat="false" ht="17.15" hidden="false" customHeight="false" outlineLevel="0" collapsed="false">
      <c r="A2096" s="0" t="s">
        <v>653</v>
      </c>
      <c r="B2096" s="0" t="s">
        <v>86</v>
      </c>
      <c r="C2096" s="38" t="n">
        <f aca="false">Sens!$C$2072-ext_sh*Sens!$C$2074</f>
        <v>1.80694998843362</v>
      </c>
      <c r="D2096" s="38" t="n">
        <f aca="false">Sens!$D$2072-ext_sh*Sens!$D$2074</f>
        <v>6.77606245662607</v>
      </c>
      <c r="E2096" s="38" t="n">
        <f aca="false">Sens!$E$2072-ext_sh*Sens!$E$2074</f>
        <v>6.62548329092326</v>
      </c>
      <c r="F2096" s="38" t="n">
        <f aca="false">Sens!$F$2072-ext_sh*Sens!$F$2074</f>
        <v>11.7200577158706</v>
      </c>
      <c r="G2096" s="38" t="n">
        <f aca="false">Sens!$G$2072-ext_sh*Sens!$G$2074</f>
        <v>18.3455410067939</v>
      </c>
      <c r="H2096" s="38" t="n">
        <f aca="false">Sens!$H$2072-ext_sh*Sens!$H$2074</f>
        <v>47.5171727060453</v>
      </c>
      <c r="I2096" s="38" t="n">
        <f aca="false">Sens!$I$2072-ext_sh*Sens!$I$2074</f>
        <v>80.5539692643667</v>
      </c>
      <c r="J2096" s="38" t="n">
        <f aca="false">Sens!$J$2072-ext_sh*Sens!$J$2074</f>
        <v>113.759316834883</v>
      </c>
      <c r="K2096" s="38" t="n">
        <f aca="false">Sens!$K$2072-ext_sh*Sens!$K$2074</f>
        <v>142.084411492169</v>
      </c>
      <c r="L2096" s="38" t="n">
        <f aca="false">Sens!$L$2072-ext_sh*Sens!$L$2074</f>
        <v>160.69964615804</v>
      </c>
      <c r="M2096" s="38" t="n">
        <f aca="false">Sens!$M$2072-ext_sh*Sens!$M$2074</f>
        <v>169.577607141793</v>
      </c>
      <c r="N2096" s="38" t="n">
        <f aca="false">Sens!$N$2072-ext_sh*Sens!$N$2074</f>
        <v>2.37162185981912</v>
      </c>
      <c r="O2096" s="38" t="n">
        <f aca="false">Sens!$O$2072-ext_sh*Sens!$O$2074</f>
        <v>4.40444059680694</v>
      </c>
    </row>
    <row r="2097" customFormat="false" ht="17.15" hidden="false" customHeight="false" outlineLevel="0" collapsed="false">
      <c r="A2097" s="1" t="s">
        <v>654</v>
      </c>
      <c r="B2097" s="8" t="s">
        <v>86</v>
      </c>
      <c r="C2097" s="38" t="n">
        <f aca="false">Sens!$C$2096-ext_sh*Sens!$C$2093</f>
        <v>1.66511743506443</v>
      </c>
      <c r="D2097" s="38" t="n">
        <f aca="false">Sens!$D$2096-ext_sh*Sens!$D$2093</f>
        <v>5.56939056611403</v>
      </c>
      <c r="E2097" s="38" t="n">
        <f aca="false">Sens!$E$2096-ext_sh*Sens!$E$2093</f>
        <v>2.96700839066274</v>
      </c>
      <c r="F2097" s="38" t="n">
        <f aca="false">Sens!$F$2096-ext_sh*Sens!$F$2093</f>
        <v>8.06158281561007</v>
      </c>
      <c r="G2097" s="38" t="n">
        <f aca="false">Sens!$G$2096-ext_sh*Sens!$G$2093</f>
        <v>11.0285912062728</v>
      </c>
      <c r="H2097" s="38" t="n">
        <f aca="false">Sens!$H$2096-ext_sh*Sens!$H$2093</f>
        <v>26.5984157095247</v>
      </c>
      <c r="I2097" s="38" t="n">
        <f aca="false">Sens!$I$2096-ext_sh*Sens!$I$2093</f>
        <v>37.4383459772637</v>
      </c>
      <c r="J2097" s="38" t="n">
        <f aca="false">Sens!$J$2096-ext_sh*Sens!$J$2093</f>
        <v>50.6761287180089</v>
      </c>
      <c r="K2097" s="38" t="n">
        <f aca="false">Sens!$K$2096-ext_sh*Sens!$K$2093</f>
        <v>59.0336585455235</v>
      </c>
      <c r="L2097" s="38" t="n">
        <f aca="false">Sens!$L$2096-ext_sh*Sens!$L$2093</f>
        <v>63.0511830703744</v>
      </c>
      <c r="M2097" s="38" t="n">
        <f aca="false">Sens!$M$2096-ext_sh*Sens!$M$2093</f>
        <v>63.3932326726721</v>
      </c>
      <c r="N2097" s="38" t="n">
        <f aca="false">Sens!$N$2096-ext_sh*Sens!$N$2093</f>
        <v>1.7682859145631</v>
      </c>
      <c r="O2097" s="38" t="n">
        <f aca="false">Sens!$O$2096-ext_sh*Sens!$O$2093</f>
        <v>3.80110465155092</v>
      </c>
    </row>
    <row r="2098" customFormat="false" ht="17.15" hidden="false" customHeight="false" outlineLevel="0" collapsed="false">
      <c r="A2098" s="0" t="s">
        <v>655</v>
      </c>
      <c r="B2098" s="0" t="s">
        <v>52</v>
      </c>
      <c r="C2098" s="13" t="n">
        <f aca="false">Sens!$C$2097/Sens!$C$2072</f>
        <v>0.717412146448287</v>
      </c>
      <c r="D2098" s="13" t="n">
        <f aca="false">Sens!$D$2097/Sens!$D$2072</f>
        <v>0.639882546228553</v>
      </c>
      <c r="E2098" s="13" t="n">
        <f aca="false">Sens!$E$2097/Sens!$E$2072</f>
        <v>0.348635174026258</v>
      </c>
      <c r="F2098" s="13" t="n">
        <f aca="false">Sens!$F$2097/Sens!$F$2072</f>
        <v>0.538752201334113</v>
      </c>
      <c r="G2098" s="13" t="n">
        <f aca="false">Sens!$G$2097/Sens!$G$2072</f>
        <v>0.469825826768819</v>
      </c>
      <c r="H2098" s="13" t="n">
        <f aca="false">Sens!$H$2097/Sens!$H$2072</f>
        <v>0.442084632639206</v>
      </c>
      <c r="I2098" s="13" t="n">
        <f aca="false">Sens!$I$2097/Sens!$I$2072</f>
        <v>0.368837257122447</v>
      </c>
      <c r="J2098" s="13" t="n">
        <f aca="false">Sens!$J$2097/Sens!$J$2072</f>
        <v>0.354315570410569</v>
      </c>
      <c r="K2098" s="13" t="n">
        <f aca="false">Sens!$K$2097/Sens!$K$2072</f>
        <v>0.330816925494991</v>
      </c>
      <c r="L2098" s="13" t="n">
        <f aca="false">Sens!$L$2097/Sens!$L$2072</f>
        <v>0.312555278649955</v>
      </c>
      <c r="M2098" s="13" t="n">
        <f aca="false">Sens!$M$2097/Sens!$M$2072</f>
        <v>0.297850923065042</v>
      </c>
      <c r="N2098" s="13" t="n">
        <f aca="false">Sens!$N$2097/Sens!$N$2072</f>
        <v>0.580466328811685</v>
      </c>
      <c r="O2098" s="13" t="n">
        <f aca="false">Sens!$O$2097/Sens!$O$2072</f>
        <v>0.671875894068405</v>
      </c>
    </row>
    <row r="2099" customFormat="false" ht="17.15" hidden="false" customHeight="false" outlineLevel="0" collapsed="false">
      <c r="A2099" s="5" t="s">
        <v>656</v>
      </c>
      <c r="B2099" s="0" t="s">
        <v>86</v>
      </c>
      <c r="C2099" s="39" t="n">
        <v>0</v>
      </c>
      <c r="D2099" s="39" t="n">
        <v>0</v>
      </c>
      <c r="E2099" s="39" t="n">
        <v>0</v>
      </c>
      <c r="F2099" s="38" t="n">
        <f aca="false">IF(internal_ai_reading=2,1,0)*(1-ext_sh)/ext_sh*(mw_open*he_open+Sens!$F$2070*Sens!$F$2067)*Sens!$F$2056/1000</f>
        <v>3.77122048175818</v>
      </c>
      <c r="G2099" s="38" t="n">
        <f aca="false">Sens!$E$2099+Sens!$F$2099</f>
        <v>3.77122048175818</v>
      </c>
      <c r="H2099" s="38" t="n">
        <f aca="false">IF(internal_ai_reading=2,1,0)*(1-ext_sh)/ext_sh*(mw_open*he_open+Sens!$H$2070*Sens!$H$2067)*Sens!$H$2056/1000</f>
        <v>15.1635543609893</v>
      </c>
      <c r="I2099" s="38" t="n">
        <f aca="false">IF(internal_ai_reading=2,1,0)*(1-ext_sh)/ext_sh*(mw_open*he_open+Sens!$I$2070*Sens!$I$2067)*Sens!$I$2056/1000</f>
        <v>25.5818843619889</v>
      </c>
      <c r="J2099" s="38" t="n">
        <f aca="false">IF(internal_ai_reading=2,1,0)*(1-ext_sh)/ext_sh*(mw_open*he_open+Sens!$J$2070*Sens!$J$2067)*Sens!$J$2056/1000</f>
        <v>36.0465624179122</v>
      </c>
      <c r="K2099" s="38" t="n">
        <f aca="false">IF(internal_ai_reading=2,1,0)*(1-ext_sh)/ext_sh*(mw_open*he_open+Sens!$K$2070*Sens!$K$2067)*Sens!$K$2056/1000</f>
        <v>44.9741164026038</v>
      </c>
      <c r="L2099" s="38" t="n">
        <f aca="false">IF(internal_ai_reading=2,1,0)*(1-ext_sh)/ext_sh*(mw_open*he_open+Sens!$L$2070*Sens!$L$2067)*Sens!$L$2056/1000</f>
        <v>50.8413488057813</v>
      </c>
      <c r="M2099" s="38" t="n">
        <f aca="false">IF(internal_ai_reading=2,1,0)*(1-ext_sh)/ext_sh*(mw_open*he_open+Sens!$M$2070*Sens!$M$2067)*Sens!$M$2056/1000</f>
        <v>53.6407214274315</v>
      </c>
      <c r="N2099" s="39" t="n">
        <v>0</v>
      </c>
      <c r="O2099" s="39" t="n">
        <v>0</v>
      </c>
      <c r="P2099" s="8" t="s">
        <v>657</v>
      </c>
    </row>
    <row r="2100" customFormat="false" ht="17.15" hidden="false" customHeight="false" outlineLevel="0" collapsed="false">
      <c r="A2100" s="5" t="s">
        <v>658</v>
      </c>
      <c r="B2100" s="0" t="s">
        <v>86</v>
      </c>
      <c r="C2100" s="38" t="n">
        <f aca="false">(1-ext_sh)*(Sens!$C$2074+Sens!$C$2093)</f>
        <v>0.163971980477302</v>
      </c>
      <c r="D2100" s="38" t="n">
        <f aca="false">(1-ext_sh)*(Sens!$D$2074+Sens!$D$2093)</f>
        <v>0.783594880634284</v>
      </c>
      <c r="E2100" s="38" t="n">
        <f aca="false">(1-ext_sh)*(Sens!$E$2074+Sens!$E$2093)</f>
        <v>1.38583614622682</v>
      </c>
      <c r="F2100" s="38" t="n">
        <f aca="false">(1-ext_sh)*(Sens!$F$2074+Sens!$F$2093)</f>
        <v>1.72546270727759</v>
      </c>
      <c r="G2100" s="38" t="n">
        <f aca="false">(1-ext_sh)*(Sens!$G$2074+Sens!$G$2093)</f>
        <v>3.11129885350442</v>
      </c>
      <c r="H2100" s="38" t="n">
        <f aca="false">(1-ext_sh)*(Sens!$H$2074+Sens!$H$2093)</f>
        <v>8.39186876006246</v>
      </c>
      <c r="I2100" s="38" t="n">
        <f aca="false">(1-ext_sh)*(Sens!$I$2074+Sens!$I$2093)</f>
        <v>16.0163382897921</v>
      </c>
      <c r="J2100" s="38" t="n">
        <f aca="false">(1-ext_sh)*(Sens!$J$2074+Sens!$J$2093)</f>
        <v>23.0873196083173</v>
      </c>
      <c r="K2100" s="38" t="n">
        <f aca="false">(1-ext_sh)*(Sens!$K$2074+Sens!$K$2093)</f>
        <v>29.853615459414</v>
      </c>
      <c r="L2100" s="38" t="n">
        <f aca="false">(1-ext_sh)*(Sens!$L$2074+Sens!$L$2093)</f>
        <v>34.6692296830055</v>
      </c>
      <c r="M2100" s="38" t="n">
        <f aca="false">(1-ext_sh)*(Sens!$M$2074+Sens!$M$2093)</f>
        <v>37.3605521740483</v>
      </c>
      <c r="N2100" s="38" t="n">
        <f aca="false">(1-ext_sh)*(Sens!$N$2074+Sens!$N$2093)</f>
        <v>0.319508404116201</v>
      </c>
      <c r="O2100" s="38" t="n">
        <f aca="false">(1-ext_sh)*(Sens!$O$2074+Sens!$O$2093)</f>
        <v>0.464086476518083</v>
      </c>
    </row>
    <row r="2101" customFormat="false" ht="17.15" hidden="false" customHeight="false" outlineLevel="0" collapsed="false">
      <c r="A2101" s="0" t="s">
        <v>659</v>
      </c>
      <c r="B2101" s="0" t="s">
        <v>86</v>
      </c>
      <c r="C2101" s="38" t="n">
        <f aca="false">Q!$D$24</f>
        <v>39.834</v>
      </c>
      <c r="D2101" s="38" t="n">
        <f aca="false">Q!$E$24</f>
        <v>45.606</v>
      </c>
      <c r="E2101" s="38" t="n">
        <f aca="false">Q!$P$24</f>
        <v>30.782</v>
      </c>
      <c r="N2101" s="38" t="n">
        <f aca="false">Q!$N$24</f>
        <v>21.707</v>
      </c>
      <c r="O2101" s="38" t="n">
        <f aca="false">Q!$O$24</f>
        <v>23.899</v>
      </c>
    </row>
    <row r="2102" customFormat="false" ht="17.15" hidden="false" customHeight="false" outlineLevel="0" collapsed="false">
      <c r="A2102" s="0" t="s">
        <v>660</v>
      </c>
      <c r="B2102" s="0" t="s">
        <v>86</v>
      </c>
      <c r="C2102" s="38" t="n">
        <f aca="false">Sens!$C$2101-Sens!$C$2097</f>
        <v>38.1688825649356</v>
      </c>
      <c r="D2102" s="38" t="n">
        <f aca="false">Sens!$D$2101-Sens!$D$2097</f>
        <v>40.036609433886</v>
      </c>
      <c r="E2102" s="38" t="n">
        <f aca="false">Sens!$E$2101-Sens!$E$2097</f>
        <v>27.8149916093373</v>
      </c>
      <c r="F2102" s="38" t="n">
        <f aca="false">Sens!$F$2076*Sens!$F$2103</f>
        <v>25.6165955129063</v>
      </c>
      <c r="G2102" s="38" t="n">
        <f aca="false">Sens!$E$2102+Sens!$F$2102</f>
        <v>53.4315871222435</v>
      </c>
      <c r="H2102" s="38" t="n">
        <f aca="false">Sens!$H$2076*Sens!$H$2103</f>
        <v>57.4717789644517</v>
      </c>
      <c r="I2102" s="38" t="n">
        <f aca="false">Sens!$I$2076*Sens!$I$2103</f>
        <v>63.8082387975008</v>
      </c>
      <c r="J2102" s="38" t="n">
        <f aca="false">Sens!$J$2076*Sens!$J$2103</f>
        <v>69.8781064302044</v>
      </c>
      <c r="K2102" s="38" t="n">
        <f aca="false">Sens!$K$2076*Sens!$K$2103</f>
        <v>75.4683549446208</v>
      </c>
      <c r="L2102" s="38" t="n">
        <f aca="false">Sens!$L$2076*Sens!$L$2103</f>
        <v>81.5058233401905</v>
      </c>
      <c r="M2102" s="38" t="n">
        <f aca="false">Sens!$M$2076*Sens!$M$2103</f>
        <v>88.0262892074057</v>
      </c>
      <c r="N2102" s="38" t="n">
        <f aca="false">Sens!$N$2101-Sens!$N$2097</f>
        <v>19.9387140854369</v>
      </c>
      <c r="O2102" s="38" t="n">
        <f aca="false">Sens!$O$2101-Sens!$O$2097</f>
        <v>20.0978953484491</v>
      </c>
      <c r="P2102" s="5" t="s">
        <v>661</v>
      </c>
    </row>
    <row r="2103" customFormat="false" ht="17.15" hidden="false" customHeight="false" outlineLevel="0" collapsed="false">
      <c r="A2103" s="0" t="s">
        <v>662</v>
      </c>
      <c r="B2103" s="0" t="s">
        <v>52</v>
      </c>
      <c r="C2103" s="13" t="n">
        <f aca="false">Sens!$C$2102/Sens!$C$2076</f>
        <v>0.362701425456526</v>
      </c>
      <c r="D2103" s="13" t="n">
        <f aca="false">Sens!$D$2102/Sens!$D$2076</f>
        <v>0.333579396440598</v>
      </c>
      <c r="E2103" s="13" t="n">
        <f aca="false">Sens!$E$2102/Sens!$E$2076</f>
        <v>0.390064778536718</v>
      </c>
      <c r="F2103" s="13" t="n">
        <f aca="false">(Sens!$O$2102+Sens!$E$2102)/(Sens!$O$2076+Sens!$E$2076)</f>
        <v>0.356929712096201</v>
      </c>
      <c r="G2103" s="13" t="n">
        <f aca="false">Sens!$G$2102/Sens!$G$2076</f>
        <v>0.37344390460088</v>
      </c>
      <c r="H2103" s="13" t="n">
        <f aca="false">Sens!$F$2103</f>
        <v>0.356929712096201</v>
      </c>
      <c r="I2103" s="13" t="n">
        <f aca="false">Sens!$F$2103</f>
        <v>0.356929712096201</v>
      </c>
      <c r="J2103" s="13" t="n">
        <f aca="false">Sens!$F$2103</f>
        <v>0.356929712096201</v>
      </c>
      <c r="K2103" s="13" t="n">
        <f aca="false">Sens!$F$2103</f>
        <v>0.356929712096201</v>
      </c>
      <c r="L2103" s="13" t="n">
        <f aca="false">Sens!$F$2103</f>
        <v>0.356929712096201</v>
      </c>
      <c r="M2103" s="13" t="n">
        <f aca="false">Sens!$F$2103</f>
        <v>0.356929712096201</v>
      </c>
      <c r="N2103" s="13" t="n">
        <f aca="false">Sens!$N$2102/Sens!$N$2076</f>
        <v>0.349228039279631</v>
      </c>
      <c r="O2103" s="13" t="n">
        <f aca="false">Sens!$O$2102/Sens!$O$2076</f>
        <v>0.319381503435993</v>
      </c>
      <c r="P2103" s="8" t="s">
        <v>663</v>
      </c>
    </row>
    <row r="2104" customFormat="false" ht="17.15" hidden="false" customHeight="false" outlineLevel="0" collapsed="false">
      <c r="A2104" s="0" t="s">
        <v>664</v>
      </c>
      <c r="B2104" s="0" t="s">
        <v>52</v>
      </c>
      <c r="D2104" s="13" t="n">
        <f aca="false">(Q!$E$31-ext_sh*Sens!$D$2093)/Sens!$D$2076</f>
        <v>0.168664561465003</v>
      </c>
    </row>
    <row r="2105" customFormat="false" ht="17.15" hidden="false" customHeight="false" outlineLevel="0" collapsed="false">
      <c r="A2105" s="0" t="s">
        <v>665</v>
      </c>
      <c r="B2105" s="0" t="s">
        <v>86</v>
      </c>
      <c r="C2105" s="38" t="n">
        <f aca="false">Q!$D$31</f>
        <v>13.32</v>
      </c>
      <c r="D2105" s="38" t="n">
        <f aca="false">Q!$E$31</f>
        <v>21.45</v>
      </c>
      <c r="E2105" s="38" t="n">
        <f aca="false">Q!$P$31</f>
        <v>15.353</v>
      </c>
      <c r="F2105" s="38" t="n">
        <f aca="false">ext_sh*Sens!$F$2093+Sens!$D$2104*Sens!$F$2076</f>
        <v>15.7634123767074</v>
      </c>
      <c r="G2105" s="38" t="n">
        <f aca="false">Sens!$E$2105+Sens!$F$2105</f>
        <v>31.1164123767074</v>
      </c>
      <c r="H2105" s="38" t="n">
        <f aca="false">ext_sh*Sens!$H$2093+Sens!$D$2104*Sens!$H$2076</f>
        <v>48.076631690461</v>
      </c>
      <c r="I2105" s="38" t="n">
        <f aca="false">ext_sh*Sens!$I$2093+Sens!$D$2104*Sens!$I$2076</f>
        <v>73.2677463799937</v>
      </c>
      <c r="J2105" s="38" t="n">
        <f aca="false">ext_sh*Sens!$J$2093+Sens!$D$2104*Sens!$J$2076</f>
        <v>96.1035833869624</v>
      </c>
      <c r="K2105" s="38" t="n">
        <f aca="false">ext_sh*Sens!$K$2093+Sens!$D$2104*Sens!$K$2076</f>
        <v>118.712779838341</v>
      </c>
      <c r="L2105" s="38" t="n">
        <f aca="false">ext_sh*Sens!$L$2093+Sens!$D$2104*Sens!$L$2076</f>
        <v>136.163452130696</v>
      </c>
      <c r="M2105" s="38" t="n">
        <f aca="false">ext_sh*Sens!$M$2093+Sens!$D$2104*Sens!$M$2076</f>
        <v>147.780562635594</v>
      </c>
      <c r="N2105" s="38" t="n">
        <f aca="false">Q!$N$31</f>
        <v>9.234</v>
      </c>
      <c r="O2105" s="38" t="n">
        <f aca="false">Q!$O$31</f>
        <v>12.216</v>
      </c>
    </row>
    <row r="2106" customFormat="false" ht="17.15" hidden="false" customHeight="false" outlineLevel="0" collapsed="false">
      <c r="A2106" s="1" t="s">
        <v>666</v>
      </c>
    </row>
    <row r="2107" customFormat="false" ht="17.15" hidden="false" customHeight="false" outlineLevel="0" collapsed="false">
      <c r="A2107" s="15" t="s">
        <v>667</v>
      </c>
      <c r="B2107" s="14" t="s">
        <v>52</v>
      </c>
      <c r="C2107" s="14"/>
      <c r="D2107" s="14"/>
      <c r="E2107" s="14"/>
      <c r="F2107" s="14"/>
      <c r="G2107" s="17" t="n">
        <f aca="false">Sens!$G$2097*(1-tax)/(ext_sh*(Sens!$D$2094+Sens!$G$2094)/2)</f>
        <v>0.0684061997298571</v>
      </c>
      <c r="H2107" s="17" t="n">
        <f aca="false">Sens!$H$2097*(1-tax)/(ext_sh*(Sens!$G$2094+Sens!$H$2094)/2)</f>
        <v>0.0846381196328319</v>
      </c>
      <c r="I2107" s="17" t="n">
        <f aca="false">Sens!$I$2097*(1-tax)/(ext_sh*(Sens!$H$2094+Sens!$I$2094)/2)</f>
        <v>0.0795404781576613</v>
      </c>
      <c r="J2107" s="17" t="n">
        <f aca="false">Sens!$J$2097*(1-tax)/(ext_sh*(Sens!$I$2094+Sens!$J$2094)/2)</f>
        <v>0.0838265653348477</v>
      </c>
      <c r="K2107" s="17" t="n">
        <f aca="false">Sens!$K$2097*(1-tax)/(ext_sh*(Sens!$J$2094+Sens!$K$2094)/2)</f>
        <v>0.0858325354260797</v>
      </c>
      <c r="L2107" s="17" t="n">
        <f aca="false">Sens!$L$2097*(1-tax)/(ext_sh*(Sens!$K$2094+Sens!$L$2094)/2)</f>
        <v>0.0904338262402242</v>
      </c>
      <c r="M2107" s="17" t="n">
        <f aca="false">Sens!$M$2097*(1-tax)/(ext_sh*(Sens!$L$2094+Sens!$M$2094)/2)</f>
        <v>0.0967906060433915</v>
      </c>
      <c r="N2107" s="14"/>
      <c r="O2107" s="14"/>
      <c r="P2107" s="8" t="s">
        <v>668</v>
      </c>
    </row>
    <row r="2108" customFormat="false" ht="17.15" hidden="false" customHeight="false" outlineLevel="0" collapsed="false">
      <c r="A2108" s="5" t="s">
        <v>669</v>
      </c>
      <c r="B2108" s="0" t="s">
        <v>57</v>
      </c>
      <c r="H2108" s="36" t="n">
        <f aca="false">Sens!$H$2072*1000/(mw_open*he_open+Sens!$H$2070*Sens!$H$2067)</f>
        <v>0.991949006767191</v>
      </c>
      <c r="I2108" s="36" t="n">
        <f aca="false">Sens!$I$2072*1000/(mw_open*he_open+Sens!$I$2070*Sens!$I$2067)</f>
        <v>0.991949006767191</v>
      </c>
      <c r="J2108" s="36" t="n">
        <f aca="false">Sens!$J$2072*1000/(mw_open*he_open+Sens!$J$2070*Sens!$J$2067)</f>
        <v>0.991949006767191</v>
      </c>
      <c r="K2108" s="36" t="n">
        <f aca="false">Sens!$K$2072*1000/(mw_open*he_open+Sens!$K$2070*Sens!$K$2067)</f>
        <v>0.991949006767191</v>
      </c>
      <c r="L2108" s="36" t="n">
        <f aca="false">Sens!$L$2072*1000/(mw_open*he_open+Sens!$L$2070*Sens!$L$2067)</f>
        <v>0.991949006767191</v>
      </c>
      <c r="M2108" s="36" t="n">
        <f aca="false">Sens!$M$2072*1000/(mw_open*he_open+Sens!$M$2070*Sens!$M$2067)</f>
        <v>0.991949006767191</v>
      </c>
    </row>
    <row r="2109" customFormat="false" ht="17.15" hidden="false" customHeight="false" outlineLevel="0" collapsed="false">
      <c r="A2109" s="5" t="s">
        <v>670</v>
      </c>
      <c r="B2109" s="0" t="s">
        <v>57</v>
      </c>
      <c r="H2109" s="36" t="n">
        <f aca="false">Sens!$H$2108*(Sens!$H$2072+wacc*ext_sh*(Sens!$G$2094+Sens!$H$2094)/2/(1-tax)-Sens!$H$2097)/Sens!$H$2072</f>
        <v>1.14043804207236</v>
      </c>
      <c r="I2109" s="36" t="n">
        <f aca="false">Sens!$I$2108*(Sens!$I$2072+wacc*ext_sh*(Sens!$H$2094+Sens!$I$2094)/2/(1-tax)-Sens!$I$2097)/Sens!$I$2072</f>
        <v>1.14722312249641</v>
      </c>
      <c r="J2109" s="36" t="n">
        <f aca="false">Sens!$J$2108*(Sens!$J$2072+wacc*ext_sh*(Sens!$I$2094+Sens!$J$2094)/2/(1-tax)-Sens!$J$2097)/Sens!$J$2072</f>
        <v>1.11551264426587</v>
      </c>
      <c r="K2109" s="36" t="n">
        <f aca="false">Sens!$K$2108*(Sens!$K$2072+wacc*ext_sh*(Sens!$J$2094+Sens!$K$2094)/2/(1-tax)-Sens!$K$2097)/Sens!$K$2072</f>
        <v>1.09695230697564</v>
      </c>
      <c r="L2109" s="36" t="n">
        <f aca="false">Sens!$L$2108*(Sens!$L$2072+wacc*ext_sh*(Sens!$K$2094+Sens!$L$2094)/2/(1-tax)-Sens!$L$2097)/Sens!$L$2072</f>
        <v>1.07033344077808</v>
      </c>
      <c r="M2109" s="36" t="n">
        <f aca="false">Sens!$M$2108*(Sens!$M$2072+wacc*ext_sh*(Sens!$L$2094+Sens!$M$2094)/2/(1-tax)-Sens!$M$2097)/Sens!$M$2072</f>
        <v>1.04233599708755</v>
      </c>
    </row>
    <row r="2110" customFormat="false" ht="17.15" hidden="false" customHeight="false" outlineLevel="0" collapsed="false">
      <c r="A2110" s="5" t="s">
        <v>671</v>
      </c>
      <c r="B2110" s="0" t="s">
        <v>52</v>
      </c>
      <c r="C2110" s="13" t="n">
        <f aca="false">Sens!$C$2073/tk_pq</f>
        <v>0.195316432429398</v>
      </c>
      <c r="D2110" s="13" t="n">
        <f aca="false">Sens!$D$2073/tk_pq</f>
        <v>0.195316432429398</v>
      </c>
      <c r="E2110" s="13" t="n">
        <f aca="false">Sens!$E$2073/tk_pq</f>
        <v>0.195316432429398</v>
      </c>
      <c r="F2110" s="13" t="n">
        <f aca="false">Sens!$F$2073/tk_pq</f>
        <v>0.202241827274866</v>
      </c>
      <c r="G2110" s="13" t="n">
        <f aca="false">Sens!$G$2073/tk_pq</f>
        <v>0.199675016194063</v>
      </c>
      <c r="H2110" s="13" t="n">
        <f aca="false">Sens!$H$2073/tk_pq</f>
        <v>0.212647947710325</v>
      </c>
      <c r="I2110" s="13" t="n">
        <f aca="false">Sens!$I$2073/tk_pq</f>
        <v>0.219285125475351</v>
      </c>
      <c r="J2110" s="13" t="n">
        <f aca="false">Sens!$J$2073/tk_pq</f>
        <v>0.222492493217189</v>
      </c>
      <c r="K2110" s="13" t="n">
        <f aca="false">Sens!$K$2073/tk_pq</f>
        <v>0.224053502812094</v>
      </c>
      <c r="L2110" s="13" t="n">
        <f aca="false">Sens!$L$2073/tk_pq</f>
        <v>0.224786916785614</v>
      </c>
      <c r="M2110" s="13" t="n">
        <f aca="false">Sens!$M$2073/tk_pq</f>
        <v>0.225048671566937</v>
      </c>
      <c r="N2110" s="13" t="n">
        <f aca="false">Sens!$N$2073/tk_pq</f>
        <v>0.195316432429398</v>
      </c>
      <c r="O2110" s="13" t="n">
        <f aca="false">Sens!$O$2073/tk_pq</f>
        <v>0.195316432429398</v>
      </c>
      <c r="P2110" s="5" t="s">
        <v>672</v>
      </c>
    </row>
    <row r="2113" customFormat="false" ht="17.15" hidden="false" customHeight="false" outlineLevel="0" collapsed="false">
      <c r="A2113" s="1" t="s">
        <v>701</v>
      </c>
    </row>
    <row r="2114" customFormat="false" ht="17.15" hidden="false" customHeight="false" outlineLevel="0" collapsed="false">
      <c r="A2114" s="0" t="s">
        <v>702</v>
      </c>
      <c r="B2114" s="0" t="s">
        <v>86</v>
      </c>
      <c r="C2114" s="38" t="n">
        <f aca="false">Sens!$C$2072</f>
        <v>2.32100535697364</v>
      </c>
      <c r="D2114" s="38" t="n">
        <f aca="false">Sens!$D$2072</f>
        <v>8.70377008865116</v>
      </c>
      <c r="E2114" s="38" t="n">
        <f aca="false">Sens!$E$2072</f>
        <v>8.51035297557002</v>
      </c>
      <c r="F2114" s="38" t="n">
        <f aca="false">Sens!$F$2072</f>
        <v>14.9634336447205</v>
      </c>
      <c r="G2114" s="38" t="n">
        <f aca="false">Sens!$G$2072</f>
        <v>23.4737866202905</v>
      </c>
      <c r="H2114" s="38" t="n">
        <f aca="false">Sens!$H$2072</f>
        <v>60.1658907497746</v>
      </c>
      <c r="I2114" s="38" t="n">
        <f aca="false">Sens!$I$2072</f>
        <v>101.503699136432</v>
      </c>
      <c r="J2114" s="38" t="n">
        <f aca="false">Sens!$J$2072</f>
        <v>143.025407151278</v>
      </c>
      <c r="K2114" s="38" t="n">
        <f aca="false">Sens!$K$2072</f>
        <v>178.44812038318</v>
      </c>
      <c r="L2114" s="38" t="n">
        <f aca="false">Sens!$L$2072</f>
        <v>201.728101802396</v>
      </c>
      <c r="M2114" s="38" t="n">
        <f aca="false">Sens!$M$2072</f>
        <v>212.835441368865</v>
      </c>
      <c r="N2114" s="38" t="n">
        <f aca="false">Sens!$N$2072</f>
        <v>3.04631953102791</v>
      </c>
      <c r="O2114" s="38" t="n">
        <f aca="false">Sens!$O$2072</f>
        <v>5.65745055762326</v>
      </c>
      <c r="P2114" s="8" t="s">
        <v>703</v>
      </c>
    </row>
    <row r="2115" customFormat="false" ht="17.15" hidden="false" customHeight="false" outlineLevel="0" collapsed="false">
      <c r="A2115" s="0" t="s">
        <v>704</v>
      </c>
      <c r="B2115" s="0" t="s">
        <v>86</v>
      </c>
      <c r="C2115" s="38" t="n">
        <f aca="false">Sens!$C$2076</f>
        <v>105.234994643026</v>
      </c>
      <c r="D2115" s="38" t="n">
        <f aca="false">Sens!$D$2076</f>
        <v>120.021229911349</v>
      </c>
      <c r="E2115" s="38" t="n">
        <f aca="false">Sens!$E$2076</f>
        <v>71.30864702443</v>
      </c>
      <c r="F2115" s="38" t="n">
        <f aca="false">Sens!$F$2076</f>
        <v>71.7692997942464</v>
      </c>
      <c r="G2115" s="38" t="n">
        <f aca="false">Sens!$G$2076</f>
        <v>143.077946818676</v>
      </c>
      <c r="H2115" s="38" t="n">
        <f aca="false">Sens!$H$2076</f>
        <v>161.017077079203</v>
      </c>
      <c r="I2115" s="38" t="n">
        <f aca="false">Sens!$I$2076</f>
        <v>178.769759521457</v>
      </c>
      <c r="J2115" s="38" t="n">
        <f aca="false">Sens!$J$2076</f>
        <v>195.775538045907</v>
      </c>
      <c r="K2115" s="38" t="n">
        <f aca="false">Sens!$K$2076</f>
        <v>211.43758108958</v>
      </c>
      <c r="L2115" s="38" t="n">
        <f aca="false">Sens!$L$2076</f>
        <v>228.352587576746</v>
      </c>
      <c r="M2115" s="38" t="n">
        <f aca="false">Sens!$M$2076</f>
        <v>246.620794582886</v>
      </c>
      <c r="N2115" s="38" t="n">
        <f aca="false">Sens!$N$2076</f>
        <v>57.0936804689721</v>
      </c>
      <c r="O2115" s="38" t="n">
        <f aca="false">Sens!$O$2076</f>
        <v>62.9275494423768</v>
      </c>
      <c r="P2115" s="8" t="s">
        <v>703</v>
      </c>
    </row>
    <row r="2116" customFormat="false" ht="17.15" hidden="false" customHeight="false" outlineLevel="0" collapsed="false">
      <c r="A2116" s="1" t="s">
        <v>523</v>
      </c>
      <c r="B2116" s="8" t="s">
        <v>86</v>
      </c>
      <c r="C2116" s="38" t="n">
        <f aca="false">Q!$D$7</f>
        <v>107.556</v>
      </c>
      <c r="D2116" s="38" t="n">
        <f aca="false">Q!$E$7</f>
        <v>128.725</v>
      </c>
      <c r="E2116" s="38" t="n">
        <f aca="false">Q!$P$7</f>
        <v>79.819</v>
      </c>
      <c r="F2116" s="38" t="n">
        <f aca="false">Sens!$F$2114+Sens!$F$2115</f>
        <v>86.7327334389669</v>
      </c>
      <c r="G2116" s="38" t="n">
        <f aca="false">Sens!$G$2114+Sens!$G$2115</f>
        <v>166.551733438967</v>
      </c>
      <c r="H2116" s="38" t="n">
        <f aca="false">Sens!$H$2114+Sens!$H$2115</f>
        <v>221.182967828978</v>
      </c>
      <c r="I2116" s="38" t="n">
        <f aca="false">Sens!$I$2114+Sens!$I$2115</f>
        <v>280.27345865789</v>
      </c>
      <c r="J2116" s="38" t="n">
        <f aca="false">Sens!$J$2114+Sens!$J$2115</f>
        <v>338.800945197185</v>
      </c>
      <c r="K2116" s="38" t="n">
        <f aca="false">Sens!$K$2114+Sens!$K$2115</f>
        <v>389.88570147276</v>
      </c>
      <c r="L2116" s="38" t="n">
        <f aca="false">Sens!$L$2114+Sens!$L$2115</f>
        <v>430.080689379143</v>
      </c>
      <c r="M2116" s="38" t="n">
        <f aca="false">Sens!$M$2114+Sens!$M$2115</f>
        <v>459.456235951751</v>
      </c>
      <c r="N2116" s="38" t="n">
        <f aca="false">Q!$N$7</f>
        <v>60.14</v>
      </c>
      <c r="O2116" s="38" t="n">
        <f aca="false">Q!$O$7</f>
        <v>68.585</v>
      </c>
      <c r="P2116" s="5" t="s">
        <v>705</v>
      </c>
    </row>
    <row r="2117" customFormat="false" ht="15" hidden="false" customHeight="false" outlineLevel="0" collapsed="false">
      <c r="A2117" s="3" t="s">
        <v>706</v>
      </c>
      <c r="B2117" s="8" t="s">
        <v>86</v>
      </c>
      <c r="C2117" s="38" t="n">
        <f aca="false">Q!$D$8</f>
        <v>637.959</v>
      </c>
      <c r="D2117" s="38" t="n">
        <f aca="false">Q!$E$8</f>
        <v>716.924</v>
      </c>
      <c r="E2117" s="38" t="n">
        <f aca="false">Q!$P$8</f>
        <v>382.125</v>
      </c>
      <c r="F2117" s="38" t="n">
        <f aca="false">Sens!$F$2044+Sens!$F$2116</f>
        <v>435.780975084504</v>
      </c>
      <c r="G2117" s="38" t="n">
        <f aca="false">Sens!$G$2044+Sens!$G$2116</f>
        <v>817.905975084504</v>
      </c>
      <c r="H2117" s="38" t="n">
        <f aca="false">Sens!$H$2044+Sens!$H$2116</f>
        <v>942.279857350364</v>
      </c>
      <c r="I2117" s="38" t="n">
        <f aca="false">Sens!$I$2044+Sens!$I$2116</f>
        <v>1068.80284981042</v>
      </c>
      <c r="J2117" s="38" t="n">
        <f aca="false">Sens!$J$2044+Sens!$J$2116</f>
        <v>1189.90935093863</v>
      </c>
      <c r="K2117" s="38" t="n">
        <f aca="false">Sens!$K$2044+Sens!$K$2116</f>
        <v>1296.06215690385</v>
      </c>
      <c r="L2117" s="38" t="n">
        <f aca="false">Sens!$L$2044+Sens!$L$2116</f>
        <v>1395.17379585473</v>
      </c>
      <c r="M2117" s="38" t="n">
        <f aca="false">Sens!$M$2044+Sens!$M$2116</f>
        <v>1487.60414389864</v>
      </c>
      <c r="N2117" s="38" t="n">
        <f aca="false">Q!$N$8</f>
        <v>323.369</v>
      </c>
      <c r="O2117" s="38" t="n">
        <f aca="false">Q!$O$8</f>
        <v>393.555</v>
      </c>
    </row>
    <row r="2118" customFormat="false" ht="17.15" hidden="false" customHeight="false" outlineLevel="0" collapsed="false">
      <c r="A2118" s="24" t="s">
        <v>714</v>
      </c>
      <c r="B2118" s="25" t="s">
        <v>86</v>
      </c>
      <c r="C2118" s="41" t="n">
        <f aca="false">Sens!$C$2044-(Sens!$C$2046+Sens!$C$2047)</f>
        <v>0</v>
      </c>
      <c r="D2118" s="41" t="n">
        <f aca="false">Sens!$D$2044-(Sens!$D$2046+Sens!$D$2047)</f>
        <v>0</v>
      </c>
      <c r="E2118" s="41" t="n">
        <f aca="false">Sens!$E$2044-(Sens!$E$2046+Sens!$E$2047)</f>
        <v>0</v>
      </c>
      <c r="F2118" s="41" t="n">
        <f aca="false">Sens!$F$2044-(Sens!$F$2046+Sens!$F$2047)</f>
        <v>0</v>
      </c>
      <c r="G2118" s="41" t="n">
        <f aca="false">Sens!$G$2044-(Sens!$G$2046+Sens!$G$2047)</f>
        <v>0</v>
      </c>
      <c r="H2118" s="41" t="n">
        <f aca="false">Sens!$H$2044-(Sens!$H$2046+Sens!$H$2047)</f>
        <v>0</v>
      </c>
      <c r="I2118" s="41" t="n">
        <f aca="false">Sens!$I$2044-(Sens!$I$2046+Sens!$I$2047)</f>
        <v>0</v>
      </c>
      <c r="J2118" s="41" t="n">
        <f aca="false">Sens!$J$2044-(Sens!$J$2046+Sens!$J$2047)</f>
        <v>0</v>
      </c>
      <c r="K2118" s="41" t="n">
        <f aca="false">Sens!$K$2044-(Sens!$K$2046+Sens!$K$2047)</f>
        <v>0</v>
      </c>
      <c r="L2118" s="41" t="n">
        <f aca="false">Sens!$L$2044-(Sens!$L$2046+Sens!$L$2047)</f>
        <v>0</v>
      </c>
      <c r="M2118" s="41" t="n">
        <f aca="false">Sens!$M$2044-(Sens!$M$2046+Sens!$M$2047)</f>
        <v>0</v>
      </c>
      <c r="N2118" s="41" t="n">
        <f aca="false">Sens!$N$2044-(Sens!$N$2046+Sens!$N$2047)</f>
        <v>0</v>
      </c>
      <c r="O2118" s="41" t="n">
        <f aca="false">Sens!$O$2044-(Sens!$O$2046+Sens!$O$2047)</f>
        <v>0</v>
      </c>
    </row>
    <row r="2119" customFormat="false" ht="17.15" hidden="false" customHeight="false" outlineLevel="0" collapsed="false">
      <c r="A2119" s="24" t="s">
        <v>715</v>
      </c>
      <c r="B2119" s="25" t="s">
        <v>86</v>
      </c>
      <c r="C2119" s="41" t="n">
        <f aca="false">Sens!$C$2114+Sens!$C$2115-Sens!$C$2116</f>
        <v>0</v>
      </c>
      <c r="D2119" s="41" t="n">
        <f aca="false">Sens!$D$2114+Sens!$D$2115-Sens!$D$2116</f>
        <v>0</v>
      </c>
      <c r="E2119" s="41" t="n">
        <f aca="false">Sens!$E$2114+Sens!$E$2115-Sens!$E$2116</f>
        <v>0</v>
      </c>
      <c r="F2119" s="41" t="n">
        <f aca="false">Sens!$F$2114+Sens!$F$2115-Sens!$F$2116</f>
        <v>0</v>
      </c>
      <c r="G2119" s="41" t="n">
        <f aca="false">Sens!$G$2114+Sens!$G$2115-Sens!$G$2116</f>
        <v>0</v>
      </c>
      <c r="H2119" s="41" t="n">
        <f aca="false">Sens!$H$2114+Sens!$H$2115-Sens!$H$2116</f>
        <v>0</v>
      </c>
      <c r="I2119" s="41" t="n">
        <f aca="false">Sens!$I$2114+Sens!$I$2115-Sens!$I$2116</f>
        <v>0</v>
      </c>
      <c r="J2119" s="41" t="n">
        <f aca="false">Sens!$J$2114+Sens!$J$2115-Sens!$J$2116</f>
        <v>0</v>
      </c>
      <c r="K2119" s="41" t="n">
        <f aca="false">Sens!$K$2114+Sens!$K$2115-Sens!$K$2116</f>
        <v>0</v>
      </c>
      <c r="L2119" s="41" t="n">
        <f aca="false">Sens!$L$2114+Sens!$L$2115-Sens!$L$2116</f>
        <v>0</v>
      </c>
      <c r="M2119" s="41" t="n">
        <f aca="false">Sens!$M$2114+Sens!$M$2115-Sens!$M$2116</f>
        <v>0</v>
      </c>
      <c r="N2119" s="41" t="n">
        <f aca="false">Sens!$N$2114+Sens!$N$2115-Sens!$N$2116</f>
        <v>0</v>
      </c>
      <c r="O2119" s="41" t="n">
        <f aca="false">Sens!$O$2114+Sens!$O$2115-Sens!$O$2116</f>
        <v>0</v>
      </c>
    </row>
    <row r="2120" customFormat="false" ht="17.15" hidden="false" customHeight="false" outlineLevel="0" collapsed="false">
      <c r="A2120" s="24" t="s">
        <v>716</v>
      </c>
      <c r="B2120" s="25" t="s">
        <v>86</v>
      </c>
      <c r="C2120" s="41" t="n">
        <f aca="false">Sens!$C$2046+Sens!$C$2047+Sens!$C$2116-Sens!$C$2117</f>
        <v>0</v>
      </c>
      <c r="D2120" s="41" t="n">
        <f aca="false">Sens!$D$2046+Sens!$D$2047+Sens!$D$2116-Sens!$D$2117</f>
        <v>0</v>
      </c>
      <c r="E2120" s="41" t="n">
        <f aca="false">Sens!$E$2046+Sens!$E$2047+Sens!$E$2116-Sens!$E$2117</f>
        <v>0</v>
      </c>
      <c r="F2120" s="41" t="n">
        <f aca="false">Sens!$F$2046+Sens!$F$2047+Sens!$F$2116-Sens!$F$2117</f>
        <v>0</v>
      </c>
      <c r="G2120" s="41" t="n">
        <f aca="false">Sens!$G$2046+Sens!$G$2047+Sens!$G$2116-Sens!$G$2117</f>
        <v>0</v>
      </c>
      <c r="H2120" s="41" t="n">
        <f aca="false">Sens!$H$2046+Sens!$H$2047+Sens!$H$2116-Sens!$H$2117</f>
        <v>0</v>
      </c>
      <c r="I2120" s="41" t="n">
        <f aca="false">Sens!$I$2046+Sens!$I$2047+Sens!$I$2116-Sens!$I$2117</f>
        <v>0</v>
      </c>
      <c r="J2120" s="41" t="n">
        <f aca="false">Sens!$J$2046+Sens!$J$2047+Sens!$J$2116-Sens!$J$2117</f>
        <v>0</v>
      </c>
      <c r="K2120" s="41" t="n">
        <f aca="false">Sens!$K$2046+Sens!$K$2047+Sens!$K$2116-Sens!$K$2117</f>
        <v>0</v>
      </c>
      <c r="L2120" s="41" t="n">
        <f aca="false">Sens!$L$2046+Sens!$L$2047+Sens!$L$2116-Sens!$L$2117</f>
        <v>0</v>
      </c>
      <c r="M2120" s="41" t="n">
        <f aca="false">Sens!$M$2046+Sens!$M$2047+Sens!$M$2116-Sens!$M$2117</f>
        <v>0</v>
      </c>
      <c r="N2120" s="41" t="n">
        <f aca="false">Sens!$N$2046+Sens!$N$2047+Sens!$N$2116-Sens!$N$2117</f>
        <v>0</v>
      </c>
      <c r="O2120" s="41" t="n">
        <f aca="false">Sens!$O$2046+Sens!$O$2047+Sens!$O$2116-Sens!$O$2117</f>
        <v>0</v>
      </c>
    </row>
    <row r="2121" customFormat="false" ht="15" hidden="false" customHeight="false" outlineLevel="0" collapsed="false">
      <c r="A2121" s="5" t="s">
        <v>710</v>
      </c>
      <c r="B2121" s="0" t="s">
        <v>52</v>
      </c>
      <c r="G2121" s="13" t="n">
        <f aca="false">Sens!$G$2117/Sens!$D$2117-1</f>
        <v>0.140854504918937</v>
      </c>
      <c r="H2121" s="13" t="n">
        <f aca="false">Sens!$H$2117/Sens!$G$2117-1</f>
        <v>0.152063789793209</v>
      </c>
      <c r="I2121" s="13" t="n">
        <f aca="false">Sens!$I$2117/Sens!$H$2117-1</f>
        <v>0.134273264437417</v>
      </c>
      <c r="J2121" s="13" t="n">
        <f aca="false">Sens!$J$2117/Sens!$I$2117-1</f>
        <v>0.113310421234083</v>
      </c>
      <c r="K2121" s="13" t="n">
        <f aca="false">Sens!$K$2117/Sens!$J$2117-1</f>
        <v>0.0892108343223652</v>
      </c>
      <c r="L2121" s="13" t="n">
        <f aca="false">Sens!$L$2117/Sens!$K$2117-1</f>
        <v>0.076471362444261</v>
      </c>
      <c r="M2121" s="13" t="n">
        <f aca="false">Sens!$M$2117/Sens!$L$2117-1</f>
        <v>0.066250060256672</v>
      </c>
    </row>
    <row r="2122" customFormat="false" ht="17.15" hidden="false" customHeight="false" outlineLevel="0" collapsed="false">
      <c r="A2122" s="0" t="s">
        <v>711</v>
      </c>
      <c r="B2122" s="0" t="s">
        <v>52</v>
      </c>
      <c r="C2122" s="13" t="n">
        <f aca="false">Sens!$C$2116/Sens!$C$2117</f>
        <v>0.168593906504964</v>
      </c>
      <c r="D2122" s="13" t="n">
        <f aca="false">Sens!$D$2116/Sens!$D$2117</f>
        <v>0.179551807444025</v>
      </c>
      <c r="E2122" s="13" t="n">
        <f aca="false">Sens!$E$2116/Sens!$E$2117</f>
        <v>0.208881910369643</v>
      </c>
      <c r="F2122" s="13" t="n">
        <f aca="false">Sens!$F$2116/Sens!$F$2117</f>
        <v>0.199028269699356</v>
      </c>
      <c r="G2122" s="13" t="n">
        <f aca="false">Sens!$G$2116/Sens!$G$2117</f>
        <v>0.203631882529968</v>
      </c>
      <c r="H2122" s="13" t="n">
        <f aca="false">Sens!$H$2116/Sens!$H$2117</f>
        <v>0.234731715958496</v>
      </c>
      <c r="I2122" s="13" t="n">
        <f aca="false">Sens!$I$2116/Sens!$I$2117</f>
        <v>0.262231204480418</v>
      </c>
      <c r="J2122" s="13" t="n">
        <f aca="false">Sens!$J$2116/Sens!$J$2117</f>
        <v>0.284728366013706</v>
      </c>
      <c r="K2122" s="13" t="n">
        <f aca="false">Sens!$K$2116/Sens!$K$2117</f>
        <v>0.300823304959505</v>
      </c>
      <c r="L2122" s="13" t="n">
        <f aca="false">Sens!$L$2116/Sens!$L$2117</f>
        <v>0.308263164529735</v>
      </c>
      <c r="M2122" s="13" t="n">
        <f aca="false">Sens!$M$2116/Sens!$M$2117</f>
        <v>0.308856517936036</v>
      </c>
      <c r="N2122" s="13" t="n">
        <f aca="false">Sens!$N$2116/Sens!$N$2117</f>
        <v>0.185979484737251</v>
      </c>
      <c r="O2122" s="13" t="n">
        <f aca="false">Sens!$O$2116/Sens!$O$2117</f>
        <v>0.174270432341096</v>
      </c>
    </row>
    <row r="2123" customFormat="false" ht="17.15" hidden="false" customHeight="false" outlineLevel="0" collapsed="false">
      <c r="A2123" s="0" t="s">
        <v>712</v>
      </c>
      <c r="B2123" s="0" t="s">
        <v>52</v>
      </c>
      <c r="C2123" s="13" t="n">
        <f aca="false">Sens!$C$2114/Sens!$C$2116</f>
        <v>0.0215795060896058</v>
      </c>
      <c r="D2123" s="13" t="n">
        <f aca="false">Sens!$D$2114/Sens!$D$2116</f>
        <v>0.0676152269462122</v>
      </c>
      <c r="E2123" s="13" t="n">
        <f aca="false">Sens!$E$2114/Sens!$E$2116</f>
        <v>0.106620641395783</v>
      </c>
      <c r="F2123" s="13" t="n">
        <f aca="false">Sens!$F$2114/Sens!$F$2116</f>
        <v>0.172523487401099</v>
      </c>
      <c r="G2123" s="13" t="n">
        <f aca="false">Sens!$G$2114/Sens!$G$2116</f>
        <v>0.140939911795589</v>
      </c>
      <c r="H2123" s="13" t="n">
        <f aca="false">Sens!$H$2114/Sens!$H$2116</f>
        <v>0.272018642937714</v>
      </c>
      <c r="I2123" s="13" t="n">
        <f aca="false">Sens!$I$2114/Sens!$I$2116</f>
        <v>0.362159512436497</v>
      </c>
      <c r="J2123" s="13" t="n">
        <f aca="false">Sens!$J$2114/Sens!$J$2116</f>
        <v>0.422151735934609</v>
      </c>
      <c r="K2123" s="13" t="n">
        <f aca="false">Sens!$K$2114/Sens!$K$2116</f>
        <v>0.45769342068485</v>
      </c>
      <c r="L2123" s="13" t="n">
        <f aca="false">Sens!$L$2114/Sens!$L$2116</f>
        <v>0.469047103913472</v>
      </c>
      <c r="M2123" s="13" t="n">
        <f aca="false">Sens!$M$2114/Sens!$M$2116</f>
        <v>0.463233328258093</v>
      </c>
      <c r="N2123" s="13" t="n">
        <f aca="false">Sens!$N$2114/Sens!$N$2116</f>
        <v>0.0506537999838362</v>
      </c>
      <c r="O2123" s="13" t="n">
        <f aca="false">Sens!$O$2114/Sens!$O$2116</f>
        <v>0.0824881615167056</v>
      </c>
    </row>
    <row r="2126" customFormat="false" ht="19.4" hidden="false" customHeight="false" outlineLevel="0" collapsed="false">
      <c r="A2126" s="31" t="s">
        <v>1194</v>
      </c>
    </row>
    <row r="2127" customFormat="false" ht="17.15" hidden="false" customHeight="false" outlineLevel="0" collapsed="false">
      <c r="A2127" s="6" t="s">
        <v>16</v>
      </c>
      <c r="B2127" s="6" t="s">
        <v>17</v>
      </c>
      <c r="C2127" s="20" t="s">
        <v>504</v>
      </c>
      <c r="D2127" s="20" t="s">
        <v>505</v>
      </c>
      <c r="E2127" s="20" t="s">
        <v>587</v>
      </c>
      <c r="F2127" s="20" t="s">
        <v>588</v>
      </c>
      <c r="G2127" s="20" t="s">
        <v>589</v>
      </c>
      <c r="H2127" s="20" t="s">
        <v>590</v>
      </c>
      <c r="I2127" s="20" t="s">
        <v>591</v>
      </c>
      <c r="J2127" s="20" t="s">
        <v>592</v>
      </c>
      <c r="K2127" s="20" t="s">
        <v>593</v>
      </c>
      <c r="L2127" s="20" t="s">
        <v>594</v>
      </c>
      <c r="M2127" s="20" t="s">
        <v>595</v>
      </c>
      <c r="N2127" s="20" t="s">
        <v>596</v>
      </c>
      <c r="O2127" s="20" t="s">
        <v>597</v>
      </c>
      <c r="P2127" s="6" t="s">
        <v>23</v>
      </c>
      <c r="R2127" s="20" t="n">
        <v>2023</v>
      </c>
      <c r="S2127" s="20" t="n">
        <v>2024</v>
      </c>
      <c r="T2127" s="20" t="n">
        <v>2025</v>
      </c>
      <c r="U2127" s="20" t="n">
        <v>2026</v>
      </c>
      <c r="V2127" s="20" t="n">
        <v>2027</v>
      </c>
      <c r="W2127" s="20" t="n">
        <v>2028</v>
      </c>
      <c r="X2127" s="20" t="n">
        <v>2029</v>
      </c>
      <c r="Y2127" s="20" t="n">
        <v>2030</v>
      </c>
      <c r="Z2127" s="20" t="n">
        <v>2031</v>
      </c>
      <c r="AA2127" s="20" t="n">
        <v>2032</v>
      </c>
    </row>
    <row r="2128" customFormat="false" ht="17.15" hidden="false" customHeight="false" outlineLevel="0" collapsed="false">
      <c r="A2128" s="1" t="s">
        <v>727</v>
      </c>
    </row>
    <row r="2129" customFormat="false" ht="15" hidden="false" customHeight="false" outlineLevel="0" collapsed="false">
      <c r="A2129" s="0" t="s">
        <v>526</v>
      </c>
      <c r="B2129" s="0" t="s">
        <v>86</v>
      </c>
      <c r="C2129" s="38" t="n">
        <f aca="false">Sens!$C$2031</f>
        <v>247.029</v>
      </c>
      <c r="D2129" s="38" t="n">
        <f aca="false">Sens!$D$2031</f>
        <v>269.287</v>
      </c>
      <c r="E2129" s="38" t="n">
        <f aca="false">Sens!$E$2031</f>
        <v>134.686</v>
      </c>
      <c r="F2129" s="38" t="n">
        <f aca="false">Sens!$F$2031</f>
        <v>158.293876822267</v>
      </c>
      <c r="G2129" s="38" t="n">
        <f aca="false">Sens!$G$2031</f>
        <v>292.979876822267</v>
      </c>
      <c r="H2129" s="38" t="n">
        <f aca="false">Sens!$H$2031</f>
        <v>318.184543087396</v>
      </c>
      <c r="I2129" s="38" t="n">
        <f aca="false">Sens!$I$2031</f>
        <v>341.736278761793</v>
      </c>
      <c r="J2129" s="38" t="n">
        <f aca="false">Sens!$J$2031</f>
        <v>362.927192787048</v>
      </c>
      <c r="K2129" s="38" t="n">
        <f aca="false">Sens!$K$2031</f>
        <v>381.0735524264</v>
      </c>
      <c r="L2129" s="38" t="n">
        <f aca="false">Sens!$L$2031</f>
        <v>400.12723004772</v>
      </c>
      <c r="M2129" s="38" t="n">
        <f aca="false">Sens!$M$2031</f>
        <v>420.133591550106</v>
      </c>
      <c r="N2129" s="38" t="n">
        <f aca="false">Sens!$N$2031</f>
        <v>118.892</v>
      </c>
      <c r="O2129" s="38" t="n">
        <f aca="false">Sens!$O$2031</f>
        <v>150.395</v>
      </c>
    </row>
    <row r="2130" customFormat="false" ht="15" hidden="false" customHeight="false" outlineLevel="0" collapsed="false">
      <c r="A2130" s="0" t="s">
        <v>527</v>
      </c>
      <c r="B2130" s="0" t="s">
        <v>86</v>
      </c>
      <c r="C2130" s="38" t="n">
        <f aca="false">Sens!$C$2033</f>
        <v>21.215</v>
      </c>
      <c r="D2130" s="38" t="n">
        <f aca="false">Sens!$D$2033</f>
        <v>22.561</v>
      </c>
      <c r="E2130" s="38" t="n">
        <f aca="false">Sens!$E$2033</f>
        <v>11.579</v>
      </c>
      <c r="F2130" s="38" t="n">
        <f aca="false">Sens!$F$2033</f>
        <v>11.5938724610325</v>
      </c>
      <c r="G2130" s="38" t="n">
        <f aca="false">Sens!$G$2033</f>
        <v>23.1728724610325</v>
      </c>
      <c r="H2130" s="38" t="n">
        <f aca="false">Sens!$H$2033</f>
        <v>24.353392759506</v>
      </c>
      <c r="I2130" s="38" t="n">
        <f aca="false">Sens!$I$2033</f>
        <v>25.4240338872015</v>
      </c>
      <c r="J2130" s="38" t="n">
        <f aca="false">Sens!$J$2033</f>
        <v>26.3642491017174</v>
      </c>
      <c r="K2130" s="38" t="n">
        <f aca="false">Sens!$K$2033</f>
        <v>27.155176574769</v>
      </c>
      <c r="L2130" s="38" t="n">
        <f aca="false">Sens!$L$2033</f>
        <v>27.969831872012</v>
      </c>
      <c r="M2130" s="38" t="n">
        <f aca="false">Sens!$M$2033</f>
        <v>28.8089268281724</v>
      </c>
      <c r="N2130" s="38" t="n">
        <f aca="false">Sens!$N$2033</f>
        <v>11.128</v>
      </c>
      <c r="O2130" s="38" t="n">
        <f aca="false">Sens!$O$2033</f>
        <v>11.433</v>
      </c>
    </row>
    <row r="2131" customFormat="false" ht="15" hidden="false" customHeight="false" outlineLevel="0" collapsed="false">
      <c r="A2131" s="0" t="s">
        <v>528</v>
      </c>
      <c r="B2131" s="0" t="s">
        <v>86</v>
      </c>
      <c r="C2131" s="38" t="n">
        <f aca="false">Sens!$C$2035</f>
        <v>156.146</v>
      </c>
      <c r="D2131" s="38" t="n">
        <f aca="false">Sens!$D$2035</f>
        <v>172.162</v>
      </c>
      <c r="E2131" s="38" t="n">
        <f aca="false">Sens!$E$2035</f>
        <v>88.358</v>
      </c>
      <c r="F2131" s="38" t="n">
        <f aca="false">Sens!$F$2035</f>
        <v>102.004388260171</v>
      </c>
      <c r="G2131" s="38" t="n">
        <f aca="false">Sens!$G$2035</f>
        <v>190.362388260171</v>
      </c>
      <c r="H2131" s="38" t="n">
        <f aca="false">Sens!$H$2035</f>
        <v>210.343106588311</v>
      </c>
      <c r="I2131" s="38" t="n">
        <f aca="false">Sens!$I$2035</f>
        <v>229.969728494648</v>
      </c>
      <c r="J2131" s="38" t="n">
        <f aca="false">Sens!$J$2035</f>
        <v>248.747636972598</v>
      </c>
      <c r="K2131" s="38" t="n">
        <f aca="false">Sens!$K$2035</f>
        <v>266.15997156068</v>
      </c>
      <c r="L2131" s="38" t="n">
        <f aca="false">Sens!$L$2035</f>
        <v>284.791169569927</v>
      </c>
      <c r="M2131" s="38" t="n">
        <f aca="false">Sens!$M$2035</f>
        <v>304.726551439822</v>
      </c>
      <c r="N2131" s="38" t="n">
        <f aca="false">Sens!$N$2035</f>
        <v>76.86</v>
      </c>
      <c r="O2131" s="38" t="n">
        <f aca="false">Sens!$O$2035</f>
        <v>95.302</v>
      </c>
    </row>
    <row r="2132" customFormat="false" ht="15" hidden="false" customHeight="false" outlineLevel="0" collapsed="false">
      <c r="A2132" s="0" t="s">
        <v>529</v>
      </c>
      <c r="B2132" s="0" t="s">
        <v>86</v>
      </c>
      <c r="C2132" s="38" t="n">
        <f aca="false">Sens!$C$2037</f>
        <v>56.214</v>
      </c>
      <c r="D2132" s="38" t="n">
        <f aca="false">Sens!$D$2037</f>
        <v>68.635</v>
      </c>
      <c r="E2132" s="38" t="n">
        <f aca="false">Sens!$E$2037</f>
        <v>37.052</v>
      </c>
      <c r="F2132" s="38" t="n">
        <f aca="false">Sens!$F$2037</f>
        <v>46.1572219944148</v>
      </c>
      <c r="G2132" s="38" t="n">
        <f aca="false">Sens!$G$2037</f>
        <v>83.2092219944148</v>
      </c>
      <c r="H2132" s="38" t="n">
        <f aca="false">Sens!$H$2037</f>
        <v>99.8969223878976</v>
      </c>
      <c r="I2132" s="38" t="n">
        <f aca="false">Sens!$I$2037</f>
        <v>116.583111095496</v>
      </c>
      <c r="J2132" s="38" t="n">
        <f aca="false">Sens!$J$2037</f>
        <v>132.148941941952</v>
      </c>
      <c r="K2132" s="38" t="n">
        <f aca="false">Sens!$K$2037</f>
        <v>145.363836136147</v>
      </c>
      <c r="L2132" s="38" t="n">
        <f aca="false">Sens!$L$2037</f>
        <v>159.900219749762</v>
      </c>
      <c r="M2132" s="38" t="n">
        <f aca="false">Sens!$M$2037</f>
        <v>175.890241724738</v>
      </c>
      <c r="N2132" s="38" t="n">
        <f aca="false">Sens!$N$2037</f>
        <v>29.615</v>
      </c>
      <c r="O2132" s="38" t="n">
        <f aca="false">Sens!$O$2037</f>
        <v>39.02</v>
      </c>
    </row>
    <row r="2133" customFormat="false" ht="15" hidden="false" customHeight="false" outlineLevel="0" collapsed="false">
      <c r="A2133" s="0" t="s">
        <v>530</v>
      </c>
      <c r="B2133" s="0" t="s">
        <v>86</v>
      </c>
      <c r="C2133" s="38" t="n">
        <f aca="false">Sens!$C$2039</f>
        <v>44.374</v>
      </c>
      <c r="D2133" s="38" t="n">
        <f aca="false">Sens!$D$2039</f>
        <v>49.619</v>
      </c>
      <c r="E2133" s="38" t="n">
        <f aca="false">Sens!$E$2039</f>
        <v>27.157</v>
      </c>
      <c r="F2133" s="38" t="n">
        <f aca="false">Sens!$F$2039</f>
        <v>27.7764165988154</v>
      </c>
      <c r="G2133" s="38" t="n">
        <f aca="false">Sens!$G$2039</f>
        <v>54.9334165988154</v>
      </c>
      <c r="H2133" s="38" t="n">
        <f aca="false">Sens!$H$2039</f>
        <v>61.1564112561829</v>
      </c>
      <c r="I2133" s="38" t="n">
        <f aca="false">Sens!$I$2039</f>
        <v>67.2020282103945</v>
      </c>
      <c r="J2133" s="38" t="n">
        <f aca="false">Sens!$J$2039</f>
        <v>72.8757274028885</v>
      </c>
      <c r="K2133" s="38" t="n">
        <f aca="false">Sens!$K$2039</f>
        <v>77.9770283210907</v>
      </c>
      <c r="L2133" s="38" t="n">
        <f aca="false">Sens!$L$2039</f>
        <v>83.4354203035671</v>
      </c>
      <c r="M2133" s="38" t="n">
        <f aca="false">Sens!$M$2039</f>
        <v>89.2758997248168</v>
      </c>
      <c r="N2133" s="38" t="n">
        <f aca="false">Sens!$N$2039</f>
        <v>23.923</v>
      </c>
      <c r="O2133" s="38" t="n">
        <f aca="false">Sens!$O$2039</f>
        <v>25.696</v>
      </c>
    </row>
    <row r="2134" customFormat="false" ht="15" hidden="false" customHeight="false" outlineLevel="0" collapsed="false">
      <c r="A2134" s="0" t="s">
        <v>531</v>
      </c>
      <c r="B2134" s="0" t="s">
        <v>86</v>
      </c>
      <c r="C2134" s="38" t="n">
        <f aca="false">Sens!$C$2041</f>
        <v>5.425</v>
      </c>
      <c r="D2134" s="38" t="n">
        <f aca="false">Sens!$D$2041</f>
        <v>5.935</v>
      </c>
      <c r="E2134" s="38" t="n">
        <f aca="false">Sens!$E$2041</f>
        <v>3.474</v>
      </c>
      <c r="F2134" s="38" t="n">
        <f aca="false">Sens!$F$2041</f>
        <v>3.22246550883619</v>
      </c>
      <c r="G2134" s="38" t="n">
        <f aca="false">Sens!$G$2041</f>
        <v>6.69646550883619</v>
      </c>
      <c r="H2134" s="38" t="n">
        <f aca="false">Sens!$H$2041</f>
        <v>7.16251344209196</v>
      </c>
      <c r="I2134" s="38" t="n">
        <f aca="false">Sens!$I$2041</f>
        <v>7.61421070299826</v>
      </c>
      <c r="J2134" s="38" t="n">
        <f aca="false">Sens!$J$2041</f>
        <v>8.04465753523932</v>
      </c>
      <c r="K2134" s="38" t="n">
        <f aca="false">Sens!$K$2041</f>
        <v>8.44689041200128</v>
      </c>
      <c r="L2134" s="38" t="n">
        <f aca="false">Sens!$L$2041</f>
        <v>8.86923493260135</v>
      </c>
      <c r="M2134" s="38" t="n">
        <f aca="false">Sens!$M$2041</f>
        <v>9.31269667923142</v>
      </c>
      <c r="N2134" s="38" t="n">
        <f aca="false">Sens!$N$2041</f>
        <v>2.811</v>
      </c>
      <c r="O2134" s="38" t="n">
        <f aca="false">Sens!$O$2041</f>
        <v>3.124</v>
      </c>
    </row>
    <row r="2135" customFormat="false" ht="17.15" hidden="false" customHeight="false" outlineLevel="0" collapsed="false">
      <c r="A2135" s="0" t="s">
        <v>728</v>
      </c>
      <c r="B2135" s="0" t="s">
        <v>86</v>
      </c>
      <c r="C2135" s="38" t="n">
        <f aca="false">Sens!$C$2116</f>
        <v>107.556</v>
      </c>
      <c r="D2135" s="38" t="n">
        <f aca="false">Sens!$D$2116</f>
        <v>128.725</v>
      </c>
      <c r="E2135" s="38" t="n">
        <f aca="false">Sens!$E$2116</f>
        <v>79.819</v>
      </c>
      <c r="F2135" s="38" t="n">
        <f aca="false">Sens!$F$2116</f>
        <v>86.7327334389669</v>
      </c>
      <c r="G2135" s="38" t="n">
        <f aca="false">Sens!$G$2116</f>
        <v>166.551733438967</v>
      </c>
      <c r="H2135" s="38" t="n">
        <f aca="false">Sens!$H$2116</f>
        <v>221.182967828978</v>
      </c>
      <c r="I2135" s="38" t="n">
        <f aca="false">Sens!$I$2116</f>
        <v>280.27345865789</v>
      </c>
      <c r="J2135" s="38" t="n">
        <f aca="false">Sens!$J$2116</f>
        <v>338.800945197185</v>
      </c>
      <c r="K2135" s="38" t="n">
        <f aca="false">Sens!$K$2116</f>
        <v>389.88570147276</v>
      </c>
      <c r="L2135" s="38" t="n">
        <f aca="false">Sens!$L$2116</f>
        <v>430.080689379143</v>
      </c>
      <c r="M2135" s="38" t="n">
        <f aca="false">Sens!$M$2116</f>
        <v>459.456235951751</v>
      </c>
      <c r="N2135" s="38" t="n">
        <f aca="false">Sens!$N$2116</f>
        <v>60.14</v>
      </c>
      <c r="O2135" s="38" t="n">
        <f aca="false">Sens!$O$2116</f>
        <v>68.585</v>
      </c>
    </row>
    <row r="2136" customFormat="false" ht="15" hidden="false" customHeight="false" outlineLevel="0" collapsed="false">
      <c r="A2136" s="1" t="s">
        <v>519</v>
      </c>
      <c r="B2136" s="8" t="s">
        <v>86</v>
      </c>
      <c r="C2136" s="38" t="n">
        <f aca="false">Sens!$C$2046</f>
        <v>387.497</v>
      </c>
      <c r="D2136" s="38" t="n">
        <f aca="false">Sens!$D$2046</f>
        <v>426.305</v>
      </c>
      <c r="E2136" s="38" t="n">
        <f aca="false">Sens!$E$2046</f>
        <v>220.32</v>
      </c>
      <c r="F2136" s="38" t="n">
        <f aca="false">Sens!$F$2046</f>
        <v>250.639773480586</v>
      </c>
      <c r="G2136" s="38" t="n">
        <f aca="false">Sens!$G$2046</f>
        <v>470.959773480586</v>
      </c>
      <c r="H2136" s="38" t="n">
        <f aca="false">Sens!$H$2046</f>
        <v>521.386990416437</v>
      </c>
      <c r="I2136" s="38" t="n">
        <f aca="false">Sens!$I$2046</f>
        <v>570.143862887555</v>
      </c>
      <c r="J2136" s="38" t="n">
        <f aca="false">Sens!$J$2046</f>
        <v>615.391435791933</v>
      </c>
      <c r="K2136" s="38" t="n">
        <f aca="false">Sens!$K$2046</f>
        <v>655.208227561543</v>
      </c>
      <c r="L2136" s="38" t="n">
        <f aca="false">Sens!$L$2046</f>
        <v>697.807739249767</v>
      </c>
      <c r="M2136" s="38" t="n">
        <f aca="false">Sens!$M$2046</f>
        <v>743.399328463592</v>
      </c>
      <c r="N2136" s="38" t="n">
        <f aca="false">Sens!$N$2046</f>
        <v>192.955</v>
      </c>
      <c r="O2136" s="38" t="n">
        <f aca="false">Sens!$O$2046</f>
        <v>233.35</v>
      </c>
    </row>
    <row r="2137" customFormat="false" ht="15" hidden="false" customHeight="false" outlineLevel="0" collapsed="false">
      <c r="A2137" s="1" t="s">
        <v>522</v>
      </c>
      <c r="B2137" s="8" t="s">
        <v>86</v>
      </c>
      <c r="C2137" s="38" t="n">
        <f aca="false">Sens!$C$2047</f>
        <v>142.906</v>
      </c>
      <c r="D2137" s="38" t="n">
        <f aca="false">Sens!$D$2047</f>
        <v>161.894</v>
      </c>
      <c r="E2137" s="38" t="n">
        <f aca="false">Sens!$E$2047</f>
        <v>81.986</v>
      </c>
      <c r="F2137" s="38" t="n">
        <f aca="false">Sens!$F$2047</f>
        <v>98.408468164951</v>
      </c>
      <c r="G2137" s="38" t="n">
        <f aca="false">Sens!$G$2047</f>
        <v>180.394468164951</v>
      </c>
      <c r="H2137" s="38" t="n">
        <f aca="false">Sens!$H$2047</f>
        <v>199.709899104949</v>
      </c>
      <c r="I2137" s="38" t="n">
        <f aca="false">Sens!$I$2047</f>
        <v>218.385528264976</v>
      </c>
      <c r="J2137" s="38" t="n">
        <f aca="false">Sens!$J$2047</f>
        <v>235.71696994951</v>
      </c>
      <c r="K2137" s="38" t="n">
        <f aca="false">Sens!$K$2047</f>
        <v>250.968227869545</v>
      </c>
      <c r="L2137" s="38" t="n">
        <f aca="false">Sens!$L$2047</f>
        <v>267.285367225822</v>
      </c>
      <c r="M2137" s="38" t="n">
        <f aca="false">Sens!$M$2047</f>
        <v>284.748579483295</v>
      </c>
      <c r="N2137" s="38" t="n">
        <f aca="false">Sens!$N$2047</f>
        <v>70.274</v>
      </c>
      <c r="O2137" s="38" t="n">
        <f aca="false">Sens!$O$2047</f>
        <v>91.62</v>
      </c>
    </row>
    <row r="2138" customFormat="false" ht="15" hidden="false" customHeight="false" outlineLevel="0" collapsed="false">
      <c r="A2138" s="1" t="s">
        <v>523</v>
      </c>
      <c r="B2138" s="8" t="s">
        <v>86</v>
      </c>
      <c r="C2138" s="38" t="n">
        <f aca="false">Sens!$C$2116</f>
        <v>107.556</v>
      </c>
      <c r="D2138" s="38" t="n">
        <f aca="false">Sens!$D$2116</f>
        <v>128.725</v>
      </c>
      <c r="E2138" s="38" t="n">
        <f aca="false">Sens!$E$2116</f>
        <v>79.819</v>
      </c>
      <c r="F2138" s="38" t="n">
        <f aca="false">Sens!$F$2116</f>
        <v>86.7327334389669</v>
      </c>
      <c r="G2138" s="38" t="n">
        <f aca="false">Sens!$G$2116</f>
        <v>166.551733438967</v>
      </c>
      <c r="H2138" s="38" t="n">
        <f aca="false">Sens!$H$2116</f>
        <v>221.182967828978</v>
      </c>
      <c r="I2138" s="38" t="n">
        <f aca="false">Sens!$I$2116</f>
        <v>280.27345865789</v>
      </c>
      <c r="J2138" s="38" t="n">
        <f aca="false">Sens!$J$2116</f>
        <v>338.800945197185</v>
      </c>
      <c r="K2138" s="38" t="n">
        <f aca="false">Sens!$K$2116</f>
        <v>389.88570147276</v>
      </c>
      <c r="L2138" s="38" t="n">
        <f aca="false">Sens!$L$2116</f>
        <v>430.080689379143</v>
      </c>
      <c r="M2138" s="38" t="n">
        <f aca="false">Sens!$M$2116</f>
        <v>459.456235951751</v>
      </c>
      <c r="N2138" s="38" t="n">
        <f aca="false">Sens!$N$2116</f>
        <v>60.14</v>
      </c>
      <c r="O2138" s="38" t="n">
        <f aca="false">Sens!$O$2116</f>
        <v>68.585</v>
      </c>
    </row>
    <row r="2139" customFormat="false" ht="17.15" hidden="false" customHeight="false" outlineLevel="0" collapsed="false">
      <c r="A2139" s="0" t="s">
        <v>702</v>
      </c>
      <c r="B2139" s="0" t="s">
        <v>86</v>
      </c>
      <c r="C2139" s="38" t="n">
        <f aca="false">Sens!$C$2114</f>
        <v>2.32100535697364</v>
      </c>
      <c r="D2139" s="38" t="n">
        <f aca="false">Sens!$D$2114</f>
        <v>8.70377008865116</v>
      </c>
      <c r="E2139" s="38" t="n">
        <f aca="false">Sens!$E$2114</f>
        <v>8.51035297557002</v>
      </c>
      <c r="F2139" s="38" t="n">
        <f aca="false">Sens!$F$2114</f>
        <v>14.9634336447205</v>
      </c>
      <c r="G2139" s="38" t="n">
        <f aca="false">Sens!$G$2114</f>
        <v>23.4737866202905</v>
      </c>
      <c r="H2139" s="38" t="n">
        <f aca="false">Sens!$H$2114</f>
        <v>60.1658907497746</v>
      </c>
      <c r="I2139" s="38" t="n">
        <f aca="false">Sens!$I$2114</f>
        <v>101.503699136432</v>
      </c>
      <c r="J2139" s="38" t="n">
        <f aca="false">Sens!$J$2114</f>
        <v>143.025407151278</v>
      </c>
      <c r="K2139" s="38" t="n">
        <f aca="false">Sens!$K$2114</f>
        <v>178.44812038318</v>
      </c>
      <c r="L2139" s="38" t="n">
        <f aca="false">Sens!$L$2114</f>
        <v>201.728101802396</v>
      </c>
      <c r="M2139" s="38" t="n">
        <f aca="false">Sens!$M$2114</f>
        <v>212.835441368865</v>
      </c>
      <c r="N2139" s="38" t="n">
        <f aca="false">Sens!$N$2114</f>
        <v>3.04631953102791</v>
      </c>
      <c r="O2139" s="38" t="n">
        <f aca="false">Sens!$O$2114</f>
        <v>5.65745055762326</v>
      </c>
    </row>
    <row r="2140" customFormat="false" ht="17.15" hidden="false" customHeight="false" outlineLevel="0" collapsed="false">
      <c r="A2140" s="0" t="s">
        <v>704</v>
      </c>
      <c r="B2140" s="0" t="s">
        <v>86</v>
      </c>
      <c r="C2140" s="38" t="n">
        <f aca="false">Sens!$C$2115</f>
        <v>105.234994643026</v>
      </c>
      <c r="D2140" s="38" t="n">
        <f aca="false">Sens!$D$2115</f>
        <v>120.021229911349</v>
      </c>
      <c r="E2140" s="38" t="n">
        <f aca="false">Sens!$E$2115</f>
        <v>71.30864702443</v>
      </c>
      <c r="F2140" s="38" t="n">
        <f aca="false">Sens!$F$2115</f>
        <v>71.7692997942464</v>
      </c>
      <c r="G2140" s="38" t="n">
        <f aca="false">Sens!$G$2115</f>
        <v>143.077946818676</v>
      </c>
      <c r="H2140" s="38" t="n">
        <f aca="false">Sens!$H$2115</f>
        <v>161.017077079203</v>
      </c>
      <c r="I2140" s="38" t="n">
        <f aca="false">Sens!$I$2115</f>
        <v>178.769759521457</v>
      </c>
      <c r="J2140" s="38" t="n">
        <f aca="false">Sens!$J$2115</f>
        <v>195.775538045907</v>
      </c>
      <c r="K2140" s="38" t="n">
        <f aca="false">Sens!$K$2115</f>
        <v>211.43758108958</v>
      </c>
      <c r="L2140" s="38" t="n">
        <f aca="false">Sens!$L$2115</f>
        <v>228.352587576746</v>
      </c>
      <c r="M2140" s="38" t="n">
        <f aca="false">Sens!$M$2115</f>
        <v>246.620794582886</v>
      </c>
      <c r="N2140" s="38" t="n">
        <f aca="false">Sens!$N$2115</f>
        <v>57.0936804689721</v>
      </c>
      <c r="O2140" s="38" t="n">
        <f aca="false">Sens!$O$2115</f>
        <v>62.9275494423768</v>
      </c>
    </row>
    <row r="2141" customFormat="false" ht="15" hidden="false" customHeight="false" outlineLevel="0" collapsed="false">
      <c r="A2141" s="3" t="s">
        <v>524</v>
      </c>
      <c r="B2141" s="8" t="s">
        <v>86</v>
      </c>
      <c r="C2141" s="38" t="n">
        <f aca="false">Sens!$C$2117</f>
        <v>637.959</v>
      </c>
      <c r="D2141" s="38" t="n">
        <f aca="false">Sens!$D$2117</f>
        <v>716.924</v>
      </c>
      <c r="E2141" s="38" t="n">
        <f aca="false">Sens!$E$2117</f>
        <v>382.125</v>
      </c>
      <c r="F2141" s="38" t="n">
        <f aca="false">Sens!$F$2117</f>
        <v>435.780975084504</v>
      </c>
      <c r="G2141" s="38" t="n">
        <f aca="false">Sens!$G$2117</f>
        <v>817.905975084504</v>
      </c>
      <c r="H2141" s="38" t="n">
        <f aca="false">Sens!$H$2117</f>
        <v>942.279857350364</v>
      </c>
      <c r="I2141" s="38" t="n">
        <f aca="false">Sens!$I$2117</f>
        <v>1068.80284981042</v>
      </c>
      <c r="J2141" s="38" t="n">
        <f aca="false">Sens!$J$2117</f>
        <v>1189.90935093863</v>
      </c>
      <c r="K2141" s="38" t="n">
        <f aca="false">Sens!$K$2117</f>
        <v>1296.06215690385</v>
      </c>
      <c r="L2141" s="38" t="n">
        <f aca="false">Sens!$L$2117</f>
        <v>1395.17379585473</v>
      </c>
      <c r="M2141" s="38" t="n">
        <f aca="false">Sens!$M$2117</f>
        <v>1487.60414389864</v>
      </c>
      <c r="N2141" s="38" t="n">
        <f aca="false">Sens!$N$2117</f>
        <v>323.369</v>
      </c>
      <c r="O2141" s="38" t="n">
        <f aca="false">Sens!$O$2117</f>
        <v>393.555</v>
      </c>
    </row>
    <row r="2142" customFormat="false" ht="17.15" hidden="false" customHeight="false" outlineLevel="0" collapsed="false">
      <c r="A2142" s="24" t="s">
        <v>714</v>
      </c>
      <c r="B2142" s="25" t="s">
        <v>86</v>
      </c>
      <c r="C2142" s="41" t="n">
        <f aca="false">Sens!$C$2129+Sens!$C$2130+Sens!$C$2131+Sens!$C$2132+Sens!$C$2133+Sens!$C$2134-(Sens!$C$2136+Sens!$C$2137)</f>
        <v>0</v>
      </c>
      <c r="D2142" s="41" t="n">
        <f aca="false">Sens!$D$2129+Sens!$D$2130+Sens!$D$2131+Sens!$D$2132+Sens!$D$2133+Sens!$D$2134-(Sens!$D$2136+Sens!$D$2137)</f>
        <v>0</v>
      </c>
      <c r="E2142" s="41" t="n">
        <f aca="false">Sens!$E$2129+Sens!$E$2130+Sens!$E$2131+Sens!$E$2132+Sens!$E$2133+Sens!$E$2134-(Sens!$E$2136+Sens!$E$2137)</f>
        <v>0</v>
      </c>
      <c r="F2142" s="41" t="n">
        <f aca="false">Sens!$F$2129+Sens!$F$2130+Sens!$F$2131+Sens!$F$2132+Sens!$F$2133+Sens!$F$2134-(Sens!$F$2136+Sens!$F$2137)</f>
        <v>0</v>
      </c>
      <c r="G2142" s="41" t="n">
        <f aca="false">Sens!$G$2129+Sens!$G$2130+Sens!$G$2131+Sens!$G$2132+Sens!$G$2133+Sens!$G$2134-(Sens!$G$2136+Sens!$G$2137)</f>
        <v>0</v>
      </c>
      <c r="H2142" s="41" t="n">
        <f aca="false">Sens!$H$2129+Sens!$H$2130+Sens!$H$2131+Sens!$H$2132+Sens!$H$2133+Sens!$H$2134-(Sens!$H$2136+Sens!$H$2137)</f>
        <v>0</v>
      </c>
      <c r="I2142" s="41" t="n">
        <f aca="false">Sens!$I$2129+Sens!$I$2130+Sens!$I$2131+Sens!$I$2132+Sens!$I$2133+Sens!$I$2134-(Sens!$I$2136+Sens!$I$2137)</f>
        <v>0</v>
      </c>
      <c r="J2142" s="41" t="n">
        <f aca="false">Sens!$J$2129+Sens!$J$2130+Sens!$J$2131+Sens!$J$2132+Sens!$J$2133+Sens!$J$2134-(Sens!$J$2136+Sens!$J$2137)</f>
        <v>0</v>
      </c>
      <c r="K2142" s="41" t="n">
        <f aca="false">Sens!$K$2129+Sens!$K$2130+Sens!$K$2131+Sens!$K$2132+Sens!$K$2133+Sens!$K$2134-(Sens!$K$2136+Sens!$K$2137)</f>
        <v>0</v>
      </c>
      <c r="L2142" s="41" t="n">
        <f aca="false">Sens!$L$2129+Sens!$L$2130+Sens!$L$2131+Sens!$L$2132+Sens!$L$2133+Sens!$L$2134-(Sens!$L$2136+Sens!$L$2137)</f>
        <v>0</v>
      </c>
      <c r="M2142" s="41" t="n">
        <f aca="false">Sens!$M$2129+Sens!$M$2130+Sens!$M$2131+Sens!$M$2132+Sens!$M$2133+Sens!$M$2134-(Sens!$M$2136+Sens!$M$2137)</f>
        <v>0</v>
      </c>
      <c r="N2142" s="41" t="n">
        <f aca="false">Sens!$N$2129+Sens!$N$2130+Sens!$N$2131+Sens!$N$2132+Sens!$N$2133+Sens!$N$2134-(Sens!$N$2136+Sens!$N$2137)</f>
        <v>0</v>
      </c>
      <c r="O2142" s="41" t="n">
        <f aca="false">Sens!$O$2129+Sens!$O$2130+Sens!$O$2131+Sens!$O$2132+Sens!$O$2133+Sens!$O$2134-(Sens!$O$2136+Sens!$O$2137)</f>
        <v>0</v>
      </c>
    </row>
    <row r="2143" customFormat="false" ht="17.15" hidden="false" customHeight="false" outlineLevel="0" collapsed="false">
      <c r="A2143" s="24" t="s">
        <v>715</v>
      </c>
      <c r="B2143" s="25" t="s">
        <v>86</v>
      </c>
      <c r="C2143" s="41" t="n">
        <f aca="false">Sens!$C$2139+Sens!$C$2140-Sens!$C$2138</f>
        <v>0</v>
      </c>
      <c r="D2143" s="41" t="n">
        <f aca="false">Sens!$D$2139+Sens!$D$2140-Sens!$D$2138</f>
        <v>0</v>
      </c>
      <c r="E2143" s="41" t="n">
        <f aca="false">Sens!$E$2139+Sens!$E$2140-Sens!$E$2138</f>
        <v>0</v>
      </c>
      <c r="F2143" s="41" t="n">
        <f aca="false">Sens!$F$2139+Sens!$F$2140-Sens!$F$2138</f>
        <v>0</v>
      </c>
      <c r="G2143" s="41" t="n">
        <f aca="false">Sens!$G$2139+Sens!$G$2140-Sens!$G$2138</f>
        <v>0</v>
      </c>
      <c r="H2143" s="41" t="n">
        <f aca="false">Sens!$H$2139+Sens!$H$2140-Sens!$H$2138</f>
        <v>0</v>
      </c>
      <c r="I2143" s="41" t="n">
        <f aca="false">Sens!$I$2139+Sens!$I$2140-Sens!$I$2138</f>
        <v>0</v>
      </c>
      <c r="J2143" s="41" t="n">
        <f aca="false">Sens!$J$2139+Sens!$J$2140-Sens!$J$2138</f>
        <v>0</v>
      </c>
      <c r="K2143" s="41" t="n">
        <f aca="false">Sens!$K$2139+Sens!$K$2140-Sens!$K$2138</f>
        <v>0</v>
      </c>
      <c r="L2143" s="41" t="n">
        <f aca="false">Sens!$L$2139+Sens!$L$2140-Sens!$L$2138</f>
        <v>0</v>
      </c>
      <c r="M2143" s="41" t="n">
        <f aca="false">Sens!$M$2139+Sens!$M$2140-Sens!$M$2138</f>
        <v>0</v>
      </c>
      <c r="N2143" s="41" t="n">
        <f aca="false">Sens!$N$2139+Sens!$N$2140-Sens!$N$2138</f>
        <v>0</v>
      </c>
      <c r="O2143" s="41" t="n">
        <f aca="false">Sens!$O$2139+Sens!$O$2140-Sens!$O$2138</f>
        <v>0</v>
      </c>
    </row>
    <row r="2144" customFormat="false" ht="17.15" hidden="false" customHeight="false" outlineLevel="0" collapsed="false">
      <c r="A2144" s="24" t="s">
        <v>774</v>
      </c>
      <c r="B2144" s="25" t="s">
        <v>86</v>
      </c>
      <c r="C2144" s="41" t="n">
        <f aca="false">Sens!$C$2129+Sens!$C$2130+Sens!$C$2131+Sens!$C$2132+Sens!$C$2133+Sens!$C$2134+Sens!$C$2135-Sens!$C$2141</f>
        <v>0</v>
      </c>
      <c r="D2144" s="41" t="n">
        <f aca="false">Sens!$D$2129+Sens!$D$2130+Sens!$D$2131+Sens!$D$2132+Sens!$D$2133+Sens!$D$2134+Sens!$D$2135-Sens!$D$2141</f>
        <v>0</v>
      </c>
      <c r="E2144" s="41" t="n">
        <f aca="false">Sens!$E$2129+Sens!$E$2130+Sens!$E$2131+Sens!$E$2132+Sens!$E$2133+Sens!$E$2134+Sens!$E$2135-Sens!$E$2141</f>
        <v>0</v>
      </c>
      <c r="F2144" s="41" t="n">
        <f aca="false">Sens!$F$2129+Sens!$F$2130+Sens!$F$2131+Sens!$F$2132+Sens!$F$2133+Sens!$F$2134+Sens!$F$2135-Sens!$F$2141</f>
        <v>0</v>
      </c>
      <c r="G2144" s="41" t="n">
        <f aca="false">Sens!$G$2129+Sens!$G$2130+Sens!$G$2131+Sens!$G$2132+Sens!$G$2133+Sens!$G$2134+Sens!$G$2135-Sens!$G$2141</f>
        <v>0</v>
      </c>
      <c r="H2144" s="41" t="n">
        <f aca="false">Sens!$H$2129+Sens!$H$2130+Sens!$H$2131+Sens!$H$2132+Sens!$H$2133+Sens!$H$2134+Sens!$H$2135-Sens!$H$2141</f>
        <v>0</v>
      </c>
      <c r="I2144" s="41" t="n">
        <f aca="false">Sens!$I$2129+Sens!$I$2130+Sens!$I$2131+Sens!$I$2132+Sens!$I$2133+Sens!$I$2134+Sens!$I$2135-Sens!$I$2141</f>
        <v>0</v>
      </c>
      <c r="J2144" s="41" t="n">
        <f aca="false">Sens!$J$2129+Sens!$J$2130+Sens!$J$2131+Sens!$J$2132+Sens!$J$2133+Sens!$J$2134+Sens!$J$2135-Sens!$J$2141</f>
        <v>0</v>
      </c>
      <c r="K2144" s="41" t="n">
        <f aca="false">Sens!$K$2129+Sens!$K$2130+Sens!$K$2131+Sens!$K$2132+Sens!$K$2133+Sens!$K$2134+Sens!$K$2135-Sens!$K$2141</f>
        <v>0</v>
      </c>
      <c r="L2144" s="41" t="n">
        <f aca="false">Sens!$L$2129+Sens!$L$2130+Sens!$L$2131+Sens!$L$2132+Sens!$L$2133+Sens!$L$2134+Sens!$L$2135-Sens!$L$2141</f>
        <v>0</v>
      </c>
      <c r="M2144" s="41" t="n">
        <f aca="false">Sens!$M$2129+Sens!$M$2130+Sens!$M$2131+Sens!$M$2132+Sens!$M$2133+Sens!$M$2134+Sens!$M$2135-Sens!$M$2141</f>
        <v>0</v>
      </c>
      <c r="N2144" s="41" t="n">
        <f aca="false">Sens!$N$2129+Sens!$N$2130+Sens!$N$2131+Sens!$N$2132+Sens!$N$2133+Sens!$N$2134+Sens!$N$2135-Sens!$N$2141</f>
        <v>0</v>
      </c>
      <c r="O2144" s="41" t="n">
        <f aca="false">Sens!$O$2129+Sens!$O$2130+Sens!$O$2131+Sens!$O$2132+Sens!$O$2133+Sens!$O$2134+Sens!$O$2135-Sens!$O$2141</f>
        <v>0</v>
      </c>
    </row>
    <row r="2145" customFormat="false" ht="17.15" hidden="false" customHeight="false" outlineLevel="0" collapsed="false">
      <c r="A2145" s="24" t="s">
        <v>716</v>
      </c>
      <c r="B2145" s="25" t="s">
        <v>86</v>
      </c>
      <c r="C2145" s="41" t="n">
        <f aca="false">Sens!$C$2136+Sens!$C$2137+Sens!$C$2138-Sens!$C$2141</f>
        <v>0</v>
      </c>
      <c r="D2145" s="41" t="n">
        <f aca="false">Sens!$D$2136+Sens!$D$2137+Sens!$D$2138-Sens!$D$2141</f>
        <v>0</v>
      </c>
      <c r="E2145" s="41" t="n">
        <f aca="false">Sens!$E$2136+Sens!$E$2137+Sens!$E$2138-Sens!$E$2141</f>
        <v>0</v>
      </c>
      <c r="F2145" s="41" t="n">
        <f aca="false">Sens!$F$2136+Sens!$F$2137+Sens!$F$2138-Sens!$F$2141</f>
        <v>0</v>
      </c>
      <c r="G2145" s="41" t="n">
        <f aca="false">Sens!$G$2136+Sens!$G$2137+Sens!$G$2138-Sens!$G$2141</f>
        <v>0</v>
      </c>
      <c r="H2145" s="41" t="n">
        <f aca="false">Sens!$H$2136+Sens!$H$2137+Sens!$H$2138-Sens!$H$2141</f>
        <v>0</v>
      </c>
      <c r="I2145" s="41" t="n">
        <f aca="false">Sens!$I$2136+Sens!$I$2137+Sens!$I$2138-Sens!$I$2141</f>
        <v>0</v>
      </c>
      <c r="J2145" s="41" t="n">
        <f aca="false">Sens!$J$2136+Sens!$J$2137+Sens!$J$2138-Sens!$J$2141</f>
        <v>0</v>
      </c>
      <c r="K2145" s="41" t="n">
        <f aca="false">Sens!$K$2136+Sens!$K$2137+Sens!$K$2138-Sens!$K$2141</f>
        <v>0</v>
      </c>
      <c r="L2145" s="41" t="n">
        <f aca="false">Sens!$L$2136+Sens!$L$2137+Sens!$L$2138-Sens!$L$2141</f>
        <v>0</v>
      </c>
      <c r="M2145" s="41" t="n">
        <f aca="false">Sens!$M$2136+Sens!$M$2137+Sens!$M$2138-Sens!$M$2141</f>
        <v>0</v>
      </c>
      <c r="N2145" s="41" t="n">
        <f aca="false">Sens!$N$2136+Sens!$N$2137+Sens!$N$2138-Sens!$N$2141</f>
        <v>0</v>
      </c>
      <c r="O2145" s="41" t="n">
        <f aca="false">Sens!$O$2136+Sens!$O$2137+Sens!$O$2138-Sens!$O$2141</f>
        <v>0</v>
      </c>
    </row>
    <row r="2146" customFormat="false" ht="17.15" hidden="false" customHeight="false" outlineLevel="0" collapsed="false">
      <c r="A2146" s="1" t="s">
        <v>730</v>
      </c>
    </row>
    <row r="2147" customFormat="false" ht="17.15" hidden="false" customHeight="false" outlineLevel="0" collapsed="false">
      <c r="A2147" s="0" t="s">
        <v>731</v>
      </c>
      <c r="B2147" s="0" t="s">
        <v>86</v>
      </c>
      <c r="C2147" s="38" t="n">
        <f aca="false">Sens!$C$2048*m_ad</f>
        <v>20.5341564414228</v>
      </c>
      <c r="D2147" s="38" t="n">
        <f aca="false">Sens!$D$2048*m_ad</f>
        <v>24.8720617299587</v>
      </c>
      <c r="E2147" s="38" t="n">
        <f aca="false">Sens!$E$2048*m_ad</f>
        <v>13.5017112462207</v>
      </c>
      <c r="F2147" s="38" t="n">
        <f aca="false">Sens!$F$2048*m_ad</f>
        <v>16.5719724165257</v>
      </c>
      <c r="G2147" s="38" t="n">
        <f aca="false">Sens!$G$2048*m_ad</f>
        <v>30.0820919220415</v>
      </c>
      <c r="H2147" s="38" t="n">
        <f aca="false">Sens!$H$2048*m_ad</f>
        <v>36.1150883276314</v>
      </c>
      <c r="I2147" s="38" t="n">
        <f aca="false">Sens!$I$2048*m_ad</f>
        <v>42.1475382231996</v>
      </c>
      <c r="J2147" s="38" t="n">
        <f aca="false">Sens!$J$2048*m_ad</f>
        <v>47.7749523864693</v>
      </c>
      <c r="K2147" s="38" t="n">
        <f aca="false">Sens!$K$2048*m_ad</f>
        <v>52.5524476251162</v>
      </c>
      <c r="L2147" s="38" t="n">
        <f aca="false">Sens!$L$2048*m_ad</f>
        <v>57.8076923876279</v>
      </c>
      <c r="M2147" s="38" t="n">
        <f aca="false">Sens!$M$2048*m_ad</f>
        <v>63.5884616263907</v>
      </c>
      <c r="N2147" s="38" t="n">
        <f aca="false">Sens!$N$2048*m_ad</f>
        <v>10.8543555706248</v>
      </c>
      <c r="O2147" s="38" t="n">
        <f aca="false">Sens!$O$2048*m_ad</f>
        <v>14.0094731821399</v>
      </c>
    </row>
    <row r="2148" customFormat="false" ht="17.15" hidden="false" customHeight="false" outlineLevel="0" collapsed="false">
      <c r="A2148" s="0" t="s">
        <v>732</v>
      </c>
      <c r="B2148" s="0" t="s">
        <v>86</v>
      </c>
      <c r="C2148" s="38" t="n">
        <f aca="false">Sens!$C$2046-Sens!$C$2048</f>
        <v>346.428687117154</v>
      </c>
      <c r="D2148" s="38" t="n">
        <f aca="false">Sens!$D$2046-Sens!$D$2048</f>
        <v>376.560876540083</v>
      </c>
      <c r="E2148" s="38" t="n">
        <f aca="false">Sens!$E$2046-Sens!$E$2048</f>
        <v>193.316577507559</v>
      </c>
      <c r="F2148" s="38" t="n">
        <f aca="false">Sens!$F$2046-Sens!$F$2048</f>
        <v>217.495828647535</v>
      </c>
      <c r="G2148" s="38" t="n">
        <f aca="false">Sens!$G$2046-Sens!$G$2048</f>
        <v>410.795589636503</v>
      </c>
      <c r="H2148" s="38" t="n">
        <f aca="false">Sens!$H$2046-Sens!$H$2048</f>
        <v>449.156813761174</v>
      </c>
      <c r="I2148" s="38" t="n">
        <f aca="false">Sens!$I$2046-Sens!$I$2048</f>
        <v>485.848786441156</v>
      </c>
      <c r="J2148" s="38" t="n">
        <f aca="false">Sens!$J$2046-Sens!$J$2048</f>
        <v>519.841531018994</v>
      </c>
      <c r="K2148" s="38" t="n">
        <f aca="false">Sens!$K$2046-Sens!$K$2048</f>
        <v>550.103332311311</v>
      </c>
      <c r="L2148" s="38" t="n">
        <f aca="false">Sens!$L$2046-Sens!$L$2048</f>
        <v>582.192354474511</v>
      </c>
      <c r="M2148" s="38" t="n">
        <f aca="false">Sens!$M$2046-Sens!$M$2048</f>
        <v>616.22240521081</v>
      </c>
      <c r="N2148" s="38" t="n">
        <f aca="false">Sens!$N$2046-Sens!$N$2048</f>
        <v>171.24628885875</v>
      </c>
      <c r="O2148" s="38" t="n">
        <f aca="false">Sens!$O$2046-Sens!$O$2048</f>
        <v>205.33105363572</v>
      </c>
    </row>
    <row r="2149" customFormat="false" ht="17.15" hidden="false" customHeight="false" outlineLevel="0" collapsed="false">
      <c r="A2149" s="0" t="s">
        <v>733</v>
      </c>
      <c r="B2149" s="0" t="s">
        <v>86</v>
      </c>
      <c r="C2149" s="38" t="n">
        <f aca="false">Sens!$C$2100*Sens!$C$2045</f>
        <v>0.119793158257048</v>
      </c>
      <c r="D2149" s="38" t="n">
        <f aca="false">Sens!$D$2100*Sens!$D$2045</f>
        <v>0.56792074721106</v>
      </c>
      <c r="E2149" s="38" t="n">
        <f aca="false">Sens!$E$2100*Sens!$E$2045</f>
        <v>1.00999457416225</v>
      </c>
      <c r="F2149" s="38" t="n">
        <f aca="false">Sens!$F$2100*Sens!$F$2045</f>
        <v>1.23899659274157</v>
      </c>
      <c r="G2149" s="38" t="n">
        <f aca="false">Sens!$G$2100*Sens!$G$2045</f>
        <v>2.24961550810665</v>
      </c>
      <c r="H2149" s="38" t="n">
        <f aca="false">Sens!$H$2100*Sens!$H$2045</f>
        <v>6.06771608692249</v>
      </c>
      <c r="I2149" s="38" t="n">
        <f aca="false">Sens!$I$2100*Sens!$I$2045</f>
        <v>11.5805664117465</v>
      </c>
      <c r="J2149" s="38" t="n">
        <f aca="false">Sens!$J$2100*Sens!$J$2045</f>
        <v>16.6932187092813</v>
      </c>
      <c r="K2149" s="38" t="n">
        <f aca="false">Sens!$K$2100*Sens!$K$2045</f>
        <v>21.5855690734773</v>
      </c>
      <c r="L2149" s="38" t="n">
        <f aca="false">Sens!$L$2100*Sens!$L$2045</f>
        <v>25.0674848098098</v>
      </c>
      <c r="M2149" s="38" t="n">
        <f aca="false">Sens!$M$2100*Sens!$M$2045</f>
        <v>27.013437641164</v>
      </c>
      <c r="N2149" s="38" t="n">
        <f aca="false">Sens!$N$2100*Sens!$N$2045</f>
        <v>0.234209544222869</v>
      </c>
      <c r="O2149" s="38" t="n">
        <f aca="false">Sens!$O$2100*Sens!$O$2045</f>
        <v>0.333244851203172</v>
      </c>
    </row>
    <row r="2150" customFormat="false" ht="17.15" hidden="false" customHeight="false" outlineLevel="0" collapsed="false">
      <c r="A2150" s="0" t="s">
        <v>734</v>
      </c>
      <c r="B2150" s="0" t="s">
        <v>52</v>
      </c>
      <c r="C2150" s="28" t="n">
        <f aca="false">(Sens!$C$2151-Sens!$C$2147+Sens!$C$2149)/Sens!$C$2148</f>
        <v>0.0131416273713343</v>
      </c>
      <c r="D2150" s="28" t="n">
        <f aca="false">(Sens!$D$2151-Sens!$D$2147+Sens!$D$2149)/Sens!$D$2148</f>
        <v>0.0141142092776242</v>
      </c>
      <c r="E2150" s="28" t="n">
        <f aca="false">(Sens!$E$2151-Sens!$E$2147+Sens!$E$2149)/Sens!$E$2148</f>
        <v>0.0253381442558904</v>
      </c>
      <c r="F2150" s="28" t="n">
        <f aca="false">Sens!$O$2150+(Sens!$E$2150-Sens!$N$2150)</f>
        <v>0.0219386428003773</v>
      </c>
      <c r="G2150" s="28" t="n">
        <f aca="false">(Sens!$G$2151-Sens!$G$2147+Sens!$G$2149)/Sens!$G$2148</f>
        <v>0.0235203662085787</v>
      </c>
      <c r="H2150" s="28" t="n">
        <f aca="false">Sens!$G$2150+step_na</f>
        <v>0.0265203662085787</v>
      </c>
      <c r="I2150" s="28" t="n">
        <f aca="false">Sens!$H$2150+step_na</f>
        <v>0.0295203662085787</v>
      </c>
      <c r="J2150" s="28" t="n">
        <f aca="false">Sens!$I$2150+step_na</f>
        <v>0.0325203662085787</v>
      </c>
      <c r="K2150" s="28" t="n">
        <f aca="false">Sens!$J$2150+step_na</f>
        <v>0.0355203662085787</v>
      </c>
      <c r="L2150" s="28" t="n">
        <f aca="false">Sens!$K$2150</f>
        <v>0.0355203662085787</v>
      </c>
      <c r="M2150" s="28" t="n">
        <f aca="false">Sens!$L$2150</f>
        <v>0.0355203662085787</v>
      </c>
      <c r="N2150" s="28" t="n">
        <f aca="false">(Sens!$N$2151-Sens!$N$2147+Sens!$N$2149)/Sens!$N$2148</f>
        <v>0.0159878149292702</v>
      </c>
      <c r="O2150" s="28" t="n">
        <f aca="false">(Sens!$O$2151-Sens!$O$2147+Sens!$O$2149)/Sens!$O$2148</f>
        <v>0.0125883134737571</v>
      </c>
      <c r="P2150" s="8" t="s">
        <v>735</v>
      </c>
    </row>
    <row r="2151" customFormat="false" ht="17.15" hidden="false" customHeight="false" outlineLevel="0" collapsed="false">
      <c r="A2151" s="1" t="s">
        <v>736</v>
      </c>
      <c r="B2151" s="8" t="s">
        <v>86</v>
      </c>
      <c r="C2151" s="38" t="n">
        <f aca="false">Q!$D$22</f>
        <v>24.967</v>
      </c>
      <c r="D2151" s="38" t="n">
        <f aca="false">Q!$E$22</f>
        <v>29.619</v>
      </c>
      <c r="E2151" s="38" t="n">
        <f aca="false">Q!$P$22</f>
        <v>17.39</v>
      </c>
      <c r="F2151" s="38" t="n">
        <f aca="false">Sens!$F$2147+Sens!$F$2148*Sens!$F$2150-Sens!$F$2149</f>
        <v>20.1045391190544</v>
      </c>
      <c r="G2151" s="38" t="n">
        <f aca="false">Sens!$E$2151+Sens!$F$2151</f>
        <v>37.4945391190544</v>
      </c>
      <c r="H2151" s="38" t="n">
        <f aca="false">Sens!$H$2147+Sens!$H$2148*Sens!$H$2150-Sens!$H$2149</f>
        <v>41.9591754267337</v>
      </c>
      <c r="I2151" s="38" t="n">
        <f aca="false">Sens!$I$2147+Sens!$I$2148*Sens!$I$2150-Sens!$I$2149</f>
        <v>44.9094059091895</v>
      </c>
      <c r="J2151" s="38" t="n">
        <f aca="false">Sens!$J$2147+Sens!$J$2148*Sens!$J$2150-Sens!$J$2149</f>
        <v>47.9871706363539</v>
      </c>
      <c r="K2151" s="38" t="n">
        <f aca="false">Sens!$K$2147+Sens!$K$2148*Sens!$K$2150-Sens!$K$2149</f>
        <v>50.5067503678962</v>
      </c>
      <c r="L2151" s="38" t="n">
        <f aca="false">Sens!$L$2147+Sens!$L$2148*Sens!$L$2150-Sens!$L$2149</f>
        <v>53.4198932125874</v>
      </c>
      <c r="M2151" s="38" t="n">
        <f aca="false">Sens!$M$2147+Sens!$M$2148*Sens!$M$2150-Sens!$M$2149</f>
        <v>58.4634694842458</v>
      </c>
      <c r="N2151" s="38" t="n">
        <f aca="false">Q!$N$22</f>
        <v>13.358</v>
      </c>
      <c r="O2151" s="38" t="n">
        <f aca="false">Q!$O$22</f>
        <v>16.261</v>
      </c>
    </row>
    <row r="2152" customFormat="false" ht="17.15" hidden="false" customHeight="false" outlineLevel="0" collapsed="false">
      <c r="A2152" s="0" t="s">
        <v>737</v>
      </c>
      <c r="B2152" s="0" t="s">
        <v>86</v>
      </c>
      <c r="C2152" s="38" t="n">
        <f aca="false">Sens!$C$2049*m_ad</f>
        <v>7.57284355857716</v>
      </c>
      <c r="D2152" s="38" t="n">
        <f aca="false">Sens!$D$2049*m_ad</f>
        <v>9.44543827004127</v>
      </c>
      <c r="E2152" s="38" t="n">
        <f aca="false">Sens!$E$2049*m_ad</f>
        <v>5.02428875377928</v>
      </c>
      <c r="F2152" s="38" t="n">
        <f aca="false">Sens!$F$2049*m_ad</f>
        <v>6.50663858068173</v>
      </c>
      <c r="G2152" s="38" t="n">
        <f aca="false">Sens!$G$2049*m_ad</f>
        <v>11.5225190751659</v>
      </c>
      <c r="H2152" s="38" t="n">
        <f aca="false">Sens!$H$2049*m_ad</f>
        <v>13.8333728663174</v>
      </c>
      <c r="I2152" s="38" t="n">
        <f aca="false">Sens!$I$2049*m_ad</f>
        <v>16.1440173245485</v>
      </c>
      <c r="J2152" s="38" t="n">
        <f aca="false">Sens!$J$2049*m_ad</f>
        <v>18.2995185845066</v>
      </c>
      <c r="K2152" s="38" t="n">
        <f aca="false">Sens!$K$2049*m_ad</f>
        <v>20.1294704429572</v>
      </c>
      <c r="L2152" s="38" t="n">
        <f aca="false">Sens!$L$2049*m_ad</f>
        <v>22.142417487253</v>
      </c>
      <c r="M2152" s="38" t="n">
        <f aca="false">Sens!$M$2049*m_ad</f>
        <v>24.3566592359783</v>
      </c>
      <c r="N2152" s="38" t="n">
        <f aca="false">Sens!$N$2049*m_ad</f>
        <v>3.95314442937518</v>
      </c>
      <c r="O2152" s="38" t="n">
        <f aca="false">Sens!$O$2049*m_ad</f>
        <v>5.50052681786011</v>
      </c>
    </row>
    <row r="2153" customFormat="false" ht="17.15" hidden="false" customHeight="false" outlineLevel="0" collapsed="false">
      <c r="A2153" s="0" t="s">
        <v>738</v>
      </c>
      <c r="B2153" s="0" t="s">
        <v>86</v>
      </c>
      <c r="C2153" s="38" t="n">
        <f aca="false">Sens!$C$2047-Sens!$C$2049</f>
        <v>127.760312882846</v>
      </c>
      <c r="D2153" s="38" t="n">
        <f aca="false">Sens!$D$2047-Sens!$D$2049</f>
        <v>143.003123459917</v>
      </c>
      <c r="E2153" s="38" t="n">
        <f aca="false">Sens!$E$2047-Sens!$E$2049</f>
        <v>71.9374224924414</v>
      </c>
      <c r="F2153" s="38" t="n">
        <f aca="false">Sens!$F$2047-Sens!$F$2049</f>
        <v>85.3951910035875</v>
      </c>
      <c r="G2153" s="38" t="n">
        <f aca="false">Sens!$G$2047-Sens!$G$2049</f>
        <v>157.349430014619</v>
      </c>
      <c r="H2153" s="38" t="n">
        <f aca="false">Sens!$H$2047-Sens!$H$2049</f>
        <v>172.043153372315</v>
      </c>
      <c r="I2153" s="38" t="n">
        <f aca="false">Sens!$I$2047-Sens!$I$2049</f>
        <v>186.097493615879</v>
      </c>
      <c r="J2153" s="38" t="n">
        <f aca="false">Sens!$J$2047-Sens!$J$2049</f>
        <v>199.117932780497</v>
      </c>
      <c r="K2153" s="38" t="n">
        <f aca="false">Sens!$K$2047-Sens!$K$2049</f>
        <v>210.70928698363</v>
      </c>
      <c r="L2153" s="38" t="n">
        <f aca="false">Sens!$L$2047-Sens!$L$2049</f>
        <v>223.000532251316</v>
      </c>
      <c r="M2153" s="38" t="n">
        <f aca="false">Sens!$M$2047-Sens!$M$2049</f>
        <v>236.035261011339</v>
      </c>
      <c r="N2153" s="38" t="n">
        <f aca="false">Sens!$N$2047-Sens!$N$2049</f>
        <v>62.3677111412496</v>
      </c>
      <c r="O2153" s="38" t="n">
        <f aca="false">Sens!$O$2047-Sens!$O$2049</f>
        <v>80.6189463642798</v>
      </c>
    </row>
    <row r="2154" customFormat="false" ht="17.15" hidden="false" customHeight="false" outlineLevel="0" collapsed="false">
      <c r="A2154" s="0" t="s">
        <v>739</v>
      </c>
      <c r="B2154" s="0" t="s">
        <v>86</v>
      </c>
      <c r="C2154" s="38" t="n">
        <f aca="false">Sens!$C$2100*(1-Sens!$C$2045)</f>
        <v>0.0441788222202539</v>
      </c>
      <c r="D2154" s="38" t="n">
        <f aca="false">Sens!$D$2100*(1-Sens!$D$2045)</f>
        <v>0.215674133423224</v>
      </c>
      <c r="E2154" s="38" t="n">
        <f aca="false">Sens!$E$2100*(1-Sens!$E$2045)</f>
        <v>0.375841572064571</v>
      </c>
      <c r="F2154" s="38" t="n">
        <f aca="false">Sens!$F$2100*(1-Sens!$F$2045)</f>
        <v>0.486466114536029</v>
      </c>
      <c r="G2154" s="38" t="n">
        <f aca="false">Sens!$G$2100*(1-Sens!$G$2045)</f>
        <v>0.861683345397766</v>
      </c>
      <c r="H2154" s="38" t="n">
        <f aca="false">Sens!$H$2100*(1-Sens!$H$2045)</f>
        <v>2.32415267313997</v>
      </c>
      <c r="I2154" s="38" t="n">
        <f aca="false">Sens!$I$2100*(1-Sens!$I$2045)</f>
        <v>4.43577187804559</v>
      </c>
      <c r="J2154" s="38" t="n">
        <f aca="false">Sens!$J$2100*(1-Sens!$J$2045)</f>
        <v>6.39410089903601</v>
      </c>
      <c r="K2154" s="38" t="n">
        <f aca="false">Sens!$K$2100*(1-Sens!$K$2045)</f>
        <v>8.26804638593675</v>
      </c>
      <c r="L2154" s="38" t="n">
        <f aca="false">Sens!$L$2100*(1-Sens!$L$2045)</f>
        <v>9.6017448731957</v>
      </c>
      <c r="M2154" s="38" t="n">
        <f aca="false">Sens!$M$2100*(1-Sens!$M$2045)</f>
        <v>10.3471145328843</v>
      </c>
      <c r="N2154" s="38" t="n">
        <f aca="false">Sens!$N$2100*(1-Sens!$N$2045)</f>
        <v>0.085298859893332</v>
      </c>
      <c r="O2154" s="38" t="n">
        <f aca="false">Sens!$O$2100*(1-Sens!$O$2045)</f>
        <v>0.130841625314911</v>
      </c>
    </row>
    <row r="2155" customFormat="false" ht="17.15" hidden="false" customHeight="false" outlineLevel="0" collapsed="false">
      <c r="A2155" s="0" t="s">
        <v>740</v>
      </c>
      <c r="B2155" s="0" t="s">
        <v>52</v>
      </c>
      <c r="C2155" s="28" t="n">
        <f aca="false">(Sens!$C$2156-Sens!$C$2152+Sens!$C$2154)/Sens!$C$2153</f>
        <v>-0.0292474607492811</v>
      </c>
      <c r="D2155" s="28" t="n">
        <f aca="false">(Sens!$D$2156-Sens!$D$2152+Sens!$D$2154)/Sens!$D$2153</f>
        <v>-0.0313263376927126</v>
      </c>
      <c r="E2155" s="28" t="n">
        <f aca="false">(Sens!$E$2156-Sens!$E$2152+Sens!$E$2154)/Sens!$E$2153</f>
        <v>-0.0209549790565974</v>
      </c>
      <c r="F2155" s="28" t="n">
        <f aca="false">Sens!$O$2155+(Sens!$E$2155-Sens!$N$2155)</f>
        <v>-0.0380325212955415</v>
      </c>
      <c r="G2155" s="28" t="n">
        <f aca="false">(Sens!$G$2156-Sens!$G$2152+Sens!$G$2154)/Sens!$G$2153</f>
        <v>-0.0301714323563937</v>
      </c>
      <c r="H2155" s="28" t="n">
        <f aca="false">Sens!$G$2155+step_in</f>
        <v>-0.0301714323563937</v>
      </c>
      <c r="I2155" s="28" t="n">
        <f aca="false">Sens!$H$2155+step_in</f>
        <v>-0.0301714323563937</v>
      </c>
      <c r="J2155" s="28" t="n">
        <f aca="false">Sens!$I$2155+step_in</f>
        <v>-0.0301714323563937</v>
      </c>
      <c r="K2155" s="28" t="n">
        <f aca="false">Sens!$J$2155+step_in</f>
        <v>-0.0301714323563937</v>
      </c>
      <c r="L2155" s="28" t="n">
        <f aca="false">Sens!$K$2155</f>
        <v>-0.0301714323563937</v>
      </c>
      <c r="M2155" s="28" t="n">
        <f aca="false">Sens!$L$2155</f>
        <v>-0.0301714323563937</v>
      </c>
      <c r="N2155" s="28" t="n">
        <f aca="false">(Sens!$N$2156-Sens!$N$2152+Sens!$N$2154)/Sens!$N$2153</f>
        <v>-0.0217555774398852</v>
      </c>
      <c r="O2155" s="28" t="n">
        <f aca="false">(Sens!$O$2156-Sens!$O$2152+Sens!$O$2154)/Sens!$O$2153</f>
        <v>-0.0388331196788293</v>
      </c>
      <c r="P2155" s="8" t="s">
        <v>735</v>
      </c>
    </row>
    <row r="2156" customFormat="false" ht="17.15" hidden="false" customHeight="false" outlineLevel="0" collapsed="false">
      <c r="A2156" s="1" t="s">
        <v>741</v>
      </c>
      <c r="B2156" s="8" t="s">
        <v>86</v>
      </c>
      <c r="C2156" s="38" t="n">
        <f aca="false">Q!$D$23</f>
        <v>3.792</v>
      </c>
      <c r="D2156" s="38" t="n">
        <f aca="false">Q!$E$23</f>
        <v>4.75</v>
      </c>
      <c r="E2156" s="38" t="n">
        <f aca="false">Q!$P$23</f>
        <v>3.141</v>
      </c>
      <c r="F2156" s="38" t="n">
        <f aca="false">Sens!$F$2152+Sens!$F$2153*Sens!$F$2155-Sens!$F$2154</f>
        <v>2.77237804576492</v>
      </c>
      <c r="G2156" s="38" t="n">
        <f aca="false">Sens!$E$2156+Sens!$F$2156</f>
        <v>5.91337804576492</v>
      </c>
      <c r="H2156" s="38" t="n">
        <f aca="false">Sens!$H$2152+Sens!$H$2153*Sens!$H$2155-Sens!$H$2154</f>
        <v>6.31843182882393</v>
      </c>
      <c r="I2156" s="38" t="n">
        <f aca="false">Sens!$I$2152+Sens!$I$2153*Sens!$I$2155-Sens!$I$2154</f>
        <v>6.09341750617705</v>
      </c>
      <c r="J2156" s="38" t="n">
        <f aca="false">Sens!$J$2152+Sens!$J$2153*Sens!$J$2155-Sens!$J$2154</f>
        <v>5.89774444563887</v>
      </c>
      <c r="K2156" s="38" t="n">
        <f aca="false">Sens!$K$2152+Sens!$K$2153*Sens!$K$2155-Sens!$K$2154</f>
        <v>5.50402305792995</v>
      </c>
      <c r="L2156" s="38" t="n">
        <f aca="false">Sens!$L$2152+Sens!$L$2153*Sens!$L$2155-Sens!$L$2154</f>
        <v>5.81242713979688</v>
      </c>
      <c r="M2156" s="38" t="n">
        <f aca="false">Sens!$M$2152+Sens!$M$2153*Sens!$M$2155-Sens!$M$2154</f>
        <v>6.88802279176666</v>
      </c>
      <c r="N2156" s="38" t="n">
        <f aca="false">Q!$N$23</f>
        <v>2.511</v>
      </c>
      <c r="O2156" s="38" t="n">
        <f aca="false">Q!$O$23</f>
        <v>2.239</v>
      </c>
    </row>
    <row r="2157" customFormat="false" ht="17.15" hidden="false" customHeight="false" outlineLevel="0" collapsed="false">
      <c r="A2157" s="0" t="s">
        <v>742</v>
      </c>
      <c r="B2157" s="0" t="s">
        <v>86</v>
      </c>
      <c r="C2157" s="38" t="n">
        <f aca="false">Sens!$C$2097</f>
        <v>1.66511743506443</v>
      </c>
      <c r="D2157" s="38" t="n">
        <f aca="false">Sens!$D$2097</f>
        <v>5.56939056611403</v>
      </c>
      <c r="E2157" s="38" t="n">
        <f aca="false">Sens!$E$2097</f>
        <v>2.96700839066274</v>
      </c>
      <c r="F2157" s="38" t="n">
        <f aca="false">Sens!$F$2097</f>
        <v>8.06158281561007</v>
      </c>
      <c r="G2157" s="38" t="n">
        <f aca="false">Sens!$G$2097</f>
        <v>11.0285912062728</v>
      </c>
      <c r="H2157" s="38" t="n">
        <f aca="false">Sens!$H$2097</f>
        <v>26.5984157095247</v>
      </c>
      <c r="I2157" s="38" t="n">
        <f aca="false">Sens!$I$2097</f>
        <v>37.4383459772637</v>
      </c>
      <c r="J2157" s="38" t="n">
        <f aca="false">Sens!$J$2097</f>
        <v>50.6761287180089</v>
      </c>
      <c r="K2157" s="38" t="n">
        <f aca="false">Sens!$K$2097</f>
        <v>59.0336585455235</v>
      </c>
      <c r="L2157" s="38" t="n">
        <f aca="false">Sens!$L$2097</f>
        <v>63.0511830703744</v>
      </c>
      <c r="M2157" s="38" t="n">
        <f aca="false">Sens!$M$2097</f>
        <v>63.3932326726721</v>
      </c>
      <c r="N2157" s="38" t="n">
        <f aca="false">Sens!$N$2097</f>
        <v>1.7682859145631</v>
      </c>
      <c r="O2157" s="38" t="n">
        <f aca="false">Sens!$O$2097</f>
        <v>3.80110465155092</v>
      </c>
    </row>
    <row r="2158" customFormat="false" ht="17.15" hidden="false" customHeight="false" outlineLevel="0" collapsed="false">
      <c r="A2158" s="0" t="s">
        <v>660</v>
      </c>
      <c r="B2158" s="0" t="s">
        <v>86</v>
      </c>
      <c r="C2158" s="38" t="n">
        <f aca="false">Sens!$C$2102</f>
        <v>38.1688825649356</v>
      </c>
      <c r="D2158" s="38" t="n">
        <f aca="false">Sens!$D$2102</f>
        <v>40.036609433886</v>
      </c>
      <c r="E2158" s="38" t="n">
        <f aca="false">Sens!$E$2102</f>
        <v>27.8149916093373</v>
      </c>
      <c r="F2158" s="38" t="n">
        <f aca="false">Sens!$F$2102</f>
        <v>25.6165955129063</v>
      </c>
      <c r="G2158" s="38" t="n">
        <f aca="false">Sens!$G$2102</f>
        <v>53.4315871222435</v>
      </c>
      <c r="H2158" s="38" t="n">
        <f aca="false">Sens!$H$2102</f>
        <v>57.4717789644517</v>
      </c>
      <c r="I2158" s="38" t="n">
        <f aca="false">Sens!$I$2102</f>
        <v>63.8082387975008</v>
      </c>
      <c r="J2158" s="38" t="n">
        <f aca="false">Sens!$J$2102</f>
        <v>69.8781064302044</v>
      </c>
      <c r="K2158" s="38" t="n">
        <f aca="false">Sens!$K$2102</f>
        <v>75.4683549446208</v>
      </c>
      <c r="L2158" s="38" t="n">
        <f aca="false">Sens!$L$2102</f>
        <v>81.5058233401905</v>
      </c>
      <c r="M2158" s="38" t="n">
        <f aca="false">Sens!$M$2102</f>
        <v>88.0262892074057</v>
      </c>
      <c r="N2158" s="38" t="n">
        <f aca="false">Sens!$N$2102</f>
        <v>19.9387140854369</v>
      </c>
      <c r="O2158" s="38" t="n">
        <f aca="false">Sens!$O$2102</f>
        <v>20.0978953484491</v>
      </c>
    </row>
    <row r="2159" customFormat="false" ht="17.15" hidden="false" customHeight="false" outlineLevel="0" collapsed="false">
      <c r="A2159" s="1" t="s">
        <v>743</v>
      </c>
      <c r="B2159" s="8" t="s">
        <v>86</v>
      </c>
      <c r="C2159" s="38" t="n">
        <f aca="false">Q!$D$24</f>
        <v>39.834</v>
      </c>
      <c r="D2159" s="38" t="n">
        <f aca="false">Q!$E$24</f>
        <v>45.606</v>
      </c>
      <c r="E2159" s="38" t="n">
        <f aca="false">Q!$P$24</f>
        <v>30.782</v>
      </c>
      <c r="F2159" s="38" t="n">
        <f aca="false">Sens!$F$2157+Sens!$F$2158</f>
        <v>33.6781783285163</v>
      </c>
      <c r="G2159" s="38" t="n">
        <f aca="false">Sens!$G$2157+Sens!$G$2158</f>
        <v>64.4601783285163</v>
      </c>
      <c r="H2159" s="38" t="n">
        <f aca="false">Sens!$H$2157+Sens!$H$2158</f>
        <v>84.0701946739764</v>
      </c>
      <c r="I2159" s="38" t="n">
        <f aca="false">Sens!$I$2157+Sens!$I$2158</f>
        <v>101.246584774764</v>
      </c>
      <c r="J2159" s="38" t="n">
        <f aca="false">Sens!$J$2157+Sens!$J$2158</f>
        <v>120.554235148213</v>
      </c>
      <c r="K2159" s="38" t="n">
        <f aca="false">Sens!$K$2157+Sens!$K$2158</f>
        <v>134.502013490144</v>
      </c>
      <c r="L2159" s="38" t="n">
        <f aca="false">Sens!$L$2157+Sens!$L$2158</f>
        <v>144.557006410565</v>
      </c>
      <c r="M2159" s="38" t="n">
        <f aca="false">Sens!$M$2157+Sens!$M$2158</f>
        <v>151.419521880078</v>
      </c>
      <c r="N2159" s="38" t="n">
        <f aca="false">Q!$N$24</f>
        <v>21.707</v>
      </c>
      <c r="O2159" s="38" t="n">
        <f aca="false">Q!$O$24</f>
        <v>23.899</v>
      </c>
    </row>
    <row r="2160" customFormat="false" ht="17.15" hidden="false" customHeight="false" outlineLevel="0" collapsed="false">
      <c r="A2160" s="5" t="s">
        <v>744</v>
      </c>
      <c r="B2160" s="0" t="s">
        <v>86</v>
      </c>
      <c r="C2160" s="38" t="n">
        <f aca="false">Q!$D$26</f>
        <v>0</v>
      </c>
      <c r="D2160" s="38" t="n">
        <f aca="false">Q!$E$26</f>
        <v>0</v>
      </c>
      <c r="E2160" s="38" t="n">
        <f aca="false">Q!$P$26</f>
        <v>0</v>
      </c>
      <c r="F2160" s="39" t="n">
        <v>0</v>
      </c>
      <c r="G2160" s="38" t="n">
        <f aca="false">Sens!$E$2160+Sens!$F$2160</f>
        <v>0</v>
      </c>
      <c r="H2160" s="39" t="n">
        <v>0</v>
      </c>
      <c r="I2160" s="39" t="n">
        <v>0</v>
      </c>
      <c r="J2160" s="39" t="n">
        <v>0</v>
      </c>
      <c r="K2160" s="39" t="n">
        <v>0</v>
      </c>
      <c r="L2160" s="39" t="n">
        <v>0</v>
      </c>
      <c r="M2160" s="39" t="n">
        <v>0</v>
      </c>
      <c r="N2160" s="38" t="n">
        <f aca="false">Q!$N$26</f>
        <v>0</v>
      </c>
      <c r="O2160" s="38" t="n">
        <f aca="false">Q!$O$26</f>
        <v>0</v>
      </c>
    </row>
    <row r="2161" customFormat="false" ht="15" hidden="false" customHeight="false" outlineLevel="0" collapsed="false">
      <c r="A2161" s="3" t="s">
        <v>541</v>
      </c>
      <c r="B2161" s="8" t="s">
        <v>86</v>
      </c>
      <c r="C2161" s="38" t="n">
        <f aca="false">Q!$D$25</f>
        <v>68.593</v>
      </c>
      <c r="D2161" s="38" t="n">
        <f aca="false">Q!$E$25</f>
        <v>79.975</v>
      </c>
      <c r="E2161" s="38" t="n">
        <f aca="false">Q!$P$25</f>
        <v>51.313</v>
      </c>
      <c r="F2161" s="38" t="n">
        <f aca="false">Sens!$F$2151+Sens!$F$2156+Sens!$F$2159+Sens!$F$2160</f>
        <v>56.5550954933357</v>
      </c>
      <c r="G2161" s="38" t="n">
        <f aca="false">Sens!$G$2151+Sens!$G$2156+Sens!$G$2159+Sens!$G$2160</f>
        <v>107.868095493336</v>
      </c>
      <c r="H2161" s="38" t="n">
        <f aca="false">Sens!$H$2151+Sens!$H$2156+Sens!$H$2159+Sens!$H$2160</f>
        <v>132.347801929534</v>
      </c>
      <c r="I2161" s="38" t="n">
        <f aca="false">Sens!$I$2151+Sens!$I$2156+Sens!$I$2159+Sens!$I$2160</f>
        <v>152.249408190131</v>
      </c>
      <c r="J2161" s="38" t="n">
        <f aca="false">Sens!$J$2151+Sens!$J$2156+Sens!$J$2159+Sens!$J$2160</f>
        <v>174.439150230206</v>
      </c>
      <c r="K2161" s="38" t="n">
        <f aca="false">Sens!$K$2151+Sens!$K$2156+Sens!$K$2159+Sens!$K$2160</f>
        <v>190.51278691597</v>
      </c>
      <c r="L2161" s="38" t="n">
        <f aca="false">Sens!$L$2151+Sens!$L$2156+Sens!$L$2159+Sens!$L$2160</f>
        <v>203.789326762949</v>
      </c>
      <c r="M2161" s="38" t="n">
        <f aca="false">Sens!$M$2151+Sens!$M$2156+Sens!$M$2159+Sens!$M$2160</f>
        <v>216.77101415609</v>
      </c>
      <c r="N2161" s="38" t="n">
        <f aca="false">Q!$N$25</f>
        <v>37.576</v>
      </c>
      <c r="O2161" s="38" t="n">
        <f aca="false">Q!$O$25</f>
        <v>42.399</v>
      </c>
    </row>
    <row r="2162" customFormat="false" ht="17.15" hidden="false" customHeight="false" outlineLevel="0" collapsed="false">
      <c r="A2162" s="24" t="s">
        <v>775</v>
      </c>
      <c r="B2162" s="25" t="s">
        <v>86</v>
      </c>
      <c r="C2162" s="41" t="n">
        <f aca="false">Sens!$C$2151+Sens!$C$2156+Sens!$C$2159+Sens!$C$2160-Sens!$C$2161</f>
        <v>0</v>
      </c>
      <c r="D2162" s="41" t="n">
        <f aca="false">Sens!$D$2151+Sens!$D$2156+Sens!$D$2159+Sens!$D$2160-Sens!$D$2161</f>
        <v>0</v>
      </c>
      <c r="E2162" s="41" t="n">
        <f aca="false">Sens!$E$2151+Sens!$E$2156+Sens!$E$2159+Sens!$E$2160-Sens!$E$2161</f>
        <v>0</v>
      </c>
      <c r="F2162" s="41" t="n">
        <f aca="false">Sens!$F$2151+Sens!$F$2156+Sens!$F$2159+Sens!$F$2160-Sens!$F$2161</f>
        <v>0</v>
      </c>
      <c r="G2162" s="41" t="n">
        <f aca="false">Sens!$G$2151+Sens!$G$2156+Sens!$G$2159+Sens!$G$2160-Sens!$G$2161</f>
        <v>0</v>
      </c>
      <c r="H2162" s="41" t="n">
        <f aca="false">Sens!$H$2151+Sens!$H$2156+Sens!$H$2159+Sens!$H$2160-Sens!$H$2161</f>
        <v>0</v>
      </c>
      <c r="I2162" s="41" t="n">
        <f aca="false">Sens!$I$2151+Sens!$I$2156+Sens!$I$2159+Sens!$I$2160-Sens!$I$2161</f>
        <v>0</v>
      </c>
      <c r="J2162" s="41" t="n">
        <f aca="false">Sens!$J$2151+Sens!$J$2156+Sens!$J$2159+Sens!$J$2160-Sens!$J$2161</f>
        <v>0</v>
      </c>
      <c r="K2162" s="41" t="n">
        <f aca="false">Sens!$K$2151+Sens!$K$2156+Sens!$K$2159+Sens!$K$2160-Sens!$K$2161</f>
        <v>0</v>
      </c>
      <c r="L2162" s="41" t="n">
        <f aca="false">Sens!$L$2151+Sens!$L$2156+Sens!$L$2159+Sens!$L$2160-Sens!$L$2161</f>
        <v>0</v>
      </c>
      <c r="M2162" s="41" t="n">
        <f aca="false">Sens!$M$2151+Sens!$M$2156+Sens!$M$2159+Sens!$M$2160-Sens!$M$2161</f>
        <v>0</v>
      </c>
      <c r="N2162" s="41" t="n">
        <f aca="false">Sens!$N$2151+Sens!$N$2156+Sens!$N$2159+Sens!$N$2160-Sens!$N$2161</f>
        <v>0</v>
      </c>
      <c r="O2162" s="41" t="n">
        <f aca="false">Sens!$O$2151+Sens!$O$2156+Sens!$O$2159+Sens!$O$2160-Sens!$O$2161</f>
        <v>0</v>
      </c>
    </row>
    <row r="2163" customFormat="false" ht="17.15" hidden="false" customHeight="false" outlineLevel="0" collapsed="false">
      <c r="A2163" s="5" t="s">
        <v>746</v>
      </c>
      <c r="B2163" s="0" t="s">
        <v>86</v>
      </c>
      <c r="C2163" s="38" t="n">
        <f aca="false">Sens!$C$2099</f>
        <v>0</v>
      </c>
      <c r="D2163" s="38" t="n">
        <f aca="false">Sens!$D$2099</f>
        <v>0</v>
      </c>
      <c r="E2163" s="38" t="n">
        <f aca="false">Sens!$E$2099</f>
        <v>0</v>
      </c>
      <c r="F2163" s="38" t="n">
        <f aca="false">Sens!$F$2099</f>
        <v>3.77122048175818</v>
      </c>
      <c r="G2163" s="38" t="n">
        <f aca="false">Sens!$G$2099</f>
        <v>3.77122048175818</v>
      </c>
      <c r="H2163" s="38" t="n">
        <f aca="false">Sens!$H$2099</f>
        <v>15.1635543609893</v>
      </c>
      <c r="I2163" s="38" t="n">
        <f aca="false">Sens!$I$2099</f>
        <v>25.5818843619889</v>
      </c>
      <c r="J2163" s="38" t="n">
        <f aca="false">Sens!$J$2099</f>
        <v>36.0465624179122</v>
      </c>
      <c r="K2163" s="38" t="n">
        <f aca="false">Sens!$K$2099</f>
        <v>44.9741164026038</v>
      </c>
      <c r="L2163" s="38" t="n">
        <f aca="false">Sens!$L$2099</f>
        <v>50.8413488057813</v>
      </c>
      <c r="M2163" s="38" t="n">
        <f aca="false">Sens!$M$2099</f>
        <v>53.6407214274315</v>
      </c>
      <c r="N2163" s="38" t="n">
        <f aca="false">Sens!$N$2099</f>
        <v>0</v>
      </c>
      <c r="O2163" s="38" t="n">
        <f aca="false">Sens!$O$2099</f>
        <v>0</v>
      </c>
      <c r="P2163" s="5" t="s">
        <v>747</v>
      </c>
    </row>
    <row r="2164" customFormat="false" ht="17.15" hidden="false" customHeight="false" outlineLevel="0" collapsed="false">
      <c r="A2164" s="5" t="s">
        <v>748</v>
      </c>
      <c r="B2164" s="0" t="s">
        <v>86</v>
      </c>
      <c r="C2164" s="38" t="n">
        <f aca="false">Sens!$C$2161+Sens!$C$2163</f>
        <v>68.593</v>
      </c>
      <c r="D2164" s="38" t="n">
        <f aca="false">Sens!$D$2161+Sens!$D$2163</f>
        <v>79.975</v>
      </c>
      <c r="E2164" s="38" t="n">
        <f aca="false">Sens!$E$2161+Sens!$E$2163</f>
        <v>51.313</v>
      </c>
      <c r="F2164" s="38" t="n">
        <f aca="false">Sens!$F$2161+Sens!$F$2163</f>
        <v>60.3263159750939</v>
      </c>
      <c r="G2164" s="38" t="n">
        <f aca="false">Sens!$G$2161+Sens!$G$2163</f>
        <v>111.639315975094</v>
      </c>
      <c r="H2164" s="38" t="n">
        <f aca="false">Sens!$H$2161+Sens!$H$2163</f>
        <v>147.511356290523</v>
      </c>
      <c r="I2164" s="38" t="n">
        <f aca="false">Sens!$I$2161+Sens!$I$2163</f>
        <v>177.83129255212</v>
      </c>
      <c r="J2164" s="38" t="n">
        <f aca="false">Sens!$J$2161+Sens!$J$2163</f>
        <v>210.485712648118</v>
      </c>
      <c r="K2164" s="38" t="n">
        <f aca="false">Sens!$K$2161+Sens!$K$2163</f>
        <v>235.486903318574</v>
      </c>
      <c r="L2164" s="38" t="n">
        <f aca="false">Sens!$L$2161+Sens!$L$2163</f>
        <v>254.63067556873</v>
      </c>
      <c r="M2164" s="38" t="n">
        <f aca="false">Sens!$M$2161+Sens!$M$2163</f>
        <v>270.411735583522</v>
      </c>
      <c r="N2164" s="38" t="n">
        <f aca="false">Sens!$N$2161+Sens!$N$2163</f>
        <v>37.576</v>
      </c>
      <c r="O2164" s="38" t="n">
        <f aca="false">Sens!$O$2161+Sens!$O$2163</f>
        <v>42.399</v>
      </c>
    </row>
    <row r="2165" customFormat="false" ht="17.15" hidden="false" customHeight="false" outlineLevel="0" collapsed="false">
      <c r="A2165" s="0" t="s">
        <v>749</v>
      </c>
      <c r="B2165" s="0" t="s">
        <v>52</v>
      </c>
      <c r="C2165" s="13" t="n">
        <f aca="false">Sens!$C$2151/Sens!$C$2136</f>
        <v>0.0644314665661928</v>
      </c>
      <c r="D2165" s="13" t="n">
        <f aca="false">Sens!$D$2151/Sens!$D$2136</f>
        <v>0.0694784250712518</v>
      </c>
      <c r="E2165" s="13" t="n">
        <f aca="false">Sens!$E$2151/Sens!$E$2136</f>
        <v>0.0789306463326071</v>
      </c>
      <c r="F2165" s="13" t="n">
        <f aca="false">Sens!$F$2151/Sens!$F$2136</f>
        <v>0.0802128841718398</v>
      </c>
      <c r="G2165" s="13" t="n">
        <f aca="false">Sens!$G$2151/Sens!$G$2136</f>
        <v>0.0796130396487037</v>
      </c>
      <c r="H2165" s="13" t="n">
        <f aca="false">Sens!$H$2151/Sens!$H$2136</f>
        <v>0.0804760690197131</v>
      </c>
      <c r="I2165" s="13" t="n">
        <f aca="false">Sens!$I$2151/Sens!$I$2136</f>
        <v>0.0787685509438635</v>
      </c>
      <c r="J2165" s="13" t="n">
        <f aca="false">Sens!$J$2151/Sens!$J$2136</f>
        <v>0.0779782880380849</v>
      </c>
      <c r="K2165" s="13" t="n">
        <f aca="false">Sens!$K$2151/Sens!$K$2136</f>
        <v>0.0770850368528868</v>
      </c>
      <c r="L2165" s="13" t="n">
        <f aca="false">Sens!$L$2151/Sens!$L$2136</f>
        <v>0.0765538846989869</v>
      </c>
      <c r="M2165" s="13" t="n">
        <f aca="false">Sens!$M$2151/Sens!$M$2136</f>
        <v>0.0786434252033483</v>
      </c>
      <c r="N2165" s="13" t="n">
        <f aca="false">Sens!$N$2151/Sens!$N$2136</f>
        <v>0.069228576611127</v>
      </c>
      <c r="O2165" s="13" t="n">
        <f aca="false">Sens!$O$2151/Sens!$O$2136</f>
        <v>0.069685022498393</v>
      </c>
    </row>
    <row r="2166" customFormat="false" ht="17.15" hidden="false" customHeight="false" outlineLevel="0" collapsed="false">
      <c r="A2166" s="0" t="s">
        <v>750</v>
      </c>
      <c r="B2166" s="0" t="s">
        <v>52</v>
      </c>
      <c r="C2166" s="13" t="n">
        <f aca="false">Sens!$C$2156/Sens!$C$2137</f>
        <v>0.026534925055631</v>
      </c>
      <c r="D2166" s="13" t="n">
        <f aca="false">Sens!$D$2156/Sens!$D$2137</f>
        <v>0.0293401855535103</v>
      </c>
      <c r="E2166" s="13" t="n">
        <f aca="false">Sens!$E$2156/Sens!$E$2137</f>
        <v>0.03831141902276</v>
      </c>
      <c r="F2166" s="13" t="n">
        <f aca="false">Sens!$F$2156/Sens!$F$2137</f>
        <v>0.028172149180474</v>
      </c>
      <c r="G2166" s="13" t="n">
        <f aca="false">Sens!$G$2156/Sens!$G$2137</f>
        <v>0.0327802626428533</v>
      </c>
      <c r="H2166" s="13" t="n">
        <f aca="false">Sens!$H$2156/Sens!$H$2137</f>
        <v>0.0316380502776357</v>
      </c>
      <c r="I2166" s="13" t="n">
        <f aca="false">Sens!$I$2156/Sens!$I$2137</f>
        <v>0.027902112171021</v>
      </c>
      <c r="J2166" s="13" t="n">
        <f aca="false">Sens!$J$2156/Sens!$J$2137</f>
        <v>0.0250204490873192</v>
      </c>
      <c r="K2166" s="13" t="n">
        <f aca="false">Sens!$K$2156/Sens!$K$2137</f>
        <v>0.0219311548105244</v>
      </c>
      <c r="L2166" s="13" t="n">
        <f aca="false">Sens!$L$2156/Sens!$L$2137</f>
        <v>0.0217461479471344</v>
      </c>
      <c r="M2166" s="13" t="n">
        <f aca="false">Sens!$M$2156/Sens!$M$2137</f>
        <v>0.0241898407509729</v>
      </c>
      <c r="N2166" s="13" t="n">
        <f aca="false">Sens!$N$2156/Sens!$N$2137</f>
        <v>0.0357315650169337</v>
      </c>
      <c r="O2166" s="13" t="n">
        <f aca="false">Sens!$O$2156/Sens!$O$2137</f>
        <v>0.0244378956559703</v>
      </c>
    </row>
    <row r="2167" customFormat="false" ht="17.15" hidden="false" customHeight="false" outlineLevel="0" collapsed="false">
      <c r="A2167" s="14" t="s">
        <v>751</v>
      </c>
      <c r="B2167" s="14" t="s">
        <v>52</v>
      </c>
      <c r="C2167" s="17" t="n">
        <f aca="false">Sens!$C$2159/Sens!$C$2138</f>
        <v>0.370355907620217</v>
      </c>
      <c r="D2167" s="17" t="n">
        <f aca="false">Sens!$D$2159/Sens!$D$2138</f>
        <v>0.35429015342785</v>
      </c>
      <c r="E2167" s="17" t="n">
        <f aca="false">Sens!$E$2159/Sens!$E$2138</f>
        <v>0.385647527531039</v>
      </c>
      <c r="F2167" s="17" t="n">
        <f aca="false">Sens!$F$2159/Sens!$F$2138</f>
        <v>0.388298362027474</v>
      </c>
      <c r="G2167" s="17" t="n">
        <f aca="false">Sens!$G$2159/Sens!$G$2138</f>
        <v>0.387027964209919</v>
      </c>
      <c r="H2167" s="17" t="n">
        <f aca="false">Sens!$H$2159/Sens!$H$2138</f>
        <v>0.380093438021778</v>
      </c>
      <c r="I2167" s="17" t="n">
        <f aca="false">Sens!$I$2159/Sens!$I$2138</f>
        <v>0.361242142797222</v>
      </c>
      <c r="J2167" s="17" t="n">
        <f aca="false">Sens!$J$2159/Sens!$J$2138</f>
        <v>0.355826147645632</v>
      </c>
      <c r="K2167" s="17" t="n">
        <f aca="false">Sens!$K$2159/Sens!$K$2138</f>
        <v>0.344978061473079</v>
      </c>
      <c r="L2167" s="17" t="n">
        <f aca="false">Sens!$L$2159/Sens!$L$2138</f>
        <v>0.336116012600438</v>
      </c>
      <c r="M2167" s="17" t="n">
        <f aca="false">Sens!$M$2159/Sens!$M$2138</f>
        <v>0.329562448023839</v>
      </c>
      <c r="N2167" s="17" t="n">
        <f aca="false">Sens!$N$2159/Sens!$N$2138</f>
        <v>0.360941137346192</v>
      </c>
      <c r="O2167" s="17" t="n">
        <f aca="false">Sens!$O$2159/Sens!$O$2138</f>
        <v>0.348458117664212</v>
      </c>
    </row>
    <row r="2168" customFormat="false" ht="17.15" hidden="false" customHeight="false" outlineLevel="0" collapsed="false">
      <c r="A2168" s="0" t="s">
        <v>752</v>
      </c>
      <c r="B2168" s="0" t="s">
        <v>52</v>
      </c>
      <c r="C2168" s="13" t="n">
        <f aca="false">Sens!$C$2157/Sens!$C$2139</f>
        <v>0.717412146448287</v>
      </c>
      <c r="D2168" s="13" t="n">
        <f aca="false">Sens!$D$2157/Sens!$D$2139</f>
        <v>0.639882546228553</v>
      </c>
      <c r="E2168" s="13" t="n">
        <f aca="false">Sens!$E$2157/Sens!$E$2139</f>
        <v>0.348635174026258</v>
      </c>
      <c r="F2168" s="13" t="n">
        <f aca="false">Sens!$F$2157/Sens!$F$2139</f>
        <v>0.538752201334113</v>
      </c>
      <c r="G2168" s="13" t="n">
        <f aca="false">Sens!$G$2157/Sens!$G$2139</f>
        <v>0.469825826768819</v>
      </c>
      <c r="H2168" s="13" t="n">
        <f aca="false">Sens!$H$2157/Sens!$H$2139</f>
        <v>0.442084632639206</v>
      </c>
      <c r="I2168" s="13" t="n">
        <f aca="false">Sens!$I$2157/Sens!$I$2139</f>
        <v>0.368837257122447</v>
      </c>
      <c r="J2168" s="13" t="n">
        <f aca="false">Sens!$J$2157/Sens!$J$2139</f>
        <v>0.354315570410569</v>
      </c>
      <c r="K2168" s="13" t="n">
        <f aca="false">Sens!$K$2157/Sens!$K$2139</f>
        <v>0.330816925494991</v>
      </c>
      <c r="L2168" s="13" t="n">
        <f aca="false">Sens!$L$2157/Sens!$L$2139</f>
        <v>0.312555278649955</v>
      </c>
      <c r="M2168" s="13" t="n">
        <f aca="false">Sens!$M$2157/Sens!$M$2139</f>
        <v>0.297850923065042</v>
      </c>
      <c r="N2168" s="13" t="n">
        <f aca="false">Sens!$N$2157/Sens!$N$2139</f>
        <v>0.580466328811685</v>
      </c>
      <c r="O2168" s="13" t="n">
        <f aca="false">Sens!$O$2157/Sens!$O$2139</f>
        <v>0.671875894068405</v>
      </c>
    </row>
    <row r="2169" customFormat="false" ht="15" hidden="false" customHeight="false" outlineLevel="0" collapsed="false">
      <c r="A2169" s="5" t="s">
        <v>753</v>
      </c>
      <c r="B2169" s="0" t="s">
        <v>52</v>
      </c>
      <c r="C2169" s="13" t="n">
        <f aca="false">Sens!$C$2161/Sens!$C$2141</f>
        <v>0.107519448742004</v>
      </c>
      <c r="D2169" s="13" t="n">
        <f aca="false">Sens!$D$2161/Sens!$D$2141</f>
        <v>0.111552967957552</v>
      </c>
      <c r="E2169" s="13" t="n">
        <f aca="false">Sens!$E$2161/Sens!$E$2141</f>
        <v>0.13428328426562</v>
      </c>
      <c r="F2169" s="13" t="n">
        <f aca="false">Sens!$F$2161/Sens!$F$2141</f>
        <v>0.129778716205701</v>
      </c>
      <c r="G2169" s="13" t="n">
        <f aca="false">Sens!$G$2161/Sens!$G$2141</f>
        <v>0.131883246704722</v>
      </c>
      <c r="H2169" s="13" t="n">
        <f aca="false">Sens!$H$2161/Sens!$H$2141</f>
        <v>0.140454877494345</v>
      </c>
      <c r="I2169" s="13" t="n">
        <f aca="false">Sens!$I$2161/Sens!$I$2141</f>
        <v>0.142448542513838</v>
      </c>
      <c r="J2169" s="13" t="n">
        <f aca="false">Sens!$J$2161/Sens!$J$2141</f>
        <v>0.146598688456902</v>
      </c>
      <c r="K2169" s="13" t="n">
        <f aca="false">Sens!$K$2161/Sens!$K$2141</f>
        <v>0.146993557292873</v>
      </c>
      <c r="L2169" s="13" t="n">
        <f aca="false">Sens!$L$2161/Sens!$L$2141</f>
        <v>0.146067341121542</v>
      </c>
      <c r="M2169" s="13" t="n">
        <f aca="false">Sens!$M$2161/Sens!$M$2141</f>
        <v>0.145718210751946</v>
      </c>
      <c r="N2169" s="13" t="n">
        <f aca="false">Sens!$N$2161/Sens!$N$2141</f>
        <v>0.116201614873411</v>
      </c>
      <c r="O2169" s="13" t="n">
        <f aca="false">Sens!$O$2161/Sens!$O$2141</f>
        <v>0.107733353660861</v>
      </c>
    </row>
    <row r="2170" customFormat="false" ht="17.15" hidden="false" customHeight="false" outlineLevel="0" collapsed="false">
      <c r="A2170" s="1" t="s">
        <v>754</v>
      </c>
    </row>
    <row r="2171" customFormat="false" ht="17.15" hidden="false" customHeight="false" outlineLevel="0" collapsed="false">
      <c r="A2171" s="5" t="s">
        <v>755</v>
      </c>
      <c r="B2171" s="0" t="s">
        <v>52</v>
      </c>
      <c r="D2171" s="28" t="n">
        <f aca="false">(Q!$E$29+Q!$E$30-(1-ext_sh)*Sens!$D$2093)/Sens!$D$2044</f>
        <v>0.0341862737396221</v>
      </c>
    </row>
    <row r="2172" customFormat="false" ht="17.15" hidden="false" customHeight="false" outlineLevel="0" collapsed="false">
      <c r="A2172" s="0" t="s">
        <v>545</v>
      </c>
      <c r="B2172" s="0" t="s">
        <v>86</v>
      </c>
      <c r="C2172" s="38" t="n">
        <f aca="false">Q!$D$29</f>
        <v>14.285</v>
      </c>
      <c r="D2172" s="38" t="n">
        <f aca="false">Q!$E$29</f>
        <v>15.503</v>
      </c>
      <c r="E2172" s="38" t="n">
        <f aca="false">Q!$P$29</f>
        <v>8.78</v>
      </c>
      <c r="F2172" s="38" t="n">
        <f aca="false">(Sens!$D$2171*Sens!$F$2044+(1-ext_sh)*Sens!$F$2093)*Sens!$F$2045</f>
        <v>9.22519677455188</v>
      </c>
      <c r="G2172" s="38" t="n">
        <f aca="false">Sens!$E$2172+Sens!$F$2172</f>
        <v>18.0051967745519</v>
      </c>
      <c r="H2172" s="38" t="n">
        <f aca="false">(Sens!$D$2171*Sens!$H$2044+(1-ext_sh)*Sens!$H$2093)*Sens!$H$2045</f>
        <v>21.6055898473902</v>
      </c>
      <c r="I2172" s="38" t="n">
        <f aca="false">(Sens!$D$2171*Sens!$I$2044+(1-ext_sh)*Sens!$I$2093)*Sens!$I$2045</f>
        <v>27.2847503989513</v>
      </c>
      <c r="J2172" s="38" t="n">
        <f aca="false">(Sens!$D$2171*Sens!$J$2044+(1-ext_sh)*Sens!$J$2093)*Sens!$J$2045</f>
        <v>32.4409686046592</v>
      </c>
      <c r="K2172" s="38" t="n">
        <f aca="false">(Sens!$D$2171*Sens!$K$2044+(1-ext_sh)*Sens!$K$2093)*Sens!$K$2045</f>
        <v>37.411528639874</v>
      </c>
      <c r="L2172" s="38" t="n">
        <f aca="false">(Sens!$D$2171*Sens!$L$2044+(1-ext_sh)*Sens!$L$2093)*Sens!$L$2045</f>
        <v>41.5065550803078</v>
      </c>
      <c r="M2172" s="38" t="n">
        <f aca="false">(Sens!$D$2171*Sens!$M$2044+(1-ext_sh)*Sens!$M$2093)*Sens!$M$2045</f>
        <v>44.6081280498282</v>
      </c>
      <c r="N2172" s="38" t="n">
        <f aca="false">Q!$N$29</f>
        <v>7.272</v>
      </c>
      <c r="O2172" s="38" t="n">
        <f aca="false">Q!$O$29</f>
        <v>8.231</v>
      </c>
    </row>
    <row r="2173" customFormat="false" ht="17.15" hidden="false" customHeight="false" outlineLevel="0" collapsed="false">
      <c r="A2173" s="0" t="s">
        <v>547</v>
      </c>
      <c r="B2173" s="0" t="s">
        <v>86</v>
      </c>
      <c r="C2173" s="38" t="n">
        <f aca="false">Q!$D$30</f>
        <v>4.462</v>
      </c>
      <c r="D2173" s="38" t="n">
        <f aca="false">Q!$E$30</f>
        <v>4.907</v>
      </c>
      <c r="E2173" s="38" t="n">
        <f aca="false">Q!$P$30</f>
        <v>2.57</v>
      </c>
      <c r="F2173" s="38" t="n">
        <f aca="false">(Sens!$D$2171*Sens!$F$2044+(1-ext_sh)*Sens!$F$2093)*(1-Sens!$F$2045)</f>
        <v>3.62208068774135</v>
      </c>
      <c r="G2173" s="38" t="n">
        <f aca="false">Sens!$E$2173+Sens!$F$2173</f>
        <v>6.19208068774135</v>
      </c>
      <c r="H2173" s="38" t="n">
        <f aca="false">(Sens!$D$2171*Sens!$H$2044+(1-ext_sh)*Sens!$H$2093)*(1-Sens!$H$2045)</f>
        <v>8.27571505970813</v>
      </c>
      <c r="I2173" s="38" t="n">
        <f aca="false">(Sens!$D$2171*Sens!$I$2044+(1-ext_sh)*Sens!$I$2093)*(1-Sens!$I$2045)</f>
        <v>10.4510370405025</v>
      </c>
      <c r="J2173" s="38" t="n">
        <f aca="false">(Sens!$D$2171*Sens!$J$2044+(1-ext_sh)*Sens!$J$2093)*(1-Sens!$J$2045)</f>
        <v>12.4260533653297</v>
      </c>
      <c r="K2173" s="38" t="n">
        <f aca="false">(Sens!$D$2171*Sens!$K$2044+(1-ext_sh)*Sens!$K$2093)*(1-Sens!$K$2045)</f>
        <v>14.3299559585551</v>
      </c>
      <c r="L2173" s="38" t="n">
        <f aca="false">(Sens!$D$2171*Sens!$L$2044+(1-ext_sh)*Sens!$L$2093)*(1-Sens!$L$2045)</f>
        <v>15.8984978138054</v>
      </c>
      <c r="M2173" s="38" t="n">
        <f aca="false">(Sens!$D$2171*Sens!$M$2044+(1-ext_sh)*Sens!$M$2093)*(1-Sens!$M$2045)</f>
        <v>17.0865113933441</v>
      </c>
      <c r="N2173" s="38" t="n">
        <f aca="false">Q!$N$30</f>
        <v>2.316</v>
      </c>
      <c r="O2173" s="38" t="n">
        <f aca="false">Q!$O$30</f>
        <v>2.591</v>
      </c>
    </row>
    <row r="2174" customFormat="false" ht="17.15" hidden="false" customHeight="false" outlineLevel="0" collapsed="false">
      <c r="A2174" s="0" t="s">
        <v>548</v>
      </c>
      <c r="B2174" s="0" t="s">
        <v>86</v>
      </c>
      <c r="C2174" s="38" t="n">
        <f aca="false">Sens!$C$2105</f>
        <v>13.32</v>
      </c>
      <c r="D2174" s="38" t="n">
        <f aca="false">Sens!$D$2105</f>
        <v>21.45</v>
      </c>
      <c r="E2174" s="38" t="n">
        <f aca="false">Sens!$E$2105</f>
        <v>15.353</v>
      </c>
      <c r="F2174" s="38" t="n">
        <f aca="false">Sens!$F$2105</f>
        <v>15.7634123767074</v>
      </c>
      <c r="G2174" s="38" t="n">
        <f aca="false">Sens!$G$2105</f>
        <v>31.1164123767074</v>
      </c>
      <c r="H2174" s="38" t="n">
        <f aca="false">Sens!$H$2105</f>
        <v>48.076631690461</v>
      </c>
      <c r="I2174" s="38" t="n">
        <f aca="false">Sens!$I$2105</f>
        <v>73.2677463799937</v>
      </c>
      <c r="J2174" s="38" t="n">
        <f aca="false">Sens!$J$2105</f>
        <v>96.1035833869624</v>
      </c>
      <c r="K2174" s="38" t="n">
        <f aca="false">Sens!$K$2105</f>
        <v>118.712779838341</v>
      </c>
      <c r="L2174" s="38" t="n">
        <f aca="false">Sens!$L$2105</f>
        <v>136.163452130696</v>
      </c>
      <c r="M2174" s="38" t="n">
        <f aca="false">Sens!$M$2105</f>
        <v>147.780562635594</v>
      </c>
      <c r="N2174" s="38" t="n">
        <f aca="false">Sens!$N$2105</f>
        <v>9.234</v>
      </c>
      <c r="O2174" s="38" t="n">
        <f aca="false">Sens!$O$2105</f>
        <v>12.216</v>
      </c>
    </row>
    <row r="2175" customFormat="false" ht="17.15" hidden="false" customHeight="false" outlineLevel="0" collapsed="false">
      <c r="A2175" s="5" t="s">
        <v>756</v>
      </c>
      <c r="B2175" s="0" t="s">
        <v>86</v>
      </c>
      <c r="C2175" s="38" t="n">
        <f aca="false">Sens!$C$2172+Sens!$C$2173+Sens!$C$2174</f>
        <v>32.067</v>
      </c>
      <c r="D2175" s="38" t="n">
        <f aca="false">Sens!$D$2172+Sens!$D$2173+Sens!$D$2174</f>
        <v>41.86</v>
      </c>
      <c r="E2175" s="38" t="n">
        <f aca="false">Sens!$E$2172+Sens!$E$2173+Sens!$E$2174</f>
        <v>26.703</v>
      </c>
      <c r="F2175" s="38" t="n">
        <f aca="false">Sens!$F$2172+Sens!$F$2173+Sens!$F$2174</f>
        <v>28.6106898390007</v>
      </c>
      <c r="G2175" s="38" t="n">
        <f aca="false">Sens!$G$2172+Sens!$G$2173+Sens!$G$2174</f>
        <v>55.3136898390007</v>
      </c>
      <c r="H2175" s="38" t="n">
        <f aca="false">Sens!$H$2172+Sens!$H$2173+Sens!$H$2174</f>
        <v>77.9579365975593</v>
      </c>
      <c r="I2175" s="38" t="n">
        <f aca="false">Sens!$I$2172+Sens!$I$2173+Sens!$I$2174</f>
        <v>111.003533819447</v>
      </c>
      <c r="J2175" s="38" t="n">
        <f aca="false">Sens!$J$2172+Sens!$J$2173+Sens!$J$2174</f>
        <v>140.970605356951</v>
      </c>
      <c r="K2175" s="38" t="n">
        <f aca="false">Sens!$K$2172+Sens!$K$2173+Sens!$K$2174</f>
        <v>170.45426443677</v>
      </c>
      <c r="L2175" s="38" t="n">
        <f aca="false">Sens!$L$2172+Sens!$L$2173+Sens!$L$2174</f>
        <v>193.56850502481</v>
      </c>
      <c r="M2175" s="38" t="n">
        <f aca="false">Sens!$M$2172+Sens!$M$2173+Sens!$M$2174</f>
        <v>209.475202078767</v>
      </c>
      <c r="N2175" s="38" t="n">
        <f aca="false">Sens!$N$2172+Sens!$N$2173+Sens!$N$2174</f>
        <v>18.822</v>
      </c>
      <c r="O2175" s="38" t="n">
        <f aca="false">Sens!$O$2172+Sens!$O$2173+Sens!$O$2174</f>
        <v>23.038</v>
      </c>
    </row>
    <row r="2176" customFormat="false" ht="17.15" hidden="false" customHeight="false" outlineLevel="0" collapsed="false">
      <c r="A2176" s="0" t="s">
        <v>757</v>
      </c>
      <c r="B2176" s="0" t="s">
        <v>86</v>
      </c>
      <c r="C2176" s="38" t="n">
        <f aca="false">Sens!$C$2147+Sens!$C$2152</f>
        <v>28.107</v>
      </c>
      <c r="D2176" s="38" t="n">
        <f aca="false">Sens!$D$2147+Sens!$D$2152</f>
        <v>34.3175</v>
      </c>
      <c r="E2176" s="38" t="n">
        <f aca="false">Sens!$E$2147+Sens!$E$2152</f>
        <v>18.526</v>
      </c>
      <c r="F2176" s="38" t="n">
        <f aca="false">Sens!$F$2147+Sens!$F$2152</f>
        <v>23.0786109972074</v>
      </c>
      <c r="G2176" s="38" t="n">
        <f aca="false">Sens!$G$2147+Sens!$G$2152</f>
        <v>41.6046109972074</v>
      </c>
      <c r="H2176" s="38" t="n">
        <f aca="false">Sens!$H$2147+Sens!$H$2152</f>
        <v>49.9484611939488</v>
      </c>
      <c r="I2176" s="38" t="n">
        <f aca="false">Sens!$I$2147+Sens!$I$2152</f>
        <v>58.2915555477481</v>
      </c>
      <c r="J2176" s="38" t="n">
        <f aca="false">Sens!$J$2147+Sens!$J$2152</f>
        <v>66.0744709709759</v>
      </c>
      <c r="K2176" s="38" t="n">
        <f aca="false">Sens!$K$2147+Sens!$K$2152</f>
        <v>72.6819180680735</v>
      </c>
      <c r="L2176" s="38" t="n">
        <f aca="false">Sens!$L$2147+Sens!$L$2152</f>
        <v>79.9501098748808</v>
      </c>
      <c r="M2176" s="38" t="n">
        <f aca="false">Sens!$M$2147+Sens!$M$2152</f>
        <v>87.9451208623689</v>
      </c>
      <c r="N2176" s="38" t="n">
        <f aca="false">Sens!$N$2147+Sens!$N$2152</f>
        <v>14.8075</v>
      </c>
      <c r="O2176" s="38" t="n">
        <f aca="false">Sens!$O$2147+Sens!$O$2152</f>
        <v>19.51</v>
      </c>
    </row>
    <row r="2177" customFormat="false" ht="17.15" hidden="false" customHeight="false" outlineLevel="0" collapsed="false">
      <c r="A2177" s="0" t="s">
        <v>758</v>
      </c>
      <c r="B2177" s="0" t="s">
        <v>86</v>
      </c>
      <c r="C2177" s="38" t="n">
        <f aca="false">Sens!$C$2151+Sens!$C$2156+Sens!$C$2172+Sens!$C$2173-Sens!$C$2176</f>
        <v>19.399</v>
      </c>
      <c r="D2177" s="38" t="n">
        <f aca="false">Sens!$D$2151+Sens!$D$2156+Sens!$D$2172+Sens!$D$2173-Sens!$D$2176</f>
        <v>20.4615</v>
      </c>
      <c r="E2177" s="38" t="n">
        <f aca="false">Sens!$E$2151+Sens!$E$2156+Sens!$E$2172+Sens!$E$2173-Sens!$E$2176</f>
        <v>13.355</v>
      </c>
      <c r="F2177" s="38" t="n">
        <f aca="false">Sens!$F$2151+Sens!$F$2156+Sens!$F$2172+Sens!$F$2173-Sens!$F$2176</f>
        <v>12.6455836299052</v>
      </c>
      <c r="G2177" s="38" t="n">
        <f aca="false">Sens!$G$2151+Sens!$G$2156+Sens!$G$2172+Sens!$G$2173-Sens!$G$2176</f>
        <v>26.0005836299052</v>
      </c>
      <c r="H2177" s="38" t="n">
        <f aca="false">Sens!$H$2151+Sens!$H$2156+Sens!$H$2172+Sens!$H$2173-Sens!$H$2176</f>
        <v>28.2104509687071</v>
      </c>
      <c r="I2177" s="38" t="n">
        <f aca="false">Sens!$I$2151+Sens!$I$2156+Sens!$I$2172+Sens!$I$2173-Sens!$I$2176</f>
        <v>30.4470553070722</v>
      </c>
      <c r="J2177" s="38" t="n">
        <f aca="false">Sens!$J$2151+Sens!$J$2156+Sens!$J$2172+Sens!$J$2173-Sens!$J$2176</f>
        <v>32.6774660810058</v>
      </c>
      <c r="K2177" s="38" t="n">
        <f aca="false">Sens!$K$2151+Sens!$K$2156+Sens!$K$2172+Sens!$K$2173-Sens!$K$2176</f>
        <v>35.0703399561818</v>
      </c>
      <c r="L2177" s="38" t="n">
        <f aca="false">Sens!$L$2151+Sens!$L$2156+Sens!$L$2172+Sens!$L$2173-Sens!$L$2176</f>
        <v>36.6872633716166</v>
      </c>
      <c r="M2177" s="38" t="n">
        <f aca="false">Sens!$M$2151+Sens!$M$2156+Sens!$M$2172+Sens!$M$2173-Sens!$M$2176</f>
        <v>39.1010108568159</v>
      </c>
      <c r="N2177" s="38" t="n">
        <f aca="false">Sens!$N$2151+Sens!$N$2156+Sens!$N$2172+Sens!$N$2173-Sens!$N$2176</f>
        <v>10.6495</v>
      </c>
      <c r="O2177" s="38" t="n">
        <f aca="false">Sens!$O$2151+Sens!$O$2156+Sens!$O$2172+Sens!$O$2173-Sens!$O$2176</f>
        <v>9.81200000000001</v>
      </c>
    </row>
    <row r="2178" customFormat="false" ht="17.15" hidden="false" customHeight="false" outlineLevel="0" collapsed="false">
      <c r="A2178" s="0" t="s">
        <v>759</v>
      </c>
      <c r="B2178" s="0" t="s">
        <v>86</v>
      </c>
      <c r="C2178" s="38" t="n">
        <f aca="false">Sens!$C$2158+Sens!$C$2174-ext_sh*Sens!$C$2093</f>
        <v>51.3470500115664</v>
      </c>
      <c r="D2178" s="38" t="n">
        <f aca="false">Sens!$D$2158+Sens!$D$2174-ext_sh*Sens!$D$2093</f>
        <v>60.2799375433739</v>
      </c>
      <c r="E2178" s="38" t="n">
        <f aca="false">Sens!$E$2158+Sens!$E$2174-ext_sh*Sens!$E$2093</f>
        <v>39.5095167090767</v>
      </c>
      <c r="F2178" s="38" t="n">
        <f aca="false">Sens!$F$2158+Sens!$F$2174-ext_sh*Sens!$F$2093</f>
        <v>37.7215329893532</v>
      </c>
      <c r="G2178" s="38" t="n">
        <f aca="false">Sens!$G$2158+Sens!$G$2174-ext_sh*Sens!$G$2093</f>
        <v>77.2310496984299</v>
      </c>
      <c r="H2178" s="38" t="n">
        <f aca="false">Sens!$H$2158+Sens!$H$2174-ext_sh*Sens!$H$2093</f>
        <v>84.6296536583921</v>
      </c>
      <c r="I2178" s="38" t="n">
        <f aca="false">Sens!$I$2158+Sens!$I$2174-ext_sh*Sens!$I$2093</f>
        <v>93.9603618903915</v>
      </c>
      <c r="J2178" s="38" t="n">
        <f aca="false">Sens!$J$2158+Sens!$J$2174-ext_sh*Sens!$J$2093</f>
        <v>102.898501700292</v>
      </c>
      <c r="K2178" s="38" t="n">
        <f aca="false">Sens!$K$2158+Sens!$K$2174-ext_sh*Sens!$K$2093</f>
        <v>111.130381836316</v>
      </c>
      <c r="L2178" s="38" t="n">
        <f aca="false">Sens!$L$2158+Sens!$L$2174-ext_sh*Sens!$L$2093</f>
        <v>120.020812383221</v>
      </c>
      <c r="M2178" s="38" t="n">
        <f aca="false">Sens!$M$2158+Sens!$M$2174-ext_sh*Sens!$M$2093</f>
        <v>129.622477373879</v>
      </c>
      <c r="N2178" s="38" t="n">
        <f aca="false">Sens!$N$2158+Sens!$N$2174-ext_sh*Sens!$N$2093</f>
        <v>28.5693781401809</v>
      </c>
      <c r="O2178" s="38" t="n">
        <f aca="false">Sens!$O$2158+Sens!$O$2174-ext_sh*Sens!$O$2093</f>
        <v>31.7105594031931</v>
      </c>
    </row>
    <row r="2179" customFormat="false" ht="17.15" hidden="false" customHeight="false" outlineLevel="0" collapsed="false">
      <c r="A2179" s="0" t="s">
        <v>760</v>
      </c>
      <c r="B2179" s="0" t="s">
        <v>86</v>
      </c>
      <c r="C2179" s="38" t="n">
        <f aca="false">Sens!$C$2096</f>
        <v>1.80694998843362</v>
      </c>
      <c r="D2179" s="38" t="n">
        <f aca="false">Sens!$D$2096</f>
        <v>6.77606245662607</v>
      </c>
      <c r="E2179" s="38" t="n">
        <f aca="false">Sens!$E$2096</f>
        <v>6.62548329092326</v>
      </c>
      <c r="F2179" s="38" t="n">
        <f aca="false">Sens!$F$2096</f>
        <v>11.7200577158706</v>
      </c>
      <c r="G2179" s="38" t="n">
        <f aca="false">Sens!$G$2096</f>
        <v>18.3455410067939</v>
      </c>
      <c r="H2179" s="38" t="n">
        <f aca="false">Sens!$H$2096</f>
        <v>47.5171727060453</v>
      </c>
      <c r="I2179" s="38" t="n">
        <f aca="false">Sens!$I$2096</f>
        <v>80.5539692643667</v>
      </c>
      <c r="J2179" s="38" t="n">
        <f aca="false">Sens!$J$2096</f>
        <v>113.759316834883</v>
      </c>
      <c r="K2179" s="38" t="n">
        <f aca="false">Sens!$K$2096</f>
        <v>142.084411492169</v>
      </c>
      <c r="L2179" s="38" t="n">
        <f aca="false">Sens!$L$2096</f>
        <v>160.69964615804</v>
      </c>
      <c r="M2179" s="38" t="n">
        <f aca="false">Sens!$M$2096</f>
        <v>169.577607141793</v>
      </c>
      <c r="N2179" s="38" t="n">
        <f aca="false">Sens!$N$2096</f>
        <v>2.37162185981912</v>
      </c>
      <c r="O2179" s="38" t="n">
        <f aca="false">Sens!$O$2096</f>
        <v>4.40444059680694</v>
      </c>
    </row>
    <row r="2180" customFormat="false" ht="17.15" hidden="false" customHeight="false" outlineLevel="0" collapsed="false">
      <c r="A2180" s="0" t="s">
        <v>761</v>
      </c>
      <c r="B2180" s="0" t="s">
        <v>86</v>
      </c>
      <c r="C2180" s="38" t="n">
        <f aca="false">Sens!$C$2161+Sens!$C$2175</f>
        <v>100.66</v>
      </c>
      <c r="D2180" s="38" t="n">
        <f aca="false">Sens!$D$2161+Sens!$D$2175</f>
        <v>121.835</v>
      </c>
      <c r="E2180" s="38" t="n">
        <f aca="false">Sens!$E$2161+Sens!$E$2175</f>
        <v>78.016</v>
      </c>
      <c r="F2180" s="38" t="n">
        <f aca="false">Sens!$F$2161+Sens!$F$2175</f>
        <v>85.1657853323363</v>
      </c>
      <c r="G2180" s="38" t="n">
        <f aca="false">Sens!$G$2161+Sens!$G$2175</f>
        <v>163.181785332336</v>
      </c>
      <c r="H2180" s="38" t="n">
        <f aca="false">Sens!$H$2161+Sens!$H$2175</f>
        <v>210.305738527093</v>
      </c>
      <c r="I2180" s="38" t="n">
        <f aca="false">Sens!$I$2161+Sens!$I$2175</f>
        <v>263.252942009579</v>
      </c>
      <c r="J2180" s="38" t="n">
        <f aca="false">Sens!$J$2161+Sens!$J$2175</f>
        <v>315.409755587157</v>
      </c>
      <c r="K2180" s="38" t="n">
        <f aca="false">Sens!$K$2161+Sens!$K$2175</f>
        <v>360.96705135274</v>
      </c>
      <c r="L2180" s="38" t="n">
        <f aca="false">Sens!$L$2161+Sens!$L$2175</f>
        <v>397.357831787759</v>
      </c>
      <c r="M2180" s="38" t="n">
        <f aca="false">Sens!$M$2161+Sens!$M$2175</f>
        <v>426.246216234857</v>
      </c>
      <c r="N2180" s="38" t="n">
        <f aca="false">Sens!$N$2161+Sens!$N$2175</f>
        <v>56.398</v>
      </c>
      <c r="O2180" s="38" t="n">
        <f aca="false">Sens!$O$2161+Sens!$O$2175</f>
        <v>65.437</v>
      </c>
    </row>
    <row r="2181" customFormat="false" ht="17.15" hidden="false" customHeight="false" outlineLevel="0" collapsed="false">
      <c r="A2181" s="1" t="s">
        <v>762</v>
      </c>
    </row>
    <row r="2182" customFormat="false" ht="15" hidden="false" customHeight="false" outlineLevel="0" collapsed="false">
      <c r="A2182" s="5" t="s">
        <v>551</v>
      </c>
      <c r="B2182" s="0" t="s">
        <v>86</v>
      </c>
      <c r="C2182" s="38" t="n">
        <f aca="false">Q!$D$34</f>
        <v>2.406</v>
      </c>
      <c r="D2182" s="38" t="n">
        <f aca="false">Q!$E$34</f>
        <v>2.274</v>
      </c>
      <c r="E2182" s="38" t="n">
        <f aca="false">Q!$P$34</f>
        <v>2.114</v>
      </c>
      <c r="F2182" s="38" t="n">
        <f aca="false">Sens!$F$2220</f>
        <v>3.24888962733561</v>
      </c>
      <c r="G2182" s="38" t="n">
        <f aca="false">Sens!$E$2182+Sens!$F$2182</f>
        <v>5.36288962733561</v>
      </c>
      <c r="H2182" s="38" t="n">
        <f aca="false">Sens!$H$2220</f>
        <v>7.42354172302123</v>
      </c>
      <c r="I2182" s="38" t="n">
        <f aca="false">Sens!$I$2220</f>
        <v>7.94938704070946</v>
      </c>
      <c r="J2182" s="38" t="n">
        <f aca="false">Sens!$J$2220</f>
        <v>9.03589434170805</v>
      </c>
      <c r="K2182" s="38" t="n">
        <f aca="false">Sens!$K$2220</f>
        <v>9.03589434170805</v>
      </c>
      <c r="L2182" s="38" t="n">
        <f aca="false">Sens!$L$2220</f>
        <v>9.03589434170805</v>
      </c>
      <c r="M2182" s="38" t="n">
        <f aca="false">Sens!$M$2220</f>
        <v>9.03589434170805</v>
      </c>
      <c r="N2182" s="38" t="n">
        <f aca="false">Q!$N$34</f>
        <v>1.057</v>
      </c>
      <c r="O2182" s="38" t="n">
        <f aca="false">Q!$O$34</f>
        <v>1.217</v>
      </c>
    </row>
    <row r="2183" customFormat="false" ht="15" hidden="false" customHeight="false" outlineLevel="0" collapsed="false">
      <c r="A2183" s="5" t="s">
        <v>763</v>
      </c>
      <c r="B2183" s="0" t="s">
        <v>86</v>
      </c>
      <c r="F2183" s="38" t="n">
        <f aca="false">Sens!$F$2221</f>
        <v>2.59</v>
      </c>
      <c r="H2183" s="38" t="n">
        <f aca="false">Sens!$H$2221</f>
        <v>4.09915006329732</v>
      </c>
      <c r="I2183" s="38" t="n">
        <f aca="false">Sens!$I$2221</f>
        <v>2.10589651022864</v>
      </c>
      <c r="J2183" s="38" t="n">
        <f aca="false">Sens!$J$2221</f>
        <v>2.10589651022864</v>
      </c>
      <c r="K2183" s="38" t="n">
        <f aca="false">Sens!$K$2221</f>
        <v>3.26884252573781</v>
      </c>
      <c r="L2183" s="38" t="n">
        <f aca="false">Sens!$L$2221</f>
        <v>8.47102222318839</v>
      </c>
      <c r="M2183" s="38" t="n">
        <f aca="false">Sens!$M$2221</f>
        <v>17.4563355073963</v>
      </c>
    </row>
    <row r="2184" customFormat="false" ht="17.15" hidden="false" customHeight="false" outlineLevel="0" collapsed="false">
      <c r="A2184" s="5" t="s">
        <v>764</v>
      </c>
      <c r="B2184" s="0" t="s">
        <v>86</v>
      </c>
      <c r="C2184" s="38" t="n">
        <f aca="false">Q!$D$39</f>
        <v>2.427</v>
      </c>
      <c r="D2184" s="38" t="n">
        <f aca="false">Q!$E$39</f>
        <v>19.61</v>
      </c>
      <c r="E2184" s="38" t="n">
        <f aca="false">Q!$P$39</f>
        <v>71.492</v>
      </c>
      <c r="F2184" s="39" t="n">
        <v>0</v>
      </c>
      <c r="G2184" s="38" t="n">
        <f aca="false">Sens!$E$2184+Sens!$F$2184</f>
        <v>71.492</v>
      </c>
      <c r="H2184" s="39" t="n">
        <v>0</v>
      </c>
      <c r="I2184" s="39" t="n">
        <v>0</v>
      </c>
      <c r="J2184" s="39" t="n">
        <v>0</v>
      </c>
      <c r="K2184" s="39" t="n">
        <v>0</v>
      </c>
      <c r="L2184" s="39" t="n">
        <v>0</v>
      </c>
      <c r="M2184" s="39" t="n">
        <v>0</v>
      </c>
      <c r="N2184" s="38" t="n">
        <f aca="false">Q!$N$39</f>
        <v>6.017</v>
      </c>
      <c r="O2184" s="38" t="n">
        <f aca="false">Q!$O$39</f>
        <v>13.593</v>
      </c>
      <c r="P2184" s="5" t="s">
        <v>765</v>
      </c>
    </row>
    <row r="2185" customFormat="false" ht="15" hidden="false" customHeight="false" outlineLevel="0" collapsed="false">
      <c r="A2185" s="5" t="s">
        <v>554</v>
      </c>
      <c r="B2185" s="0" t="s">
        <v>86</v>
      </c>
      <c r="C2185" s="38" t="n">
        <f aca="false">Q!$D$36</f>
        <v>68.614</v>
      </c>
      <c r="D2185" s="38" t="n">
        <f aca="false">Q!$E$36</f>
        <v>97.311</v>
      </c>
      <c r="E2185" s="38" t="n">
        <f aca="false">Q!$P$36</f>
        <v>120.691</v>
      </c>
      <c r="F2185" s="38" t="n">
        <f aca="false">Sens!$F$2161-Sens!$F$2182+Sens!$F$2183+Sens!$F$2184</f>
        <v>55.8962058660001</v>
      </c>
      <c r="G2185" s="38" t="n">
        <f aca="false">Sens!$E$2185+Sens!$F$2185</f>
        <v>176.587205866</v>
      </c>
      <c r="H2185" s="38" t="n">
        <f aca="false">Sens!$H$2161-Sens!$H$2182+Sens!$H$2183+Sens!$H$2184</f>
        <v>129.02341026981</v>
      </c>
      <c r="I2185" s="38" t="n">
        <f aca="false">Sens!$I$2161-Sens!$I$2182+Sens!$I$2183+Sens!$I$2184</f>
        <v>146.40591765965</v>
      </c>
      <c r="J2185" s="38" t="n">
        <f aca="false">Sens!$J$2161-Sens!$J$2182+Sens!$J$2183+Sens!$J$2184</f>
        <v>167.509152398727</v>
      </c>
      <c r="K2185" s="38" t="n">
        <f aca="false">Sens!$K$2161-Sens!$K$2182+Sens!$K$2183+Sens!$K$2184</f>
        <v>184.7457351</v>
      </c>
      <c r="L2185" s="38" t="n">
        <f aca="false">Sens!$L$2161-Sens!$L$2182+Sens!$L$2183+Sens!$L$2184</f>
        <v>203.224454644429</v>
      </c>
      <c r="M2185" s="38" t="n">
        <f aca="false">Sens!$M$2161-Sens!$M$2182+Sens!$M$2183+Sens!$M$2184</f>
        <v>225.191455321778</v>
      </c>
      <c r="N2185" s="38" t="n">
        <f aca="false">Q!$N$36</f>
        <v>42.536</v>
      </c>
      <c r="O2185" s="38" t="n">
        <f aca="false">Q!$O$36</f>
        <v>54.775</v>
      </c>
    </row>
    <row r="2186" customFormat="false" ht="15" hidden="false" customHeight="false" outlineLevel="0" collapsed="false">
      <c r="A2186" s="5" t="s">
        <v>555</v>
      </c>
      <c r="B2186" s="0" t="s">
        <v>86</v>
      </c>
      <c r="C2186" s="38" t="n">
        <f aca="false">Q!$D$37</f>
        <v>9.265</v>
      </c>
      <c r="D2186" s="38" t="n">
        <f aca="false">Q!$E$37</f>
        <v>19.087</v>
      </c>
      <c r="E2186" s="38" t="n">
        <f aca="false">Q!$P$37</f>
        <v>27.759</v>
      </c>
      <c r="F2186" s="38" t="n">
        <f aca="false">Sens!$F$2185*tax</f>
        <v>9.70271643516103</v>
      </c>
      <c r="G2186" s="38" t="n">
        <f aca="false">Sens!$E$2186+Sens!$F$2186</f>
        <v>37.461716435161</v>
      </c>
      <c r="H2186" s="38" t="n">
        <f aca="false">Sens!$H$2185*tax</f>
        <v>22.3964675947154</v>
      </c>
      <c r="I2186" s="38" t="n">
        <f aca="false">Sens!$I$2185*tax</f>
        <v>25.4138019114673</v>
      </c>
      <c r="J2186" s="38" t="n">
        <f aca="false">Sens!$J$2185*tax</f>
        <v>29.0769969238222</v>
      </c>
      <c r="K2186" s="38" t="n">
        <f aca="false">Sens!$K$2185*tax</f>
        <v>32.069000972587</v>
      </c>
      <c r="L2186" s="38" t="n">
        <f aca="false">Sens!$L$2185*tax</f>
        <v>35.2766207572694</v>
      </c>
      <c r="M2186" s="38" t="n">
        <f aca="false">Sens!$M$2185*tax</f>
        <v>39.0897521711308</v>
      </c>
      <c r="N2186" s="38" t="n">
        <f aca="false">Q!$N$37</f>
        <v>7.231</v>
      </c>
      <c r="O2186" s="38" t="n">
        <f aca="false">Q!$O$37</f>
        <v>11.856</v>
      </c>
    </row>
    <row r="2187" customFormat="false" ht="15" hidden="false" customHeight="false" outlineLevel="0" collapsed="false">
      <c r="A2187" s="3" t="s">
        <v>556</v>
      </c>
      <c r="B2187" s="8" t="s">
        <v>86</v>
      </c>
      <c r="C2187" s="38" t="n">
        <f aca="false">Q!$D$38</f>
        <v>59.248</v>
      </c>
      <c r="D2187" s="38" t="n">
        <f aca="false">Q!$E$38</f>
        <v>77.67</v>
      </c>
      <c r="E2187" s="38" t="n">
        <f aca="false">Q!$P$38</f>
        <v>92.902</v>
      </c>
      <c r="F2187" s="38" t="n">
        <f aca="false">Sens!$F$2185-Sens!$F$2186</f>
        <v>46.193489430839</v>
      </c>
      <c r="G2187" s="38" t="n">
        <f aca="false">Sens!$E$2187+Sens!$F$2187</f>
        <v>139.095489430839</v>
      </c>
      <c r="H2187" s="38" t="n">
        <f aca="false">Sens!$H$2185-Sens!$H$2186</f>
        <v>106.626942675095</v>
      </c>
      <c r="I2187" s="38" t="n">
        <f aca="false">Sens!$I$2185-Sens!$I$2186</f>
        <v>120.992115748183</v>
      </c>
      <c r="J2187" s="38" t="n">
        <f aca="false">Sens!$J$2185-Sens!$J$2186</f>
        <v>138.432155474904</v>
      </c>
      <c r="K2187" s="38" t="n">
        <f aca="false">Sens!$K$2185-Sens!$K$2186</f>
        <v>152.676734127413</v>
      </c>
      <c r="L2187" s="38" t="n">
        <f aca="false">Sens!$L$2185-Sens!$L$2186</f>
        <v>167.94783388716</v>
      </c>
      <c r="M2187" s="38" t="n">
        <f aca="false">Sens!$M$2185-Sens!$M$2186</f>
        <v>186.101703150648</v>
      </c>
      <c r="N2187" s="38" t="n">
        <f aca="false">Q!$N$38</f>
        <v>35.291</v>
      </c>
      <c r="O2187" s="38" t="n">
        <f aca="false">Q!$O$38</f>
        <v>42.379</v>
      </c>
    </row>
    <row r="2188" customFormat="false" ht="17.15" hidden="false" customHeight="false" outlineLevel="0" collapsed="false">
      <c r="A2188" s="5" t="s">
        <v>559</v>
      </c>
      <c r="B2188" s="5" t="s">
        <v>33</v>
      </c>
      <c r="C2188" s="22" t="n">
        <f aca="false">Q!$D$41</f>
        <v>10.721</v>
      </c>
      <c r="D2188" s="22" t="n">
        <f aca="false">Q!$E$41</f>
        <v>10.827</v>
      </c>
      <c r="E2188" s="22" t="n">
        <f aca="false">(Q!$L$41+Q!$M$41)/2</f>
        <v>10.8885</v>
      </c>
      <c r="F2188" s="22" t="n">
        <f aca="false">Sens!$G$2188</f>
        <v>10.924806</v>
      </c>
      <c r="G2188" s="22" t="n">
        <f aca="false">Q!$M$41*(1+sh_g*0.25)</f>
        <v>10.924806</v>
      </c>
      <c r="H2188" s="22" t="n">
        <f aca="false">Sens!$G$2188*(1+sh_g)</f>
        <v>11.012204448</v>
      </c>
      <c r="I2188" s="22" t="n">
        <f aca="false">Sens!$H$2188*(1+sh_g)</f>
        <v>11.100302083584</v>
      </c>
      <c r="J2188" s="22" t="n">
        <f aca="false">Sens!$I$2188*(1+sh_g)</f>
        <v>11.1891045002527</v>
      </c>
      <c r="K2188" s="22" t="n">
        <f aca="false">Sens!$J$2188*(1+sh_g)</f>
        <v>11.2786173362547</v>
      </c>
      <c r="L2188" s="22" t="n">
        <f aca="false">Sens!$K$2188*(1+sh_g)</f>
        <v>11.3688462749447</v>
      </c>
      <c r="M2188" s="22" t="n">
        <f aca="false">Sens!$L$2188*(1+sh_g)</f>
        <v>11.4597970451443</v>
      </c>
      <c r="P2188" s="5" t="s">
        <v>766</v>
      </c>
    </row>
    <row r="2189" customFormat="false" ht="17.15" hidden="false" customHeight="false" outlineLevel="0" collapsed="false">
      <c r="A2189" s="5" t="s">
        <v>767</v>
      </c>
      <c r="B2189" s="0" t="s">
        <v>86</v>
      </c>
      <c r="C2189" s="38" t="n">
        <f aca="false">Sens!$C$2187+Sens!$C$2163*(1-tax)</f>
        <v>59.248</v>
      </c>
      <c r="D2189" s="38" t="n">
        <f aca="false">Sens!$D$2187+Sens!$D$2163*(1-tax)</f>
        <v>77.67</v>
      </c>
      <c r="E2189" s="38" t="n">
        <f aca="false">Sens!$E$2187+Sens!$E$2163*(1-tax)</f>
        <v>92.902</v>
      </c>
      <c r="F2189" s="38" t="n">
        <f aca="false">Sens!$F$2187+Sens!$F$2163*(1-tax)</f>
        <v>49.3100843904877</v>
      </c>
      <c r="G2189" s="38" t="n">
        <f aca="false">Sens!$G$2187+Sens!$G$2163*(1-tax)</f>
        <v>142.212084390488</v>
      </c>
      <c r="H2189" s="38" t="n">
        <f aca="false">Sens!$H$2187+Sens!$H$2163*(1-tax)</f>
        <v>119.158338630439</v>
      </c>
      <c r="I2189" s="38" t="n">
        <f aca="false">Sens!$I$2187+Sens!$I$2163*(1-tax)</f>
        <v>142.133380823122</v>
      </c>
      <c r="J2189" s="38" t="n">
        <f aca="false">Sens!$J$2187+Sens!$J$2163*(1-tax)</f>
        <v>168.221592419188</v>
      </c>
      <c r="K2189" s="38" t="n">
        <f aca="false">Sens!$K$2187+Sens!$K$2163*(1-tax)</f>
        <v>189.844039824072</v>
      </c>
      <c r="L2189" s="38" t="n">
        <f aca="false">Sens!$L$2187+Sens!$L$2163*(1-tax)</f>
        <v>209.963911227715</v>
      </c>
      <c r="M2189" s="38" t="n">
        <f aca="false">Sens!$M$2187+Sens!$M$2163*(1-tax)</f>
        <v>230.431225341488</v>
      </c>
      <c r="N2189" s="38" t="n">
        <f aca="false">Sens!$N$2187+Sens!$N$2163*(1-tax)</f>
        <v>35.291</v>
      </c>
      <c r="O2189" s="38" t="n">
        <f aca="false">Sens!$O$2187+Sens!$O$2163*(1-tax)</f>
        <v>42.379</v>
      </c>
    </row>
    <row r="2190" customFormat="false" ht="17.15" hidden="false" customHeight="false" outlineLevel="0" collapsed="false">
      <c r="A2190" s="43" t="s">
        <v>768</v>
      </c>
      <c r="B2190" s="14" t="s">
        <v>27</v>
      </c>
      <c r="C2190" s="44" t="n">
        <f aca="false">Sens!$C$2189/Sens!$C$2188</f>
        <v>5.52635015390355</v>
      </c>
      <c r="D2190" s="44" t="n">
        <f aca="false">Sens!$D$2189/Sens!$D$2188</f>
        <v>7.1737323358271</v>
      </c>
      <c r="E2190" s="44" t="n">
        <f aca="false">Sens!$E$2189/Sens!$E$2188</f>
        <v>8.53212104513937</v>
      </c>
      <c r="F2190" s="14"/>
      <c r="G2190" s="44" t="n">
        <f aca="false">Sens!$G$2189/Sens!$G$2188</f>
        <v>13.0173555842079</v>
      </c>
      <c r="H2190" s="44" t="n">
        <f aca="false">Sens!$H$2189/Sens!$H$2188</f>
        <v>10.8205708669058</v>
      </c>
      <c r="I2190" s="44" t="n">
        <f aca="false">Sens!$I$2189/Sens!$I$2188</f>
        <v>12.8044606131323</v>
      </c>
      <c r="J2190" s="44" t="n">
        <f aca="false">Sens!$J$2189/Sens!$J$2188</f>
        <v>15.0344106997472</v>
      </c>
      <c r="K2190" s="44" t="n">
        <f aca="false">Sens!$K$2189/Sens!$K$2188</f>
        <v>16.8322086089246</v>
      </c>
      <c r="L2190" s="44" t="n">
        <f aca="false">Sens!$L$2189/Sens!$L$2188</f>
        <v>18.468356959883</v>
      </c>
      <c r="M2190" s="44" t="n">
        <f aca="false">Sens!$M$2189/Sens!$M$2188</f>
        <v>20.1077928722242</v>
      </c>
      <c r="N2190" s="14"/>
      <c r="O2190" s="14"/>
    </row>
    <row r="2191" customFormat="false" ht="17.15" hidden="false" customHeight="false" outlineLevel="0" collapsed="false">
      <c r="A2191" s="0" t="s">
        <v>769</v>
      </c>
      <c r="B2191" s="0" t="s">
        <v>27</v>
      </c>
      <c r="C2191" s="30" t="n">
        <f aca="false">Sens!$C$2187/Sens!$C$2188</f>
        <v>5.52635015390355</v>
      </c>
      <c r="D2191" s="30" t="n">
        <f aca="false">Sens!$D$2187/Sens!$D$2188</f>
        <v>7.1737323358271</v>
      </c>
      <c r="E2191" s="30" t="n">
        <f aca="false">Sens!$E$2187/Sens!$E$2188</f>
        <v>8.53212104513937</v>
      </c>
      <c r="G2191" s="30" t="n">
        <f aca="false">Sens!$G$2187/Sens!$G$2188</f>
        <v>12.7320786685676</v>
      </c>
      <c r="H2191" s="30" t="n">
        <f aca="false">Sens!$H$2187/Sens!$H$2188</f>
        <v>9.68261560876305</v>
      </c>
      <c r="I2191" s="30" t="n">
        <f aca="false">Sens!$I$2187/Sens!$I$2188</f>
        <v>10.8998939701934</v>
      </c>
      <c r="J2191" s="30" t="n">
        <f aca="false">Sens!$J$2187/Sens!$J$2188</f>
        <v>12.3720495658771</v>
      </c>
      <c r="K2191" s="30" t="n">
        <f aca="false">Sens!$K$2187/Sens!$K$2188</f>
        <v>13.5368307635227</v>
      </c>
      <c r="L2191" s="30" t="n">
        <f aca="false">Sens!$L$2187/Sens!$L$2188</f>
        <v>14.7726365389681</v>
      </c>
      <c r="M2191" s="30" t="n">
        <f aca="false">Sens!$M$2187/Sens!$M$2188</f>
        <v>16.2395287122037</v>
      </c>
    </row>
    <row r="2192" customFormat="false" ht="17.15" hidden="false" customHeight="false" outlineLevel="0" collapsed="false">
      <c r="A2192" s="0" t="s">
        <v>770</v>
      </c>
      <c r="B2192" s="0" t="s">
        <v>27</v>
      </c>
      <c r="C2192" s="30" t="n">
        <f aca="false">(Sens!$C$2187-Sens!$C$2184*(1-tax))/Sens!$C$2188</f>
        <v>5.33926775917445</v>
      </c>
      <c r="D2192" s="30" t="n">
        <f aca="false">(Sens!$D$2187-Sens!$D$2184*(1-tax))/Sens!$D$2188</f>
        <v>5.67691812755503</v>
      </c>
      <c r="E2192" s="30" t="n">
        <f aca="false">(Sens!$E$2187-Sens!$E$2184*(1-tax))/Sens!$E$2188</f>
        <v>3.10602057006846</v>
      </c>
      <c r="G2192" s="30" t="n">
        <f aca="false">(Sens!$G$2187-Sens!$G$2184*(1-tax))/Sens!$G$2188</f>
        <v>7.3240105506706</v>
      </c>
      <c r="H2192" s="30" t="n">
        <f aca="false">(Sens!$H$2187-Sens!$H$2184*(1-tax))/Sens!$H$2188</f>
        <v>9.68261560876305</v>
      </c>
      <c r="I2192" s="30" t="n">
        <f aca="false">(Sens!$I$2187-Sens!$I$2184*(1-tax))/Sens!$I$2188</f>
        <v>10.8998939701934</v>
      </c>
      <c r="J2192" s="30" t="n">
        <f aca="false">(Sens!$J$2187-Sens!$J$2184*(1-tax))/Sens!$J$2188</f>
        <v>12.3720495658771</v>
      </c>
      <c r="K2192" s="30" t="n">
        <f aca="false">(Sens!$K$2187-Sens!$K$2184*(1-tax))/Sens!$K$2188</f>
        <v>13.5368307635227</v>
      </c>
      <c r="L2192" s="30" t="n">
        <f aca="false">(Sens!$L$2187-Sens!$L$2184*(1-tax))/Sens!$L$2188</f>
        <v>14.7726365389681</v>
      </c>
      <c r="M2192" s="30" t="n">
        <f aca="false">(Sens!$M$2187-Sens!$M$2184*(1-tax))/Sens!$M$2188</f>
        <v>16.2395287122037</v>
      </c>
      <c r="P2192" s="5" t="s">
        <v>771</v>
      </c>
    </row>
    <row r="2193" customFormat="false" ht="17.15" hidden="false" customHeight="false" outlineLevel="0" collapsed="false">
      <c r="A2193" s="0" t="s">
        <v>772</v>
      </c>
      <c r="B2193" s="0" t="s">
        <v>52</v>
      </c>
      <c r="H2193" s="13" t="n">
        <f aca="false">Sens!$H$2190/Sens!$G$2190-1</f>
        <v>-0.16875814009161</v>
      </c>
      <c r="I2193" s="13" t="n">
        <f aca="false">Sens!$I$2190/Sens!$H$2190-1</f>
        <v>0.183344277361017</v>
      </c>
      <c r="J2193" s="13" t="n">
        <f aca="false">Sens!$J$2190/Sens!$I$2190-1</f>
        <v>0.17415416033439</v>
      </c>
      <c r="K2193" s="13" t="n">
        <f aca="false">Sens!$K$2190/Sens!$J$2190-1</f>
        <v>0.119578874428887</v>
      </c>
      <c r="L2193" s="13" t="n">
        <f aca="false">Sens!$L$2190/Sens!$K$2190-1</f>
        <v>0.097203426417311</v>
      </c>
      <c r="M2193" s="13" t="n">
        <f aca="false">Sens!$M$2190/Sens!$L$2190-1</f>
        <v>0.0887699926908701</v>
      </c>
    </row>
    <row r="2196" customFormat="false" ht="19.4" hidden="false" customHeight="false" outlineLevel="0" collapsed="false">
      <c r="A2196" s="31" t="s">
        <v>1195</v>
      </c>
    </row>
    <row r="2197" customFormat="false" ht="17.15" hidden="false" customHeight="false" outlineLevel="0" collapsed="false">
      <c r="A2197" s="6" t="s">
        <v>16</v>
      </c>
      <c r="B2197" s="6" t="s">
        <v>17</v>
      </c>
      <c r="C2197" s="20" t="s">
        <v>504</v>
      </c>
      <c r="D2197" s="20" t="s">
        <v>505</v>
      </c>
      <c r="E2197" s="20" t="s">
        <v>587</v>
      </c>
      <c r="F2197" s="20" t="s">
        <v>588</v>
      </c>
      <c r="G2197" s="20" t="s">
        <v>589</v>
      </c>
      <c r="H2197" s="20" t="s">
        <v>590</v>
      </c>
      <c r="I2197" s="20" t="s">
        <v>591</v>
      </c>
      <c r="J2197" s="20" t="s">
        <v>592</v>
      </c>
      <c r="K2197" s="20" t="s">
        <v>593</v>
      </c>
      <c r="L2197" s="20" t="s">
        <v>594</v>
      </c>
      <c r="M2197" s="20" t="s">
        <v>595</v>
      </c>
      <c r="N2197" s="20" t="s">
        <v>596</v>
      </c>
      <c r="O2197" s="20" t="s">
        <v>597</v>
      </c>
      <c r="P2197" s="6" t="s">
        <v>23</v>
      </c>
      <c r="R2197" s="20" t="n">
        <v>2023</v>
      </c>
      <c r="S2197" s="20" t="n">
        <v>2024</v>
      </c>
      <c r="T2197" s="20" t="n">
        <v>2025</v>
      </c>
      <c r="U2197" s="20" t="n">
        <v>2026</v>
      </c>
      <c r="V2197" s="20" t="n">
        <v>2027</v>
      </c>
      <c r="W2197" s="20" t="n">
        <v>2028</v>
      </c>
      <c r="X2197" s="20" t="n">
        <v>2029</v>
      </c>
      <c r="Y2197" s="20" t="n">
        <v>2030</v>
      </c>
      <c r="Z2197" s="20" t="n">
        <v>2031</v>
      </c>
      <c r="AA2197" s="20" t="n">
        <v>2032</v>
      </c>
    </row>
    <row r="2198" customFormat="false" ht="15" hidden="false" customHeight="false" outlineLevel="0" collapsed="false">
      <c r="A2198" s="5" t="s">
        <v>556</v>
      </c>
      <c r="B2198" s="0" t="s">
        <v>86</v>
      </c>
      <c r="C2198" s="38" t="n">
        <f aca="false">Sens!$C$2187</f>
        <v>59.248</v>
      </c>
      <c r="D2198" s="38" t="n">
        <f aca="false">Sens!$D$2187</f>
        <v>77.67</v>
      </c>
      <c r="E2198" s="38" t="n">
        <f aca="false">Sens!$E$2187</f>
        <v>92.902</v>
      </c>
      <c r="F2198" s="38" t="n">
        <f aca="false">Sens!$F$2187</f>
        <v>46.193489430839</v>
      </c>
      <c r="G2198" s="38" t="n">
        <f aca="false">Sens!$G$2187</f>
        <v>139.095489430839</v>
      </c>
      <c r="H2198" s="38" t="n">
        <f aca="false">Sens!$H$2187</f>
        <v>106.626942675095</v>
      </c>
      <c r="I2198" s="38" t="n">
        <f aca="false">Sens!$I$2187</f>
        <v>120.992115748183</v>
      </c>
      <c r="J2198" s="38" t="n">
        <f aca="false">Sens!$J$2187</f>
        <v>138.432155474904</v>
      </c>
      <c r="K2198" s="38" t="n">
        <f aca="false">Sens!$K$2187</f>
        <v>152.676734127413</v>
      </c>
      <c r="L2198" s="38" t="n">
        <f aca="false">Sens!$L$2187</f>
        <v>167.94783388716</v>
      </c>
      <c r="M2198" s="38" t="n">
        <f aca="false">Sens!$M$2187</f>
        <v>186.101703150648</v>
      </c>
    </row>
    <row r="2199" customFormat="false" ht="17.15" hidden="false" customHeight="false" outlineLevel="0" collapsed="false">
      <c r="A2199" s="5" t="s">
        <v>795</v>
      </c>
      <c r="B2199" s="0" t="s">
        <v>86</v>
      </c>
      <c r="C2199" s="38" t="n">
        <f aca="false">Sens!$C$2175</f>
        <v>32.067</v>
      </c>
      <c r="D2199" s="38" t="n">
        <f aca="false">Sens!$D$2175</f>
        <v>41.86</v>
      </c>
      <c r="E2199" s="38" t="n">
        <f aca="false">Sens!$E$2175</f>
        <v>26.703</v>
      </c>
      <c r="F2199" s="38" t="n">
        <f aca="false">Sens!$F$2175</f>
        <v>28.6106898390007</v>
      </c>
      <c r="G2199" s="38" t="n">
        <f aca="false">Sens!$G$2175</f>
        <v>55.3136898390007</v>
      </c>
      <c r="H2199" s="38" t="n">
        <f aca="false">Sens!$H$2175</f>
        <v>77.9579365975593</v>
      </c>
      <c r="I2199" s="38" t="n">
        <f aca="false">Sens!$I$2175</f>
        <v>111.003533819447</v>
      </c>
      <c r="J2199" s="38" t="n">
        <f aca="false">Sens!$J$2175</f>
        <v>140.970605356951</v>
      </c>
      <c r="K2199" s="38" t="n">
        <f aca="false">Sens!$K$2175</f>
        <v>170.45426443677</v>
      </c>
      <c r="L2199" s="38" t="n">
        <f aca="false">Sens!$L$2175</f>
        <v>193.56850502481</v>
      </c>
      <c r="M2199" s="38" t="n">
        <f aca="false">Sens!$M$2175</f>
        <v>209.475202078767</v>
      </c>
    </row>
    <row r="2200" customFormat="false" ht="15" hidden="false" customHeight="false" outlineLevel="0" collapsed="false">
      <c r="A2200" s="5" t="s">
        <v>796</v>
      </c>
      <c r="B2200" s="0" t="s">
        <v>86</v>
      </c>
      <c r="C2200" s="38" t="n">
        <f aca="false">Q!$D$48</f>
        <v>22.011</v>
      </c>
      <c r="D2200" s="38" t="n">
        <f aca="false">Q!$E$48</f>
        <v>19.467</v>
      </c>
      <c r="E2200" s="38" t="n">
        <f aca="false">Q!$P$48</f>
        <v>10.07</v>
      </c>
      <c r="F2200" s="38" t="n">
        <f aca="false">sbc_r*Sens!$F$2117</f>
        <v>10.8507035798037</v>
      </c>
      <c r="G2200" s="38" t="n">
        <f aca="false">Sens!$E$2200+Sens!$F$2200</f>
        <v>20.9207035798037</v>
      </c>
      <c r="H2200" s="38" t="n">
        <f aca="false">sbc_r*Sens!$H$2117</f>
        <v>23.46224366345</v>
      </c>
      <c r="I2200" s="38" t="n">
        <f aca="false">sbc_r*Sens!$I$2117</f>
        <v>26.6125957111676</v>
      </c>
      <c r="J2200" s="38" t="n">
        <f aca="false">sbc_r*Sens!$J$2117</f>
        <v>29.6280801413323</v>
      </c>
      <c r="K2200" s="38" t="n">
        <f aca="false">sbc_r*Sens!$K$2117</f>
        <v>32.2712258901105</v>
      </c>
      <c r="L2200" s="38" t="n">
        <f aca="false">sbc_r*Sens!$L$2117</f>
        <v>34.7390505016737</v>
      </c>
      <c r="M2200" s="38" t="n">
        <f aca="false">sbc_r*Sens!$M$2117</f>
        <v>37.0405146906692</v>
      </c>
    </row>
    <row r="2201" customFormat="false" ht="17.15" hidden="false" customHeight="false" outlineLevel="0" collapsed="false">
      <c r="A2201" s="5" t="s">
        <v>797</v>
      </c>
      <c r="B2201" s="0" t="s">
        <v>86</v>
      </c>
      <c r="C2201" s="38" t="n">
        <f aca="false">Q!$D$44-Sens!$C$2198-Sens!$C$2199-Sens!$C$2200</f>
        <v>2.551</v>
      </c>
      <c r="D2201" s="38" t="n">
        <f aca="false">Q!$E$44-Sens!$D$2198-Sens!$D$2199-Sens!$D$2200</f>
        <v>0.51700000000001</v>
      </c>
      <c r="E2201" s="38" t="n">
        <f aca="false">Q!$P$44-Sens!$E$2198-Sens!$E$2199-Sens!$E$2200</f>
        <v>-58.256</v>
      </c>
      <c r="F2201" s="38" t="n">
        <f aca="false">oth_r*Sens!$F$2117</f>
        <v>5.22265251035878</v>
      </c>
      <c r="G2201" s="38" t="n">
        <f aca="false">Sens!$E$2201+Sens!$F$2201</f>
        <v>-53.0333474896412</v>
      </c>
      <c r="H2201" s="38" t="n">
        <f aca="false">oth_r*Sens!$H$2117</f>
        <v>11.2928295263397</v>
      </c>
      <c r="I2201" s="38" t="n">
        <f aca="false">oth_r*Sens!$I$2117</f>
        <v>12.8091546115766</v>
      </c>
      <c r="J2201" s="38" t="n">
        <f aca="false">oth_r*Sens!$J$2117</f>
        <v>14.2605653162668</v>
      </c>
      <c r="K2201" s="38" t="n">
        <f aca="false">oth_r*Sens!$K$2117</f>
        <v>15.5327622460396</v>
      </c>
      <c r="L2201" s="38" t="n">
        <f aca="false">oth_r*Sens!$L$2117</f>
        <v>16.720573737517</v>
      </c>
      <c r="M2201" s="38" t="n">
        <f aca="false">oth_r*Sens!$M$2117</f>
        <v>17.8283127551536</v>
      </c>
      <c r="P2201" s="8" t="s">
        <v>798</v>
      </c>
    </row>
    <row r="2202" customFormat="false" ht="15" hidden="false" customHeight="false" outlineLevel="0" collapsed="false">
      <c r="A2202" s="3" t="s">
        <v>562</v>
      </c>
      <c r="B2202" s="8" t="s">
        <v>86</v>
      </c>
      <c r="C2202" s="38" t="n">
        <f aca="false">Q!$D$44</f>
        <v>115.877</v>
      </c>
      <c r="D2202" s="38" t="n">
        <f aca="false">Q!$E$44</f>
        <v>139.514</v>
      </c>
      <c r="E2202" s="38" t="n">
        <f aca="false">Q!$P$44</f>
        <v>71.419</v>
      </c>
      <c r="F2202" s="38" t="n">
        <f aca="false">Sens!$F$2198+Sens!$F$2199+Sens!$F$2200+Sens!$F$2201</f>
        <v>90.8775353600021</v>
      </c>
      <c r="G2202" s="38" t="n">
        <f aca="false">Sens!$E$2202+Sens!$F$2202</f>
        <v>162.296535360002</v>
      </c>
      <c r="H2202" s="38" t="n">
        <f aca="false">Sens!$H$2198+Sens!$H$2199+Sens!$H$2200+Sens!$H$2201</f>
        <v>219.339952462444</v>
      </c>
      <c r="I2202" s="38" t="n">
        <f aca="false">Sens!$I$2198+Sens!$I$2199+Sens!$I$2200+Sens!$I$2201</f>
        <v>271.417399890375</v>
      </c>
      <c r="J2202" s="38" t="n">
        <f aca="false">Sens!$J$2198+Sens!$J$2199+Sens!$J$2200+Sens!$J$2201</f>
        <v>323.291406289455</v>
      </c>
      <c r="K2202" s="38" t="n">
        <f aca="false">Sens!$K$2198+Sens!$K$2199+Sens!$K$2200+Sens!$K$2201</f>
        <v>370.934986700333</v>
      </c>
      <c r="L2202" s="38" t="n">
        <f aca="false">Sens!$L$2198+Sens!$L$2199+Sens!$L$2200+Sens!$L$2201</f>
        <v>412.97596315116</v>
      </c>
      <c r="M2202" s="38" t="n">
        <f aca="false">Sens!$M$2198+Sens!$M$2199+Sens!$M$2200+Sens!$M$2201</f>
        <v>450.445732675237</v>
      </c>
    </row>
    <row r="2203" customFormat="false" ht="17.15" hidden="false" customHeight="false" outlineLevel="0" collapsed="false">
      <c r="A2203" s="5" t="s">
        <v>799</v>
      </c>
      <c r="B2203" s="0" t="s">
        <v>86</v>
      </c>
      <c r="C2203" s="38" t="n">
        <f aca="false">Sens!$C$2081</f>
        <v>25.2781053077374</v>
      </c>
      <c r="D2203" s="38" t="n">
        <f aca="false">Sens!$D$2081</f>
        <v>69.5686316310026</v>
      </c>
      <c r="E2203" s="38" t="n">
        <f aca="false">Sens!$E$2081</f>
        <v>64.1899206485108</v>
      </c>
      <c r="F2203" s="38" t="n">
        <f aca="false">Sens!$F$2081</f>
        <v>88.7165504612134</v>
      </c>
      <c r="G2203" s="38" t="n">
        <f aca="false">Sens!$G$2081</f>
        <v>152.906471109724</v>
      </c>
      <c r="H2203" s="38" t="n">
        <f aca="false">Sens!$H$2081</f>
        <v>198.57136494475</v>
      </c>
      <c r="I2203" s="38" t="n">
        <f aca="false">Sens!$I$2081</f>
        <v>204.6464699105</v>
      </c>
      <c r="J2203" s="38" t="n">
        <f aca="false">Sens!$J$2081</f>
        <v>204.6464699105</v>
      </c>
      <c r="K2203" s="38" t="n">
        <f aca="false">Sens!$K$2081</f>
        <v>150.001617075201</v>
      </c>
      <c r="L2203" s="38" t="n">
        <f aca="false">Sens!$L$2081</f>
        <v>95.3567642399017</v>
      </c>
      <c r="M2203" s="38" t="n">
        <f aca="false">Sens!$M$2081</f>
        <v>72.1325206046024</v>
      </c>
    </row>
    <row r="2204" customFormat="false" ht="17.15" hidden="false" customHeight="false" outlineLevel="0" collapsed="false">
      <c r="A2204" s="5" t="s">
        <v>800</v>
      </c>
      <c r="B2204" s="0" t="s">
        <v>86</v>
      </c>
      <c r="C2204" s="38" t="n">
        <f aca="false">cx_awso*Sens!$C$2115</f>
        <v>21.0469989286053</v>
      </c>
      <c r="D2204" s="38" t="n">
        <f aca="false">cx_awso*Sens!$D$2115</f>
        <v>24.0042459822698</v>
      </c>
      <c r="E2204" s="38" t="n">
        <f aca="false">cx_awso*Sens!$E$2115</f>
        <v>14.261729404886</v>
      </c>
      <c r="F2204" s="38" t="n">
        <f aca="false">cx_awso*Sens!$F$2115</f>
        <v>14.3538599588493</v>
      </c>
      <c r="G2204" s="38" t="n">
        <f aca="false">Sens!$E$2204+Sens!$F$2204</f>
        <v>28.6155893637353</v>
      </c>
      <c r="H2204" s="38" t="n">
        <f aca="false">cx_awso*Sens!$H$2115</f>
        <v>32.2034154158406</v>
      </c>
      <c r="I2204" s="38" t="n">
        <f aca="false">cx_awso*Sens!$I$2115</f>
        <v>35.7539519042915</v>
      </c>
      <c r="J2204" s="38" t="n">
        <f aca="false">cx_awso*Sens!$J$2115</f>
        <v>39.1551076091815</v>
      </c>
      <c r="K2204" s="38" t="n">
        <f aca="false">cx_awso*Sens!$K$2115</f>
        <v>42.287516217916</v>
      </c>
      <c r="L2204" s="38" t="n">
        <f aca="false">cx_awso*Sens!$L$2115</f>
        <v>45.6705175153492</v>
      </c>
      <c r="M2204" s="38" t="n">
        <f aca="false">cx_awso*Sens!$M$2115</f>
        <v>49.3241589165772</v>
      </c>
    </row>
    <row r="2205" customFormat="false" ht="17.15" hidden="false" customHeight="false" outlineLevel="0" collapsed="false">
      <c r="A2205" s="5" t="s">
        <v>801</v>
      </c>
      <c r="B2205" s="0" t="s">
        <v>86</v>
      </c>
      <c r="C2205" s="38" t="n">
        <f aca="false">Q!$D$46-Sens!$C$2203-Sens!$C$2204</f>
        <v>31.3328957636573</v>
      </c>
      <c r="D2205" s="38" t="n">
        <f aca="false">Q!$E$46-Sens!$D$2203-Sens!$D$2204</f>
        <v>34.7471223867276</v>
      </c>
      <c r="E2205" s="38" t="n">
        <f aca="false">Q!$P$46-Sens!$E$2203-Sens!$E$2204</f>
        <v>17.8583499466032</v>
      </c>
      <c r="F2205" s="38" t="n">
        <f aca="false">cx_rt*Sens!$F$2044</f>
        <v>20.6195895799373</v>
      </c>
      <c r="G2205" s="38" t="n">
        <f aca="false">Sens!$E$2205+Sens!$F$2205</f>
        <v>38.4779395265405</v>
      </c>
      <c r="H2205" s="38" t="n">
        <f aca="false">cx_rt*Sens!$H$2044</f>
        <v>42.5978994743075</v>
      </c>
      <c r="I2205" s="38" t="n">
        <f aca="false">cx_rt*Sens!$I$2044</f>
        <v>46.5813904136335</v>
      </c>
      <c r="J2205" s="38" t="n">
        <f aca="false">cx_rt*Sens!$J$2044</f>
        <v>50.2781676586844</v>
      </c>
      <c r="K2205" s="38" t="n">
        <f aca="false">cx_rt*Sens!$K$2044</f>
        <v>53.5312440191755</v>
      </c>
      <c r="L2205" s="38" t="n">
        <f aca="false">cx_rt*Sens!$L$2044</f>
        <v>57.0116717051447</v>
      </c>
      <c r="M2205" s="38" t="n">
        <f aca="false">cx_rt*Sens!$M$2044</f>
        <v>60.7365554669226</v>
      </c>
    </row>
    <row r="2206" customFormat="false" ht="15" hidden="false" customHeight="false" outlineLevel="0" collapsed="false">
      <c r="A2206" s="3" t="s">
        <v>802</v>
      </c>
      <c r="B2206" s="8" t="s">
        <v>86</v>
      </c>
      <c r="C2206" s="38" t="n">
        <f aca="false">Q!$D$46</f>
        <v>77.658</v>
      </c>
      <c r="D2206" s="38" t="n">
        <f aca="false">Q!$E$46</f>
        <v>128.32</v>
      </c>
      <c r="E2206" s="38" t="n">
        <f aca="false">Q!$P$46</f>
        <v>96.31</v>
      </c>
      <c r="F2206" s="38" t="n">
        <f aca="false">Sens!$F$2203+Sens!$F$2204+Sens!$F$2205</f>
        <v>123.69</v>
      </c>
      <c r="G2206" s="38" t="n">
        <f aca="false">Sens!$E$2206+Sens!$F$2206</f>
        <v>220</v>
      </c>
      <c r="H2206" s="38" t="n">
        <f aca="false">Sens!$H$2203+Sens!$H$2204+Sens!$H$2205</f>
        <v>273.372679834898</v>
      </c>
      <c r="I2206" s="38" t="n">
        <f aca="false">Sens!$I$2203+Sens!$I$2204+Sens!$I$2205</f>
        <v>286.981812228425</v>
      </c>
      <c r="J2206" s="38" t="n">
        <f aca="false">Sens!$J$2203+Sens!$J$2204+Sens!$J$2205</f>
        <v>294.079745178366</v>
      </c>
      <c r="K2206" s="38" t="n">
        <f aca="false">Sens!$K$2203+Sens!$K$2204+Sens!$K$2205</f>
        <v>245.820377312292</v>
      </c>
      <c r="L2206" s="38" t="n">
        <f aca="false">Sens!$L$2203+Sens!$L$2204+Sens!$L$2205</f>
        <v>198.038953460396</v>
      </c>
      <c r="M2206" s="38" t="n">
        <f aca="false">Sens!$M$2203+Sens!$M$2204+Sens!$M$2205</f>
        <v>182.193234988102</v>
      </c>
    </row>
    <row r="2207" customFormat="false" ht="17.15" hidden="false" customHeight="false" outlineLevel="0" collapsed="false">
      <c r="A2207" s="5" t="s">
        <v>570</v>
      </c>
      <c r="B2207" s="0" t="s">
        <v>86</v>
      </c>
      <c r="C2207" s="38" t="n">
        <f aca="false">Q!$D$50</f>
        <v>2.043</v>
      </c>
      <c r="D2207" s="38" t="n">
        <f aca="false">Q!$E$50</f>
        <v>1.557</v>
      </c>
      <c r="E2207" s="38" t="n">
        <f aca="false">lease_pr/2</f>
        <v>0.8</v>
      </c>
      <c r="F2207" s="38" t="n">
        <f aca="false">lease_pr/2</f>
        <v>0.8</v>
      </c>
      <c r="G2207" s="38" t="n">
        <f aca="false">Sens!$E$2207+Sens!$F$2207</f>
        <v>1.6</v>
      </c>
      <c r="H2207" s="38" t="n">
        <f aca="false">lease_pr</f>
        <v>1.6</v>
      </c>
      <c r="I2207" s="38" t="n">
        <f aca="false">lease_pr</f>
        <v>1.6</v>
      </c>
      <c r="J2207" s="38" t="n">
        <f aca="false">lease_pr</f>
        <v>1.6</v>
      </c>
      <c r="K2207" s="38" t="n">
        <f aca="false">lease_pr</f>
        <v>1.6</v>
      </c>
      <c r="L2207" s="38" t="n">
        <f aca="false">lease_pr</f>
        <v>1.6</v>
      </c>
      <c r="M2207" s="38" t="n">
        <f aca="false">lease_pr</f>
        <v>1.6</v>
      </c>
      <c r="P2207" s="8" t="s">
        <v>803</v>
      </c>
    </row>
    <row r="2208" customFormat="false" ht="15" hidden="false" customHeight="false" outlineLevel="0" collapsed="false">
      <c r="A2208" s="47" t="s">
        <v>804</v>
      </c>
      <c r="B2208" s="14" t="s">
        <v>86</v>
      </c>
      <c r="C2208" s="48" t="n">
        <f aca="false">Sens!$C$2202-Sens!$C$2206-Sens!$C$2207</f>
        <v>36.176</v>
      </c>
      <c r="D2208" s="48" t="n">
        <f aca="false">Sens!$D$2202-Sens!$D$2206-Sens!$D$2207</f>
        <v>9.63700000000002</v>
      </c>
      <c r="E2208" s="48" t="n">
        <f aca="false">Sens!$E$2202-Sens!$E$2206-Sens!$E$2207</f>
        <v>-25.691</v>
      </c>
      <c r="F2208" s="48" t="n">
        <f aca="false">Sens!$F$2202-Sens!$F$2206-Sens!$F$2207</f>
        <v>-33.6124646399979</v>
      </c>
      <c r="G2208" s="48" t="n">
        <f aca="false">Sens!$G$2202-Sens!$G$2206-Sens!$G$2207</f>
        <v>-59.3034646399979</v>
      </c>
      <c r="H2208" s="48" t="n">
        <f aca="false">Sens!$H$2202-Sens!$H$2206-Sens!$H$2207</f>
        <v>-55.6327273724544</v>
      </c>
      <c r="I2208" s="48" t="n">
        <f aca="false">Sens!$I$2202-Sens!$I$2206-Sens!$I$2207</f>
        <v>-17.1644123380504</v>
      </c>
      <c r="J2208" s="48" t="n">
        <f aca="false">Sens!$J$2202-Sens!$J$2206-Sens!$J$2207</f>
        <v>27.6116611110891</v>
      </c>
      <c r="K2208" s="48" t="n">
        <f aca="false">Sens!$K$2202-Sens!$K$2206-Sens!$K$2207</f>
        <v>123.514609388041</v>
      </c>
      <c r="L2208" s="48" t="n">
        <f aca="false">Sens!$L$2202-Sens!$L$2206-Sens!$L$2207</f>
        <v>213.337009690765</v>
      </c>
      <c r="M2208" s="48" t="n">
        <f aca="false">Sens!$M$2202-Sens!$M$2206-Sens!$M$2207</f>
        <v>266.652497687135</v>
      </c>
      <c r="N2208" s="14"/>
      <c r="O2208" s="14"/>
    </row>
    <row r="2209" customFormat="false" ht="17.15" hidden="false" customHeight="false" outlineLevel="0" collapsed="false">
      <c r="A2209" s="5" t="s">
        <v>805</v>
      </c>
      <c r="B2209" s="0" t="s">
        <v>86</v>
      </c>
      <c r="C2209" s="38" t="n">
        <f aca="false">dps*Sens!$C$2188</f>
        <v>0</v>
      </c>
      <c r="D2209" s="38" t="n">
        <f aca="false">dps*Sens!$D$2188</f>
        <v>0</v>
      </c>
      <c r="E2209" s="38" t="n">
        <f aca="false">dps*Sens!$E$2188</f>
        <v>0</v>
      </c>
      <c r="F2209" s="38" t="n">
        <f aca="false">0</f>
        <v>0</v>
      </c>
      <c r="G2209" s="38" t="n">
        <f aca="false">dps*Sens!$G$2188</f>
        <v>0</v>
      </c>
      <c r="H2209" s="38" t="n">
        <f aca="false">dps*Sens!$H$2188</f>
        <v>0</v>
      </c>
      <c r="I2209" s="38" t="n">
        <f aca="false">dps*Sens!$I$2188</f>
        <v>0</v>
      </c>
      <c r="J2209" s="38" t="n">
        <f aca="false">dps*Sens!$J$2188</f>
        <v>0</v>
      </c>
      <c r="K2209" s="38" t="n">
        <f aca="false">dps*Sens!$K$2188</f>
        <v>0</v>
      </c>
      <c r="L2209" s="38" t="n">
        <f aca="false">dps*Sens!$L$2188</f>
        <v>0</v>
      </c>
      <c r="M2209" s="38" t="n">
        <f aca="false">dps*Sens!$M$2188</f>
        <v>0</v>
      </c>
      <c r="P2209" s="8" t="s">
        <v>806</v>
      </c>
    </row>
    <row r="2210" customFormat="false" ht="17.15" hidden="false" customHeight="false" outlineLevel="0" collapsed="false">
      <c r="A2210" s="5" t="s">
        <v>807</v>
      </c>
      <c r="B2210" s="0" t="s">
        <v>86</v>
      </c>
      <c r="C2210" s="38" t="n">
        <f aca="false">0</f>
        <v>0</v>
      </c>
      <c r="D2210" s="38" t="n">
        <f aca="false">0</f>
        <v>0</v>
      </c>
      <c r="E2210" s="38" t="n">
        <f aca="false">0</f>
        <v>0</v>
      </c>
      <c r="F2210" s="38" t="n">
        <f aca="false">0</f>
        <v>0</v>
      </c>
      <c r="G2210" s="38" t="n">
        <f aca="false">0</f>
        <v>0</v>
      </c>
      <c r="H2210" s="38" t="n">
        <f aca="false">0</f>
        <v>0</v>
      </c>
      <c r="I2210" s="38" t="n">
        <f aca="false">0</f>
        <v>0</v>
      </c>
      <c r="J2210" s="38" t="n">
        <f aca="false">0</f>
        <v>0</v>
      </c>
      <c r="K2210" s="38" t="n">
        <f aca="false">0</f>
        <v>0</v>
      </c>
      <c r="L2210" s="38" t="n">
        <f aca="false">0</f>
        <v>0</v>
      </c>
      <c r="M2210" s="38" t="n">
        <f aca="false">0</f>
        <v>0</v>
      </c>
      <c r="P2210" s="8" t="s">
        <v>808</v>
      </c>
    </row>
    <row r="2211" customFormat="false" ht="15" hidden="false" customHeight="false" outlineLevel="0" collapsed="false">
      <c r="A2211" s="3" t="s">
        <v>809</v>
      </c>
      <c r="B2211" s="8" t="s">
        <v>86</v>
      </c>
      <c r="C2211" s="38" t="n">
        <f aca="false">Sens!$C$2208-Sens!$C$2209</f>
        <v>36.176</v>
      </c>
      <c r="D2211" s="38" t="n">
        <f aca="false">Sens!$D$2208-Sens!$D$2209</f>
        <v>9.63700000000002</v>
      </c>
      <c r="E2211" s="38" t="n">
        <f aca="false">Sens!$E$2208-Sens!$E$2209</f>
        <v>-25.691</v>
      </c>
      <c r="F2211" s="38" t="n">
        <f aca="false">Sens!$F$2208-Sens!$F$2209</f>
        <v>-33.6124646399979</v>
      </c>
      <c r="G2211" s="38" t="n">
        <f aca="false">Sens!$G$2208-Sens!$G$2209</f>
        <v>-59.3034646399979</v>
      </c>
      <c r="H2211" s="38" t="n">
        <f aca="false">Sens!$H$2208-Sens!$H$2209</f>
        <v>-55.6327273724544</v>
      </c>
      <c r="I2211" s="38" t="n">
        <f aca="false">Sens!$I$2208-Sens!$I$2209</f>
        <v>-17.1644123380504</v>
      </c>
      <c r="J2211" s="38" t="n">
        <f aca="false">Sens!$J$2208-Sens!$J$2209</f>
        <v>27.6116611110891</v>
      </c>
      <c r="K2211" s="38" t="n">
        <f aca="false">Sens!$K$2208-Sens!$K$2209</f>
        <v>123.514609388041</v>
      </c>
      <c r="L2211" s="38" t="n">
        <f aca="false">Sens!$L$2208-Sens!$L$2209</f>
        <v>213.337009690765</v>
      </c>
      <c r="M2211" s="38" t="n">
        <f aca="false">Sens!$M$2208-Sens!$M$2209</f>
        <v>266.652497687135</v>
      </c>
    </row>
    <row r="2212" customFormat="false" ht="17.15" hidden="false" customHeight="false" outlineLevel="0" collapsed="false">
      <c r="A2212" s="5" t="s">
        <v>810</v>
      </c>
      <c r="B2212" s="0" t="s">
        <v>86</v>
      </c>
      <c r="E2212" s="38" t="n">
        <f aca="false">Q!$P$53</f>
        <v>39.767</v>
      </c>
      <c r="F2212" s="38" t="n">
        <f aca="false">inv_2h26</f>
        <v>21.3</v>
      </c>
      <c r="G2212" s="38" t="n">
        <f aca="false">Sens!$E$2212+Sens!$F$2212</f>
        <v>61.067</v>
      </c>
      <c r="H2212" s="39" t="n">
        <v>0</v>
      </c>
      <c r="I2212" s="39" t="n">
        <v>0</v>
      </c>
      <c r="J2212" s="39" t="n">
        <v>0</v>
      </c>
      <c r="K2212" s="39" t="n">
        <v>0</v>
      </c>
      <c r="L2212" s="39" t="n">
        <v>0</v>
      </c>
      <c r="M2212" s="39" t="n">
        <v>0</v>
      </c>
    </row>
    <row r="2213" customFormat="false" ht="17.15" hidden="false" customHeight="false" outlineLevel="0" collapsed="false">
      <c r="A2213" s="5" t="s">
        <v>811</v>
      </c>
      <c r="B2213" s="0" t="s">
        <v>86</v>
      </c>
      <c r="F2213" s="38" t="n">
        <f aca="false">iss_2h26</f>
        <v>29.249999</v>
      </c>
      <c r="G2213" s="38" t="n">
        <f aca="false">Sens!$F$2213</f>
        <v>29.249999</v>
      </c>
      <c r="H2213" s="39" t="n">
        <v>0</v>
      </c>
      <c r="I2213" s="39" t="n">
        <v>0</v>
      </c>
      <c r="J2213" s="39" t="n">
        <v>0</v>
      </c>
      <c r="K2213" s="39" t="n">
        <v>0</v>
      </c>
      <c r="L2213" s="39" t="n">
        <v>0</v>
      </c>
      <c r="M2213" s="39" t="n">
        <v>0</v>
      </c>
    </row>
    <row r="2214" customFormat="false" ht="17.15" hidden="false" customHeight="false" outlineLevel="0" collapsed="false">
      <c r="A2214" s="5" t="s">
        <v>812</v>
      </c>
      <c r="B2214" s="0" t="s">
        <v>86</v>
      </c>
      <c r="F2214" s="38" t="n">
        <f aca="false">cash_q2</f>
        <v>122.988</v>
      </c>
      <c r="G2214" s="38" t="n">
        <f aca="false">cash_q2</f>
        <v>122.988</v>
      </c>
      <c r="H2214" s="38" t="n">
        <f aca="false">Sens!$G$2217</f>
        <v>97.3255343600021</v>
      </c>
      <c r="I2214" s="38" t="n">
        <f aca="false">Sens!$H$2217</f>
        <v>50</v>
      </c>
      <c r="J2214" s="38" t="n">
        <f aca="false">Sens!$I$2217</f>
        <v>50</v>
      </c>
      <c r="K2214" s="38" t="n">
        <f aca="false">Sens!$J$2217</f>
        <v>77.6116611110891</v>
      </c>
      <c r="L2214" s="38" t="n">
        <f aca="false">Sens!$K$2217</f>
        <v>201.12627049913</v>
      </c>
      <c r="M2214" s="38" t="n">
        <f aca="false">Sens!$L$2217</f>
        <v>414.463280189895</v>
      </c>
    </row>
    <row r="2215" customFormat="false" ht="15" hidden="false" customHeight="false" outlineLevel="0" collapsed="false">
      <c r="A2215" s="5" t="s">
        <v>813</v>
      </c>
      <c r="B2215" s="0" t="s">
        <v>86</v>
      </c>
      <c r="F2215" s="38" t="n">
        <f aca="false">Sens!$F$2214+Sens!$F$2211-Sens!$F$2210-Sens!$F$2212+Sens!$F$2213</f>
        <v>97.3255343600021</v>
      </c>
      <c r="H2215" s="38" t="n">
        <f aca="false">Sens!$H$2214+Sens!$H$2211-Sens!$H$2210-Sens!$H$2212+Sens!$H$2213</f>
        <v>41.6928069875477</v>
      </c>
      <c r="I2215" s="38" t="n">
        <f aca="false">Sens!$I$2214+Sens!$I$2211-Sens!$I$2210-Sens!$I$2212+Sens!$I$2213</f>
        <v>32.8355876619496</v>
      </c>
      <c r="J2215" s="38" t="n">
        <f aca="false">Sens!$J$2214+Sens!$J$2211-Sens!$J$2210-Sens!$J$2212+Sens!$J$2213</f>
        <v>77.6116611110891</v>
      </c>
      <c r="K2215" s="38" t="n">
        <f aca="false">Sens!$K$2214+Sens!$K$2211-Sens!$K$2210-Sens!$K$2212+Sens!$K$2213</f>
        <v>201.12627049913</v>
      </c>
      <c r="L2215" s="38" t="n">
        <f aca="false">Sens!$L$2214+Sens!$L$2211-Sens!$L$2210-Sens!$L$2212+Sens!$L$2213</f>
        <v>414.463280189895</v>
      </c>
      <c r="M2215" s="38" t="n">
        <f aca="false">Sens!$M$2214+Sens!$M$2211-Sens!$M$2210-Sens!$M$2212+Sens!$M$2213</f>
        <v>681.11577787703</v>
      </c>
    </row>
    <row r="2216" customFormat="false" ht="17.15" hidden="false" customHeight="false" outlineLevel="0" collapsed="false">
      <c r="A2216" s="5" t="s">
        <v>814</v>
      </c>
      <c r="B2216" s="0" t="s">
        <v>86</v>
      </c>
      <c r="F2216" s="38" t="n">
        <f aca="false">MAX(0,min_cash-Sens!$F$2215)</f>
        <v>0</v>
      </c>
      <c r="G2216" s="38" t="n">
        <f aca="false">Sens!$F$2216</f>
        <v>0</v>
      </c>
      <c r="H2216" s="38" t="n">
        <f aca="false">MAX(0,min_cash-Sens!$H$2215)</f>
        <v>8.30719301245228</v>
      </c>
      <c r="I2216" s="38" t="n">
        <f aca="false">MAX(0,min_cash-Sens!$I$2215)</f>
        <v>17.1644123380504</v>
      </c>
      <c r="J2216" s="38" t="n">
        <f aca="false">MAX(0,min_cash-Sens!$J$2215)</f>
        <v>0</v>
      </c>
      <c r="K2216" s="38" t="n">
        <f aca="false">MAX(0,min_cash-Sens!$K$2215)</f>
        <v>0</v>
      </c>
      <c r="L2216" s="38" t="n">
        <f aca="false">MAX(0,min_cash-Sens!$L$2215)</f>
        <v>0</v>
      </c>
      <c r="M2216" s="38" t="n">
        <f aca="false">MAX(0,min_cash-Sens!$M$2215)</f>
        <v>0</v>
      </c>
      <c r="P2216" s="5" t="s">
        <v>815</v>
      </c>
    </row>
    <row r="2217" customFormat="false" ht="15" hidden="false" customHeight="false" outlineLevel="0" collapsed="false">
      <c r="A2217" s="5" t="s">
        <v>816</v>
      </c>
      <c r="B2217" s="0" t="s">
        <v>86</v>
      </c>
      <c r="D2217" s="38" t="n">
        <f aca="false">Q!$E$61</f>
        <v>123.029</v>
      </c>
      <c r="E2217" s="38" t="n">
        <f aca="false">Q!$M$61</f>
        <v>122.988</v>
      </c>
      <c r="F2217" s="38" t="n">
        <f aca="false">Sens!$F$2215+Sens!$F$2216</f>
        <v>97.3255343600021</v>
      </c>
      <c r="G2217" s="38" t="n">
        <f aca="false">Sens!$F$2217</f>
        <v>97.3255343600021</v>
      </c>
      <c r="H2217" s="38" t="n">
        <f aca="false">Sens!$H$2215+Sens!$H$2216</f>
        <v>50</v>
      </c>
      <c r="I2217" s="38" t="n">
        <f aca="false">Sens!$I$2215+Sens!$I$2216</f>
        <v>50</v>
      </c>
      <c r="J2217" s="38" t="n">
        <f aca="false">Sens!$J$2215+Sens!$J$2216</f>
        <v>77.6116611110891</v>
      </c>
      <c r="K2217" s="38" t="n">
        <f aca="false">Sens!$K$2215+Sens!$K$2216</f>
        <v>201.12627049913</v>
      </c>
      <c r="L2217" s="38" t="n">
        <f aca="false">Sens!$L$2215+Sens!$L$2216</f>
        <v>414.463280189895</v>
      </c>
      <c r="M2217" s="38" t="n">
        <f aca="false">Sens!$M$2215+Sens!$M$2216</f>
        <v>681.11577787703</v>
      </c>
    </row>
    <row r="2218" customFormat="false" ht="15" hidden="false" customHeight="false" outlineLevel="0" collapsed="false">
      <c r="A2218" s="5" t="s">
        <v>817</v>
      </c>
      <c r="B2218" s="0" t="s">
        <v>86</v>
      </c>
      <c r="D2218" s="38" t="n">
        <f aca="false">Q!$E$62</f>
        <v>68.836</v>
      </c>
      <c r="E2218" s="38" t="n">
        <f aca="false">Q!$M$62</f>
        <v>132.995</v>
      </c>
      <c r="F2218" s="38" t="n">
        <f aca="false">debt_q2+Sens!$F$2213+Sens!$F$2216</f>
        <v>162.244999</v>
      </c>
      <c r="G2218" s="38" t="n">
        <f aca="false">Sens!$F$2218</f>
        <v>162.244999</v>
      </c>
      <c r="H2218" s="38" t="n">
        <f aca="false">Sens!$G$2218+Sens!$H$2216</f>
        <v>170.552192012452</v>
      </c>
      <c r="I2218" s="38" t="n">
        <f aca="false">Sens!$H$2218+Sens!$I$2216</f>
        <v>187.716604350503</v>
      </c>
      <c r="J2218" s="38" t="n">
        <f aca="false">Sens!$I$2218+Sens!$J$2216</f>
        <v>187.716604350503</v>
      </c>
      <c r="K2218" s="38" t="n">
        <f aca="false">Sens!$J$2218+Sens!$K$2216</f>
        <v>187.716604350503</v>
      </c>
      <c r="L2218" s="38" t="n">
        <f aca="false">Sens!$K$2218+Sens!$L$2216</f>
        <v>187.716604350503</v>
      </c>
      <c r="M2218" s="38" t="n">
        <f aca="false">Sens!$L$2218+Sens!$M$2216</f>
        <v>187.716604350503</v>
      </c>
    </row>
    <row r="2219" customFormat="false" ht="15" hidden="false" customHeight="false" outlineLevel="0" collapsed="false">
      <c r="A2219" s="5" t="s">
        <v>818</v>
      </c>
      <c r="B2219" s="0" t="s">
        <v>86</v>
      </c>
      <c r="D2219" s="38" t="n">
        <f aca="false">Sens!$D$2218-Sens!$D$2217</f>
        <v>-54.193</v>
      </c>
      <c r="E2219" s="38" t="n">
        <f aca="false">Sens!$E$2218-Sens!$E$2217</f>
        <v>10.007</v>
      </c>
      <c r="F2219" s="38" t="n">
        <f aca="false">Sens!$F$2218-Sens!$F$2217</f>
        <v>64.9194646399979</v>
      </c>
      <c r="G2219" s="38" t="n">
        <f aca="false">Sens!$G$2218-Sens!$G$2217</f>
        <v>64.9194646399979</v>
      </c>
      <c r="H2219" s="38" t="n">
        <f aca="false">Sens!$H$2218-Sens!$H$2217</f>
        <v>120.552192012452</v>
      </c>
      <c r="I2219" s="38" t="n">
        <f aca="false">Sens!$I$2218-Sens!$I$2217</f>
        <v>137.716604350503</v>
      </c>
      <c r="J2219" s="38" t="n">
        <f aca="false">Sens!$J$2218-Sens!$J$2217</f>
        <v>110.104943239414</v>
      </c>
      <c r="K2219" s="38" t="n">
        <f aca="false">Sens!$K$2218-Sens!$K$2217</f>
        <v>-13.4096661486273</v>
      </c>
      <c r="L2219" s="38" t="n">
        <f aca="false">Sens!$L$2218-Sens!$L$2217</f>
        <v>-226.746675839392</v>
      </c>
      <c r="M2219" s="38" t="n">
        <f aca="false">Sens!$M$2218-Sens!$M$2217</f>
        <v>-493.399173526527</v>
      </c>
    </row>
    <row r="2220" customFormat="false" ht="17.15" hidden="false" customHeight="false" outlineLevel="0" collapsed="false">
      <c r="A2220" s="5" t="s">
        <v>819</v>
      </c>
      <c r="B2220" s="0" t="s">
        <v>86</v>
      </c>
      <c r="F2220" s="38" t="n">
        <f aca="false">debt_q2*kd_book*0.5+iss_2h26*kd_new*iss_t</f>
        <v>3.24888962733561</v>
      </c>
      <c r="H2220" s="38" t="n">
        <f aca="false">debt_q2*kd_book+(Sens!$G$2218-debt_q2)*kd_new</f>
        <v>7.42354172302123</v>
      </c>
      <c r="I2220" s="38" t="n">
        <f aca="false">debt_q2*kd_book+(Sens!$H$2218-debt_q2)*kd_new</f>
        <v>7.94938704070946</v>
      </c>
      <c r="J2220" s="38" t="n">
        <f aca="false">debt_q2*kd_book+(Sens!$I$2218-debt_q2)*kd_new</f>
        <v>9.03589434170805</v>
      </c>
      <c r="K2220" s="38" t="n">
        <f aca="false">debt_q2*kd_book+(Sens!$J$2218-debt_q2)*kd_new</f>
        <v>9.03589434170805</v>
      </c>
      <c r="L2220" s="38" t="n">
        <f aca="false">debt_q2*kd_book+(Sens!$K$2218-debt_q2)*kd_new</f>
        <v>9.03589434170805</v>
      </c>
      <c r="M2220" s="38" t="n">
        <f aca="false">debt_q2*kd_book+(Sens!$L$2218-debt_q2)*kd_new</f>
        <v>9.03589434170805</v>
      </c>
    </row>
    <row r="2221" customFormat="false" ht="17.15" hidden="false" customHeight="false" outlineLevel="0" collapsed="false">
      <c r="A2221" s="5" t="s">
        <v>820</v>
      </c>
      <c r="B2221" s="0" t="s">
        <v>86</v>
      </c>
      <c r="F2221" s="38" t="n">
        <f aca="false">cash_q2*y_cash*0.5</f>
        <v>2.59</v>
      </c>
      <c r="H2221" s="38" t="n">
        <f aca="false">Sens!$G$2217*y_cash</f>
        <v>4.09915006329732</v>
      </c>
      <c r="I2221" s="38" t="n">
        <f aca="false">Sens!$H$2217*y_cash</f>
        <v>2.10589651022864</v>
      </c>
      <c r="J2221" s="38" t="n">
        <f aca="false">Sens!$I$2217*y_cash</f>
        <v>2.10589651022864</v>
      </c>
      <c r="K2221" s="38" t="n">
        <f aca="false">Sens!$J$2217*y_cash</f>
        <v>3.26884252573781</v>
      </c>
      <c r="L2221" s="38" t="n">
        <f aca="false">Sens!$K$2217*y_cash</f>
        <v>8.47102222318839</v>
      </c>
      <c r="M2221" s="38" t="n">
        <f aca="false">Sens!$L$2217*y_cash</f>
        <v>17.4563355073963</v>
      </c>
    </row>
    <row r="2222" customFormat="false" ht="17.15" hidden="false" customHeight="false" outlineLevel="0" collapsed="false">
      <c r="A2222" s="47" t="s">
        <v>821</v>
      </c>
      <c r="B2222" s="14" t="s">
        <v>86</v>
      </c>
      <c r="C2222" s="14"/>
      <c r="D2222" s="14"/>
      <c r="E2222" s="14"/>
      <c r="F2222" s="14"/>
      <c r="G2222" s="48" t="n">
        <f aca="false">SUM(Sens!$G$2211:$K$2211)</f>
        <v>19.0256661486273</v>
      </c>
      <c r="H2222" s="14"/>
      <c r="I2222" s="14"/>
      <c r="J2222" s="14"/>
      <c r="K2222" s="14"/>
      <c r="L2222" s="14"/>
      <c r="M2222" s="14"/>
      <c r="N2222" s="14"/>
      <c r="O2222" s="14"/>
    </row>
    <row r="2223" customFormat="false" ht="17.15" hidden="false" customHeight="false" outlineLevel="0" collapsed="false">
      <c r="A2223" s="0" t="s">
        <v>787</v>
      </c>
      <c r="B2223" s="0" t="s">
        <v>86</v>
      </c>
      <c r="G2223" s="38" t="n">
        <f aca="false">SUM(Sens!$G$2216:$K$2216)</f>
        <v>25.4716053505027</v>
      </c>
    </row>
    <row r="2224" customFormat="false" ht="17.15" hidden="false" customHeight="false" outlineLevel="0" collapsed="false">
      <c r="A2224" s="24" t="s">
        <v>824</v>
      </c>
      <c r="B2224" s="25" t="s">
        <v>86</v>
      </c>
      <c r="C2224" s="25"/>
      <c r="D2224" s="25"/>
      <c r="E2224" s="25"/>
      <c r="F2224" s="25"/>
      <c r="G2224" s="41" t="n">
        <f aca="false">Sens!$G$2222-(Sens!$G$2211+Sens!$H$2211+Sens!$I$2211+Sens!$J$2211+Sens!$K$2211)</f>
        <v>0</v>
      </c>
      <c r="H2224" s="25"/>
      <c r="I2224" s="25"/>
      <c r="J2224" s="25"/>
      <c r="K2224" s="25"/>
      <c r="L2224" s="25"/>
      <c r="M2224" s="25"/>
      <c r="N2224" s="25"/>
      <c r="O2224" s="25"/>
    </row>
    <row r="2227" customFormat="false" ht="19.4" hidden="false" customHeight="false" outlineLevel="0" collapsed="false">
      <c r="A2227" s="31" t="s">
        <v>1196</v>
      </c>
    </row>
    <row r="2228" customFormat="false" ht="17.15" hidden="false" customHeight="false" outlineLevel="0" collapsed="false">
      <c r="A2228" s="6" t="s">
        <v>16</v>
      </c>
      <c r="B2228" s="6" t="s">
        <v>17</v>
      </c>
      <c r="C2228" s="20" t="s">
        <v>504</v>
      </c>
      <c r="D2228" s="20" t="s">
        <v>505</v>
      </c>
      <c r="E2228" s="20" t="s">
        <v>587</v>
      </c>
      <c r="F2228" s="20" t="s">
        <v>588</v>
      </c>
      <c r="G2228" s="20" t="s">
        <v>589</v>
      </c>
      <c r="H2228" s="20" t="s">
        <v>590</v>
      </c>
      <c r="I2228" s="20" t="s">
        <v>591</v>
      </c>
      <c r="J2228" s="20" t="s">
        <v>592</v>
      </c>
      <c r="K2228" s="20" t="s">
        <v>593</v>
      </c>
      <c r="L2228" s="20" t="s">
        <v>594</v>
      </c>
      <c r="M2228" s="20" t="s">
        <v>595</v>
      </c>
      <c r="N2228" s="20" t="s">
        <v>596</v>
      </c>
      <c r="O2228" s="20" t="s">
        <v>597</v>
      </c>
      <c r="P2228" s="6" t="s">
        <v>23</v>
      </c>
      <c r="R2228" s="20" t="n">
        <v>2023</v>
      </c>
      <c r="S2228" s="20" t="n">
        <v>2024</v>
      </c>
      <c r="T2228" s="20" t="n">
        <v>2025</v>
      </c>
      <c r="U2228" s="20" t="n">
        <v>2026</v>
      </c>
      <c r="V2228" s="20" t="n">
        <v>2027</v>
      </c>
      <c r="W2228" s="20" t="n">
        <v>2028</v>
      </c>
      <c r="X2228" s="20" t="n">
        <v>2029</v>
      </c>
      <c r="Y2228" s="20" t="n">
        <v>2030</v>
      </c>
      <c r="Z2228" s="20" t="n">
        <v>2031</v>
      </c>
      <c r="AA2228" s="20" t="n">
        <v>2032</v>
      </c>
    </row>
    <row r="2229" customFormat="false" ht="17.15" hidden="false" customHeight="false" outlineLevel="0" collapsed="false">
      <c r="A2229" s="1" t="s">
        <v>926</v>
      </c>
    </row>
    <row r="2230" customFormat="false" ht="17.15" hidden="false" customHeight="false" outlineLevel="0" collapsed="false">
      <c r="A2230" s="0" t="s">
        <v>927</v>
      </c>
      <c r="B2230" s="0" t="s">
        <v>86</v>
      </c>
      <c r="H2230" s="38" t="n">
        <f aca="false">Sens!$H$2164*(1-tax)</f>
        <v>121.905667337607</v>
      </c>
      <c r="I2230" s="38" t="n">
        <f aca="false">Sens!$I$2164*(1-tax)</f>
        <v>146.962531816055</v>
      </c>
      <c r="J2230" s="38" t="n">
        <f aca="false">Sens!$J$2164*(1-tax)</f>
        <v>173.948649857605</v>
      </c>
      <c r="K2230" s="38" t="n">
        <f aca="false">Sens!$K$2164*(1-tax)</f>
        <v>194.610020680568</v>
      </c>
      <c r="L2230" s="38" t="n">
        <f aca="false">Sens!$L$2164*(1-tax)</f>
        <v>210.43073028694</v>
      </c>
      <c r="M2230" s="38" t="n">
        <f aca="false">Sens!$M$2164*(1-tax)</f>
        <v>223.472442469486</v>
      </c>
    </row>
    <row r="2231" customFormat="false" ht="15" hidden="false" customHeight="false" outlineLevel="0" collapsed="false">
      <c r="A2231" s="5" t="s">
        <v>928</v>
      </c>
      <c r="B2231" s="0" t="s">
        <v>86</v>
      </c>
      <c r="H2231" s="38" t="n">
        <f aca="false">Sens!$H$2175</f>
        <v>77.9579365975593</v>
      </c>
      <c r="I2231" s="38" t="n">
        <f aca="false">Sens!$I$2175</f>
        <v>111.003533819447</v>
      </c>
      <c r="J2231" s="38" t="n">
        <f aca="false">Sens!$J$2175</f>
        <v>140.970605356951</v>
      </c>
      <c r="K2231" s="38" t="n">
        <f aca="false">Sens!$K$2175</f>
        <v>170.45426443677</v>
      </c>
      <c r="L2231" s="38" t="n">
        <f aca="false">Sens!$L$2175</f>
        <v>193.56850502481</v>
      </c>
      <c r="M2231" s="38" t="n">
        <f aca="false">Sens!$M$2175</f>
        <v>209.475202078767</v>
      </c>
    </row>
    <row r="2232" customFormat="false" ht="15" hidden="false" customHeight="false" outlineLevel="0" collapsed="false">
      <c r="A2232" s="5" t="s">
        <v>929</v>
      </c>
      <c r="B2232" s="0" t="s">
        <v>86</v>
      </c>
      <c r="H2232" s="38" t="n">
        <f aca="false">Sens!$H$2206</f>
        <v>273.372679834898</v>
      </c>
      <c r="I2232" s="38" t="n">
        <f aca="false">Sens!$I$2206</f>
        <v>286.981812228425</v>
      </c>
      <c r="J2232" s="38" t="n">
        <f aca="false">Sens!$J$2206</f>
        <v>294.079745178366</v>
      </c>
      <c r="K2232" s="38" t="n">
        <f aca="false">Sens!$K$2206</f>
        <v>245.820377312292</v>
      </c>
      <c r="L2232" s="38" t="n">
        <f aca="false">Sens!$L$2206</f>
        <v>198.038953460396</v>
      </c>
      <c r="M2232" s="38" t="n">
        <f aca="false">Sens!$M$2206</f>
        <v>182.193234988102</v>
      </c>
    </row>
    <row r="2233" customFormat="false" ht="15" hidden="false" customHeight="false" outlineLevel="0" collapsed="false">
      <c r="A2233" s="5" t="s">
        <v>930</v>
      </c>
      <c r="B2233" s="0" t="s">
        <v>86</v>
      </c>
      <c r="H2233" s="38" t="n">
        <f aca="false">Sens!$H$2207</f>
        <v>1.6</v>
      </c>
      <c r="I2233" s="38" t="n">
        <f aca="false">Sens!$I$2207</f>
        <v>1.6</v>
      </c>
      <c r="J2233" s="38" t="n">
        <f aca="false">Sens!$J$2207</f>
        <v>1.6</v>
      </c>
      <c r="K2233" s="38" t="n">
        <f aca="false">Sens!$K$2207</f>
        <v>1.6</v>
      </c>
      <c r="L2233" s="38" t="n">
        <f aca="false">Sens!$L$2207</f>
        <v>1.6</v>
      </c>
      <c r="M2233" s="38" t="n">
        <f aca="false">Sens!$M$2207</f>
        <v>1.6</v>
      </c>
    </row>
    <row r="2234" customFormat="false" ht="15" hidden="false" customHeight="false" outlineLevel="0" collapsed="false">
      <c r="A2234" s="5" t="s">
        <v>931</v>
      </c>
      <c r="B2234" s="0" t="s">
        <v>86</v>
      </c>
      <c r="H2234" s="38" t="n">
        <f aca="false">Sens!$H$2201</f>
        <v>11.2928295263397</v>
      </c>
      <c r="I2234" s="38" t="n">
        <f aca="false">Sens!$I$2201</f>
        <v>12.8091546115766</v>
      </c>
      <c r="J2234" s="38" t="n">
        <f aca="false">Sens!$J$2201</f>
        <v>14.2605653162668</v>
      </c>
      <c r="K2234" s="38" t="n">
        <f aca="false">Sens!$K$2201</f>
        <v>15.5327622460396</v>
      </c>
      <c r="L2234" s="38" t="n">
        <f aca="false">Sens!$L$2201</f>
        <v>16.720573737517</v>
      </c>
      <c r="M2234" s="38" t="n">
        <f aca="false">Sens!$M$2201</f>
        <v>17.8283127551536</v>
      </c>
    </row>
    <row r="2235" customFormat="false" ht="17.15" hidden="false" customHeight="false" outlineLevel="0" collapsed="false">
      <c r="A2235" s="1" t="s">
        <v>932</v>
      </c>
      <c r="B2235" s="8" t="s">
        <v>86</v>
      </c>
      <c r="H2235" s="38" t="n">
        <f aca="false">Sens!$H$2230+Sens!$H$2231-Sens!$H$2232-Sens!$H$2233+Sens!$H$2234</f>
        <v>-63.8162463733919</v>
      </c>
      <c r="I2235" s="38" t="n">
        <f aca="false">Sens!$I$2230+Sens!$I$2231-Sens!$I$2232-Sens!$I$2233+Sens!$I$2234</f>
        <v>-17.806591981346</v>
      </c>
      <c r="J2235" s="38" t="n">
        <f aca="false">Sens!$J$2230+Sens!$J$2231-Sens!$J$2232-Sens!$J$2233+Sens!$J$2234</f>
        <v>33.5000753524577</v>
      </c>
      <c r="K2235" s="38" t="n">
        <f aca="false">Sens!$K$2230+Sens!$K$2231-Sens!$K$2232-Sens!$K$2233+Sens!$K$2234</f>
        <v>133.176670051086</v>
      </c>
      <c r="L2235" s="38" t="n">
        <f aca="false">Sens!$L$2230+Sens!$L$2231-Sens!$L$2232-Sens!$L$2233+Sens!$L$2234</f>
        <v>221.080855588871</v>
      </c>
      <c r="M2235" s="38" t="n">
        <f aca="false">Sens!$M$2230+Sens!$M$2231-Sens!$M$2232-Sens!$M$2233+Sens!$M$2234</f>
        <v>266.982722315304</v>
      </c>
    </row>
    <row r="2236" customFormat="false" ht="15" hidden="false" customHeight="false" outlineLevel="0" collapsed="false">
      <c r="A2236" s="5" t="s">
        <v>933</v>
      </c>
      <c r="B2236" s="0" t="s">
        <v>57</v>
      </c>
      <c r="H2236" s="40" t="n">
        <f aca="false">1/(1+wacc)^(2027-2026-0.5)</f>
        <v>0.947751320380232</v>
      </c>
      <c r="I2236" s="40" t="n">
        <f aca="false">1/(1+wacc)^(2028-2026-0.5)</f>
        <v>0.851301099754987</v>
      </c>
      <c r="J2236" s="40" t="n">
        <f aca="false">1/(1+wacc)^(2029-2026-0.5)</f>
        <v>0.764666370660713</v>
      </c>
      <c r="K2236" s="40" t="n">
        <f aca="false">1/(1+wacc)^(2030-2026-0.5)</f>
        <v>0.686848235703811</v>
      </c>
      <c r="L2236" s="40" t="n">
        <f aca="false">1/(1+wacc)^(2031-2026-0.5)</f>
        <v>0.616949452715975</v>
      </c>
      <c r="M2236" s="40" t="n">
        <f aca="false">1/(1+wacc)^(2032-2026-0.5)</f>
        <v>0.554164089562688</v>
      </c>
    </row>
    <row r="2237" customFormat="false" ht="15" hidden="false" customHeight="false" outlineLevel="0" collapsed="false">
      <c r="A2237" s="5" t="s">
        <v>934</v>
      </c>
      <c r="B2237" s="0" t="s">
        <v>86</v>
      </c>
      <c r="H2237" s="38" t="n">
        <f aca="false">Sens!$H$2235*Sens!$H$2236</f>
        <v>-60.4819317620923</v>
      </c>
      <c r="I2237" s="38" t="n">
        <f aca="false">Sens!$I$2235*Sens!$I$2236</f>
        <v>-15.1587713366082</v>
      </c>
      <c r="J2237" s="38" t="n">
        <f aca="false">Sens!$J$2235*Sens!$J$2236</f>
        <v>25.6163810366243</v>
      </c>
      <c r="K2237" s="38" t="n">
        <f aca="false">Sens!$K$2235*Sens!$K$2236</f>
        <v>91.4721608614966</v>
      </c>
      <c r="L2237" s="38" t="n">
        <f aca="false">Sens!$L$2235*Sens!$L$2236</f>
        <v>136.395712861534</v>
      </c>
      <c r="M2237" s="38" t="n">
        <f aca="false">Sens!$M$2235*Sens!$M$2236</f>
        <v>147.952237240829</v>
      </c>
    </row>
    <row r="2238" customFormat="false" ht="15" hidden="false" customHeight="false" outlineLevel="0" collapsed="false">
      <c r="A2238" s="5" t="s">
        <v>935</v>
      </c>
      <c r="B2238" s="0" t="s">
        <v>86</v>
      </c>
      <c r="C2238" s="38" t="n">
        <f aca="false">SUM(Sens!$H$2237:$M$2237)</f>
        <v>325.795788901783</v>
      </c>
    </row>
    <row r="2239" customFormat="false" ht="17.15" hidden="false" customHeight="false" outlineLevel="0" collapsed="false">
      <c r="A2239" s="5" t="s">
        <v>936</v>
      </c>
      <c r="B2239" s="0" t="s">
        <v>86</v>
      </c>
      <c r="C2239" s="38" t="n">
        <f aca="false">Sens!$M$2230*(1+tg)*(1-tg/ronic)/(wacc-tg)</f>
        <v>2031.61387138491</v>
      </c>
    </row>
    <row r="2240" customFormat="false" ht="15" hidden="false" customHeight="false" outlineLevel="0" collapsed="false">
      <c r="A2240" s="5" t="s">
        <v>937</v>
      </c>
      <c r="B2240" s="0" t="s">
        <v>86</v>
      </c>
      <c r="C2240" s="38" t="n">
        <f aca="false">Sens!$C$2239/(1+wacc)^6</f>
        <v>1067.02340859112</v>
      </c>
    </row>
    <row r="2241" customFormat="false" ht="17.15" hidden="false" customHeight="false" outlineLevel="0" collapsed="false">
      <c r="A2241" s="5" t="s">
        <v>938</v>
      </c>
      <c r="B2241" s="0" t="s">
        <v>86</v>
      </c>
      <c r="C2241" s="38" t="n">
        <f aca="false">Sens!$C$2238+Sens!$C$2240</f>
        <v>1392.8191974929</v>
      </c>
    </row>
    <row r="2242" customFormat="false" ht="17.15" hidden="false" customHeight="false" outlineLevel="0" collapsed="false">
      <c r="A2242" s="5" t="s">
        <v>939</v>
      </c>
      <c r="B2242" s="0" t="s">
        <v>52</v>
      </c>
      <c r="C2242" s="13" t="n">
        <f aca="false">Sens!$C$2240/Sens!$C$2241</f>
        <v>0.766088958647166</v>
      </c>
    </row>
    <row r="2243" customFormat="false" ht="17.15" hidden="false" customHeight="false" outlineLevel="0" collapsed="false">
      <c r="A2243" s="5" t="s">
        <v>940</v>
      </c>
      <c r="B2243" s="0" t="s">
        <v>86</v>
      </c>
      <c r="C2243" s="38" t="n">
        <f aca="false">Sens!$G$2219+fin_debt</f>
        <v>89.4404646399979</v>
      </c>
    </row>
    <row r="2244" customFormat="false" ht="17.15" hidden="false" customHeight="false" outlineLevel="0" collapsed="false">
      <c r="A2244" s="5" t="s">
        <v>941</v>
      </c>
      <c r="B2244" s="0" t="s">
        <v>86</v>
      </c>
      <c r="C2244" s="38" t="n">
        <f aca="false">(ant_val*ant_sh+oai_val*oai_sh)*(1-liq_disc)</f>
        <v>178.944</v>
      </c>
    </row>
    <row r="2245" customFormat="false" ht="15" hidden="false" customHeight="false" outlineLevel="0" collapsed="false">
      <c r="A2245" s="5" t="s">
        <v>942</v>
      </c>
      <c r="B2245" s="0" t="s">
        <v>86</v>
      </c>
      <c r="C2245" s="38" t="n">
        <f aca="false">Sens!$C$2241-Sens!$C$2243+Sens!$C$2244</f>
        <v>1482.3227328529</v>
      </c>
    </row>
    <row r="2246" customFormat="false" ht="17.15" hidden="false" customHeight="false" outlineLevel="0" collapsed="false">
      <c r="A2246" s="5" t="s">
        <v>943</v>
      </c>
      <c r="B2246" s="0" t="s">
        <v>27</v>
      </c>
      <c r="C2246" s="30" t="n">
        <f aca="false">Sens!$C$2245/sh_out</f>
        <v>137.426254497403</v>
      </c>
    </row>
    <row r="2247" customFormat="false" ht="17.15" hidden="false" customHeight="false" outlineLevel="0" collapsed="false">
      <c r="A2247" s="1" t="s">
        <v>944</v>
      </c>
      <c r="B2247" s="8" t="s">
        <v>27</v>
      </c>
      <c r="C2247" s="30" t="n">
        <f aca="false">Sens!$C$2246*(1+ke)^tp_yf-dps*tp_yf</f>
        <v>150.53243786415</v>
      </c>
    </row>
    <row r="2248" customFormat="false" ht="17.15" hidden="false" customHeight="false" outlineLevel="0" collapsed="false">
      <c r="A2248" s="3" t="s">
        <v>945</v>
      </c>
    </row>
    <row r="2249" customFormat="false" ht="17.15" hidden="false" customHeight="false" outlineLevel="0" collapsed="false">
      <c r="A2249" s="5" t="s">
        <v>946</v>
      </c>
      <c r="B2249" s="0" t="s">
        <v>86</v>
      </c>
      <c r="C2249" s="38" t="n">
        <f aca="false">(1-tp_yf)*(Sens!$H$2176+sbc_ab*Sens!$H$2200*Sens!$H$2037/Sens!$H$2117)+tp_yf*(Sens!$I$2176+sbc_ab*Sens!$I$2200*Sens!$I$2037/Sens!$I$2117)</f>
        <v>59.634664536349</v>
      </c>
    </row>
    <row r="2250" customFormat="false" ht="15" hidden="false" customHeight="false" outlineLevel="0" collapsed="false">
      <c r="A2250" s="5" t="s">
        <v>947</v>
      </c>
      <c r="B2250" s="0" t="s">
        <v>57</v>
      </c>
      <c r="C2250" s="30" t="n">
        <f aca="false">m_ads*m_x</f>
        <v>9.11</v>
      </c>
    </row>
    <row r="2251" customFormat="false" ht="17.15" hidden="false" customHeight="false" outlineLevel="0" collapsed="false">
      <c r="A2251" s="5" t="s">
        <v>948</v>
      </c>
      <c r="B2251" s="0" t="s">
        <v>86</v>
      </c>
      <c r="C2251" s="38" t="n">
        <f aca="false">Sens!$C$2249*Sens!$C$2250</f>
        <v>543.271793926139</v>
      </c>
    </row>
    <row r="2252" customFormat="false" ht="17.15" hidden="false" customHeight="false" outlineLevel="0" collapsed="false">
      <c r="A2252" s="5" t="s">
        <v>949</v>
      </c>
      <c r="B2252" s="0" t="s">
        <v>86</v>
      </c>
      <c r="C2252" s="38" t="n">
        <f aca="false">(1-tp_yf)*(Sens!$H$2177+sbc_ab*Sens!$H$2200*(Sens!$H$2044-Sens!$H$2037)/Sens!$H$2117+IF(internal_ai_reading=2,1,0)*(1-ext_sh)*Sens!$H$2074)+tp_yf*(Sens!$I$2177+sbc_ab*Sens!$I$2200*(Sens!$I$2044-Sens!$I$2037)/Sens!$I$2117+IF(internal_ai_reading=2,1,0)*(1-ext_sh)*Sens!$I$2074)</f>
        <v>51.4226942918799</v>
      </c>
    </row>
    <row r="2253" customFormat="false" ht="17.15" hidden="false" customHeight="false" outlineLevel="0" collapsed="false">
      <c r="A2253" s="5" t="s">
        <v>950</v>
      </c>
      <c r="B2253" s="0" t="s">
        <v>57</v>
      </c>
      <c r="C2253" s="30" t="n">
        <f aca="false">m_retail*m_x</f>
        <v>17.72</v>
      </c>
    </row>
    <row r="2254" customFormat="false" ht="17.15" hidden="false" customHeight="false" outlineLevel="0" collapsed="false">
      <c r="A2254" s="5" t="s">
        <v>951</v>
      </c>
      <c r="B2254" s="0" t="s">
        <v>86</v>
      </c>
      <c r="C2254" s="38" t="n">
        <f aca="false">Sens!$C$2252*Sens!$C$2253</f>
        <v>911.210142852111</v>
      </c>
    </row>
    <row r="2255" customFormat="false" ht="17.15" hidden="false" customHeight="false" outlineLevel="0" collapsed="false">
      <c r="A2255" s="0" t="s">
        <v>952</v>
      </c>
      <c r="B2255" s="0" t="s">
        <v>86</v>
      </c>
      <c r="C2255" s="38" t="n">
        <f aca="false">(1-tp_yf)*(Sens!$H$2178+sbc_ab*Sens!$H$2200*Sens!$H$2115/Sens!$H$2117)+tp_yf*(Sens!$I$2178+sbc_ab*Sens!$I$2200*Sens!$I$2115/Sens!$I$2117)</f>
        <v>96.6712783566663</v>
      </c>
    </row>
    <row r="2256" customFormat="false" ht="17.15" hidden="false" customHeight="false" outlineLevel="0" collapsed="false">
      <c r="A2256" s="0" t="s">
        <v>953</v>
      </c>
      <c r="B2256" s="0" t="s">
        <v>57</v>
      </c>
      <c r="C2256" s="30" t="n">
        <f aca="false">m_cloud*m_x</f>
        <v>13.82</v>
      </c>
    </row>
    <row r="2257" customFormat="false" ht="17.15" hidden="false" customHeight="false" outlineLevel="0" collapsed="false">
      <c r="A2257" s="0" t="s">
        <v>954</v>
      </c>
      <c r="B2257" s="0" t="s">
        <v>86</v>
      </c>
      <c r="C2257" s="38" t="n">
        <f aca="false">Sens!$C$2255*Sens!$C$2256</f>
        <v>1335.99706688913</v>
      </c>
    </row>
    <row r="2258" customFormat="false" ht="17.15" hidden="false" customHeight="false" outlineLevel="0" collapsed="false">
      <c r="A2258" s="0" t="s">
        <v>955</v>
      </c>
      <c r="B2258" s="0" t="s">
        <v>86</v>
      </c>
      <c r="H2258" s="38" t="n">
        <f aca="false">Sens!$H$2096-tax*Sens!$H$2097-ext_sh*Sens!$H$2081</f>
        <v>-115.956992649562</v>
      </c>
      <c r="I2258" s="38" t="n">
        <f aca="false">Sens!$I$2096-tax*Sens!$I$2097-ext_sh*Sens!$I$2081</f>
        <v>-89.6619242279708</v>
      </c>
      <c r="J2258" s="38" t="n">
        <f aca="false">Sens!$J$2096-tax*Sens!$J$2097-ext_sh*Sens!$J$2081</f>
        <v>-58.7544509080184</v>
      </c>
      <c r="K2258" s="38" t="n">
        <f aca="false">Sens!$K$2096-tax*Sens!$K$2097-ext_sh*Sens!$K$2081</f>
        <v>11.8357881586767</v>
      </c>
      <c r="L2258" s="38" t="n">
        <f aca="false">Sens!$L$2096-tax*Sens!$L$2097-ext_sh*Sens!$L$2081</f>
        <v>73.4695249999523</v>
      </c>
      <c r="M2258" s="38" t="n">
        <f aca="false">Sens!$M$2096-tax*Sens!$M$2097-ext_sh*Sens!$M$2081</f>
        <v>100.867506373649</v>
      </c>
    </row>
    <row r="2259" customFormat="false" ht="17.15" hidden="false" customHeight="false" outlineLevel="0" collapsed="false">
      <c r="A2259" s="5" t="s">
        <v>956</v>
      </c>
      <c r="B2259" s="0" t="s">
        <v>86</v>
      </c>
      <c r="H2259" s="38" t="n">
        <f aca="false">Sens!$H$2258*Sens!$H$2236</f>
        <v>-109.898392890943</v>
      </c>
      <c r="I2259" s="38" t="n">
        <f aca="false">Sens!$I$2258*Sens!$I$2236</f>
        <v>-76.3292947014199</v>
      </c>
      <c r="J2259" s="38" t="n">
        <f aca="false">Sens!$J$2258*Sens!$J$2236</f>
        <v>-44.9275527359975</v>
      </c>
      <c r="K2259" s="38" t="n">
        <f aca="false">Sens!$K$2258*Sens!$K$2236</f>
        <v>8.12939021495116</v>
      </c>
      <c r="L2259" s="38" t="n">
        <f aca="false">Sens!$L$2258*Sens!$L$2236</f>
        <v>45.3269832400232</v>
      </c>
      <c r="M2259" s="38" t="n">
        <f aca="false">Sens!$M$2258*Sens!$M$2236</f>
        <v>55.8971498360119</v>
      </c>
    </row>
    <row r="2260" customFormat="false" ht="17.15" hidden="false" customHeight="false" outlineLevel="0" collapsed="false">
      <c r="A2260" s="5" t="s">
        <v>957</v>
      </c>
      <c r="B2260" s="0" t="s">
        <v>86</v>
      </c>
      <c r="C2260" s="38" t="n">
        <f aca="false">Sens!$M$2097*(1-tax)*(1+tg)*(1-tg/ronic)/(wacc-tg)</f>
        <v>476.275819064637</v>
      </c>
    </row>
    <row r="2261" customFormat="false" ht="17.15" hidden="false" customHeight="false" outlineLevel="0" collapsed="false">
      <c r="A2261" s="0" t="s">
        <v>958</v>
      </c>
      <c r="B2261" s="0" t="s">
        <v>86</v>
      </c>
      <c r="C2261" s="38" t="n">
        <f aca="false">(SUM(Sens!$I$2259:$M$2259)+Sens!$C$2260/(1+wacc)^6)*(1+wacc)^tp_yf</f>
        <v>260.212270284154</v>
      </c>
    </row>
    <row r="2262" customFormat="false" ht="17.15" hidden="false" customHeight="false" outlineLevel="0" collapsed="false">
      <c r="A2262" s="5" t="s">
        <v>959</v>
      </c>
      <c r="B2262" s="0" t="s">
        <v>86</v>
      </c>
      <c r="C2262" s="38" t="n">
        <f aca="false">(1-tp_yf)*(Sens!$H$2179)+tp_yf*(Sens!$I$2179)</f>
        <v>74.6707041238437</v>
      </c>
    </row>
    <row r="2263" customFormat="false" ht="17.15" hidden="false" customHeight="false" outlineLevel="0" collapsed="false">
      <c r="A2263" s="5" t="s">
        <v>960</v>
      </c>
      <c r="B2263" s="0" t="s">
        <v>86</v>
      </c>
      <c r="C2263" s="38" t="n">
        <f aca="false">Sens!$C$2262*m_ai</f>
        <v>448.024224743062</v>
      </c>
    </row>
    <row r="2264" customFormat="false" ht="17.15" hidden="false" customHeight="false" outlineLevel="0" collapsed="false">
      <c r="A2264" s="0" t="s">
        <v>961</v>
      </c>
      <c r="B2264" s="0" t="s">
        <v>86</v>
      </c>
      <c r="C2264" s="38" t="n">
        <f aca="false">IF(ai_leg=1,Sens!$C$2261,Sens!$C$2263)</f>
        <v>260.212270284154</v>
      </c>
    </row>
    <row r="2265" customFormat="false" ht="17.15" hidden="false" customHeight="false" outlineLevel="0" collapsed="false">
      <c r="A2265" s="5" t="s">
        <v>962</v>
      </c>
      <c r="B2265" s="0" t="s">
        <v>86</v>
      </c>
      <c r="C2265" s="38" t="n">
        <f aca="false">Sens!$C$2251+Sens!$C$2254+Sens!$C$2257+Sens!$C$2264</f>
        <v>3050.69127395153</v>
      </c>
    </row>
    <row r="2266" customFormat="false" ht="17.15" hidden="false" customHeight="false" outlineLevel="0" collapsed="false">
      <c r="A2266" s="5" t="s">
        <v>963</v>
      </c>
      <c r="B2266" s="0" t="s">
        <v>86</v>
      </c>
      <c r="C2266" s="38" t="n">
        <f aca="false">Sens!$H$2219+fin_debt</f>
        <v>145.073192012452</v>
      </c>
    </row>
    <row r="2267" customFormat="false" ht="15" hidden="false" customHeight="false" outlineLevel="0" collapsed="false">
      <c r="A2267" s="5" t="s">
        <v>964</v>
      </c>
      <c r="B2267" s="0" t="s">
        <v>86</v>
      </c>
      <c r="C2267" s="38" t="n">
        <f aca="false">Sens!$C$2265-Sens!$C$2266+Sens!$C$2244</f>
        <v>3084.56208193908</v>
      </c>
    </row>
    <row r="2268" customFormat="false" ht="15" hidden="false" customHeight="false" outlineLevel="0" collapsed="false">
      <c r="A2268" s="3" t="s">
        <v>965</v>
      </c>
      <c r="B2268" s="8" t="s">
        <v>27</v>
      </c>
      <c r="C2268" s="30" t="n">
        <f aca="false">Sens!$C$2267/sh_val</f>
        <v>279.64408646382</v>
      </c>
    </row>
    <row r="2269" customFormat="false" ht="17.15" hidden="false" customHeight="false" outlineLevel="0" collapsed="false">
      <c r="A2269" s="47" t="s">
        <v>966</v>
      </c>
      <c r="B2269" s="14" t="s">
        <v>27</v>
      </c>
      <c r="C2269" s="44" t="n">
        <f aca="false">w_dcf*Sens!$C$2247+(1-w_dcf)*Sens!$C$2268</f>
        <v>215.088262163985</v>
      </c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</row>
    <row r="2270" customFormat="false" ht="17.15" hidden="false" customHeight="false" outlineLevel="0" collapsed="false">
      <c r="A2270" s="5" t="s">
        <v>967</v>
      </c>
      <c r="B2270" s="0" t="s">
        <v>27</v>
      </c>
      <c r="C2270" s="30" t="n">
        <f aca="false">v022_wdcf*Sens!$C$2247+(1-v022_wdcf)*Sens!$C$2268</f>
        <v>221.543844593968</v>
      </c>
    </row>
    <row r="2271" customFormat="false" ht="17.15" hidden="false" customHeight="false" outlineLevel="0" collapsed="false">
      <c r="A2271" s="5" t="s">
        <v>968</v>
      </c>
      <c r="B2271" s="0" t="s">
        <v>27</v>
      </c>
      <c r="C2271" s="30" t="n">
        <f aca="false">(Sens!$C$2267-Sens!$C$2264+Sens!$C$2263)/sh_val</f>
        <v>296.67097748967</v>
      </c>
    </row>
    <row r="2274" customFormat="false" ht="19.4" hidden="false" customHeight="false" outlineLevel="0" collapsed="false">
      <c r="A2274" s="31" t="s">
        <v>1197</v>
      </c>
    </row>
    <row r="2275" customFormat="false" ht="17.15" hidden="false" customHeight="false" outlineLevel="0" collapsed="false">
      <c r="A2275" s="6" t="s">
        <v>16</v>
      </c>
      <c r="B2275" s="6" t="s">
        <v>17</v>
      </c>
      <c r="C2275" s="20" t="s">
        <v>504</v>
      </c>
      <c r="D2275" s="20" t="s">
        <v>505</v>
      </c>
      <c r="E2275" s="20" t="s">
        <v>587</v>
      </c>
      <c r="F2275" s="20" t="s">
        <v>588</v>
      </c>
      <c r="G2275" s="20" t="s">
        <v>589</v>
      </c>
      <c r="H2275" s="20" t="s">
        <v>590</v>
      </c>
      <c r="I2275" s="20" t="s">
        <v>591</v>
      </c>
      <c r="J2275" s="20" t="s">
        <v>592</v>
      </c>
      <c r="K2275" s="20" t="s">
        <v>593</v>
      </c>
      <c r="L2275" s="20" t="s">
        <v>594</v>
      </c>
      <c r="M2275" s="20" t="s">
        <v>595</v>
      </c>
      <c r="N2275" s="20" t="s">
        <v>596</v>
      </c>
      <c r="O2275" s="20" t="s">
        <v>597</v>
      </c>
      <c r="P2275" s="6" t="s">
        <v>23</v>
      </c>
      <c r="R2275" s="20" t="n">
        <v>2023</v>
      </c>
      <c r="S2275" s="20" t="n">
        <v>2024</v>
      </c>
      <c r="T2275" s="20" t="n">
        <v>2025</v>
      </c>
      <c r="U2275" s="20" t="n">
        <v>2026</v>
      </c>
      <c r="V2275" s="20" t="n">
        <v>2027</v>
      </c>
      <c r="W2275" s="20" t="n">
        <v>2028</v>
      </c>
      <c r="X2275" s="20" t="n">
        <v>2029</v>
      </c>
      <c r="Y2275" s="20" t="n">
        <v>2030</v>
      </c>
      <c r="Z2275" s="20" t="n">
        <v>2031</v>
      </c>
      <c r="AA2275" s="20" t="n">
        <v>2032</v>
      </c>
    </row>
    <row r="2276" customFormat="false" ht="17.15" hidden="false" customHeight="false" outlineLevel="0" collapsed="false">
      <c r="A2276" s="1" t="s">
        <v>677</v>
      </c>
    </row>
    <row r="2277" customFormat="false" ht="17.15" hidden="false" customHeight="false" outlineLevel="0" collapsed="false">
      <c r="A2277" s="0" t="s">
        <v>526</v>
      </c>
      <c r="B2277" s="0" t="s">
        <v>86</v>
      </c>
      <c r="C2277" s="38" t="n">
        <f aca="false">Q!$D$10</f>
        <v>247.029</v>
      </c>
      <c r="D2277" s="38" t="n">
        <f aca="false">Q!$E$10</f>
        <v>269.287</v>
      </c>
      <c r="E2277" s="38" t="n">
        <f aca="false">Q!$P$10</f>
        <v>134.686</v>
      </c>
      <c r="F2277" s="38" t="n">
        <f aca="false">Sens!$O$2277*(1+Sens!$F$2278)*Sens!$F$2289</f>
        <v>158.293876822267</v>
      </c>
      <c r="G2277" s="38" t="n">
        <f aca="false">Sens!$E$2277+Sens!$F$2277</f>
        <v>292.979876822267</v>
      </c>
      <c r="H2277" s="38" t="n">
        <f aca="false">Sens!$G$2277*(1+Sens!$H$2278)</f>
        <v>318.184543087396</v>
      </c>
      <c r="I2277" s="38" t="n">
        <f aca="false">Sens!$H$2277*(1+Sens!$I$2278)</f>
        <v>341.736278761793</v>
      </c>
      <c r="J2277" s="38" t="n">
        <f aca="false">Sens!$I$2277*(1+Sens!$J$2278)</f>
        <v>362.927192787048</v>
      </c>
      <c r="K2277" s="38" t="n">
        <f aca="false">Sens!$J$2277*(1+Sens!$K$2278)</f>
        <v>381.0735524264</v>
      </c>
      <c r="L2277" s="38" t="n">
        <f aca="false">Sens!$K$2277*(1+Sens!$L$2278)</f>
        <v>400.12723004772</v>
      </c>
      <c r="M2277" s="38" t="n">
        <f aca="false">Sens!$L$2277*(1+Sens!$M$2278)</f>
        <v>420.133591550106</v>
      </c>
      <c r="N2277" s="38" t="n">
        <f aca="false">Q!$N$10</f>
        <v>118.892</v>
      </c>
      <c r="O2277" s="38" t="n">
        <f aca="false">Q!$O$10</f>
        <v>150.395</v>
      </c>
      <c r="P2277" s="8" t="s">
        <v>678</v>
      </c>
    </row>
    <row r="2278" customFormat="false" ht="17.15" hidden="false" customHeight="false" outlineLevel="0" collapsed="false">
      <c r="A2278" s="0" t="s">
        <v>679</v>
      </c>
      <c r="B2278" s="0" t="s">
        <v>52</v>
      </c>
      <c r="E2278" s="13" t="n">
        <f aca="false">Sens!$E$2277/Sens!$N$2277-1</f>
        <v>0.132843252699929</v>
      </c>
      <c r="F2278" s="13" t="n">
        <f aca="false">Sens!$O$2277/(Q!$F$10+Q!$G$10)-1</f>
        <v>0.0980382135842941</v>
      </c>
      <c r="G2278" s="13" t="n">
        <f aca="false">Sens!$G$2277/Sens!$D$2277-1</f>
        <v>0.0879837378791657</v>
      </c>
      <c r="H2278" s="13" t="n">
        <f aca="false">Sens!$F$2278+(g_os-Sens!$F$2278)*1/4</f>
        <v>0.0860286601882206</v>
      </c>
      <c r="I2278" s="13" t="n">
        <f aca="false">Sens!$F$2278+(g_os-Sens!$F$2278)*2/4</f>
        <v>0.074019106792147</v>
      </c>
      <c r="J2278" s="13" t="n">
        <f aca="false">Sens!$F$2278+(g_os-Sens!$F$2278)*3/4</f>
        <v>0.0620095533960735</v>
      </c>
      <c r="K2278" s="13" t="n">
        <f aca="false">Sens!$F$2278+(g_os-Sens!$F$2278)*4/4</f>
        <v>0.05</v>
      </c>
      <c r="L2278" s="13" t="n">
        <f aca="false">g_os</f>
        <v>0.05</v>
      </c>
      <c r="M2278" s="13" t="n">
        <f aca="false">g_os</f>
        <v>0.05</v>
      </c>
      <c r="P2278" s="8" t="s">
        <v>680</v>
      </c>
    </row>
    <row r="2279" customFormat="false" ht="17.15" hidden="false" customHeight="false" outlineLevel="0" collapsed="false">
      <c r="A2279" s="0" t="s">
        <v>527</v>
      </c>
      <c r="B2279" s="0" t="s">
        <v>86</v>
      </c>
      <c r="C2279" s="38" t="n">
        <f aca="false">Q!$D$11</f>
        <v>21.215</v>
      </c>
      <c r="D2279" s="38" t="n">
        <f aca="false">Q!$E$11</f>
        <v>22.561</v>
      </c>
      <c r="E2279" s="38" t="n">
        <f aca="false">Q!$P$11</f>
        <v>11.579</v>
      </c>
      <c r="F2279" s="38" t="n">
        <f aca="false">Sens!$O$2279*(1+Sens!$F$2280)*Sens!$F$2289</f>
        <v>11.5938724610325</v>
      </c>
      <c r="G2279" s="38" t="n">
        <f aca="false">Sens!$E$2279+Sens!$F$2279</f>
        <v>23.1728724610325</v>
      </c>
      <c r="H2279" s="38" t="n">
        <f aca="false">Sens!$G$2279*(1+Sens!$H$2280)</f>
        <v>24.353392759506</v>
      </c>
      <c r="I2279" s="38" t="n">
        <f aca="false">Sens!$H$2279*(1+Sens!$I$2280)</f>
        <v>25.4240338872015</v>
      </c>
      <c r="J2279" s="38" t="n">
        <f aca="false">Sens!$I$2279*(1+Sens!$J$2280)</f>
        <v>26.3642491017174</v>
      </c>
      <c r="K2279" s="38" t="n">
        <f aca="false">Sens!$J$2279*(1+Sens!$K$2280)</f>
        <v>27.155176574769</v>
      </c>
      <c r="L2279" s="38" t="n">
        <f aca="false">Sens!$K$2279*(1+Sens!$L$2280)</f>
        <v>27.969831872012</v>
      </c>
      <c r="M2279" s="38" t="n">
        <f aca="false">Sens!$L$2279*(1+Sens!$M$2280)</f>
        <v>28.8089268281724</v>
      </c>
      <c r="N2279" s="38" t="n">
        <f aca="false">Q!$N$11</f>
        <v>11.128</v>
      </c>
      <c r="O2279" s="38" t="n">
        <f aca="false">Q!$O$11</f>
        <v>11.433</v>
      </c>
      <c r="P2279" s="8" t="s">
        <v>678</v>
      </c>
    </row>
    <row r="2280" customFormat="false" ht="17.15" hidden="false" customHeight="false" outlineLevel="0" collapsed="false">
      <c r="A2280" s="0" t="s">
        <v>681</v>
      </c>
      <c r="B2280" s="0" t="s">
        <v>52</v>
      </c>
      <c r="E2280" s="13" t="n">
        <f aca="false">Sens!$E$2279/Sens!$N$2279-1</f>
        <v>0.0405283968368082</v>
      </c>
      <c r="F2280" s="13" t="n">
        <f aca="false">Sens!$O$2279/(Q!$F$11+Q!$G$11)-1</f>
        <v>0.0579254187100955</v>
      </c>
      <c r="G2280" s="13" t="n">
        <f aca="false">Sens!$G$2279/Sens!$D$2279-1</f>
        <v>0.0271208040881397</v>
      </c>
      <c r="H2280" s="13" t="n">
        <f aca="false">Sens!$F$2280+(g_ps-Sens!$F$2280)*1/4</f>
        <v>0.0509440640325716</v>
      </c>
      <c r="I2280" s="13" t="n">
        <f aca="false">Sens!$F$2280+(g_ps-Sens!$F$2280)*2/4</f>
        <v>0.0439627093550477</v>
      </c>
      <c r="J2280" s="13" t="n">
        <f aca="false">Sens!$F$2280+(g_ps-Sens!$F$2280)*3/4</f>
        <v>0.0369813546775239</v>
      </c>
      <c r="K2280" s="13" t="n">
        <f aca="false">Sens!$F$2280+(g_ps-Sens!$F$2280)*4/4</f>
        <v>0.03</v>
      </c>
      <c r="L2280" s="13" t="n">
        <f aca="false">g_ps</f>
        <v>0.03</v>
      </c>
      <c r="M2280" s="13" t="n">
        <f aca="false">g_ps</f>
        <v>0.03</v>
      </c>
      <c r="P2280" s="8" t="s">
        <v>682</v>
      </c>
    </row>
    <row r="2281" customFormat="false" ht="17.15" hidden="false" customHeight="false" outlineLevel="0" collapsed="false">
      <c r="A2281" s="0" t="s">
        <v>528</v>
      </c>
      <c r="B2281" s="0" t="s">
        <v>86</v>
      </c>
      <c r="C2281" s="38" t="n">
        <f aca="false">Q!$D$12</f>
        <v>156.146</v>
      </c>
      <c r="D2281" s="38" t="n">
        <f aca="false">Q!$E$12</f>
        <v>172.162</v>
      </c>
      <c r="E2281" s="38" t="n">
        <f aca="false">Q!$P$12</f>
        <v>88.358</v>
      </c>
      <c r="F2281" s="38" t="n">
        <f aca="false">Sens!$O$2281*(1+Sens!$F$2282)*Sens!$F$2289</f>
        <v>102.004388260171</v>
      </c>
      <c r="G2281" s="38" t="n">
        <f aca="false">Sens!$E$2281+Sens!$F$2281</f>
        <v>190.362388260171</v>
      </c>
      <c r="H2281" s="38" t="n">
        <f aca="false">Sens!$G$2281*(1+Sens!$H$2282)</f>
        <v>210.343106588311</v>
      </c>
      <c r="I2281" s="38" t="n">
        <f aca="false">Sens!$H$2281*(1+Sens!$I$2282)</f>
        <v>229.969728494648</v>
      </c>
      <c r="J2281" s="38" t="n">
        <f aca="false">Sens!$I$2281*(1+Sens!$J$2282)</f>
        <v>248.747636972598</v>
      </c>
      <c r="K2281" s="38" t="n">
        <f aca="false">Sens!$J$2281*(1+Sens!$K$2282)</f>
        <v>266.15997156068</v>
      </c>
      <c r="L2281" s="38" t="n">
        <f aca="false">Sens!$K$2281*(1+Sens!$L$2282)</f>
        <v>284.791169569927</v>
      </c>
      <c r="M2281" s="38" t="n">
        <f aca="false">Sens!$L$2281*(1+Sens!$M$2282)</f>
        <v>304.726551439822</v>
      </c>
      <c r="N2281" s="38" t="n">
        <f aca="false">Q!$N$12</f>
        <v>76.86</v>
      </c>
      <c r="O2281" s="38" t="n">
        <f aca="false">Q!$O$12</f>
        <v>95.302</v>
      </c>
      <c r="P2281" s="8" t="s">
        <v>678</v>
      </c>
    </row>
    <row r="2282" customFormat="false" ht="17.15" hidden="false" customHeight="false" outlineLevel="0" collapsed="false">
      <c r="A2282" s="0" t="s">
        <v>683</v>
      </c>
      <c r="B2282" s="0" t="s">
        <v>52</v>
      </c>
      <c r="E2282" s="13" t="n">
        <f aca="false">Sens!$E$2281/Sens!$N$2281-1</f>
        <v>0.1495966692688</v>
      </c>
      <c r="F2282" s="13" t="n">
        <f aca="false">Sens!$O$2281/(Q!$F$12+Q!$G$12)-1</f>
        <v>0.11661530890813</v>
      </c>
      <c r="G2282" s="13" t="n">
        <f aca="false">Sens!$G$2281/Sens!$D$2281-1</f>
        <v>0.105716640490767</v>
      </c>
      <c r="H2282" s="13" t="n">
        <f aca="false">Sens!$F$2282+(g_sp-Sens!$F$2282)*1/4</f>
        <v>0.104961481681098</v>
      </c>
      <c r="I2282" s="13" t="n">
        <f aca="false">Sens!$F$2282+(g_sp-Sens!$F$2282)*2/4</f>
        <v>0.0933076544540651</v>
      </c>
      <c r="J2282" s="13" t="n">
        <f aca="false">Sens!$F$2282+(g_sp-Sens!$F$2282)*3/4</f>
        <v>0.0816538272270325</v>
      </c>
      <c r="K2282" s="13" t="n">
        <f aca="false">Sens!$F$2282+(g_sp-Sens!$F$2282)*4/4</f>
        <v>0.07</v>
      </c>
      <c r="L2282" s="13" t="n">
        <f aca="false">g_sp</f>
        <v>0.07</v>
      </c>
      <c r="M2282" s="13" t="n">
        <f aca="false">g_sp</f>
        <v>0.07</v>
      </c>
      <c r="P2282" s="8" t="s">
        <v>684</v>
      </c>
    </row>
    <row r="2283" customFormat="false" ht="17.15" hidden="false" customHeight="false" outlineLevel="0" collapsed="false">
      <c r="A2283" s="0" t="s">
        <v>529</v>
      </c>
      <c r="B2283" s="0" t="s">
        <v>86</v>
      </c>
      <c r="C2283" s="38" t="n">
        <f aca="false">Q!$D$13</f>
        <v>56.214</v>
      </c>
      <c r="D2283" s="38" t="n">
        <f aca="false">Q!$E$13</f>
        <v>68.635</v>
      </c>
      <c r="E2283" s="38" t="n">
        <f aca="false">Q!$P$13</f>
        <v>37.052</v>
      </c>
      <c r="F2283" s="38" t="n">
        <f aca="false">Sens!$O$2283*(1+Sens!$F$2284)*Sens!$F$2289</f>
        <v>46.1572219944148</v>
      </c>
      <c r="G2283" s="38" t="n">
        <f aca="false">Sens!$E$2283+Sens!$F$2283</f>
        <v>83.2092219944148</v>
      </c>
      <c r="H2283" s="38" t="n">
        <f aca="false">Sens!$G$2283*(1+Sens!$H$2284)</f>
        <v>99.8969223878976</v>
      </c>
      <c r="I2283" s="38" t="n">
        <f aca="false">Sens!$H$2283*(1+Sens!$I$2284)</f>
        <v>116.583111095496</v>
      </c>
      <c r="J2283" s="38" t="n">
        <f aca="false">Sens!$I$2283*(1+Sens!$J$2284)</f>
        <v>132.148941941952</v>
      </c>
      <c r="K2283" s="38" t="n">
        <f aca="false">Sens!$J$2283*(1+Sens!$K$2284)</f>
        <v>145.363836136147</v>
      </c>
      <c r="L2283" s="38" t="n">
        <f aca="false">Sens!$K$2283*(1+Sens!$L$2284)</f>
        <v>159.900219749762</v>
      </c>
      <c r="M2283" s="38" t="n">
        <f aca="false">Sens!$L$2283*(1+Sens!$M$2284)</f>
        <v>175.890241724738</v>
      </c>
      <c r="N2283" s="38" t="n">
        <f aca="false">Q!$N$13</f>
        <v>29.615</v>
      </c>
      <c r="O2283" s="38" t="n">
        <f aca="false">Q!$O$13</f>
        <v>39.02</v>
      </c>
      <c r="P2283" s="8" t="s">
        <v>678</v>
      </c>
    </row>
    <row r="2284" customFormat="false" ht="17.15" hidden="false" customHeight="false" outlineLevel="0" collapsed="false">
      <c r="A2284" s="0" t="s">
        <v>685</v>
      </c>
      <c r="B2284" s="0" t="s">
        <v>52</v>
      </c>
      <c r="E2284" s="13" t="n">
        <f aca="false">Sens!$E$2283/Sens!$N$2283-1</f>
        <v>0.25112274185379</v>
      </c>
      <c r="F2284" s="13" t="n">
        <f aca="false">Sens!$O$2283/(Q!$F$13+Q!$G$13)-1</f>
        <v>0.234068123596572</v>
      </c>
      <c r="G2284" s="13" t="n">
        <f aca="false">Sens!$G$2283/Sens!$D$2283-1</f>
        <v>0.212343876949294</v>
      </c>
      <c r="H2284" s="13" t="n">
        <f aca="false">Sens!$F$2284+(g_ad-Sens!$F$2284)*1/4</f>
        <v>0.200551092697429</v>
      </c>
      <c r="I2284" s="13" t="n">
        <f aca="false">Sens!$F$2284+(g_ad-Sens!$F$2284)*2/4</f>
        <v>0.167034061798286</v>
      </c>
      <c r="J2284" s="13" t="n">
        <f aca="false">Sens!$F$2284+(g_ad-Sens!$F$2284)*3/4</f>
        <v>0.133517030899143</v>
      </c>
      <c r="K2284" s="13" t="n">
        <f aca="false">Sens!$F$2284+(g_ad-Sens!$F$2284)*4/4</f>
        <v>0.1</v>
      </c>
      <c r="L2284" s="13" t="n">
        <f aca="false">g_ad</f>
        <v>0.1</v>
      </c>
      <c r="M2284" s="13" t="n">
        <f aca="false">g_ad</f>
        <v>0.1</v>
      </c>
      <c r="P2284" s="8" t="s">
        <v>686</v>
      </c>
    </row>
    <row r="2285" customFormat="false" ht="17.15" hidden="false" customHeight="false" outlineLevel="0" collapsed="false">
      <c r="A2285" s="0" t="s">
        <v>530</v>
      </c>
      <c r="B2285" s="0" t="s">
        <v>86</v>
      </c>
      <c r="C2285" s="38" t="n">
        <f aca="false">Q!$D$14</f>
        <v>44.374</v>
      </c>
      <c r="D2285" s="38" t="n">
        <f aca="false">Q!$E$14</f>
        <v>49.619</v>
      </c>
      <c r="E2285" s="38" t="n">
        <f aca="false">Q!$P$14</f>
        <v>27.157</v>
      </c>
      <c r="F2285" s="38" t="n">
        <f aca="false">Sens!$O$2285*(1+Sens!$F$2286)*Sens!$F$2289</f>
        <v>27.7764165988154</v>
      </c>
      <c r="G2285" s="38" t="n">
        <f aca="false">Sens!$E$2285+Sens!$F$2285</f>
        <v>54.9334165988154</v>
      </c>
      <c r="H2285" s="38" t="n">
        <f aca="false">Sens!$G$2285*(1+Sens!$H$2286)</f>
        <v>61.1564112561829</v>
      </c>
      <c r="I2285" s="38" t="n">
        <f aca="false">Sens!$H$2285*(1+Sens!$I$2286)</f>
        <v>67.2020282103945</v>
      </c>
      <c r="J2285" s="38" t="n">
        <f aca="false">Sens!$I$2285*(1+Sens!$J$2286)</f>
        <v>72.8757274028885</v>
      </c>
      <c r="K2285" s="38" t="n">
        <f aca="false">Sens!$J$2285*(1+Sens!$K$2286)</f>
        <v>77.9770283210907</v>
      </c>
      <c r="L2285" s="38" t="n">
        <f aca="false">Sens!$K$2285*(1+Sens!$L$2286)</f>
        <v>83.4354203035671</v>
      </c>
      <c r="M2285" s="38" t="n">
        <f aca="false">Sens!$L$2285*(1+Sens!$M$2286)</f>
        <v>89.2758997248168</v>
      </c>
      <c r="N2285" s="38" t="n">
        <f aca="false">Q!$N$14</f>
        <v>23.923</v>
      </c>
      <c r="O2285" s="38" t="n">
        <f aca="false">Q!$O$14</f>
        <v>25.696</v>
      </c>
      <c r="P2285" s="8" t="s">
        <v>678</v>
      </c>
    </row>
    <row r="2286" customFormat="false" ht="17.15" hidden="false" customHeight="false" outlineLevel="0" collapsed="false">
      <c r="A2286" s="0" t="s">
        <v>687</v>
      </c>
      <c r="B2286" s="0" t="s">
        <v>52</v>
      </c>
      <c r="E2286" s="13" t="n">
        <f aca="false">Sens!$E$2285/Sens!$N$2285-1</f>
        <v>0.135183714417088</v>
      </c>
      <c r="F2286" s="13" t="n">
        <f aca="false">Sens!$O$2285/(Q!$F$14+Q!$G$14)-1</f>
        <v>0.127709997366804</v>
      </c>
      <c r="G2286" s="13" t="n">
        <f aca="false">Sens!$G$2285/Sens!$D$2285-1</f>
        <v>0.107104468022641</v>
      </c>
      <c r="H2286" s="13" t="n">
        <f aca="false">Sens!$F$2286+(g_sub-Sens!$F$2286)*1/4</f>
        <v>0.113282498025103</v>
      </c>
      <c r="I2286" s="13" t="n">
        <f aca="false">Sens!$F$2286+(g_sub-Sens!$F$2286)*2/4</f>
        <v>0.0988549986834021</v>
      </c>
      <c r="J2286" s="13" t="n">
        <f aca="false">Sens!$F$2286+(g_sub-Sens!$F$2286)*3/4</f>
        <v>0.084427499341701</v>
      </c>
      <c r="K2286" s="13" t="n">
        <f aca="false">Sens!$F$2286+(g_sub-Sens!$F$2286)*4/4</f>
        <v>0.07</v>
      </c>
      <c r="L2286" s="13" t="n">
        <f aca="false">g_sub</f>
        <v>0.07</v>
      </c>
      <c r="M2286" s="13" t="n">
        <f aca="false">g_sub</f>
        <v>0.07</v>
      </c>
      <c r="P2286" s="8" t="s">
        <v>688</v>
      </c>
    </row>
    <row r="2287" customFormat="false" ht="17.15" hidden="false" customHeight="false" outlineLevel="0" collapsed="false">
      <c r="A2287" s="0" t="s">
        <v>531</v>
      </c>
      <c r="B2287" s="0" t="s">
        <v>86</v>
      </c>
      <c r="C2287" s="38" t="n">
        <f aca="false">Q!$D$15</f>
        <v>5.425</v>
      </c>
      <c r="D2287" s="38" t="n">
        <f aca="false">Q!$E$15</f>
        <v>5.935</v>
      </c>
      <c r="E2287" s="38" t="n">
        <f aca="false">Q!$P$15</f>
        <v>3.474</v>
      </c>
      <c r="F2287" s="38" t="n">
        <f aca="false">Sens!$O$2287*(1+Sens!$F$2288)*Sens!$F$2289</f>
        <v>3.22246550883619</v>
      </c>
      <c r="G2287" s="38" t="n">
        <f aca="false">Sens!$E$2287+Sens!$F$2287</f>
        <v>6.69646550883619</v>
      </c>
      <c r="H2287" s="38" t="n">
        <f aca="false">Sens!$G$2287*(1+Sens!$H$2288)</f>
        <v>7.16251344209196</v>
      </c>
      <c r="I2287" s="38" t="n">
        <f aca="false">Sens!$H$2287*(1+Sens!$I$2288)</f>
        <v>7.61421070299826</v>
      </c>
      <c r="J2287" s="38" t="n">
        <f aca="false">Sens!$I$2287*(1+Sens!$J$2288)</f>
        <v>8.04465753523932</v>
      </c>
      <c r="K2287" s="38" t="n">
        <f aca="false">Sens!$J$2287*(1+Sens!$K$2288)</f>
        <v>8.44689041200128</v>
      </c>
      <c r="L2287" s="38" t="n">
        <f aca="false">Sens!$K$2287*(1+Sens!$L$2288)</f>
        <v>8.86923493260135</v>
      </c>
      <c r="M2287" s="38" t="n">
        <f aca="false">Sens!$L$2287*(1+Sens!$M$2288)</f>
        <v>9.31269667923142</v>
      </c>
      <c r="N2287" s="38" t="n">
        <f aca="false">Q!$N$15</f>
        <v>2.811</v>
      </c>
      <c r="O2287" s="38" t="n">
        <f aca="false">Q!$O$15</f>
        <v>3.124</v>
      </c>
      <c r="P2287" s="8" t="s">
        <v>678</v>
      </c>
    </row>
    <row r="2288" customFormat="false" ht="17.15" hidden="false" customHeight="false" outlineLevel="0" collapsed="false">
      <c r="A2288" s="0" t="s">
        <v>689</v>
      </c>
      <c r="B2288" s="0" t="s">
        <v>52</v>
      </c>
      <c r="E2288" s="13" t="n">
        <f aca="false">Sens!$E$2287/Sens!$N$2287-1</f>
        <v>0.235859124866596</v>
      </c>
      <c r="F2288" s="13" t="n">
        <f aca="false">Sens!$O$2287/(Q!$F$15+Q!$G$15)-1</f>
        <v>0.0761281433000345</v>
      </c>
      <c r="G2288" s="13" t="n">
        <f aca="false">Sens!$G$2287/Sens!$D$2287-1</f>
        <v>0.128300843948811</v>
      </c>
      <c r="H2288" s="13" t="n">
        <f aca="false">Sens!$F$2288+(g_ot-Sens!$F$2288)*1/4</f>
        <v>0.0695961074750259</v>
      </c>
      <c r="I2288" s="13" t="n">
        <f aca="false">Sens!$F$2288+(g_ot-Sens!$F$2288)*2/4</f>
        <v>0.0630640716500172</v>
      </c>
      <c r="J2288" s="13" t="n">
        <f aca="false">Sens!$F$2288+(g_ot-Sens!$F$2288)*3/4</f>
        <v>0.0565320358250086</v>
      </c>
      <c r="K2288" s="13" t="n">
        <f aca="false">Sens!$F$2288+(g_ot-Sens!$F$2288)*4/4</f>
        <v>0.05</v>
      </c>
      <c r="L2288" s="13" t="n">
        <f aca="false">g_ot</f>
        <v>0.05</v>
      </c>
      <c r="M2288" s="13" t="n">
        <f aca="false">g_ot</f>
        <v>0.05</v>
      </c>
      <c r="P2288" s="8" t="s">
        <v>690</v>
      </c>
    </row>
    <row r="2289" customFormat="false" ht="17.15" hidden="false" customHeight="false" outlineLevel="0" collapsed="false">
      <c r="A2289" s="0" t="s">
        <v>691</v>
      </c>
      <c r="B2289" s="0" t="s">
        <v>57</v>
      </c>
      <c r="F2289" s="40" t="n">
        <f aca="false">(g26q3_mid*Q!$O$8/Q!$J$8-Thesis!$F$89-Thesis!$F$93)/(Sens!$O$2277*(1+Sens!$F$2278)+Sens!$O$2279*(1+Sens!$F$2280)+Sens!$O$2281*(1+Sens!$F$2282)+Sens!$O$2283*(1+Sens!$F$2284)+Sens!$O$2285*(1+Sens!$F$2286)+Sens!$O$2287*(1+Sens!$F$2288))</f>
        <v>0.958546670622329</v>
      </c>
      <c r="P2289" s="8" t="s">
        <v>692</v>
      </c>
    </row>
    <row r="2290" customFormat="false" ht="17.15" hidden="false" customHeight="false" outlineLevel="0" collapsed="false">
      <c r="A2290" s="3" t="s">
        <v>693</v>
      </c>
      <c r="B2290" s="8" t="s">
        <v>86</v>
      </c>
      <c r="C2290" s="38" t="n">
        <f aca="false">Sens!$C$2277+Sens!$C$2279+Sens!$C$2281+Sens!$C$2283+Sens!$C$2285+Sens!$C$2287</f>
        <v>530.403</v>
      </c>
      <c r="D2290" s="38" t="n">
        <f aca="false">Sens!$D$2277+Sens!$D$2279+Sens!$D$2281+Sens!$D$2283+Sens!$D$2285+Sens!$D$2287</f>
        <v>588.199</v>
      </c>
      <c r="E2290" s="38" t="n">
        <f aca="false">Sens!$E$2277+Sens!$E$2279+Sens!$E$2281+Sens!$E$2283+Sens!$E$2285+Sens!$E$2287</f>
        <v>302.306</v>
      </c>
      <c r="F2290" s="38" t="n">
        <f aca="false">Sens!$F$2277+Sens!$F$2279+Sens!$F$2281+Sens!$F$2283+Sens!$F$2285+Sens!$F$2287</f>
        <v>349.048241645537</v>
      </c>
      <c r="G2290" s="38" t="n">
        <f aca="false">Sens!$G$2277+Sens!$G$2279+Sens!$G$2281+Sens!$G$2283+Sens!$G$2285+Sens!$G$2287</f>
        <v>651.354241645537</v>
      </c>
      <c r="H2290" s="38" t="n">
        <f aca="false">Sens!$H$2277+Sens!$H$2279+Sens!$H$2281+Sens!$H$2283+Sens!$H$2285+Sens!$H$2287</f>
        <v>721.096889521386</v>
      </c>
      <c r="I2290" s="38" t="n">
        <f aca="false">Sens!$I$2277+Sens!$I$2279+Sens!$I$2281+Sens!$I$2283+Sens!$I$2285+Sens!$I$2287</f>
        <v>788.529391152531</v>
      </c>
      <c r="J2290" s="38" t="n">
        <f aca="false">Sens!$J$2277+Sens!$J$2279+Sens!$J$2281+Sens!$J$2283+Sens!$J$2285+Sens!$J$2287</f>
        <v>851.108405741443</v>
      </c>
      <c r="K2290" s="38" t="n">
        <f aca="false">Sens!$K$2277+Sens!$K$2279+Sens!$K$2281+Sens!$K$2283+Sens!$K$2285+Sens!$K$2287</f>
        <v>906.176455431088</v>
      </c>
      <c r="L2290" s="38" t="n">
        <f aca="false">Sens!$L$2277+Sens!$L$2279+Sens!$L$2281+Sens!$L$2283+Sens!$L$2285+Sens!$L$2287</f>
        <v>965.093106475589</v>
      </c>
      <c r="M2290" s="38" t="n">
        <f aca="false">Sens!$M$2277+Sens!$M$2279+Sens!$M$2281+Sens!$M$2283+Sens!$M$2285+Sens!$M$2287</f>
        <v>1028.14790794689</v>
      </c>
      <c r="N2290" s="38" t="n">
        <f aca="false">Sens!$N$2277+Sens!$N$2279+Sens!$N$2281+Sens!$N$2283+Sens!$N$2285+Sens!$N$2287</f>
        <v>263.229</v>
      </c>
      <c r="O2290" s="38" t="n">
        <f aca="false">Sens!$O$2277+Sens!$O$2279+Sens!$O$2281+Sens!$O$2283+Sens!$O$2285+Sens!$O$2287</f>
        <v>324.97</v>
      </c>
    </row>
    <row r="2291" customFormat="false" ht="17.15" hidden="false" customHeight="false" outlineLevel="0" collapsed="false">
      <c r="A2291" s="5" t="s">
        <v>694</v>
      </c>
      <c r="B2291" s="0" t="s">
        <v>52</v>
      </c>
      <c r="C2291" s="13" t="n">
        <f aca="false">Q!$D$5/(Q!$D$5+Q!$D$6)</f>
        <v>0.730570905519011</v>
      </c>
      <c r="D2291" s="13" t="n">
        <f aca="false">Q!$E$5/(Q!$E$5+Q!$E$6)</f>
        <v>0.724763217890544</v>
      </c>
      <c r="E2291" s="13" t="n">
        <f aca="false">Q!$P$5/(Q!$P$5+Q!$P$6)</f>
        <v>0.728797972914861</v>
      </c>
      <c r="F2291" s="13" t="n">
        <f aca="false">Sens!$O$2291</f>
        <v>0.718066283041511</v>
      </c>
      <c r="G2291" s="13" t="n">
        <f aca="false">Sens!$G$2292/Sens!$G$2290</f>
        <v>0.723047066202847</v>
      </c>
      <c r="H2291" s="13" t="n">
        <f aca="false">Sens!$G$2291</f>
        <v>0.723047066202847</v>
      </c>
      <c r="I2291" s="13" t="n">
        <f aca="false">Sens!$G$2291</f>
        <v>0.723047066202847</v>
      </c>
      <c r="J2291" s="13" t="n">
        <f aca="false">Sens!$G$2291</f>
        <v>0.723047066202847</v>
      </c>
      <c r="K2291" s="13" t="n">
        <f aca="false">Sens!$G$2291</f>
        <v>0.723047066202847</v>
      </c>
      <c r="L2291" s="13" t="n">
        <f aca="false">Sens!$G$2291</f>
        <v>0.723047066202847</v>
      </c>
      <c r="M2291" s="13" t="n">
        <f aca="false">Sens!$G$2291</f>
        <v>0.723047066202847</v>
      </c>
      <c r="N2291" s="13" t="n">
        <f aca="false">Q!$N$5/(Q!$N$5+Q!$N$6)</f>
        <v>0.733030935041352</v>
      </c>
      <c r="O2291" s="13" t="n">
        <f aca="false">Q!$O$5/(Q!$O$5+Q!$O$6)</f>
        <v>0.718066283041511</v>
      </c>
      <c r="P2291" s="8" t="s">
        <v>695</v>
      </c>
    </row>
    <row r="2292" customFormat="false" ht="17.15" hidden="false" customHeight="false" outlineLevel="0" collapsed="false">
      <c r="A2292" s="1" t="s">
        <v>519</v>
      </c>
      <c r="B2292" s="8" t="s">
        <v>86</v>
      </c>
      <c r="C2292" s="38" t="n">
        <f aca="false">Q!$D$5</f>
        <v>387.497</v>
      </c>
      <c r="D2292" s="38" t="n">
        <f aca="false">Q!$E$5</f>
        <v>426.305</v>
      </c>
      <c r="E2292" s="38" t="n">
        <f aca="false">Q!$P$5</f>
        <v>220.32</v>
      </c>
      <c r="F2292" s="38" t="n">
        <f aca="false">Sens!$F$2290*Sens!$F$2291</f>
        <v>250.639773480586</v>
      </c>
      <c r="G2292" s="38" t="n">
        <f aca="false">Sens!$E$2292+Sens!$F$2292</f>
        <v>470.959773480586</v>
      </c>
      <c r="H2292" s="38" t="n">
        <f aca="false">Sens!$H$2290*Sens!$H$2291</f>
        <v>521.386990416437</v>
      </c>
      <c r="I2292" s="38" t="n">
        <f aca="false">Sens!$I$2290*Sens!$I$2291</f>
        <v>570.143862887555</v>
      </c>
      <c r="J2292" s="38" t="n">
        <f aca="false">Sens!$J$2290*Sens!$J$2291</f>
        <v>615.391435791933</v>
      </c>
      <c r="K2292" s="38" t="n">
        <f aca="false">Sens!$K$2290*Sens!$K$2291</f>
        <v>655.208227561543</v>
      </c>
      <c r="L2292" s="38" t="n">
        <f aca="false">Sens!$L$2290*Sens!$L$2291</f>
        <v>697.807739249767</v>
      </c>
      <c r="M2292" s="38" t="n">
        <f aca="false">Sens!$M$2290*Sens!$M$2291</f>
        <v>743.399328463592</v>
      </c>
      <c r="N2292" s="38" t="n">
        <f aca="false">Q!$N$5</f>
        <v>192.955</v>
      </c>
      <c r="O2292" s="38" t="n">
        <f aca="false">Q!$O$5</f>
        <v>233.35</v>
      </c>
      <c r="P2292" s="5" t="s">
        <v>696</v>
      </c>
    </row>
    <row r="2293" customFormat="false" ht="17.15" hidden="false" customHeight="false" outlineLevel="0" collapsed="false">
      <c r="A2293" s="1" t="s">
        <v>522</v>
      </c>
      <c r="B2293" s="8" t="s">
        <v>86</v>
      </c>
      <c r="C2293" s="38" t="n">
        <f aca="false">Q!$D$6</f>
        <v>142.906</v>
      </c>
      <c r="D2293" s="38" t="n">
        <f aca="false">Q!$E$6</f>
        <v>161.894</v>
      </c>
      <c r="E2293" s="38" t="n">
        <f aca="false">Q!$P$6</f>
        <v>81.986</v>
      </c>
      <c r="F2293" s="38" t="n">
        <f aca="false">Sens!$F$2290*(1-Sens!$F$2291)</f>
        <v>98.408468164951</v>
      </c>
      <c r="G2293" s="38" t="n">
        <f aca="false">Sens!$E$2293+Sens!$F$2293</f>
        <v>180.394468164951</v>
      </c>
      <c r="H2293" s="38" t="n">
        <f aca="false">Sens!$H$2290*(1-Sens!$H$2291)</f>
        <v>199.709899104949</v>
      </c>
      <c r="I2293" s="38" t="n">
        <f aca="false">Sens!$I$2290*(1-Sens!$I$2291)</f>
        <v>218.385528264976</v>
      </c>
      <c r="J2293" s="38" t="n">
        <f aca="false">Sens!$J$2290*(1-Sens!$J$2291)</f>
        <v>235.71696994951</v>
      </c>
      <c r="K2293" s="38" t="n">
        <f aca="false">Sens!$K$2290*(1-Sens!$K$2291)</f>
        <v>250.968227869545</v>
      </c>
      <c r="L2293" s="38" t="n">
        <f aca="false">Sens!$L$2290*(1-Sens!$L$2291)</f>
        <v>267.285367225822</v>
      </c>
      <c r="M2293" s="38" t="n">
        <f aca="false">Sens!$M$2290*(1-Sens!$M$2291)</f>
        <v>284.748579483295</v>
      </c>
      <c r="N2293" s="38" t="n">
        <f aca="false">Q!$N$6</f>
        <v>70.274</v>
      </c>
      <c r="O2293" s="38" t="n">
        <f aca="false">Q!$O$6</f>
        <v>91.62</v>
      </c>
      <c r="P2293" s="5" t="s">
        <v>697</v>
      </c>
    </row>
    <row r="2294" customFormat="false" ht="17.15" hidden="false" customHeight="false" outlineLevel="0" collapsed="false">
      <c r="A2294" s="5" t="s">
        <v>698</v>
      </c>
      <c r="B2294" s="0" t="s">
        <v>86</v>
      </c>
      <c r="C2294" s="38" t="n">
        <f aca="false">Sens!$C$2283*Sens!$C$2291</f>
        <v>41.0683128828457</v>
      </c>
      <c r="D2294" s="38" t="n">
        <f aca="false">Sens!$D$2283*Sens!$D$2291</f>
        <v>49.7441234599175</v>
      </c>
      <c r="E2294" s="38" t="n">
        <f aca="false">Sens!$E$2283*Sens!$E$2291</f>
        <v>27.0034224924414</v>
      </c>
      <c r="F2294" s="38" t="n">
        <f aca="false">Sens!$F$2283*Sens!$F$2291</f>
        <v>33.1439448330513</v>
      </c>
      <c r="G2294" s="38" t="n">
        <f aca="false">Sens!$G$2283*Sens!$G$2291</f>
        <v>60.164183844083</v>
      </c>
      <c r="H2294" s="38" t="n">
        <f aca="false">Sens!$H$2283*Sens!$H$2291</f>
        <v>72.2301766552629</v>
      </c>
      <c r="I2294" s="38" t="n">
        <f aca="false">Sens!$I$2283*Sens!$I$2291</f>
        <v>84.2950764463991</v>
      </c>
      <c r="J2294" s="38" t="n">
        <f aca="false">Sens!$J$2283*Sens!$J$2291</f>
        <v>95.5499047729386</v>
      </c>
      <c r="K2294" s="38" t="n">
        <f aca="false">Sens!$K$2283*Sens!$K$2291</f>
        <v>105.104895250232</v>
      </c>
      <c r="L2294" s="38" t="n">
        <f aca="false">Sens!$L$2283*Sens!$L$2291</f>
        <v>115.615384775256</v>
      </c>
      <c r="M2294" s="38" t="n">
        <f aca="false">Sens!$M$2283*Sens!$M$2291</f>
        <v>127.176923252781</v>
      </c>
      <c r="N2294" s="38" t="n">
        <f aca="false">Sens!$N$2283*Sens!$N$2291</f>
        <v>21.7087111412496</v>
      </c>
      <c r="O2294" s="38" t="n">
        <f aca="false">Sens!$O$2283*Sens!$O$2291</f>
        <v>28.0189463642798</v>
      </c>
      <c r="P2294" s="5" t="s">
        <v>699</v>
      </c>
    </row>
    <row r="2295" customFormat="false" ht="15" hidden="false" customHeight="false" outlineLevel="0" collapsed="false">
      <c r="A2295" s="5" t="s">
        <v>700</v>
      </c>
      <c r="B2295" s="0" t="s">
        <v>86</v>
      </c>
      <c r="C2295" s="38" t="n">
        <f aca="false">Sens!$C$2283-Sens!$C$2294</f>
        <v>15.1456871171543</v>
      </c>
      <c r="D2295" s="38" t="n">
        <f aca="false">Sens!$D$2283-Sens!$D$2294</f>
        <v>18.8908765400825</v>
      </c>
      <c r="E2295" s="38" t="n">
        <f aca="false">Sens!$E$2283-Sens!$E$2294</f>
        <v>10.0485775075586</v>
      </c>
      <c r="F2295" s="38" t="n">
        <f aca="false">Sens!$F$2283-Sens!$F$2294</f>
        <v>13.0132771613635</v>
      </c>
      <c r="G2295" s="38" t="n">
        <f aca="false">Sens!$G$2283-Sens!$G$2294</f>
        <v>23.0450381503318</v>
      </c>
      <c r="H2295" s="38" t="n">
        <f aca="false">Sens!$H$2283-Sens!$H$2294</f>
        <v>27.6667457326347</v>
      </c>
      <c r="I2295" s="38" t="n">
        <f aca="false">Sens!$I$2283-Sens!$I$2294</f>
        <v>32.2880346490971</v>
      </c>
      <c r="J2295" s="38" t="n">
        <f aca="false">Sens!$J$2283-Sens!$J$2294</f>
        <v>36.5990371690132</v>
      </c>
      <c r="K2295" s="38" t="n">
        <f aca="false">Sens!$K$2283-Sens!$K$2294</f>
        <v>40.2589408859145</v>
      </c>
      <c r="L2295" s="38" t="n">
        <f aca="false">Sens!$L$2283-Sens!$L$2294</f>
        <v>44.2848349745059</v>
      </c>
      <c r="M2295" s="38" t="n">
        <f aca="false">Sens!$M$2283-Sens!$M$2294</f>
        <v>48.7133184719565</v>
      </c>
      <c r="N2295" s="38" t="n">
        <f aca="false">Sens!$N$2283-Sens!$N$2294</f>
        <v>7.90628885875037</v>
      </c>
      <c r="O2295" s="38" t="n">
        <f aca="false">Sens!$O$2283-Sens!$O$2294</f>
        <v>11.0010536357202</v>
      </c>
    </row>
    <row r="2296" customFormat="false" ht="19.4" hidden="false" customHeight="false" outlineLevel="0" collapsed="false">
      <c r="A2296" s="31" t="s">
        <v>1198</v>
      </c>
    </row>
    <row r="2297" customFormat="false" ht="17.15" hidden="false" customHeight="false" outlineLevel="0" collapsed="false">
      <c r="A2297" s="6" t="s">
        <v>16</v>
      </c>
      <c r="B2297" s="6" t="s">
        <v>17</v>
      </c>
      <c r="C2297" s="20" t="s">
        <v>504</v>
      </c>
      <c r="D2297" s="20" t="s">
        <v>505</v>
      </c>
      <c r="E2297" s="20" t="s">
        <v>587</v>
      </c>
      <c r="F2297" s="20" t="s">
        <v>588</v>
      </c>
      <c r="G2297" s="20" t="s">
        <v>589</v>
      </c>
      <c r="H2297" s="20" t="s">
        <v>590</v>
      </c>
      <c r="I2297" s="20" t="s">
        <v>591</v>
      </c>
      <c r="J2297" s="20" t="s">
        <v>592</v>
      </c>
      <c r="K2297" s="20" t="s">
        <v>593</v>
      </c>
      <c r="L2297" s="20" t="s">
        <v>594</v>
      </c>
      <c r="M2297" s="20" t="s">
        <v>595</v>
      </c>
      <c r="N2297" s="20" t="s">
        <v>596</v>
      </c>
      <c r="O2297" s="20" t="s">
        <v>597</v>
      </c>
      <c r="P2297" s="6" t="s">
        <v>23</v>
      </c>
      <c r="R2297" s="20" t="n">
        <v>2023</v>
      </c>
      <c r="S2297" s="20" t="n">
        <v>2024</v>
      </c>
      <c r="T2297" s="20" t="n">
        <v>2025</v>
      </c>
      <c r="U2297" s="20" t="n">
        <v>2026</v>
      </c>
      <c r="V2297" s="20" t="n">
        <v>2027</v>
      </c>
      <c r="W2297" s="20" t="n">
        <v>2028</v>
      </c>
      <c r="X2297" s="20" t="n">
        <v>2029</v>
      </c>
      <c r="Y2297" s="20" t="n">
        <v>2030</v>
      </c>
      <c r="Z2297" s="20" t="n">
        <v>2031</v>
      </c>
      <c r="AA2297" s="20" t="n">
        <v>2032</v>
      </c>
    </row>
    <row r="2298" customFormat="false" ht="17.15" hidden="false" customHeight="false" outlineLevel="0" collapsed="false">
      <c r="A2298" s="1" t="s">
        <v>598</v>
      </c>
    </row>
    <row r="2299" customFormat="false" ht="17.15" hidden="false" customHeight="false" outlineLevel="0" collapsed="false">
      <c r="A2299" s="5" t="s">
        <v>599</v>
      </c>
      <c r="B2299" s="0" t="s">
        <v>144</v>
      </c>
      <c r="H2299" s="32" t="n">
        <f aca="false">pace_B</f>
        <v>3634.3</v>
      </c>
      <c r="I2299" s="32" t="n">
        <f aca="false">pace_B</f>
        <v>3634.3</v>
      </c>
      <c r="J2299" s="32" t="n">
        <f aca="false">pace_B</f>
        <v>3634.3</v>
      </c>
      <c r="K2299" s="32" t="n">
        <f aca="false">pace_B+(Sens!$J$2300*tg-pace_B)*1/3</f>
        <v>2570.86716666667</v>
      </c>
      <c r="L2299" s="32" t="n">
        <f aca="false">pace_B+(Sens!$J$2300*tg-pace_B)*2/3</f>
        <v>1507.43433333333</v>
      </c>
      <c r="M2299" s="32" t="n">
        <f aca="false">pace_B+(Sens!$J$2300*tg-pace_B)*3/3</f>
        <v>444.0015</v>
      </c>
      <c r="P2299" s="5" t="s">
        <v>600</v>
      </c>
    </row>
    <row r="2300" customFormat="false" ht="17.15" hidden="false" customHeight="false" outlineLevel="0" collapsed="false">
      <c r="A2300" s="15" t="s">
        <v>601</v>
      </c>
      <c r="B2300" s="14" t="s">
        <v>129</v>
      </c>
      <c r="C2300" s="33" t="n">
        <f aca="false">mw_ye24</f>
        <v>360</v>
      </c>
      <c r="D2300" s="33" t="n">
        <f aca="false">mw_ye25</f>
        <v>1440</v>
      </c>
      <c r="E2300" s="33" t="n">
        <f aca="false">mw_open</f>
        <v>2080</v>
      </c>
      <c r="F2300" s="33" t="n">
        <f aca="false">Sens!$E$2300+pace_B*0.5</f>
        <v>3897.15</v>
      </c>
      <c r="G2300" s="33" t="n">
        <f aca="false">Sens!$F$2300</f>
        <v>3897.15</v>
      </c>
      <c r="H2300" s="33" t="n">
        <f aca="false">Sens!$G$2300+Sens!$H$2299</f>
        <v>7531.45</v>
      </c>
      <c r="I2300" s="33" t="n">
        <f aca="false">Sens!$H$2300+Sens!$I$2299</f>
        <v>11165.75</v>
      </c>
      <c r="J2300" s="33" t="n">
        <f aca="false">Sens!$I$2300+Sens!$J$2299</f>
        <v>14800.05</v>
      </c>
      <c r="K2300" s="33" t="n">
        <f aca="false">Sens!$J$2300+Sens!$K$2299</f>
        <v>17370.9171666667</v>
      </c>
      <c r="L2300" s="33" t="n">
        <f aca="false">Sens!$K$2300+Sens!$L$2299</f>
        <v>18878.3515</v>
      </c>
      <c r="M2300" s="33" t="n">
        <f aca="false">Sens!$L$2300+Sens!$M$2299</f>
        <v>19322.353</v>
      </c>
      <c r="N2300" s="33" t="n">
        <f aca="false">(mw_ye24+mw_ye25)/2</f>
        <v>900</v>
      </c>
      <c r="O2300" s="33" t="n">
        <f aca="false">mw_ye25</f>
        <v>1440</v>
      </c>
      <c r="P2300" s="5" t="s">
        <v>602</v>
      </c>
    </row>
    <row r="2301" customFormat="false" ht="17.15" hidden="false" customHeight="false" outlineLevel="0" collapsed="false">
      <c r="A2301" s="5" t="s">
        <v>603</v>
      </c>
      <c r="B2301" s="0" t="s">
        <v>129</v>
      </c>
      <c r="C2301" s="32" t="n">
        <f aca="false">(mw_ye23+mw_ye24)/2</f>
        <v>240</v>
      </c>
      <c r="D2301" s="32" t="n">
        <f aca="false">(Sens!$C$2300+Sens!$D$2300)/2</f>
        <v>900</v>
      </c>
      <c r="E2301" s="32" t="n">
        <f aca="false">(Sens!$D$2300+Sens!$E$2300)/2</f>
        <v>1760</v>
      </c>
      <c r="F2301" s="32" t="n">
        <f aca="false">(Sens!$E$2300+Sens!$F$2300)/2</f>
        <v>2988.575</v>
      </c>
      <c r="G2301" s="32" t="n">
        <f aca="false">(Sens!$E$2301+Sens!$F$2301)/2</f>
        <v>2374.2875</v>
      </c>
      <c r="H2301" s="32" t="n">
        <f aca="false">(Sens!$G$2300+Sens!$H$2300)/2</f>
        <v>5714.3</v>
      </c>
      <c r="I2301" s="32" t="n">
        <f aca="false">(Sens!$H$2300+Sens!$I$2300)/2</f>
        <v>9348.6</v>
      </c>
      <c r="J2301" s="32" t="n">
        <f aca="false">(Sens!$I$2300+Sens!$J$2300)/2</f>
        <v>12982.9</v>
      </c>
      <c r="K2301" s="32" t="n">
        <f aca="false">(Sens!$J$2300+Sens!$K$2300)/2</f>
        <v>16085.4835833333</v>
      </c>
      <c r="L2301" s="32" t="n">
        <f aca="false">(Sens!$K$2300+Sens!$L$2300)/2</f>
        <v>18124.6343333333</v>
      </c>
      <c r="M2301" s="32" t="n">
        <f aca="false">(Sens!$L$2300+Sens!$M$2300)/2</f>
        <v>19100.35225</v>
      </c>
      <c r="N2301" s="32" t="n">
        <f aca="false">(Sens!$C$2300+Sens!$N$2300)/2</f>
        <v>630</v>
      </c>
      <c r="O2301" s="32" t="n">
        <f aca="false">(Sens!$N$2300+Sens!$O$2300)/2</f>
        <v>1170</v>
      </c>
    </row>
    <row r="2302" customFormat="false" ht="15" hidden="false" customHeight="false" outlineLevel="0" collapsed="false">
      <c r="A2302" s="5" t="s">
        <v>604</v>
      </c>
      <c r="B2302" s="5" t="s">
        <v>123</v>
      </c>
      <c r="C2302" s="34" t="n">
        <v>1</v>
      </c>
      <c r="D2302" s="34" t="n">
        <v>1</v>
      </c>
      <c r="E2302" s="34" t="n">
        <v>0.5</v>
      </c>
      <c r="F2302" s="34" t="n">
        <v>0.5</v>
      </c>
      <c r="G2302" s="34" t="n">
        <v>1</v>
      </c>
      <c r="H2302" s="34" t="n">
        <v>1</v>
      </c>
      <c r="I2302" s="34" t="n">
        <v>1</v>
      </c>
      <c r="J2302" s="34" t="n">
        <v>1</v>
      </c>
      <c r="K2302" s="34" t="n">
        <v>1</v>
      </c>
      <c r="L2302" s="34" t="n">
        <v>1</v>
      </c>
      <c r="M2302" s="34" t="n">
        <v>1</v>
      </c>
      <c r="N2302" s="34" t="n">
        <v>0.5</v>
      </c>
      <c r="O2302" s="34" t="n">
        <v>0.5</v>
      </c>
    </row>
    <row r="2303" customFormat="false" ht="17.15" hidden="false" customHeight="false" outlineLevel="0" collapsed="false">
      <c r="A2303" s="5" t="s">
        <v>605</v>
      </c>
      <c r="B2303" s="0" t="s">
        <v>129</v>
      </c>
      <c r="C2303" s="32" t="n">
        <f aca="false">Sens!$C$2300-mw_ye23</f>
        <v>240</v>
      </c>
      <c r="D2303" s="32" t="n">
        <f aca="false">Sens!$D$2300-Sens!$C$2300</f>
        <v>1080</v>
      </c>
      <c r="E2303" s="32" t="n">
        <f aca="false">Sens!$E$2300-Sens!$D$2300</f>
        <v>640</v>
      </c>
      <c r="F2303" s="32" t="n">
        <f aca="false">Sens!$F$2300-Sens!$E$2300</f>
        <v>1817.15</v>
      </c>
      <c r="G2303" s="32" t="n">
        <f aca="false">Sens!$E$2303+Sens!$F$2303</f>
        <v>2457.15</v>
      </c>
      <c r="H2303" s="32" t="n">
        <f aca="false">Sens!$H$2300-Sens!$G$2300</f>
        <v>3634.3</v>
      </c>
      <c r="I2303" s="32" t="n">
        <f aca="false">Sens!$I$2300-Sens!$H$2300</f>
        <v>3634.3</v>
      </c>
      <c r="J2303" s="32" t="n">
        <f aca="false">Sens!$J$2300-Sens!$I$2300</f>
        <v>3634.3</v>
      </c>
      <c r="K2303" s="32" t="n">
        <f aca="false">Sens!$K$2300-Sens!$J$2300</f>
        <v>2570.86716666667</v>
      </c>
      <c r="L2303" s="32" t="n">
        <f aca="false">Sens!$L$2300-Sens!$K$2300</f>
        <v>1507.43433333333</v>
      </c>
      <c r="M2303" s="32" t="n">
        <f aca="false">Sens!$M$2300-Sens!$L$2300</f>
        <v>444.001499999999</v>
      </c>
      <c r="N2303" s="32" t="n">
        <f aca="false">Sens!$N$2300-Sens!$C$2300</f>
        <v>540</v>
      </c>
      <c r="O2303" s="32" t="n">
        <f aca="false">Sens!$O$2300-Sens!$N$2300</f>
        <v>540</v>
      </c>
    </row>
    <row r="2304" customFormat="false" ht="17.15" hidden="false" customHeight="false" outlineLevel="0" collapsed="false">
      <c r="A2304" s="5" t="s">
        <v>606</v>
      </c>
      <c r="B2304" s="0" t="s">
        <v>129</v>
      </c>
      <c r="C2304" s="32" t="n">
        <f aca="false">Sens!$C$2303/ext_sh</f>
        <v>300</v>
      </c>
      <c r="D2304" s="32" t="n">
        <f aca="false">Sens!$D$2303/ext_sh</f>
        <v>1350</v>
      </c>
      <c r="E2304" s="32" t="n">
        <f aca="false">Sens!$E$2303/ext_sh</f>
        <v>800</v>
      </c>
      <c r="F2304" s="32" t="n">
        <f aca="false">Sens!$F$2303/ext_sh</f>
        <v>2271.4375</v>
      </c>
      <c r="G2304" s="32" t="n">
        <f aca="false">Sens!$G$2303/ext_sh</f>
        <v>3071.4375</v>
      </c>
      <c r="H2304" s="32" t="n">
        <f aca="false">Sens!$H$2303/ext_sh</f>
        <v>4542.875</v>
      </c>
      <c r="I2304" s="32" t="n">
        <f aca="false">Sens!$I$2303/ext_sh</f>
        <v>4542.875</v>
      </c>
      <c r="J2304" s="32" t="n">
        <f aca="false">Sens!$J$2303/ext_sh</f>
        <v>4542.875</v>
      </c>
      <c r="K2304" s="32" t="n">
        <f aca="false">Sens!$K$2303/ext_sh</f>
        <v>3213.58395833333</v>
      </c>
      <c r="L2304" s="32" t="n">
        <f aca="false">Sens!$L$2303/ext_sh</f>
        <v>1884.29291666667</v>
      </c>
      <c r="M2304" s="32" t="n">
        <f aca="false">Sens!$M$2303/ext_sh</f>
        <v>555.001874999998</v>
      </c>
      <c r="N2304" s="32" t="n">
        <f aca="false">Sens!$N$2303/ext_sh</f>
        <v>675</v>
      </c>
      <c r="O2304" s="32" t="n">
        <f aca="false">Sens!$O$2303/ext_sh</f>
        <v>675</v>
      </c>
      <c r="P2304" s="8" t="s">
        <v>607</v>
      </c>
      <c r="R2304" s="32" t="n">
        <f aca="false">mw_ye23/ext_sh</f>
        <v>150</v>
      </c>
      <c r="S2304" s="32" t="n">
        <f aca="false">Sens!$C$2304</f>
        <v>300</v>
      </c>
      <c r="T2304" s="32" t="n">
        <f aca="false">Sens!$D$2304</f>
        <v>1350</v>
      </c>
      <c r="U2304" s="32" t="n">
        <f aca="false">Sens!$G$2304</f>
        <v>3071.4375</v>
      </c>
      <c r="V2304" s="32" t="n">
        <f aca="false">Sens!$H$2304</f>
        <v>4542.875</v>
      </c>
      <c r="W2304" s="32" t="n">
        <f aca="false">Sens!$I$2304</f>
        <v>4542.875</v>
      </c>
      <c r="X2304" s="32" t="n">
        <f aca="false">Sens!$J$2304</f>
        <v>4542.875</v>
      </c>
      <c r="Y2304" s="32" t="n">
        <f aca="false">Sens!$K$2304</f>
        <v>3213.58395833333</v>
      </c>
      <c r="Z2304" s="32" t="n">
        <f aca="false">Sens!$L$2304</f>
        <v>1884.29291666667</v>
      </c>
      <c r="AA2304" s="32" t="n">
        <f aca="false">Sens!$M$2304</f>
        <v>555.001874999998</v>
      </c>
    </row>
    <row r="2305" customFormat="false" ht="17.15" hidden="false" customHeight="false" outlineLevel="0" collapsed="false">
      <c r="A2305" s="1" t="s">
        <v>608</v>
      </c>
    </row>
    <row r="2306" customFormat="false" ht="17.15" hidden="false" customHeight="false" outlineLevel="0" collapsed="false">
      <c r="A2306" s="0" t="s">
        <v>609</v>
      </c>
      <c r="B2306" s="0" t="s">
        <v>52</v>
      </c>
      <c r="F2306" s="35" t="n">
        <f aca="false">na_vr26</f>
        <v>0</v>
      </c>
      <c r="G2306" s="35" t="n">
        <f aca="false">na_vr26</f>
        <v>0</v>
      </c>
      <c r="H2306" s="35" t="n">
        <f aca="false">na_vr27</f>
        <v>0.5</v>
      </c>
      <c r="I2306" s="35" t="n">
        <f aca="false">na_vr28</f>
        <v>1</v>
      </c>
      <c r="J2306" s="35" t="n">
        <f aca="false">na_vr28</f>
        <v>1</v>
      </c>
      <c r="K2306" s="35" t="n">
        <f aca="false">na_vr28</f>
        <v>1</v>
      </c>
      <c r="L2306" s="35" t="n">
        <f aca="false">na_vr28</f>
        <v>1</v>
      </c>
      <c r="M2306" s="35" t="n">
        <f aca="false">na_vr28</f>
        <v>1</v>
      </c>
    </row>
    <row r="2307" customFormat="false" ht="17.15" hidden="false" customHeight="false" outlineLevel="0" collapsed="false">
      <c r="A2307" s="5" t="s">
        <v>610</v>
      </c>
      <c r="B2307" s="0" t="s">
        <v>173</v>
      </c>
      <c r="F2307" s="36" t="n">
        <f aca="false">cust_sh*tk_he_gb300*cf_chip_lo+(1-cust_sh)*((1-Sens!$F$2306)*tk_he_gb300+Sens!$F$2306*tk_he_vr200)</f>
        <v>9.25344935179358</v>
      </c>
      <c r="G2307" s="36" t="n">
        <f aca="false">cust_sh*tk_he_gb300*cf_chip_lo+(1-cust_sh)*((1-Sens!$G$2306)*tk_he_gb300+Sens!$G$2306*tk_he_vr200)</f>
        <v>9.25344935179358</v>
      </c>
      <c r="H2307" s="36" t="n">
        <f aca="false">cust_sh*tk_he_gb300*cf_chip_lo+(1-cust_sh)*((1-Sens!$H$2306)*tk_he_gb300+Sens!$H$2306*tk_he_vr200)</f>
        <v>9.58821435241208</v>
      </c>
      <c r="I2307" s="36" t="n">
        <f aca="false">cust_sh*tk_he_gb300*cf_chip_lo+(1-cust_sh)*((1-Sens!$I$2306)*tk_he_gb300+Sens!$I$2306*tk_he_vr200)</f>
        <v>9.92297935303058</v>
      </c>
      <c r="J2307" s="36" t="n">
        <f aca="false">cust_sh*tk_he_gb300*cf_chip_lo+(1-cust_sh)*((1-Sens!$J$2306)*tk_he_gb300+Sens!$J$2306*tk_he_vr200)</f>
        <v>9.92297935303058</v>
      </c>
      <c r="K2307" s="36" t="n">
        <f aca="false">cust_sh*tk_he_gb300*cf_chip_lo+(1-cust_sh)*((1-Sens!$K$2306)*tk_he_gb300+Sens!$K$2306*tk_he_vr200)</f>
        <v>9.92297935303058</v>
      </c>
      <c r="L2307" s="36" t="n">
        <f aca="false">cust_sh*tk_he_gb300*cf_chip_lo+(1-cust_sh)*((1-Sens!$L$2306)*tk_he_gb300+Sens!$L$2306*tk_he_vr200)</f>
        <v>9.92297935303058</v>
      </c>
      <c r="M2307" s="36" t="n">
        <f aca="false">cust_sh*tk_he_gb300*cf_chip_lo+(1-cust_sh)*((1-Sens!$M$2306)*tk_he_gb300+Sens!$M$2306*tk_he_vr200)</f>
        <v>9.92297935303058</v>
      </c>
    </row>
    <row r="2308" customFormat="false" ht="17.15" hidden="false" customHeight="false" outlineLevel="0" collapsed="false">
      <c r="A2308" s="5" t="s">
        <v>611</v>
      </c>
      <c r="B2308" s="0" t="s">
        <v>173</v>
      </c>
      <c r="F2308" s="36" t="n">
        <f aca="false">cust_sh*tk_ox_gb300+(1-cust_sh)*((1-Sens!$F$2306)*tk_ox_gb300+Sens!$F$2306*tk_ox_vr200)</f>
        <v>1.98263481314457</v>
      </c>
      <c r="G2308" s="36" t="n">
        <f aca="false">cust_sh*tk_ox_gb300+(1-cust_sh)*((1-Sens!$G$2306)*tk_ox_gb300+Sens!$G$2306*tk_ox_vr200)</f>
        <v>1.98263481314457</v>
      </c>
      <c r="H2308" s="36" t="n">
        <f aca="false">cust_sh*tk_ox_gb300+(1-cust_sh)*((1-Sens!$H$2306)*tk_ox_gb300+Sens!$H$2306*tk_ox_vr200)</f>
        <v>2.01034999693694</v>
      </c>
      <c r="I2308" s="36" t="n">
        <f aca="false">cust_sh*tk_ox_gb300+(1-cust_sh)*((1-Sens!$I$2306)*tk_ox_gb300+Sens!$I$2306*tk_ox_vr200)</f>
        <v>2.0380651807293</v>
      </c>
      <c r="J2308" s="36" t="n">
        <f aca="false">cust_sh*tk_ox_gb300+(1-cust_sh)*((1-Sens!$J$2306)*tk_ox_gb300+Sens!$J$2306*tk_ox_vr200)</f>
        <v>2.0380651807293</v>
      </c>
      <c r="K2308" s="36" t="n">
        <f aca="false">cust_sh*tk_ox_gb300+(1-cust_sh)*((1-Sens!$K$2306)*tk_ox_gb300+Sens!$K$2306*tk_ox_vr200)</f>
        <v>2.0380651807293</v>
      </c>
      <c r="L2308" s="36" t="n">
        <f aca="false">cust_sh*tk_ox_gb300+(1-cust_sh)*((1-Sens!$L$2306)*tk_ox_gb300+Sens!$L$2306*tk_ox_vr200)</f>
        <v>2.0380651807293</v>
      </c>
      <c r="M2308" s="36" t="n">
        <f aca="false">cust_sh*tk_ox_gb300+(1-cust_sh)*((1-Sens!$M$2306)*tk_ox_gb300+Sens!$M$2306*tk_ox_vr200)</f>
        <v>2.0380651807293</v>
      </c>
    </row>
    <row r="2309" customFormat="false" ht="17.15" hidden="false" customHeight="false" outlineLevel="0" collapsed="false">
      <c r="A2309" s="5" t="s">
        <v>612</v>
      </c>
      <c r="B2309" s="0" t="s">
        <v>192</v>
      </c>
      <c r="F2309" s="36" t="n">
        <f aca="false">cust_sh*tk_cx_gb300*cf_cx_lo+(1-cust_sh)*((1-Sens!$F$2306)*tk_cx_gb300+Sens!$F$2306*tk_cx_vr200)</f>
        <v>27.4016404</v>
      </c>
      <c r="G2309" s="36" t="n">
        <f aca="false">cust_sh*tk_cx_gb300*cf_cx_lo+(1-cust_sh)*((1-Sens!$G$2306)*tk_cx_gb300+Sens!$G$2306*tk_cx_vr200)</f>
        <v>27.4016404</v>
      </c>
      <c r="H2309" s="36" t="n">
        <f aca="false">cust_sh*tk_cx_gb300*cf_cx_lo+(1-cust_sh)*((1-Sens!$H$2306)*tk_cx_gb300+Sens!$H$2306*tk_cx_vr200)</f>
        <v>28.7389224</v>
      </c>
      <c r="I2309" s="36" t="n">
        <f aca="false">cust_sh*tk_cx_gb300*cf_cx_lo+(1-cust_sh)*((1-Sens!$I$2306)*tk_cx_gb300+Sens!$I$2306*tk_cx_vr200)</f>
        <v>30.0762044</v>
      </c>
      <c r="J2309" s="36" t="n">
        <f aca="false">cust_sh*tk_cx_gb300*cf_cx_lo+(1-cust_sh)*((1-Sens!$J$2306)*tk_cx_gb300+Sens!$J$2306*tk_cx_vr200)</f>
        <v>30.0762044</v>
      </c>
      <c r="K2309" s="36" t="n">
        <f aca="false">cust_sh*tk_cx_gb300*cf_cx_lo+(1-cust_sh)*((1-Sens!$K$2306)*tk_cx_gb300+Sens!$K$2306*tk_cx_vr200)</f>
        <v>30.0762044</v>
      </c>
      <c r="L2309" s="36" t="n">
        <f aca="false">cust_sh*tk_cx_gb300*cf_cx_lo+(1-cust_sh)*((1-Sens!$L$2306)*tk_cx_gb300+Sens!$L$2306*tk_cx_vr200)</f>
        <v>30.0762044</v>
      </c>
      <c r="M2309" s="36" t="n">
        <f aca="false">cust_sh*tk_cx_gb300*cf_cx_lo+(1-cust_sh)*((1-Sens!$M$2306)*tk_cx_gb300+Sens!$M$2306*tk_cx_vr200)</f>
        <v>30.0762044</v>
      </c>
    </row>
    <row r="2310" customFormat="false" ht="17.15" hidden="false" customHeight="false" outlineLevel="0" collapsed="false">
      <c r="A2310" s="5" t="s">
        <v>613</v>
      </c>
      <c r="B2310" s="0" t="s">
        <v>129</v>
      </c>
      <c r="F2310" s="32" t="n">
        <f aca="false">Sens!$F$2300-mw_open</f>
        <v>1817.15</v>
      </c>
      <c r="G2310" s="32" t="n">
        <f aca="false">Sens!$F$2310</f>
        <v>1817.15</v>
      </c>
      <c r="H2310" s="32" t="n">
        <f aca="false">Sens!$H$2300-mw_open</f>
        <v>5451.45</v>
      </c>
      <c r="I2310" s="32" t="n">
        <f aca="false">Sens!$I$2300-mw_open</f>
        <v>9085.75</v>
      </c>
      <c r="J2310" s="32" t="n">
        <f aca="false">Sens!$J$2300-mw_open</f>
        <v>12720.05</v>
      </c>
      <c r="K2310" s="32" t="n">
        <f aca="false">Sens!$K$2300-mw_open</f>
        <v>15290.9171666667</v>
      </c>
      <c r="L2310" s="32" t="n">
        <f aca="false">Sens!$L$2300-mw_open</f>
        <v>16798.3515</v>
      </c>
      <c r="M2310" s="32" t="n">
        <f aca="false">Sens!$M$2300-mw_open</f>
        <v>17242.353</v>
      </c>
    </row>
    <row r="2311" customFormat="false" ht="17.15" hidden="false" customHeight="false" outlineLevel="0" collapsed="false">
      <c r="A2311" s="0" t="s">
        <v>614</v>
      </c>
      <c r="B2311" s="0" t="s">
        <v>615</v>
      </c>
      <c r="F2311" s="32" t="n">
        <f aca="false">Sens!$F$2303*Sens!$F$2307</f>
        <v>16814.9054896117</v>
      </c>
      <c r="G2311" s="32" t="n">
        <f aca="false">Sens!$F$2311</f>
        <v>16814.9054896117</v>
      </c>
      <c r="H2311" s="32" t="n">
        <f aca="false">Sens!$G$2311+Sens!$H$2303*Sens!$H$2307</f>
        <v>51661.352910583</v>
      </c>
      <c r="I2311" s="32" t="n">
        <f aca="false">Sens!$H$2311+Sens!$I$2303*Sens!$I$2307</f>
        <v>87724.436773302</v>
      </c>
      <c r="J2311" s="32" t="n">
        <f aca="false">Sens!$I$2311+Sens!$J$2303*Sens!$J$2307</f>
        <v>123787.520636021</v>
      </c>
      <c r="K2311" s="32" t="n">
        <f aca="false">Sens!$J$2311+Sens!$K$2303*Sens!$K$2307</f>
        <v>149298.182450239</v>
      </c>
      <c r="L2311" s="32" t="n">
        <f aca="false">Sens!$K$2311+Sens!$L$2303*Sens!$L$2307</f>
        <v>164256.422215955</v>
      </c>
      <c r="M2311" s="32" t="n">
        <f aca="false">Sens!$L$2311+Sens!$M$2303*Sens!$M$2307</f>
        <v>168662.239933169</v>
      </c>
    </row>
    <row r="2312" customFormat="false" ht="17.15" hidden="false" customHeight="false" outlineLevel="0" collapsed="false">
      <c r="A2312" s="0" t="s">
        <v>616</v>
      </c>
      <c r="B2312" s="0" t="s">
        <v>615</v>
      </c>
      <c r="F2312" s="32" t="n">
        <f aca="false">Sens!$F$2303*Sens!$F$2308</f>
        <v>3602.74485070566</v>
      </c>
      <c r="G2312" s="32" t="n">
        <f aca="false">Sens!$F$2312</f>
        <v>3602.74485070566</v>
      </c>
      <c r="H2312" s="32" t="n">
        <f aca="false">Sens!$G$2312+Sens!$H$2303*Sens!$H$2308</f>
        <v>10908.9598445736</v>
      </c>
      <c r="I2312" s="32" t="n">
        <f aca="false">Sens!$H$2312+Sens!$I$2303*Sens!$I$2308</f>
        <v>18315.9001308981</v>
      </c>
      <c r="J2312" s="32" t="n">
        <f aca="false">Sens!$I$2312+Sens!$J$2303*Sens!$J$2308</f>
        <v>25722.8404172225</v>
      </c>
      <c r="K2312" s="32" t="n">
        <f aca="false">Sens!$J$2312+Sens!$K$2303*Sens!$K$2308</f>
        <v>30962.4352738861</v>
      </c>
      <c r="L2312" s="32" t="n">
        <f aca="false">Sens!$K$2312+Sens!$L$2303*Sens!$L$2308</f>
        <v>34034.6847008886</v>
      </c>
      <c r="M2312" s="32" t="n">
        <f aca="false">Sens!$L$2312+Sens!$M$2303*Sens!$M$2308</f>
        <v>34939.5886982302</v>
      </c>
    </row>
    <row r="2313" customFormat="false" ht="17.15" hidden="false" customHeight="false" outlineLevel="0" collapsed="false">
      <c r="A2313" s="5" t="s">
        <v>617</v>
      </c>
      <c r="B2313" s="0" t="s">
        <v>173</v>
      </c>
      <c r="F2313" s="36" t="n">
        <f aca="false">IF(Sens!$F$2310&gt;0,Sens!$F$2311/Sens!$F$2310,Sens!$F$2307)</f>
        <v>9.25344935179358</v>
      </c>
      <c r="G2313" s="36" t="n">
        <f aca="false">IF(Sens!$G$2310&gt;0,Sens!$G$2311/Sens!$G$2310,Sens!$G$2307)</f>
        <v>9.25344935179358</v>
      </c>
      <c r="H2313" s="36" t="n">
        <f aca="false">IF(Sens!$H$2310&gt;0,Sens!$H$2311/Sens!$H$2310,Sens!$H$2307)</f>
        <v>9.47662601887258</v>
      </c>
      <c r="I2313" s="36" t="n">
        <f aca="false">IF(Sens!$I$2310&gt;0,Sens!$I$2311/Sens!$I$2310,Sens!$I$2307)</f>
        <v>9.65516735253578</v>
      </c>
      <c r="J2313" s="36" t="n">
        <f aca="false">IF(Sens!$J$2310&gt;0,Sens!$J$2311/Sens!$J$2310,Sens!$J$2307)</f>
        <v>9.73168506696287</v>
      </c>
      <c r="K2313" s="36" t="n">
        <f aca="false">IF(Sens!$K$2310&gt;0,Sens!$K$2311/Sens!$K$2310,Sens!$K$2307)</f>
        <v>9.7638474411267</v>
      </c>
      <c r="L2313" s="36" t="n">
        <f aca="false">IF(Sens!$L$2310&gt;0,Sens!$L$2311/Sens!$L$2310,Sens!$L$2307)</f>
        <v>9.7781274678027</v>
      </c>
      <c r="M2313" s="36" t="n">
        <f aca="false">IF(Sens!$M$2310&gt;0,Sens!$M$2311/Sens!$M$2310,Sens!$M$2307)</f>
        <v>9.78185749550362</v>
      </c>
    </row>
    <row r="2314" customFormat="false" ht="17.15" hidden="false" customHeight="false" outlineLevel="0" collapsed="false">
      <c r="A2314" s="5" t="s">
        <v>618</v>
      </c>
      <c r="B2314" s="0" t="s">
        <v>173</v>
      </c>
      <c r="F2314" s="36" t="n">
        <f aca="false">IF(Sens!$F$2310&gt;0,Sens!$F$2312/Sens!$F$2310,Sens!$F$2308)</f>
        <v>1.98263481314457</v>
      </c>
      <c r="G2314" s="36" t="n">
        <f aca="false">IF(Sens!$G$2310&gt;0,Sens!$G$2312/Sens!$G$2310,Sens!$G$2308)</f>
        <v>1.98263481314457</v>
      </c>
      <c r="H2314" s="36" t="n">
        <f aca="false">IF(Sens!$H$2310&gt;0,Sens!$H$2312/Sens!$H$2310,Sens!$H$2308)</f>
        <v>2.00111160233948</v>
      </c>
      <c r="I2314" s="36" t="n">
        <f aca="false">IF(Sens!$I$2310&gt;0,Sens!$I$2312/Sens!$I$2310,Sens!$I$2308)</f>
        <v>2.01589303369541</v>
      </c>
      <c r="J2314" s="36" t="n">
        <f aca="false">IF(Sens!$J$2310&gt;0,Sens!$J$2312/Sens!$J$2310,Sens!$J$2308)</f>
        <v>2.02222793284795</v>
      </c>
      <c r="K2314" s="36" t="n">
        <f aca="false">IF(Sens!$K$2310&gt;0,Sens!$K$2312/Sens!$K$2310,Sens!$K$2308)</f>
        <v>2.02489065478573</v>
      </c>
      <c r="L2314" s="36" t="n">
        <f aca="false">IF(Sens!$L$2310&gt;0,Sens!$L$2312/Sens!$L$2310,Sens!$L$2308)</f>
        <v>2.0260728977417</v>
      </c>
      <c r="M2314" s="36" t="n">
        <f aca="false">IF(Sens!$M$2310&gt;0,Sens!$M$2312/Sens!$M$2310,Sens!$M$2308)</f>
        <v>2.02638170661685</v>
      </c>
    </row>
    <row r="2315" customFormat="false" ht="17.15" hidden="false" customHeight="false" outlineLevel="0" collapsed="false">
      <c r="A2315" s="15" t="s">
        <v>619</v>
      </c>
      <c r="B2315" s="14" t="s">
        <v>173</v>
      </c>
      <c r="C2315" s="14"/>
      <c r="D2315" s="14"/>
      <c r="E2315" s="14"/>
      <c r="F2315" s="37" t="n">
        <f aca="false">Sens!$F$2313*k_B</f>
        <v>9.17894989368216</v>
      </c>
      <c r="G2315" s="37" t="n">
        <f aca="false">Sens!$G$2313*k_B</f>
        <v>9.17894989368216</v>
      </c>
      <c r="H2315" s="37" t="n">
        <f aca="false">Sens!$H$2313*k_B</f>
        <v>9.40032976692478</v>
      </c>
      <c r="I2315" s="37" t="n">
        <f aca="false">Sens!$I$2313*k_B</f>
        <v>9.57743366551888</v>
      </c>
      <c r="J2315" s="37" t="n">
        <f aca="false">Sens!$J$2313*k_B</f>
        <v>9.65333533634493</v>
      </c>
      <c r="K2315" s="37" t="n">
        <f aca="false">Sens!$K$2313*k_B</f>
        <v>9.68523877145201</v>
      </c>
      <c r="L2315" s="37" t="n">
        <f aca="false">Sens!$L$2313*k_B</f>
        <v>9.69940382972988</v>
      </c>
      <c r="M2315" s="37" t="n">
        <f aca="false">Sens!$M$2313*k_B</f>
        <v>9.70310382700302</v>
      </c>
      <c r="N2315" s="14"/>
      <c r="O2315" s="14"/>
      <c r="P2315" s="5" t="s">
        <v>620</v>
      </c>
    </row>
    <row r="2316" customFormat="false" ht="17.15" hidden="false" customHeight="false" outlineLevel="0" collapsed="false">
      <c r="A2316" s="5" t="s">
        <v>621</v>
      </c>
      <c r="B2316" s="0" t="s">
        <v>129</v>
      </c>
      <c r="F2316" s="32" t="n">
        <f aca="false">Sens!$F$2310/2</f>
        <v>908.575</v>
      </c>
      <c r="H2316" s="32" t="n">
        <f aca="false">(Sens!$G$2310+Sens!$H$2310)/2</f>
        <v>3634.3</v>
      </c>
      <c r="I2316" s="32" t="n">
        <f aca="false">(Sens!$H$2310+Sens!$I$2310)/2</f>
        <v>7268.6</v>
      </c>
      <c r="J2316" s="32" t="n">
        <f aca="false">(Sens!$I$2310+Sens!$J$2310)/2</f>
        <v>10902.9</v>
      </c>
      <c r="K2316" s="32" t="n">
        <f aca="false">(Sens!$J$2310+Sens!$K$2310)/2</f>
        <v>14005.4835833333</v>
      </c>
      <c r="L2316" s="32" t="n">
        <f aca="false">(Sens!$K$2310+Sens!$L$2310)/2</f>
        <v>16044.6343333333</v>
      </c>
      <c r="M2316" s="32" t="n">
        <f aca="false">(Sens!$L$2310+Sens!$M$2310)/2</f>
        <v>17020.35225</v>
      </c>
    </row>
    <row r="2317" customFormat="false" ht="17.15" hidden="false" customHeight="false" outlineLevel="0" collapsed="false">
      <c r="A2317" s="1" t="s">
        <v>622</v>
      </c>
    </row>
    <row r="2318" customFormat="false" ht="17.15" hidden="false" customHeight="false" outlineLevel="0" collapsed="false">
      <c r="A2318" s="1" t="s">
        <v>623</v>
      </c>
      <c r="B2318" s="8" t="s">
        <v>86</v>
      </c>
      <c r="C2318" s="38" t="n">
        <f aca="false">Sens!$C$2301*rpm_open*Sens!$C$2302/1000</f>
        <v>2.32100535697364</v>
      </c>
      <c r="D2318" s="38" t="n">
        <f aca="false">Sens!$D$2301*rpm_open*Sens!$D$2302/1000</f>
        <v>8.70377008865116</v>
      </c>
      <c r="E2318" s="38" t="n">
        <f aca="false">Sens!$E$2301*rpm_open*Sens!$E$2302/1000</f>
        <v>8.51035297557002</v>
      </c>
      <c r="F2318" s="38" t="n">
        <f aca="false">(mw_open*rpm_open+Sens!$F$2316*Sens!$F$2315)*Sens!$F$2302/1000</f>
        <v>14.2275720800453</v>
      </c>
      <c r="G2318" s="38" t="n">
        <f aca="false">Sens!$E$2318+Sens!$F$2318</f>
        <v>22.7379250556153</v>
      </c>
      <c r="H2318" s="38" t="n">
        <f aca="false">(mw_open*rpm_open+Sens!$H$2316*Sens!$H$2315)/1000</f>
        <v>54.278998232373</v>
      </c>
      <c r="I2318" s="38" t="n">
        <f aca="false">(mw_open*rpm_open+Sens!$I$2316*Sens!$I$2315)/1000</f>
        <v>89.7299141016288</v>
      </c>
      <c r="J2318" s="38" t="n">
        <f aca="false">(mw_open*rpm_open+Sens!$J$2316*Sens!$J$2315)/1000</f>
        <v>125.364729599073</v>
      </c>
      <c r="K2318" s="38" t="n">
        <f aca="false">(mw_open*rpm_open+Sens!$K$2316*Sens!$K$2315)/1000</f>
        <v>155.761832374673</v>
      </c>
      <c r="L2318" s="38" t="n">
        <f aca="false">(mw_open*rpm_open+Sens!$L$2316*Sens!$L$2315)/1000</f>
        <v>175.738767459787</v>
      </c>
      <c r="M2318" s="38" t="n">
        <f aca="false">(mw_open*rpm_open+Sens!$M$2316*Sens!$M$2315)/1000</f>
        <v>185.265624814353</v>
      </c>
      <c r="N2318" s="38" t="n">
        <f aca="false">Sens!$N$2301*rpm_open*Sens!$N$2302/1000</f>
        <v>3.04631953102791</v>
      </c>
      <c r="O2318" s="38" t="n">
        <f aca="false">Sens!$O$2301*rpm_open*Sens!$O$2302/1000</f>
        <v>5.65745055762326</v>
      </c>
      <c r="P2318" s="5" t="s">
        <v>624</v>
      </c>
    </row>
    <row r="2319" customFormat="false" ht="17.15" hidden="false" customHeight="false" outlineLevel="0" collapsed="false">
      <c r="A2319" s="5" t="s">
        <v>625</v>
      </c>
      <c r="B2319" s="0" t="s">
        <v>173</v>
      </c>
      <c r="C2319" s="36" t="n">
        <f aca="false">Sens!$C$2318*1000/(Sens!$C$2301*Sens!$C$2302)</f>
        <v>9.67085565405685</v>
      </c>
      <c r="D2319" s="36" t="n">
        <f aca="false">Sens!$D$2318*1000/(Sens!$D$2301*Sens!$D$2302)</f>
        <v>9.67085565405685</v>
      </c>
      <c r="E2319" s="36" t="n">
        <f aca="false">Sens!$E$2318*1000/(Sens!$E$2301*Sens!$E$2302)</f>
        <v>9.67085565405685</v>
      </c>
      <c r="F2319" s="36" t="n">
        <f aca="false">Sens!$F$2318*1000/(Sens!$F$2301*Sens!$F$2302)</f>
        <v>9.52130836940365</v>
      </c>
      <c r="G2319" s="36" t="n">
        <f aca="false">Sens!$G$2318*1000/(Sens!$G$2301*Sens!$G$2302)</f>
        <v>9.57673620217235</v>
      </c>
      <c r="H2319" s="36" t="n">
        <f aca="false">Sens!$H$2318*1000/(Sens!$H$2301*Sens!$H$2302)</f>
        <v>9.49880094366291</v>
      </c>
      <c r="I2319" s="36" t="n">
        <f aca="false">Sens!$I$2318*1000/(Sens!$I$2301*Sens!$I$2302)</f>
        <v>9.59821942340338</v>
      </c>
      <c r="J2319" s="36" t="n">
        <f aca="false">Sens!$J$2318*1000/(Sens!$J$2301*Sens!$J$2302)</f>
        <v>9.65614227938853</v>
      </c>
      <c r="K2319" s="36" t="n">
        <f aca="false">Sens!$K$2318*1000/(Sens!$K$2301*Sens!$K$2302)</f>
        <v>9.68337890295462</v>
      </c>
      <c r="L2319" s="36" t="n">
        <f aca="false">Sens!$L$2318*1000/(Sens!$L$2301*Sens!$L$2302)</f>
        <v>9.69612761436973</v>
      </c>
      <c r="M2319" s="36" t="n">
        <f aca="false">Sens!$M$2318*1000/(Sens!$M$2301*Sens!$M$2302)</f>
        <v>9.69959204885097</v>
      </c>
      <c r="N2319" s="36" t="n">
        <f aca="false">Sens!$N$2318*1000/(Sens!$N$2301*Sens!$N$2302)</f>
        <v>9.67085565405685</v>
      </c>
      <c r="O2319" s="36" t="n">
        <f aca="false">Sens!$O$2318*1000/(Sens!$O$2301*Sens!$O$2302)</f>
        <v>9.67085565405685</v>
      </c>
    </row>
    <row r="2320" customFormat="false" ht="17.15" hidden="false" customHeight="false" outlineLevel="0" collapsed="false">
      <c r="A2320" s="0" t="s">
        <v>626</v>
      </c>
      <c r="B2320" s="0" t="s">
        <v>86</v>
      </c>
      <c r="C2320" s="38" t="n">
        <f aca="false">Sens!$C$2301/ext_sh*(ox_open+rent_mw)*Sens!$C$2302/1000</f>
        <v>0.642569210675032</v>
      </c>
      <c r="D2320" s="38" t="n">
        <f aca="false">Sens!$D$2301/ext_sh*(ox_open+rent_mw)*Sens!$D$2302/1000</f>
        <v>2.40963454003137</v>
      </c>
      <c r="E2320" s="38" t="n">
        <f aca="false">Sens!$E$2301/ext_sh*(ox_open+rent_mw)*Sens!$E$2302/1000</f>
        <v>2.35608710580845</v>
      </c>
      <c r="F2320" s="38" t="n">
        <f aca="false">((mw_open*ox_open+Sens!$F$2316*Sens!$F$2314)/ext_sh+Sens!$F$2301/ext_sh*rent_mw)*Sens!$F$2302/1000</f>
        <v>4.05421991106232</v>
      </c>
      <c r="G2320" s="38" t="n">
        <f aca="false">Sens!$E$2320+Sens!$F$2320</f>
        <v>6.41030701687077</v>
      </c>
      <c r="H2320" s="38" t="n">
        <f aca="false">((mw_open*ox_open+Sens!$H$2316*Sens!$H$2314)/ext_sh+Sens!$H$2301/ext_sh*rent_mw)*Sens!$H$2302/1000</f>
        <v>15.8108975546616</v>
      </c>
      <c r="I2320" s="38" t="n">
        <f aca="false">((mw_open*ox_open+Sens!$I$2316*Sens!$I$2314)/ext_sh+Sens!$I$2301/ext_sh*rent_mw)*Sens!$I$2302/1000</f>
        <v>26.1871623400817</v>
      </c>
      <c r="J2320" s="38" t="n">
        <f aca="false">((mw_open*ox_open+Sens!$J$2316*Sens!$J$2314)/ext_sh+Sens!$J$2301/ext_sh*rent_mw)*Sens!$J$2302/1000</f>
        <v>36.5826128954935</v>
      </c>
      <c r="K2320" s="38" t="n">
        <f aca="false">((mw_open*ox_open+Sens!$K$2316*Sens!$K$2314)/ext_sh+Sens!$K$2301/ext_sh*rent_mw)*Sens!$K$2302/1000</f>
        <v>45.4546361137628</v>
      </c>
      <c r="L2320" s="38" t="n">
        <f aca="false">((mw_open*ox_open+Sens!$L$2316*Sens!$L$2314)/ext_sh+Sens!$L$2301/ext_sh*rent_mw)*Sens!$L$2302/1000</f>
        <v>51.2855695554452</v>
      </c>
      <c r="M2320" s="38" t="n">
        <f aca="false">((mw_open*ox_open+Sens!$M$2316*Sens!$M$2314)/ext_sh+Sens!$M$2301/ext_sh*rent_mw)*Sens!$M$2302/1000</f>
        <v>54.0722927838398</v>
      </c>
      <c r="N2320" s="38" t="n">
        <f aca="false">Sens!$N$2301/ext_sh*(ox_open+rent_mw)*Sens!$N$2302/1000</f>
        <v>0.84337208901098</v>
      </c>
      <c r="O2320" s="38" t="n">
        <f aca="false">Sens!$O$2301/ext_sh*(ox_open+rent_mw)*Sens!$O$2302/1000</f>
        <v>1.56626245102039</v>
      </c>
    </row>
    <row r="2321" customFormat="false" ht="17.15" hidden="false" customHeight="false" outlineLevel="0" collapsed="false">
      <c r="A2321" s="0" t="s">
        <v>627</v>
      </c>
      <c r="B2321" s="0" t="s">
        <v>86</v>
      </c>
      <c r="C2321" s="38" t="n">
        <f aca="false">Q!$D$7</f>
        <v>107.556</v>
      </c>
      <c r="D2321" s="38" t="n">
        <f aca="false">Q!$E$7</f>
        <v>128.725</v>
      </c>
      <c r="E2321" s="38" t="n">
        <f aca="false">Q!$P$7</f>
        <v>79.819</v>
      </c>
      <c r="N2321" s="38" t="n">
        <f aca="false">Q!$N$7</f>
        <v>60.14</v>
      </c>
      <c r="O2321" s="38" t="n">
        <f aca="false">Q!$O$7</f>
        <v>68.585</v>
      </c>
    </row>
    <row r="2322" customFormat="false" ht="17.15" hidden="false" customHeight="false" outlineLevel="0" collapsed="false">
      <c r="A2322" s="1" t="s">
        <v>628</v>
      </c>
      <c r="B2322" s="8" t="s">
        <v>86</v>
      </c>
      <c r="C2322" s="38" t="n">
        <f aca="false">Sens!$C$2321-Sens!$C$2318</f>
        <v>105.234994643026</v>
      </c>
      <c r="D2322" s="38" t="n">
        <f aca="false">Sens!$D$2321-Sens!$D$2318</f>
        <v>120.021229911349</v>
      </c>
      <c r="E2322" s="38" t="n">
        <f aca="false">Sens!$E$2321-Sens!$E$2318</f>
        <v>71.30864702443</v>
      </c>
      <c r="F2322" s="38" t="n">
        <f aca="false">Sens!$O$2322*(1+Sens!$F$2323)</f>
        <v>71.7692997942464</v>
      </c>
      <c r="G2322" s="38" t="n">
        <f aca="false">Sens!$E$2322+Sens!$F$2322</f>
        <v>143.077946818676</v>
      </c>
      <c r="H2322" s="38" t="n">
        <f aca="false">Sens!$G$2322*(1+Sens!$H$2323)</f>
        <v>161.017077079203</v>
      </c>
      <c r="I2322" s="38" t="n">
        <f aca="false">Sens!$H$2322*(1+Sens!$I$2323)</f>
        <v>178.769759521457</v>
      </c>
      <c r="J2322" s="38" t="n">
        <f aca="false">Sens!$I$2322*(1+Sens!$J$2323)</f>
        <v>195.775538045907</v>
      </c>
      <c r="K2322" s="38" t="n">
        <f aca="false">Sens!$J$2322*(1+Sens!$K$2323)</f>
        <v>211.43758108958</v>
      </c>
      <c r="L2322" s="38" t="n">
        <f aca="false">Sens!$K$2322*(1+Sens!$L$2323)</f>
        <v>228.352587576746</v>
      </c>
      <c r="M2322" s="38" t="n">
        <f aca="false">Sens!$L$2322*(1+Sens!$M$2323)</f>
        <v>246.620794582886</v>
      </c>
      <c r="N2322" s="38" t="n">
        <f aca="false">Sens!$N$2321-Sens!$N$2318</f>
        <v>57.0936804689721</v>
      </c>
      <c r="O2322" s="38" t="n">
        <f aca="false">Sens!$O$2321-Sens!$O$2318</f>
        <v>62.9275494423768</v>
      </c>
      <c r="P2322" s="5" t="s">
        <v>629</v>
      </c>
    </row>
    <row r="2323" customFormat="false" ht="17.15" hidden="false" customHeight="false" outlineLevel="0" collapsed="false">
      <c r="A2323" s="0" t="s">
        <v>630</v>
      </c>
      <c r="B2323" s="0" t="s">
        <v>52</v>
      </c>
      <c r="D2323" s="13" t="n">
        <f aca="false">Sens!$D$2322/Sens!$C$2322-1</f>
        <v>0.140506827776062</v>
      </c>
      <c r="E2323" s="13" t="n">
        <f aca="false">Sens!$E$2322/Sens!$N$2322-1</f>
        <v>0.248976181579029</v>
      </c>
      <c r="F2323" s="13" t="n">
        <f aca="false">Sens!$D$2323</f>
        <v>0.140506827776062</v>
      </c>
      <c r="G2323" s="13" t="n">
        <f aca="false">Sens!$G$2322/Sens!$D$2322-1</f>
        <v>0.19210532106993</v>
      </c>
      <c r="H2323" s="13" t="n">
        <f aca="false">Sens!$F$2323+(g_awso_lt-Sens!$F$2323)*1/4</f>
        <v>0.125380120832046</v>
      </c>
      <c r="I2323" s="13" t="n">
        <f aca="false">Sens!$F$2323+(g_awso_lt-Sens!$F$2323)*2/4</f>
        <v>0.110253413888031</v>
      </c>
      <c r="J2323" s="13" t="n">
        <f aca="false">Sens!$F$2323+(g_awso_lt-Sens!$F$2323)*3/4</f>
        <v>0.0951267069440154</v>
      </c>
      <c r="K2323" s="13" t="n">
        <f aca="false">Sens!$F$2323+(g_awso_lt-Sens!$F$2323)*4/4</f>
        <v>0.08</v>
      </c>
      <c r="L2323" s="13" t="n">
        <f aca="false">g_awso_lt</f>
        <v>0.08</v>
      </c>
      <c r="M2323" s="13" t="n">
        <f aca="false">g_awso_lt</f>
        <v>0.08</v>
      </c>
      <c r="P2323" s="5" t="s">
        <v>631</v>
      </c>
    </row>
    <row r="2324" customFormat="false" ht="17.15" hidden="false" customHeight="false" outlineLevel="0" collapsed="false">
      <c r="A2324" s="1" t="s">
        <v>632</v>
      </c>
    </row>
    <row r="2325" customFormat="false" ht="17.15" hidden="false" customHeight="false" outlineLevel="0" collapsed="false">
      <c r="A2325" s="0" t="s">
        <v>633</v>
      </c>
      <c r="B2325" s="0" t="s">
        <v>86</v>
      </c>
      <c r="F2325" s="38" t="n">
        <f aca="false">cx_rt*Sens!$F$2290+cx_awso*Sens!$F$2322</f>
        <v>34.9734495387866</v>
      </c>
    </row>
    <row r="2326" customFormat="false" ht="17.15" hidden="false" customHeight="false" outlineLevel="0" collapsed="false">
      <c r="A2326" s="0" t="s">
        <v>634</v>
      </c>
      <c r="B2326" s="0" t="s">
        <v>52</v>
      </c>
      <c r="C2326" s="13" t="n">
        <f aca="false">tk_cx_h100/(tk_cx_h100+tk_fac*(1-colo_sh))</f>
        <v>0.730756458006641</v>
      </c>
      <c r="D2326" s="13" t="n">
        <f aca="false">tk_cx_h100/(tk_cx_h100+tk_fac*(1-colo_sh))</f>
        <v>0.730756458006641</v>
      </c>
      <c r="E2326" s="13" t="n">
        <f aca="false">Sens!$F$2326</f>
        <v>0.729977699930228</v>
      </c>
      <c r="F2326" s="13" t="n">
        <f aca="false">Sens!$F$2309/(Sens!$F$2309+tk_fac*(1-colo_sh))</f>
        <v>0.729977699930228</v>
      </c>
      <c r="G2326" s="13" t="n">
        <f aca="false">Sens!$G$2309/(Sens!$G$2309+tk_fac*(1-colo_sh))</f>
        <v>0.729977699930228</v>
      </c>
      <c r="H2326" s="13" t="n">
        <f aca="false">Sens!$H$2309/(Sens!$H$2309+tk_fac*(1-colo_sh))</f>
        <v>0.739266360567706</v>
      </c>
      <c r="I2326" s="13" t="n">
        <f aca="false">Sens!$I$2309/(Sens!$I$2309+tk_fac*(1-colo_sh))</f>
        <v>0.747937220770717</v>
      </c>
      <c r="J2326" s="13" t="n">
        <f aca="false">Sens!$J$2309/(Sens!$J$2309+tk_fac*(1-colo_sh))</f>
        <v>0.747937220770717</v>
      </c>
      <c r="K2326" s="13" t="n">
        <f aca="false">Sens!$K$2309/(Sens!$K$2309+tk_fac*(1-colo_sh))</f>
        <v>0.747937220770717</v>
      </c>
      <c r="L2326" s="13" t="n">
        <f aca="false">Sens!$L$2309/(Sens!$L$2309+tk_fac*(1-colo_sh))</f>
        <v>0.747937220770717</v>
      </c>
      <c r="M2326" s="13" t="n">
        <f aca="false">Sens!$M$2309/(Sens!$M$2309+tk_fac*(1-colo_sh))</f>
        <v>0.747937220770717</v>
      </c>
    </row>
    <row r="2327" customFormat="false" ht="17.15" hidden="false" customHeight="false" outlineLevel="0" collapsed="false">
      <c r="A2327" s="1" t="s">
        <v>635</v>
      </c>
      <c r="B2327" s="8" t="s">
        <v>86</v>
      </c>
      <c r="C2327" s="38" t="n">
        <f aca="false">Q!$D$46-cx_rt*Q!$D$16-cx_awso*Sens!$C$2322</f>
        <v>25.2781053077374</v>
      </c>
      <c r="D2327" s="38" t="n">
        <f aca="false">Q!$E$46-cx_rt*Q!$E$16-cx_awso*Sens!$D$2322</f>
        <v>69.5686316310026</v>
      </c>
      <c r="E2327" s="38" t="n">
        <f aca="false">Q!$P$46-cx_rt*Q!$P$16-cx_awso*Sens!$E$2322</f>
        <v>64.1899206485108</v>
      </c>
      <c r="F2327" s="38" t="n">
        <f aca="false">capex_g26-Q!$P$46-Sens!$F$2325</f>
        <v>88.7165504612134</v>
      </c>
      <c r="G2327" s="38" t="n">
        <f aca="false">Sens!$E$2327+Sens!$F$2327</f>
        <v>152.906471109724</v>
      </c>
      <c r="H2327" s="38" t="n">
        <f aca="false">Sens!$H$2304*(Sens!$H$2309+tk_fac*(1-colo_sh))/1000+Sens!$H$2328</f>
        <v>176.6039130979</v>
      </c>
      <c r="I2327" s="38" t="n">
        <f aca="false">Sens!$I$2304*(Sens!$I$2309+tk_fac*(1-colo_sh))/1000+Sens!$I$2328</f>
        <v>182.67901806365</v>
      </c>
      <c r="J2327" s="38" t="n">
        <f aca="false">Sens!$J$2304*(Sens!$J$2309+tk_fac*(1-colo_sh))/1000+Sens!$J$2328</f>
        <v>187.19044872365</v>
      </c>
      <c r="K2327" s="38" t="n">
        <f aca="false">Sens!$K$2304*(Sens!$K$2309+tk_fac*(1-colo_sh))/1000+Sens!$K$2328</f>
        <v>138.248156309061</v>
      </c>
      <c r="L2327" s="38" t="n">
        <f aca="false">Sens!$L$2304*(Sens!$L$2309+tk_fac*(1-colo_sh))/1000+Sens!$L$2328</f>
        <v>116.374447854472</v>
      </c>
      <c r="M2327" s="38" t="n">
        <f aca="false">Sens!$M$2304*(Sens!$M$2309+tk_fac*(1-colo_sh))/1000+Sens!$M$2328</f>
        <v>114.695030891708</v>
      </c>
      <c r="P2327" s="5" t="s">
        <v>636</v>
      </c>
      <c r="R2327" s="38" t="n">
        <f aca="false">Q!$C$46-cx_rt*Q!$C$16-cx_awso*(Q!$C$7-mw_ye23/2*rpm_open/1000)</f>
        <v>1.50429979529945</v>
      </c>
      <c r="S2327" s="38" t="n">
        <f aca="false">Sens!$C$2327</f>
        <v>25.2781053077374</v>
      </c>
      <c r="T2327" s="38" t="n">
        <f aca="false">Sens!$D$2327</f>
        <v>69.5686316310026</v>
      </c>
      <c r="U2327" s="38" t="n">
        <f aca="false">Sens!$G$2327</f>
        <v>152.906471109724</v>
      </c>
      <c r="V2327" s="38" t="n">
        <f aca="false">Sens!$H$2327</f>
        <v>176.6039130979</v>
      </c>
      <c r="W2327" s="38" t="n">
        <f aca="false">Sens!$I$2327</f>
        <v>182.67901806365</v>
      </c>
      <c r="X2327" s="38" t="n">
        <f aca="false">Sens!$J$2327</f>
        <v>187.19044872365</v>
      </c>
      <c r="Y2327" s="38" t="n">
        <f aca="false">Sens!$K$2327</f>
        <v>138.248156309061</v>
      </c>
      <c r="Z2327" s="38" t="n">
        <f aca="false">Sens!$L$2327</f>
        <v>116.374447854472</v>
      </c>
      <c r="AA2327" s="38" t="n">
        <f aca="false">Sens!$M$2327</f>
        <v>114.695030891708</v>
      </c>
    </row>
    <row r="2328" customFormat="false" ht="17.15" hidden="false" customHeight="false" outlineLevel="0" collapsed="false">
      <c r="A2328" s="0" t="s">
        <v>637</v>
      </c>
      <c r="B2328" s="0" t="s">
        <v>86</v>
      </c>
      <c r="H2328" s="38" t="n">
        <f aca="false">SUMPRODUCT(--(Sens!$R$2297:$AA$2297=2027-tk_life),Sens!$R$2304:$AA$2304)*Sens!$H$2309/1000</f>
        <v>0</v>
      </c>
      <c r="I2328" s="38" t="n">
        <f aca="false">SUMPRODUCT(--(Sens!$R$2297:$AA$2297=2028-tk_life),Sens!$R$2304:$AA$2304)*Sens!$I$2309/1000</f>
        <v>0</v>
      </c>
      <c r="J2328" s="38" t="n">
        <f aca="false">SUMPRODUCT(--(Sens!$R$2297:$AA$2297=2029-tk_life),Sens!$R$2304:$AA$2304)*Sens!$J$2309/1000</f>
        <v>4.51143066</v>
      </c>
      <c r="K2328" s="38" t="n">
        <f aca="false">SUMPRODUCT(--(Sens!$R$2297:$AA$2297=2030-tk_life),Sens!$R$2304:$AA$2304)*Sens!$K$2309/1000</f>
        <v>9.02286132</v>
      </c>
      <c r="L2328" s="38" t="n">
        <f aca="false">SUMPRODUCT(--(Sens!$R$2297:$AA$2297=2031-tk_life),Sens!$R$2304:$AA$2304)*Sens!$L$2309/1000</f>
        <v>40.60287594</v>
      </c>
      <c r="M2328" s="38" t="n">
        <f aca="false">SUMPRODUCT(--(Sens!$R$2297:$AA$2297=2032-tk_life),Sens!$R$2304:$AA$2304)*Sens!$M$2309/1000</f>
        <v>92.377182051825</v>
      </c>
    </row>
    <row r="2329" customFormat="false" ht="17.15" hidden="false" customHeight="false" outlineLevel="0" collapsed="false">
      <c r="A2329" s="0" t="s">
        <v>638</v>
      </c>
      <c r="B2329" s="0" t="s">
        <v>86</v>
      </c>
      <c r="C2329" s="38" t="n">
        <f aca="false">MIN(Sens!$C$2327,Sens!$C$2304*(tk_cx_h100+tk_fac*(1-colo_sh))/1000)</f>
        <v>11.2938642</v>
      </c>
      <c r="D2329" s="38" t="n">
        <f aca="false">MIN(Sens!$D$2327,Sens!$D$2304*(tk_cx_h100+tk_fac*(1-colo_sh))/1000)</f>
        <v>50.8223889</v>
      </c>
      <c r="E2329" s="38" t="n">
        <f aca="false">MIN(Sens!$E$2327,Sens!$E$2304*(Sens!$F$2309+tk_fac*(1-colo_sh))/1000)</f>
        <v>30.03011232</v>
      </c>
      <c r="F2329" s="38" t="n">
        <f aca="false">Sens!$F$2327</f>
        <v>88.7165504612134</v>
      </c>
      <c r="G2329" s="38" t="n">
        <f aca="false">Sens!$E$2329+Sens!$F$2329</f>
        <v>118.746662781213</v>
      </c>
      <c r="H2329" s="38" t="n">
        <f aca="false">Sens!$H$2327</f>
        <v>176.6039130979</v>
      </c>
      <c r="I2329" s="38" t="n">
        <f aca="false">Sens!$I$2327</f>
        <v>182.67901806365</v>
      </c>
      <c r="J2329" s="38" t="n">
        <f aca="false">Sens!$J$2327</f>
        <v>187.19044872365</v>
      </c>
      <c r="K2329" s="38" t="n">
        <f aca="false">Sens!$K$2327</f>
        <v>138.248156309061</v>
      </c>
      <c r="L2329" s="38" t="n">
        <f aca="false">Sens!$L$2327</f>
        <v>116.374447854472</v>
      </c>
      <c r="M2329" s="38" t="n">
        <f aca="false">Sens!$M$2327</f>
        <v>114.695030891708</v>
      </c>
      <c r="P2329" s="5" t="s">
        <v>639</v>
      </c>
      <c r="R2329" s="38" t="n">
        <f aca="false">MIN(Sens!$R$2327,Sens!$R$2304*(tk_cx_h100+tk_fac*(1-colo_sh))/1000)</f>
        <v>1.50429979529945</v>
      </c>
      <c r="S2329" s="38" t="n">
        <f aca="false">Sens!$C$2329</f>
        <v>11.2938642</v>
      </c>
      <c r="T2329" s="38" t="n">
        <f aca="false">Sens!$D$2329</f>
        <v>50.8223889</v>
      </c>
      <c r="U2329" s="38" t="n">
        <f aca="false">Sens!$G$2329</f>
        <v>118.746662781213</v>
      </c>
      <c r="V2329" s="38" t="n">
        <f aca="false">Sens!$H$2329</f>
        <v>176.6039130979</v>
      </c>
      <c r="W2329" s="38" t="n">
        <f aca="false">Sens!$I$2329</f>
        <v>182.67901806365</v>
      </c>
      <c r="X2329" s="38" t="n">
        <f aca="false">Sens!$J$2329</f>
        <v>187.19044872365</v>
      </c>
      <c r="Y2329" s="38" t="n">
        <f aca="false">Sens!$K$2329</f>
        <v>138.248156309061</v>
      </c>
      <c r="Z2329" s="38" t="n">
        <f aca="false">Sens!$L$2329</f>
        <v>116.374447854472</v>
      </c>
      <c r="AA2329" s="38" t="n">
        <f aca="false">Sens!$M$2329</f>
        <v>114.695030891708</v>
      </c>
    </row>
    <row r="2330" customFormat="false" ht="17.15" hidden="false" customHeight="false" outlineLevel="0" collapsed="false">
      <c r="A2330" s="5" t="s">
        <v>640</v>
      </c>
      <c r="B2330" s="0" t="s">
        <v>86</v>
      </c>
      <c r="C2330" s="38" t="n">
        <f aca="false">Sens!$C$2327-Sens!$C$2329</f>
        <v>13.9842411077374</v>
      </c>
      <c r="D2330" s="38" t="n">
        <f aca="false">Sens!$D$2327-Sens!$D$2329</f>
        <v>18.7462427310026</v>
      </c>
      <c r="E2330" s="38" t="n">
        <f aca="false">Sens!$E$2327-Sens!$E$2329</f>
        <v>34.1598083285108</v>
      </c>
      <c r="F2330" s="38" t="n">
        <f aca="false">Sens!$F$2327-Sens!$F$2329</f>
        <v>0</v>
      </c>
      <c r="G2330" s="38" t="n">
        <f aca="false">Sens!$G$2327-Sens!$G$2329</f>
        <v>34.1598083285108</v>
      </c>
      <c r="H2330" s="38" t="n">
        <f aca="false">Sens!$H$2327-Sens!$H$2329</f>
        <v>0</v>
      </c>
      <c r="I2330" s="38" t="n">
        <f aca="false">Sens!$I$2327-Sens!$I$2329</f>
        <v>0</v>
      </c>
      <c r="J2330" s="38" t="n">
        <f aca="false">Sens!$J$2327-Sens!$J$2329</f>
        <v>0</v>
      </c>
      <c r="K2330" s="38" t="n">
        <f aca="false">Sens!$K$2327-Sens!$K$2329</f>
        <v>0</v>
      </c>
      <c r="L2330" s="38" t="n">
        <f aca="false">Sens!$L$2327-Sens!$L$2329</f>
        <v>0</v>
      </c>
      <c r="M2330" s="38" t="n">
        <f aca="false">Sens!$M$2327-Sens!$M$2329</f>
        <v>0</v>
      </c>
      <c r="P2330" s="5" t="s">
        <v>641</v>
      </c>
      <c r="R2330" s="38" t="n">
        <f aca="false">Sens!$R$2327-Sens!$R$2329</f>
        <v>0</v>
      </c>
      <c r="S2330" s="38" t="n">
        <f aca="false">Sens!$S$2327-Sens!$S$2329</f>
        <v>13.9842411077374</v>
      </c>
      <c r="T2330" s="38" t="n">
        <f aca="false">Sens!$T$2327-Sens!$T$2329</f>
        <v>18.7462427310026</v>
      </c>
      <c r="U2330" s="38" t="n">
        <f aca="false">Sens!$U$2327-Sens!$U$2329</f>
        <v>34.1598083285108</v>
      </c>
      <c r="V2330" s="38" t="n">
        <f aca="false">Sens!$V$2327-Sens!$V$2329</f>
        <v>0</v>
      </c>
      <c r="W2330" s="38" t="n">
        <f aca="false">Sens!$W$2327-Sens!$W$2329</f>
        <v>0</v>
      </c>
      <c r="X2330" s="38" t="n">
        <f aca="false">Sens!$X$2327-Sens!$X$2329</f>
        <v>0</v>
      </c>
      <c r="Y2330" s="38" t="n">
        <f aca="false">Sens!$Y$2327-Sens!$Y$2329</f>
        <v>0</v>
      </c>
      <c r="Z2330" s="38" t="n">
        <f aca="false">Sens!$Z$2327-Sens!$Z$2329</f>
        <v>0</v>
      </c>
      <c r="AA2330" s="38" t="n">
        <f aca="false">Sens!$AA$2327-Sens!$AA$2329</f>
        <v>0</v>
      </c>
    </row>
    <row r="2331" customFormat="false" ht="17.15" hidden="false" customHeight="false" outlineLevel="0" collapsed="false">
      <c r="A2331" s="5" t="s">
        <v>642</v>
      </c>
      <c r="B2331" s="0" t="s">
        <v>86</v>
      </c>
      <c r="R2331" s="38" t="n">
        <f aca="false">Sens!$R$2330*Sens!$C$2326</f>
        <v>0</v>
      </c>
      <c r="S2331" s="38" t="n">
        <f aca="false">Sens!$S$2330*Sens!$C$2326</f>
        <v>10.219074499801</v>
      </c>
      <c r="T2331" s="38" t="n">
        <f aca="false">Sens!$T$2330*Sens!$C$2326</f>
        <v>13.6989379390402</v>
      </c>
      <c r="U2331" s="38" t="n">
        <f aca="false">Sens!$U$2330*Sens!$E$2326</f>
        <v>24.9358983137037</v>
      </c>
      <c r="V2331" s="38" t="n">
        <f aca="false">Sens!$V$2330*Sens!$E$2326</f>
        <v>0</v>
      </c>
      <c r="W2331" s="38" t="n">
        <f aca="false">Sens!$W$2330*Sens!$E$2326</f>
        <v>0</v>
      </c>
      <c r="X2331" s="38" t="n">
        <f aca="false">Sens!$X$2330*Sens!$E$2326</f>
        <v>0</v>
      </c>
      <c r="Y2331" s="38" t="n">
        <f aca="false">Sens!$Y$2330*Sens!$E$2326</f>
        <v>0</v>
      </c>
      <c r="Z2331" s="38" t="n">
        <f aca="false">Sens!$Z$2330*Sens!$E$2326</f>
        <v>0</v>
      </c>
      <c r="AA2331" s="38" t="n">
        <f aca="false">Sens!$AA$2330*Sens!$E$2326</f>
        <v>0</v>
      </c>
    </row>
    <row r="2332" customFormat="false" ht="17.15" hidden="false" customHeight="false" outlineLevel="0" collapsed="false">
      <c r="A2332" s="5" t="s">
        <v>643</v>
      </c>
      <c r="B2332" s="0" t="s">
        <v>86</v>
      </c>
      <c r="R2332" s="38" t="n">
        <f aca="false">SUMPRODUCT(--(Sens!$R$2297:$AA$2297=2023-cip_lag),Sens!$R$2331:$AA$2331)</f>
        <v>0</v>
      </c>
      <c r="S2332" s="38" t="n">
        <f aca="false">SUMPRODUCT(--(Sens!$R$2297:$AA$2297=2024-cip_lag),Sens!$R$2331:$AA$2331)</f>
        <v>0</v>
      </c>
      <c r="T2332" s="38" t="n">
        <f aca="false">SUMPRODUCT(--(Sens!$R$2297:$AA$2297=2025-cip_lag),Sens!$R$2331:$AA$2331)</f>
        <v>10.219074499801</v>
      </c>
      <c r="U2332" s="38" t="n">
        <f aca="false">SUMPRODUCT(--(Sens!$R$2297:$AA$2297=2026-cip_lag),Sens!$R$2331:$AA$2331)</f>
        <v>13.6989379390402</v>
      </c>
      <c r="V2332" s="38" t="n">
        <f aca="false">SUMPRODUCT(--(Sens!$R$2297:$AA$2297=2027-cip_lag),Sens!$R$2331:$AA$2331)</f>
        <v>24.9358983137037</v>
      </c>
      <c r="W2332" s="38" t="n">
        <f aca="false">SUMPRODUCT(--(Sens!$R$2297:$AA$2297=2028-cip_lag),Sens!$R$2331:$AA$2331)</f>
        <v>0</v>
      </c>
      <c r="X2332" s="38" t="n">
        <f aca="false">SUMPRODUCT(--(Sens!$R$2297:$AA$2297=2029-cip_lag),Sens!$R$2331:$AA$2331)</f>
        <v>0</v>
      </c>
      <c r="Y2332" s="38" t="n">
        <f aca="false">SUMPRODUCT(--(Sens!$R$2297:$AA$2297=2030-cip_lag),Sens!$R$2331:$AA$2331)</f>
        <v>0</v>
      </c>
      <c r="Z2332" s="38" t="n">
        <f aca="false">SUMPRODUCT(--(Sens!$R$2297:$AA$2297=2031-cip_lag),Sens!$R$2331:$AA$2331)</f>
        <v>0</v>
      </c>
      <c r="AA2332" s="38" t="n">
        <f aca="false">SUMPRODUCT(--(Sens!$R$2297:$AA$2297=2032-cip_lag),Sens!$R$2331:$AA$2331)</f>
        <v>0</v>
      </c>
    </row>
    <row r="2333" customFormat="false" ht="15" hidden="false" customHeight="false" outlineLevel="0" collapsed="false">
      <c r="A2333" s="5" t="s">
        <v>644</v>
      </c>
      <c r="B2333" s="0" t="s">
        <v>86</v>
      </c>
      <c r="R2333" s="38" t="n">
        <f aca="false">SUMPRODUCT(--(Sens!$R$2297:$AA$2297=2023-cip_lag),Sens!$R$2330:$AA$2330)-Sens!$R$2332</f>
        <v>0</v>
      </c>
      <c r="S2333" s="38" t="n">
        <f aca="false">SUMPRODUCT(--(Sens!$R$2297:$AA$2297=2024-cip_lag),Sens!$R$2330:$AA$2330)-Sens!$S$2332</f>
        <v>0</v>
      </c>
      <c r="T2333" s="38" t="n">
        <f aca="false">SUMPRODUCT(--(Sens!$R$2297:$AA$2297=2025-cip_lag),Sens!$R$2330:$AA$2330)-Sens!$T$2332</f>
        <v>3.76516660793636</v>
      </c>
      <c r="U2333" s="38" t="n">
        <f aca="false">SUMPRODUCT(--(Sens!$R$2297:$AA$2297=2026-cip_lag),Sens!$R$2330:$AA$2330)-Sens!$U$2332</f>
        <v>5.04730479196242</v>
      </c>
      <c r="V2333" s="38" t="n">
        <f aca="false">SUMPRODUCT(--(Sens!$R$2297:$AA$2297=2027-cip_lag),Sens!$R$2330:$AA$2330)-Sens!$V$2332</f>
        <v>9.22391001480704</v>
      </c>
      <c r="W2333" s="38" t="n">
        <f aca="false">SUMPRODUCT(--(Sens!$R$2297:$AA$2297=2028-cip_lag),Sens!$R$2330:$AA$2330)-Sens!$W$2332</f>
        <v>0</v>
      </c>
      <c r="X2333" s="38" t="n">
        <f aca="false">SUMPRODUCT(--(Sens!$R$2297:$AA$2297=2029-cip_lag),Sens!$R$2330:$AA$2330)-Sens!$X$2332</f>
        <v>0</v>
      </c>
      <c r="Y2333" s="38" t="n">
        <f aca="false">SUMPRODUCT(--(Sens!$R$2297:$AA$2297=2030-cip_lag),Sens!$R$2330:$AA$2330)-Sens!$Y$2332</f>
        <v>0</v>
      </c>
      <c r="Z2333" s="38" t="n">
        <f aca="false">SUMPRODUCT(--(Sens!$R$2297:$AA$2297=2031-cip_lag),Sens!$R$2330:$AA$2330)-Sens!$Z$2332</f>
        <v>0</v>
      </c>
      <c r="AA2333" s="38" t="n">
        <f aca="false">SUMPRODUCT(--(Sens!$R$2297:$AA$2297=2032-cip_lag),Sens!$R$2330:$AA$2330)-Sens!$AA$2332</f>
        <v>0</v>
      </c>
    </row>
    <row r="2334" customFormat="false" ht="17.15" hidden="false" customHeight="false" outlineLevel="0" collapsed="false">
      <c r="A2334" s="5" t="s">
        <v>645</v>
      </c>
      <c r="B2334" s="0" t="s">
        <v>86</v>
      </c>
      <c r="C2334" s="38" t="n">
        <f aca="false">Sens!$C$2329*Sens!$C$2326</f>
        <v>8.2530642</v>
      </c>
      <c r="D2334" s="38" t="n">
        <f aca="false">Sens!$D$2329*Sens!$D$2326</f>
        <v>37.1387889</v>
      </c>
      <c r="E2334" s="38" t="n">
        <f aca="false">Sens!$E$2329*Sens!$E$2326</f>
        <v>21.92131232</v>
      </c>
      <c r="F2334" s="38" t="n">
        <f aca="false">Sens!$F$2329*Sens!$F$2326</f>
        <v>64.7611034514206</v>
      </c>
      <c r="G2334" s="38" t="n">
        <f aca="false">Sens!$E$2334+Sens!$F$2334</f>
        <v>86.6824157714206</v>
      </c>
      <c r="H2334" s="38" t="n">
        <f aca="false">(Sens!$H$2329-Sens!$H$2328)*Sens!$H$2326+Sens!$H$2328</f>
        <v>130.5573320979</v>
      </c>
      <c r="I2334" s="38" t="n">
        <f aca="false">(Sens!$I$2329-Sens!$I$2328)*Sens!$I$2326+Sens!$I$2328</f>
        <v>136.63243706365</v>
      </c>
      <c r="J2334" s="38" t="n">
        <f aca="false">(Sens!$J$2329-Sens!$J$2328)*Sens!$J$2326+Sens!$J$2328</f>
        <v>141.14386772365</v>
      </c>
      <c r="K2334" s="38" t="n">
        <f aca="false">(Sens!$K$2329-Sens!$K$2328)*Sens!$K$2326+Sens!$K$2328</f>
        <v>105.675269307394</v>
      </c>
      <c r="L2334" s="38" t="n">
        <f aca="false">(Sens!$L$2329-Sens!$L$2328)*Sens!$L$2326+Sens!$L$2328</f>
        <v>97.2752548511389</v>
      </c>
      <c r="M2334" s="38" t="n">
        <f aca="false">(Sens!$M$2329-Sens!$M$2328)*Sens!$M$2326+Sens!$M$2328</f>
        <v>109.069531886708</v>
      </c>
      <c r="R2334" s="38" t="n">
        <f aca="false">Sens!$R$2329*Sens!$C$2326</f>
        <v>1.09927679019314</v>
      </c>
      <c r="S2334" s="38" t="n">
        <f aca="false">Sens!$C$2334</f>
        <v>8.2530642</v>
      </c>
      <c r="T2334" s="38" t="n">
        <f aca="false">Sens!$D$2334</f>
        <v>37.1387889</v>
      </c>
      <c r="U2334" s="38" t="n">
        <f aca="false">Sens!$G$2334</f>
        <v>86.6824157714206</v>
      </c>
      <c r="V2334" s="38" t="n">
        <f aca="false">Sens!$H$2334</f>
        <v>130.5573320979</v>
      </c>
      <c r="W2334" s="38" t="n">
        <f aca="false">Sens!$I$2334</f>
        <v>136.63243706365</v>
      </c>
      <c r="X2334" s="38" t="n">
        <f aca="false">Sens!$J$2334</f>
        <v>141.14386772365</v>
      </c>
      <c r="Y2334" s="38" t="n">
        <f aca="false">Sens!$K$2334</f>
        <v>105.675269307394</v>
      </c>
      <c r="Z2334" s="38" t="n">
        <f aca="false">Sens!$L$2334</f>
        <v>97.2752548511389</v>
      </c>
      <c r="AA2334" s="38" t="n">
        <f aca="false">Sens!$M$2334</f>
        <v>109.069531886708</v>
      </c>
    </row>
    <row r="2335" customFormat="false" ht="15" hidden="false" customHeight="false" outlineLevel="0" collapsed="false">
      <c r="A2335" s="5" t="s">
        <v>646</v>
      </c>
      <c r="B2335" s="0" t="s">
        <v>86</v>
      </c>
      <c r="C2335" s="38" t="n">
        <f aca="false">Sens!$C$2329-Sens!$C$2334</f>
        <v>3.0408</v>
      </c>
      <c r="D2335" s="38" t="n">
        <f aca="false">Sens!$D$2329-Sens!$D$2334</f>
        <v>13.6836</v>
      </c>
      <c r="E2335" s="38" t="n">
        <f aca="false">Sens!$E$2329-Sens!$E$2334</f>
        <v>8.1088</v>
      </c>
      <c r="F2335" s="38" t="n">
        <f aca="false">Sens!$F$2329-Sens!$F$2334</f>
        <v>23.9554470097929</v>
      </c>
      <c r="G2335" s="38" t="n">
        <f aca="false">Sens!$G$2329-Sens!$G$2334</f>
        <v>32.0642470097929</v>
      </c>
      <c r="H2335" s="38" t="n">
        <f aca="false">Sens!$H$2329-Sens!$H$2334</f>
        <v>46.046581</v>
      </c>
      <c r="I2335" s="38" t="n">
        <f aca="false">Sens!$I$2329-Sens!$I$2334</f>
        <v>46.046581</v>
      </c>
      <c r="J2335" s="38" t="n">
        <f aca="false">Sens!$J$2329-Sens!$J$2334</f>
        <v>46.046581</v>
      </c>
      <c r="K2335" s="38" t="n">
        <f aca="false">Sens!$K$2329-Sens!$K$2334</f>
        <v>32.5728870016667</v>
      </c>
      <c r="L2335" s="38" t="n">
        <f aca="false">Sens!$L$2329-Sens!$L$2334</f>
        <v>19.0991930033333</v>
      </c>
      <c r="M2335" s="38" t="n">
        <f aca="false">Sens!$M$2329-Sens!$M$2334</f>
        <v>5.62549900499998</v>
      </c>
      <c r="R2335" s="38" t="n">
        <f aca="false">Sens!$R$2329-Sens!$R$2334</f>
        <v>0.405023005106309</v>
      </c>
      <c r="S2335" s="38" t="n">
        <f aca="false">Sens!$S$2329-Sens!$S$2334</f>
        <v>3.0408</v>
      </c>
      <c r="T2335" s="38" t="n">
        <f aca="false">Sens!$T$2329-Sens!$T$2334</f>
        <v>13.6836</v>
      </c>
      <c r="U2335" s="38" t="n">
        <f aca="false">Sens!$U$2329-Sens!$U$2334</f>
        <v>32.0642470097929</v>
      </c>
      <c r="V2335" s="38" t="n">
        <f aca="false">Sens!$V$2329-Sens!$V$2334</f>
        <v>46.046581</v>
      </c>
      <c r="W2335" s="38" t="n">
        <f aca="false">Sens!$W$2329-Sens!$W$2334</f>
        <v>46.046581</v>
      </c>
      <c r="X2335" s="38" t="n">
        <f aca="false">Sens!$X$2329-Sens!$X$2334</f>
        <v>46.046581</v>
      </c>
      <c r="Y2335" s="38" t="n">
        <f aca="false">Sens!$Y$2329-Sens!$Y$2334</f>
        <v>32.5728870016667</v>
      </c>
      <c r="Z2335" s="38" t="n">
        <f aca="false">Sens!$Z$2329-Sens!$Z$2334</f>
        <v>19.0991930033333</v>
      </c>
      <c r="AA2335" s="38" t="n">
        <f aca="false">Sens!$AA$2329-Sens!$AA$2334</f>
        <v>5.62549900499998</v>
      </c>
    </row>
    <row r="2336" customFormat="false" ht="17.15" hidden="false" customHeight="false" outlineLevel="0" collapsed="false">
      <c r="A2336" s="0" t="s">
        <v>647</v>
      </c>
      <c r="B2336" s="0" t="s">
        <v>52</v>
      </c>
      <c r="C2336" s="13" t="n">
        <f aca="false">Sens!$C$2327/Sens!$C$2452</f>
        <v>0.325505489553393</v>
      </c>
      <c r="D2336" s="13" t="n">
        <f aca="false">Sens!$D$2327/Sens!$D$2452</f>
        <v>0.54214956071542</v>
      </c>
      <c r="E2336" s="13" t="n">
        <f aca="false">Sens!$E$2327/Sens!$E$2452</f>
        <v>0.666492790452817</v>
      </c>
      <c r="F2336" s="13" t="n">
        <f aca="false">Sens!$F$2327/Sens!$F$2452</f>
        <v>0.71724917504417</v>
      </c>
      <c r="G2336" s="13" t="n">
        <f aca="false">Sens!$G$2327/Sens!$G$2452</f>
        <v>0.69502941413511</v>
      </c>
      <c r="H2336" s="13" t="n">
        <f aca="false">Sens!$H$2327/Sens!$H$2452</f>
        <v>0.702467146412309</v>
      </c>
      <c r="I2336" s="13" t="n">
        <f aca="false">Sens!$I$2327/Sens!$I$2452</f>
        <v>0.689317430952133</v>
      </c>
      <c r="J2336" s="13" t="n">
        <f aca="false">Sens!$J$2327/Sens!$J$2452</f>
        <v>0.67669701651978</v>
      </c>
      <c r="K2336" s="13" t="n">
        <f aca="false">Sens!$K$2327/Sens!$K$2452</f>
        <v>0.590635183942374</v>
      </c>
      <c r="L2336" s="13" t="n">
        <f aca="false">Sens!$L$2327/Sens!$L$2452</f>
        <v>0.531252781967278</v>
      </c>
      <c r="M2336" s="13" t="n">
        <f aca="false">Sens!$M$2327/Sens!$M$2452</f>
        <v>0.510309673068721</v>
      </c>
    </row>
    <row r="2337" customFormat="false" ht="17.15" hidden="false" customHeight="false" outlineLevel="0" collapsed="false">
      <c r="A2337" s="0" t="s">
        <v>648</v>
      </c>
      <c r="B2337" s="0" t="s">
        <v>86</v>
      </c>
      <c r="C2337" s="38" t="n">
        <f aca="false">Sens!$S$2337</f>
        <v>0.183212798365523</v>
      </c>
      <c r="D2337" s="38" t="n">
        <f aca="false">Sens!$T$2337</f>
        <v>1.55872349836552</v>
      </c>
      <c r="E2337" s="38" t="n">
        <f aca="false">Sens!$G$2337/2</f>
        <v>4.72585036583285</v>
      </c>
      <c r="F2337" s="38" t="n">
        <f aca="false">Sens!$G$2337/2</f>
        <v>4.72585036583285</v>
      </c>
      <c r="G2337" s="38" t="n">
        <f aca="false">Sens!$U$2337</f>
        <v>9.4517007316657</v>
      </c>
      <c r="H2337" s="38" t="n">
        <f aca="false">Sens!$V$2337</f>
        <v>26.1819263500758</v>
      </c>
      <c r="I2337" s="38" t="n">
        <f aca="false">Sens!$W$2337</f>
        <v>52.0974647520098</v>
      </c>
      <c r="J2337" s="38" t="n">
        <f aca="false">Sens!$X$2337</f>
        <v>74.8695375959515</v>
      </c>
      <c r="K2337" s="38" t="n">
        <f aca="false">Sens!$Y$2337</f>
        <v>98.2103027515276</v>
      </c>
      <c r="L2337" s="38" t="n">
        <f aca="false">Sens!$Z$2337</f>
        <v>114.447336936093</v>
      </c>
      <c r="M2337" s="38" t="n">
        <f aca="false">Sens!$AA$2337</f>
        <v>122.766902177983</v>
      </c>
      <c r="N2337" s="38" t="n">
        <f aca="false">Sens!$D$2337/2</f>
        <v>0.779361749182762</v>
      </c>
      <c r="O2337" s="38" t="n">
        <f aca="false">Sens!$D$2337/2</f>
        <v>0.779361749182762</v>
      </c>
      <c r="R2337" s="38" t="n">
        <f aca="false">(SUMPRODUCT(--(Sens!$R$2297:$AA$2297&lt;Sens!R$2297),--(Sens!$R$2297:$AA$2297&gt;=Sens!R$2297-tk_life),Sens!$R$2334:$AA$2334)+SUMPRODUCT(--(Sens!$R$2297:$AA$2297&lt;Sens!R$2297),--(Sens!$R$2297:$AA$2297&gt;=Sens!R$2297-tk_life),Sens!$R$2332:$AA$2332))/tk_life</f>
        <v>0</v>
      </c>
      <c r="S2337" s="38" t="n">
        <f aca="false">(SUMPRODUCT(--(Sens!$R$2297:$AA$2297&lt;Sens!S$2297),--(Sens!$R$2297:$AA$2297&gt;=Sens!S$2297-tk_life),Sens!$R$2334:$AA$2334)+SUMPRODUCT(--(Sens!$R$2297:$AA$2297&lt;Sens!S$2297),--(Sens!$R$2297:$AA$2297&gt;=Sens!S$2297-tk_life),Sens!$R$2332:$AA$2332))/tk_life</f>
        <v>0.183212798365523</v>
      </c>
      <c r="T2337" s="38" t="n">
        <f aca="false">(SUMPRODUCT(--(Sens!$R$2297:$AA$2297&lt;Sens!T$2297),--(Sens!$R$2297:$AA$2297&gt;=Sens!T$2297-tk_life),Sens!$R$2334:$AA$2334)+SUMPRODUCT(--(Sens!$R$2297:$AA$2297&lt;Sens!T$2297),--(Sens!$R$2297:$AA$2297&gt;=Sens!T$2297-tk_life),Sens!$R$2332:$AA$2332))/tk_life</f>
        <v>1.55872349836552</v>
      </c>
      <c r="U2337" s="38" t="n">
        <f aca="false">(SUMPRODUCT(--(Sens!$R$2297:$AA$2297&lt;Sens!U$2297),--(Sens!$R$2297:$AA$2297&gt;=Sens!U$2297-tk_life),Sens!$R$2334:$AA$2334)+SUMPRODUCT(--(Sens!$R$2297:$AA$2297&lt;Sens!U$2297),--(Sens!$R$2297:$AA$2297&gt;=Sens!U$2297-tk_life),Sens!$R$2332:$AA$2332))/tk_life</f>
        <v>9.4517007316657</v>
      </c>
      <c r="V2337" s="38" t="n">
        <f aca="false">(SUMPRODUCT(--(Sens!$R$2297:$AA$2297&lt;Sens!V$2297),--(Sens!$R$2297:$AA$2297&gt;=Sens!V$2297-tk_life),Sens!$R$2334:$AA$2334)+SUMPRODUCT(--(Sens!$R$2297:$AA$2297&lt;Sens!V$2297),--(Sens!$R$2297:$AA$2297&gt;=Sens!V$2297-tk_life),Sens!$R$2332:$AA$2332))/tk_life</f>
        <v>26.1819263500758</v>
      </c>
      <c r="W2337" s="38" t="n">
        <f aca="false">(SUMPRODUCT(--(Sens!$R$2297:$AA$2297&lt;Sens!W$2297),--(Sens!$R$2297:$AA$2297&gt;=Sens!W$2297-tk_life),Sens!$R$2334:$AA$2334)+SUMPRODUCT(--(Sens!$R$2297:$AA$2297&lt;Sens!W$2297),--(Sens!$R$2297:$AA$2297&gt;=Sens!W$2297-tk_life),Sens!$R$2332:$AA$2332))/tk_life</f>
        <v>52.0974647520098</v>
      </c>
      <c r="X2337" s="38" t="n">
        <f aca="false">(SUMPRODUCT(--(Sens!$R$2297:$AA$2297&lt;Sens!X$2297),--(Sens!$R$2297:$AA$2297&gt;=Sens!X$2297-tk_life),Sens!$R$2334:$AA$2334)+SUMPRODUCT(--(Sens!$R$2297:$AA$2297&lt;Sens!X$2297),--(Sens!$R$2297:$AA$2297&gt;=Sens!X$2297-tk_life),Sens!$R$2332:$AA$2332))/tk_life</f>
        <v>74.8695375959515</v>
      </c>
      <c r="Y2337" s="38" t="n">
        <f aca="false">(SUMPRODUCT(--(Sens!$R$2297:$AA$2297&lt;Sens!Y$2297),--(Sens!$R$2297:$AA$2297&gt;=Sens!Y$2297-tk_life),Sens!$R$2334:$AA$2334)+SUMPRODUCT(--(Sens!$R$2297:$AA$2297&lt;Sens!Y$2297),--(Sens!$R$2297:$AA$2297&gt;=Sens!Y$2297-tk_life),Sens!$R$2332:$AA$2332))/tk_life</f>
        <v>98.2103027515276</v>
      </c>
      <c r="Z2337" s="38" t="n">
        <f aca="false">(SUMPRODUCT(--(Sens!$R$2297:$AA$2297&lt;Sens!Z$2297),--(Sens!$R$2297:$AA$2297&gt;=Sens!Z$2297-tk_life),Sens!$R$2334:$AA$2334)+SUMPRODUCT(--(Sens!$R$2297:$AA$2297&lt;Sens!Z$2297),--(Sens!$R$2297:$AA$2297&gt;=Sens!Z$2297-tk_life),Sens!$R$2332:$AA$2332))/tk_life</f>
        <v>114.447336936093</v>
      </c>
      <c r="AA2337" s="38" t="n">
        <f aca="false">(SUMPRODUCT(--(Sens!$R$2297:$AA$2297&lt;Sens!AA$2297),--(Sens!$R$2297:$AA$2297&gt;=Sens!AA$2297-tk_life),Sens!$R$2334:$AA$2334)+SUMPRODUCT(--(Sens!$R$2297:$AA$2297&lt;Sens!AA$2297),--(Sens!$R$2297:$AA$2297&gt;=Sens!AA$2297-tk_life),Sens!$R$2332:$AA$2332))/tk_life</f>
        <v>122.766902177983</v>
      </c>
    </row>
    <row r="2338" customFormat="false" ht="17.15" hidden="false" customHeight="false" outlineLevel="0" collapsed="false">
      <c r="A2338" s="0" t="s">
        <v>649</v>
      </c>
      <c r="B2338" s="0" t="s">
        <v>86</v>
      </c>
      <c r="C2338" s="38" t="n">
        <f aca="false">Sens!$S$2338</f>
        <v>0.0202511502553155</v>
      </c>
      <c r="D2338" s="38" t="n">
        <f aca="false">Sens!$T$2338</f>
        <v>0.172291150255315</v>
      </c>
      <c r="E2338" s="38" t="n">
        <f aca="false">Sens!$G$2338/2</f>
        <v>0.522364740326067</v>
      </c>
      <c r="F2338" s="38" t="n">
        <f aca="false">Sens!$G$2338/2</f>
        <v>0.522364740326067</v>
      </c>
      <c r="G2338" s="38" t="n">
        <f aca="false">Sens!$U$2338</f>
        <v>1.04472948065213</v>
      </c>
      <c r="H2338" s="38" t="n">
        <f aca="false">Sens!$V$2338</f>
        <v>2.9003070707399</v>
      </c>
      <c r="I2338" s="38" t="n">
        <f aca="false">Sens!$W$2338</f>
        <v>5.66383162148025</v>
      </c>
      <c r="J2338" s="38" t="n">
        <f aca="false">Sens!$X$2338</f>
        <v>7.96616067148025</v>
      </c>
      <c r="K2338" s="38" t="n">
        <f aca="false">Sens!$Y$2338</f>
        <v>10.2684897214802</v>
      </c>
      <c r="L2338" s="38" t="n">
        <f aca="false">Sens!$Z$2338</f>
        <v>11.8971340715636</v>
      </c>
      <c r="M2338" s="38" t="n">
        <f aca="false">Sens!$AA$2338</f>
        <v>12.8520937217302</v>
      </c>
      <c r="N2338" s="38" t="n">
        <f aca="false">Sens!$D$2338/2</f>
        <v>0.0861455751276577</v>
      </c>
      <c r="O2338" s="38" t="n">
        <f aca="false">Sens!$D$2338/2</f>
        <v>0.0861455751276577</v>
      </c>
      <c r="R2338" s="38" t="n">
        <f aca="false">(SUMPRODUCT(--(Sens!$R$2297:$AA$2297&lt;Sens!R$2297),Sens!$R$2335:$AA$2335)+SUMPRODUCT(--(Sens!$R$2297:$AA$2297&lt;Sens!R$2297),Sens!$R$2333:$AA$2333))/fac_life</f>
        <v>0</v>
      </c>
      <c r="S2338" s="38" t="n">
        <f aca="false">(SUMPRODUCT(--(Sens!$R$2297:$AA$2297&lt;Sens!S$2297),Sens!$R$2335:$AA$2335)+SUMPRODUCT(--(Sens!$R$2297:$AA$2297&lt;Sens!S$2297),Sens!$R$2333:$AA$2333))/fac_life</f>
        <v>0.0202511502553155</v>
      </c>
      <c r="T2338" s="38" t="n">
        <f aca="false">(SUMPRODUCT(--(Sens!$R$2297:$AA$2297&lt;Sens!T$2297),Sens!$R$2335:$AA$2335)+SUMPRODUCT(--(Sens!$R$2297:$AA$2297&lt;Sens!T$2297),Sens!$R$2333:$AA$2333))/fac_life</f>
        <v>0.172291150255315</v>
      </c>
      <c r="U2338" s="38" t="n">
        <f aca="false">(SUMPRODUCT(--(Sens!$R$2297:$AA$2297&lt;Sens!U$2297),Sens!$R$2335:$AA$2335)+SUMPRODUCT(--(Sens!$R$2297:$AA$2297&lt;Sens!U$2297),Sens!$R$2333:$AA$2333))/fac_life</f>
        <v>1.04472948065213</v>
      </c>
      <c r="V2338" s="38" t="n">
        <f aca="false">(SUMPRODUCT(--(Sens!$R$2297:$AA$2297&lt;Sens!V$2297),Sens!$R$2335:$AA$2335)+SUMPRODUCT(--(Sens!$R$2297:$AA$2297&lt;Sens!V$2297),Sens!$R$2333:$AA$2333))/fac_life</f>
        <v>2.9003070707399</v>
      </c>
      <c r="W2338" s="38" t="n">
        <f aca="false">(SUMPRODUCT(--(Sens!$R$2297:$AA$2297&lt;Sens!W$2297),Sens!$R$2335:$AA$2335)+SUMPRODUCT(--(Sens!$R$2297:$AA$2297&lt;Sens!W$2297),Sens!$R$2333:$AA$2333))/fac_life</f>
        <v>5.66383162148025</v>
      </c>
      <c r="X2338" s="38" t="n">
        <f aca="false">(SUMPRODUCT(--(Sens!$R$2297:$AA$2297&lt;Sens!X$2297),Sens!$R$2335:$AA$2335)+SUMPRODUCT(--(Sens!$R$2297:$AA$2297&lt;Sens!X$2297),Sens!$R$2333:$AA$2333))/fac_life</f>
        <v>7.96616067148025</v>
      </c>
      <c r="Y2338" s="38" t="n">
        <f aca="false">(SUMPRODUCT(--(Sens!$R$2297:$AA$2297&lt;Sens!Y$2297),Sens!$R$2335:$AA$2335)+SUMPRODUCT(--(Sens!$R$2297:$AA$2297&lt;Sens!Y$2297),Sens!$R$2333:$AA$2333))/fac_life</f>
        <v>10.2684897214802</v>
      </c>
      <c r="Z2338" s="38" t="n">
        <f aca="false">(SUMPRODUCT(--(Sens!$R$2297:$AA$2297&lt;Sens!Z$2297),Sens!$R$2335:$AA$2335)+SUMPRODUCT(--(Sens!$R$2297:$AA$2297&lt;Sens!Z$2297),Sens!$R$2333:$AA$2333))/fac_life</f>
        <v>11.8971340715636</v>
      </c>
      <c r="AA2338" s="38" t="n">
        <f aca="false">(SUMPRODUCT(--(Sens!$R$2297:$AA$2297&lt;Sens!AA$2297),Sens!$R$2335:$AA$2335)+SUMPRODUCT(--(Sens!$R$2297:$AA$2297&lt;Sens!AA$2297),Sens!$R$2333:$AA$2333))/fac_life</f>
        <v>12.8520937217302</v>
      </c>
    </row>
    <row r="2339" customFormat="false" ht="17.15" hidden="false" customHeight="false" outlineLevel="0" collapsed="false">
      <c r="A2339" s="1" t="s">
        <v>650</v>
      </c>
      <c r="B2339" s="8" t="s">
        <v>86</v>
      </c>
      <c r="C2339" s="38" t="n">
        <f aca="false">Sens!$C$2337+Sens!$C$2338</f>
        <v>0.203463948620839</v>
      </c>
      <c r="D2339" s="38" t="n">
        <f aca="false">Sens!$D$2337+Sens!$D$2338</f>
        <v>1.73101464862084</v>
      </c>
      <c r="E2339" s="38" t="n">
        <f aca="false">Sens!$E$2337+Sens!$E$2338</f>
        <v>5.24821510615892</v>
      </c>
      <c r="F2339" s="38" t="n">
        <f aca="false">Sens!$F$2337+Sens!$F$2338</f>
        <v>5.24821510615892</v>
      </c>
      <c r="G2339" s="38" t="n">
        <f aca="false">Sens!$G$2337+Sens!$G$2338</f>
        <v>10.4964302123178</v>
      </c>
      <c r="H2339" s="38" t="n">
        <f aca="false">Sens!$H$2337+Sens!$H$2338</f>
        <v>29.0822334208157</v>
      </c>
      <c r="I2339" s="38" t="n">
        <f aca="false">Sens!$I$2337+Sens!$I$2338</f>
        <v>57.76129637349</v>
      </c>
      <c r="J2339" s="38" t="n">
        <f aca="false">Sens!$J$2337+Sens!$J$2338</f>
        <v>82.8356982674317</v>
      </c>
      <c r="K2339" s="38" t="n">
        <f aca="false">Sens!$K$2337+Sens!$K$2338</f>
        <v>108.478792473008</v>
      </c>
      <c r="L2339" s="38" t="n">
        <f aca="false">Sens!$L$2337+Sens!$L$2338</f>
        <v>126.344471007657</v>
      </c>
      <c r="M2339" s="38" t="n">
        <f aca="false">Sens!$M$2337+Sens!$M$2338</f>
        <v>135.618995899713</v>
      </c>
      <c r="N2339" s="38" t="n">
        <f aca="false">Sens!$N$2337+Sens!$N$2338</f>
        <v>0.865507324310419</v>
      </c>
      <c r="O2339" s="38" t="n">
        <f aca="false">Sens!$O$2337+Sens!$O$2338</f>
        <v>0.865507324310419</v>
      </c>
      <c r="R2339" s="38" t="n">
        <f aca="false">Sens!$R$2337+Sens!$R$2338</f>
        <v>0</v>
      </c>
      <c r="S2339" s="38" t="n">
        <f aca="false">Sens!$S$2337+Sens!$S$2338</f>
        <v>0.203463948620839</v>
      </c>
      <c r="T2339" s="38" t="n">
        <f aca="false">Sens!$T$2337+Sens!$T$2338</f>
        <v>1.73101464862084</v>
      </c>
      <c r="U2339" s="38" t="n">
        <f aca="false">Sens!$U$2337+Sens!$U$2338</f>
        <v>10.4964302123178</v>
      </c>
      <c r="V2339" s="38" t="n">
        <f aca="false">Sens!$V$2337+Sens!$V$2338</f>
        <v>29.0822334208157</v>
      </c>
      <c r="W2339" s="38" t="n">
        <f aca="false">Sens!$W$2337+Sens!$W$2338</f>
        <v>57.76129637349</v>
      </c>
      <c r="X2339" s="38" t="n">
        <f aca="false">Sens!$X$2337+Sens!$X$2338</f>
        <v>82.8356982674317</v>
      </c>
      <c r="Y2339" s="38" t="n">
        <f aca="false">Sens!$Y$2337+Sens!$Y$2338</f>
        <v>108.478792473008</v>
      </c>
      <c r="Z2339" s="38" t="n">
        <f aca="false">Sens!$Z$2337+Sens!$Z$2338</f>
        <v>126.344471007657</v>
      </c>
      <c r="AA2339" s="38" t="n">
        <f aca="false">Sens!$AA$2337+Sens!$AA$2338</f>
        <v>135.618995899713</v>
      </c>
    </row>
    <row r="2340" customFormat="false" ht="17.15" hidden="false" customHeight="false" outlineLevel="0" collapsed="false">
      <c r="A2340" s="0" t="s">
        <v>651</v>
      </c>
      <c r="B2340" s="0" t="s">
        <v>86</v>
      </c>
      <c r="C2340" s="38" t="n">
        <f aca="false">Sens!$S$2340</f>
        <v>26.578941154416</v>
      </c>
      <c r="D2340" s="38" t="n">
        <f aca="false">Sens!$T$2340</f>
        <v>94.4165581367978</v>
      </c>
      <c r="G2340" s="38" t="n">
        <f aca="false">Sens!$U$2340</f>
        <v>236.826599034204</v>
      </c>
      <c r="H2340" s="38" t="n">
        <f aca="false">Sens!$V$2340</f>
        <v>384.348278711288</v>
      </c>
      <c r="I2340" s="38" t="n">
        <f aca="false">Sens!$W$2340</f>
        <v>509.266000401448</v>
      </c>
      <c r="J2340" s="38" t="n">
        <f aca="false">Sens!$X$2340</f>
        <v>613.620750857667</v>
      </c>
      <c r="K2340" s="38" t="n">
        <f aca="false">Sens!$Y$2340</f>
        <v>643.39011469372</v>
      </c>
      <c r="L2340" s="38" t="n">
        <f aca="false">Sens!$Z$2340</f>
        <v>633.420091540535</v>
      </c>
      <c r="M2340" s="38" t="n">
        <f aca="false">Sens!$AA$2340</f>
        <v>612.49612653253</v>
      </c>
      <c r="R2340" s="38" t="n">
        <f aca="false">SUM(Sens!$R$2327:$R$2327)-SUM(Sens!$R$2339:$R$2339)</f>
        <v>1.50429979529945</v>
      </c>
      <c r="S2340" s="38" t="n">
        <f aca="false">SUM(Sens!$R$2327:$S$2327)-SUM(Sens!$R$2339:$S$2339)</f>
        <v>26.578941154416</v>
      </c>
      <c r="T2340" s="38" t="n">
        <f aca="false">SUM(Sens!$R$2327:$T$2327)-SUM(Sens!$R$2339:$T$2339)</f>
        <v>94.4165581367978</v>
      </c>
      <c r="U2340" s="38" t="n">
        <f aca="false">SUM(Sens!$R$2327:$U$2327)-SUM(Sens!$R$2339:$U$2339)</f>
        <v>236.826599034204</v>
      </c>
      <c r="V2340" s="38" t="n">
        <f aca="false">SUM(Sens!$R$2327:$V$2327)-SUM(Sens!$R$2339:$V$2339)</f>
        <v>384.348278711288</v>
      </c>
      <c r="W2340" s="38" t="n">
        <f aca="false">SUM(Sens!$R$2327:$W$2327)-SUM(Sens!$R$2339:$W$2339)</f>
        <v>509.266000401448</v>
      </c>
      <c r="X2340" s="38" t="n">
        <f aca="false">SUM(Sens!$R$2327:$X$2327)-SUM(Sens!$R$2339:$X$2339)</f>
        <v>613.620750857667</v>
      </c>
      <c r="Y2340" s="38" t="n">
        <f aca="false">SUM(Sens!$R$2327:$Y$2327)-SUM(Sens!$R$2339:$Y$2339)</f>
        <v>643.39011469372</v>
      </c>
      <c r="Z2340" s="38" t="n">
        <f aca="false">SUM(Sens!$R$2327:$Z$2327)-SUM(Sens!$R$2339:$Z$2339)</f>
        <v>633.420091540535</v>
      </c>
      <c r="AA2340" s="38" t="n">
        <f aca="false">SUM(Sens!$R$2327:$AA$2327)-SUM(Sens!$R$2339:$AA$2339)</f>
        <v>612.49612653253</v>
      </c>
    </row>
    <row r="2341" customFormat="false" ht="17.15" hidden="false" customHeight="false" outlineLevel="0" collapsed="false">
      <c r="A2341" s="1" t="s">
        <v>652</v>
      </c>
    </row>
    <row r="2342" customFormat="false" ht="17.15" hidden="false" customHeight="false" outlineLevel="0" collapsed="false">
      <c r="A2342" s="0" t="s">
        <v>653</v>
      </c>
      <c r="B2342" s="0" t="s">
        <v>86</v>
      </c>
      <c r="C2342" s="38" t="n">
        <f aca="false">Sens!$C$2318-ext_sh*Sens!$C$2320</f>
        <v>1.80694998843362</v>
      </c>
      <c r="D2342" s="38" t="n">
        <f aca="false">Sens!$D$2318-ext_sh*Sens!$D$2320</f>
        <v>6.77606245662607</v>
      </c>
      <c r="E2342" s="38" t="n">
        <f aca="false">Sens!$E$2318-ext_sh*Sens!$E$2320</f>
        <v>6.62548329092326</v>
      </c>
      <c r="F2342" s="38" t="n">
        <f aca="false">Sens!$F$2318-ext_sh*Sens!$F$2320</f>
        <v>10.9841961511954</v>
      </c>
      <c r="G2342" s="38" t="n">
        <f aca="false">Sens!$G$2318-ext_sh*Sens!$G$2320</f>
        <v>17.6096794421187</v>
      </c>
      <c r="H2342" s="38" t="n">
        <f aca="false">Sens!$H$2318-ext_sh*Sens!$H$2320</f>
        <v>41.6302801886437</v>
      </c>
      <c r="I2342" s="38" t="n">
        <f aca="false">Sens!$I$2318-ext_sh*Sens!$I$2320</f>
        <v>68.7801842295635</v>
      </c>
      <c r="J2342" s="38" t="n">
        <f aca="false">Sens!$J$2318-ext_sh*Sens!$J$2320</f>
        <v>96.0986392826786</v>
      </c>
      <c r="K2342" s="38" t="n">
        <f aca="false">Sens!$K$2318-ext_sh*Sens!$K$2320</f>
        <v>119.398123483663</v>
      </c>
      <c r="L2342" s="38" t="n">
        <f aca="false">Sens!$L$2318-ext_sh*Sens!$L$2320</f>
        <v>134.710311815431</v>
      </c>
      <c r="M2342" s="38" t="n">
        <f aca="false">Sens!$M$2318-ext_sh*Sens!$M$2320</f>
        <v>142.007790587281</v>
      </c>
      <c r="N2342" s="38" t="n">
        <f aca="false">Sens!$N$2318-ext_sh*Sens!$N$2320</f>
        <v>2.37162185981912</v>
      </c>
      <c r="O2342" s="38" t="n">
        <f aca="false">Sens!$O$2318-ext_sh*Sens!$O$2320</f>
        <v>4.40444059680694</v>
      </c>
    </row>
    <row r="2343" customFormat="false" ht="17.15" hidden="false" customHeight="false" outlineLevel="0" collapsed="false">
      <c r="A2343" s="1" t="s">
        <v>654</v>
      </c>
      <c r="B2343" s="8" t="s">
        <v>86</v>
      </c>
      <c r="C2343" s="38" t="n">
        <f aca="false">Sens!$C$2342-ext_sh*Sens!$C$2339</f>
        <v>1.64417882953695</v>
      </c>
      <c r="D2343" s="38" t="n">
        <f aca="false">Sens!$D$2342-ext_sh*Sens!$D$2339</f>
        <v>5.39125073772939</v>
      </c>
      <c r="E2343" s="38" t="n">
        <f aca="false">Sens!$E$2342-ext_sh*Sens!$E$2339</f>
        <v>2.42691120599613</v>
      </c>
      <c r="F2343" s="38" t="n">
        <f aca="false">Sens!$F$2342-ext_sh*Sens!$F$2339</f>
        <v>6.78562406626826</v>
      </c>
      <c r="G2343" s="38" t="n">
        <f aca="false">Sens!$G$2342-ext_sh*Sens!$G$2339</f>
        <v>9.21253527226439</v>
      </c>
      <c r="H2343" s="38" t="n">
        <f aca="false">Sens!$H$2342-ext_sh*Sens!$H$2339</f>
        <v>18.3644934519911</v>
      </c>
      <c r="I2343" s="38" t="n">
        <f aca="false">Sens!$I$2342-ext_sh*Sens!$I$2339</f>
        <v>22.5711471307714</v>
      </c>
      <c r="J2343" s="38" t="n">
        <f aca="false">Sens!$J$2342-ext_sh*Sens!$J$2339</f>
        <v>29.8300806687332</v>
      </c>
      <c r="K2343" s="38" t="n">
        <f aca="false">Sens!$K$2342-ext_sh*Sens!$K$2339</f>
        <v>32.6150895052564</v>
      </c>
      <c r="L2343" s="38" t="n">
        <f aca="false">Sens!$L$2342-ext_sh*Sens!$L$2339</f>
        <v>33.6347350093054</v>
      </c>
      <c r="M2343" s="38" t="n">
        <f aca="false">Sens!$M$2342-ext_sh*Sens!$M$2339</f>
        <v>33.5125938675103</v>
      </c>
      <c r="N2343" s="38" t="n">
        <f aca="false">Sens!$N$2342-ext_sh*Sens!$N$2339</f>
        <v>1.67921600037079</v>
      </c>
      <c r="O2343" s="38" t="n">
        <f aca="false">Sens!$O$2342-ext_sh*Sens!$O$2339</f>
        <v>3.71203473735861</v>
      </c>
    </row>
    <row r="2344" customFormat="false" ht="17.15" hidden="false" customHeight="false" outlineLevel="0" collapsed="false">
      <c r="A2344" s="0" t="s">
        <v>655</v>
      </c>
      <c r="B2344" s="0" t="s">
        <v>52</v>
      </c>
      <c r="C2344" s="13" t="n">
        <f aca="false">Sens!$C$2343/Sens!$C$2318</f>
        <v>0.708390794789371</v>
      </c>
      <c r="D2344" s="13" t="n">
        <f aca="false">Sens!$D$2343/Sens!$D$2318</f>
        <v>0.619415573115729</v>
      </c>
      <c r="E2344" s="13" t="n">
        <f aca="false">Sens!$E$2343/Sens!$E$2318</f>
        <v>0.285171627189009</v>
      </c>
      <c r="F2344" s="13" t="n">
        <f aca="false">Sens!$F$2343/Sens!$F$2318</f>
        <v>0.476934787474061</v>
      </c>
      <c r="G2344" s="13" t="n">
        <f aca="false">Sens!$G$2343/Sens!$G$2318</f>
        <v>0.405161651722011</v>
      </c>
      <c r="H2344" s="13" t="n">
        <f aca="false">Sens!$H$2343/Sens!$H$2318</f>
        <v>0.338335158165064</v>
      </c>
      <c r="I2344" s="13" t="n">
        <f aca="false">Sens!$I$2343/Sens!$I$2318</f>
        <v>0.251545399956665</v>
      </c>
      <c r="J2344" s="13" t="n">
        <f aca="false">Sens!$J$2343/Sens!$J$2318</f>
        <v>0.237946356715579</v>
      </c>
      <c r="K2344" s="13" t="n">
        <f aca="false">Sens!$K$2343/Sens!$K$2318</f>
        <v>0.209390766711086</v>
      </c>
      <c r="L2344" s="13" t="n">
        <f aca="false">Sens!$L$2343/Sens!$L$2318</f>
        <v>0.191390525240834</v>
      </c>
      <c r="M2344" s="13" t="n">
        <f aca="false">Sens!$M$2343/Sens!$M$2318</f>
        <v>0.180889433218342</v>
      </c>
      <c r="N2344" s="13" t="n">
        <f aca="false">Sens!$N$2343/Sens!$N$2318</f>
        <v>0.551227795793364</v>
      </c>
      <c r="O2344" s="13" t="n">
        <f aca="false">Sens!$O$2343/Sens!$O$2318</f>
        <v>0.656132068597002</v>
      </c>
    </row>
    <row r="2345" customFormat="false" ht="17.15" hidden="false" customHeight="false" outlineLevel="0" collapsed="false">
      <c r="A2345" s="5" t="s">
        <v>656</v>
      </c>
      <c r="B2345" s="0" t="s">
        <v>86</v>
      </c>
      <c r="C2345" s="39" t="n">
        <v>0</v>
      </c>
      <c r="D2345" s="39" t="n">
        <v>0</v>
      </c>
      <c r="E2345" s="39" t="n">
        <v>0</v>
      </c>
      <c r="F2345" s="38" t="n">
        <f aca="false">IF(internal_ai_reading=2,1,0)*(1-ext_sh)/ext_sh*(mw_open*he_open+Sens!$F$2316*Sens!$F$2313)*Sens!$F$2302/1000</f>
        <v>3.58576196532864</v>
      </c>
      <c r="G2345" s="38" t="n">
        <f aca="false">Sens!$E$2345+Sens!$F$2345</f>
        <v>3.58576196532864</v>
      </c>
      <c r="H2345" s="38" t="n">
        <f aca="false">IF(internal_ai_reading=2,1,0)*(1-ext_sh)/ext_sh*(mw_open*he_open+Sens!$H$2316*Sens!$H$2313)*Sens!$H$2302/1000</f>
        <v>13.679886229553</v>
      </c>
      <c r="I2345" s="38" t="n">
        <f aca="false">IF(internal_ai_reading=2,1,0)*(1-ext_sh)/ext_sh*(mw_open*he_open+Sens!$I$2316*Sens!$I$2313)*Sens!$I$2302/1000</f>
        <v>22.6145480991162</v>
      </c>
      <c r="J2345" s="38" t="n">
        <f aca="false">IF(internal_ai_reading=2,1,0)*(1-ext_sh)/ext_sh*(mw_open*he_open+Sens!$J$2316*Sens!$J$2313)*Sens!$J$2302/1000</f>
        <v>31.5955580236032</v>
      </c>
      <c r="K2345" s="38" t="n">
        <f aca="false">IF(internal_ai_reading=2,1,0)*(1-ext_sh)/ext_sh*(mw_open*he_open+Sens!$K$2316*Sens!$K$2313)*Sens!$K$2302/1000</f>
        <v>39.2565120061736</v>
      </c>
      <c r="L2345" s="38" t="n">
        <f aca="false">IF(internal_ai_reading=2,1,0)*(1-ext_sh)/ext_sh*(mw_open*he_open+Sens!$L$2316*Sens!$L$2313)*Sens!$L$2302/1000</f>
        <v>44.29128066586</v>
      </c>
      <c r="M2345" s="38" t="n">
        <f aca="false">IF(internal_ai_reading=2,1,0)*(1-ext_sh)/ext_sh*(mw_open*he_open+Sens!$M$2316*Sens!$M$2313)*Sens!$M$2302/1000</f>
        <v>46.6923258026494</v>
      </c>
      <c r="N2345" s="39" t="n">
        <v>0</v>
      </c>
      <c r="O2345" s="39" t="n">
        <v>0</v>
      </c>
      <c r="P2345" s="8" t="s">
        <v>657</v>
      </c>
    </row>
    <row r="2346" customFormat="false" ht="17.15" hidden="false" customHeight="false" outlineLevel="0" collapsed="false">
      <c r="A2346" s="5" t="s">
        <v>658</v>
      </c>
      <c r="B2346" s="0" t="s">
        <v>86</v>
      </c>
      <c r="C2346" s="38" t="n">
        <f aca="false">(1-ext_sh)*(Sens!$C$2320+Sens!$C$2339)</f>
        <v>0.169206631859174</v>
      </c>
      <c r="D2346" s="38" t="n">
        <f aca="false">(1-ext_sh)*(Sens!$D$2320+Sens!$D$2339)</f>
        <v>0.828129837730442</v>
      </c>
      <c r="E2346" s="38" t="n">
        <f aca="false">(1-ext_sh)*(Sens!$E$2320+Sens!$E$2339)</f>
        <v>1.52086044239347</v>
      </c>
      <c r="F2346" s="38" t="n">
        <f aca="false">(1-ext_sh)*(Sens!$F$2320+Sens!$F$2339)</f>
        <v>1.86048700344425</v>
      </c>
      <c r="G2346" s="38" t="n">
        <f aca="false">(1-ext_sh)*(Sens!$G$2320+Sens!$G$2339)</f>
        <v>3.38134744583772</v>
      </c>
      <c r="H2346" s="38" t="n">
        <f aca="false">(1-ext_sh)*(Sens!$H$2320+Sens!$H$2339)</f>
        <v>8.97862619509546</v>
      </c>
      <c r="I2346" s="38" t="n">
        <f aca="false">(1-ext_sh)*(Sens!$I$2320+Sens!$I$2339)</f>
        <v>16.7896917427143</v>
      </c>
      <c r="J2346" s="38" t="n">
        <f aca="false">(1-ext_sh)*(Sens!$J$2320+Sens!$J$2339)</f>
        <v>23.883662232585</v>
      </c>
      <c r="K2346" s="38" t="n">
        <f aca="false">(1-ext_sh)*(Sens!$K$2320+Sens!$K$2339)</f>
        <v>30.7866857173541</v>
      </c>
      <c r="L2346" s="38" t="n">
        <f aca="false">(1-ext_sh)*(Sens!$L$2320+Sens!$L$2339)</f>
        <v>35.5260081126204</v>
      </c>
      <c r="M2346" s="38" t="n">
        <f aca="false">(1-ext_sh)*(Sens!$M$2320+Sens!$M$2339)</f>
        <v>37.9382577367106</v>
      </c>
      <c r="N2346" s="38" t="n">
        <f aca="false">(1-ext_sh)*(Sens!$N$2320+Sens!$N$2339)</f>
        <v>0.34177588266428</v>
      </c>
      <c r="O2346" s="38" t="n">
        <f aca="false">(1-ext_sh)*(Sens!$O$2320+Sens!$O$2339)</f>
        <v>0.486353955066162</v>
      </c>
    </row>
    <row r="2347" customFormat="false" ht="17.15" hidden="false" customHeight="false" outlineLevel="0" collapsed="false">
      <c r="A2347" s="0" t="s">
        <v>659</v>
      </c>
      <c r="B2347" s="0" t="s">
        <v>86</v>
      </c>
      <c r="C2347" s="38" t="n">
        <f aca="false">Q!$D$24</f>
        <v>39.834</v>
      </c>
      <c r="D2347" s="38" t="n">
        <f aca="false">Q!$E$24</f>
        <v>45.606</v>
      </c>
      <c r="E2347" s="38" t="n">
        <f aca="false">Q!$P$24</f>
        <v>30.782</v>
      </c>
      <c r="N2347" s="38" t="n">
        <f aca="false">Q!$N$24</f>
        <v>21.707</v>
      </c>
      <c r="O2347" s="38" t="n">
        <f aca="false">Q!$O$24</f>
        <v>23.899</v>
      </c>
    </row>
    <row r="2348" customFormat="false" ht="17.15" hidden="false" customHeight="false" outlineLevel="0" collapsed="false">
      <c r="A2348" s="0" t="s">
        <v>660</v>
      </c>
      <c r="B2348" s="0" t="s">
        <v>86</v>
      </c>
      <c r="C2348" s="38" t="n">
        <f aca="false">Sens!$C$2347-Sens!$C$2343</f>
        <v>38.1898211704631</v>
      </c>
      <c r="D2348" s="38" t="n">
        <f aca="false">Sens!$D$2347-Sens!$D$2343</f>
        <v>40.2147492622706</v>
      </c>
      <c r="E2348" s="38" t="n">
        <f aca="false">Sens!$E$2347-Sens!$E$2343</f>
        <v>28.3550887940039</v>
      </c>
      <c r="F2348" s="38" t="n">
        <f aca="false">Sens!$F$2322*Sens!$F$2349</f>
        <v>25.9529793149447</v>
      </c>
      <c r="G2348" s="38" t="n">
        <f aca="false">Sens!$E$2348+Sens!$F$2348</f>
        <v>54.3080681089486</v>
      </c>
      <c r="H2348" s="38" t="n">
        <f aca="false">Sens!$H$2322*Sens!$H$2349</f>
        <v>58.2264684589333</v>
      </c>
      <c r="I2348" s="38" t="n">
        <f aca="false">Sens!$I$2322*Sens!$I$2349</f>
        <v>64.6461353851744</v>
      </c>
      <c r="J2348" s="38" t="n">
        <f aca="false">Sens!$J$2322*Sens!$J$2349</f>
        <v>70.7957093610231</v>
      </c>
      <c r="K2348" s="38" t="n">
        <f aca="false">Sens!$K$2322*Sens!$K$2349</f>
        <v>76.4593661099049</v>
      </c>
      <c r="L2348" s="38" t="n">
        <f aca="false">Sens!$L$2322*Sens!$L$2349</f>
        <v>82.5761153986973</v>
      </c>
      <c r="M2348" s="38" t="n">
        <f aca="false">Sens!$M$2322*Sens!$M$2349</f>
        <v>89.1822046305931</v>
      </c>
      <c r="N2348" s="38" t="n">
        <f aca="false">Sens!$N$2347-Sens!$N$2343</f>
        <v>20.0277839996292</v>
      </c>
      <c r="O2348" s="38" t="n">
        <f aca="false">Sens!$O$2347-Sens!$O$2343</f>
        <v>20.1869652626414</v>
      </c>
      <c r="P2348" s="5" t="s">
        <v>661</v>
      </c>
    </row>
    <row r="2349" customFormat="false" ht="17.15" hidden="false" customHeight="false" outlineLevel="0" collapsed="false">
      <c r="A2349" s="0" t="s">
        <v>662</v>
      </c>
      <c r="B2349" s="0" t="s">
        <v>52</v>
      </c>
      <c r="C2349" s="13" t="n">
        <f aca="false">Sens!$C$2348/Sens!$C$2322</f>
        <v>0.362900395443635</v>
      </c>
      <c r="D2349" s="13" t="n">
        <f aca="false">Sens!$D$2348/Sens!$D$2322</f>
        <v>0.335063632425483</v>
      </c>
      <c r="E2349" s="13" t="n">
        <f aca="false">Sens!$E$2348/Sens!$E$2322</f>
        <v>0.397638855555478</v>
      </c>
      <c r="F2349" s="13" t="n">
        <f aca="false">(Sens!$O$2348+Sens!$E$2348)/(Sens!$O$2322+Sens!$E$2322)</f>
        <v>0.361616727338133</v>
      </c>
      <c r="G2349" s="13" t="n">
        <f aca="false">Sens!$G$2348/Sens!$G$2322</f>
        <v>0.379569803149143</v>
      </c>
      <c r="H2349" s="13" t="n">
        <f aca="false">Sens!$F$2349</f>
        <v>0.361616727338133</v>
      </c>
      <c r="I2349" s="13" t="n">
        <f aca="false">Sens!$F$2349</f>
        <v>0.361616727338133</v>
      </c>
      <c r="J2349" s="13" t="n">
        <f aca="false">Sens!$F$2349</f>
        <v>0.361616727338133</v>
      </c>
      <c r="K2349" s="13" t="n">
        <f aca="false">Sens!$F$2349</f>
        <v>0.361616727338133</v>
      </c>
      <c r="L2349" s="13" t="n">
        <f aca="false">Sens!$F$2349</f>
        <v>0.361616727338133</v>
      </c>
      <c r="M2349" s="13" t="n">
        <f aca="false">Sens!$F$2349</f>
        <v>0.361616727338133</v>
      </c>
      <c r="N2349" s="13" t="n">
        <f aca="false">Sens!$N$2348/Sens!$N$2322</f>
        <v>0.35078810535806</v>
      </c>
      <c r="O2349" s="13" t="n">
        <f aca="false">Sens!$O$2348/Sens!$O$2322</f>
        <v>0.320796939361619</v>
      </c>
      <c r="P2349" s="8" t="s">
        <v>663</v>
      </c>
    </row>
    <row r="2350" customFormat="false" ht="17.15" hidden="false" customHeight="false" outlineLevel="0" collapsed="false">
      <c r="A2350" s="0" t="s">
        <v>664</v>
      </c>
      <c r="B2350" s="0" t="s">
        <v>52</v>
      </c>
      <c r="D2350" s="13" t="n">
        <f aca="false">(Q!$E$31-ext_sh*Sens!$D$2339)/Sens!$D$2322</f>
        <v>0.167180325480118</v>
      </c>
    </row>
    <row r="2351" customFormat="false" ht="17.15" hidden="false" customHeight="false" outlineLevel="0" collapsed="false">
      <c r="A2351" s="0" t="s">
        <v>665</v>
      </c>
      <c r="B2351" s="0" t="s">
        <v>86</v>
      </c>
      <c r="C2351" s="38" t="n">
        <f aca="false">Q!$D$31</f>
        <v>13.32</v>
      </c>
      <c r="D2351" s="38" t="n">
        <f aca="false">Q!$E$31</f>
        <v>21.45</v>
      </c>
      <c r="E2351" s="38" t="n">
        <f aca="false">Q!$P$31</f>
        <v>15.353</v>
      </c>
      <c r="F2351" s="38" t="n">
        <f aca="false">ext_sh*Sens!$F$2339+Sens!$D$2350*Sens!$F$2322</f>
        <v>16.1969869840094</v>
      </c>
      <c r="G2351" s="38" t="n">
        <f aca="false">Sens!$E$2351+Sens!$F$2351</f>
        <v>31.5499869840094</v>
      </c>
      <c r="H2351" s="38" t="n">
        <f aca="false">ext_sh*Sens!$H$2339+Sens!$D$2350*Sens!$H$2322</f>
        <v>50.1846740906109</v>
      </c>
      <c r="I2351" s="38" t="n">
        <f aca="false">ext_sh*Sens!$I$2339+Sens!$D$2350*Sens!$I$2322</f>
        <v>76.0958236815917</v>
      </c>
      <c r="J2351" s="38" t="n">
        <f aca="false">ext_sh*Sens!$J$2339+Sens!$D$2350*Sens!$J$2322</f>
        <v>98.9983767855053</v>
      </c>
      <c r="K2351" s="38" t="n">
        <f aca="false">ext_sh*Sens!$K$2339+Sens!$D$2350*Sens!$K$2322</f>
        <v>122.131237603691</v>
      </c>
      <c r="L2351" s="38" t="n">
        <f aca="false">ext_sh*Sens!$L$2339+Sens!$D$2350*Sens!$L$2322</f>
        <v>139.251636721433</v>
      </c>
      <c r="M2351" s="38" t="n">
        <f aca="false">ext_sh*Sens!$M$2339+Sens!$D$2350*Sens!$M$2322</f>
        <v>149.725341428303</v>
      </c>
      <c r="N2351" s="38" t="n">
        <f aca="false">Q!$N$31</f>
        <v>9.234</v>
      </c>
      <c r="O2351" s="38" t="n">
        <f aca="false">Q!$O$31</f>
        <v>12.216</v>
      </c>
    </row>
    <row r="2352" customFormat="false" ht="17.15" hidden="false" customHeight="false" outlineLevel="0" collapsed="false">
      <c r="A2352" s="1" t="s">
        <v>666</v>
      </c>
    </row>
    <row r="2353" customFormat="false" ht="17.15" hidden="false" customHeight="false" outlineLevel="0" collapsed="false">
      <c r="A2353" s="15" t="s">
        <v>667</v>
      </c>
      <c r="B2353" s="14" t="s">
        <v>52</v>
      </c>
      <c r="C2353" s="14"/>
      <c r="D2353" s="14"/>
      <c r="E2353" s="14"/>
      <c r="F2353" s="14"/>
      <c r="G2353" s="17" t="n">
        <f aca="false">Sens!$G$2343*(1-tax)/(ext_sh*(Sens!$D$2340+Sens!$G$2340)/2)</f>
        <v>0.0574606715129704</v>
      </c>
      <c r="H2353" s="17" t="n">
        <f aca="false">Sens!$H$2343*(1-tax)/(ext_sh*(Sens!$G$2340+Sens!$H$2340)/2)</f>
        <v>0.0610806316112422</v>
      </c>
      <c r="I2353" s="17" t="n">
        <f aca="false">Sens!$I$2343*(1-tax)/(ext_sh*(Sens!$H$2340+Sens!$I$2340)/2)</f>
        <v>0.052184554557766</v>
      </c>
      <c r="J2353" s="17" t="n">
        <f aca="false">Sens!$J$2343*(1-tax)/(ext_sh*(Sens!$I$2340+Sens!$J$2340)/2)</f>
        <v>0.0548854107708131</v>
      </c>
      <c r="K2353" s="17" t="n">
        <f aca="false">Sens!$K$2343*(1-tax)/(ext_sh*(Sens!$J$2340+Sens!$K$2340)/2)</f>
        <v>0.0536065665211273</v>
      </c>
      <c r="L2353" s="17" t="n">
        <f aca="false">Sens!$L$2343*(1-tax)/(ext_sh*(Sens!$K$2340+Sens!$L$2340)/2)</f>
        <v>0.0544252100252865</v>
      </c>
      <c r="M2353" s="17" t="n">
        <f aca="false">Sens!$M$2343*(1-tax)/(ext_sh*(Sens!$L$2340+Sens!$M$2340)/2)</f>
        <v>0.055572208073528</v>
      </c>
      <c r="N2353" s="14"/>
      <c r="O2353" s="14"/>
      <c r="P2353" s="8" t="s">
        <v>668</v>
      </c>
    </row>
    <row r="2354" customFormat="false" ht="17.15" hidden="false" customHeight="false" outlineLevel="0" collapsed="false">
      <c r="A2354" s="5" t="s">
        <v>669</v>
      </c>
      <c r="B2354" s="0" t="s">
        <v>57</v>
      </c>
      <c r="H2354" s="36" t="n">
        <f aca="false">Sens!$H$2318*1000/(mw_open*he_open+Sens!$H$2316*Sens!$H$2313)</f>
        <v>0.991949006767192</v>
      </c>
      <c r="I2354" s="36" t="n">
        <f aca="false">Sens!$I$2318*1000/(mw_open*he_open+Sens!$I$2316*Sens!$I$2313)</f>
        <v>0.991949006767191</v>
      </c>
      <c r="J2354" s="36" t="n">
        <f aca="false">Sens!$J$2318*1000/(mw_open*he_open+Sens!$J$2316*Sens!$J$2313)</f>
        <v>0.991949006767191</v>
      </c>
      <c r="K2354" s="36" t="n">
        <f aca="false">Sens!$K$2318*1000/(mw_open*he_open+Sens!$K$2316*Sens!$K$2313)</f>
        <v>0.991949006767191</v>
      </c>
      <c r="L2354" s="36" t="n">
        <f aca="false">Sens!$L$2318*1000/(mw_open*he_open+Sens!$L$2316*Sens!$L$2313)</f>
        <v>0.991949006767191</v>
      </c>
      <c r="M2354" s="36" t="n">
        <f aca="false">Sens!$M$2318*1000/(mw_open*he_open+Sens!$M$2316*Sens!$M$2313)</f>
        <v>0.991949006767191</v>
      </c>
    </row>
    <row r="2355" customFormat="false" ht="17.15" hidden="false" customHeight="false" outlineLevel="0" collapsed="false">
      <c r="A2355" s="5" t="s">
        <v>670</v>
      </c>
      <c r="B2355" s="0" t="s">
        <v>57</v>
      </c>
      <c r="H2355" s="36" t="n">
        <f aca="false">Sens!$H$2354*(Sens!$H$2318+wacc*ext_sh*(Sens!$G$2340+Sens!$H$2340)/2/(1-tax)-Sens!$H$2343)/Sens!$H$2318</f>
        <v>1.27885732361757</v>
      </c>
      <c r="I2355" s="36" t="n">
        <f aca="false">Sens!$I$2354*(Sens!$I$2318+wacc*ext_sh*(Sens!$H$2340+Sens!$I$2340)/2/(1-tax)-Sens!$I$2343)/Sens!$I$2318</f>
        <v>1.28415990755674</v>
      </c>
      <c r="J2355" s="36" t="n">
        <f aca="false">Sens!$J$2354*(Sens!$J$2318+wacc*ext_sh*(Sens!$I$2340+Sens!$J$2340)/2/(1-tax)-Sens!$J$2343)/Sens!$J$2318</f>
        <v>1.24314554700156</v>
      </c>
      <c r="K2355" s="36" t="n">
        <f aca="false">Sens!$K$2354*(Sens!$K$2318+wacc*ext_sh*(Sens!$J$2340+Sens!$K$2340)/2/(1-tax)-Sens!$K$2343)/Sens!$K$2318</f>
        <v>1.2232282679175</v>
      </c>
      <c r="L2355" s="36" t="n">
        <f aca="false">Sens!$L$2354*(Sens!$L$2318+wacc*ext_sh*(Sens!$K$2340+Sens!$L$2340)/2/(1-tax)-Sens!$L$2343)/Sens!$L$2318</f>
        <v>1.19731097925534</v>
      </c>
      <c r="M2355" s="36" t="n">
        <f aca="false">Sens!$M$2354*(Sens!$M$2318+wacc*ext_sh*(Sens!$L$2340+Sens!$M$2340)/2/(1-tax)-Sens!$M$2343)/Sens!$M$2318</f>
        <v>1.17833378823009</v>
      </c>
    </row>
    <row r="2356" customFormat="false" ht="17.15" hidden="false" customHeight="false" outlineLevel="0" collapsed="false">
      <c r="A2356" s="5" t="s">
        <v>671</v>
      </c>
      <c r="B2356" s="0" t="s">
        <v>52</v>
      </c>
      <c r="C2356" s="13" t="n">
        <f aca="false">Sens!$C$2319/tk_pq</f>
        <v>0.195316432429398</v>
      </c>
      <c r="D2356" s="13" t="n">
        <f aca="false">Sens!$D$2319/tk_pq</f>
        <v>0.195316432429398</v>
      </c>
      <c r="E2356" s="13" t="n">
        <f aca="false">Sens!$E$2319/tk_pq</f>
        <v>0.195316432429398</v>
      </c>
      <c r="F2356" s="13" t="n">
        <f aca="false">Sens!$F$2319/tk_pq</f>
        <v>0.19229611621718</v>
      </c>
      <c r="G2356" s="13" t="n">
        <f aca="false">Sens!$G$2319/tk_pq</f>
        <v>0.193415558688553</v>
      </c>
      <c r="H2356" s="13" t="n">
        <f aca="false">Sens!$H$2319/tk_pq</f>
        <v>0.191841547329368</v>
      </c>
      <c r="I2356" s="13" t="n">
        <f aca="false">Sens!$I$2319/tk_pq</f>
        <v>0.193849442336292</v>
      </c>
      <c r="J2356" s="13" t="n">
        <f aca="false">Sens!$J$2319/tk_pq</f>
        <v>0.195019275285086</v>
      </c>
      <c r="K2356" s="13" t="n">
        <f aca="false">Sens!$K$2319/tk_pq</f>
        <v>0.195569356925909</v>
      </c>
      <c r="L2356" s="13" t="n">
        <f aca="false">Sens!$L$2319/tk_pq</f>
        <v>0.19582683495275</v>
      </c>
      <c r="M2356" s="13" t="n">
        <f aca="false">Sens!$M$2319/tk_pq</f>
        <v>0.195896804044159</v>
      </c>
      <c r="N2356" s="13" t="n">
        <f aca="false">Sens!$N$2319/tk_pq</f>
        <v>0.195316432429398</v>
      </c>
      <c r="O2356" s="13" t="n">
        <f aca="false">Sens!$O$2319/tk_pq</f>
        <v>0.195316432429398</v>
      </c>
      <c r="P2356" s="5" t="s">
        <v>672</v>
      </c>
    </row>
    <row r="2359" customFormat="false" ht="17.15" hidden="false" customHeight="false" outlineLevel="0" collapsed="false">
      <c r="A2359" s="1" t="s">
        <v>701</v>
      </c>
    </row>
    <row r="2360" customFormat="false" ht="17.15" hidden="false" customHeight="false" outlineLevel="0" collapsed="false">
      <c r="A2360" s="0" t="s">
        <v>702</v>
      </c>
      <c r="B2360" s="0" t="s">
        <v>86</v>
      </c>
      <c r="C2360" s="38" t="n">
        <f aca="false">Sens!$C$2318</f>
        <v>2.32100535697364</v>
      </c>
      <c r="D2360" s="38" t="n">
        <f aca="false">Sens!$D$2318</f>
        <v>8.70377008865116</v>
      </c>
      <c r="E2360" s="38" t="n">
        <f aca="false">Sens!$E$2318</f>
        <v>8.51035297557002</v>
      </c>
      <c r="F2360" s="38" t="n">
        <f aca="false">Sens!$F$2318</f>
        <v>14.2275720800453</v>
      </c>
      <c r="G2360" s="38" t="n">
        <f aca="false">Sens!$G$2318</f>
        <v>22.7379250556153</v>
      </c>
      <c r="H2360" s="38" t="n">
        <f aca="false">Sens!$H$2318</f>
        <v>54.278998232373</v>
      </c>
      <c r="I2360" s="38" t="n">
        <f aca="false">Sens!$I$2318</f>
        <v>89.7299141016288</v>
      </c>
      <c r="J2360" s="38" t="n">
        <f aca="false">Sens!$J$2318</f>
        <v>125.364729599073</v>
      </c>
      <c r="K2360" s="38" t="n">
        <f aca="false">Sens!$K$2318</f>
        <v>155.761832374673</v>
      </c>
      <c r="L2360" s="38" t="n">
        <f aca="false">Sens!$L$2318</f>
        <v>175.738767459787</v>
      </c>
      <c r="M2360" s="38" t="n">
        <f aca="false">Sens!$M$2318</f>
        <v>185.265624814353</v>
      </c>
      <c r="N2360" s="38" t="n">
        <f aca="false">Sens!$N$2318</f>
        <v>3.04631953102791</v>
      </c>
      <c r="O2360" s="38" t="n">
        <f aca="false">Sens!$O$2318</f>
        <v>5.65745055762326</v>
      </c>
      <c r="P2360" s="8" t="s">
        <v>703</v>
      </c>
    </row>
    <row r="2361" customFormat="false" ht="17.15" hidden="false" customHeight="false" outlineLevel="0" collapsed="false">
      <c r="A2361" s="0" t="s">
        <v>704</v>
      </c>
      <c r="B2361" s="0" t="s">
        <v>86</v>
      </c>
      <c r="C2361" s="38" t="n">
        <f aca="false">Sens!$C$2322</f>
        <v>105.234994643026</v>
      </c>
      <c r="D2361" s="38" t="n">
        <f aca="false">Sens!$D$2322</f>
        <v>120.021229911349</v>
      </c>
      <c r="E2361" s="38" t="n">
        <f aca="false">Sens!$E$2322</f>
        <v>71.30864702443</v>
      </c>
      <c r="F2361" s="38" t="n">
        <f aca="false">Sens!$F$2322</f>
        <v>71.7692997942464</v>
      </c>
      <c r="G2361" s="38" t="n">
        <f aca="false">Sens!$G$2322</f>
        <v>143.077946818676</v>
      </c>
      <c r="H2361" s="38" t="n">
        <f aca="false">Sens!$H$2322</f>
        <v>161.017077079203</v>
      </c>
      <c r="I2361" s="38" t="n">
        <f aca="false">Sens!$I$2322</f>
        <v>178.769759521457</v>
      </c>
      <c r="J2361" s="38" t="n">
        <f aca="false">Sens!$J$2322</f>
        <v>195.775538045907</v>
      </c>
      <c r="K2361" s="38" t="n">
        <f aca="false">Sens!$K$2322</f>
        <v>211.43758108958</v>
      </c>
      <c r="L2361" s="38" t="n">
        <f aca="false">Sens!$L$2322</f>
        <v>228.352587576746</v>
      </c>
      <c r="M2361" s="38" t="n">
        <f aca="false">Sens!$M$2322</f>
        <v>246.620794582886</v>
      </c>
      <c r="N2361" s="38" t="n">
        <f aca="false">Sens!$N$2322</f>
        <v>57.0936804689721</v>
      </c>
      <c r="O2361" s="38" t="n">
        <f aca="false">Sens!$O$2322</f>
        <v>62.9275494423768</v>
      </c>
      <c r="P2361" s="8" t="s">
        <v>703</v>
      </c>
    </row>
    <row r="2362" customFormat="false" ht="17.15" hidden="false" customHeight="false" outlineLevel="0" collapsed="false">
      <c r="A2362" s="1" t="s">
        <v>523</v>
      </c>
      <c r="B2362" s="8" t="s">
        <v>86</v>
      </c>
      <c r="C2362" s="38" t="n">
        <f aca="false">Q!$D$7</f>
        <v>107.556</v>
      </c>
      <c r="D2362" s="38" t="n">
        <f aca="false">Q!$E$7</f>
        <v>128.725</v>
      </c>
      <c r="E2362" s="38" t="n">
        <f aca="false">Q!$P$7</f>
        <v>79.819</v>
      </c>
      <c r="F2362" s="38" t="n">
        <f aca="false">Sens!$F$2360+Sens!$F$2361</f>
        <v>85.9968718742916</v>
      </c>
      <c r="G2362" s="38" t="n">
        <f aca="false">Sens!$G$2360+Sens!$G$2361</f>
        <v>165.815871874292</v>
      </c>
      <c r="H2362" s="38" t="n">
        <f aca="false">Sens!$H$2360+Sens!$H$2361</f>
        <v>215.296075311576</v>
      </c>
      <c r="I2362" s="38" t="n">
        <f aca="false">Sens!$I$2360+Sens!$I$2361</f>
        <v>268.499673623086</v>
      </c>
      <c r="J2362" s="38" t="n">
        <f aca="false">Sens!$J$2360+Sens!$J$2361</f>
        <v>321.140267644981</v>
      </c>
      <c r="K2362" s="38" t="n">
        <f aca="false">Sens!$K$2360+Sens!$K$2361</f>
        <v>367.199413464253</v>
      </c>
      <c r="L2362" s="38" t="n">
        <f aca="false">Sens!$L$2360+Sens!$L$2361</f>
        <v>404.091355036533</v>
      </c>
      <c r="M2362" s="38" t="n">
        <f aca="false">Sens!$M$2360+Sens!$M$2361</f>
        <v>431.886419397239</v>
      </c>
      <c r="N2362" s="38" t="n">
        <f aca="false">Q!$N$7</f>
        <v>60.14</v>
      </c>
      <c r="O2362" s="38" t="n">
        <f aca="false">Q!$O$7</f>
        <v>68.585</v>
      </c>
      <c r="P2362" s="5" t="s">
        <v>705</v>
      </c>
    </row>
    <row r="2363" customFormat="false" ht="15" hidden="false" customHeight="false" outlineLevel="0" collapsed="false">
      <c r="A2363" s="3" t="s">
        <v>706</v>
      </c>
      <c r="B2363" s="8" t="s">
        <v>86</v>
      </c>
      <c r="C2363" s="38" t="n">
        <f aca="false">Q!$D$8</f>
        <v>637.959</v>
      </c>
      <c r="D2363" s="38" t="n">
        <f aca="false">Q!$E$8</f>
        <v>716.924</v>
      </c>
      <c r="E2363" s="38" t="n">
        <f aca="false">Q!$P$8</f>
        <v>382.125</v>
      </c>
      <c r="F2363" s="38" t="n">
        <f aca="false">Sens!$F$2290+Sens!$F$2362</f>
        <v>435.045113519829</v>
      </c>
      <c r="G2363" s="38" t="n">
        <f aca="false">Sens!$G$2290+Sens!$G$2362</f>
        <v>817.170113519829</v>
      </c>
      <c r="H2363" s="38" t="n">
        <f aca="false">Sens!$H$2290+Sens!$H$2362</f>
        <v>936.392964832962</v>
      </c>
      <c r="I2363" s="38" t="n">
        <f aca="false">Sens!$I$2290+Sens!$I$2362</f>
        <v>1057.02906477562</v>
      </c>
      <c r="J2363" s="38" t="n">
        <f aca="false">Sens!$J$2290+Sens!$J$2362</f>
        <v>1172.24867338642</v>
      </c>
      <c r="K2363" s="38" t="n">
        <f aca="false">Sens!$K$2290+Sens!$K$2362</f>
        <v>1273.37586889534</v>
      </c>
      <c r="L2363" s="38" t="n">
        <f aca="false">Sens!$L$2290+Sens!$L$2362</f>
        <v>1369.18446151212</v>
      </c>
      <c r="M2363" s="38" t="n">
        <f aca="false">Sens!$M$2290+Sens!$M$2362</f>
        <v>1460.03432734413</v>
      </c>
      <c r="N2363" s="38" t="n">
        <f aca="false">Q!$N$8</f>
        <v>323.369</v>
      </c>
      <c r="O2363" s="38" t="n">
        <f aca="false">Q!$O$8</f>
        <v>393.555</v>
      </c>
    </row>
    <row r="2364" customFormat="false" ht="17.15" hidden="false" customHeight="false" outlineLevel="0" collapsed="false">
      <c r="A2364" s="24" t="s">
        <v>714</v>
      </c>
      <c r="B2364" s="25" t="s">
        <v>86</v>
      </c>
      <c r="C2364" s="41" t="n">
        <f aca="false">Sens!$C$2290-(Sens!$C$2292+Sens!$C$2293)</f>
        <v>0</v>
      </c>
      <c r="D2364" s="41" t="n">
        <f aca="false">Sens!$D$2290-(Sens!$D$2292+Sens!$D$2293)</f>
        <v>0</v>
      </c>
      <c r="E2364" s="41" t="n">
        <f aca="false">Sens!$E$2290-(Sens!$E$2292+Sens!$E$2293)</f>
        <v>0</v>
      </c>
      <c r="F2364" s="41" t="n">
        <f aca="false">Sens!$F$2290-(Sens!$F$2292+Sens!$F$2293)</f>
        <v>0</v>
      </c>
      <c r="G2364" s="41" t="n">
        <f aca="false">Sens!$G$2290-(Sens!$G$2292+Sens!$G$2293)</f>
        <v>0</v>
      </c>
      <c r="H2364" s="41" t="n">
        <f aca="false">Sens!$H$2290-(Sens!$H$2292+Sens!$H$2293)</f>
        <v>0</v>
      </c>
      <c r="I2364" s="41" t="n">
        <f aca="false">Sens!$I$2290-(Sens!$I$2292+Sens!$I$2293)</f>
        <v>0</v>
      </c>
      <c r="J2364" s="41" t="n">
        <f aca="false">Sens!$J$2290-(Sens!$J$2292+Sens!$J$2293)</f>
        <v>0</v>
      </c>
      <c r="K2364" s="41" t="n">
        <f aca="false">Sens!$K$2290-(Sens!$K$2292+Sens!$K$2293)</f>
        <v>0</v>
      </c>
      <c r="L2364" s="41" t="n">
        <f aca="false">Sens!$L$2290-(Sens!$L$2292+Sens!$L$2293)</f>
        <v>0</v>
      </c>
      <c r="M2364" s="41" t="n">
        <f aca="false">Sens!$M$2290-(Sens!$M$2292+Sens!$M$2293)</f>
        <v>0</v>
      </c>
      <c r="N2364" s="41" t="n">
        <f aca="false">Sens!$N$2290-(Sens!$N$2292+Sens!$N$2293)</f>
        <v>0</v>
      </c>
      <c r="O2364" s="41" t="n">
        <f aca="false">Sens!$O$2290-(Sens!$O$2292+Sens!$O$2293)</f>
        <v>0</v>
      </c>
    </row>
    <row r="2365" customFormat="false" ht="17.15" hidden="false" customHeight="false" outlineLevel="0" collapsed="false">
      <c r="A2365" s="24" t="s">
        <v>715</v>
      </c>
      <c r="B2365" s="25" t="s">
        <v>86</v>
      </c>
      <c r="C2365" s="41" t="n">
        <f aca="false">Sens!$C$2360+Sens!$C$2361-Sens!$C$2362</f>
        <v>0</v>
      </c>
      <c r="D2365" s="41" t="n">
        <f aca="false">Sens!$D$2360+Sens!$D$2361-Sens!$D$2362</f>
        <v>0</v>
      </c>
      <c r="E2365" s="41" t="n">
        <f aca="false">Sens!$E$2360+Sens!$E$2361-Sens!$E$2362</f>
        <v>0</v>
      </c>
      <c r="F2365" s="41" t="n">
        <f aca="false">Sens!$F$2360+Sens!$F$2361-Sens!$F$2362</f>
        <v>0</v>
      </c>
      <c r="G2365" s="41" t="n">
        <f aca="false">Sens!$G$2360+Sens!$G$2361-Sens!$G$2362</f>
        <v>0</v>
      </c>
      <c r="H2365" s="41" t="n">
        <f aca="false">Sens!$H$2360+Sens!$H$2361-Sens!$H$2362</f>
        <v>0</v>
      </c>
      <c r="I2365" s="41" t="n">
        <f aca="false">Sens!$I$2360+Sens!$I$2361-Sens!$I$2362</f>
        <v>0</v>
      </c>
      <c r="J2365" s="41" t="n">
        <f aca="false">Sens!$J$2360+Sens!$J$2361-Sens!$J$2362</f>
        <v>0</v>
      </c>
      <c r="K2365" s="41" t="n">
        <f aca="false">Sens!$K$2360+Sens!$K$2361-Sens!$K$2362</f>
        <v>0</v>
      </c>
      <c r="L2365" s="41" t="n">
        <f aca="false">Sens!$L$2360+Sens!$L$2361-Sens!$L$2362</f>
        <v>0</v>
      </c>
      <c r="M2365" s="41" t="n">
        <f aca="false">Sens!$M$2360+Sens!$M$2361-Sens!$M$2362</f>
        <v>0</v>
      </c>
      <c r="N2365" s="41" t="n">
        <f aca="false">Sens!$N$2360+Sens!$N$2361-Sens!$N$2362</f>
        <v>0</v>
      </c>
      <c r="O2365" s="41" t="n">
        <f aca="false">Sens!$O$2360+Sens!$O$2361-Sens!$O$2362</f>
        <v>0</v>
      </c>
    </row>
    <row r="2366" customFormat="false" ht="17.15" hidden="false" customHeight="false" outlineLevel="0" collapsed="false">
      <c r="A2366" s="24" t="s">
        <v>716</v>
      </c>
      <c r="B2366" s="25" t="s">
        <v>86</v>
      </c>
      <c r="C2366" s="41" t="n">
        <f aca="false">Sens!$C$2292+Sens!$C$2293+Sens!$C$2362-Sens!$C$2363</f>
        <v>0</v>
      </c>
      <c r="D2366" s="41" t="n">
        <f aca="false">Sens!$D$2292+Sens!$D$2293+Sens!$D$2362-Sens!$D$2363</f>
        <v>0</v>
      </c>
      <c r="E2366" s="41" t="n">
        <f aca="false">Sens!$E$2292+Sens!$E$2293+Sens!$E$2362-Sens!$E$2363</f>
        <v>0</v>
      </c>
      <c r="F2366" s="41" t="n">
        <f aca="false">Sens!$F$2292+Sens!$F$2293+Sens!$F$2362-Sens!$F$2363</f>
        <v>0</v>
      </c>
      <c r="G2366" s="41" t="n">
        <f aca="false">Sens!$G$2292+Sens!$G$2293+Sens!$G$2362-Sens!$G$2363</f>
        <v>0</v>
      </c>
      <c r="H2366" s="41" t="n">
        <f aca="false">Sens!$H$2292+Sens!$H$2293+Sens!$H$2362-Sens!$H$2363</f>
        <v>0</v>
      </c>
      <c r="I2366" s="41" t="n">
        <f aca="false">Sens!$I$2292+Sens!$I$2293+Sens!$I$2362-Sens!$I$2363</f>
        <v>0</v>
      </c>
      <c r="J2366" s="41" t="n">
        <f aca="false">Sens!$J$2292+Sens!$J$2293+Sens!$J$2362-Sens!$J$2363</f>
        <v>0</v>
      </c>
      <c r="K2366" s="41" t="n">
        <f aca="false">Sens!$K$2292+Sens!$K$2293+Sens!$K$2362-Sens!$K$2363</f>
        <v>0</v>
      </c>
      <c r="L2366" s="41" t="n">
        <f aca="false">Sens!$L$2292+Sens!$L$2293+Sens!$L$2362-Sens!$L$2363</f>
        <v>0</v>
      </c>
      <c r="M2366" s="41" t="n">
        <f aca="false">Sens!$M$2292+Sens!$M$2293+Sens!$M$2362-Sens!$M$2363</f>
        <v>0</v>
      </c>
      <c r="N2366" s="41" t="n">
        <f aca="false">Sens!$N$2292+Sens!$N$2293+Sens!$N$2362-Sens!$N$2363</f>
        <v>0</v>
      </c>
      <c r="O2366" s="41" t="n">
        <f aca="false">Sens!$O$2292+Sens!$O$2293+Sens!$O$2362-Sens!$O$2363</f>
        <v>0</v>
      </c>
    </row>
    <row r="2367" customFormat="false" ht="15" hidden="false" customHeight="false" outlineLevel="0" collapsed="false">
      <c r="A2367" s="5" t="s">
        <v>710</v>
      </c>
      <c r="B2367" s="0" t="s">
        <v>52</v>
      </c>
      <c r="G2367" s="13" t="n">
        <f aca="false">Sens!$G$2363/Sens!$D$2363-1</f>
        <v>0.139828089894924</v>
      </c>
      <c r="H2367" s="13" t="n">
        <f aca="false">Sens!$H$2363/Sens!$G$2363-1</f>
        <v>0.14589722426289</v>
      </c>
      <c r="I2367" s="13" t="n">
        <f aca="false">Sens!$I$2363/Sens!$H$2363-1</f>
        <v>0.128830634651527</v>
      </c>
      <c r="J2367" s="13" t="n">
        <f aca="false">Sens!$J$2363/Sens!$I$2363-1</f>
        <v>0.109003254924938</v>
      </c>
      <c r="K2367" s="13" t="n">
        <f aca="false">Sens!$K$2363/Sens!$J$2363-1</f>
        <v>0.086267698829446</v>
      </c>
      <c r="L2367" s="13" t="n">
        <f aca="false">Sens!$L$2363/Sens!$K$2363-1</f>
        <v>0.0752398368440079</v>
      </c>
      <c r="M2367" s="13" t="n">
        <f aca="false">Sens!$M$2363/Sens!$L$2363-1</f>
        <v>0.0663532696914106</v>
      </c>
    </row>
    <row r="2368" customFormat="false" ht="17.15" hidden="false" customHeight="false" outlineLevel="0" collapsed="false">
      <c r="A2368" s="0" t="s">
        <v>711</v>
      </c>
      <c r="B2368" s="0" t="s">
        <v>52</v>
      </c>
      <c r="C2368" s="13" t="n">
        <f aca="false">Sens!$C$2362/Sens!$C$2363</f>
        <v>0.168593906504964</v>
      </c>
      <c r="D2368" s="13" t="n">
        <f aca="false">Sens!$D$2362/Sens!$D$2363</f>
        <v>0.179551807444025</v>
      </c>
      <c r="E2368" s="13" t="n">
        <f aca="false">Sens!$E$2362/Sens!$E$2363</f>
        <v>0.208881910369643</v>
      </c>
      <c r="F2368" s="13" t="n">
        <f aca="false">Sens!$F$2362/Sens!$F$2363</f>
        <v>0.197673457767437</v>
      </c>
      <c r="G2368" s="13" t="n">
        <f aca="false">Sens!$G$2362/Sens!$G$2363</f>
        <v>0.202914753159616</v>
      </c>
      <c r="H2368" s="13" t="n">
        <f aca="false">Sens!$H$2362/Sens!$H$2363</f>
        <v>0.22992064592239</v>
      </c>
      <c r="I2368" s="13" t="n">
        <f aca="false">Sens!$I$2362/Sens!$I$2363</f>
        <v>0.254013520129726</v>
      </c>
      <c r="J2368" s="13" t="n">
        <f aca="false">Sens!$J$2362/Sens!$J$2363</f>
        <v>0.273952340434101</v>
      </c>
      <c r="K2368" s="13" t="n">
        <f aca="false">Sens!$K$2362/Sens!$K$2363</f>
        <v>0.28836686985658</v>
      </c>
      <c r="L2368" s="13" t="n">
        <f aca="false">Sens!$L$2362/Sens!$L$2363</f>
        <v>0.295132881211825</v>
      </c>
      <c r="M2368" s="13" t="n">
        <f aca="false">Sens!$M$2362/Sens!$M$2363</f>
        <v>0.295805661078436</v>
      </c>
      <c r="N2368" s="13" t="n">
        <f aca="false">Sens!$N$2362/Sens!$N$2363</f>
        <v>0.185979484737251</v>
      </c>
      <c r="O2368" s="13" t="n">
        <f aca="false">Sens!$O$2362/Sens!$O$2363</f>
        <v>0.174270432341096</v>
      </c>
    </row>
    <row r="2369" customFormat="false" ht="17.15" hidden="false" customHeight="false" outlineLevel="0" collapsed="false">
      <c r="A2369" s="0" t="s">
        <v>712</v>
      </c>
      <c r="B2369" s="0" t="s">
        <v>52</v>
      </c>
      <c r="C2369" s="13" t="n">
        <f aca="false">Sens!$C$2360/Sens!$C$2362</f>
        <v>0.0215795060896058</v>
      </c>
      <c r="D2369" s="13" t="n">
        <f aca="false">Sens!$D$2360/Sens!$D$2362</f>
        <v>0.0676152269462122</v>
      </c>
      <c r="E2369" s="13" t="n">
        <f aca="false">Sens!$E$2360/Sens!$E$2362</f>
        <v>0.106620641395783</v>
      </c>
      <c r="F2369" s="13" t="n">
        <f aca="false">Sens!$F$2360/Sens!$F$2362</f>
        <v>0.165442902398157</v>
      </c>
      <c r="G2369" s="13" t="n">
        <f aca="false">Sens!$G$2360/Sens!$G$2362</f>
        <v>0.137127554790734</v>
      </c>
      <c r="H2369" s="13" t="n">
        <f aca="false">Sens!$H$2360/Sens!$H$2362</f>
        <v>0.252113273099942</v>
      </c>
      <c r="I2369" s="13" t="n">
        <f aca="false">Sens!$I$2360/Sens!$I$2362</f>
        <v>0.334190030441488</v>
      </c>
      <c r="J2369" s="13" t="n">
        <f aca="false">Sens!$J$2360/Sens!$J$2362</f>
        <v>0.390373747018433</v>
      </c>
      <c r="K2369" s="13" t="n">
        <f aca="false">Sens!$K$2360/Sens!$K$2362</f>
        <v>0.424188674227925</v>
      </c>
      <c r="L2369" s="13" t="n">
        <f aca="false">Sens!$L$2360/Sens!$L$2362</f>
        <v>0.434898607132783</v>
      </c>
      <c r="M2369" s="13" t="n">
        <f aca="false">Sens!$M$2360/Sens!$M$2362</f>
        <v>0.428968396535641</v>
      </c>
      <c r="N2369" s="13" t="n">
        <f aca="false">Sens!$N$2360/Sens!$N$2362</f>
        <v>0.0506537999838362</v>
      </c>
      <c r="O2369" s="13" t="n">
        <f aca="false">Sens!$O$2360/Sens!$O$2362</f>
        <v>0.0824881615167056</v>
      </c>
    </row>
    <row r="2372" customFormat="false" ht="19.4" hidden="false" customHeight="false" outlineLevel="0" collapsed="false">
      <c r="A2372" s="31" t="s">
        <v>1199</v>
      </c>
    </row>
    <row r="2373" customFormat="false" ht="17.15" hidden="false" customHeight="false" outlineLevel="0" collapsed="false">
      <c r="A2373" s="6" t="s">
        <v>16</v>
      </c>
      <c r="B2373" s="6" t="s">
        <v>17</v>
      </c>
      <c r="C2373" s="20" t="s">
        <v>504</v>
      </c>
      <c r="D2373" s="20" t="s">
        <v>505</v>
      </c>
      <c r="E2373" s="20" t="s">
        <v>587</v>
      </c>
      <c r="F2373" s="20" t="s">
        <v>588</v>
      </c>
      <c r="G2373" s="20" t="s">
        <v>589</v>
      </c>
      <c r="H2373" s="20" t="s">
        <v>590</v>
      </c>
      <c r="I2373" s="20" t="s">
        <v>591</v>
      </c>
      <c r="J2373" s="20" t="s">
        <v>592</v>
      </c>
      <c r="K2373" s="20" t="s">
        <v>593</v>
      </c>
      <c r="L2373" s="20" t="s">
        <v>594</v>
      </c>
      <c r="M2373" s="20" t="s">
        <v>595</v>
      </c>
      <c r="N2373" s="20" t="s">
        <v>596</v>
      </c>
      <c r="O2373" s="20" t="s">
        <v>597</v>
      </c>
      <c r="P2373" s="6" t="s">
        <v>23</v>
      </c>
      <c r="R2373" s="20" t="n">
        <v>2023</v>
      </c>
      <c r="S2373" s="20" t="n">
        <v>2024</v>
      </c>
      <c r="T2373" s="20" t="n">
        <v>2025</v>
      </c>
      <c r="U2373" s="20" t="n">
        <v>2026</v>
      </c>
      <c r="V2373" s="20" t="n">
        <v>2027</v>
      </c>
      <c r="W2373" s="20" t="n">
        <v>2028</v>
      </c>
      <c r="X2373" s="20" t="n">
        <v>2029</v>
      </c>
      <c r="Y2373" s="20" t="n">
        <v>2030</v>
      </c>
      <c r="Z2373" s="20" t="n">
        <v>2031</v>
      </c>
      <c r="AA2373" s="20" t="n">
        <v>2032</v>
      </c>
    </row>
    <row r="2374" customFormat="false" ht="17.15" hidden="false" customHeight="false" outlineLevel="0" collapsed="false">
      <c r="A2374" s="1" t="s">
        <v>727</v>
      </c>
    </row>
    <row r="2375" customFormat="false" ht="15" hidden="false" customHeight="false" outlineLevel="0" collapsed="false">
      <c r="A2375" s="0" t="s">
        <v>526</v>
      </c>
      <c r="B2375" s="0" t="s">
        <v>86</v>
      </c>
      <c r="C2375" s="38" t="n">
        <f aca="false">Sens!$C$2277</f>
        <v>247.029</v>
      </c>
      <c r="D2375" s="38" t="n">
        <f aca="false">Sens!$D$2277</f>
        <v>269.287</v>
      </c>
      <c r="E2375" s="38" t="n">
        <f aca="false">Sens!$E$2277</f>
        <v>134.686</v>
      </c>
      <c r="F2375" s="38" t="n">
        <f aca="false">Sens!$F$2277</f>
        <v>158.293876822267</v>
      </c>
      <c r="G2375" s="38" t="n">
        <f aca="false">Sens!$G$2277</f>
        <v>292.979876822267</v>
      </c>
      <c r="H2375" s="38" t="n">
        <f aca="false">Sens!$H$2277</f>
        <v>318.184543087396</v>
      </c>
      <c r="I2375" s="38" t="n">
        <f aca="false">Sens!$I$2277</f>
        <v>341.736278761793</v>
      </c>
      <c r="J2375" s="38" t="n">
        <f aca="false">Sens!$J$2277</f>
        <v>362.927192787048</v>
      </c>
      <c r="K2375" s="38" t="n">
        <f aca="false">Sens!$K$2277</f>
        <v>381.0735524264</v>
      </c>
      <c r="L2375" s="38" t="n">
        <f aca="false">Sens!$L$2277</f>
        <v>400.12723004772</v>
      </c>
      <c r="M2375" s="38" t="n">
        <f aca="false">Sens!$M$2277</f>
        <v>420.133591550106</v>
      </c>
      <c r="N2375" s="38" t="n">
        <f aca="false">Sens!$N$2277</f>
        <v>118.892</v>
      </c>
      <c r="O2375" s="38" t="n">
        <f aca="false">Sens!$O$2277</f>
        <v>150.395</v>
      </c>
    </row>
    <row r="2376" customFormat="false" ht="15" hidden="false" customHeight="false" outlineLevel="0" collapsed="false">
      <c r="A2376" s="0" t="s">
        <v>527</v>
      </c>
      <c r="B2376" s="0" t="s">
        <v>86</v>
      </c>
      <c r="C2376" s="38" t="n">
        <f aca="false">Sens!$C$2279</f>
        <v>21.215</v>
      </c>
      <c r="D2376" s="38" t="n">
        <f aca="false">Sens!$D$2279</f>
        <v>22.561</v>
      </c>
      <c r="E2376" s="38" t="n">
        <f aca="false">Sens!$E$2279</f>
        <v>11.579</v>
      </c>
      <c r="F2376" s="38" t="n">
        <f aca="false">Sens!$F$2279</f>
        <v>11.5938724610325</v>
      </c>
      <c r="G2376" s="38" t="n">
        <f aca="false">Sens!$G$2279</f>
        <v>23.1728724610325</v>
      </c>
      <c r="H2376" s="38" t="n">
        <f aca="false">Sens!$H$2279</f>
        <v>24.353392759506</v>
      </c>
      <c r="I2376" s="38" t="n">
        <f aca="false">Sens!$I$2279</f>
        <v>25.4240338872015</v>
      </c>
      <c r="J2376" s="38" t="n">
        <f aca="false">Sens!$J$2279</f>
        <v>26.3642491017174</v>
      </c>
      <c r="K2376" s="38" t="n">
        <f aca="false">Sens!$K$2279</f>
        <v>27.155176574769</v>
      </c>
      <c r="L2376" s="38" t="n">
        <f aca="false">Sens!$L$2279</f>
        <v>27.969831872012</v>
      </c>
      <c r="M2376" s="38" t="n">
        <f aca="false">Sens!$M$2279</f>
        <v>28.8089268281724</v>
      </c>
      <c r="N2376" s="38" t="n">
        <f aca="false">Sens!$N$2279</f>
        <v>11.128</v>
      </c>
      <c r="O2376" s="38" t="n">
        <f aca="false">Sens!$O$2279</f>
        <v>11.433</v>
      </c>
    </row>
    <row r="2377" customFormat="false" ht="15" hidden="false" customHeight="false" outlineLevel="0" collapsed="false">
      <c r="A2377" s="0" t="s">
        <v>528</v>
      </c>
      <c r="B2377" s="0" t="s">
        <v>86</v>
      </c>
      <c r="C2377" s="38" t="n">
        <f aca="false">Sens!$C$2281</f>
        <v>156.146</v>
      </c>
      <c r="D2377" s="38" t="n">
        <f aca="false">Sens!$D$2281</f>
        <v>172.162</v>
      </c>
      <c r="E2377" s="38" t="n">
        <f aca="false">Sens!$E$2281</f>
        <v>88.358</v>
      </c>
      <c r="F2377" s="38" t="n">
        <f aca="false">Sens!$F$2281</f>
        <v>102.004388260171</v>
      </c>
      <c r="G2377" s="38" t="n">
        <f aca="false">Sens!$G$2281</f>
        <v>190.362388260171</v>
      </c>
      <c r="H2377" s="38" t="n">
        <f aca="false">Sens!$H$2281</f>
        <v>210.343106588311</v>
      </c>
      <c r="I2377" s="38" t="n">
        <f aca="false">Sens!$I$2281</f>
        <v>229.969728494648</v>
      </c>
      <c r="J2377" s="38" t="n">
        <f aca="false">Sens!$J$2281</f>
        <v>248.747636972598</v>
      </c>
      <c r="K2377" s="38" t="n">
        <f aca="false">Sens!$K$2281</f>
        <v>266.15997156068</v>
      </c>
      <c r="L2377" s="38" t="n">
        <f aca="false">Sens!$L$2281</f>
        <v>284.791169569927</v>
      </c>
      <c r="M2377" s="38" t="n">
        <f aca="false">Sens!$M$2281</f>
        <v>304.726551439822</v>
      </c>
      <c r="N2377" s="38" t="n">
        <f aca="false">Sens!$N$2281</f>
        <v>76.86</v>
      </c>
      <c r="O2377" s="38" t="n">
        <f aca="false">Sens!$O$2281</f>
        <v>95.302</v>
      </c>
    </row>
    <row r="2378" customFormat="false" ht="15" hidden="false" customHeight="false" outlineLevel="0" collapsed="false">
      <c r="A2378" s="0" t="s">
        <v>529</v>
      </c>
      <c r="B2378" s="0" t="s">
        <v>86</v>
      </c>
      <c r="C2378" s="38" t="n">
        <f aca="false">Sens!$C$2283</f>
        <v>56.214</v>
      </c>
      <c r="D2378" s="38" t="n">
        <f aca="false">Sens!$D$2283</f>
        <v>68.635</v>
      </c>
      <c r="E2378" s="38" t="n">
        <f aca="false">Sens!$E$2283</f>
        <v>37.052</v>
      </c>
      <c r="F2378" s="38" t="n">
        <f aca="false">Sens!$F$2283</f>
        <v>46.1572219944148</v>
      </c>
      <c r="G2378" s="38" t="n">
        <f aca="false">Sens!$G$2283</f>
        <v>83.2092219944148</v>
      </c>
      <c r="H2378" s="38" t="n">
        <f aca="false">Sens!$H$2283</f>
        <v>99.8969223878976</v>
      </c>
      <c r="I2378" s="38" t="n">
        <f aca="false">Sens!$I$2283</f>
        <v>116.583111095496</v>
      </c>
      <c r="J2378" s="38" t="n">
        <f aca="false">Sens!$J$2283</f>
        <v>132.148941941952</v>
      </c>
      <c r="K2378" s="38" t="n">
        <f aca="false">Sens!$K$2283</f>
        <v>145.363836136147</v>
      </c>
      <c r="L2378" s="38" t="n">
        <f aca="false">Sens!$L$2283</f>
        <v>159.900219749762</v>
      </c>
      <c r="M2378" s="38" t="n">
        <f aca="false">Sens!$M$2283</f>
        <v>175.890241724738</v>
      </c>
      <c r="N2378" s="38" t="n">
        <f aca="false">Sens!$N$2283</f>
        <v>29.615</v>
      </c>
      <c r="O2378" s="38" t="n">
        <f aca="false">Sens!$O$2283</f>
        <v>39.02</v>
      </c>
    </row>
    <row r="2379" customFormat="false" ht="15" hidden="false" customHeight="false" outlineLevel="0" collapsed="false">
      <c r="A2379" s="0" t="s">
        <v>530</v>
      </c>
      <c r="B2379" s="0" t="s">
        <v>86</v>
      </c>
      <c r="C2379" s="38" t="n">
        <f aca="false">Sens!$C$2285</f>
        <v>44.374</v>
      </c>
      <c r="D2379" s="38" t="n">
        <f aca="false">Sens!$D$2285</f>
        <v>49.619</v>
      </c>
      <c r="E2379" s="38" t="n">
        <f aca="false">Sens!$E$2285</f>
        <v>27.157</v>
      </c>
      <c r="F2379" s="38" t="n">
        <f aca="false">Sens!$F$2285</f>
        <v>27.7764165988154</v>
      </c>
      <c r="G2379" s="38" t="n">
        <f aca="false">Sens!$G$2285</f>
        <v>54.9334165988154</v>
      </c>
      <c r="H2379" s="38" t="n">
        <f aca="false">Sens!$H$2285</f>
        <v>61.1564112561829</v>
      </c>
      <c r="I2379" s="38" t="n">
        <f aca="false">Sens!$I$2285</f>
        <v>67.2020282103945</v>
      </c>
      <c r="J2379" s="38" t="n">
        <f aca="false">Sens!$J$2285</f>
        <v>72.8757274028885</v>
      </c>
      <c r="K2379" s="38" t="n">
        <f aca="false">Sens!$K$2285</f>
        <v>77.9770283210907</v>
      </c>
      <c r="L2379" s="38" t="n">
        <f aca="false">Sens!$L$2285</f>
        <v>83.4354203035671</v>
      </c>
      <c r="M2379" s="38" t="n">
        <f aca="false">Sens!$M$2285</f>
        <v>89.2758997248168</v>
      </c>
      <c r="N2379" s="38" t="n">
        <f aca="false">Sens!$N$2285</f>
        <v>23.923</v>
      </c>
      <c r="O2379" s="38" t="n">
        <f aca="false">Sens!$O$2285</f>
        <v>25.696</v>
      </c>
    </row>
    <row r="2380" customFormat="false" ht="15" hidden="false" customHeight="false" outlineLevel="0" collapsed="false">
      <c r="A2380" s="0" t="s">
        <v>531</v>
      </c>
      <c r="B2380" s="0" t="s">
        <v>86</v>
      </c>
      <c r="C2380" s="38" t="n">
        <f aca="false">Sens!$C$2287</f>
        <v>5.425</v>
      </c>
      <c r="D2380" s="38" t="n">
        <f aca="false">Sens!$D$2287</f>
        <v>5.935</v>
      </c>
      <c r="E2380" s="38" t="n">
        <f aca="false">Sens!$E$2287</f>
        <v>3.474</v>
      </c>
      <c r="F2380" s="38" t="n">
        <f aca="false">Sens!$F$2287</f>
        <v>3.22246550883619</v>
      </c>
      <c r="G2380" s="38" t="n">
        <f aca="false">Sens!$G$2287</f>
        <v>6.69646550883619</v>
      </c>
      <c r="H2380" s="38" t="n">
        <f aca="false">Sens!$H$2287</f>
        <v>7.16251344209196</v>
      </c>
      <c r="I2380" s="38" t="n">
        <f aca="false">Sens!$I$2287</f>
        <v>7.61421070299826</v>
      </c>
      <c r="J2380" s="38" t="n">
        <f aca="false">Sens!$J$2287</f>
        <v>8.04465753523932</v>
      </c>
      <c r="K2380" s="38" t="n">
        <f aca="false">Sens!$K$2287</f>
        <v>8.44689041200128</v>
      </c>
      <c r="L2380" s="38" t="n">
        <f aca="false">Sens!$L$2287</f>
        <v>8.86923493260135</v>
      </c>
      <c r="M2380" s="38" t="n">
        <f aca="false">Sens!$M$2287</f>
        <v>9.31269667923142</v>
      </c>
      <c r="N2380" s="38" t="n">
        <f aca="false">Sens!$N$2287</f>
        <v>2.811</v>
      </c>
      <c r="O2380" s="38" t="n">
        <f aca="false">Sens!$O$2287</f>
        <v>3.124</v>
      </c>
    </row>
    <row r="2381" customFormat="false" ht="17.15" hidden="false" customHeight="false" outlineLevel="0" collapsed="false">
      <c r="A2381" s="0" t="s">
        <v>728</v>
      </c>
      <c r="B2381" s="0" t="s">
        <v>86</v>
      </c>
      <c r="C2381" s="38" t="n">
        <f aca="false">Sens!$C$2362</f>
        <v>107.556</v>
      </c>
      <c r="D2381" s="38" t="n">
        <f aca="false">Sens!$D$2362</f>
        <v>128.725</v>
      </c>
      <c r="E2381" s="38" t="n">
        <f aca="false">Sens!$E$2362</f>
        <v>79.819</v>
      </c>
      <c r="F2381" s="38" t="n">
        <f aca="false">Sens!$F$2362</f>
        <v>85.9968718742916</v>
      </c>
      <c r="G2381" s="38" t="n">
        <f aca="false">Sens!$G$2362</f>
        <v>165.815871874292</v>
      </c>
      <c r="H2381" s="38" t="n">
        <f aca="false">Sens!$H$2362</f>
        <v>215.296075311576</v>
      </c>
      <c r="I2381" s="38" t="n">
        <f aca="false">Sens!$I$2362</f>
        <v>268.499673623086</v>
      </c>
      <c r="J2381" s="38" t="n">
        <f aca="false">Sens!$J$2362</f>
        <v>321.140267644981</v>
      </c>
      <c r="K2381" s="38" t="n">
        <f aca="false">Sens!$K$2362</f>
        <v>367.199413464253</v>
      </c>
      <c r="L2381" s="38" t="n">
        <f aca="false">Sens!$L$2362</f>
        <v>404.091355036533</v>
      </c>
      <c r="M2381" s="38" t="n">
        <f aca="false">Sens!$M$2362</f>
        <v>431.886419397239</v>
      </c>
      <c r="N2381" s="38" t="n">
        <f aca="false">Sens!$N$2362</f>
        <v>60.14</v>
      </c>
      <c r="O2381" s="38" t="n">
        <f aca="false">Sens!$O$2362</f>
        <v>68.585</v>
      </c>
    </row>
    <row r="2382" customFormat="false" ht="15" hidden="false" customHeight="false" outlineLevel="0" collapsed="false">
      <c r="A2382" s="1" t="s">
        <v>519</v>
      </c>
      <c r="B2382" s="8" t="s">
        <v>86</v>
      </c>
      <c r="C2382" s="38" t="n">
        <f aca="false">Sens!$C$2292</f>
        <v>387.497</v>
      </c>
      <c r="D2382" s="38" t="n">
        <f aca="false">Sens!$D$2292</f>
        <v>426.305</v>
      </c>
      <c r="E2382" s="38" t="n">
        <f aca="false">Sens!$E$2292</f>
        <v>220.32</v>
      </c>
      <c r="F2382" s="38" t="n">
        <f aca="false">Sens!$F$2292</f>
        <v>250.639773480586</v>
      </c>
      <c r="G2382" s="38" t="n">
        <f aca="false">Sens!$G$2292</f>
        <v>470.959773480586</v>
      </c>
      <c r="H2382" s="38" t="n">
        <f aca="false">Sens!$H$2292</f>
        <v>521.386990416437</v>
      </c>
      <c r="I2382" s="38" t="n">
        <f aca="false">Sens!$I$2292</f>
        <v>570.143862887555</v>
      </c>
      <c r="J2382" s="38" t="n">
        <f aca="false">Sens!$J$2292</f>
        <v>615.391435791933</v>
      </c>
      <c r="K2382" s="38" t="n">
        <f aca="false">Sens!$K$2292</f>
        <v>655.208227561543</v>
      </c>
      <c r="L2382" s="38" t="n">
        <f aca="false">Sens!$L$2292</f>
        <v>697.807739249767</v>
      </c>
      <c r="M2382" s="38" t="n">
        <f aca="false">Sens!$M$2292</f>
        <v>743.399328463592</v>
      </c>
      <c r="N2382" s="38" t="n">
        <f aca="false">Sens!$N$2292</f>
        <v>192.955</v>
      </c>
      <c r="O2382" s="38" t="n">
        <f aca="false">Sens!$O$2292</f>
        <v>233.35</v>
      </c>
    </row>
    <row r="2383" customFormat="false" ht="15" hidden="false" customHeight="false" outlineLevel="0" collapsed="false">
      <c r="A2383" s="1" t="s">
        <v>522</v>
      </c>
      <c r="B2383" s="8" t="s">
        <v>86</v>
      </c>
      <c r="C2383" s="38" t="n">
        <f aca="false">Sens!$C$2293</f>
        <v>142.906</v>
      </c>
      <c r="D2383" s="38" t="n">
        <f aca="false">Sens!$D$2293</f>
        <v>161.894</v>
      </c>
      <c r="E2383" s="38" t="n">
        <f aca="false">Sens!$E$2293</f>
        <v>81.986</v>
      </c>
      <c r="F2383" s="38" t="n">
        <f aca="false">Sens!$F$2293</f>
        <v>98.408468164951</v>
      </c>
      <c r="G2383" s="38" t="n">
        <f aca="false">Sens!$G$2293</f>
        <v>180.394468164951</v>
      </c>
      <c r="H2383" s="38" t="n">
        <f aca="false">Sens!$H$2293</f>
        <v>199.709899104949</v>
      </c>
      <c r="I2383" s="38" t="n">
        <f aca="false">Sens!$I$2293</f>
        <v>218.385528264976</v>
      </c>
      <c r="J2383" s="38" t="n">
        <f aca="false">Sens!$J$2293</f>
        <v>235.71696994951</v>
      </c>
      <c r="K2383" s="38" t="n">
        <f aca="false">Sens!$K$2293</f>
        <v>250.968227869545</v>
      </c>
      <c r="L2383" s="38" t="n">
        <f aca="false">Sens!$L$2293</f>
        <v>267.285367225822</v>
      </c>
      <c r="M2383" s="38" t="n">
        <f aca="false">Sens!$M$2293</f>
        <v>284.748579483295</v>
      </c>
      <c r="N2383" s="38" t="n">
        <f aca="false">Sens!$N$2293</f>
        <v>70.274</v>
      </c>
      <c r="O2383" s="38" t="n">
        <f aca="false">Sens!$O$2293</f>
        <v>91.62</v>
      </c>
    </row>
    <row r="2384" customFormat="false" ht="15" hidden="false" customHeight="false" outlineLevel="0" collapsed="false">
      <c r="A2384" s="1" t="s">
        <v>523</v>
      </c>
      <c r="B2384" s="8" t="s">
        <v>86</v>
      </c>
      <c r="C2384" s="38" t="n">
        <f aca="false">Sens!$C$2362</f>
        <v>107.556</v>
      </c>
      <c r="D2384" s="38" t="n">
        <f aca="false">Sens!$D$2362</f>
        <v>128.725</v>
      </c>
      <c r="E2384" s="38" t="n">
        <f aca="false">Sens!$E$2362</f>
        <v>79.819</v>
      </c>
      <c r="F2384" s="38" t="n">
        <f aca="false">Sens!$F$2362</f>
        <v>85.9968718742916</v>
      </c>
      <c r="G2384" s="38" t="n">
        <f aca="false">Sens!$G$2362</f>
        <v>165.815871874292</v>
      </c>
      <c r="H2384" s="38" t="n">
        <f aca="false">Sens!$H$2362</f>
        <v>215.296075311576</v>
      </c>
      <c r="I2384" s="38" t="n">
        <f aca="false">Sens!$I$2362</f>
        <v>268.499673623086</v>
      </c>
      <c r="J2384" s="38" t="n">
        <f aca="false">Sens!$J$2362</f>
        <v>321.140267644981</v>
      </c>
      <c r="K2384" s="38" t="n">
        <f aca="false">Sens!$K$2362</f>
        <v>367.199413464253</v>
      </c>
      <c r="L2384" s="38" t="n">
        <f aca="false">Sens!$L$2362</f>
        <v>404.091355036533</v>
      </c>
      <c r="M2384" s="38" t="n">
        <f aca="false">Sens!$M$2362</f>
        <v>431.886419397239</v>
      </c>
      <c r="N2384" s="38" t="n">
        <f aca="false">Sens!$N$2362</f>
        <v>60.14</v>
      </c>
      <c r="O2384" s="38" t="n">
        <f aca="false">Sens!$O$2362</f>
        <v>68.585</v>
      </c>
    </row>
    <row r="2385" customFormat="false" ht="17.15" hidden="false" customHeight="false" outlineLevel="0" collapsed="false">
      <c r="A2385" s="0" t="s">
        <v>702</v>
      </c>
      <c r="B2385" s="0" t="s">
        <v>86</v>
      </c>
      <c r="C2385" s="38" t="n">
        <f aca="false">Sens!$C$2360</f>
        <v>2.32100535697364</v>
      </c>
      <c r="D2385" s="38" t="n">
        <f aca="false">Sens!$D$2360</f>
        <v>8.70377008865116</v>
      </c>
      <c r="E2385" s="38" t="n">
        <f aca="false">Sens!$E$2360</f>
        <v>8.51035297557002</v>
      </c>
      <c r="F2385" s="38" t="n">
        <f aca="false">Sens!$F$2360</f>
        <v>14.2275720800453</v>
      </c>
      <c r="G2385" s="38" t="n">
        <f aca="false">Sens!$G$2360</f>
        <v>22.7379250556153</v>
      </c>
      <c r="H2385" s="38" t="n">
        <f aca="false">Sens!$H$2360</f>
        <v>54.278998232373</v>
      </c>
      <c r="I2385" s="38" t="n">
        <f aca="false">Sens!$I$2360</f>
        <v>89.7299141016288</v>
      </c>
      <c r="J2385" s="38" t="n">
        <f aca="false">Sens!$J$2360</f>
        <v>125.364729599073</v>
      </c>
      <c r="K2385" s="38" t="n">
        <f aca="false">Sens!$K$2360</f>
        <v>155.761832374673</v>
      </c>
      <c r="L2385" s="38" t="n">
        <f aca="false">Sens!$L$2360</f>
        <v>175.738767459787</v>
      </c>
      <c r="M2385" s="38" t="n">
        <f aca="false">Sens!$M$2360</f>
        <v>185.265624814353</v>
      </c>
      <c r="N2385" s="38" t="n">
        <f aca="false">Sens!$N$2360</f>
        <v>3.04631953102791</v>
      </c>
      <c r="O2385" s="38" t="n">
        <f aca="false">Sens!$O$2360</f>
        <v>5.65745055762326</v>
      </c>
    </row>
    <row r="2386" customFormat="false" ht="17.15" hidden="false" customHeight="false" outlineLevel="0" collapsed="false">
      <c r="A2386" s="0" t="s">
        <v>704</v>
      </c>
      <c r="B2386" s="0" t="s">
        <v>86</v>
      </c>
      <c r="C2386" s="38" t="n">
        <f aca="false">Sens!$C$2361</f>
        <v>105.234994643026</v>
      </c>
      <c r="D2386" s="38" t="n">
        <f aca="false">Sens!$D$2361</f>
        <v>120.021229911349</v>
      </c>
      <c r="E2386" s="38" t="n">
        <f aca="false">Sens!$E$2361</f>
        <v>71.30864702443</v>
      </c>
      <c r="F2386" s="38" t="n">
        <f aca="false">Sens!$F$2361</f>
        <v>71.7692997942464</v>
      </c>
      <c r="G2386" s="38" t="n">
        <f aca="false">Sens!$G$2361</f>
        <v>143.077946818676</v>
      </c>
      <c r="H2386" s="38" t="n">
        <f aca="false">Sens!$H$2361</f>
        <v>161.017077079203</v>
      </c>
      <c r="I2386" s="38" t="n">
        <f aca="false">Sens!$I$2361</f>
        <v>178.769759521457</v>
      </c>
      <c r="J2386" s="38" t="n">
        <f aca="false">Sens!$J$2361</f>
        <v>195.775538045907</v>
      </c>
      <c r="K2386" s="38" t="n">
        <f aca="false">Sens!$K$2361</f>
        <v>211.43758108958</v>
      </c>
      <c r="L2386" s="38" t="n">
        <f aca="false">Sens!$L$2361</f>
        <v>228.352587576746</v>
      </c>
      <c r="M2386" s="38" t="n">
        <f aca="false">Sens!$M$2361</f>
        <v>246.620794582886</v>
      </c>
      <c r="N2386" s="38" t="n">
        <f aca="false">Sens!$N$2361</f>
        <v>57.0936804689721</v>
      </c>
      <c r="O2386" s="38" t="n">
        <f aca="false">Sens!$O$2361</f>
        <v>62.9275494423768</v>
      </c>
    </row>
    <row r="2387" customFormat="false" ht="15" hidden="false" customHeight="false" outlineLevel="0" collapsed="false">
      <c r="A2387" s="3" t="s">
        <v>524</v>
      </c>
      <c r="B2387" s="8" t="s">
        <v>86</v>
      </c>
      <c r="C2387" s="38" t="n">
        <f aca="false">Sens!$C$2363</f>
        <v>637.959</v>
      </c>
      <c r="D2387" s="38" t="n">
        <f aca="false">Sens!$D$2363</f>
        <v>716.924</v>
      </c>
      <c r="E2387" s="38" t="n">
        <f aca="false">Sens!$E$2363</f>
        <v>382.125</v>
      </c>
      <c r="F2387" s="38" t="n">
        <f aca="false">Sens!$F$2363</f>
        <v>435.045113519829</v>
      </c>
      <c r="G2387" s="38" t="n">
        <f aca="false">Sens!$G$2363</f>
        <v>817.170113519829</v>
      </c>
      <c r="H2387" s="38" t="n">
        <f aca="false">Sens!$H$2363</f>
        <v>936.392964832962</v>
      </c>
      <c r="I2387" s="38" t="n">
        <f aca="false">Sens!$I$2363</f>
        <v>1057.02906477562</v>
      </c>
      <c r="J2387" s="38" t="n">
        <f aca="false">Sens!$J$2363</f>
        <v>1172.24867338642</v>
      </c>
      <c r="K2387" s="38" t="n">
        <f aca="false">Sens!$K$2363</f>
        <v>1273.37586889534</v>
      </c>
      <c r="L2387" s="38" t="n">
        <f aca="false">Sens!$L$2363</f>
        <v>1369.18446151212</v>
      </c>
      <c r="M2387" s="38" t="n">
        <f aca="false">Sens!$M$2363</f>
        <v>1460.03432734413</v>
      </c>
      <c r="N2387" s="38" t="n">
        <f aca="false">Sens!$N$2363</f>
        <v>323.369</v>
      </c>
      <c r="O2387" s="38" t="n">
        <f aca="false">Sens!$O$2363</f>
        <v>393.555</v>
      </c>
    </row>
    <row r="2388" customFormat="false" ht="17.15" hidden="false" customHeight="false" outlineLevel="0" collapsed="false">
      <c r="A2388" s="24" t="s">
        <v>714</v>
      </c>
      <c r="B2388" s="25" t="s">
        <v>86</v>
      </c>
      <c r="C2388" s="41" t="n">
        <f aca="false">Sens!$C$2375+Sens!$C$2376+Sens!$C$2377+Sens!$C$2378+Sens!$C$2379+Sens!$C$2380-(Sens!$C$2382+Sens!$C$2383)</f>
        <v>0</v>
      </c>
      <c r="D2388" s="41" t="n">
        <f aca="false">Sens!$D$2375+Sens!$D$2376+Sens!$D$2377+Sens!$D$2378+Sens!$D$2379+Sens!$D$2380-(Sens!$D$2382+Sens!$D$2383)</f>
        <v>0</v>
      </c>
      <c r="E2388" s="41" t="n">
        <f aca="false">Sens!$E$2375+Sens!$E$2376+Sens!$E$2377+Sens!$E$2378+Sens!$E$2379+Sens!$E$2380-(Sens!$E$2382+Sens!$E$2383)</f>
        <v>0</v>
      </c>
      <c r="F2388" s="41" t="n">
        <f aca="false">Sens!$F$2375+Sens!$F$2376+Sens!$F$2377+Sens!$F$2378+Sens!$F$2379+Sens!$F$2380-(Sens!$F$2382+Sens!$F$2383)</f>
        <v>0</v>
      </c>
      <c r="G2388" s="41" t="n">
        <f aca="false">Sens!$G$2375+Sens!$G$2376+Sens!$G$2377+Sens!$G$2378+Sens!$G$2379+Sens!$G$2380-(Sens!$G$2382+Sens!$G$2383)</f>
        <v>0</v>
      </c>
      <c r="H2388" s="41" t="n">
        <f aca="false">Sens!$H$2375+Sens!$H$2376+Sens!$H$2377+Sens!$H$2378+Sens!$H$2379+Sens!$H$2380-(Sens!$H$2382+Sens!$H$2383)</f>
        <v>0</v>
      </c>
      <c r="I2388" s="41" t="n">
        <f aca="false">Sens!$I$2375+Sens!$I$2376+Sens!$I$2377+Sens!$I$2378+Sens!$I$2379+Sens!$I$2380-(Sens!$I$2382+Sens!$I$2383)</f>
        <v>0</v>
      </c>
      <c r="J2388" s="41" t="n">
        <f aca="false">Sens!$J$2375+Sens!$J$2376+Sens!$J$2377+Sens!$J$2378+Sens!$J$2379+Sens!$J$2380-(Sens!$J$2382+Sens!$J$2383)</f>
        <v>0</v>
      </c>
      <c r="K2388" s="41" t="n">
        <f aca="false">Sens!$K$2375+Sens!$K$2376+Sens!$K$2377+Sens!$K$2378+Sens!$K$2379+Sens!$K$2380-(Sens!$K$2382+Sens!$K$2383)</f>
        <v>0</v>
      </c>
      <c r="L2388" s="41" t="n">
        <f aca="false">Sens!$L$2375+Sens!$L$2376+Sens!$L$2377+Sens!$L$2378+Sens!$L$2379+Sens!$L$2380-(Sens!$L$2382+Sens!$L$2383)</f>
        <v>0</v>
      </c>
      <c r="M2388" s="41" t="n">
        <f aca="false">Sens!$M$2375+Sens!$M$2376+Sens!$M$2377+Sens!$M$2378+Sens!$M$2379+Sens!$M$2380-(Sens!$M$2382+Sens!$M$2383)</f>
        <v>0</v>
      </c>
      <c r="N2388" s="41" t="n">
        <f aca="false">Sens!$N$2375+Sens!$N$2376+Sens!$N$2377+Sens!$N$2378+Sens!$N$2379+Sens!$N$2380-(Sens!$N$2382+Sens!$N$2383)</f>
        <v>0</v>
      </c>
      <c r="O2388" s="41" t="n">
        <f aca="false">Sens!$O$2375+Sens!$O$2376+Sens!$O$2377+Sens!$O$2378+Sens!$O$2379+Sens!$O$2380-(Sens!$O$2382+Sens!$O$2383)</f>
        <v>0</v>
      </c>
    </row>
    <row r="2389" customFormat="false" ht="17.15" hidden="false" customHeight="false" outlineLevel="0" collapsed="false">
      <c r="A2389" s="24" t="s">
        <v>715</v>
      </c>
      <c r="B2389" s="25" t="s">
        <v>86</v>
      </c>
      <c r="C2389" s="41" t="n">
        <f aca="false">Sens!$C$2385+Sens!$C$2386-Sens!$C$2384</f>
        <v>0</v>
      </c>
      <c r="D2389" s="41" t="n">
        <f aca="false">Sens!$D$2385+Sens!$D$2386-Sens!$D$2384</f>
        <v>0</v>
      </c>
      <c r="E2389" s="41" t="n">
        <f aca="false">Sens!$E$2385+Sens!$E$2386-Sens!$E$2384</f>
        <v>0</v>
      </c>
      <c r="F2389" s="41" t="n">
        <f aca="false">Sens!$F$2385+Sens!$F$2386-Sens!$F$2384</f>
        <v>0</v>
      </c>
      <c r="G2389" s="41" t="n">
        <f aca="false">Sens!$G$2385+Sens!$G$2386-Sens!$G$2384</f>
        <v>0</v>
      </c>
      <c r="H2389" s="41" t="n">
        <f aca="false">Sens!$H$2385+Sens!$H$2386-Sens!$H$2384</f>
        <v>0</v>
      </c>
      <c r="I2389" s="41" t="n">
        <f aca="false">Sens!$I$2385+Sens!$I$2386-Sens!$I$2384</f>
        <v>0</v>
      </c>
      <c r="J2389" s="41" t="n">
        <f aca="false">Sens!$J$2385+Sens!$J$2386-Sens!$J$2384</f>
        <v>0</v>
      </c>
      <c r="K2389" s="41" t="n">
        <f aca="false">Sens!$K$2385+Sens!$K$2386-Sens!$K$2384</f>
        <v>0</v>
      </c>
      <c r="L2389" s="41" t="n">
        <f aca="false">Sens!$L$2385+Sens!$L$2386-Sens!$L$2384</f>
        <v>0</v>
      </c>
      <c r="M2389" s="41" t="n">
        <f aca="false">Sens!$M$2385+Sens!$M$2386-Sens!$M$2384</f>
        <v>0</v>
      </c>
      <c r="N2389" s="41" t="n">
        <f aca="false">Sens!$N$2385+Sens!$N$2386-Sens!$N$2384</f>
        <v>0</v>
      </c>
      <c r="O2389" s="41" t="n">
        <f aca="false">Sens!$O$2385+Sens!$O$2386-Sens!$O$2384</f>
        <v>0</v>
      </c>
    </row>
    <row r="2390" customFormat="false" ht="17.15" hidden="false" customHeight="false" outlineLevel="0" collapsed="false">
      <c r="A2390" s="24" t="s">
        <v>774</v>
      </c>
      <c r="B2390" s="25" t="s">
        <v>86</v>
      </c>
      <c r="C2390" s="41" t="n">
        <f aca="false">Sens!$C$2375+Sens!$C$2376+Sens!$C$2377+Sens!$C$2378+Sens!$C$2379+Sens!$C$2380+Sens!$C$2381-Sens!$C$2387</f>
        <v>0</v>
      </c>
      <c r="D2390" s="41" t="n">
        <f aca="false">Sens!$D$2375+Sens!$D$2376+Sens!$D$2377+Sens!$D$2378+Sens!$D$2379+Sens!$D$2380+Sens!$D$2381-Sens!$D$2387</f>
        <v>0</v>
      </c>
      <c r="E2390" s="41" t="n">
        <f aca="false">Sens!$E$2375+Sens!$E$2376+Sens!$E$2377+Sens!$E$2378+Sens!$E$2379+Sens!$E$2380+Sens!$E$2381-Sens!$E$2387</f>
        <v>0</v>
      </c>
      <c r="F2390" s="41" t="n">
        <f aca="false">Sens!$F$2375+Sens!$F$2376+Sens!$F$2377+Sens!$F$2378+Sens!$F$2379+Sens!$F$2380+Sens!$F$2381-Sens!$F$2387</f>
        <v>0</v>
      </c>
      <c r="G2390" s="41" t="n">
        <f aca="false">Sens!$G$2375+Sens!$G$2376+Sens!$G$2377+Sens!$G$2378+Sens!$G$2379+Sens!$G$2380+Sens!$G$2381-Sens!$G$2387</f>
        <v>0</v>
      </c>
      <c r="H2390" s="41" t="n">
        <f aca="false">Sens!$H$2375+Sens!$H$2376+Sens!$H$2377+Sens!$H$2378+Sens!$H$2379+Sens!$H$2380+Sens!$H$2381-Sens!$H$2387</f>
        <v>0</v>
      </c>
      <c r="I2390" s="41" t="n">
        <f aca="false">Sens!$I$2375+Sens!$I$2376+Sens!$I$2377+Sens!$I$2378+Sens!$I$2379+Sens!$I$2380+Sens!$I$2381-Sens!$I$2387</f>
        <v>0</v>
      </c>
      <c r="J2390" s="41" t="n">
        <f aca="false">Sens!$J$2375+Sens!$J$2376+Sens!$J$2377+Sens!$J$2378+Sens!$J$2379+Sens!$J$2380+Sens!$J$2381-Sens!$J$2387</f>
        <v>0</v>
      </c>
      <c r="K2390" s="41" t="n">
        <f aca="false">Sens!$K$2375+Sens!$K$2376+Sens!$K$2377+Sens!$K$2378+Sens!$K$2379+Sens!$K$2380+Sens!$K$2381-Sens!$K$2387</f>
        <v>0</v>
      </c>
      <c r="L2390" s="41" t="n">
        <f aca="false">Sens!$L$2375+Sens!$L$2376+Sens!$L$2377+Sens!$L$2378+Sens!$L$2379+Sens!$L$2380+Sens!$L$2381-Sens!$L$2387</f>
        <v>0</v>
      </c>
      <c r="M2390" s="41" t="n">
        <f aca="false">Sens!$M$2375+Sens!$M$2376+Sens!$M$2377+Sens!$M$2378+Sens!$M$2379+Sens!$M$2380+Sens!$M$2381-Sens!$M$2387</f>
        <v>0</v>
      </c>
      <c r="N2390" s="41" t="n">
        <f aca="false">Sens!$N$2375+Sens!$N$2376+Sens!$N$2377+Sens!$N$2378+Sens!$N$2379+Sens!$N$2380+Sens!$N$2381-Sens!$N$2387</f>
        <v>0</v>
      </c>
      <c r="O2390" s="41" t="n">
        <f aca="false">Sens!$O$2375+Sens!$O$2376+Sens!$O$2377+Sens!$O$2378+Sens!$O$2379+Sens!$O$2380+Sens!$O$2381-Sens!$O$2387</f>
        <v>0</v>
      </c>
    </row>
    <row r="2391" customFormat="false" ht="17.15" hidden="false" customHeight="false" outlineLevel="0" collapsed="false">
      <c r="A2391" s="24" t="s">
        <v>716</v>
      </c>
      <c r="B2391" s="25" t="s">
        <v>86</v>
      </c>
      <c r="C2391" s="41" t="n">
        <f aca="false">Sens!$C$2382+Sens!$C$2383+Sens!$C$2384-Sens!$C$2387</f>
        <v>0</v>
      </c>
      <c r="D2391" s="41" t="n">
        <f aca="false">Sens!$D$2382+Sens!$D$2383+Sens!$D$2384-Sens!$D$2387</f>
        <v>0</v>
      </c>
      <c r="E2391" s="41" t="n">
        <f aca="false">Sens!$E$2382+Sens!$E$2383+Sens!$E$2384-Sens!$E$2387</f>
        <v>0</v>
      </c>
      <c r="F2391" s="41" t="n">
        <f aca="false">Sens!$F$2382+Sens!$F$2383+Sens!$F$2384-Sens!$F$2387</f>
        <v>0</v>
      </c>
      <c r="G2391" s="41" t="n">
        <f aca="false">Sens!$G$2382+Sens!$G$2383+Sens!$G$2384-Sens!$G$2387</f>
        <v>0</v>
      </c>
      <c r="H2391" s="41" t="n">
        <f aca="false">Sens!$H$2382+Sens!$H$2383+Sens!$H$2384-Sens!$H$2387</f>
        <v>0</v>
      </c>
      <c r="I2391" s="41" t="n">
        <f aca="false">Sens!$I$2382+Sens!$I$2383+Sens!$I$2384-Sens!$I$2387</f>
        <v>0</v>
      </c>
      <c r="J2391" s="41" t="n">
        <f aca="false">Sens!$J$2382+Sens!$J$2383+Sens!$J$2384-Sens!$J$2387</f>
        <v>0</v>
      </c>
      <c r="K2391" s="41" t="n">
        <f aca="false">Sens!$K$2382+Sens!$K$2383+Sens!$K$2384-Sens!$K$2387</f>
        <v>0</v>
      </c>
      <c r="L2391" s="41" t="n">
        <f aca="false">Sens!$L$2382+Sens!$L$2383+Sens!$L$2384-Sens!$L$2387</f>
        <v>0</v>
      </c>
      <c r="M2391" s="41" t="n">
        <f aca="false">Sens!$M$2382+Sens!$M$2383+Sens!$M$2384-Sens!$M$2387</f>
        <v>0</v>
      </c>
      <c r="N2391" s="41" t="n">
        <f aca="false">Sens!$N$2382+Sens!$N$2383+Sens!$N$2384-Sens!$N$2387</f>
        <v>0</v>
      </c>
      <c r="O2391" s="41" t="n">
        <f aca="false">Sens!$O$2382+Sens!$O$2383+Sens!$O$2384-Sens!$O$2387</f>
        <v>0</v>
      </c>
    </row>
    <row r="2392" customFormat="false" ht="17.15" hidden="false" customHeight="false" outlineLevel="0" collapsed="false">
      <c r="A2392" s="1" t="s">
        <v>730</v>
      </c>
    </row>
    <row r="2393" customFormat="false" ht="17.15" hidden="false" customHeight="false" outlineLevel="0" collapsed="false">
      <c r="A2393" s="0" t="s">
        <v>731</v>
      </c>
      <c r="B2393" s="0" t="s">
        <v>86</v>
      </c>
      <c r="C2393" s="38" t="n">
        <f aca="false">Sens!$C$2294*m_ad</f>
        <v>20.5341564414228</v>
      </c>
      <c r="D2393" s="38" t="n">
        <f aca="false">Sens!$D$2294*m_ad</f>
        <v>24.8720617299587</v>
      </c>
      <c r="E2393" s="38" t="n">
        <f aca="false">Sens!$E$2294*m_ad</f>
        <v>13.5017112462207</v>
      </c>
      <c r="F2393" s="38" t="n">
        <f aca="false">Sens!$F$2294*m_ad</f>
        <v>16.5719724165257</v>
      </c>
      <c r="G2393" s="38" t="n">
        <f aca="false">Sens!$G$2294*m_ad</f>
        <v>30.0820919220415</v>
      </c>
      <c r="H2393" s="38" t="n">
        <f aca="false">Sens!$H$2294*m_ad</f>
        <v>36.1150883276314</v>
      </c>
      <c r="I2393" s="38" t="n">
        <f aca="false">Sens!$I$2294*m_ad</f>
        <v>42.1475382231996</v>
      </c>
      <c r="J2393" s="38" t="n">
        <f aca="false">Sens!$J$2294*m_ad</f>
        <v>47.7749523864693</v>
      </c>
      <c r="K2393" s="38" t="n">
        <f aca="false">Sens!$K$2294*m_ad</f>
        <v>52.5524476251162</v>
      </c>
      <c r="L2393" s="38" t="n">
        <f aca="false">Sens!$L$2294*m_ad</f>
        <v>57.8076923876279</v>
      </c>
      <c r="M2393" s="38" t="n">
        <f aca="false">Sens!$M$2294*m_ad</f>
        <v>63.5884616263907</v>
      </c>
      <c r="N2393" s="38" t="n">
        <f aca="false">Sens!$N$2294*m_ad</f>
        <v>10.8543555706248</v>
      </c>
      <c r="O2393" s="38" t="n">
        <f aca="false">Sens!$O$2294*m_ad</f>
        <v>14.0094731821399</v>
      </c>
    </row>
    <row r="2394" customFormat="false" ht="17.15" hidden="false" customHeight="false" outlineLevel="0" collapsed="false">
      <c r="A2394" s="0" t="s">
        <v>732</v>
      </c>
      <c r="B2394" s="0" t="s">
        <v>86</v>
      </c>
      <c r="C2394" s="38" t="n">
        <f aca="false">Sens!$C$2292-Sens!$C$2294</f>
        <v>346.428687117154</v>
      </c>
      <c r="D2394" s="38" t="n">
        <f aca="false">Sens!$D$2292-Sens!$D$2294</f>
        <v>376.560876540083</v>
      </c>
      <c r="E2394" s="38" t="n">
        <f aca="false">Sens!$E$2292-Sens!$E$2294</f>
        <v>193.316577507559</v>
      </c>
      <c r="F2394" s="38" t="n">
        <f aca="false">Sens!$F$2292-Sens!$F$2294</f>
        <v>217.495828647535</v>
      </c>
      <c r="G2394" s="38" t="n">
        <f aca="false">Sens!$G$2292-Sens!$G$2294</f>
        <v>410.795589636503</v>
      </c>
      <c r="H2394" s="38" t="n">
        <f aca="false">Sens!$H$2292-Sens!$H$2294</f>
        <v>449.156813761174</v>
      </c>
      <c r="I2394" s="38" t="n">
        <f aca="false">Sens!$I$2292-Sens!$I$2294</f>
        <v>485.848786441156</v>
      </c>
      <c r="J2394" s="38" t="n">
        <f aca="false">Sens!$J$2292-Sens!$J$2294</f>
        <v>519.841531018994</v>
      </c>
      <c r="K2394" s="38" t="n">
        <f aca="false">Sens!$K$2292-Sens!$K$2294</f>
        <v>550.103332311311</v>
      </c>
      <c r="L2394" s="38" t="n">
        <f aca="false">Sens!$L$2292-Sens!$L$2294</f>
        <v>582.192354474511</v>
      </c>
      <c r="M2394" s="38" t="n">
        <f aca="false">Sens!$M$2292-Sens!$M$2294</f>
        <v>616.22240521081</v>
      </c>
      <c r="N2394" s="38" t="n">
        <f aca="false">Sens!$N$2292-Sens!$N$2294</f>
        <v>171.24628885875</v>
      </c>
      <c r="O2394" s="38" t="n">
        <f aca="false">Sens!$O$2292-Sens!$O$2294</f>
        <v>205.33105363572</v>
      </c>
    </row>
    <row r="2395" customFormat="false" ht="17.15" hidden="false" customHeight="false" outlineLevel="0" collapsed="false">
      <c r="A2395" s="0" t="s">
        <v>733</v>
      </c>
      <c r="B2395" s="0" t="s">
        <v>86</v>
      </c>
      <c r="C2395" s="38" t="n">
        <f aca="false">Sens!$C$2346*Sens!$C$2291</f>
        <v>0.123617442257179</v>
      </c>
      <c r="D2395" s="38" t="n">
        <f aca="false">Sens!$D$2346*Sens!$D$2291</f>
        <v>0.600198046024689</v>
      </c>
      <c r="E2395" s="38" t="n">
        <f aca="false">Sens!$E$2346*Sens!$E$2291</f>
        <v>1.10840000750276</v>
      </c>
      <c r="F2395" s="38" t="n">
        <f aca="false">Sens!$F$2346*Sens!$F$2291</f>
        <v>1.33595298721025</v>
      </c>
      <c r="G2395" s="38" t="n">
        <f aca="false">Sens!$G$2346*Sens!$G$2291</f>
        <v>2.44487335052545</v>
      </c>
      <c r="H2395" s="38" t="n">
        <f aca="false">Sens!$H$2346*Sens!$H$2291</f>
        <v>6.4919693288958</v>
      </c>
      <c r="I2395" s="38" t="n">
        <f aca="false">Sens!$I$2346*Sens!$I$2291</f>
        <v>12.1397373570198</v>
      </c>
      <c r="J2395" s="38" t="n">
        <f aca="false">Sens!$J$2346*Sens!$J$2291</f>
        <v>17.2690119074504</v>
      </c>
      <c r="K2395" s="38" t="n">
        <f aca="false">Sens!$K$2346*Sens!$K$2291</f>
        <v>22.260222786042</v>
      </c>
      <c r="L2395" s="38" t="n">
        <f aca="false">Sens!$L$2346*Sens!$L$2291</f>
        <v>25.6869759397287</v>
      </c>
      <c r="M2395" s="38" t="n">
        <f aca="false">Sens!$M$2346*Sens!$M$2291</f>
        <v>27.4311459533761</v>
      </c>
      <c r="N2395" s="38" t="n">
        <f aca="false">Sens!$N$2346*Sens!$N$2291</f>
        <v>0.25053229484398</v>
      </c>
      <c r="O2395" s="38" t="n">
        <f aca="false">Sens!$O$2346*Sens!$O$2291</f>
        <v>0.349234376756897</v>
      </c>
    </row>
    <row r="2396" customFormat="false" ht="17.15" hidden="false" customHeight="false" outlineLevel="0" collapsed="false">
      <c r="A2396" s="0" t="s">
        <v>734</v>
      </c>
      <c r="B2396" s="0" t="s">
        <v>52</v>
      </c>
      <c r="C2396" s="28" t="n">
        <f aca="false">(Sens!$C$2397-Sens!$C$2393+Sens!$C$2395)/Sens!$C$2394</f>
        <v>0.0131526665379575</v>
      </c>
      <c r="D2396" s="28" t="n">
        <f aca="false">(Sens!$D$2397-Sens!$D$2393+Sens!$D$2395)/Sens!$D$2394</f>
        <v>0.0141999252954702</v>
      </c>
      <c r="E2396" s="28" t="n">
        <f aca="false">(Sens!$E$2397-Sens!$E$2393+Sens!$E$2395)/Sens!$E$2394</f>
        <v>0.0258471819939326</v>
      </c>
      <c r="F2396" s="28" t="n">
        <f aca="false">Sens!$O$2396+(Sens!$E$2396-Sens!$N$2396)</f>
        <v>0.0224302350712874</v>
      </c>
      <c r="G2396" s="28" t="n">
        <f aca="false">(Sens!$G$2397-Sens!$G$2393+Sens!$G$2395)/Sens!$G$2394</f>
        <v>0.0240199351461372</v>
      </c>
      <c r="H2396" s="28" t="n">
        <f aca="false">Sens!$G$2396+step_na</f>
        <v>0.0270199351461372</v>
      </c>
      <c r="I2396" s="28" t="n">
        <f aca="false">Sens!$H$2396+step_na</f>
        <v>0.0300199351461372</v>
      </c>
      <c r="J2396" s="28" t="n">
        <f aca="false">Sens!$I$2396+step_na</f>
        <v>0.0330199351461372</v>
      </c>
      <c r="K2396" s="28" t="n">
        <f aca="false">Sens!$J$2396+step_na</f>
        <v>0.0360199351461372</v>
      </c>
      <c r="L2396" s="28" t="n">
        <f aca="false">Sens!$K$2396</f>
        <v>0.0360199351461372</v>
      </c>
      <c r="M2396" s="28" t="n">
        <f aca="false">Sens!$L$2396</f>
        <v>0.0360199351461372</v>
      </c>
      <c r="N2396" s="28" t="n">
        <f aca="false">(Sens!$N$2397-Sens!$N$2393+Sens!$N$2395)/Sens!$N$2394</f>
        <v>0.0160831323269779</v>
      </c>
      <c r="O2396" s="28" t="n">
        <f aca="false">(Sens!$O$2397-Sens!$O$2393+Sens!$O$2395)/Sens!$O$2394</f>
        <v>0.0126661854043327</v>
      </c>
      <c r="P2396" s="8" t="s">
        <v>735</v>
      </c>
    </row>
    <row r="2397" customFormat="false" ht="17.15" hidden="false" customHeight="false" outlineLevel="0" collapsed="false">
      <c r="A2397" s="1" t="s">
        <v>736</v>
      </c>
      <c r="B2397" s="8" t="s">
        <v>86</v>
      </c>
      <c r="C2397" s="38" t="n">
        <f aca="false">Q!$D$22</f>
        <v>24.967</v>
      </c>
      <c r="D2397" s="38" t="n">
        <f aca="false">Q!$E$22</f>
        <v>29.619</v>
      </c>
      <c r="E2397" s="38" t="n">
        <f aca="false">Q!$P$22</f>
        <v>17.39</v>
      </c>
      <c r="F2397" s="38" t="n">
        <f aca="false">Sens!$F$2393+Sens!$F$2394*Sens!$F$2396-Sens!$F$2395</f>
        <v>20.1145019929041</v>
      </c>
      <c r="G2397" s="38" t="n">
        <f aca="false">Sens!$E$2397+Sens!$F$2397</f>
        <v>37.5045019929041</v>
      </c>
      <c r="H2397" s="38" t="n">
        <f aca="false">Sens!$H$2393+Sens!$H$2394*Sens!$H$2396-Sens!$H$2395</f>
        <v>41.7593069770082</v>
      </c>
      <c r="I2397" s="38" t="n">
        <f aca="false">Sens!$I$2393+Sens!$I$2394*Sens!$I$2396-Sens!$I$2395</f>
        <v>44.5929499259728</v>
      </c>
      <c r="J2397" s="38" t="n">
        <f aca="false">Sens!$J$2393+Sens!$J$2394*Sens!$J$2396-Sens!$J$2395</f>
        <v>47.6710741195348</v>
      </c>
      <c r="K2397" s="38" t="n">
        <f aca="false">Sens!$K$2393+Sens!$K$2394*Sens!$K$2396-Sens!$K$2395</f>
        <v>50.1069111926016</v>
      </c>
      <c r="L2397" s="38" t="n">
        <f aca="false">Sens!$L$2393+Sens!$L$2394*Sens!$L$2396-Sens!$L$2395</f>
        <v>53.0912472986479</v>
      </c>
      <c r="M2397" s="38" t="n">
        <f aca="false">Sens!$M$2393+Sens!$M$2394*Sens!$M$2396-Sens!$M$2395</f>
        <v>58.3536067443046</v>
      </c>
      <c r="N2397" s="38" t="n">
        <f aca="false">Q!$N$22</f>
        <v>13.358</v>
      </c>
      <c r="O2397" s="38" t="n">
        <f aca="false">Q!$O$22</f>
        <v>16.261</v>
      </c>
    </row>
    <row r="2398" customFormat="false" ht="17.15" hidden="false" customHeight="false" outlineLevel="0" collapsed="false">
      <c r="A2398" s="0" t="s">
        <v>737</v>
      </c>
      <c r="B2398" s="0" t="s">
        <v>86</v>
      </c>
      <c r="C2398" s="38" t="n">
        <f aca="false">Sens!$C$2295*m_ad</f>
        <v>7.57284355857716</v>
      </c>
      <c r="D2398" s="38" t="n">
        <f aca="false">Sens!$D$2295*m_ad</f>
        <v>9.44543827004127</v>
      </c>
      <c r="E2398" s="38" t="n">
        <f aca="false">Sens!$E$2295*m_ad</f>
        <v>5.02428875377928</v>
      </c>
      <c r="F2398" s="38" t="n">
        <f aca="false">Sens!$F$2295*m_ad</f>
        <v>6.50663858068173</v>
      </c>
      <c r="G2398" s="38" t="n">
        <f aca="false">Sens!$G$2295*m_ad</f>
        <v>11.5225190751659</v>
      </c>
      <c r="H2398" s="38" t="n">
        <f aca="false">Sens!$H$2295*m_ad</f>
        <v>13.8333728663174</v>
      </c>
      <c r="I2398" s="38" t="n">
        <f aca="false">Sens!$I$2295*m_ad</f>
        <v>16.1440173245485</v>
      </c>
      <c r="J2398" s="38" t="n">
        <f aca="false">Sens!$J$2295*m_ad</f>
        <v>18.2995185845066</v>
      </c>
      <c r="K2398" s="38" t="n">
        <f aca="false">Sens!$K$2295*m_ad</f>
        <v>20.1294704429572</v>
      </c>
      <c r="L2398" s="38" t="n">
        <f aca="false">Sens!$L$2295*m_ad</f>
        <v>22.142417487253</v>
      </c>
      <c r="M2398" s="38" t="n">
        <f aca="false">Sens!$M$2295*m_ad</f>
        <v>24.3566592359783</v>
      </c>
      <c r="N2398" s="38" t="n">
        <f aca="false">Sens!$N$2295*m_ad</f>
        <v>3.95314442937518</v>
      </c>
      <c r="O2398" s="38" t="n">
        <f aca="false">Sens!$O$2295*m_ad</f>
        <v>5.50052681786011</v>
      </c>
    </row>
    <row r="2399" customFormat="false" ht="17.15" hidden="false" customHeight="false" outlineLevel="0" collapsed="false">
      <c r="A2399" s="0" t="s">
        <v>738</v>
      </c>
      <c r="B2399" s="0" t="s">
        <v>86</v>
      </c>
      <c r="C2399" s="38" t="n">
        <f aca="false">Sens!$C$2293-Sens!$C$2295</f>
        <v>127.760312882846</v>
      </c>
      <c r="D2399" s="38" t="n">
        <f aca="false">Sens!$D$2293-Sens!$D$2295</f>
        <v>143.003123459917</v>
      </c>
      <c r="E2399" s="38" t="n">
        <f aca="false">Sens!$E$2293-Sens!$E$2295</f>
        <v>71.9374224924414</v>
      </c>
      <c r="F2399" s="38" t="n">
        <f aca="false">Sens!$F$2293-Sens!$F$2295</f>
        <v>85.3951910035875</v>
      </c>
      <c r="G2399" s="38" t="n">
        <f aca="false">Sens!$G$2293-Sens!$G$2295</f>
        <v>157.349430014619</v>
      </c>
      <c r="H2399" s="38" t="n">
        <f aca="false">Sens!$H$2293-Sens!$H$2295</f>
        <v>172.043153372315</v>
      </c>
      <c r="I2399" s="38" t="n">
        <f aca="false">Sens!$I$2293-Sens!$I$2295</f>
        <v>186.097493615879</v>
      </c>
      <c r="J2399" s="38" t="n">
        <f aca="false">Sens!$J$2293-Sens!$J$2295</f>
        <v>199.117932780497</v>
      </c>
      <c r="K2399" s="38" t="n">
        <f aca="false">Sens!$K$2293-Sens!$K$2295</f>
        <v>210.70928698363</v>
      </c>
      <c r="L2399" s="38" t="n">
        <f aca="false">Sens!$L$2293-Sens!$L$2295</f>
        <v>223.000532251316</v>
      </c>
      <c r="M2399" s="38" t="n">
        <f aca="false">Sens!$M$2293-Sens!$M$2295</f>
        <v>236.035261011339</v>
      </c>
      <c r="N2399" s="38" t="n">
        <f aca="false">Sens!$N$2293-Sens!$N$2295</f>
        <v>62.3677111412496</v>
      </c>
      <c r="O2399" s="38" t="n">
        <f aca="false">Sens!$O$2293-Sens!$O$2295</f>
        <v>80.6189463642798</v>
      </c>
    </row>
    <row r="2400" customFormat="false" ht="17.15" hidden="false" customHeight="false" outlineLevel="0" collapsed="false">
      <c r="A2400" s="0" t="s">
        <v>739</v>
      </c>
      <c r="B2400" s="0" t="s">
        <v>86</v>
      </c>
      <c r="C2400" s="38" t="n">
        <f aca="false">Sens!$C$2346*(1-Sens!$C$2291)</f>
        <v>0.0455891896019953</v>
      </c>
      <c r="D2400" s="38" t="n">
        <f aca="false">Sens!$D$2346*(1-Sens!$D$2291)</f>
        <v>0.227931791705753</v>
      </c>
      <c r="E2400" s="38" t="n">
        <f aca="false">Sens!$E$2346*(1-Sens!$E$2291)</f>
        <v>0.412460434890711</v>
      </c>
      <c r="F2400" s="38" t="n">
        <f aca="false">Sens!$F$2346*(1-Sens!$F$2291)</f>
        <v>0.524534016233997</v>
      </c>
      <c r="G2400" s="38" t="n">
        <f aca="false">Sens!$G$2346*(1-Sens!$G$2291)</f>
        <v>0.936474095312266</v>
      </c>
      <c r="H2400" s="38" t="n">
        <f aca="false">Sens!$H$2346*(1-Sens!$H$2291)</f>
        <v>2.48665686619965</v>
      </c>
      <c r="I2400" s="38" t="n">
        <f aca="false">Sens!$I$2346*(1-Sens!$I$2291)</f>
        <v>4.64995438569457</v>
      </c>
      <c r="J2400" s="38" t="n">
        <f aca="false">Sens!$J$2346*(1-Sens!$J$2291)</f>
        <v>6.61465032513468</v>
      </c>
      <c r="K2400" s="38" t="n">
        <f aca="false">Sens!$K$2346*(1-Sens!$K$2291)</f>
        <v>8.52646293131212</v>
      </c>
      <c r="L2400" s="38" t="n">
        <f aca="false">Sens!$L$2346*(1-Sens!$L$2291)</f>
        <v>9.83903217289168</v>
      </c>
      <c r="M2400" s="38" t="n">
        <f aca="false">Sens!$M$2346*(1-Sens!$M$2291)</f>
        <v>10.5071117833345</v>
      </c>
      <c r="N2400" s="38" t="n">
        <f aca="false">Sens!$N$2346*(1-Sens!$N$2291)</f>
        <v>0.0912435878202994</v>
      </c>
      <c r="O2400" s="38" t="n">
        <f aca="false">Sens!$O$2346*(1-Sens!$O$2291)</f>
        <v>0.137119578309265</v>
      </c>
    </row>
    <row r="2401" customFormat="false" ht="17.15" hidden="false" customHeight="false" outlineLevel="0" collapsed="false">
      <c r="A2401" s="0" t="s">
        <v>740</v>
      </c>
      <c r="B2401" s="0" t="s">
        <v>52</v>
      </c>
      <c r="C2401" s="28" t="n">
        <f aca="false">(Sens!$C$2402-Sens!$C$2398+Sens!$C$2400)/Sens!$C$2399</f>
        <v>-0.0292364215826579</v>
      </c>
      <c r="D2401" s="28" t="n">
        <f aca="false">(Sens!$D$2402-Sens!$D$2398+Sens!$D$2400)/Sens!$D$2399</f>
        <v>-0.0312406216748665</v>
      </c>
      <c r="E2401" s="28" t="n">
        <f aca="false">(Sens!$E$2402-Sens!$E$2398+Sens!$E$2400)/Sens!$E$2399</f>
        <v>-0.0204459413185552</v>
      </c>
      <c r="F2401" s="28" t="n">
        <f aca="false">Sens!$O$2401+(Sens!$E$2401-Sens!$N$2401)</f>
        <v>-0.0375409290246314</v>
      </c>
      <c r="G2401" s="28" t="n">
        <f aca="false">(Sens!$G$2402-Sens!$G$2398+Sens!$G$2400)/Sens!$G$2399</f>
        <v>-0.0296712560031684</v>
      </c>
      <c r="H2401" s="28" t="n">
        <f aca="false">Sens!$G$2401+step_in</f>
        <v>-0.0296712560031684</v>
      </c>
      <c r="I2401" s="28" t="n">
        <f aca="false">Sens!$H$2401+step_in</f>
        <v>-0.0296712560031684</v>
      </c>
      <c r="J2401" s="28" t="n">
        <f aca="false">Sens!$I$2401+step_in</f>
        <v>-0.0296712560031684</v>
      </c>
      <c r="K2401" s="28" t="n">
        <f aca="false">Sens!$J$2401+step_in</f>
        <v>-0.0296712560031684</v>
      </c>
      <c r="L2401" s="28" t="n">
        <f aca="false">Sens!$K$2401</f>
        <v>-0.0296712560031684</v>
      </c>
      <c r="M2401" s="28" t="n">
        <f aca="false">Sens!$L$2401</f>
        <v>-0.0296712560031684</v>
      </c>
      <c r="N2401" s="28" t="n">
        <f aca="false">(Sens!$N$2402-Sens!$N$2398+Sens!$N$2400)/Sens!$N$2399</f>
        <v>-0.0216602600421776</v>
      </c>
      <c r="O2401" s="28" t="n">
        <f aca="false">(Sens!$O$2402-Sens!$O$2398+Sens!$O$2400)/Sens!$O$2399</f>
        <v>-0.0387552477482538</v>
      </c>
      <c r="P2401" s="8" t="s">
        <v>735</v>
      </c>
    </row>
    <row r="2402" customFormat="false" ht="17.15" hidden="false" customHeight="false" outlineLevel="0" collapsed="false">
      <c r="A2402" s="1" t="s">
        <v>741</v>
      </c>
      <c r="B2402" s="8" t="s">
        <v>86</v>
      </c>
      <c r="C2402" s="38" t="n">
        <f aca="false">Q!$D$23</f>
        <v>3.792</v>
      </c>
      <c r="D2402" s="38" t="n">
        <f aca="false">Q!$E$23</f>
        <v>4.75</v>
      </c>
      <c r="E2402" s="38" t="n">
        <f aca="false">Q!$P$23</f>
        <v>3.141</v>
      </c>
      <c r="F2402" s="38" t="n">
        <f aca="false">Sens!$F$2398+Sens!$F$2399*Sens!$F$2401-Sens!$F$2400</f>
        <v>2.77628975993721</v>
      </c>
      <c r="G2402" s="38" t="n">
        <f aca="false">Sens!$E$2402+Sens!$F$2402</f>
        <v>5.91728975993721</v>
      </c>
      <c r="H2402" s="38" t="n">
        <f aca="false">Sens!$H$2398+Sens!$H$2399*Sens!$H$2401-Sens!$H$2400</f>
        <v>6.24197955281539</v>
      </c>
      <c r="I2402" s="38" t="n">
        <f aca="false">Sens!$I$2398+Sens!$I$2399*Sens!$I$2401-Sens!$I$2400</f>
        <v>5.97231656422922</v>
      </c>
      <c r="J2402" s="38" t="n">
        <f aca="false">Sens!$J$2398+Sens!$J$2399*Sens!$J$2401-Sens!$J$2400</f>
        <v>5.7767891010201</v>
      </c>
      <c r="K2402" s="38" t="n">
        <f aca="false">Sens!$K$2398+Sens!$K$2399*Sens!$K$2401-Sens!$K$2400</f>
        <v>5.35099831530875</v>
      </c>
      <c r="L2402" s="38" t="n">
        <f aca="false">Sens!$L$2398+Sens!$L$2399*Sens!$L$2401-Sens!$L$2400</f>
        <v>5.68667943308966</v>
      </c>
      <c r="M2402" s="38" t="n">
        <f aca="false">Sens!$M$2398+Sens!$M$2399*Sens!$M$2401-Sens!$M$2400</f>
        <v>6.84608479740163</v>
      </c>
      <c r="N2402" s="38" t="n">
        <f aca="false">Q!$N$23</f>
        <v>2.511</v>
      </c>
      <c r="O2402" s="38" t="n">
        <f aca="false">Q!$O$23</f>
        <v>2.239</v>
      </c>
    </row>
    <row r="2403" customFormat="false" ht="17.15" hidden="false" customHeight="false" outlineLevel="0" collapsed="false">
      <c r="A2403" s="0" t="s">
        <v>742</v>
      </c>
      <c r="B2403" s="0" t="s">
        <v>86</v>
      </c>
      <c r="C2403" s="38" t="n">
        <f aca="false">Sens!$C$2343</f>
        <v>1.64417882953695</v>
      </c>
      <c r="D2403" s="38" t="n">
        <f aca="false">Sens!$D$2343</f>
        <v>5.39125073772939</v>
      </c>
      <c r="E2403" s="38" t="n">
        <f aca="false">Sens!$E$2343</f>
        <v>2.42691120599613</v>
      </c>
      <c r="F2403" s="38" t="n">
        <f aca="false">Sens!$F$2343</f>
        <v>6.78562406626826</v>
      </c>
      <c r="G2403" s="38" t="n">
        <f aca="false">Sens!$G$2343</f>
        <v>9.21253527226439</v>
      </c>
      <c r="H2403" s="38" t="n">
        <f aca="false">Sens!$H$2343</f>
        <v>18.3644934519911</v>
      </c>
      <c r="I2403" s="38" t="n">
        <f aca="false">Sens!$I$2343</f>
        <v>22.5711471307714</v>
      </c>
      <c r="J2403" s="38" t="n">
        <f aca="false">Sens!$J$2343</f>
        <v>29.8300806687332</v>
      </c>
      <c r="K2403" s="38" t="n">
        <f aca="false">Sens!$K$2343</f>
        <v>32.6150895052564</v>
      </c>
      <c r="L2403" s="38" t="n">
        <f aca="false">Sens!$L$2343</f>
        <v>33.6347350093054</v>
      </c>
      <c r="M2403" s="38" t="n">
        <f aca="false">Sens!$M$2343</f>
        <v>33.5125938675103</v>
      </c>
      <c r="N2403" s="38" t="n">
        <f aca="false">Sens!$N$2343</f>
        <v>1.67921600037079</v>
      </c>
      <c r="O2403" s="38" t="n">
        <f aca="false">Sens!$O$2343</f>
        <v>3.71203473735861</v>
      </c>
    </row>
    <row r="2404" customFormat="false" ht="17.15" hidden="false" customHeight="false" outlineLevel="0" collapsed="false">
      <c r="A2404" s="0" t="s">
        <v>660</v>
      </c>
      <c r="B2404" s="0" t="s">
        <v>86</v>
      </c>
      <c r="C2404" s="38" t="n">
        <f aca="false">Sens!$C$2348</f>
        <v>38.1898211704631</v>
      </c>
      <c r="D2404" s="38" t="n">
        <f aca="false">Sens!$D$2348</f>
        <v>40.2147492622706</v>
      </c>
      <c r="E2404" s="38" t="n">
        <f aca="false">Sens!$E$2348</f>
        <v>28.3550887940039</v>
      </c>
      <c r="F2404" s="38" t="n">
        <f aca="false">Sens!$F$2348</f>
        <v>25.9529793149447</v>
      </c>
      <c r="G2404" s="38" t="n">
        <f aca="false">Sens!$G$2348</f>
        <v>54.3080681089486</v>
      </c>
      <c r="H2404" s="38" t="n">
        <f aca="false">Sens!$H$2348</f>
        <v>58.2264684589333</v>
      </c>
      <c r="I2404" s="38" t="n">
        <f aca="false">Sens!$I$2348</f>
        <v>64.6461353851744</v>
      </c>
      <c r="J2404" s="38" t="n">
        <f aca="false">Sens!$J$2348</f>
        <v>70.7957093610231</v>
      </c>
      <c r="K2404" s="38" t="n">
        <f aca="false">Sens!$K$2348</f>
        <v>76.4593661099049</v>
      </c>
      <c r="L2404" s="38" t="n">
        <f aca="false">Sens!$L$2348</f>
        <v>82.5761153986973</v>
      </c>
      <c r="M2404" s="38" t="n">
        <f aca="false">Sens!$M$2348</f>
        <v>89.1822046305931</v>
      </c>
      <c r="N2404" s="38" t="n">
        <f aca="false">Sens!$N$2348</f>
        <v>20.0277839996292</v>
      </c>
      <c r="O2404" s="38" t="n">
        <f aca="false">Sens!$O$2348</f>
        <v>20.1869652626414</v>
      </c>
    </row>
    <row r="2405" customFormat="false" ht="17.15" hidden="false" customHeight="false" outlineLevel="0" collapsed="false">
      <c r="A2405" s="1" t="s">
        <v>743</v>
      </c>
      <c r="B2405" s="8" t="s">
        <v>86</v>
      </c>
      <c r="C2405" s="38" t="n">
        <f aca="false">Q!$D$24</f>
        <v>39.834</v>
      </c>
      <c r="D2405" s="38" t="n">
        <f aca="false">Q!$E$24</f>
        <v>45.606</v>
      </c>
      <c r="E2405" s="38" t="n">
        <f aca="false">Q!$P$24</f>
        <v>30.782</v>
      </c>
      <c r="F2405" s="38" t="n">
        <f aca="false">Sens!$F$2403+Sens!$F$2404</f>
        <v>32.738603381213</v>
      </c>
      <c r="G2405" s="38" t="n">
        <f aca="false">Sens!$G$2403+Sens!$G$2404</f>
        <v>63.520603381213</v>
      </c>
      <c r="H2405" s="38" t="n">
        <f aca="false">Sens!$H$2403+Sens!$H$2404</f>
        <v>76.5909619109244</v>
      </c>
      <c r="I2405" s="38" t="n">
        <f aca="false">Sens!$I$2403+Sens!$I$2404</f>
        <v>87.2172825159459</v>
      </c>
      <c r="J2405" s="38" t="n">
        <f aca="false">Sens!$J$2403+Sens!$J$2404</f>
        <v>100.625790029756</v>
      </c>
      <c r="K2405" s="38" t="n">
        <f aca="false">Sens!$K$2403+Sens!$K$2404</f>
        <v>109.074455615161</v>
      </c>
      <c r="L2405" s="38" t="n">
        <f aca="false">Sens!$L$2403+Sens!$L$2404</f>
        <v>116.210850408003</v>
      </c>
      <c r="M2405" s="38" t="n">
        <f aca="false">Sens!$M$2403+Sens!$M$2404</f>
        <v>122.694798498103</v>
      </c>
      <c r="N2405" s="38" t="n">
        <f aca="false">Q!$N$24</f>
        <v>21.707</v>
      </c>
      <c r="O2405" s="38" t="n">
        <f aca="false">Q!$O$24</f>
        <v>23.899</v>
      </c>
    </row>
    <row r="2406" customFormat="false" ht="17.15" hidden="false" customHeight="false" outlineLevel="0" collapsed="false">
      <c r="A2406" s="5" t="s">
        <v>744</v>
      </c>
      <c r="B2406" s="0" t="s">
        <v>86</v>
      </c>
      <c r="C2406" s="38" t="n">
        <f aca="false">Q!$D$26</f>
        <v>0</v>
      </c>
      <c r="D2406" s="38" t="n">
        <f aca="false">Q!$E$26</f>
        <v>0</v>
      </c>
      <c r="E2406" s="38" t="n">
        <f aca="false">Q!$P$26</f>
        <v>0</v>
      </c>
      <c r="F2406" s="39" t="n">
        <v>0</v>
      </c>
      <c r="G2406" s="38" t="n">
        <f aca="false">Sens!$E$2406+Sens!$F$2406</f>
        <v>0</v>
      </c>
      <c r="H2406" s="39" t="n">
        <v>0</v>
      </c>
      <c r="I2406" s="39" t="n">
        <v>0</v>
      </c>
      <c r="J2406" s="39" t="n">
        <v>0</v>
      </c>
      <c r="K2406" s="39" t="n">
        <v>0</v>
      </c>
      <c r="L2406" s="39" t="n">
        <v>0</v>
      </c>
      <c r="M2406" s="39" t="n">
        <v>0</v>
      </c>
      <c r="N2406" s="38" t="n">
        <f aca="false">Q!$N$26</f>
        <v>0</v>
      </c>
      <c r="O2406" s="38" t="n">
        <f aca="false">Q!$O$26</f>
        <v>0</v>
      </c>
    </row>
    <row r="2407" customFormat="false" ht="15" hidden="false" customHeight="false" outlineLevel="0" collapsed="false">
      <c r="A2407" s="3" t="s">
        <v>541</v>
      </c>
      <c r="B2407" s="8" t="s">
        <v>86</v>
      </c>
      <c r="C2407" s="38" t="n">
        <f aca="false">Q!$D$25</f>
        <v>68.593</v>
      </c>
      <c r="D2407" s="38" t="n">
        <f aca="false">Q!$E$25</f>
        <v>79.975</v>
      </c>
      <c r="E2407" s="38" t="n">
        <f aca="false">Q!$P$25</f>
        <v>51.313</v>
      </c>
      <c r="F2407" s="38" t="n">
        <f aca="false">Sens!$F$2397+Sens!$F$2402+Sens!$F$2405+Sens!$F$2406</f>
        <v>55.6293951340542</v>
      </c>
      <c r="G2407" s="38" t="n">
        <f aca="false">Sens!$G$2397+Sens!$G$2402+Sens!$G$2405+Sens!$G$2406</f>
        <v>106.942395134054</v>
      </c>
      <c r="H2407" s="38" t="n">
        <f aca="false">Sens!$H$2397+Sens!$H$2402+Sens!$H$2405+Sens!$H$2406</f>
        <v>124.592248440748</v>
      </c>
      <c r="I2407" s="38" t="n">
        <f aca="false">Sens!$I$2397+Sens!$I$2402+Sens!$I$2405+Sens!$I$2406</f>
        <v>137.782549006148</v>
      </c>
      <c r="J2407" s="38" t="n">
        <f aca="false">Sens!$J$2397+Sens!$J$2402+Sens!$J$2405+Sens!$J$2406</f>
        <v>154.073653250311</v>
      </c>
      <c r="K2407" s="38" t="n">
        <f aca="false">Sens!$K$2397+Sens!$K$2402+Sens!$K$2405+Sens!$K$2406</f>
        <v>164.532365123072</v>
      </c>
      <c r="L2407" s="38" t="n">
        <f aca="false">Sens!$L$2397+Sens!$L$2402+Sens!$L$2405+Sens!$L$2406</f>
        <v>174.98877713974</v>
      </c>
      <c r="M2407" s="38" t="n">
        <f aca="false">Sens!$M$2397+Sens!$M$2402+Sens!$M$2405+Sens!$M$2406</f>
        <v>187.89449003981</v>
      </c>
      <c r="N2407" s="38" t="n">
        <f aca="false">Q!$N$25</f>
        <v>37.576</v>
      </c>
      <c r="O2407" s="38" t="n">
        <f aca="false">Q!$O$25</f>
        <v>42.399</v>
      </c>
    </row>
    <row r="2408" customFormat="false" ht="17.15" hidden="false" customHeight="false" outlineLevel="0" collapsed="false">
      <c r="A2408" s="24" t="s">
        <v>775</v>
      </c>
      <c r="B2408" s="25" t="s">
        <v>86</v>
      </c>
      <c r="C2408" s="41" t="n">
        <f aca="false">Sens!$C$2397+Sens!$C$2402+Sens!$C$2405+Sens!$C$2406-Sens!$C$2407</f>
        <v>0</v>
      </c>
      <c r="D2408" s="41" t="n">
        <f aca="false">Sens!$D$2397+Sens!$D$2402+Sens!$D$2405+Sens!$D$2406-Sens!$D$2407</f>
        <v>0</v>
      </c>
      <c r="E2408" s="41" t="n">
        <f aca="false">Sens!$E$2397+Sens!$E$2402+Sens!$E$2405+Sens!$E$2406-Sens!$E$2407</f>
        <v>0</v>
      </c>
      <c r="F2408" s="41" t="n">
        <f aca="false">Sens!$F$2397+Sens!$F$2402+Sens!$F$2405+Sens!$F$2406-Sens!$F$2407</f>
        <v>0</v>
      </c>
      <c r="G2408" s="41" t="n">
        <f aca="false">Sens!$G$2397+Sens!$G$2402+Sens!$G$2405+Sens!$G$2406-Sens!$G$2407</f>
        <v>0</v>
      </c>
      <c r="H2408" s="41" t="n">
        <f aca="false">Sens!$H$2397+Sens!$H$2402+Sens!$H$2405+Sens!$H$2406-Sens!$H$2407</f>
        <v>0</v>
      </c>
      <c r="I2408" s="41" t="n">
        <f aca="false">Sens!$I$2397+Sens!$I$2402+Sens!$I$2405+Sens!$I$2406-Sens!$I$2407</f>
        <v>0</v>
      </c>
      <c r="J2408" s="41" t="n">
        <f aca="false">Sens!$J$2397+Sens!$J$2402+Sens!$J$2405+Sens!$J$2406-Sens!$J$2407</f>
        <v>0</v>
      </c>
      <c r="K2408" s="41" t="n">
        <f aca="false">Sens!$K$2397+Sens!$K$2402+Sens!$K$2405+Sens!$K$2406-Sens!$K$2407</f>
        <v>0</v>
      </c>
      <c r="L2408" s="41" t="n">
        <f aca="false">Sens!$L$2397+Sens!$L$2402+Sens!$L$2405+Sens!$L$2406-Sens!$L$2407</f>
        <v>0</v>
      </c>
      <c r="M2408" s="41" t="n">
        <f aca="false">Sens!$M$2397+Sens!$M$2402+Sens!$M$2405+Sens!$M$2406-Sens!$M$2407</f>
        <v>0</v>
      </c>
      <c r="N2408" s="41" t="n">
        <f aca="false">Sens!$N$2397+Sens!$N$2402+Sens!$N$2405+Sens!$N$2406-Sens!$N$2407</f>
        <v>0</v>
      </c>
      <c r="O2408" s="41" t="n">
        <f aca="false">Sens!$O$2397+Sens!$O$2402+Sens!$O$2405+Sens!$O$2406-Sens!$O$2407</f>
        <v>0</v>
      </c>
    </row>
    <row r="2409" customFormat="false" ht="17.15" hidden="false" customHeight="false" outlineLevel="0" collapsed="false">
      <c r="A2409" s="5" t="s">
        <v>746</v>
      </c>
      <c r="B2409" s="0" t="s">
        <v>86</v>
      </c>
      <c r="C2409" s="38" t="n">
        <f aca="false">Sens!$C$2345</f>
        <v>0</v>
      </c>
      <c r="D2409" s="38" t="n">
        <f aca="false">Sens!$D$2345</f>
        <v>0</v>
      </c>
      <c r="E2409" s="38" t="n">
        <f aca="false">Sens!$E$2345</f>
        <v>0</v>
      </c>
      <c r="F2409" s="38" t="n">
        <f aca="false">Sens!$F$2345</f>
        <v>3.58576196532864</v>
      </c>
      <c r="G2409" s="38" t="n">
        <f aca="false">Sens!$G$2345</f>
        <v>3.58576196532864</v>
      </c>
      <c r="H2409" s="38" t="n">
        <f aca="false">Sens!$H$2345</f>
        <v>13.679886229553</v>
      </c>
      <c r="I2409" s="38" t="n">
        <f aca="false">Sens!$I$2345</f>
        <v>22.6145480991162</v>
      </c>
      <c r="J2409" s="38" t="n">
        <f aca="false">Sens!$J$2345</f>
        <v>31.5955580236032</v>
      </c>
      <c r="K2409" s="38" t="n">
        <f aca="false">Sens!$K$2345</f>
        <v>39.2565120061736</v>
      </c>
      <c r="L2409" s="38" t="n">
        <f aca="false">Sens!$L$2345</f>
        <v>44.29128066586</v>
      </c>
      <c r="M2409" s="38" t="n">
        <f aca="false">Sens!$M$2345</f>
        <v>46.6923258026494</v>
      </c>
      <c r="N2409" s="38" t="n">
        <f aca="false">Sens!$N$2345</f>
        <v>0</v>
      </c>
      <c r="O2409" s="38" t="n">
        <f aca="false">Sens!$O$2345</f>
        <v>0</v>
      </c>
      <c r="P2409" s="5" t="s">
        <v>747</v>
      </c>
    </row>
    <row r="2410" customFormat="false" ht="17.15" hidden="false" customHeight="false" outlineLevel="0" collapsed="false">
      <c r="A2410" s="5" t="s">
        <v>748</v>
      </c>
      <c r="B2410" s="0" t="s">
        <v>86</v>
      </c>
      <c r="C2410" s="38" t="n">
        <f aca="false">Sens!$C$2407+Sens!$C$2409</f>
        <v>68.593</v>
      </c>
      <c r="D2410" s="38" t="n">
        <f aca="false">Sens!$D$2407+Sens!$D$2409</f>
        <v>79.975</v>
      </c>
      <c r="E2410" s="38" t="n">
        <f aca="false">Sens!$E$2407+Sens!$E$2409</f>
        <v>51.313</v>
      </c>
      <c r="F2410" s="38" t="n">
        <f aca="false">Sens!$F$2407+Sens!$F$2409</f>
        <v>59.2151570993829</v>
      </c>
      <c r="G2410" s="38" t="n">
        <f aca="false">Sens!$G$2407+Sens!$G$2409</f>
        <v>110.528157099383</v>
      </c>
      <c r="H2410" s="38" t="n">
        <f aca="false">Sens!$H$2407+Sens!$H$2409</f>
        <v>138.272134670301</v>
      </c>
      <c r="I2410" s="38" t="n">
        <f aca="false">Sens!$I$2407+Sens!$I$2409</f>
        <v>160.397097105264</v>
      </c>
      <c r="J2410" s="38" t="n">
        <f aca="false">Sens!$J$2407+Sens!$J$2409</f>
        <v>185.669211273914</v>
      </c>
      <c r="K2410" s="38" t="n">
        <f aca="false">Sens!$K$2407+Sens!$K$2409</f>
        <v>203.788877129245</v>
      </c>
      <c r="L2410" s="38" t="n">
        <f aca="false">Sens!$L$2407+Sens!$L$2409</f>
        <v>219.2800578056</v>
      </c>
      <c r="M2410" s="38" t="n">
        <f aca="false">Sens!$M$2407+Sens!$M$2409</f>
        <v>234.586815842459</v>
      </c>
      <c r="N2410" s="38" t="n">
        <f aca="false">Sens!$N$2407+Sens!$N$2409</f>
        <v>37.576</v>
      </c>
      <c r="O2410" s="38" t="n">
        <f aca="false">Sens!$O$2407+Sens!$O$2409</f>
        <v>42.399</v>
      </c>
    </row>
    <row r="2411" customFormat="false" ht="17.15" hidden="false" customHeight="false" outlineLevel="0" collapsed="false">
      <c r="A2411" s="0" t="s">
        <v>749</v>
      </c>
      <c r="B2411" s="0" t="s">
        <v>52</v>
      </c>
      <c r="C2411" s="13" t="n">
        <f aca="false">Sens!$C$2397/Sens!$C$2382</f>
        <v>0.0644314665661928</v>
      </c>
      <c r="D2411" s="13" t="n">
        <f aca="false">Sens!$D$2397/Sens!$D$2382</f>
        <v>0.0694784250712518</v>
      </c>
      <c r="E2411" s="13" t="n">
        <f aca="false">Sens!$E$2397/Sens!$E$2382</f>
        <v>0.0789306463326071</v>
      </c>
      <c r="F2411" s="13" t="n">
        <f aca="false">Sens!$F$2397/Sens!$F$2382</f>
        <v>0.0802526339438384</v>
      </c>
      <c r="G2411" s="13" t="n">
        <f aca="false">Sens!$G$2397/Sens!$G$2382</f>
        <v>0.0796341940538369</v>
      </c>
      <c r="H2411" s="13" t="n">
        <f aca="false">Sens!$H$2397/Sens!$H$2382</f>
        <v>0.0800927290948603</v>
      </c>
      <c r="I2411" s="13" t="n">
        <f aca="false">Sens!$I$2397/Sens!$I$2382</f>
        <v>0.078213505096989</v>
      </c>
      <c r="J2411" s="13" t="n">
        <f aca="false">Sens!$J$2397/Sens!$J$2382</f>
        <v>0.0774646368911326</v>
      </c>
      <c r="K2411" s="13" t="n">
        <f aca="false">Sens!$K$2397/Sens!$K$2382</f>
        <v>0.0764747893644164</v>
      </c>
      <c r="L2411" s="13" t="n">
        <f aca="false">Sens!$L$2397/Sens!$L$2382</f>
        <v>0.076082915554545</v>
      </c>
      <c r="M2411" s="13" t="n">
        <f aca="false">Sens!$M$2397/Sens!$M$2382</f>
        <v>0.0784956409160417</v>
      </c>
      <c r="N2411" s="13" t="n">
        <f aca="false">Sens!$N$2397/Sens!$N$2382</f>
        <v>0.069228576611127</v>
      </c>
      <c r="O2411" s="13" t="n">
        <f aca="false">Sens!$O$2397/Sens!$O$2382</f>
        <v>0.069685022498393</v>
      </c>
    </row>
    <row r="2412" customFormat="false" ht="17.15" hidden="false" customHeight="false" outlineLevel="0" collapsed="false">
      <c r="A2412" s="0" t="s">
        <v>750</v>
      </c>
      <c r="B2412" s="0" t="s">
        <v>52</v>
      </c>
      <c r="C2412" s="13" t="n">
        <f aca="false">Sens!$C$2402/Sens!$C$2383</f>
        <v>0.026534925055631</v>
      </c>
      <c r="D2412" s="13" t="n">
        <f aca="false">Sens!$D$2402/Sens!$D$2383</f>
        <v>0.0293401855535103</v>
      </c>
      <c r="E2412" s="13" t="n">
        <f aca="false">Sens!$E$2402/Sens!$E$2383</f>
        <v>0.03831141902276</v>
      </c>
      <c r="F2412" s="13" t="n">
        <f aca="false">Sens!$F$2402/Sens!$F$2383</f>
        <v>0.0282118989524726</v>
      </c>
      <c r="G2412" s="13" t="n">
        <f aca="false">Sens!$G$2402/Sens!$G$2383</f>
        <v>0.0328019468674976</v>
      </c>
      <c r="H2412" s="13" t="n">
        <f aca="false">Sens!$H$2402/Sens!$H$2383</f>
        <v>0.0312552336203183</v>
      </c>
      <c r="I2412" s="13" t="n">
        <f aca="false">Sens!$I$2402/Sens!$I$2383</f>
        <v>0.0273475839341459</v>
      </c>
      <c r="J2412" s="13" t="n">
        <f aca="false">Sens!$J$2402/Sens!$J$2383</f>
        <v>0.0245073110445017</v>
      </c>
      <c r="K2412" s="13" t="n">
        <f aca="false">Sens!$K$2402/Sens!$K$2383</f>
        <v>0.0213214172994449</v>
      </c>
      <c r="L2412" s="13" t="n">
        <f aca="false">Sens!$L$2402/Sens!$L$2383</f>
        <v>0.0212756855794696</v>
      </c>
      <c r="M2412" s="13" t="n">
        <f aca="false">Sens!$M$2402/Sens!$M$2383</f>
        <v>0.0240425599657934</v>
      </c>
      <c r="N2412" s="13" t="n">
        <f aca="false">Sens!$N$2402/Sens!$N$2383</f>
        <v>0.0357315650169337</v>
      </c>
      <c r="O2412" s="13" t="n">
        <f aca="false">Sens!$O$2402/Sens!$O$2383</f>
        <v>0.0244378956559703</v>
      </c>
    </row>
    <row r="2413" customFormat="false" ht="17.15" hidden="false" customHeight="false" outlineLevel="0" collapsed="false">
      <c r="A2413" s="14" t="s">
        <v>751</v>
      </c>
      <c r="B2413" s="14" t="s">
        <v>52</v>
      </c>
      <c r="C2413" s="17" t="n">
        <f aca="false">Sens!$C$2405/Sens!$C$2384</f>
        <v>0.370355907620217</v>
      </c>
      <c r="D2413" s="17" t="n">
        <f aca="false">Sens!$D$2405/Sens!$D$2384</f>
        <v>0.35429015342785</v>
      </c>
      <c r="E2413" s="17" t="n">
        <f aca="false">Sens!$E$2405/Sens!$E$2384</f>
        <v>0.385647527531039</v>
      </c>
      <c r="F2413" s="17" t="n">
        <f aca="false">Sens!$F$2405/Sens!$F$2384</f>
        <v>0.380695281905946</v>
      </c>
      <c r="G2413" s="17" t="n">
        <f aca="false">Sens!$G$2405/Sens!$G$2384</f>
        <v>0.383079150766515</v>
      </c>
      <c r="H2413" s="17" t="n">
        <f aca="false">Sens!$H$2405/Sens!$H$2384</f>
        <v>0.355747134731008</v>
      </c>
      <c r="I2413" s="17" t="n">
        <f aca="false">Sens!$I$2405/Sens!$I$2384</f>
        <v>0.324831987089785</v>
      </c>
      <c r="J2413" s="17" t="n">
        <f aca="false">Sens!$J$2405/Sens!$J$2384</f>
        <v>0.313339061363048</v>
      </c>
      <c r="K2413" s="17" t="n">
        <f aca="false">Sens!$K$2405/Sens!$K$2384</f>
        <v>0.297044198916673</v>
      </c>
      <c r="L2413" s="17" t="n">
        <f aca="false">Sens!$L$2405/Sens!$L$2384</f>
        <v>0.287585589148514</v>
      </c>
      <c r="M2413" s="17" t="n">
        <f aca="false">Sens!$M$2405/Sens!$M$2384</f>
        <v>0.284090429769341</v>
      </c>
      <c r="N2413" s="17" t="n">
        <f aca="false">Sens!$N$2405/Sens!$N$2384</f>
        <v>0.360941137346192</v>
      </c>
      <c r="O2413" s="17" t="n">
        <f aca="false">Sens!$O$2405/Sens!$O$2384</f>
        <v>0.348458117664212</v>
      </c>
    </row>
    <row r="2414" customFormat="false" ht="17.15" hidden="false" customHeight="false" outlineLevel="0" collapsed="false">
      <c r="A2414" s="0" t="s">
        <v>752</v>
      </c>
      <c r="B2414" s="0" t="s">
        <v>52</v>
      </c>
      <c r="C2414" s="13" t="n">
        <f aca="false">Sens!$C$2403/Sens!$C$2385</f>
        <v>0.708390794789371</v>
      </c>
      <c r="D2414" s="13" t="n">
        <f aca="false">Sens!$D$2403/Sens!$D$2385</f>
        <v>0.619415573115729</v>
      </c>
      <c r="E2414" s="13" t="n">
        <f aca="false">Sens!$E$2403/Sens!$E$2385</f>
        <v>0.285171627189009</v>
      </c>
      <c r="F2414" s="13" t="n">
        <f aca="false">Sens!$F$2403/Sens!$F$2385</f>
        <v>0.476934787474061</v>
      </c>
      <c r="G2414" s="13" t="n">
        <f aca="false">Sens!$G$2403/Sens!$G$2385</f>
        <v>0.405161651722011</v>
      </c>
      <c r="H2414" s="13" t="n">
        <f aca="false">Sens!$H$2403/Sens!$H$2385</f>
        <v>0.338335158165064</v>
      </c>
      <c r="I2414" s="13" t="n">
        <f aca="false">Sens!$I$2403/Sens!$I$2385</f>
        <v>0.251545399956665</v>
      </c>
      <c r="J2414" s="13" t="n">
        <f aca="false">Sens!$J$2403/Sens!$J$2385</f>
        <v>0.237946356715579</v>
      </c>
      <c r="K2414" s="13" t="n">
        <f aca="false">Sens!$K$2403/Sens!$K$2385</f>
        <v>0.209390766711086</v>
      </c>
      <c r="L2414" s="13" t="n">
        <f aca="false">Sens!$L$2403/Sens!$L$2385</f>
        <v>0.191390525240834</v>
      </c>
      <c r="M2414" s="13" t="n">
        <f aca="false">Sens!$M$2403/Sens!$M$2385</f>
        <v>0.180889433218342</v>
      </c>
      <c r="N2414" s="13" t="n">
        <f aca="false">Sens!$N$2403/Sens!$N$2385</f>
        <v>0.551227795793364</v>
      </c>
      <c r="O2414" s="13" t="n">
        <f aca="false">Sens!$O$2403/Sens!$O$2385</f>
        <v>0.656132068597002</v>
      </c>
    </row>
    <row r="2415" customFormat="false" ht="15" hidden="false" customHeight="false" outlineLevel="0" collapsed="false">
      <c r="A2415" s="5" t="s">
        <v>753</v>
      </c>
      <c r="B2415" s="0" t="s">
        <v>52</v>
      </c>
      <c r="C2415" s="13" t="n">
        <f aca="false">Sens!$C$2407/Sens!$C$2387</f>
        <v>0.107519448742004</v>
      </c>
      <c r="D2415" s="13" t="n">
        <f aca="false">Sens!$D$2407/Sens!$D$2387</f>
        <v>0.111552967957552</v>
      </c>
      <c r="E2415" s="13" t="n">
        <f aca="false">Sens!$E$2407/Sens!$E$2387</f>
        <v>0.13428328426562</v>
      </c>
      <c r="F2415" s="13" t="n">
        <f aca="false">Sens!$F$2407/Sens!$F$2387</f>
        <v>0.127870405632125</v>
      </c>
      <c r="G2415" s="13" t="n">
        <f aca="false">Sens!$G$2407/Sens!$G$2387</f>
        <v>0.130869195244326</v>
      </c>
      <c r="H2415" s="13" t="n">
        <f aca="false">Sens!$H$2407/Sens!$H$2387</f>
        <v>0.133055515280354</v>
      </c>
      <c r="I2415" s="13" t="n">
        <f aca="false">Sens!$I$2407/Sens!$I$2387</f>
        <v>0.130348874593525</v>
      </c>
      <c r="J2415" s="13" t="n">
        <f aca="false">Sens!$J$2407/Sens!$J$2387</f>
        <v>0.131434273928602</v>
      </c>
      <c r="K2415" s="13" t="n">
        <f aca="false">Sens!$K$2407/Sens!$K$2387</f>
        <v>0.129209583079193</v>
      </c>
      <c r="L2415" s="13" t="n">
        <f aca="false">Sens!$L$2407/Sens!$L$2387</f>
        <v>0.127805114693226</v>
      </c>
      <c r="M2415" s="13" t="n">
        <f aca="false">Sens!$M$2407/Sens!$M$2387</f>
        <v>0.128691830404836</v>
      </c>
      <c r="N2415" s="13" t="n">
        <f aca="false">Sens!$N$2407/Sens!$N$2387</f>
        <v>0.116201614873411</v>
      </c>
      <c r="O2415" s="13" t="n">
        <f aca="false">Sens!$O$2407/Sens!$O$2387</f>
        <v>0.107733353660861</v>
      </c>
    </row>
    <row r="2416" customFormat="false" ht="17.15" hidden="false" customHeight="false" outlineLevel="0" collapsed="false">
      <c r="A2416" s="1" t="s">
        <v>754</v>
      </c>
    </row>
    <row r="2417" customFormat="false" ht="17.15" hidden="false" customHeight="false" outlineLevel="0" collapsed="false">
      <c r="A2417" s="5" t="s">
        <v>755</v>
      </c>
      <c r="B2417" s="0" t="s">
        <v>52</v>
      </c>
      <c r="D2417" s="28" t="n">
        <f aca="false">(Q!$E$29+Q!$E$30-(1-ext_sh)*Sens!$D$2339)/Sens!$D$2290</f>
        <v>0.0341105596409988</v>
      </c>
    </row>
    <row r="2418" customFormat="false" ht="17.15" hidden="false" customHeight="false" outlineLevel="0" collapsed="false">
      <c r="A2418" s="0" t="s">
        <v>545</v>
      </c>
      <c r="B2418" s="0" t="s">
        <v>86</v>
      </c>
      <c r="C2418" s="38" t="n">
        <f aca="false">Q!$D$29</f>
        <v>14.285</v>
      </c>
      <c r="D2418" s="38" t="n">
        <f aca="false">Q!$E$29</f>
        <v>15.503</v>
      </c>
      <c r="E2418" s="38" t="n">
        <f aca="false">Q!$P$29</f>
        <v>8.78</v>
      </c>
      <c r="F2418" s="38" t="n">
        <f aca="false">(Sens!$D$2417*Sens!$F$2290+(1-ext_sh)*Sens!$F$2339)*Sens!$F$2291</f>
        <v>9.30317620449232</v>
      </c>
      <c r="G2418" s="38" t="n">
        <f aca="false">Sens!$E$2418+Sens!$F$2418</f>
        <v>18.0831762044923</v>
      </c>
      <c r="H2418" s="38" t="n">
        <f aca="false">(Sens!$D$2417*Sens!$H$2290+(1-ext_sh)*Sens!$H$2339)*Sens!$H$2291</f>
        <v>21.9903667433502</v>
      </c>
      <c r="I2418" s="38" t="n">
        <f aca="false">(Sens!$D$2417*Sens!$I$2290+(1-ext_sh)*Sens!$I$2339)*Sens!$I$2291</f>
        <v>27.8007534155604</v>
      </c>
      <c r="J2418" s="38" t="n">
        <f aca="false">(Sens!$D$2417*Sens!$J$2290+(1-ext_sh)*Sens!$J$2339)*Sens!$J$2291</f>
        <v>32.9701679949667</v>
      </c>
      <c r="K2418" s="38" t="n">
        <f aca="false">(Sens!$D$2417*Sens!$K$2290+(1-ext_sh)*Sens!$K$2339)*Sens!$K$2291</f>
        <v>38.0365738520783</v>
      </c>
      <c r="L2418" s="38" t="n">
        <f aca="false">(Sens!$D$2417*Sens!$L$2290+(1-ext_sh)*Sens!$L$2339)*Sens!$L$2291</f>
        <v>42.0732123262371</v>
      </c>
      <c r="M2418" s="38" t="n">
        <f aca="false">(Sens!$D$2417*Sens!$M$2290+(1-ext_sh)*Sens!$M$2339)*Sens!$M$2291</f>
        <v>44.9695505519685</v>
      </c>
      <c r="N2418" s="38" t="n">
        <f aca="false">Q!$N$29</f>
        <v>7.272</v>
      </c>
      <c r="O2418" s="38" t="n">
        <f aca="false">Q!$O$29</f>
        <v>8.231</v>
      </c>
    </row>
    <row r="2419" customFormat="false" ht="17.15" hidden="false" customHeight="false" outlineLevel="0" collapsed="false">
      <c r="A2419" s="0" t="s">
        <v>547</v>
      </c>
      <c r="B2419" s="0" t="s">
        <v>86</v>
      </c>
      <c r="C2419" s="38" t="n">
        <f aca="false">Q!$D$30</f>
        <v>4.462</v>
      </c>
      <c r="D2419" s="38" t="n">
        <f aca="false">Q!$E$30</f>
        <v>4.907</v>
      </c>
      <c r="E2419" s="38" t="n">
        <f aca="false">Q!$P$30</f>
        <v>2.57</v>
      </c>
      <c r="F2419" s="38" t="n">
        <f aca="false">(Sens!$D$2417*Sens!$F$2290+(1-ext_sh)*Sens!$F$2339)*(1-Sens!$F$2291)</f>
        <v>3.6526976809753</v>
      </c>
      <c r="G2419" s="38" t="n">
        <f aca="false">Sens!$E$2419+Sens!$F$2419</f>
        <v>6.2226976809753</v>
      </c>
      <c r="H2419" s="38" t="n">
        <f aca="false">(Sens!$D$2417*Sens!$H$2290+(1-ext_sh)*Sens!$H$2339)*(1-Sens!$H$2291)</f>
        <v>8.42309839777092</v>
      </c>
      <c r="I2419" s="38" t="n">
        <f aca="false">(Sens!$D$2417*Sens!$I$2290+(1-ext_sh)*Sens!$I$2339)*(1-Sens!$I$2291)</f>
        <v>10.6486846847265</v>
      </c>
      <c r="J2419" s="38" t="n">
        <f aca="false">(Sens!$D$2417*Sens!$J$2290+(1-ext_sh)*Sens!$J$2339)*(1-Sens!$J$2291)</f>
        <v>12.6287556935185</v>
      </c>
      <c r="K2419" s="38" t="n">
        <f aca="false">(Sens!$D$2417*Sens!$K$2290+(1-ext_sh)*Sens!$K$2339)*(1-Sens!$K$2291)</f>
        <v>14.5693706707743</v>
      </c>
      <c r="L2419" s="38" t="n">
        <f aca="false">(Sens!$D$2417*Sens!$L$2290+(1-ext_sh)*Sens!$L$2339)*(1-Sens!$L$2291)</f>
        <v>16.1155478428467</v>
      </c>
      <c r="M2419" s="38" t="n">
        <f aca="false">(Sens!$D$2417*Sens!$M$2290+(1-ext_sh)*Sens!$M$2339)*(1-Sens!$M$2291)</f>
        <v>17.2249491617645</v>
      </c>
      <c r="N2419" s="38" t="n">
        <f aca="false">Q!$N$30</f>
        <v>2.316</v>
      </c>
      <c r="O2419" s="38" t="n">
        <f aca="false">Q!$O$30</f>
        <v>2.591</v>
      </c>
    </row>
    <row r="2420" customFormat="false" ht="17.15" hidden="false" customHeight="false" outlineLevel="0" collapsed="false">
      <c r="A2420" s="0" t="s">
        <v>548</v>
      </c>
      <c r="B2420" s="0" t="s">
        <v>86</v>
      </c>
      <c r="C2420" s="38" t="n">
        <f aca="false">Sens!$C$2351</f>
        <v>13.32</v>
      </c>
      <c r="D2420" s="38" t="n">
        <f aca="false">Sens!$D$2351</f>
        <v>21.45</v>
      </c>
      <c r="E2420" s="38" t="n">
        <f aca="false">Sens!$E$2351</f>
        <v>15.353</v>
      </c>
      <c r="F2420" s="38" t="n">
        <f aca="false">Sens!$F$2351</f>
        <v>16.1969869840094</v>
      </c>
      <c r="G2420" s="38" t="n">
        <f aca="false">Sens!$G$2351</f>
        <v>31.5499869840094</v>
      </c>
      <c r="H2420" s="38" t="n">
        <f aca="false">Sens!$H$2351</f>
        <v>50.1846740906109</v>
      </c>
      <c r="I2420" s="38" t="n">
        <f aca="false">Sens!$I$2351</f>
        <v>76.0958236815917</v>
      </c>
      <c r="J2420" s="38" t="n">
        <f aca="false">Sens!$J$2351</f>
        <v>98.9983767855053</v>
      </c>
      <c r="K2420" s="38" t="n">
        <f aca="false">Sens!$K$2351</f>
        <v>122.131237603691</v>
      </c>
      <c r="L2420" s="38" t="n">
        <f aca="false">Sens!$L$2351</f>
        <v>139.251636721433</v>
      </c>
      <c r="M2420" s="38" t="n">
        <f aca="false">Sens!$M$2351</f>
        <v>149.725341428303</v>
      </c>
      <c r="N2420" s="38" t="n">
        <f aca="false">Sens!$N$2351</f>
        <v>9.234</v>
      </c>
      <c r="O2420" s="38" t="n">
        <f aca="false">Sens!$O$2351</f>
        <v>12.216</v>
      </c>
    </row>
    <row r="2421" customFormat="false" ht="17.15" hidden="false" customHeight="false" outlineLevel="0" collapsed="false">
      <c r="A2421" s="5" t="s">
        <v>756</v>
      </c>
      <c r="B2421" s="0" t="s">
        <v>86</v>
      </c>
      <c r="C2421" s="38" t="n">
        <f aca="false">Sens!$C$2418+Sens!$C$2419+Sens!$C$2420</f>
        <v>32.067</v>
      </c>
      <c r="D2421" s="38" t="n">
        <f aca="false">Sens!$D$2418+Sens!$D$2419+Sens!$D$2420</f>
        <v>41.86</v>
      </c>
      <c r="E2421" s="38" t="n">
        <f aca="false">Sens!$E$2418+Sens!$E$2419+Sens!$E$2420</f>
        <v>26.703</v>
      </c>
      <c r="F2421" s="38" t="n">
        <f aca="false">Sens!$F$2418+Sens!$F$2419+Sens!$F$2420</f>
        <v>29.152860869477</v>
      </c>
      <c r="G2421" s="38" t="n">
        <f aca="false">Sens!$G$2418+Sens!$G$2419+Sens!$G$2420</f>
        <v>55.855860869477</v>
      </c>
      <c r="H2421" s="38" t="n">
        <f aca="false">Sens!$H$2418+Sens!$H$2419+Sens!$H$2420</f>
        <v>80.598139231732</v>
      </c>
      <c r="I2421" s="38" t="n">
        <f aca="false">Sens!$I$2418+Sens!$I$2419+Sens!$I$2420</f>
        <v>114.545261781879</v>
      </c>
      <c r="J2421" s="38" t="n">
        <f aca="false">Sens!$J$2418+Sens!$J$2419+Sens!$J$2420</f>
        <v>144.597300473991</v>
      </c>
      <c r="K2421" s="38" t="n">
        <f aca="false">Sens!$K$2418+Sens!$K$2419+Sens!$K$2420</f>
        <v>174.737182126544</v>
      </c>
      <c r="L2421" s="38" t="n">
        <f aca="false">Sens!$L$2418+Sens!$L$2419+Sens!$L$2420</f>
        <v>197.440396890517</v>
      </c>
      <c r="M2421" s="38" t="n">
        <f aca="false">Sens!$M$2418+Sens!$M$2419+Sens!$M$2420</f>
        <v>211.919841142036</v>
      </c>
      <c r="N2421" s="38" t="n">
        <f aca="false">Sens!$N$2418+Sens!$N$2419+Sens!$N$2420</f>
        <v>18.822</v>
      </c>
      <c r="O2421" s="38" t="n">
        <f aca="false">Sens!$O$2418+Sens!$O$2419+Sens!$O$2420</f>
        <v>23.038</v>
      </c>
    </row>
    <row r="2422" customFormat="false" ht="17.15" hidden="false" customHeight="false" outlineLevel="0" collapsed="false">
      <c r="A2422" s="0" t="s">
        <v>757</v>
      </c>
      <c r="B2422" s="0" t="s">
        <v>86</v>
      </c>
      <c r="C2422" s="38" t="n">
        <f aca="false">Sens!$C$2393+Sens!$C$2398</f>
        <v>28.107</v>
      </c>
      <c r="D2422" s="38" t="n">
        <f aca="false">Sens!$D$2393+Sens!$D$2398</f>
        <v>34.3175</v>
      </c>
      <c r="E2422" s="38" t="n">
        <f aca="false">Sens!$E$2393+Sens!$E$2398</f>
        <v>18.526</v>
      </c>
      <c r="F2422" s="38" t="n">
        <f aca="false">Sens!$F$2393+Sens!$F$2398</f>
        <v>23.0786109972074</v>
      </c>
      <c r="G2422" s="38" t="n">
        <f aca="false">Sens!$G$2393+Sens!$G$2398</f>
        <v>41.6046109972074</v>
      </c>
      <c r="H2422" s="38" t="n">
        <f aca="false">Sens!$H$2393+Sens!$H$2398</f>
        <v>49.9484611939488</v>
      </c>
      <c r="I2422" s="38" t="n">
        <f aca="false">Sens!$I$2393+Sens!$I$2398</f>
        <v>58.2915555477481</v>
      </c>
      <c r="J2422" s="38" t="n">
        <f aca="false">Sens!$J$2393+Sens!$J$2398</f>
        <v>66.0744709709759</v>
      </c>
      <c r="K2422" s="38" t="n">
        <f aca="false">Sens!$K$2393+Sens!$K$2398</f>
        <v>72.6819180680735</v>
      </c>
      <c r="L2422" s="38" t="n">
        <f aca="false">Sens!$L$2393+Sens!$L$2398</f>
        <v>79.9501098748808</v>
      </c>
      <c r="M2422" s="38" t="n">
        <f aca="false">Sens!$M$2393+Sens!$M$2398</f>
        <v>87.9451208623689</v>
      </c>
      <c r="N2422" s="38" t="n">
        <f aca="false">Sens!$N$2393+Sens!$N$2398</f>
        <v>14.8075</v>
      </c>
      <c r="O2422" s="38" t="n">
        <f aca="false">Sens!$O$2393+Sens!$O$2398</f>
        <v>19.51</v>
      </c>
    </row>
    <row r="2423" customFormat="false" ht="17.15" hidden="false" customHeight="false" outlineLevel="0" collapsed="false">
      <c r="A2423" s="0" t="s">
        <v>758</v>
      </c>
      <c r="B2423" s="0" t="s">
        <v>86</v>
      </c>
      <c r="C2423" s="38" t="n">
        <f aca="false">Sens!$C$2397+Sens!$C$2402+Sens!$C$2418+Sens!$C$2419-Sens!$C$2422</f>
        <v>19.399</v>
      </c>
      <c r="D2423" s="38" t="n">
        <f aca="false">Sens!$D$2397+Sens!$D$2402+Sens!$D$2418+Sens!$D$2419-Sens!$D$2422</f>
        <v>20.4615</v>
      </c>
      <c r="E2423" s="38" t="n">
        <f aca="false">Sens!$E$2397+Sens!$E$2402+Sens!$E$2418+Sens!$E$2419-Sens!$E$2422</f>
        <v>13.355</v>
      </c>
      <c r="F2423" s="38" t="n">
        <f aca="false">Sens!$F$2397+Sens!$F$2402+Sens!$F$2418+Sens!$F$2419-Sens!$F$2422</f>
        <v>12.7680546411015</v>
      </c>
      <c r="G2423" s="38" t="n">
        <f aca="false">Sens!$G$2397+Sens!$G$2402+Sens!$G$2418+Sens!$G$2419-Sens!$G$2422</f>
        <v>26.1230546411015</v>
      </c>
      <c r="H2423" s="38" t="n">
        <f aca="false">Sens!$H$2397+Sens!$H$2402+Sens!$H$2418+Sens!$H$2419-Sens!$H$2422</f>
        <v>28.4662904769959</v>
      </c>
      <c r="I2423" s="38" t="n">
        <f aca="false">Sens!$I$2397+Sens!$I$2402+Sens!$I$2418+Sens!$I$2419-Sens!$I$2422</f>
        <v>30.7231490427407</v>
      </c>
      <c r="J2423" s="38" t="n">
        <f aca="false">Sens!$J$2397+Sens!$J$2402+Sens!$J$2418+Sens!$J$2419-Sens!$J$2422</f>
        <v>32.9723159380642</v>
      </c>
      <c r="K2423" s="38" t="n">
        <f aca="false">Sens!$K$2397+Sens!$K$2402+Sens!$K$2418+Sens!$K$2419-Sens!$K$2422</f>
        <v>35.3819359626894</v>
      </c>
      <c r="L2423" s="38" t="n">
        <f aca="false">Sens!$L$2397+Sens!$L$2402+Sens!$L$2418+Sens!$L$2419-Sens!$L$2422</f>
        <v>37.0165770259405</v>
      </c>
      <c r="M2423" s="38" t="n">
        <f aca="false">Sens!$M$2397+Sens!$M$2402+Sens!$M$2418+Sens!$M$2419-Sens!$M$2422</f>
        <v>39.4490703930704</v>
      </c>
      <c r="N2423" s="38" t="n">
        <f aca="false">Sens!$N$2397+Sens!$N$2402+Sens!$N$2418+Sens!$N$2419-Sens!$N$2422</f>
        <v>10.6495</v>
      </c>
      <c r="O2423" s="38" t="n">
        <f aca="false">Sens!$O$2397+Sens!$O$2402+Sens!$O$2418+Sens!$O$2419-Sens!$O$2422</f>
        <v>9.81200000000001</v>
      </c>
    </row>
    <row r="2424" customFormat="false" ht="17.15" hidden="false" customHeight="false" outlineLevel="0" collapsed="false">
      <c r="A2424" s="0" t="s">
        <v>759</v>
      </c>
      <c r="B2424" s="0" t="s">
        <v>86</v>
      </c>
      <c r="C2424" s="38" t="n">
        <f aca="false">Sens!$C$2404+Sens!$C$2420-ext_sh*Sens!$C$2339</f>
        <v>51.3470500115664</v>
      </c>
      <c r="D2424" s="38" t="n">
        <f aca="false">Sens!$D$2404+Sens!$D$2420-ext_sh*Sens!$D$2339</f>
        <v>60.2799375433739</v>
      </c>
      <c r="E2424" s="38" t="n">
        <f aca="false">Sens!$E$2404+Sens!$E$2420-ext_sh*Sens!$E$2339</f>
        <v>39.5095167090767</v>
      </c>
      <c r="F2424" s="38" t="n">
        <f aca="false">Sens!$F$2404+Sens!$F$2420-ext_sh*Sens!$F$2339</f>
        <v>37.951394214027</v>
      </c>
      <c r="G2424" s="38" t="n">
        <f aca="false">Sens!$G$2404+Sens!$G$2420-ext_sh*Sens!$G$2339</f>
        <v>77.4609109231037</v>
      </c>
      <c r="H2424" s="38" t="n">
        <f aca="false">Sens!$H$2404+Sens!$H$2420-ext_sh*Sens!$H$2339</f>
        <v>85.1453558128916</v>
      </c>
      <c r="I2424" s="38" t="n">
        <f aca="false">Sens!$I$2404+Sens!$I$2420-ext_sh*Sens!$I$2339</f>
        <v>94.532921967974</v>
      </c>
      <c r="J2424" s="38" t="n">
        <f aca="false">Sens!$J$2404+Sens!$J$2420-ext_sh*Sens!$J$2339</f>
        <v>103.525527532583</v>
      </c>
      <c r="K2424" s="38" t="n">
        <f aca="false">Sens!$K$2404+Sens!$K$2420-ext_sh*Sens!$K$2339</f>
        <v>111.80756973519</v>
      </c>
      <c r="L2424" s="38" t="n">
        <f aca="false">Sens!$L$2404+Sens!$L$2420-ext_sh*Sens!$L$2339</f>
        <v>120.752175314005</v>
      </c>
      <c r="M2424" s="38" t="n">
        <f aca="false">Sens!$M$2404+Sens!$M$2420-ext_sh*Sens!$M$2339</f>
        <v>130.412349339125</v>
      </c>
      <c r="N2424" s="38" t="n">
        <f aca="false">Sens!$N$2404+Sens!$N$2420-ext_sh*Sens!$N$2339</f>
        <v>28.5693781401809</v>
      </c>
      <c r="O2424" s="38" t="n">
        <f aca="false">Sens!$O$2404+Sens!$O$2420-ext_sh*Sens!$O$2339</f>
        <v>31.7105594031931</v>
      </c>
    </row>
    <row r="2425" customFormat="false" ht="17.15" hidden="false" customHeight="false" outlineLevel="0" collapsed="false">
      <c r="A2425" s="0" t="s">
        <v>760</v>
      </c>
      <c r="B2425" s="0" t="s">
        <v>86</v>
      </c>
      <c r="C2425" s="38" t="n">
        <f aca="false">Sens!$C$2342</f>
        <v>1.80694998843362</v>
      </c>
      <c r="D2425" s="38" t="n">
        <f aca="false">Sens!$D$2342</f>
        <v>6.77606245662607</v>
      </c>
      <c r="E2425" s="38" t="n">
        <f aca="false">Sens!$E$2342</f>
        <v>6.62548329092326</v>
      </c>
      <c r="F2425" s="38" t="n">
        <f aca="false">Sens!$F$2342</f>
        <v>10.9841961511954</v>
      </c>
      <c r="G2425" s="38" t="n">
        <f aca="false">Sens!$G$2342</f>
        <v>17.6096794421187</v>
      </c>
      <c r="H2425" s="38" t="n">
        <f aca="false">Sens!$H$2342</f>
        <v>41.6302801886437</v>
      </c>
      <c r="I2425" s="38" t="n">
        <f aca="false">Sens!$I$2342</f>
        <v>68.7801842295635</v>
      </c>
      <c r="J2425" s="38" t="n">
        <f aca="false">Sens!$J$2342</f>
        <v>96.0986392826786</v>
      </c>
      <c r="K2425" s="38" t="n">
        <f aca="false">Sens!$K$2342</f>
        <v>119.398123483663</v>
      </c>
      <c r="L2425" s="38" t="n">
        <f aca="false">Sens!$L$2342</f>
        <v>134.710311815431</v>
      </c>
      <c r="M2425" s="38" t="n">
        <f aca="false">Sens!$M$2342</f>
        <v>142.007790587281</v>
      </c>
      <c r="N2425" s="38" t="n">
        <f aca="false">Sens!$N$2342</f>
        <v>2.37162185981912</v>
      </c>
      <c r="O2425" s="38" t="n">
        <f aca="false">Sens!$O$2342</f>
        <v>4.40444059680694</v>
      </c>
    </row>
    <row r="2426" customFormat="false" ht="17.15" hidden="false" customHeight="false" outlineLevel="0" collapsed="false">
      <c r="A2426" s="0" t="s">
        <v>761</v>
      </c>
      <c r="B2426" s="0" t="s">
        <v>86</v>
      </c>
      <c r="C2426" s="38" t="n">
        <f aca="false">Sens!$C$2407+Sens!$C$2421</f>
        <v>100.66</v>
      </c>
      <c r="D2426" s="38" t="n">
        <f aca="false">Sens!$D$2407+Sens!$D$2421</f>
        <v>121.835</v>
      </c>
      <c r="E2426" s="38" t="n">
        <f aca="false">Sens!$E$2407+Sens!$E$2421</f>
        <v>78.016</v>
      </c>
      <c r="F2426" s="38" t="n">
        <f aca="false">Sens!$F$2407+Sens!$F$2421</f>
        <v>84.7822560035312</v>
      </c>
      <c r="G2426" s="38" t="n">
        <f aca="false">Sens!$G$2407+Sens!$G$2421</f>
        <v>162.798256003531</v>
      </c>
      <c r="H2426" s="38" t="n">
        <f aca="false">Sens!$H$2407+Sens!$H$2421</f>
        <v>205.19038767248</v>
      </c>
      <c r="I2426" s="38" t="n">
        <f aca="false">Sens!$I$2407+Sens!$I$2421</f>
        <v>252.327810788026</v>
      </c>
      <c r="J2426" s="38" t="n">
        <f aca="false">Sens!$J$2407+Sens!$J$2421</f>
        <v>298.670953724302</v>
      </c>
      <c r="K2426" s="38" t="n">
        <f aca="false">Sens!$K$2407+Sens!$K$2421</f>
        <v>339.269547249615</v>
      </c>
      <c r="L2426" s="38" t="n">
        <f aca="false">Sens!$L$2407+Sens!$L$2421</f>
        <v>372.429174030257</v>
      </c>
      <c r="M2426" s="38" t="n">
        <f aca="false">Sens!$M$2407+Sens!$M$2421</f>
        <v>399.814331181845</v>
      </c>
      <c r="N2426" s="38" t="n">
        <f aca="false">Sens!$N$2407+Sens!$N$2421</f>
        <v>56.398</v>
      </c>
      <c r="O2426" s="38" t="n">
        <f aca="false">Sens!$O$2407+Sens!$O$2421</f>
        <v>65.437</v>
      </c>
    </row>
    <row r="2427" customFormat="false" ht="17.15" hidden="false" customHeight="false" outlineLevel="0" collapsed="false">
      <c r="A2427" s="1" t="s">
        <v>762</v>
      </c>
    </row>
    <row r="2428" customFormat="false" ht="15" hidden="false" customHeight="false" outlineLevel="0" collapsed="false">
      <c r="A2428" s="5" t="s">
        <v>551</v>
      </c>
      <c r="B2428" s="0" t="s">
        <v>86</v>
      </c>
      <c r="C2428" s="38" t="n">
        <f aca="false">Q!$D$34</f>
        <v>2.406</v>
      </c>
      <c r="D2428" s="38" t="n">
        <f aca="false">Q!$E$34</f>
        <v>2.274</v>
      </c>
      <c r="E2428" s="38" t="n">
        <f aca="false">Q!$P$34</f>
        <v>2.114</v>
      </c>
      <c r="F2428" s="38" t="n">
        <f aca="false">Sens!$F$2466</f>
        <v>3.24888962733561</v>
      </c>
      <c r="G2428" s="38" t="n">
        <f aca="false">Sens!$E$2428+Sens!$F$2428</f>
        <v>5.36288962733561</v>
      </c>
      <c r="H2428" s="38" t="n">
        <f aca="false">Sens!$H$2466</f>
        <v>7.42354172302123</v>
      </c>
      <c r="I2428" s="38" t="n">
        <f aca="false">Sens!$I$2466</f>
        <v>7.42354172302123</v>
      </c>
      <c r="J2428" s="38" t="n">
        <f aca="false">Sens!$J$2466</f>
        <v>7.42354172302123</v>
      </c>
      <c r="K2428" s="38" t="n">
        <f aca="false">Sens!$K$2466</f>
        <v>7.42354172302123</v>
      </c>
      <c r="L2428" s="38" t="n">
        <f aca="false">Sens!$L$2466</f>
        <v>7.42354172302123</v>
      </c>
      <c r="M2428" s="38" t="n">
        <f aca="false">Sens!$M$2466</f>
        <v>7.42354172302123</v>
      </c>
      <c r="N2428" s="38" t="n">
        <f aca="false">Q!$N$34</f>
        <v>1.057</v>
      </c>
      <c r="O2428" s="38" t="n">
        <f aca="false">Q!$O$34</f>
        <v>1.217</v>
      </c>
    </row>
    <row r="2429" customFormat="false" ht="15" hidden="false" customHeight="false" outlineLevel="0" collapsed="false">
      <c r="A2429" s="5" t="s">
        <v>763</v>
      </c>
      <c r="B2429" s="0" t="s">
        <v>86</v>
      </c>
      <c r="F2429" s="38" t="n">
        <f aca="false">Sens!$F$2467</f>
        <v>2.59</v>
      </c>
      <c r="H2429" s="38" t="n">
        <f aca="false">Sens!$H$2467</f>
        <v>4.08862127122729</v>
      </c>
      <c r="I2429" s="38" t="n">
        <f aca="false">Sens!$I$2467</f>
        <v>2.50245093308539</v>
      </c>
      <c r="J2429" s="38" t="n">
        <f aca="false">Sens!$J$2467</f>
        <v>2.3641841716178</v>
      </c>
      <c r="K2429" s="38" t="n">
        <f aca="false">Sens!$K$2467</f>
        <v>3.74390627509477</v>
      </c>
      <c r="L2429" s="38" t="n">
        <f aca="false">Sens!$L$2467</f>
        <v>8.75462070345998</v>
      </c>
      <c r="M2429" s="38" t="n">
        <f aca="false">Sens!$M$2467</f>
        <v>16.0409489298878</v>
      </c>
    </row>
    <row r="2430" customFormat="false" ht="17.15" hidden="false" customHeight="false" outlineLevel="0" collapsed="false">
      <c r="A2430" s="5" t="s">
        <v>764</v>
      </c>
      <c r="B2430" s="0" t="s">
        <v>86</v>
      </c>
      <c r="C2430" s="38" t="n">
        <f aca="false">Q!$D$39</f>
        <v>2.427</v>
      </c>
      <c r="D2430" s="38" t="n">
        <f aca="false">Q!$E$39</f>
        <v>19.61</v>
      </c>
      <c r="E2430" s="38" t="n">
        <f aca="false">Q!$P$39</f>
        <v>71.492</v>
      </c>
      <c r="F2430" s="39" t="n">
        <v>0</v>
      </c>
      <c r="G2430" s="38" t="n">
        <f aca="false">Sens!$E$2430+Sens!$F$2430</f>
        <v>71.492</v>
      </c>
      <c r="H2430" s="39" t="n">
        <v>0</v>
      </c>
      <c r="I2430" s="39" t="n">
        <v>0</v>
      </c>
      <c r="J2430" s="39" t="n">
        <v>0</v>
      </c>
      <c r="K2430" s="39" t="n">
        <v>0</v>
      </c>
      <c r="L2430" s="39" t="n">
        <v>0</v>
      </c>
      <c r="M2430" s="39" t="n">
        <v>0</v>
      </c>
      <c r="N2430" s="38" t="n">
        <f aca="false">Q!$N$39</f>
        <v>6.017</v>
      </c>
      <c r="O2430" s="38" t="n">
        <f aca="false">Q!$O$39</f>
        <v>13.593</v>
      </c>
      <c r="P2430" s="5" t="s">
        <v>765</v>
      </c>
    </row>
    <row r="2431" customFormat="false" ht="15" hidden="false" customHeight="false" outlineLevel="0" collapsed="false">
      <c r="A2431" s="5" t="s">
        <v>554</v>
      </c>
      <c r="B2431" s="0" t="s">
        <v>86</v>
      </c>
      <c r="C2431" s="38" t="n">
        <f aca="false">Q!$D$36</f>
        <v>68.614</v>
      </c>
      <c r="D2431" s="38" t="n">
        <f aca="false">Q!$E$36</f>
        <v>97.311</v>
      </c>
      <c r="E2431" s="38" t="n">
        <f aca="false">Q!$P$36</f>
        <v>120.691</v>
      </c>
      <c r="F2431" s="38" t="n">
        <f aca="false">Sens!$F$2407-Sens!$F$2428+Sens!$F$2429+Sens!$F$2430</f>
        <v>54.9705055067186</v>
      </c>
      <c r="G2431" s="38" t="n">
        <f aca="false">Sens!$E$2431+Sens!$F$2431</f>
        <v>175.661505506719</v>
      </c>
      <c r="H2431" s="38" t="n">
        <f aca="false">Sens!$H$2407-Sens!$H$2428+Sens!$H$2429+Sens!$H$2430</f>
        <v>121.257327988954</v>
      </c>
      <c r="I2431" s="38" t="n">
        <f aca="false">Sens!$I$2407-Sens!$I$2428+Sens!$I$2429+Sens!$I$2430</f>
        <v>132.861458216212</v>
      </c>
      <c r="J2431" s="38" t="n">
        <f aca="false">Sens!$J$2407-Sens!$J$2428+Sens!$J$2429+Sens!$J$2430</f>
        <v>149.014295698908</v>
      </c>
      <c r="K2431" s="38" t="n">
        <f aca="false">Sens!$K$2407-Sens!$K$2428+Sens!$K$2429+Sens!$K$2430</f>
        <v>160.852729675145</v>
      </c>
      <c r="L2431" s="38" t="n">
        <f aca="false">Sens!$L$2407-Sens!$L$2428+Sens!$L$2429+Sens!$L$2430</f>
        <v>176.319856120179</v>
      </c>
      <c r="M2431" s="38" t="n">
        <f aca="false">Sens!$M$2407-Sens!$M$2428+Sens!$M$2429+Sens!$M$2430</f>
        <v>196.511897246676</v>
      </c>
      <c r="N2431" s="38" t="n">
        <f aca="false">Q!$N$36</f>
        <v>42.536</v>
      </c>
      <c r="O2431" s="38" t="n">
        <f aca="false">Q!$O$36</f>
        <v>54.775</v>
      </c>
    </row>
    <row r="2432" customFormat="false" ht="15" hidden="false" customHeight="false" outlineLevel="0" collapsed="false">
      <c r="A2432" s="5" t="s">
        <v>555</v>
      </c>
      <c r="B2432" s="0" t="s">
        <v>86</v>
      </c>
      <c r="C2432" s="38" t="n">
        <f aca="false">Q!$D$37</f>
        <v>9.265</v>
      </c>
      <c r="D2432" s="38" t="n">
        <f aca="false">Q!$E$37</f>
        <v>19.087</v>
      </c>
      <c r="E2432" s="38" t="n">
        <f aca="false">Q!$P$37</f>
        <v>27.759</v>
      </c>
      <c r="F2432" s="38" t="n">
        <f aca="false">Sens!$F$2431*tax</f>
        <v>9.54202917650224</v>
      </c>
      <c r="G2432" s="38" t="n">
        <f aca="false">Sens!$E$2432+Sens!$F$2432</f>
        <v>37.3010291765022</v>
      </c>
      <c r="H2432" s="38" t="n">
        <f aca="false">Sens!$H$2431*tax</f>
        <v>21.0483958782931</v>
      </c>
      <c r="I2432" s="38" t="n">
        <f aca="false">Sens!$I$2431*tax</f>
        <v>23.0626933306404</v>
      </c>
      <c r="J2432" s="38" t="n">
        <f aca="false">Sens!$J$2431*tax</f>
        <v>25.8665759786605</v>
      </c>
      <c r="K2432" s="38" t="n">
        <f aca="false">Sens!$K$2431*tax</f>
        <v>27.9215449363599</v>
      </c>
      <c r="L2432" s="38" t="n">
        <f aca="false">Sens!$L$2431*tax</f>
        <v>30.6063987585087</v>
      </c>
      <c r="M2432" s="38" t="n">
        <f aca="false">Sens!$M$2431*tax</f>
        <v>34.111424658964</v>
      </c>
      <c r="N2432" s="38" t="n">
        <f aca="false">Q!$N$37</f>
        <v>7.231</v>
      </c>
      <c r="O2432" s="38" t="n">
        <f aca="false">Q!$O$37</f>
        <v>11.856</v>
      </c>
    </row>
    <row r="2433" customFormat="false" ht="15" hidden="false" customHeight="false" outlineLevel="0" collapsed="false">
      <c r="A2433" s="3" t="s">
        <v>556</v>
      </c>
      <c r="B2433" s="8" t="s">
        <v>86</v>
      </c>
      <c r="C2433" s="38" t="n">
        <f aca="false">Q!$D$38</f>
        <v>59.248</v>
      </c>
      <c r="D2433" s="38" t="n">
        <f aca="false">Q!$E$38</f>
        <v>77.67</v>
      </c>
      <c r="E2433" s="38" t="n">
        <f aca="false">Q!$P$38</f>
        <v>92.902</v>
      </c>
      <c r="F2433" s="38" t="n">
        <f aca="false">Sens!$F$2431-Sens!$F$2432</f>
        <v>45.4284763302164</v>
      </c>
      <c r="G2433" s="38" t="n">
        <f aca="false">Sens!$E$2433+Sens!$F$2433</f>
        <v>138.330476330216</v>
      </c>
      <c r="H2433" s="38" t="n">
        <f aca="false">Sens!$H$2431-Sens!$H$2432</f>
        <v>100.208932110661</v>
      </c>
      <c r="I2433" s="38" t="n">
        <f aca="false">Sens!$I$2431-Sens!$I$2432</f>
        <v>109.798764885572</v>
      </c>
      <c r="J2433" s="38" t="n">
        <f aca="false">Sens!$J$2431-Sens!$J$2432</f>
        <v>123.147719720247</v>
      </c>
      <c r="K2433" s="38" t="n">
        <f aca="false">Sens!$K$2431-Sens!$K$2432</f>
        <v>132.931184738785</v>
      </c>
      <c r="L2433" s="38" t="n">
        <f aca="false">Sens!$L$2431-Sens!$L$2432</f>
        <v>145.71345736167</v>
      </c>
      <c r="M2433" s="38" t="n">
        <f aca="false">Sens!$M$2431-Sens!$M$2432</f>
        <v>162.400472587712</v>
      </c>
      <c r="N2433" s="38" t="n">
        <f aca="false">Q!$N$38</f>
        <v>35.291</v>
      </c>
      <c r="O2433" s="38" t="n">
        <f aca="false">Q!$O$38</f>
        <v>42.379</v>
      </c>
    </row>
    <row r="2434" customFormat="false" ht="17.15" hidden="false" customHeight="false" outlineLevel="0" collapsed="false">
      <c r="A2434" s="5" t="s">
        <v>559</v>
      </c>
      <c r="B2434" s="5" t="s">
        <v>33</v>
      </c>
      <c r="C2434" s="22" t="n">
        <f aca="false">Q!$D$41</f>
        <v>10.721</v>
      </c>
      <c r="D2434" s="22" t="n">
        <f aca="false">Q!$E$41</f>
        <v>10.827</v>
      </c>
      <c r="E2434" s="22" t="n">
        <f aca="false">(Q!$L$41+Q!$M$41)/2</f>
        <v>10.8885</v>
      </c>
      <c r="F2434" s="22" t="n">
        <f aca="false">Sens!$G$2434</f>
        <v>10.924806</v>
      </c>
      <c r="G2434" s="22" t="n">
        <f aca="false">Q!$M$41*(1+sh_g*0.25)</f>
        <v>10.924806</v>
      </c>
      <c r="H2434" s="22" t="n">
        <f aca="false">Sens!$G$2434*(1+sh_g)</f>
        <v>11.012204448</v>
      </c>
      <c r="I2434" s="22" t="n">
        <f aca="false">Sens!$H$2434*(1+sh_g)</f>
        <v>11.100302083584</v>
      </c>
      <c r="J2434" s="22" t="n">
        <f aca="false">Sens!$I$2434*(1+sh_g)</f>
        <v>11.1891045002527</v>
      </c>
      <c r="K2434" s="22" t="n">
        <f aca="false">Sens!$J$2434*(1+sh_g)</f>
        <v>11.2786173362547</v>
      </c>
      <c r="L2434" s="22" t="n">
        <f aca="false">Sens!$K$2434*(1+sh_g)</f>
        <v>11.3688462749447</v>
      </c>
      <c r="M2434" s="22" t="n">
        <f aca="false">Sens!$L$2434*(1+sh_g)</f>
        <v>11.4597970451443</v>
      </c>
      <c r="P2434" s="5" t="s">
        <v>766</v>
      </c>
    </row>
    <row r="2435" customFormat="false" ht="17.15" hidden="false" customHeight="false" outlineLevel="0" collapsed="false">
      <c r="A2435" s="5" t="s">
        <v>767</v>
      </c>
      <c r="B2435" s="0" t="s">
        <v>86</v>
      </c>
      <c r="C2435" s="38" t="n">
        <f aca="false">Sens!$C$2433+Sens!$C$2409*(1-tax)</f>
        <v>59.248</v>
      </c>
      <c r="D2435" s="38" t="n">
        <f aca="false">Sens!$D$2433+Sens!$D$2409*(1-tax)</f>
        <v>77.67</v>
      </c>
      <c r="E2435" s="38" t="n">
        <f aca="false">Sens!$E$2433+Sens!$E$2409*(1-tax)</f>
        <v>92.902</v>
      </c>
      <c r="F2435" s="38" t="n">
        <f aca="false">Sens!$F$2433+Sens!$F$2409*(1-tax)</f>
        <v>48.3918055022178</v>
      </c>
      <c r="G2435" s="38" t="n">
        <f aca="false">Sens!$G$2433+Sens!$G$2409*(1-tax)</f>
        <v>141.293805502218</v>
      </c>
      <c r="H2435" s="38" t="n">
        <f aca="false">Sens!$H$2433+Sens!$H$2409*(1-tax)</f>
        <v>111.514201764828</v>
      </c>
      <c r="I2435" s="38" t="n">
        <f aca="false">Sens!$I$2433+Sens!$I$2409*(1-tax)</f>
        <v>128.487777358154</v>
      </c>
      <c r="J2435" s="38" t="n">
        <f aca="false">Sens!$J$2433+Sens!$J$2409*(1-tax)</f>
        <v>149.258777760996</v>
      </c>
      <c r="K2435" s="38" t="n">
        <f aca="false">Sens!$K$2433+Sens!$K$2409*(1-tax)</f>
        <v>165.373373691575</v>
      </c>
      <c r="L2435" s="38" t="n">
        <f aca="false">Sens!$L$2433+Sens!$L$2409*(1-tax)</f>
        <v>182.316457039708</v>
      </c>
      <c r="M2435" s="38" t="n">
        <f aca="false">Sens!$M$2433+Sens!$M$2409*(1-tax)</f>
        <v>200.987733119074</v>
      </c>
      <c r="N2435" s="38" t="n">
        <f aca="false">Sens!$N$2433+Sens!$N$2409*(1-tax)</f>
        <v>35.291</v>
      </c>
      <c r="O2435" s="38" t="n">
        <f aca="false">Sens!$O$2433+Sens!$O$2409*(1-tax)</f>
        <v>42.379</v>
      </c>
    </row>
    <row r="2436" customFormat="false" ht="17.15" hidden="false" customHeight="false" outlineLevel="0" collapsed="false">
      <c r="A2436" s="43" t="s">
        <v>768</v>
      </c>
      <c r="B2436" s="14" t="s">
        <v>27</v>
      </c>
      <c r="C2436" s="44" t="n">
        <f aca="false">Sens!$C$2435/Sens!$C$2434</f>
        <v>5.52635015390355</v>
      </c>
      <c r="D2436" s="44" t="n">
        <f aca="false">Sens!$D$2435/Sens!$D$2434</f>
        <v>7.1737323358271</v>
      </c>
      <c r="E2436" s="44" t="n">
        <f aca="false">Sens!$E$2435/Sens!$E$2434</f>
        <v>8.53212104513937</v>
      </c>
      <c r="F2436" s="14"/>
      <c r="G2436" s="44" t="n">
        <f aca="false">Sens!$G$2435/Sens!$G$2434</f>
        <v>12.9333011041311</v>
      </c>
      <c r="H2436" s="44" t="n">
        <f aca="false">Sens!$H$2435/Sens!$H$2434</f>
        <v>10.1264194913381</v>
      </c>
      <c r="I2436" s="44" t="n">
        <f aca="false">Sens!$I$2435/Sens!$I$2434</f>
        <v>11.5751604227215</v>
      </c>
      <c r="J2436" s="44" t="n">
        <f aca="false">Sens!$J$2435/Sens!$J$2434</f>
        <v>13.3396535672382</v>
      </c>
      <c r="K2436" s="44" t="n">
        <f aca="false">Sens!$K$2435/Sens!$K$2434</f>
        <v>14.662557365076</v>
      </c>
      <c r="L2436" s="44" t="n">
        <f aca="false">Sens!$L$2435/Sens!$L$2434</f>
        <v>16.0364959320021</v>
      </c>
      <c r="M2436" s="44" t="n">
        <f aca="false">Sens!$M$2435/Sens!$M$2434</f>
        <v>17.5385072115423</v>
      </c>
      <c r="N2436" s="14"/>
      <c r="O2436" s="14"/>
    </row>
    <row r="2437" customFormat="false" ht="17.15" hidden="false" customHeight="false" outlineLevel="0" collapsed="false">
      <c r="A2437" s="0" t="s">
        <v>769</v>
      </c>
      <c r="B2437" s="0" t="s">
        <v>27</v>
      </c>
      <c r="C2437" s="30" t="n">
        <f aca="false">Sens!$C$2433/Sens!$C$2434</f>
        <v>5.52635015390355</v>
      </c>
      <c r="D2437" s="30" t="n">
        <f aca="false">Sens!$D$2433/Sens!$D$2434</f>
        <v>7.1737323358271</v>
      </c>
      <c r="E2437" s="30" t="n">
        <f aca="false">Sens!$E$2433/Sens!$E$2434</f>
        <v>8.53212104513937</v>
      </c>
      <c r="G2437" s="30" t="n">
        <f aca="false">Sens!$G$2433/Sens!$G$2434</f>
        <v>12.6620533426604</v>
      </c>
      <c r="H2437" s="30" t="n">
        <f aca="false">Sens!$H$2433/Sens!$H$2434</f>
        <v>9.0998067266051</v>
      </c>
      <c r="I2437" s="30" t="n">
        <f aca="false">Sens!$I$2433/Sens!$I$2434</f>
        <v>9.89151142543685</v>
      </c>
      <c r="J2437" s="30" t="n">
        <f aca="false">Sens!$J$2433/Sens!$J$2434</f>
        <v>11.0060389298774</v>
      </c>
      <c r="K2437" s="30" t="n">
        <f aca="false">Sens!$K$2433/Sens!$K$2434</f>
        <v>11.7861242008347</v>
      </c>
      <c r="L2437" s="30" t="n">
        <f aca="false">Sens!$L$2433/Sens!$L$2434</f>
        <v>12.8169080518576</v>
      </c>
      <c r="M2437" s="30" t="n">
        <f aca="false">Sens!$M$2433/Sens!$M$2434</f>
        <v>14.1713218783856</v>
      </c>
    </row>
    <row r="2438" customFormat="false" ht="17.15" hidden="false" customHeight="false" outlineLevel="0" collapsed="false">
      <c r="A2438" s="0" t="s">
        <v>770</v>
      </c>
      <c r="B2438" s="0" t="s">
        <v>27</v>
      </c>
      <c r="C2438" s="30" t="n">
        <f aca="false">(Sens!$C$2433-Sens!$C$2430*(1-tax))/Sens!$C$2434</f>
        <v>5.33926775917445</v>
      </c>
      <c r="D2438" s="30" t="n">
        <f aca="false">(Sens!$D$2433-Sens!$D$2430*(1-tax))/Sens!$D$2434</f>
        <v>5.67691812755503</v>
      </c>
      <c r="E2438" s="30" t="n">
        <f aca="false">(Sens!$E$2433-Sens!$E$2430*(1-tax))/Sens!$E$2434</f>
        <v>3.10602057006846</v>
      </c>
      <c r="G2438" s="30" t="n">
        <f aca="false">(Sens!$G$2433-Sens!$G$2430*(1-tax))/Sens!$G$2434</f>
        <v>7.25398522476342</v>
      </c>
      <c r="H2438" s="30" t="n">
        <f aca="false">(Sens!$H$2433-Sens!$H$2430*(1-tax))/Sens!$H$2434</f>
        <v>9.0998067266051</v>
      </c>
      <c r="I2438" s="30" t="n">
        <f aca="false">(Sens!$I$2433-Sens!$I$2430*(1-tax))/Sens!$I$2434</f>
        <v>9.89151142543685</v>
      </c>
      <c r="J2438" s="30" t="n">
        <f aca="false">(Sens!$J$2433-Sens!$J$2430*(1-tax))/Sens!$J$2434</f>
        <v>11.0060389298774</v>
      </c>
      <c r="K2438" s="30" t="n">
        <f aca="false">(Sens!$K$2433-Sens!$K$2430*(1-tax))/Sens!$K$2434</f>
        <v>11.7861242008347</v>
      </c>
      <c r="L2438" s="30" t="n">
        <f aca="false">(Sens!$L$2433-Sens!$L$2430*(1-tax))/Sens!$L$2434</f>
        <v>12.8169080518576</v>
      </c>
      <c r="M2438" s="30" t="n">
        <f aca="false">(Sens!$M$2433-Sens!$M$2430*(1-tax))/Sens!$M$2434</f>
        <v>14.1713218783856</v>
      </c>
      <c r="P2438" s="5" t="s">
        <v>771</v>
      </c>
    </row>
    <row r="2439" customFormat="false" ht="17.15" hidden="false" customHeight="false" outlineLevel="0" collapsed="false">
      <c r="A2439" s="0" t="s">
        <v>772</v>
      </c>
      <c r="B2439" s="0" t="s">
        <v>52</v>
      </c>
      <c r="H2439" s="13" t="n">
        <f aca="false">Sens!$H$2436/Sens!$G$2436-1</f>
        <v>-0.217027469645503</v>
      </c>
      <c r="I2439" s="13" t="n">
        <f aca="false">Sens!$I$2436/Sens!$H$2436-1</f>
        <v>0.143065466784443</v>
      </c>
      <c r="J2439" s="13" t="n">
        <f aca="false">Sens!$J$2436/Sens!$I$2436-1</f>
        <v>0.152437899785221</v>
      </c>
      <c r="K2439" s="13" t="n">
        <f aca="false">Sens!$K$2436/Sens!$J$2436-1</f>
        <v>0.0991707761502001</v>
      </c>
      <c r="L2439" s="13" t="n">
        <f aca="false">Sens!$L$2436/Sens!$K$2436-1</f>
        <v>0.0937038834847894</v>
      </c>
      <c r="M2439" s="13" t="n">
        <f aca="false">Sens!$M$2436/Sens!$L$2436-1</f>
        <v>0.0936620622054238</v>
      </c>
    </row>
    <row r="2442" customFormat="false" ht="19.4" hidden="false" customHeight="false" outlineLevel="0" collapsed="false">
      <c r="A2442" s="31" t="s">
        <v>1200</v>
      </c>
    </row>
    <row r="2443" customFormat="false" ht="17.15" hidden="false" customHeight="false" outlineLevel="0" collapsed="false">
      <c r="A2443" s="6" t="s">
        <v>16</v>
      </c>
      <c r="B2443" s="6" t="s">
        <v>17</v>
      </c>
      <c r="C2443" s="20" t="s">
        <v>504</v>
      </c>
      <c r="D2443" s="20" t="s">
        <v>505</v>
      </c>
      <c r="E2443" s="20" t="s">
        <v>587</v>
      </c>
      <c r="F2443" s="20" t="s">
        <v>588</v>
      </c>
      <c r="G2443" s="20" t="s">
        <v>589</v>
      </c>
      <c r="H2443" s="20" t="s">
        <v>590</v>
      </c>
      <c r="I2443" s="20" t="s">
        <v>591</v>
      </c>
      <c r="J2443" s="20" t="s">
        <v>592</v>
      </c>
      <c r="K2443" s="20" t="s">
        <v>593</v>
      </c>
      <c r="L2443" s="20" t="s">
        <v>594</v>
      </c>
      <c r="M2443" s="20" t="s">
        <v>595</v>
      </c>
      <c r="N2443" s="20" t="s">
        <v>596</v>
      </c>
      <c r="O2443" s="20" t="s">
        <v>597</v>
      </c>
      <c r="P2443" s="6" t="s">
        <v>23</v>
      </c>
      <c r="R2443" s="20" t="n">
        <v>2023</v>
      </c>
      <c r="S2443" s="20" t="n">
        <v>2024</v>
      </c>
      <c r="T2443" s="20" t="n">
        <v>2025</v>
      </c>
      <c r="U2443" s="20" t="n">
        <v>2026</v>
      </c>
      <c r="V2443" s="20" t="n">
        <v>2027</v>
      </c>
      <c r="W2443" s="20" t="n">
        <v>2028</v>
      </c>
      <c r="X2443" s="20" t="n">
        <v>2029</v>
      </c>
      <c r="Y2443" s="20" t="n">
        <v>2030</v>
      </c>
      <c r="Z2443" s="20" t="n">
        <v>2031</v>
      </c>
      <c r="AA2443" s="20" t="n">
        <v>2032</v>
      </c>
    </row>
    <row r="2444" customFormat="false" ht="15" hidden="false" customHeight="false" outlineLevel="0" collapsed="false">
      <c r="A2444" s="5" t="s">
        <v>556</v>
      </c>
      <c r="B2444" s="0" t="s">
        <v>86</v>
      </c>
      <c r="C2444" s="38" t="n">
        <f aca="false">Sens!$C$2433</f>
        <v>59.248</v>
      </c>
      <c r="D2444" s="38" t="n">
        <f aca="false">Sens!$D$2433</f>
        <v>77.67</v>
      </c>
      <c r="E2444" s="38" t="n">
        <f aca="false">Sens!$E$2433</f>
        <v>92.902</v>
      </c>
      <c r="F2444" s="38" t="n">
        <f aca="false">Sens!$F$2433</f>
        <v>45.4284763302164</v>
      </c>
      <c r="G2444" s="38" t="n">
        <f aca="false">Sens!$G$2433</f>
        <v>138.330476330216</v>
      </c>
      <c r="H2444" s="38" t="n">
        <f aca="false">Sens!$H$2433</f>
        <v>100.208932110661</v>
      </c>
      <c r="I2444" s="38" t="n">
        <f aca="false">Sens!$I$2433</f>
        <v>109.798764885572</v>
      </c>
      <c r="J2444" s="38" t="n">
        <f aca="false">Sens!$J$2433</f>
        <v>123.147719720247</v>
      </c>
      <c r="K2444" s="38" t="n">
        <f aca="false">Sens!$K$2433</f>
        <v>132.931184738785</v>
      </c>
      <c r="L2444" s="38" t="n">
        <f aca="false">Sens!$L$2433</f>
        <v>145.71345736167</v>
      </c>
      <c r="M2444" s="38" t="n">
        <f aca="false">Sens!$M$2433</f>
        <v>162.400472587712</v>
      </c>
    </row>
    <row r="2445" customFormat="false" ht="17.15" hidden="false" customHeight="false" outlineLevel="0" collapsed="false">
      <c r="A2445" s="5" t="s">
        <v>795</v>
      </c>
      <c r="B2445" s="0" t="s">
        <v>86</v>
      </c>
      <c r="C2445" s="38" t="n">
        <f aca="false">Sens!$C$2421</f>
        <v>32.067</v>
      </c>
      <c r="D2445" s="38" t="n">
        <f aca="false">Sens!$D$2421</f>
        <v>41.86</v>
      </c>
      <c r="E2445" s="38" t="n">
        <f aca="false">Sens!$E$2421</f>
        <v>26.703</v>
      </c>
      <c r="F2445" s="38" t="n">
        <f aca="false">Sens!$F$2421</f>
        <v>29.152860869477</v>
      </c>
      <c r="G2445" s="38" t="n">
        <f aca="false">Sens!$G$2421</f>
        <v>55.855860869477</v>
      </c>
      <c r="H2445" s="38" t="n">
        <f aca="false">Sens!$H$2421</f>
        <v>80.598139231732</v>
      </c>
      <c r="I2445" s="38" t="n">
        <f aca="false">Sens!$I$2421</f>
        <v>114.545261781879</v>
      </c>
      <c r="J2445" s="38" t="n">
        <f aca="false">Sens!$J$2421</f>
        <v>144.597300473991</v>
      </c>
      <c r="K2445" s="38" t="n">
        <f aca="false">Sens!$K$2421</f>
        <v>174.737182126544</v>
      </c>
      <c r="L2445" s="38" t="n">
        <f aca="false">Sens!$L$2421</f>
        <v>197.440396890517</v>
      </c>
      <c r="M2445" s="38" t="n">
        <f aca="false">Sens!$M$2421</f>
        <v>211.919841142036</v>
      </c>
    </row>
    <row r="2446" customFormat="false" ht="15" hidden="false" customHeight="false" outlineLevel="0" collapsed="false">
      <c r="A2446" s="5" t="s">
        <v>796</v>
      </c>
      <c r="B2446" s="0" t="s">
        <v>86</v>
      </c>
      <c r="C2446" s="38" t="n">
        <f aca="false">Q!$D$48</f>
        <v>22.011</v>
      </c>
      <c r="D2446" s="38" t="n">
        <f aca="false">Q!$E$48</f>
        <v>19.467</v>
      </c>
      <c r="E2446" s="38" t="n">
        <f aca="false">Q!$P$48</f>
        <v>10.07</v>
      </c>
      <c r="F2446" s="38" t="n">
        <f aca="false">sbc_r*Sens!$F$2363</f>
        <v>10.8323810366671</v>
      </c>
      <c r="G2446" s="38" t="n">
        <f aca="false">Sens!$E$2446+Sens!$F$2446</f>
        <v>20.9023810366671</v>
      </c>
      <c r="H2446" s="38" t="n">
        <f aca="false">sbc_r*Sens!$H$2363</f>
        <v>23.3156633183579</v>
      </c>
      <c r="I2446" s="38" t="n">
        <f aca="false">sbc_r*Sens!$I$2363</f>
        <v>26.3194350209832</v>
      </c>
      <c r="J2446" s="38" t="n">
        <f aca="false">sbc_r*Sens!$J$2363</f>
        <v>29.1883391060558</v>
      </c>
      <c r="K2446" s="38" t="n">
        <f aca="false">sbc_r*Sens!$K$2363</f>
        <v>31.7063499533888</v>
      </c>
      <c r="L2446" s="38" t="n">
        <f aca="false">sbc_r*Sens!$L$2363</f>
        <v>34.0919305508008</v>
      </c>
      <c r="M2446" s="38" t="n">
        <f aca="false">sbc_r*Sens!$M$2363</f>
        <v>36.3540416129389</v>
      </c>
    </row>
    <row r="2447" customFormat="false" ht="17.15" hidden="false" customHeight="false" outlineLevel="0" collapsed="false">
      <c r="A2447" s="5" t="s">
        <v>797</v>
      </c>
      <c r="B2447" s="0" t="s">
        <v>86</v>
      </c>
      <c r="C2447" s="38" t="n">
        <f aca="false">Q!$D$44-Sens!$C$2444-Sens!$C$2445-Sens!$C$2446</f>
        <v>2.551</v>
      </c>
      <c r="D2447" s="38" t="n">
        <f aca="false">Q!$E$44-Sens!$D$2444-Sens!$D$2445-Sens!$D$2446</f>
        <v>0.51700000000001</v>
      </c>
      <c r="E2447" s="38" t="n">
        <f aca="false">Q!$P$44-Sens!$E$2444-Sens!$E$2445-Sens!$E$2446</f>
        <v>-58.256</v>
      </c>
      <c r="F2447" s="38" t="n">
        <f aca="false">oth_r*Sens!$F$2363</f>
        <v>5.21383351763593</v>
      </c>
      <c r="G2447" s="38" t="n">
        <f aca="false">Sens!$E$2447+Sens!$F$2447</f>
        <v>-53.0421664823641</v>
      </c>
      <c r="H2447" s="38" t="n">
        <f aca="false">oth_r*Sens!$H$2363</f>
        <v>11.2222775845569</v>
      </c>
      <c r="I2447" s="38" t="n">
        <f aca="false">oth_r*Sens!$I$2363</f>
        <v>12.668050728011</v>
      </c>
      <c r="J2447" s="38" t="n">
        <f aca="false">oth_r*Sens!$J$2363</f>
        <v>14.0489094909184</v>
      </c>
      <c r="K2447" s="38" t="n">
        <f aca="false">oth_r*Sens!$K$2363</f>
        <v>15.2608765837631</v>
      </c>
      <c r="L2447" s="38" t="n">
        <f aca="false">oth_r*Sens!$L$2363</f>
        <v>16.4091024480219</v>
      </c>
      <c r="M2447" s="38" t="n">
        <f aca="false">oth_r*Sens!$M$2363</f>
        <v>17.4979000481495</v>
      </c>
      <c r="P2447" s="8" t="s">
        <v>798</v>
      </c>
    </row>
    <row r="2448" customFormat="false" ht="15" hidden="false" customHeight="false" outlineLevel="0" collapsed="false">
      <c r="A2448" s="3" t="s">
        <v>562</v>
      </c>
      <c r="B2448" s="8" t="s">
        <v>86</v>
      </c>
      <c r="C2448" s="38" t="n">
        <f aca="false">Q!$D$44</f>
        <v>115.877</v>
      </c>
      <c r="D2448" s="38" t="n">
        <f aca="false">Q!$E$44</f>
        <v>139.514</v>
      </c>
      <c r="E2448" s="38" t="n">
        <f aca="false">Q!$P$44</f>
        <v>71.419</v>
      </c>
      <c r="F2448" s="38" t="n">
        <f aca="false">Sens!$F$2444+Sens!$F$2445+Sens!$F$2446+Sens!$F$2447</f>
        <v>90.6275517539965</v>
      </c>
      <c r="G2448" s="38" t="n">
        <f aca="false">Sens!$E$2448+Sens!$F$2448</f>
        <v>162.046551753996</v>
      </c>
      <c r="H2448" s="38" t="n">
        <f aca="false">Sens!$H$2444+Sens!$H$2445+Sens!$H$2446+Sens!$H$2447</f>
        <v>215.345012245308</v>
      </c>
      <c r="I2448" s="38" t="n">
        <f aca="false">Sens!$I$2444+Sens!$I$2445+Sens!$I$2446+Sens!$I$2447</f>
        <v>263.331512416444</v>
      </c>
      <c r="J2448" s="38" t="n">
        <f aca="false">Sens!$J$2444+Sens!$J$2445+Sens!$J$2446+Sens!$J$2447</f>
        <v>310.982268791212</v>
      </c>
      <c r="K2448" s="38" t="n">
        <f aca="false">Sens!$K$2444+Sens!$K$2445+Sens!$K$2446+Sens!$K$2447</f>
        <v>354.635593402481</v>
      </c>
      <c r="L2448" s="38" t="n">
        <f aca="false">Sens!$L$2444+Sens!$L$2445+Sens!$L$2446+Sens!$L$2447</f>
        <v>393.65488725101</v>
      </c>
      <c r="M2448" s="38" t="n">
        <f aca="false">Sens!$M$2444+Sens!$M$2445+Sens!$M$2446+Sens!$M$2447</f>
        <v>428.172255390836</v>
      </c>
    </row>
    <row r="2449" customFormat="false" ht="17.15" hidden="false" customHeight="false" outlineLevel="0" collapsed="false">
      <c r="A2449" s="5" t="s">
        <v>799</v>
      </c>
      <c r="B2449" s="0" t="s">
        <v>86</v>
      </c>
      <c r="C2449" s="38" t="n">
        <f aca="false">Sens!$C$2327</f>
        <v>25.2781053077374</v>
      </c>
      <c r="D2449" s="38" t="n">
        <f aca="false">Sens!$D$2327</f>
        <v>69.5686316310026</v>
      </c>
      <c r="E2449" s="38" t="n">
        <f aca="false">Sens!$E$2327</f>
        <v>64.1899206485108</v>
      </c>
      <c r="F2449" s="38" t="n">
        <f aca="false">Sens!$F$2327</f>
        <v>88.7165504612134</v>
      </c>
      <c r="G2449" s="38" t="n">
        <f aca="false">Sens!$G$2327</f>
        <v>152.906471109724</v>
      </c>
      <c r="H2449" s="38" t="n">
        <f aca="false">Sens!$H$2327</f>
        <v>176.6039130979</v>
      </c>
      <c r="I2449" s="38" t="n">
        <f aca="false">Sens!$I$2327</f>
        <v>182.67901806365</v>
      </c>
      <c r="J2449" s="38" t="n">
        <f aca="false">Sens!$J$2327</f>
        <v>187.19044872365</v>
      </c>
      <c r="K2449" s="38" t="n">
        <f aca="false">Sens!$K$2327</f>
        <v>138.248156309061</v>
      </c>
      <c r="L2449" s="38" t="n">
        <f aca="false">Sens!$L$2327</f>
        <v>116.374447854472</v>
      </c>
      <c r="M2449" s="38" t="n">
        <f aca="false">Sens!$M$2327</f>
        <v>114.695030891708</v>
      </c>
    </row>
    <row r="2450" customFormat="false" ht="17.15" hidden="false" customHeight="false" outlineLevel="0" collapsed="false">
      <c r="A2450" s="5" t="s">
        <v>800</v>
      </c>
      <c r="B2450" s="0" t="s">
        <v>86</v>
      </c>
      <c r="C2450" s="38" t="n">
        <f aca="false">cx_awso*Sens!$C$2361</f>
        <v>21.0469989286053</v>
      </c>
      <c r="D2450" s="38" t="n">
        <f aca="false">cx_awso*Sens!$D$2361</f>
        <v>24.0042459822698</v>
      </c>
      <c r="E2450" s="38" t="n">
        <f aca="false">cx_awso*Sens!$E$2361</f>
        <v>14.261729404886</v>
      </c>
      <c r="F2450" s="38" t="n">
        <f aca="false">cx_awso*Sens!$F$2361</f>
        <v>14.3538599588493</v>
      </c>
      <c r="G2450" s="38" t="n">
        <f aca="false">Sens!$E$2450+Sens!$F$2450</f>
        <v>28.6155893637353</v>
      </c>
      <c r="H2450" s="38" t="n">
        <f aca="false">cx_awso*Sens!$H$2361</f>
        <v>32.2034154158406</v>
      </c>
      <c r="I2450" s="38" t="n">
        <f aca="false">cx_awso*Sens!$I$2361</f>
        <v>35.7539519042915</v>
      </c>
      <c r="J2450" s="38" t="n">
        <f aca="false">cx_awso*Sens!$J$2361</f>
        <v>39.1551076091815</v>
      </c>
      <c r="K2450" s="38" t="n">
        <f aca="false">cx_awso*Sens!$K$2361</f>
        <v>42.287516217916</v>
      </c>
      <c r="L2450" s="38" t="n">
        <f aca="false">cx_awso*Sens!$L$2361</f>
        <v>45.6705175153492</v>
      </c>
      <c r="M2450" s="38" t="n">
        <f aca="false">cx_awso*Sens!$M$2361</f>
        <v>49.3241589165772</v>
      </c>
    </row>
    <row r="2451" customFormat="false" ht="17.15" hidden="false" customHeight="false" outlineLevel="0" collapsed="false">
      <c r="A2451" s="5" t="s">
        <v>801</v>
      </c>
      <c r="B2451" s="0" t="s">
        <v>86</v>
      </c>
      <c r="C2451" s="38" t="n">
        <f aca="false">Q!$D$46-Sens!$C$2449-Sens!$C$2450</f>
        <v>31.3328957636573</v>
      </c>
      <c r="D2451" s="38" t="n">
        <f aca="false">Q!$E$46-Sens!$D$2449-Sens!$D$2450</f>
        <v>34.7471223867276</v>
      </c>
      <c r="E2451" s="38" t="n">
        <f aca="false">Q!$P$46-Sens!$E$2449-Sens!$E$2450</f>
        <v>17.8583499466032</v>
      </c>
      <c r="F2451" s="38" t="n">
        <f aca="false">cx_rt*Sens!$F$2290</f>
        <v>20.6195895799373</v>
      </c>
      <c r="G2451" s="38" t="n">
        <f aca="false">Sens!$E$2451+Sens!$F$2451</f>
        <v>38.4779395265405</v>
      </c>
      <c r="H2451" s="38" t="n">
        <f aca="false">cx_rt*Sens!$H$2290</f>
        <v>42.5978994743075</v>
      </c>
      <c r="I2451" s="38" t="n">
        <f aca="false">cx_rt*Sens!$I$2290</f>
        <v>46.5813904136335</v>
      </c>
      <c r="J2451" s="38" t="n">
        <f aca="false">cx_rt*Sens!$J$2290</f>
        <v>50.2781676586844</v>
      </c>
      <c r="K2451" s="38" t="n">
        <f aca="false">cx_rt*Sens!$K$2290</f>
        <v>53.5312440191755</v>
      </c>
      <c r="L2451" s="38" t="n">
        <f aca="false">cx_rt*Sens!$L$2290</f>
        <v>57.0116717051447</v>
      </c>
      <c r="M2451" s="38" t="n">
        <f aca="false">cx_rt*Sens!$M$2290</f>
        <v>60.7365554669226</v>
      </c>
    </row>
    <row r="2452" customFormat="false" ht="15" hidden="false" customHeight="false" outlineLevel="0" collapsed="false">
      <c r="A2452" s="3" t="s">
        <v>802</v>
      </c>
      <c r="B2452" s="8" t="s">
        <v>86</v>
      </c>
      <c r="C2452" s="38" t="n">
        <f aca="false">Q!$D$46</f>
        <v>77.658</v>
      </c>
      <c r="D2452" s="38" t="n">
        <f aca="false">Q!$E$46</f>
        <v>128.32</v>
      </c>
      <c r="E2452" s="38" t="n">
        <f aca="false">Q!$P$46</f>
        <v>96.31</v>
      </c>
      <c r="F2452" s="38" t="n">
        <f aca="false">Sens!$F$2449+Sens!$F$2450+Sens!$F$2451</f>
        <v>123.69</v>
      </c>
      <c r="G2452" s="38" t="n">
        <f aca="false">Sens!$E$2452+Sens!$F$2452</f>
        <v>220</v>
      </c>
      <c r="H2452" s="38" t="n">
        <f aca="false">Sens!$H$2449+Sens!$H$2450+Sens!$H$2451</f>
        <v>251.405227988048</v>
      </c>
      <c r="I2452" s="38" t="n">
        <f aca="false">Sens!$I$2449+Sens!$I$2450+Sens!$I$2451</f>
        <v>265.014360381575</v>
      </c>
      <c r="J2452" s="38" t="n">
        <f aca="false">Sens!$J$2449+Sens!$J$2450+Sens!$J$2451</f>
        <v>276.623723991516</v>
      </c>
      <c r="K2452" s="38" t="n">
        <f aca="false">Sens!$K$2449+Sens!$K$2450+Sens!$K$2451</f>
        <v>234.066916546153</v>
      </c>
      <c r="L2452" s="38" t="n">
        <f aca="false">Sens!$L$2449+Sens!$L$2450+Sens!$L$2451</f>
        <v>219.056637074966</v>
      </c>
      <c r="M2452" s="38" t="n">
        <f aca="false">Sens!$M$2449+Sens!$M$2450+Sens!$M$2451</f>
        <v>224.755745275208</v>
      </c>
    </row>
    <row r="2453" customFormat="false" ht="17.15" hidden="false" customHeight="false" outlineLevel="0" collapsed="false">
      <c r="A2453" s="5" t="s">
        <v>570</v>
      </c>
      <c r="B2453" s="0" t="s">
        <v>86</v>
      </c>
      <c r="C2453" s="38" t="n">
        <f aca="false">Q!$D$50</f>
        <v>2.043</v>
      </c>
      <c r="D2453" s="38" t="n">
        <f aca="false">Q!$E$50</f>
        <v>1.557</v>
      </c>
      <c r="E2453" s="38" t="n">
        <f aca="false">lease_pr/2</f>
        <v>0.8</v>
      </c>
      <c r="F2453" s="38" t="n">
        <f aca="false">lease_pr/2</f>
        <v>0.8</v>
      </c>
      <c r="G2453" s="38" t="n">
        <f aca="false">Sens!$E$2453+Sens!$F$2453</f>
        <v>1.6</v>
      </c>
      <c r="H2453" s="38" t="n">
        <f aca="false">lease_pr</f>
        <v>1.6</v>
      </c>
      <c r="I2453" s="38" t="n">
        <f aca="false">lease_pr</f>
        <v>1.6</v>
      </c>
      <c r="J2453" s="38" t="n">
        <f aca="false">lease_pr</f>
        <v>1.6</v>
      </c>
      <c r="K2453" s="38" t="n">
        <f aca="false">lease_pr</f>
        <v>1.6</v>
      </c>
      <c r="L2453" s="38" t="n">
        <f aca="false">lease_pr</f>
        <v>1.6</v>
      </c>
      <c r="M2453" s="38" t="n">
        <f aca="false">lease_pr</f>
        <v>1.6</v>
      </c>
      <c r="P2453" s="8" t="s">
        <v>803</v>
      </c>
    </row>
    <row r="2454" customFormat="false" ht="15" hidden="false" customHeight="false" outlineLevel="0" collapsed="false">
      <c r="A2454" s="47" t="s">
        <v>804</v>
      </c>
      <c r="B2454" s="14" t="s">
        <v>86</v>
      </c>
      <c r="C2454" s="48" t="n">
        <f aca="false">Sens!$C$2448-Sens!$C$2452-Sens!$C$2453</f>
        <v>36.176</v>
      </c>
      <c r="D2454" s="48" t="n">
        <f aca="false">Sens!$D$2448-Sens!$D$2452-Sens!$D$2453</f>
        <v>9.63700000000002</v>
      </c>
      <c r="E2454" s="48" t="n">
        <f aca="false">Sens!$E$2448-Sens!$E$2452-Sens!$E$2453</f>
        <v>-25.691</v>
      </c>
      <c r="F2454" s="48" t="n">
        <f aca="false">Sens!$F$2448-Sens!$F$2452-Sens!$F$2453</f>
        <v>-33.8624482460036</v>
      </c>
      <c r="G2454" s="48" t="n">
        <f aca="false">Sens!$G$2448-Sens!$G$2452-Sens!$G$2453</f>
        <v>-59.5534482460036</v>
      </c>
      <c r="H2454" s="48" t="n">
        <f aca="false">Sens!$H$2448-Sens!$H$2452-Sens!$H$2453</f>
        <v>-37.6602157427404</v>
      </c>
      <c r="I2454" s="48" t="n">
        <f aca="false">Sens!$I$2448-Sens!$I$2452-Sens!$I$2453</f>
        <v>-3.28284796513058</v>
      </c>
      <c r="J2454" s="48" t="n">
        <f aca="false">Sens!$J$2448-Sens!$J$2452-Sens!$J$2453</f>
        <v>32.7585447996962</v>
      </c>
      <c r="K2454" s="48" t="n">
        <f aca="false">Sens!$K$2448-Sens!$K$2452-Sens!$K$2453</f>
        <v>118.968676856328</v>
      </c>
      <c r="L2454" s="48" t="n">
        <f aca="false">Sens!$L$2448-Sens!$L$2452-Sens!$L$2453</f>
        <v>172.998250176044</v>
      </c>
      <c r="M2454" s="48" t="n">
        <f aca="false">Sens!$M$2448-Sens!$M$2452-Sens!$M$2453</f>
        <v>201.816510115628</v>
      </c>
      <c r="N2454" s="14"/>
      <c r="O2454" s="14"/>
    </row>
    <row r="2455" customFormat="false" ht="17.15" hidden="false" customHeight="false" outlineLevel="0" collapsed="false">
      <c r="A2455" s="5" t="s">
        <v>805</v>
      </c>
      <c r="B2455" s="0" t="s">
        <v>86</v>
      </c>
      <c r="C2455" s="38" t="n">
        <f aca="false">dps*Sens!$C$2434</f>
        <v>0</v>
      </c>
      <c r="D2455" s="38" t="n">
        <f aca="false">dps*Sens!$D$2434</f>
        <v>0</v>
      </c>
      <c r="E2455" s="38" t="n">
        <f aca="false">dps*Sens!$E$2434</f>
        <v>0</v>
      </c>
      <c r="F2455" s="38" t="n">
        <f aca="false">0</f>
        <v>0</v>
      </c>
      <c r="G2455" s="38" t="n">
        <f aca="false">dps*Sens!$G$2434</f>
        <v>0</v>
      </c>
      <c r="H2455" s="38" t="n">
        <f aca="false">dps*Sens!$H$2434</f>
        <v>0</v>
      </c>
      <c r="I2455" s="38" t="n">
        <f aca="false">dps*Sens!$I$2434</f>
        <v>0</v>
      </c>
      <c r="J2455" s="38" t="n">
        <f aca="false">dps*Sens!$J$2434</f>
        <v>0</v>
      </c>
      <c r="K2455" s="38" t="n">
        <f aca="false">dps*Sens!$K$2434</f>
        <v>0</v>
      </c>
      <c r="L2455" s="38" t="n">
        <f aca="false">dps*Sens!$L$2434</f>
        <v>0</v>
      </c>
      <c r="M2455" s="38" t="n">
        <f aca="false">dps*Sens!$M$2434</f>
        <v>0</v>
      </c>
      <c r="P2455" s="8" t="s">
        <v>806</v>
      </c>
    </row>
    <row r="2456" customFormat="false" ht="17.15" hidden="false" customHeight="false" outlineLevel="0" collapsed="false">
      <c r="A2456" s="5" t="s">
        <v>807</v>
      </c>
      <c r="B2456" s="0" t="s">
        <v>86</v>
      </c>
      <c r="C2456" s="38" t="n">
        <f aca="false">0</f>
        <v>0</v>
      </c>
      <c r="D2456" s="38" t="n">
        <f aca="false">0</f>
        <v>0</v>
      </c>
      <c r="E2456" s="38" t="n">
        <f aca="false">0</f>
        <v>0</v>
      </c>
      <c r="F2456" s="38" t="n">
        <f aca="false">0</f>
        <v>0</v>
      </c>
      <c r="G2456" s="38" t="n">
        <f aca="false">0</f>
        <v>0</v>
      </c>
      <c r="H2456" s="38" t="n">
        <f aca="false">0</f>
        <v>0</v>
      </c>
      <c r="I2456" s="38" t="n">
        <f aca="false">0</f>
        <v>0</v>
      </c>
      <c r="J2456" s="38" t="n">
        <f aca="false">0</f>
        <v>0</v>
      </c>
      <c r="K2456" s="38" t="n">
        <f aca="false">0</f>
        <v>0</v>
      </c>
      <c r="L2456" s="38" t="n">
        <f aca="false">0</f>
        <v>0</v>
      </c>
      <c r="M2456" s="38" t="n">
        <f aca="false">0</f>
        <v>0</v>
      </c>
      <c r="P2456" s="8" t="s">
        <v>808</v>
      </c>
    </row>
    <row r="2457" customFormat="false" ht="15" hidden="false" customHeight="false" outlineLevel="0" collapsed="false">
      <c r="A2457" s="3" t="s">
        <v>809</v>
      </c>
      <c r="B2457" s="8" t="s">
        <v>86</v>
      </c>
      <c r="C2457" s="38" t="n">
        <f aca="false">Sens!$C$2454-Sens!$C$2455</f>
        <v>36.176</v>
      </c>
      <c r="D2457" s="38" t="n">
        <f aca="false">Sens!$D$2454-Sens!$D$2455</f>
        <v>9.63700000000002</v>
      </c>
      <c r="E2457" s="38" t="n">
        <f aca="false">Sens!$E$2454-Sens!$E$2455</f>
        <v>-25.691</v>
      </c>
      <c r="F2457" s="38" t="n">
        <f aca="false">Sens!$F$2454-Sens!$F$2455</f>
        <v>-33.8624482460036</v>
      </c>
      <c r="G2457" s="38" t="n">
        <f aca="false">Sens!$G$2454-Sens!$G$2455</f>
        <v>-59.5534482460036</v>
      </c>
      <c r="H2457" s="38" t="n">
        <f aca="false">Sens!$H$2454-Sens!$H$2455</f>
        <v>-37.6602157427404</v>
      </c>
      <c r="I2457" s="38" t="n">
        <f aca="false">Sens!$I$2454-Sens!$I$2455</f>
        <v>-3.28284796513058</v>
      </c>
      <c r="J2457" s="38" t="n">
        <f aca="false">Sens!$J$2454-Sens!$J$2455</f>
        <v>32.7585447996962</v>
      </c>
      <c r="K2457" s="38" t="n">
        <f aca="false">Sens!$K$2454-Sens!$K$2455</f>
        <v>118.968676856328</v>
      </c>
      <c r="L2457" s="38" t="n">
        <f aca="false">Sens!$L$2454-Sens!$L$2455</f>
        <v>172.998250176044</v>
      </c>
      <c r="M2457" s="38" t="n">
        <f aca="false">Sens!$M$2454-Sens!$M$2455</f>
        <v>201.816510115628</v>
      </c>
    </row>
    <row r="2458" customFormat="false" ht="17.15" hidden="false" customHeight="false" outlineLevel="0" collapsed="false">
      <c r="A2458" s="5" t="s">
        <v>810</v>
      </c>
      <c r="B2458" s="0" t="s">
        <v>86</v>
      </c>
      <c r="E2458" s="38" t="n">
        <f aca="false">Q!$P$53</f>
        <v>39.767</v>
      </c>
      <c r="F2458" s="38" t="n">
        <f aca="false">inv_2h26</f>
        <v>21.3</v>
      </c>
      <c r="G2458" s="38" t="n">
        <f aca="false">Sens!$E$2458+Sens!$F$2458</f>
        <v>61.067</v>
      </c>
      <c r="H2458" s="39" t="n">
        <v>0</v>
      </c>
      <c r="I2458" s="39" t="n">
        <v>0</v>
      </c>
      <c r="J2458" s="39" t="n">
        <v>0</v>
      </c>
      <c r="K2458" s="39" t="n">
        <v>0</v>
      </c>
      <c r="L2458" s="39" t="n">
        <v>0</v>
      </c>
      <c r="M2458" s="39" t="n">
        <v>0</v>
      </c>
    </row>
    <row r="2459" customFormat="false" ht="17.15" hidden="false" customHeight="false" outlineLevel="0" collapsed="false">
      <c r="A2459" s="5" t="s">
        <v>811</v>
      </c>
      <c r="B2459" s="0" t="s">
        <v>86</v>
      </c>
      <c r="F2459" s="38" t="n">
        <f aca="false">iss_2h26</f>
        <v>29.249999</v>
      </c>
      <c r="G2459" s="38" t="n">
        <f aca="false">Sens!$F$2459</f>
        <v>29.249999</v>
      </c>
      <c r="H2459" s="39" t="n">
        <v>0</v>
      </c>
      <c r="I2459" s="39" t="n">
        <v>0</v>
      </c>
      <c r="J2459" s="39" t="n">
        <v>0</v>
      </c>
      <c r="K2459" s="39" t="n">
        <v>0</v>
      </c>
      <c r="L2459" s="39" t="n">
        <v>0</v>
      </c>
      <c r="M2459" s="39" t="n">
        <v>0</v>
      </c>
    </row>
    <row r="2460" customFormat="false" ht="17.15" hidden="false" customHeight="false" outlineLevel="0" collapsed="false">
      <c r="A2460" s="5" t="s">
        <v>812</v>
      </c>
      <c r="B2460" s="0" t="s">
        <v>86</v>
      </c>
      <c r="F2460" s="38" t="n">
        <f aca="false">cash_q2</f>
        <v>122.988</v>
      </c>
      <c r="G2460" s="38" t="n">
        <f aca="false">cash_q2</f>
        <v>122.988</v>
      </c>
      <c r="H2460" s="38" t="n">
        <f aca="false">Sens!$G$2463</f>
        <v>97.0755507539965</v>
      </c>
      <c r="I2460" s="38" t="n">
        <f aca="false">Sens!$H$2463</f>
        <v>59.415335011256</v>
      </c>
      <c r="J2460" s="38" t="n">
        <f aca="false">Sens!$I$2463</f>
        <v>56.1324870461255</v>
      </c>
      <c r="K2460" s="38" t="n">
        <f aca="false">Sens!$J$2463</f>
        <v>88.8910318458216</v>
      </c>
      <c r="L2460" s="38" t="n">
        <f aca="false">Sens!$K$2463</f>
        <v>207.85970870215</v>
      </c>
      <c r="M2460" s="38" t="n">
        <f aca="false">Sens!$L$2463</f>
        <v>380.857958878194</v>
      </c>
    </row>
    <row r="2461" customFormat="false" ht="15" hidden="false" customHeight="false" outlineLevel="0" collapsed="false">
      <c r="A2461" s="5" t="s">
        <v>813</v>
      </c>
      <c r="B2461" s="0" t="s">
        <v>86</v>
      </c>
      <c r="F2461" s="38" t="n">
        <f aca="false">Sens!$F$2460+Sens!$F$2457-Sens!$F$2456-Sens!$F$2458+Sens!$F$2459</f>
        <v>97.0755507539965</v>
      </c>
      <c r="H2461" s="38" t="n">
        <f aca="false">Sens!$H$2460+Sens!$H$2457-Sens!$H$2456-Sens!$H$2458+Sens!$H$2459</f>
        <v>59.415335011256</v>
      </c>
      <c r="I2461" s="38" t="n">
        <f aca="false">Sens!$I$2460+Sens!$I$2457-Sens!$I$2456-Sens!$I$2458+Sens!$I$2459</f>
        <v>56.1324870461255</v>
      </c>
      <c r="J2461" s="38" t="n">
        <f aca="false">Sens!$J$2460+Sens!$J$2457-Sens!$J$2456-Sens!$J$2458+Sens!$J$2459</f>
        <v>88.8910318458216</v>
      </c>
      <c r="K2461" s="38" t="n">
        <f aca="false">Sens!$K$2460+Sens!$K$2457-Sens!$K$2456-Sens!$K$2458+Sens!$K$2459</f>
        <v>207.85970870215</v>
      </c>
      <c r="L2461" s="38" t="n">
        <f aca="false">Sens!$L$2460+Sens!$L$2457-Sens!$L$2456-Sens!$L$2458+Sens!$L$2459</f>
        <v>380.857958878194</v>
      </c>
      <c r="M2461" s="38" t="n">
        <f aca="false">Sens!$M$2460+Sens!$M$2457-Sens!$M$2456-Sens!$M$2458+Sens!$M$2459</f>
        <v>582.674468993822</v>
      </c>
    </row>
    <row r="2462" customFormat="false" ht="17.15" hidden="false" customHeight="false" outlineLevel="0" collapsed="false">
      <c r="A2462" s="5" t="s">
        <v>814</v>
      </c>
      <c r="B2462" s="0" t="s">
        <v>86</v>
      </c>
      <c r="F2462" s="38" t="n">
        <f aca="false">MAX(0,min_cash-Sens!$F$2461)</f>
        <v>0</v>
      </c>
      <c r="G2462" s="38" t="n">
        <f aca="false">Sens!$F$2462</f>
        <v>0</v>
      </c>
      <c r="H2462" s="38" t="n">
        <f aca="false">MAX(0,min_cash-Sens!$H$2461)</f>
        <v>0</v>
      </c>
      <c r="I2462" s="38" t="n">
        <f aca="false">MAX(0,min_cash-Sens!$I$2461)</f>
        <v>0</v>
      </c>
      <c r="J2462" s="38" t="n">
        <f aca="false">MAX(0,min_cash-Sens!$J$2461)</f>
        <v>0</v>
      </c>
      <c r="K2462" s="38" t="n">
        <f aca="false">MAX(0,min_cash-Sens!$K$2461)</f>
        <v>0</v>
      </c>
      <c r="L2462" s="38" t="n">
        <f aca="false">MAX(0,min_cash-Sens!$L$2461)</f>
        <v>0</v>
      </c>
      <c r="M2462" s="38" t="n">
        <f aca="false">MAX(0,min_cash-Sens!$M$2461)</f>
        <v>0</v>
      </c>
      <c r="P2462" s="5" t="s">
        <v>815</v>
      </c>
    </row>
    <row r="2463" customFormat="false" ht="15" hidden="false" customHeight="false" outlineLevel="0" collapsed="false">
      <c r="A2463" s="5" t="s">
        <v>816</v>
      </c>
      <c r="B2463" s="0" t="s">
        <v>86</v>
      </c>
      <c r="D2463" s="38" t="n">
        <f aca="false">Q!$E$61</f>
        <v>123.029</v>
      </c>
      <c r="E2463" s="38" t="n">
        <f aca="false">Q!$M$61</f>
        <v>122.988</v>
      </c>
      <c r="F2463" s="38" t="n">
        <f aca="false">Sens!$F$2461+Sens!$F$2462</f>
        <v>97.0755507539965</v>
      </c>
      <c r="G2463" s="38" t="n">
        <f aca="false">Sens!$F$2463</f>
        <v>97.0755507539965</v>
      </c>
      <c r="H2463" s="38" t="n">
        <f aca="false">Sens!$H$2461+Sens!$H$2462</f>
        <v>59.415335011256</v>
      </c>
      <c r="I2463" s="38" t="n">
        <f aca="false">Sens!$I$2461+Sens!$I$2462</f>
        <v>56.1324870461255</v>
      </c>
      <c r="J2463" s="38" t="n">
        <f aca="false">Sens!$J$2461+Sens!$J$2462</f>
        <v>88.8910318458216</v>
      </c>
      <c r="K2463" s="38" t="n">
        <f aca="false">Sens!$K$2461+Sens!$K$2462</f>
        <v>207.85970870215</v>
      </c>
      <c r="L2463" s="38" t="n">
        <f aca="false">Sens!$L$2461+Sens!$L$2462</f>
        <v>380.857958878194</v>
      </c>
      <c r="M2463" s="38" t="n">
        <f aca="false">Sens!$M$2461+Sens!$M$2462</f>
        <v>582.674468993822</v>
      </c>
    </row>
    <row r="2464" customFormat="false" ht="15" hidden="false" customHeight="false" outlineLevel="0" collapsed="false">
      <c r="A2464" s="5" t="s">
        <v>817</v>
      </c>
      <c r="B2464" s="0" t="s">
        <v>86</v>
      </c>
      <c r="D2464" s="38" t="n">
        <f aca="false">Q!$E$62</f>
        <v>68.836</v>
      </c>
      <c r="E2464" s="38" t="n">
        <f aca="false">Q!$M$62</f>
        <v>132.995</v>
      </c>
      <c r="F2464" s="38" t="n">
        <f aca="false">debt_q2+Sens!$F$2459+Sens!$F$2462</f>
        <v>162.244999</v>
      </c>
      <c r="G2464" s="38" t="n">
        <f aca="false">Sens!$F$2464</f>
        <v>162.244999</v>
      </c>
      <c r="H2464" s="38" t="n">
        <f aca="false">Sens!$G$2464+Sens!$H$2462</f>
        <v>162.244999</v>
      </c>
      <c r="I2464" s="38" t="n">
        <f aca="false">Sens!$H$2464+Sens!$I$2462</f>
        <v>162.244999</v>
      </c>
      <c r="J2464" s="38" t="n">
        <f aca="false">Sens!$I$2464+Sens!$J$2462</f>
        <v>162.244999</v>
      </c>
      <c r="K2464" s="38" t="n">
        <f aca="false">Sens!$J$2464+Sens!$K$2462</f>
        <v>162.244999</v>
      </c>
      <c r="L2464" s="38" t="n">
        <f aca="false">Sens!$K$2464+Sens!$L$2462</f>
        <v>162.244999</v>
      </c>
      <c r="M2464" s="38" t="n">
        <f aca="false">Sens!$L$2464+Sens!$M$2462</f>
        <v>162.244999</v>
      </c>
    </row>
    <row r="2465" customFormat="false" ht="15" hidden="false" customHeight="false" outlineLevel="0" collapsed="false">
      <c r="A2465" s="5" t="s">
        <v>818</v>
      </c>
      <c r="B2465" s="0" t="s">
        <v>86</v>
      </c>
      <c r="D2465" s="38" t="n">
        <f aca="false">Sens!$D$2464-Sens!$D$2463</f>
        <v>-54.193</v>
      </c>
      <c r="E2465" s="38" t="n">
        <f aca="false">Sens!$E$2464-Sens!$E$2463</f>
        <v>10.007</v>
      </c>
      <c r="F2465" s="38" t="n">
        <f aca="false">Sens!$F$2464-Sens!$F$2463</f>
        <v>65.1694482460036</v>
      </c>
      <c r="G2465" s="38" t="n">
        <f aca="false">Sens!$G$2464-Sens!$G$2463</f>
        <v>65.1694482460036</v>
      </c>
      <c r="H2465" s="38" t="n">
        <f aca="false">Sens!$H$2464-Sens!$H$2463</f>
        <v>102.829663988744</v>
      </c>
      <c r="I2465" s="38" t="n">
        <f aca="false">Sens!$I$2464-Sens!$I$2463</f>
        <v>106.112511953875</v>
      </c>
      <c r="J2465" s="38" t="n">
        <f aca="false">Sens!$J$2464-Sens!$J$2463</f>
        <v>73.3539671541784</v>
      </c>
      <c r="K2465" s="38" t="n">
        <f aca="false">Sens!$K$2464-Sens!$K$2463</f>
        <v>-45.6147097021498</v>
      </c>
      <c r="L2465" s="38" t="n">
        <f aca="false">Sens!$L$2464-Sens!$L$2463</f>
        <v>-218.612959878194</v>
      </c>
      <c r="M2465" s="38" t="n">
        <f aca="false">Sens!$M$2464-Sens!$M$2463</f>
        <v>-420.429469993822</v>
      </c>
    </row>
    <row r="2466" customFormat="false" ht="17.15" hidden="false" customHeight="false" outlineLevel="0" collapsed="false">
      <c r="A2466" s="5" t="s">
        <v>819</v>
      </c>
      <c r="B2466" s="0" t="s">
        <v>86</v>
      </c>
      <c r="F2466" s="38" t="n">
        <f aca="false">debt_q2*kd_book*0.5+iss_2h26*kd_new*iss_t</f>
        <v>3.24888962733561</v>
      </c>
      <c r="H2466" s="38" t="n">
        <f aca="false">debt_q2*kd_book+(Sens!$G$2464-debt_q2)*kd_new</f>
        <v>7.42354172302123</v>
      </c>
      <c r="I2466" s="38" t="n">
        <f aca="false">debt_q2*kd_book+(Sens!$H$2464-debt_q2)*kd_new</f>
        <v>7.42354172302123</v>
      </c>
      <c r="J2466" s="38" t="n">
        <f aca="false">debt_q2*kd_book+(Sens!$I$2464-debt_q2)*kd_new</f>
        <v>7.42354172302123</v>
      </c>
      <c r="K2466" s="38" t="n">
        <f aca="false">debt_q2*kd_book+(Sens!$J$2464-debt_q2)*kd_new</f>
        <v>7.42354172302123</v>
      </c>
      <c r="L2466" s="38" t="n">
        <f aca="false">debt_q2*kd_book+(Sens!$K$2464-debt_q2)*kd_new</f>
        <v>7.42354172302123</v>
      </c>
      <c r="M2466" s="38" t="n">
        <f aca="false">debt_q2*kd_book+(Sens!$L$2464-debt_q2)*kd_new</f>
        <v>7.42354172302123</v>
      </c>
    </row>
    <row r="2467" customFormat="false" ht="17.15" hidden="false" customHeight="false" outlineLevel="0" collapsed="false">
      <c r="A2467" s="5" t="s">
        <v>820</v>
      </c>
      <c r="B2467" s="0" t="s">
        <v>86</v>
      </c>
      <c r="F2467" s="38" t="n">
        <f aca="false">cash_q2*y_cash*0.5</f>
        <v>2.59</v>
      </c>
      <c r="H2467" s="38" t="n">
        <f aca="false">Sens!$G$2463*y_cash</f>
        <v>4.08862127122729</v>
      </c>
      <c r="I2467" s="38" t="n">
        <f aca="false">Sens!$H$2463*y_cash</f>
        <v>2.50245093308539</v>
      </c>
      <c r="J2467" s="38" t="n">
        <f aca="false">Sens!$I$2463*y_cash</f>
        <v>2.3641841716178</v>
      </c>
      <c r="K2467" s="38" t="n">
        <f aca="false">Sens!$J$2463*y_cash</f>
        <v>3.74390627509477</v>
      </c>
      <c r="L2467" s="38" t="n">
        <f aca="false">Sens!$K$2463*y_cash</f>
        <v>8.75462070345998</v>
      </c>
      <c r="M2467" s="38" t="n">
        <f aca="false">Sens!$L$2463*y_cash</f>
        <v>16.0409489298878</v>
      </c>
    </row>
    <row r="2468" customFormat="false" ht="17.15" hidden="false" customHeight="false" outlineLevel="0" collapsed="false">
      <c r="A2468" s="47" t="s">
        <v>821</v>
      </c>
      <c r="B2468" s="14" t="s">
        <v>86</v>
      </c>
      <c r="C2468" s="14"/>
      <c r="D2468" s="14"/>
      <c r="E2468" s="14"/>
      <c r="F2468" s="14"/>
      <c r="G2468" s="48" t="n">
        <f aca="false">SUM(Sens!$G$2457:$K$2457)</f>
        <v>51.2307097021498</v>
      </c>
      <c r="H2468" s="14"/>
      <c r="I2468" s="14"/>
      <c r="J2468" s="14"/>
      <c r="K2468" s="14"/>
      <c r="L2468" s="14"/>
      <c r="M2468" s="14"/>
      <c r="N2468" s="14"/>
      <c r="O2468" s="14"/>
    </row>
    <row r="2469" customFormat="false" ht="17.15" hidden="false" customHeight="false" outlineLevel="0" collapsed="false">
      <c r="A2469" s="0" t="s">
        <v>787</v>
      </c>
      <c r="B2469" s="0" t="s">
        <v>86</v>
      </c>
      <c r="G2469" s="38" t="n">
        <f aca="false">SUM(Sens!$G$2462:$K$2462)</f>
        <v>0</v>
      </c>
    </row>
    <row r="2470" customFormat="false" ht="17.15" hidden="false" customHeight="false" outlineLevel="0" collapsed="false">
      <c r="A2470" s="24" t="s">
        <v>824</v>
      </c>
      <c r="B2470" s="25" t="s">
        <v>86</v>
      </c>
      <c r="C2470" s="25"/>
      <c r="D2470" s="25"/>
      <c r="E2470" s="25"/>
      <c r="F2470" s="25"/>
      <c r="G2470" s="41" t="n">
        <f aca="false">Sens!$G$2468-(Sens!$G$2457+Sens!$H$2457+Sens!$I$2457+Sens!$J$2457+Sens!$K$2457)</f>
        <v>0</v>
      </c>
      <c r="H2470" s="25"/>
      <c r="I2470" s="25"/>
      <c r="J2470" s="25"/>
      <c r="K2470" s="25"/>
      <c r="L2470" s="25"/>
      <c r="M2470" s="25"/>
      <c r="N2470" s="25"/>
      <c r="O2470" s="25"/>
    </row>
    <row r="2473" customFormat="false" ht="19.4" hidden="false" customHeight="false" outlineLevel="0" collapsed="false">
      <c r="A2473" s="31" t="s">
        <v>1201</v>
      </c>
    </row>
    <row r="2474" customFormat="false" ht="17.15" hidden="false" customHeight="false" outlineLevel="0" collapsed="false">
      <c r="A2474" s="6" t="s">
        <v>16</v>
      </c>
      <c r="B2474" s="6" t="s">
        <v>17</v>
      </c>
      <c r="C2474" s="20" t="s">
        <v>504</v>
      </c>
      <c r="D2474" s="20" t="s">
        <v>505</v>
      </c>
      <c r="E2474" s="20" t="s">
        <v>587</v>
      </c>
      <c r="F2474" s="20" t="s">
        <v>588</v>
      </c>
      <c r="G2474" s="20" t="s">
        <v>589</v>
      </c>
      <c r="H2474" s="20" t="s">
        <v>590</v>
      </c>
      <c r="I2474" s="20" t="s">
        <v>591</v>
      </c>
      <c r="J2474" s="20" t="s">
        <v>592</v>
      </c>
      <c r="K2474" s="20" t="s">
        <v>593</v>
      </c>
      <c r="L2474" s="20" t="s">
        <v>594</v>
      </c>
      <c r="M2474" s="20" t="s">
        <v>595</v>
      </c>
      <c r="N2474" s="20" t="s">
        <v>596</v>
      </c>
      <c r="O2474" s="20" t="s">
        <v>597</v>
      </c>
      <c r="P2474" s="6" t="s">
        <v>23</v>
      </c>
      <c r="R2474" s="20" t="n">
        <v>2023</v>
      </c>
      <c r="S2474" s="20" t="n">
        <v>2024</v>
      </c>
      <c r="T2474" s="20" t="n">
        <v>2025</v>
      </c>
      <c r="U2474" s="20" t="n">
        <v>2026</v>
      </c>
      <c r="V2474" s="20" t="n">
        <v>2027</v>
      </c>
      <c r="W2474" s="20" t="n">
        <v>2028</v>
      </c>
      <c r="X2474" s="20" t="n">
        <v>2029</v>
      </c>
      <c r="Y2474" s="20" t="n">
        <v>2030</v>
      </c>
      <c r="Z2474" s="20" t="n">
        <v>2031</v>
      </c>
      <c r="AA2474" s="20" t="n">
        <v>2032</v>
      </c>
    </row>
    <row r="2475" customFormat="false" ht="17.15" hidden="false" customHeight="false" outlineLevel="0" collapsed="false">
      <c r="A2475" s="1" t="s">
        <v>926</v>
      </c>
    </row>
    <row r="2476" customFormat="false" ht="17.15" hidden="false" customHeight="false" outlineLevel="0" collapsed="false">
      <c r="A2476" s="0" t="s">
        <v>927</v>
      </c>
      <c r="B2476" s="0" t="s">
        <v>86</v>
      </c>
      <c r="H2476" s="38" t="n">
        <f aca="false">Sens!$H$2410*(1-tax)</f>
        <v>114.270231628678</v>
      </c>
      <c r="I2476" s="38" t="n">
        <f aca="false">Sens!$I$2410*(1-tax)</f>
        <v>132.55464293286</v>
      </c>
      <c r="J2476" s="38" t="n">
        <f aca="false">Sens!$J$2410*(1-tax)</f>
        <v>153.439909126833</v>
      </c>
      <c r="K2476" s="38" t="n">
        <f aca="false">Sens!$K$2410*(1-tax)</f>
        <v>168.414281362135</v>
      </c>
      <c r="L2476" s="38" t="n">
        <f aca="false">Sens!$L$2410*(1-tax)</f>
        <v>181.216432773984</v>
      </c>
      <c r="M2476" s="38" t="n">
        <f aca="false">Sens!$M$2410*(1-tax)</f>
        <v>193.866174462912</v>
      </c>
    </row>
    <row r="2477" customFormat="false" ht="15" hidden="false" customHeight="false" outlineLevel="0" collapsed="false">
      <c r="A2477" s="5" t="s">
        <v>928</v>
      </c>
      <c r="B2477" s="0" t="s">
        <v>86</v>
      </c>
      <c r="H2477" s="38" t="n">
        <f aca="false">Sens!$H$2421</f>
        <v>80.598139231732</v>
      </c>
      <c r="I2477" s="38" t="n">
        <f aca="false">Sens!$I$2421</f>
        <v>114.545261781879</v>
      </c>
      <c r="J2477" s="38" t="n">
        <f aca="false">Sens!$J$2421</f>
        <v>144.597300473991</v>
      </c>
      <c r="K2477" s="38" t="n">
        <f aca="false">Sens!$K$2421</f>
        <v>174.737182126544</v>
      </c>
      <c r="L2477" s="38" t="n">
        <f aca="false">Sens!$L$2421</f>
        <v>197.440396890517</v>
      </c>
      <c r="M2477" s="38" t="n">
        <f aca="false">Sens!$M$2421</f>
        <v>211.919841142036</v>
      </c>
    </row>
    <row r="2478" customFormat="false" ht="15" hidden="false" customHeight="false" outlineLevel="0" collapsed="false">
      <c r="A2478" s="5" t="s">
        <v>929</v>
      </c>
      <c r="B2478" s="0" t="s">
        <v>86</v>
      </c>
      <c r="H2478" s="38" t="n">
        <f aca="false">Sens!$H$2452</f>
        <v>251.405227988048</v>
      </c>
      <c r="I2478" s="38" t="n">
        <f aca="false">Sens!$I$2452</f>
        <v>265.014360381575</v>
      </c>
      <c r="J2478" s="38" t="n">
        <f aca="false">Sens!$J$2452</f>
        <v>276.623723991516</v>
      </c>
      <c r="K2478" s="38" t="n">
        <f aca="false">Sens!$K$2452</f>
        <v>234.066916546153</v>
      </c>
      <c r="L2478" s="38" t="n">
        <f aca="false">Sens!$L$2452</f>
        <v>219.056637074966</v>
      </c>
      <c r="M2478" s="38" t="n">
        <f aca="false">Sens!$M$2452</f>
        <v>224.755745275208</v>
      </c>
    </row>
    <row r="2479" customFormat="false" ht="15" hidden="false" customHeight="false" outlineLevel="0" collapsed="false">
      <c r="A2479" s="5" t="s">
        <v>930</v>
      </c>
      <c r="B2479" s="0" t="s">
        <v>86</v>
      </c>
      <c r="H2479" s="38" t="n">
        <f aca="false">Sens!$H$2453</f>
        <v>1.6</v>
      </c>
      <c r="I2479" s="38" t="n">
        <f aca="false">Sens!$I$2453</f>
        <v>1.6</v>
      </c>
      <c r="J2479" s="38" t="n">
        <f aca="false">Sens!$J$2453</f>
        <v>1.6</v>
      </c>
      <c r="K2479" s="38" t="n">
        <f aca="false">Sens!$K$2453</f>
        <v>1.6</v>
      </c>
      <c r="L2479" s="38" t="n">
        <f aca="false">Sens!$L$2453</f>
        <v>1.6</v>
      </c>
      <c r="M2479" s="38" t="n">
        <f aca="false">Sens!$M$2453</f>
        <v>1.6</v>
      </c>
    </row>
    <row r="2480" customFormat="false" ht="15" hidden="false" customHeight="false" outlineLevel="0" collapsed="false">
      <c r="A2480" s="5" t="s">
        <v>931</v>
      </c>
      <c r="B2480" s="0" t="s">
        <v>86</v>
      </c>
      <c r="H2480" s="38" t="n">
        <f aca="false">Sens!$H$2447</f>
        <v>11.2222775845569</v>
      </c>
      <c r="I2480" s="38" t="n">
        <f aca="false">Sens!$I$2447</f>
        <v>12.668050728011</v>
      </c>
      <c r="J2480" s="38" t="n">
        <f aca="false">Sens!$J$2447</f>
        <v>14.0489094909184</v>
      </c>
      <c r="K2480" s="38" t="n">
        <f aca="false">Sens!$K$2447</f>
        <v>15.2608765837631</v>
      </c>
      <c r="L2480" s="38" t="n">
        <f aca="false">Sens!$L$2447</f>
        <v>16.4091024480219</v>
      </c>
      <c r="M2480" s="38" t="n">
        <f aca="false">Sens!$M$2447</f>
        <v>17.4979000481495</v>
      </c>
    </row>
    <row r="2481" customFormat="false" ht="17.15" hidden="false" customHeight="false" outlineLevel="0" collapsed="false">
      <c r="A2481" s="1" t="s">
        <v>932</v>
      </c>
      <c r="B2481" s="8" t="s">
        <v>86</v>
      </c>
      <c r="H2481" s="38" t="n">
        <f aca="false">Sens!$H$2476+Sens!$H$2477-Sens!$H$2478-Sens!$H$2479+Sens!$H$2480</f>
        <v>-46.9145795430812</v>
      </c>
      <c r="I2481" s="38" t="n">
        <f aca="false">Sens!$I$2476+Sens!$I$2477-Sens!$I$2478-Sens!$I$2479+Sens!$I$2480</f>
        <v>-6.84640493882536</v>
      </c>
      <c r="J2481" s="38" t="n">
        <f aca="false">Sens!$J$2476+Sens!$J$2477-Sens!$J$2478-Sens!$J$2479+Sens!$J$2480</f>
        <v>33.8623951002258</v>
      </c>
      <c r="K2481" s="38" t="n">
        <f aca="false">Sens!$K$2476+Sens!$K$2477-Sens!$K$2478-Sens!$K$2479+Sens!$K$2480</f>
        <v>122.745423526289</v>
      </c>
      <c r="L2481" s="38" t="n">
        <f aca="false">Sens!$L$2476+Sens!$L$2477-Sens!$L$2478-Sens!$L$2479+Sens!$L$2480</f>
        <v>174.409295037557</v>
      </c>
      <c r="M2481" s="38" t="n">
        <f aca="false">Sens!$M$2476+Sens!$M$2477-Sens!$M$2478-Sens!$M$2479+Sens!$M$2480</f>
        <v>196.928170377889</v>
      </c>
    </row>
    <row r="2482" customFormat="false" ht="15" hidden="false" customHeight="false" outlineLevel="0" collapsed="false">
      <c r="A2482" s="5" t="s">
        <v>933</v>
      </c>
      <c r="B2482" s="0" t="s">
        <v>57</v>
      </c>
      <c r="H2482" s="40" t="n">
        <f aca="false">1/(1+wacc)^(2027-2026-0.5)</f>
        <v>0.947751320380232</v>
      </c>
      <c r="I2482" s="40" t="n">
        <f aca="false">1/(1+wacc)^(2028-2026-0.5)</f>
        <v>0.851301099754987</v>
      </c>
      <c r="J2482" s="40" t="n">
        <f aca="false">1/(1+wacc)^(2029-2026-0.5)</f>
        <v>0.764666370660713</v>
      </c>
      <c r="K2482" s="40" t="n">
        <f aca="false">1/(1+wacc)^(2030-2026-0.5)</f>
        <v>0.686848235703811</v>
      </c>
      <c r="L2482" s="40" t="n">
        <f aca="false">1/(1+wacc)^(2031-2026-0.5)</f>
        <v>0.616949452715975</v>
      </c>
      <c r="M2482" s="40" t="n">
        <f aca="false">1/(1+wacc)^(2032-2026-0.5)</f>
        <v>0.554164089562688</v>
      </c>
    </row>
    <row r="2483" customFormat="false" ht="15" hidden="false" customHeight="false" outlineLevel="0" collapsed="false">
      <c r="A2483" s="5" t="s">
        <v>934</v>
      </c>
      <c r="B2483" s="0" t="s">
        <v>86</v>
      </c>
      <c r="H2483" s="38" t="n">
        <f aca="false">Sens!$H$2481*Sens!$H$2482</f>
        <v>-44.4633547070387</v>
      </c>
      <c r="I2483" s="38" t="n">
        <f aca="false">Sens!$I$2481*Sens!$I$2482</f>
        <v>-5.82835205379001</v>
      </c>
      <c r="J2483" s="38" t="n">
        <f aca="false">Sens!$J$2481*Sens!$J$2482</f>
        <v>25.8934347631687</v>
      </c>
      <c r="K2483" s="38" t="n">
        <f aca="false">Sens!$K$2481*Sens!$K$2482</f>
        <v>84.3074775897485</v>
      </c>
      <c r="L2483" s="38" t="n">
        <f aca="false">Sens!$L$2481*Sens!$L$2482</f>
        <v>107.601719122</v>
      </c>
      <c r="M2483" s="38" t="n">
        <f aca="false">Sens!$M$2481*Sens!$M$2482</f>
        <v>109.130520246709</v>
      </c>
    </row>
    <row r="2484" customFormat="false" ht="15" hidden="false" customHeight="false" outlineLevel="0" collapsed="false">
      <c r="A2484" s="5" t="s">
        <v>935</v>
      </c>
      <c r="B2484" s="0" t="s">
        <v>86</v>
      </c>
      <c r="C2484" s="38" t="n">
        <f aca="false">SUM(Sens!$H$2483:$M$2483)</f>
        <v>276.641444960797</v>
      </c>
    </row>
    <row r="2485" customFormat="false" ht="17.15" hidden="false" customHeight="false" outlineLevel="0" collapsed="false">
      <c r="A2485" s="5" t="s">
        <v>936</v>
      </c>
      <c r="B2485" s="0" t="s">
        <v>86</v>
      </c>
      <c r="C2485" s="38" t="n">
        <f aca="false">Sens!$M$2476*(1+tg)*(1-tg/ronic)/(wacc-tg)</f>
        <v>1762.45985804249</v>
      </c>
    </row>
    <row r="2486" customFormat="false" ht="15" hidden="false" customHeight="false" outlineLevel="0" collapsed="false">
      <c r="A2486" s="5" t="s">
        <v>937</v>
      </c>
      <c r="B2486" s="0" t="s">
        <v>86</v>
      </c>
      <c r="C2486" s="38" t="n">
        <f aca="false">Sens!$C$2485/(1+wacc)^6</f>
        <v>925.661097180616</v>
      </c>
    </row>
    <row r="2487" customFormat="false" ht="17.15" hidden="false" customHeight="false" outlineLevel="0" collapsed="false">
      <c r="A2487" s="5" t="s">
        <v>938</v>
      </c>
      <c r="B2487" s="0" t="s">
        <v>86</v>
      </c>
      <c r="C2487" s="38" t="n">
        <f aca="false">Sens!$C$2484+Sens!$C$2486</f>
        <v>1202.30254214141</v>
      </c>
    </row>
    <row r="2488" customFormat="false" ht="17.15" hidden="false" customHeight="false" outlineLevel="0" collapsed="false">
      <c r="A2488" s="5" t="s">
        <v>939</v>
      </c>
      <c r="B2488" s="0" t="s">
        <v>52</v>
      </c>
      <c r="C2488" s="13" t="n">
        <f aca="false">Sens!$C$2486/Sens!$C$2487</f>
        <v>0.769906961630412</v>
      </c>
    </row>
    <row r="2489" customFormat="false" ht="17.15" hidden="false" customHeight="false" outlineLevel="0" collapsed="false">
      <c r="A2489" s="5" t="s">
        <v>940</v>
      </c>
      <c r="B2489" s="0" t="s">
        <v>86</v>
      </c>
      <c r="C2489" s="38" t="n">
        <f aca="false">Sens!$G$2465+fin_debt</f>
        <v>89.6904482460036</v>
      </c>
    </row>
    <row r="2490" customFormat="false" ht="17.15" hidden="false" customHeight="false" outlineLevel="0" collapsed="false">
      <c r="A2490" s="5" t="s">
        <v>941</v>
      </c>
      <c r="B2490" s="0" t="s">
        <v>86</v>
      </c>
      <c r="C2490" s="38" t="n">
        <f aca="false">(ant_val*ant_sh+oai_val*oai_sh)*(1-liq_disc)</f>
        <v>178.944</v>
      </c>
    </row>
    <row r="2491" customFormat="false" ht="15" hidden="false" customHeight="false" outlineLevel="0" collapsed="false">
      <c r="A2491" s="5" t="s">
        <v>942</v>
      </c>
      <c r="B2491" s="0" t="s">
        <v>86</v>
      </c>
      <c r="C2491" s="38" t="n">
        <f aca="false">Sens!$C$2487-Sens!$C$2489+Sens!$C$2490</f>
        <v>1291.55609389541</v>
      </c>
    </row>
    <row r="2492" customFormat="false" ht="17.15" hidden="false" customHeight="false" outlineLevel="0" collapsed="false">
      <c r="A2492" s="5" t="s">
        <v>943</v>
      </c>
      <c r="B2492" s="0" t="s">
        <v>27</v>
      </c>
      <c r="C2492" s="30" t="n">
        <f aca="false">Sens!$C$2491/sh_out</f>
        <v>119.740264736907</v>
      </c>
    </row>
    <row r="2493" customFormat="false" ht="17.15" hidden="false" customHeight="false" outlineLevel="0" collapsed="false">
      <c r="A2493" s="1" t="s">
        <v>944</v>
      </c>
      <c r="B2493" s="8" t="s">
        <v>27</v>
      </c>
      <c r="C2493" s="30" t="n">
        <f aca="false">Sens!$C$2492*(1+ke)^tp_yf-dps*tp_yf</f>
        <v>131.159755661434</v>
      </c>
    </row>
    <row r="2494" customFormat="false" ht="17.15" hidden="false" customHeight="false" outlineLevel="0" collapsed="false">
      <c r="A2494" s="3" t="s">
        <v>945</v>
      </c>
    </row>
    <row r="2495" customFormat="false" ht="17.15" hidden="false" customHeight="false" outlineLevel="0" collapsed="false">
      <c r="A2495" s="5" t="s">
        <v>946</v>
      </c>
      <c r="B2495" s="0" t="s">
        <v>86</v>
      </c>
      <c r="C2495" s="38" t="n">
        <f aca="false">(1-tp_yf)*(Sens!$H$2422+sbc_ab*Sens!$H$2446*Sens!$H$2283/Sens!$H$2363)+tp_yf*(Sens!$I$2422+sbc_ab*Sens!$I$2446*Sens!$I$2283/Sens!$I$2363)</f>
        <v>59.634664536349</v>
      </c>
    </row>
    <row r="2496" customFormat="false" ht="15" hidden="false" customHeight="false" outlineLevel="0" collapsed="false">
      <c r="A2496" s="5" t="s">
        <v>947</v>
      </c>
      <c r="B2496" s="0" t="s">
        <v>57</v>
      </c>
      <c r="C2496" s="30" t="n">
        <f aca="false">m_ads*m_x</f>
        <v>9.11</v>
      </c>
    </row>
    <row r="2497" customFormat="false" ht="17.15" hidden="false" customHeight="false" outlineLevel="0" collapsed="false">
      <c r="A2497" s="5" t="s">
        <v>948</v>
      </c>
      <c r="B2497" s="0" t="s">
        <v>86</v>
      </c>
      <c r="C2497" s="38" t="n">
        <f aca="false">Sens!$C$2495*Sens!$C$2496</f>
        <v>543.271793926139</v>
      </c>
    </row>
    <row r="2498" customFormat="false" ht="17.15" hidden="false" customHeight="false" outlineLevel="0" collapsed="false">
      <c r="A2498" s="5" t="s">
        <v>949</v>
      </c>
      <c r="B2498" s="0" t="s">
        <v>86</v>
      </c>
      <c r="C2498" s="38" t="n">
        <f aca="false">(1-tp_yf)*(Sens!$H$2423+sbc_ab*Sens!$H$2446*(Sens!$H$2290-Sens!$H$2283)/Sens!$H$2363+IF(internal_ai_reading=2,1,0)*(1-ext_sh)*Sens!$H$2320)+tp_yf*(Sens!$I$2423+sbc_ab*Sens!$I$2446*(Sens!$I$2290-Sens!$I$2283)/Sens!$I$2363+IF(internal_ai_reading=2,1,0)*(1-ext_sh)*Sens!$I$2320)</f>
        <v>51.6951811103438</v>
      </c>
    </row>
    <row r="2499" customFormat="false" ht="17.15" hidden="false" customHeight="false" outlineLevel="0" collapsed="false">
      <c r="A2499" s="5" t="s">
        <v>950</v>
      </c>
      <c r="B2499" s="0" t="s">
        <v>57</v>
      </c>
      <c r="C2499" s="30" t="n">
        <f aca="false">m_retail*m_x</f>
        <v>17.72</v>
      </c>
    </row>
    <row r="2500" customFormat="false" ht="17.15" hidden="false" customHeight="false" outlineLevel="0" collapsed="false">
      <c r="A2500" s="5" t="s">
        <v>951</v>
      </c>
      <c r="B2500" s="0" t="s">
        <v>86</v>
      </c>
      <c r="C2500" s="38" t="n">
        <f aca="false">Sens!$C$2498*Sens!$C$2499</f>
        <v>916.038609275292</v>
      </c>
    </row>
    <row r="2501" customFormat="false" ht="17.15" hidden="false" customHeight="false" outlineLevel="0" collapsed="false">
      <c r="A2501" s="0" t="s">
        <v>952</v>
      </c>
      <c r="B2501" s="0" t="s">
        <v>86</v>
      </c>
      <c r="C2501" s="38" t="n">
        <f aca="false">(1-tp_yf)*(Sens!$H$2424+sbc_ab*Sens!$H$2446*Sens!$H$2361/Sens!$H$2363)+tp_yf*(Sens!$I$2424+sbc_ab*Sens!$I$2446*Sens!$I$2361/Sens!$I$2363)</f>
        <v>97.2337130506861</v>
      </c>
    </row>
    <row r="2502" customFormat="false" ht="17.15" hidden="false" customHeight="false" outlineLevel="0" collapsed="false">
      <c r="A2502" s="0" t="s">
        <v>953</v>
      </c>
      <c r="B2502" s="0" t="s">
        <v>57</v>
      </c>
      <c r="C2502" s="30" t="n">
        <f aca="false">m_cloud*m_x</f>
        <v>13.82</v>
      </c>
    </row>
    <row r="2503" customFormat="false" ht="17.15" hidden="false" customHeight="false" outlineLevel="0" collapsed="false">
      <c r="A2503" s="0" t="s">
        <v>954</v>
      </c>
      <c r="B2503" s="0" t="s">
        <v>86</v>
      </c>
      <c r="C2503" s="38" t="n">
        <f aca="false">Sens!$C$2501*Sens!$C$2502</f>
        <v>1343.76991436048</v>
      </c>
    </row>
    <row r="2504" customFormat="false" ht="17.15" hidden="false" customHeight="false" outlineLevel="0" collapsed="false">
      <c r="A2504" s="0" t="s">
        <v>955</v>
      </c>
      <c r="B2504" s="0" t="s">
        <v>86</v>
      </c>
      <c r="H2504" s="38" t="n">
        <f aca="false">Sens!$H$2342-tax*Sens!$H$2343-ext_sh*Sens!$H$2327</f>
        <v>-102.840642192175</v>
      </c>
      <c r="I2504" s="38" t="n">
        <f aca="false">Sens!$I$2342-tax*Sens!$I$2343-ext_sh*Sens!$I$2327</f>
        <v>-81.281032111345</v>
      </c>
      <c r="J2504" s="38" t="n">
        <f aca="false">Sens!$J$2342-tax*Sens!$J$2343-ext_sh*Sens!$J$2327</f>
        <v>-58.8317601281905</v>
      </c>
      <c r="K2504" s="38" t="n">
        <f aca="false">Sens!$K$2342-tax*Sens!$K$2343-ext_sh*Sens!$K$2327</f>
        <v>3.13812356394145</v>
      </c>
      <c r="L2504" s="38" t="n">
        <f aca="false">Sens!$L$2342-tax*Sens!$L$2343-ext_sh*Sens!$L$2327</f>
        <v>35.7722839772392</v>
      </c>
      <c r="M2504" s="38" t="n">
        <f aca="false">Sens!$M$2342-tax*Sens!$M$2343-ext_sh*Sens!$M$2327</f>
        <v>44.4344981315799</v>
      </c>
    </row>
    <row r="2505" customFormat="false" ht="17.15" hidden="false" customHeight="false" outlineLevel="0" collapsed="false">
      <c r="A2505" s="5" t="s">
        <v>956</v>
      </c>
      <c r="B2505" s="0" t="s">
        <v>86</v>
      </c>
      <c r="H2505" s="38" t="n">
        <f aca="false">Sens!$H$2504*Sens!$H$2482</f>
        <v>-97.467354426385</v>
      </c>
      <c r="I2505" s="38" t="n">
        <f aca="false">Sens!$I$2504*Sens!$I$2482</f>
        <v>-69.1946320256084</v>
      </c>
      <c r="J2505" s="38" t="n">
        <f aca="false">Sens!$J$2504*Sens!$J$2482</f>
        <v>-44.986668496805</v>
      </c>
      <c r="K2505" s="38" t="n">
        <f aca="false">Sens!$K$2504*Sens!$K$2482</f>
        <v>2.15541463331374</v>
      </c>
      <c r="L2505" s="38" t="n">
        <f aca="false">Sens!$L$2504*Sens!$L$2482</f>
        <v>22.0696910221582</v>
      </c>
      <c r="M2505" s="38" t="n">
        <f aca="false">Sens!$M$2504*Sens!$M$2482</f>
        <v>24.6240032022619</v>
      </c>
    </row>
    <row r="2506" customFormat="false" ht="17.15" hidden="false" customHeight="false" outlineLevel="0" collapsed="false">
      <c r="A2506" s="5" t="s">
        <v>957</v>
      </c>
      <c r="B2506" s="0" t="s">
        <v>86</v>
      </c>
      <c r="C2506" s="38" t="n">
        <f aca="false">Sens!$M$2343*(1-tax)*(1+tg)*(1-tg/ronic)/(wacc-tg)</f>
        <v>251.781419250917</v>
      </c>
    </row>
    <row r="2507" customFormat="false" ht="17.15" hidden="false" customHeight="false" outlineLevel="0" collapsed="false">
      <c r="A2507" s="0" t="s">
        <v>958</v>
      </c>
      <c r="B2507" s="0" t="s">
        <v>86</v>
      </c>
      <c r="C2507" s="38" t="n">
        <f aca="false">(SUM(Sens!$I$2505:$M$2505)+Sens!$C$2506/(1+wacc)^6)*(1+wacc)^tp_yf</f>
        <v>73.0759990909295</v>
      </c>
    </row>
    <row r="2508" customFormat="false" ht="17.15" hidden="false" customHeight="false" outlineLevel="0" collapsed="false">
      <c r="A2508" s="5" t="s">
        <v>959</v>
      </c>
      <c r="B2508" s="0" t="s">
        <v>86</v>
      </c>
      <c r="C2508" s="38" t="n">
        <f aca="false">(1-tp_yf)*(Sens!$H$2425)+tp_yf*(Sens!$I$2425)</f>
        <v>63.9452698113175</v>
      </c>
    </row>
    <row r="2509" customFormat="false" ht="17.15" hidden="false" customHeight="false" outlineLevel="0" collapsed="false">
      <c r="A2509" s="5" t="s">
        <v>960</v>
      </c>
      <c r="B2509" s="0" t="s">
        <v>86</v>
      </c>
      <c r="C2509" s="38" t="n">
        <f aca="false">Sens!$C$2508*m_ai</f>
        <v>383.671618867905</v>
      </c>
    </row>
    <row r="2510" customFormat="false" ht="17.15" hidden="false" customHeight="false" outlineLevel="0" collapsed="false">
      <c r="A2510" s="0" t="s">
        <v>961</v>
      </c>
      <c r="B2510" s="0" t="s">
        <v>86</v>
      </c>
      <c r="C2510" s="38" t="n">
        <f aca="false">IF(ai_leg=1,Sens!$C$2507,Sens!$C$2509)</f>
        <v>73.0759990909295</v>
      </c>
    </row>
    <row r="2511" customFormat="false" ht="17.15" hidden="false" customHeight="false" outlineLevel="0" collapsed="false">
      <c r="A2511" s="5" t="s">
        <v>962</v>
      </c>
      <c r="B2511" s="0" t="s">
        <v>86</v>
      </c>
      <c r="C2511" s="38" t="n">
        <f aca="false">Sens!$C$2497+Sens!$C$2500+Sens!$C$2503+Sens!$C$2510</f>
        <v>2876.15631665284</v>
      </c>
    </row>
    <row r="2512" customFormat="false" ht="17.15" hidden="false" customHeight="false" outlineLevel="0" collapsed="false">
      <c r="A2512" s="5" t="s">
        <v>963</v>
      </c>
      <c r="B2512" s="0" t="s">
        <v>86</v>
      </c>
      <c r="C2512" s="38" t="n">
        <f aca="false">Sens!$H$2465+fin_debt</f>
        <v>127.350663988744</v>
      </c>
    </row>
    <row r="2513" customFormat="false" ht="15" hidden="false" customHeight="false" outlineLevel="0" collapsed="false">
      <c r="A2513" s="5" t="s">
        <v>964</v>
      </c>
      <c r="B2513" s="0" t="s">
        <v>86</v>
      </c>
      <c r="C2513" s="38" t="n">
        <f aca="false">Sens!$C$2511-Sens!$C$2512+Sens!$C$2490</f>
        <v>2927.7496526641</v>
      </c>
    </row>
    <row r="2514" customFormat="false" ht="15" hidden="false" customHeight="false" outlineLevel="0" collapsed="false">
      <c r="A2514" s="3" t="s">
        <v>965</v>
      </c>
      <c r="B2514" s="8" t="s">
        <v>27</v>
      </c>
      <c r="C2514" s="30" t="n">
        <f aca="false">Sens!$C$2513/sh_val</f>
        <v>265.427589156945</v>
      </c>
    </row>
    <row r="2515" customFormat="false" ht="17.15" hidden="false" customHeight="false" outlineLevel="0" collapsed="false">
      <c r="A2515" s="47" t="s">
        <v>966</v>
      </c>
      <c r="B2515" s="14" t="s">
        <v>27</v>
      </c>
      <c r="C2515" s="44" t="n">
        <f aca="false">w_dcf*Sens!$C$2493+(1-w_dcf)*Sens!$C$2514</f>
        <v>198.293672409189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</row>
    <row r="2516" customFormat="false" ht="17.15" hidden="false" customHeight="false" outlineLevel="0" collapsed="false">
      <c r="A2516" s="5" t="s">
        <v>967</v>
      </c>
      <c r="B2516" s="0" t="s">
        <v>27</v>
      </c>
      <c r="C2516" s="30" t="n">
        <f aca="false">v022_wdcf*Sens!$C$2493+(1-v022_wdcf)*Sens!$C$2514</f>
        <v>205.007064083965</v>
      </c>
    </row>
    <row r="2517" customFormat="false" ht="17.15" hidden="false" customHeight="false" outlineLevel="0" collapsed="false">
      <c r="A2517" s="5" t="s">
        <v>968</v>
      </c>
      <c r="B2517" s="0" t="s">
        <v>27</v>
      </c>
      <c r="C2517" s="30" t="n">
        <f aca="false">(Sens!$C$2513-Sens!$C$2510+Sens!$C$2509)/sh_val</f>
        <v>293.585955253955</v>
      </c>
    </row>
    <row r="2520" customFormat="false" ht="19.4" hidden="false" customHeight="false" outlineLevel="0" collapsed="false">
      <c r="A2520" s="31" t="s">
        <v>1202</v>
      </c>
    </row>
    <row r="2521" customFormat="false" ht="17.15" hidden="false" customHeight="false" outlineLevel="0" collapsed="false">
      <c r="A2521" s="6" t="s">
        <v>16</v>
      </c>
      <c r="B2521" s="6" t="s">
        <v>17</v>
      </c>
      <c r="C2521" s="20" t="s">
        <v>504</v>
      </c>
      <c r="D2521" s="20" t="s">
        <v>505</v>
      </c>
      <c r="E2521" s="20" t="s">
        <v>587</v>
      </c>
      <c r="F2521" s="20" t="s">
        <v>588</v>
      </c>
      <c r="G2521" s="20" t="s">
        <v>589</v>
      </c>
      <c r="H2521" s="20" t="s">
        <v>590</v>
      </c>
      <c r="I2521" s="20" t="s">
        <v>591</v>
      </c>
      <c r="J2521" s="20" t="s">
        <v>592</v>
      </c>
      <c r="K2521" s="20" t="s">
        <v>593</v>
      </c>
      <c r="L2521" s="20" t="s">
        <v>594</v>
      </c>
      <c r="M2521" s="20" t="s">
        <v>595</v>
      </c>
      <c r="N2521" s="20" t="s">
        <v>596</v>
      </c>
      <c r="O2521" s="20" t="s">
        <v>597</v>
      </c>
      <c r="P2521" s="6" t="s">
        <v>23</v>
      </c>
      <c r="R2521" s="20" t="n">
        <v>2023</v>
      </c>
      <c r="S2521" s="20" t="n">
        <v>2024</v>
      </c>
      <c r="T2521" s="20" t="n">
        <v>2025</v>
      </c>
      <c r="U2521" s="20" t="n">
        <v>2026</v>
      </c>
      <c r="V2521" s="20" t="n">
        <v>2027</v>
      </c>
      <c r="W2521" s="20" t="n">
        <v>2028</v>
      </c>
      <c r="X2521" s="20" t="n">
        <v>2029</v>
      </c>
      <c r="Y2521" s="20" t="n">
        <v>2030</v>
      </c>
      <c r="Z2521" s="20" t="n">
        <v>2031</v>
      </c>
      <c r="AA2521" s="20" t="n">
        <v>2032</v>
      </c>
    </row>
    <row r="2522" customFormat="false" ht="17.15" hidden="false" customHeight="false" outlineLevel="0" collapsed="false">
      <c r="A2522" s="1" t="s">
        <v>677</v>
      </c>
    </row>
    <row r="2523" customFormat="false" ht="17.15" hidden="false" customHeight="false" outlineLevel="0" collapsed="false">
      <c r="A2523" s="0" t="s">
        <v>526</v>
      </c>
      <c r="B2523" s="0" t="s">
        <v>86</v>
      </c>
      <c r="C2523" s="38" t="n">
        <f aca="false">Q!$D$10</f>
        <v>247.029</v>
      </c>
      <c r="D2523" s="38" t="n">
        <f aca="false">Q!$E$10</f>
        <v>269.287</v>
      </c>
      <c r="E2523" s="38" t="n">
        <f aca="false">Q!$P$10</f>
        <v>134.686</v>
      </c>
      <c r="F2523" s="38" t="n">
        <f aca="false">Sens!$O$2523*(1+Sens!$F$2524)*Sens!$F$2535</f>
        <v>158.293876822267</v>
      </c>
      <c r="G2523" s="38" t="n">
        <f aca="false">Sens!$E$2523+Sens!$F$2523</f>
        <v>292.979876822267</v>
      </c>
      <c r="H2523" s="38" t="n">
        <f aca="false">Sens!$G$2523*(1+Sens!$H$2524)</f>
        <v>318.184543087396</v>
      </c>
      <c r="I2523" s="38" t="n">
        <f aca="false">Sens!$H$2523*(1+Sens!$I$2524)</f>
        <v>341.736278761793</v>
      </c>
      <c r="J2523" s="38" t="n">
        <f aca="false">Sens!$I$2523*(1+Sens!$J$2524)</f>
        <v>362.927192787048</v>
      </c>
      <c r="K2523" s="38" t="n">
        <f aca="false">Sens!$J$2523*(1+Sens!$K$2524)</f>
        <v>381.0735524264</v>
      </c>
      <c r="L2523" s="38" t="n">
        <f aca="false">Sens!$K$2523*(1+Sens!$L$2524)</f>
        <v>400.12723004772</v>
      </c>
      <c r="M2523" s="38" t="n">
        <f aca="false">Sens!$L$2523*(1+Sens!$M$2524)</f>
        <v>420.133591550106</v>
      </c>
      <c r="N2523" s="38" t="n">
        <f aca="false">Q!$N$10</f>
        <v>118.892</v>
      </c>
      <c r="O2523" s="38" t="n">
        <f aca="false">Q!$O$10</f>
        <v>150.395</v>
      </c>
      <c r="P2523" s="8" t="s">
        <v>678</v>
      </c>
    </row>
    <row r="2524" customFormat="false" ht="17.15" hidden="false" customHeight="false" outlineLevel="0" collapsed="false">
      <c r="A2524" s="0" t="s">
        <v>679</v>
      </c>
      <c r="B2524" s="0" t="s">
        <v>52</v>
      </c>
      <c r="E2524" s="13" t="n">
        <f aca="false">Sens!$E$2523/Sens!$N$2523-1</f>
        <v>0.132843252699929</v>
      </c>
      <c r="F2524" s="13" t="n">
        <f aca="false">Sens!$O$2523/(Q!$F$10+Q!$G$10)-1</f>
        <v>0.0980382135842941</v>
      </c>
      <c r="G2524" s="13" t="n">
        <f aca="false">Sens!$G$2523/Sens!$D$2523-1</f>
        <v>0.0879837378791657</v>
      </c>
      <c r="H2524" s="13" t="n">
        <f aca="false">Sens!$F$2524+(g_os-Sens!$F$2524)*1/4</f>
        <v>0.0860286601882206</v>
      </c>
      <c r="I2524" s="13" t="n">
        <f aca="false">Sens!$F$2524+(g_os-Sens!$F$2524)*2/4</f>
        <v>0.074019106792147</v>
      </c>
      <c r="J2524" s="13" t="n">
        <f aca="false">Sens!$F$2524+(g_os-Sens!$F$2524)*3/4</f>
        <v>0.0620095533960735</v>
      </c>
      <c r="K2524" s="13" t="n">
        <f aca="false">Sens!$F$2524+(g_os-Sens!$F$2524)*4/4</f>
        <v>0.05</v>
      </c>
      <c r="L2524" s="13" t="n">
        <f aca="false">g_os</f>
        <v>0.05</v>
      </c>
      <c r="M2524" s="13" t="n">
        <f aca="false">g_os</f>
        <v>0.05</v>
      </c>
      <c r="P2524" s="8" t="s">
        <v>680</v>
      </c>
    </row>
    <row r="2525" customFormat="false" ht="17.15" hidden="false" customHeight="false" outlineLevel="0" collapsed="false">
      <c r="A2525" s="0" t="s">
        <v>527</v>
      </c>
      <c r="B2525" s="0" t="s">
        <v>86</v>
      </c>
      <c r="C2525" s="38" t="n">
        <f aca="false">Q!$D$11</f>
        <v>21.215</v>
      </c>
      <c r="D2525" s="38" t="n">
        <f aca="false">Q!$E$11</f>
        <v>22.561</v>
      </c>
      <c r="E2525" s="38" t="n">
        <f aca="false">Q!$P$11</f>
        <v>11.579</v>
      </c>
      <c r="F2525" s="38" t="n">
        <f aca="false">Sens!$O$2525*(1+Sens!$F$2526)*Sens!$F$2535</f>
        <v>11.5938724610325</v>
      </c>
      <c r="G2525" s="38" t="n">
        <f aca="false">Sens!$E$2525+Sens!$F$2525</f>
        <v>23.1728724610325</v>
      </c>
      <c r="H2525" s="38" t="n">
        <f aca="false">Sens!$G$2525*(1+Sens!$H$2526)</f>
        <v>24.353392759506</v>
      </c>
      <c r="I2525" s="38" t="n">
        <f aca="false">Sens!$H$2525*(1+Sens!$I$2526)</f>
        <v>25.4240338872015</v>
      </c>
      <c r="J2525" s="38" t="n">
        <f aca="false">Sens!$I$2525*(1+Sens!$J$2526)</f>
        <v>26.3642491017174</v>
      </c>
      <c r="K2525" s="38" t="n">
        <f aca="false">Sens!$J$2525*(1+Sens!$K$2526)</f>
        <v>27.155176574769</v>
      </c>
      <c r="L2525" s="38" t="n">
        <f aca="false">Sens!$K$2525*(1+Sens!$L$2526)</f>
        <v>27.969831872012</v>
      </c>
      <c r="M2525" s="38" t="n">
        <f aca="false">Sens!$L$2525*(1+Sens!$M$2526)</f>
        <v>28.8089268281724</v>
      </c>
      <c r="N2525" s="38" t="n">
        <f aca="false">Q!$N$11</f>
        <v>11.128</v>
      </c>
      <c r="O2525" s="38" t="n">
        <f aca="false">Q!$O$11</f>
        <v>11.433</v>
      </c>
      <c r="P2525" s="8" t="s">
        <v>678</v>
      </c>
    </row>
    <row r="2526" customFormat="false" ht="17.15" hidden="false" customHeight="false" outlineLevel="0" collapsed="false">
      <c r="A2526" s="0" t="s">
        <v>681</v>
      </c>
      <c r="B2526" s="0" t="s">
        <v>52</v>
      </c>
      <c r="E2526" s="13" t="n">
        <f aca="false">Sens!$E$2525/Sens!$N$2525-1</f>
        <v>0.0405283968368082</v>
      </c>
      <c r="F2526" s="13" t="n">
        <f aca="false">Sens!$O$2525/(Q!$F$11+Q!$G$11)-1</f>
        <v>0.0579254187100955</v>
      </c>
      <c r="G2526" s="13" t="n">
        <f aca="false">Sens!$G$2525/Sens!$D$2525-1</f>
        <v>0.0271208040881397</v>
      </c>
      <c r="H2526" s="13" t="n">
        <f aca="false">Sens!$F$2526+(g_ps-Sens!$F$2526)*1/4</f>
        <v>0.0509440640325716</v>
      </c>
      <c r="I2526" s="13" t="n">
        <f aca="false">Sens!$F$2526+(g_ps-Sens!$F$2526)*2/4</f>
        <v>0.0439627093550477</v>
      </c>
      <c r="J2526" s="13" t="n">
        <f aca="false">Sens!$F$2526+(g_ps-Sens!$F$2526)*3/4</f>
        <v>0.0369813546775239</v>
      </c>
      <c r="K2526" s="13" t="n">
        <f aca="false">Sens!$F$2526+(g_ps-Sens!$F$2526)*4/4</f>
        <v>0.03</v>
      </c>
      <c r="L2526" s="13" t="n">
        <f aca="false">g_ps</f>
        <v>0.03</v>
      </c>
      <c r="M2526" s="13" t="n">
        <f aca="false">g_ps</f>
        <v>0.03</v>
      </c>
      <c r="P2526" s="8" t="s">
        <v>682</v>
      </c>
    </row>
    <row r="2527" customFormat="false" ht="17.15" hidden="false" customHeight="false" outlineLevel="0" collapsed="false">
      <c r="A2527" s="0" t="s">
        <v>528</v>
      </c>
      <c r="B2527" s="0" t="s">
        <v>86</v>
      </c>
      <c r="C2527" s="38" t="n">
        <f aca="false">Q!$D$12</f>
        <v>156.146</v>
      </c>
      <c r="D2527" s="38" t="n">
        <f aca="false">Q!$E$12</f>
        <v>172.162</v>
      </c>
      <c r="E2527" s="38" t="n">
        <f aca="false">Q!$P$12</f>
        <v>88.358</v>
      </c>
      <c r="F2527" s="38" t="n">
        <f aca="false">Sens!$O$2527*(1+Sens!$F$2528)*Sens!$F$2535</f>
        <v>102.004388260171</v>
      </c>
      <c r="G2527" s="38" t="n">
        <f aca="false">Sens!$E$2527+Sens!$F$2527</f>
        <v>190.362388260171</v>
      </c>
      <c r="H2527" s="38" t="n">
        <f aca="false">Sens!$G$2527*(1+Sens!$H$2528)</f>
        <v>210.343106588311</v>
      </c>
      <c r="I2527" s="38" t="n">
        <f aca="false">Sens!$H$2527*(1+Sens!$I$2528)</f>
        <v>229.969728494648</v>
      </c>
      <c r="J2527" s="38" t="n">
        <f aca="false">Sens!$I$2527*(1+Sens!$J$2528)</f>
        <v>248.747636972598</v>
      </c>
      <c r="K2527" s="38" t="n">
        <f aca="false">Sens!$J$2527*(1+Sens!$K$2528)</f>
        <v>266.15997156068</v>
      </c>
      <c r="L2527" s="38" t="n">
        <f aca="false">Sens!$K$2527*(1+Sens!$L$2528)</f>
        <v>284.791169569927</v>
      </c>
      <c r="M2527" s="38" t="n">
        <f aca="false">Sens!$L$2527*(1+Sens!$M$2528)</f>
        <v>304.726551439822</v>
      </c>
      <c r="N2527" s="38" t="n">
        <f aca="false">Q!$N$12</f>
        <v>76.86</v>
      </c>
      <c r="O2527" s="38" t="n">
        <f aca="false">Q!$O$12</f>
        <v>95.302</v>
      </c>
      <c r="P2527" s="8" t="s">
        <v>678</v>
      </c>
    </row>
    <row r="2528" customFormat="false" ht="17.15" hidden="false" customHeight="false" outlineLevel="0" collapsed="false">
      <c r="A2528" s="0" t="s">
        <v>683</v>
      </c>
      <c r="B2528" s="0" t="s">
        <v>52</v>
      </c>
      <c r="E2528" s="13" t="n">
        <f aca="false">Sens!$E$2527/Sens!$N$2527-1</f>
        <v>0.1495966692688</v>
      </c>
      <c r="F2528" s="13" t="n">
        <f aca="false">Sens!$O$2527/(Q!$F$12+Q!$G$12)-1</f>
        <v>0.11661530890813</v>
      </c>
      <c r="G2528" s="13" t="n">
        <f aca="false">Sens!$G$2527/Sens!$D$2527-1</f>
        <v>0.105716640490767</v>
      </c>
      <c r="H2528" s="13" t="n">
        <f aca="false">Sens!$F$2528+(g_sp-Sens!$F$2528)*1/4</f>
        <v>0.104961481681098</v>
      </c>
      <c r="I2528" s="13" t="n">
        <f aca="false">Sens!$F$2528+(g_sp-Sens!$F$2528)*2/4</f>
        <v>0.0933076544540651</v>
      </c>
      <c r="J2528" s="13" t="n">
        <f aca="false">Sens!$F$2528+(g_sp-Sens!$F$2528)*3/4</f>
        <v>0.0816538272270325</v>
      </c>
      <c r="K2528" s="13" t="n">
        <f aca="false">Sens!$F$2528+(g_sp-Sens!$F$2528)*4/4</f>
        <v>0.07</v>
      </c>
      <c r="L2528" s="13" t="n">
        <f aca="false">g_sp</f>
        <v>0.07</v>
      </c>
      <c r="M2528" s="13" t="n">
        <f aca="false">g_sp</f>
        <v>0.07</v>
      </c>
      <c r="P2528" s="8" t="s">
        <v>684</v>
      </c>
    </row>
    <row r="2529" customFormat="false" ht="17.15" hidden="false" customHeight="false" outlineLevel="0" collapsed="false">
      <c r="A2529" s="0" t="s">
        <v>529</v>
      </c>
      <c r="B2529" s="0" t="s">
        <v>86</v>
      </c>
      <c r="C2529" s="38" t="n">
        <f aca="false">Q!$D$13</f>
        <v>56.214</v>
      </c>
      <c r="D2529" s="38" t="n">
        <f aca="false">Q!$E$13</f>
        <v>68.635</v>
      </c>
      <c r="E2529" s="38" t="n">
        <f aca="false">Q!$P$13</f>
        <v>37.052</v>
      </c>
      <c r="F2529" s="38" t="n">
        <f aca="false">Sens!$O$2529*(1+Sens!$F$2530)*Sens!$F$2535</f>
        <v>46.1572219944148</v>
      </c>
      <c r="G2529" s="38" t="n">
        <f aca="false">Sens!$E$2529+Sens!$F$2529</f>
        <v>83.2092219944148</v>
      </c>
      <c r="H2529" s="38" t="n">
        <f aca="false">Sens!$G$2529*(1+Sens!$H$2530)</f>
        <v>99.8969223878976</v>
      </c>
      <c r="I2529" s="38" t="n">
        <f aca="false">Sens!$H$2529*(1+Sens!$I$2530)</f>
        <v>116.583111095496</v>
      </c>
      <c r="J2529" s="38" t="n">
        <f aca="false">Sens!$I$2529*(1+Sens!$J$2530)</f>
        <v>132.148941941952</v>
      </c>
      <c r="K2529" s="38" t="n">
        <f aca="false">Sens!$J$2529*(1+Sens!$K$2530)</f>
        <v>145.363836136147</v>
      </c>
      <c r="L2529" s="38" t="n">
        <f aca="false">Sens!$K$2529*(1+Sens!$L$2530)</f>
        <v>159.900219749762</v>
      </c>
      <c r="M2529" s="38" t="n">
        <f aca="false">Sens!$L$2529*(1+Sens!$M$2530)</f>
        <v>175.890241724738</v>
      </c>
      <c r="N2529" s="38" t="n">
        <f aca="false">Q!$N$13</f>
        <v>29.615</v>
      </c>
      <c r="O2529" s="38" t="n">
        <f aca="false">Q!$O$13</f>
        <v>39.02</v>
      </c>
      <c r="P2529" s="8" t="s">
        <v>678</v>
      </c>
    </row>
    <row r="2530" customFormat="false" ht="17.15" hidden="false" customHeight="false" outlineLevel="0" collapsed="false">
      <c r="A2530" s="0" t="s">
        <v>685</v>
      </c>
      <c r="B2530" s="0" t="s">
        <v>52</v>
      </c>
      <c r="E2530" s="13" t="n">
        <f aca="false">Sens!$E$2529/Sens!$N$2529-1</f>
        <v>0.25112274185379</v>
      </c>
      <c r="F2530" s="13" t="n">
        <f aca="false">Sens!$O$2529/(Q!$F$13+Q!$G$13)-1</f>
        <v>0.234068123596572</v>
      </c>
      <c r="G2530" s="13" t="n">
        <f aca="false">Sens!$G$2529/Sens!$D$2529-1</f>
        <v>0.212343876949294</v>
      </c>
      <c r="H2530" s="13" t="n">
        <f aca="false">Sens!$F$2530+(g_ad-Sens!$F$2530)*1/4</f>
        <v>0.200551092697429</v>
      </c>
      <c r="I2530" s="13" t="n">
        <f aca="false">Sens!$F$2530+(g_ad-Sens!$F$2530)*2/4</f>
        <v>0.167034061798286</v>
      </c>
      <c r="J2530" s="13" t="n">
        <f aca="false">Sens!$F$2530+(g_ad-Sens!$F$2530)*3/4</f>
        <v>0.133517030899143</v>
      </c>
      <c r="K2530" s="13" t="n">
        <f aca="false">Sens!$F$2530+(g_ad-Sens!$F$2530)*4/4</f>
        <v>0.1</v>
      </c>
      <c r="L2530" s="13" t="n">
        <f aca="false">g_ad</f>
        <v>0.1</v>
      </c>
      <c r="M2530" s="13" t="n">
        <f aca="false">g_ad</f>
        <v>0.1</v>
      </c>
      <c r="P2530" s="8" t="s">
        <v>686</v>
      </c>
    </row>
    <row r="2531" customFormat="false" ht="17.15" hidden="false" customHeight="false" outlineLevel="0" collapsed="false">
      <c r="A2531" s="0" t="s">
        <v>530</v>
      </c>
      <c r="B2531" s="0" t="s">
        <v>86</v>
      </c>
      <c r="C2531" s="38" t="n">
        <f aca="false">Q!$D$14</f>
        <v>44.374</v>
      </c>
      <c r="D2531" s="38" t="n">
        <f aca="false">Q!$E$14</f>
        <v>49.619</v>
      </c>
      <c r="E2531" s="38" t="n">
        <f aca="false">Q!$P$14</f>
        <v>27.157</v>
      </c>
      <c r="F2531" s="38" t="n">
        <f aca="false">Sens!$O$2531*(1+Sens!$F$2532)*Sens!$F$2535</f>
        <v>27.7764165988154</v>
      </c>
      <c r="G2531" s="38" t="n">
        <f aca="false">Sens!$E$2531+Sens!$F$2531</f>
        <v>54.9334165988154</v>
      </c>
      <c r="H2531" s="38" t="n">
        <f aca="false">Sens!$G$2531*(1+Sens!$H$2532)</f>
        <v>61.1564112561829</v>
      </c>
      <c r="I2531" s="38" t="n">
        <f aca="false">Sens!$H$2531*(1+Sens!$I$2532)</f>
        <v>67.2020282103945</v>
      </c>
      <c r="J2531" s="38" t="n">
        <f aca="false">Sens!$I$2531*(1+Sens!$J$2532)</f>
        <v>72.8757274028885</v>
      </c>
      <c r="K2531" s="38" t="n">
        <f aca="false">Sens!$J$2531*(1+Sens!$K$2532)</f>
        <v>77.9770283210907</v>
      </c>
      <c r="L2531" s="38" t="n">
        <f aca="false">Sens!$K$2531*(1+Sens!$L$2532)</f>
        <v>83.4354203035671</v>
      </c>
      <c r="M2531" s="38" t="n">
        <f aca="false">Sens!$L$2531*(1+Sens!$M$2532)</f>
        <v>89.2758997248168</v>
      </c>
      <c r="N2531" s="38" t="n">
        <f aca="false">Q!$N$14</f>
        <v>23.923</v>
      </c>
      <c r="O2531" s="38" t="n">
        <f aca="false">Q!$O$14</f>
        <v>25.696</v>
      </c>
      <c r="P2531" s="8" t="s">
        <v>678</v>
      </c>
    </row>
    <row r="2532" customFormat="false" ht="17.15" hidden="false" customHeight="false" outlineLevel="0" collapsed="false">
      <c r="A2532" s="0" t="s">
        <v>687</v>
      </c>
      <c r="B2532" s="0" t="s">
        <v>52</v>
      </c>
      <c r="E2532" s="13" t="n">
        <f aca="false">Sens!$E$2531/Sens!$N$2531-1</f>
        <v>0.135183714417088</v>
      </c>
      <c r="F2532" s="13" t="n">
        <f aca="false">Sens!$O$2531/(Q!$F$14+Q!$G$14)-1</f>
        <v>0.127709997366804</v>
      </c>
      <c r="G2532" s="13" t="n">
        <f aca="false">Sens!$G$2531/Sens!$D$2531-1</f>
        <v>0.107104468022641</v>
      </c>
      <c r="H2532" s="13" t="n">
        <f aca="false">Sens!$F$2532+(g_sub-Sens!$F$2532)*1/4</f>
        <v>0.113282498025103</v>
      </c>
      <c r="I2532" s="13" t="n">
        <f aca="false">Sens!$F$2532+(g_sub-Sens!$F$2532)*2/4</f>
        <v>0.0988549986834021</v>
      </c>
      <c r="J2532" s="13" t="n">
        <f aca="false">Sens!$F$2532+(g_sub-Sens!$F$2532)*3/4</f>
        <v>0.084427499341701</v>
      </c>
      <c r="K2532" s="13" t="n">
        <f aca="false">Sens!$F$2532+(g_sub-Sens!$F$2532)*4/4</f>
        <v>0.07</v>
      </c>
      <c r="L2532" s="13" t="n">
        <f aca="false">g_sub</f>
        <v>0.07</v>
      </c>
      <c r="M2532" s="13" t="n">
        <f aca="false">g_sub</f>
        <v>0.07</v>
      </c>
      <c r="P2532" s="8" t="s">
        <v>688</v>
      </c>
    </row>
    <row r="2533" customFormat="false" ht="17.15" hidden="false" customHeight="false" outlineLevel="0" collapsed="false">
      <c r="A2533" s="0" t="s">
        <v>531</v>
      </c>
      <c r="B2533" s="0" t="s">
        <v>86</v>
      </c>
      <c r="C2533" s="38" t="n">
        <f aca="false">Q!$D$15</f>
        <v>5.425</v>
      </c>
      <c r="D2533" s="38" t="n">
        <f aca="false">Q!$E$15</f>
        <v>5.935</v>
      </c>
      <c r="E2533" s="38" t="n">
        <f aca="false">Q!$P$15</f>
        <v>3.474</v>
      </c>
      <c r="F2533" s="38" t="n">
        <f aca="false">Sens!$O$2533*(1+Sens!$F$2534)*Sens!$F$2535</f>
        <v>3.22246550883619</v>
      </c>
      <c r="G2533" s="38" t="n">
        <f aca="false">Sens!$E$2533+Sens!$F$2533</f>
        <v>6.69646550883619</v>
      </c>
      <c r="H2533" s="38" t="n">
        <f aca="false">Sens!$G$2533*(1+Sens!$H$2534)</f>
        <v>7.16251344209196</v>
      </c>
      <c r="I2533" s="38" t="n">
        <f aca="false">Sens!$H$2533*(1+Sens!$I$2534)</f>
        <v>7.61421070299826</v>
      </c>
      <c r="J2533" s="38" t="n">
        <f aca="false">Sens!$I$2533*(1+Sens!$J$2534)</f>
        <v>8.04465753523932</v>
      </c>
      <c r="K2533" s="38" t="n">
        <f aca="false">Sens!$J$2533*(1+Sens!$K$2534)</f>
        <v>8.44689041200128</v>
      </c>
      <c r="L2533" s="38" t="n">
        <f aca="false">Sens!$K$2533*(1+Sens!$L$2534)</f>
        <v>8.86923493260135</v>
      </c>
      <c r="M2533" s="38" t="n">
        <f aca="false">Sens!$L$2533*(1+Sens!$M$2534)</f>
        <v>9.31269667923142</v>
      </c>
      <c r="N2533" s="38" t="n">
        <f aca="false">Q!$N$15</f>
        <v>2.811</v>
      </c>
      <c r="O2533" s="38" t="n">
        <f aca="false">Q!$O$15</f>
        <v>3.124</v>
      </c>
      <c r="P2533" s="8" t="s">
        <v>678</v>
      </c>
    </row>
    <row r="2534" customFormat="false" ht="17.15" hidden="false" customHeight="false" outlineLevel="0" collapsed="false">
      <c r="A2534" s="0" t="s">
        <v>689</v>
      </c>
      <c r="B2534" s="0" t="s">
        <v>52</v>
      </c>
      <c r="E2534" s="13" t="n">
        <f aca="false">Sens!$E$2533/Sens!$N$2533-1</f>
        <v>0.235859124866596</v>
      </c>
      <c r="F2534" s="13" t="n">
        <f aca="false">Sens!$O$2533/(Q!$F$15+Q!$G$15)-1</f>
        <v>0.0761281433000345</v>
      </c>
      <c r="G2534" s="13" t="n">
        <f aca="false">Sens!$G$2533/Sens!$D$2533-1</f>
        <v>0.128300843948811</v>
      </c>
      <c r="H2534" s="13" t="n">
        <f aca="false">Sens!$F$2534+(g_ot-Sens!$F$2534)*1/4</f>
        <v>0.0695961074750259</v>
      </c>
      <c r="I2534" s="13" t="n">
        <f aca="false">Sens!$F$2534+(g_ot-Sens!$F$2534)*2/4</f>
        <v>0.0630640716500172</v>
      </c>
      <c r="J2534" s="13" t="n">
        <f aca="false">Sens!$F$2534+(g_ot-Sens!$F$2534)*3/4</f>
        <v>0.0565320358250086</v>
      </c>
      <c r="K2534" s="13" t="n">
        <f aca="false">Sens!$F$2534+(g_ot-Sens!$F$2534)*4/4</f>
        <v>0.05</v>
      </c>
      <c r="L2534" s="13" t="n">
        <f aca="false">g_ot</f>
        <v>0.05</v>
      </c>
      <c r="M2534" s="13" t="n">
        <f aca="false">g_ot</f>
        <v>0.05</v>
      </c>
      <c r="P2534" s="8" t="s">
        <v>690</v>
      </c>
    </row>
    <row r="2535" customFormat="false" ht="17.15" hidden="false" customHeight="false" outlineLevel="0" collapsed="false">
      <c r="A2535" s="0" t="s">
        <v>691</v>
      </c>
      <c r="B2535" s="0" t="s">
        <v>57</v>
      </c>
      <c r="F2535" s="40" t="n">
        <f aca="false">(g26q3_mid*Q!$O$8/Q!$J$8-Thesis!$F$89-Thesis!$F$93)/(Sens!$O$2523*(1+Sens!$F$2524)+Sens!$O$2525*(1+Sens!$F$2526)+Sens!$O$2527*(1+Sens!$F$2528)+Sens!$O$2529*(1+Sens!$F$2530)+Sens!$O$2531*(1+Sens!$F$2532)+Sens!$O$2533*(1+Sens!$F$2534))</f>
        <v>0.958546670622329</v>
      </c>
      <c r="P2535" s="8" t="s">
        <v>692</v>
      </c>
    </row>
    <row r="2536" customFormat="false" ht="17.15" hidden="false" customHeight="false" outlineLevel="0" collapsed="false">
      <c r="A2536" s="3" t="s">
        <v>693</v>
      </c>
      <c r="B2536" s="8" t="s">
        <v>86</v>
      </c>
      <c r="C2536" s="38" t="n">
        <f aca="false">Sens!$C$2523+Sens!$C$2525+Sens!$C$2527+Sens!$C$2529+Sens!$C$2531+Sens!$C$2533</f>
        <v>530.403</v>
      </c>
      <c r="D2536" s="38" t="n">
        <f aca="false">Sens!$D$2523+Sens!$D$2525+Sens!$D$2527+Sens!$D$2529+Sens!$D$2531+Sens!$D$2533</f>
        <v>588.199</v>
      </c>
      <c r="E2536" s="38" t="n">
        <f aca="false">Sens!$E$2523+Sens!$E$2525+Sens!$E$2527+Sens!$E$2529+Sens!$E$2531+Sens!$E$2533</f>
        <v>302.306</v>
      </c>
      <c r="F2536" s="38" t="n">
        <f aca="false">Sens!$F$2523+Sens!$F$2525+Sens!$F$2527+Sens!$F$2529+Sens!$F$2531+Sens!$F$2533</f>
        <v>349.048241645537</v>
      </c>
      <c r="G2536" s="38" t="n">
        <f aca="false">Sens!$G$2523+Sens!$G$2525+Sens!$G$2527+Sens!$G$2529+Sens!$G$2531+Sens!$G$2533</f>
        <v>651.354241645537</v>
      </c>
      <c r="H2536" s="38" t="n">
        <f aca="false">Sens!$H$2523+Sens!$H$2525+Sens!$H$2527+Sens!$H$2529+Sens!$H$2531+Sens!$H$2533</f>
        <v>721.096889521386</v>
      </c>
      <c r="I2536" s="38" t="n">
        <f aca="false">Sens!$I$2523+Sens!$I$2525+Sens!$I$2527+Sens!$I$2529+Sens!$I$2531+Sens!$I$2533</f>
        <v>788.529391152531</v>
      </c>
      <c r="J2536" s="38" t="n">
        <f aca="false">Sens!$J$2523+Sens!$J$2525+Sens!$J$2527+Sens!$J$2529+Sens!$J$2531+Sens!$J$2533</f>
        <v>851.108405741443</v>
      </c>
      <c r="K2536" s="38" t="n">
        <f aca="false">Sens!$K$2523+Sens!$K$2525+Sens!$K$2527+Sens!$K$2529+Sens!$K$2531+Sens!$K$2533</f>
        <v>906.176455431088</v>
      </c>
      <c r="L2536" s="38" t="n">
        <f aca="false">Sens!$L$2523+Sens!$L$2525+Sens!$L$2527+Sens!$L$2529+Sens!$L$2531+Sens!$L$2533</f>
        <v>965.093106475589</v>
      </c>
      <c r="M2536" s="38" t="n">
        <f aca="false">Sens!$M$2523+Sens!$M$2525+Sens!$M$2527+Sens!$M$2529+Sens!$M$2531+Sens!$M$2533</f>
        <v>1028.14790794689</v>
      </c>
      <c r="N2536" s="38" t="n">
        <f aca="false">Sens!$N$2523+Sens!$N$2525+Sens!$N$2527+Sens!$N$2529+Sens!$N$2531+Sens!$N$2533</f>
        <v>263.229</v>
      </c>
      <c r="O2536" s="38" t="n">
        <f aca="false">Sens!$O$2523+Sens!$O$2525+Sens!$O$2527+Sens!$O$2529+Sens!$O$2531+Sens!$O$2533</f>
        <v>324.97</v>
      </c>
    </row>
    <row r="2537" customFormat="false" ht="17.15" hidden="false" customHeight="false" outlineLevel="0" collapsed="false">
      <c r="A2537" s="5" t="s">
        <v>694</v>
      </c>
      <c r="B2537" s="0" t="s">
        <v>52</v>
      </c>
      <c r="C2537" s="13" t="n">
        <f aca="false">Q!$D$5/(Q!$D$5+Q!$D$6)</f>
        <v>0.730570905519011</v>
      </c>
      <c r="D2537" s="13" t="n">
        <f aca="false">Q!$E$5/(Q!$E$5+Q!$E$6)</f>
        <v>0.724763217890544</v>
      </c>
      <c r="E2537" s="13" t="n">
        <f aca="false">Q!$P$5/(Q!$P$5+Q!$P$6)</f>
        <v>0.728797972914861</v>
      </c>
      <c r="F2537" s="13" t="n">
        <f aca="false">Sens!$O$2537</f>
        <v>0.718066283041511</v>
      </c>
      <c r="G2537" s="13" t="n">
        <f aca="false">Sens!$G$2538/Sens!$G$2536</f>
        <v>0.723047066202847</v>
      </c>
      <c r="H2537" s="13" t="n">
        <f aca="false">Sens!$G$2537</f>
        <v>0.723047066202847</v>
      </c>
      <c r="I2537" s="13" t="n">
        <f aca="false">Sens!$G$2537</f>
        <v>0.723047066202847</v>
      </c>
      <c r="J2537" s="13" t="n">
        <f aca="false">Sens!$G$2537</f>
        <v>0.723047066202847</v>
      </c>
      <c r="K2537" s="13" t="n">
        <f aca="false">Sens!$G$2537</f>
        <v>0.723047066202847</v>
      </c>
      <c r="L2537" s="13" t="n">
        <f aca="false">Sens!$G$2537</f>
        <v>0.723047066202847</v>
      </c>
      <c r="M2537" s="13" t="n">
        <f aca="false">Sens!$G$2537</f>
        <v>0.723047066202847</v>
      </c>
      <c r="N2537" s="13" t="n">
        <f aca="false">Q!$N$5/(Q!$N$5+Q!$N$6)</f>
        <v>0.733030935041352</v>
      </c>
      <c r="O2537" s="13" t="n">
        <f aca="false">Q!$O$5/(Q!$O$5+Q!$O$6)</f>
        <v>0.718066283041511</v>
      </c>
      <c r="P2537" s="8" t="s">
        <v>695</v>
      </c>
    </row>
    <row r="2538" customFormat="false" ht="17.15" hidden="false" customHeight="false" outlineLevel="0" collapsed="false">
      <c r="A2538" s="1" t="s">
        <v>519</v>
      </c>
      <c r="B2538" s="8" t="s">
        <v>86</v>
      </c>
      <c r="C2538" s="38" t="n">
        <f aca="false">Q!$D$5</f>
        <v>387.497</v>
      </c>
      <c r="D2538" s="38" t="n">
        <f aca="false">Q!$E$5</f>
        <v>426.305</v>
      </c>
      <c r="E2538" s="38" t="n">
        <f aca="false">Q!$P$5</f>
        <v>220.32</v>
      </c>
      <c r="F2538" s="38" t="n">
        <f aca="false">Sens!$F$2536*Sens!$F$2537</f>
        <v>250.639773480586</v>
      </c>
      <c r="G2538" s="38" t="n">
        <f aca="false">Sens!$E$2538+Sens!$F$2538</f>
        <v>470.959773480586</v>
      </c>
      <c r="H2538" s="38" t="n">
        <f aca="false">Sens!$H$2536*Sens!$H$2537</f>
        <v>521.386990416437</v>
      </c>
      <c r="I2538" s="38" t="n">
        <f aca="false">Sens!$I$2536*Sens!$I$2537</f>
        <v>570.143862887555</v>
      </c>
      <c r="J2538" s="38" t="n">
        <f aca="false">Sens!$J$2536*Sens!$J$2537</f>
        <v>615.391435791933</v>
      </c>
      <c r="K2538" s="38" t="n">
        <f aca="false">Sens!$K$2536*Sens!$K$2537</f>
        <v>655.208227561543</v>
      </c>
      <c r="L2538" s="38" t="n">
        <f aca="false">Sens!$L$2536*Sens!$L$2537</f>
        <v>697.807739249767</v>
      </c>
      <c r="M2538" s="38" t="n">
        <f aca="false">Sens!$M$2536*Sens!$M$2537</f>
        <v>743.399328463592</v>
      </c>
      <c r="N2538" s="38" t="n">
        <f aca="false">Q!$N$5</f>
        <v>192.955</v>
      </c>
      <c r="O2538" s="38" t="n">
        <f aca="false">Q!$O$5</f>
        <v>233.35</v>
      </c>
      <c r="P2538" s="5" t="s">
        <v>696</v>
      </c>
    </row>
    <row r="2539" customFormat="false" ht="17.15" hidden="false" customHeight="false" outlineLevel="0" collapsed="false">
      <c r="A2539" s="1" t="s">
        <v>522</v>
      </c>
      <c r="B2539" s="8" t="s">
        <v>86</v>
      </c>
      <c r="C2539" s="38" t="n">
        <f aca="false">Q!$D$6</f>
        <v>142.906</v>
      </c>
      <c r="D2539" s="38" t="n">
        <f aca="false">Q!$E$6</f>
        <v>161.894</v>
      </c>
      <c r="E2539" s="38" t="n">
        <f aca="false">Q!$P$6</f>
        <v>81.986</v>
      </c>
      <c r="F2539" s="38" t="n">
        <f aca="false">Sens!$F$2536*(1-Sens!$F$2537)</f>
        <v>98.408468164951</v>
      </c>
      <c r="G2539" s="38" t="n">
        <f aca="false">Sens!$E$2539+Sens!$F$2539</f>
        <v>180.394468164951</v>
      </c>
      <c r="H2539" s="38" t="n">
        <f aca="false">Sens!$H$2536*(1-Sens!$H$2537)</f>
        <v>199.709899104949</v>
      </c>
      <c r="I2539" s="38" t="n">
        <f aca="false">Sens!$I$2536*(1-Sens!$I$2537)</f>
        <v>218.385528264976</v>
      </c>
      <c r="J2539" s="38" t="n">
        <f aca="false">Sens!$J$2536*(1-Sens!$J$2537)</f>
        <v>235.71696994951</v>
      </c>
      <c r="K2539" s="38" t="n">
        <f aca="false">Sens!$K$2536*(1-Sens!$K$2537)</f>
        <v>250.968227869545</v>
      </c>
      <c r="L2539" s="38" t="n">
        <f aca="false">Sens!$L$2536*(1-Sens!$L$2537)</f>
        <v>267.285367225822</v>
      </c>
      <c r="M2539" s="38" t="n">
        <f aca="false">Sens!$M$2536*(1-Sens!$M$2537)</f>
        <v>284.748579483295</v>
      </c>
      <c r="N2539" s="38" t="n">
        <f aca="false">Q!$N$6</f>
        <v>70.274</v>
      </c>
      <c r="O2539" s="38" t="n">
        <f aca="false">Q!$O$6</f>
        <v>91.62</v>
      </c>
      <c r="P2539" s="5" t="s">
        <v>697</v>
      </c>
    </row>
    <row r="2540" customFormat="false" ht="17.15" hidden="false" customHeight="false" outlineLevel="0" collapsed="false">
      <c r="A2540" s="5" t="s">
        <v>698</v>
      </c>
      <c r="B2540" s="0" t="s">
        <v>86</v>
      </c>
      <c r="C2540" s="38" t="n">
        <f aca="false">Sens!$C$2529*Sens!$C$2537</f>
        <v>41.0683128828457</v>
      </c>
      <c r="D2540" s="38" t="n">
        <f aca="false">Sens!$D$2529*Sens!$D$2537</f>
        <v>49.7441234599175</v>
      </c>
      <c r="E2540" s="38" t="n">
        <f aca="false">Sens!$E$2529*Sens!$E$2537</f>
        <v>27.0034224924414</v>
      </c>
      <c r="F2540" s="38" t="n">
        <f aca="false">Sens!$F$2529*Sens!$F$2537</f>
        <v>33.1439448330513</v>
      </c>
      <c r="G2540" s="38" t="n">
        <f aca="false">Sens!$G$2529*Sens!$G$2537</f>
        <v>60.164183844083</v>
      </c>
      <c r="H2540" s="38" t="n">
        <f aca="false">Sens!$H$2529*Sens!$H$2537</f>
        <v>72.2301766552629</v>
      </c>
      <c r="I2540" s="38" t="n">
        <f aca="false">Sens!$I$2529*Sens!$I$2537</f>
        <v>84.2950764463991</v>
      </c>
      <c r="J2540" s="38" t="n">
        <f aca="false">Sens!$J$2529*Sens!$J$2537</f>
        <v>95.5499047729386</v>
      </c>
      <c r="K2540" s="38" t="n">
        <f aca="false">Sens!$K$2529*Sens!$K$2537</f>
        <v>105.104895250232</v>
      </c>
      <c r="L2540" s="38" t="n">
        <f aca="false">Sens!$L$2529*Sens!$L$2537</f>
        <v>115.615384775256</v>
      </c>
      <c r="M2540" s="38" t="n">
        <f aca="false">Sens!$M$2529*Sens!$M$2537</f>
        <v>127.176923252781</v>
      </c>
      <c r="N2540" s="38" t="n">
        <f aca="false">Sens!$N$2529*Sens!$N$2537</f>
        <v>21.7087111412496</v>
      </c>
      <c r="O2540" s="38" t="n">
        <f aca="false">Sens!$O$2529*Sens!$O$2537</f>
        <v>28.0189463642798</v>
      </c>
      <c r="P2540" s="5" t="s">
        <v>699</v>
      </c>
    </row>
    <row r="2541" customFormat="false" ht="15" hidden="false" customHeight="false" outlineLevel="0" collapsed="false">
      <c r="A2541" s="5" t="s">
        <v>700</v>
      </c>
      <c r="B2541" s="0" t="s">
        <v>86</v>
      </c>
      <c r="C2541" s="38" t="n">
        <f aca="false">Sens!$C$2529-Sens!$C$2540</f>
        <v>15.1456871171543</v>
      </c>
      <c r="D2541" s="38" t="n">
        <f aca="false">Sens!$D$2529-Sens!$D$2540</f>
        <v>18.8908765400825</v>
      </c>
      <c r="E2541" s="38" t="n">
        <f aca="false">Sens!$E$2529-Sens!$E$2540</f>
        <v>10.0485775075586</v>
      </c>
      <c r="F2541" s="38" t="n">
        <f aca="false">Sens!$F$2529-Sens!$F$2540</f>
        <v>13.0132771613635</v>
      </c>
      <c r="G2541" s="38" t="n">
        <f aca="false">Sens!$G$2529-Sens!$G$2540</f>
        <v>23.0450381503318</v>
      </c>
      <c r="H2541" s="38" t="n">
        <f aca="false">Sens!$H$2529-Sens!$H$2540</f>
        <v>27.6667457326347</v>
      </c>
      <c r="I2541" s="38" t="n">
        <f aca="false">Sens!$I$2529-Sens!$I$2540</f>
        <v>32.2880346490971</v>
      </c>
      <c r="J2541" s="38" t="n">
        <f aca="false">Sens!$J$2529-Sens!$J$2540</f>
        <v>36.5990371690132</v>
      </c>
      <c r="K2541" s="38" t="n">
        <f aca="false">Sens!$K$2529-Sens!$K$2540</f>
        <v>40.2589408859145</v>
      </c>
      <c r="L2541" s="38" t="n">
        <f aca="false">Sens!$L$2529-Sens!$L$2540</f>
        <v>44.2848349745059</v>
      </c>
      <c r="M2541" s="38" t="n">
        <f aca="false">Sens!$M$2529-Sens!$M$2540</f>
        <v>48.7133184719565</v>
      </c>
      <c r="N2541" s="38" t="n">
        <f aca="false">Sens!$N$2529-Sens!$N$2540</f>
        <v>7.90628885875037</v>
      </c>
      <c r="O2541" s="38" t="n">
        <f aca="false">Sens!$O$2529-Sens!$O$2540</f>
        <v>11.0010536357202</v>
      </c>
    </row>
    <row r="2542" customFormat="false" ht="19.4" hidden="false" customHeight="false" outlineLevel="0" collapsed="false">
      <c r="A2542" s="31" t="s">
        <v>1203</v>
      </c>
    </row>
    <row r="2543" customFormat="false" ht="17.15" hidden="false" customHeight="false" outlineLevel="0" collapsed="false">
      <c r="A2543" s="6" t="s">
        <v>16</v>
      </c>
      <c r="B2543" s="6" t="s">
        <v>17</v>
      </c>
      <c r="C2543" s="20" t="s">
        <v>504</v>
      </c>
      <c r="D2543" s="20" t="s">
        <v>505</v>
      </c>
      <c r="E2543" s="20" t="s">
        <v>587</v>
      </c>
      <c r="F2543" s="20" t="s">
        <v>588</v>
      </c>
      <c r="G2543" s="20" t="s">
        <v>589</v>
      </c>
      <c r="H2543" s="20" t="s">
        <v>590</v>
      </c>
      <c r="I2543" s="20" t="s">
        <v>591</v>
      </c>
      <c r="J2543" s="20" t="s">
        <v>592</v>
      </c>
      <c r="K2543" s="20" t="s">
        <v>593</v>
      </c>
      <c r="L2543" s="20" t="s">
        <v>594</v>
      </c>
      <c r="M2543" s="20" t="s">
        <v>595</v>
      </c>
      <c r="N2543" s="20" t="s">
        <v>596</v>
      </c>
      <c r="O2543" s="20" t="s">
        <v>597</v>
      </c>
      <c r="P2543" s="6" t="s">
        <v>23</v>
      </c>
      <c r="R2543" s="20" t="n">
        <v>2023</v>
      </c>
      <c r="S2543" s="20" t="n">
        <v>2024</v>
      </c>
      <c r="T2543" s="20" t="n">
        <v>2025</v>
      </c>
      <c r="U2543" s="20" t="n">
        <v>2026</v>
      </c>
      <c r="V2543" s="20" t="n">
        <v>2027</v>
      </c>
      <c r="W2543" s="20" t="n">
        <v>2028</v>
      </c>
      <c r="X2543" s="20" t="n">
        <v>2029</v>
      </c>
      <c r="Y2543" s="20" t="n">
        <v>2030</v>
      </c>
      <c r="Z2543" s="20" t="n">
        <v>2031</v>
      </c>
      <c r="AA2543" s="20" t="n">
        <v>2032</v>
      </c>
    </row>
    <row r="2544" customFormat="false" ht="17.15" hidden="false" customHeight="false" outlineLevel="0" collapsed="false">
      <c r="A2544" s="1" t="s">
        <v>598</v>
      </c>
    </row>
    <row r="2545" customFormat="false" ht="17.15" hidden="false" customHeight="false" outlineLevel="0" collapsed="false">
      <c r="A2545" s="5" t="s">
        <v>599</v>
      </c>
      <c r="B2545" s="0" t="s">
        <v>144</v>
      </c>
      <c r="H2545" s="32" t="n">
        <f aca="false">pace_B</f>
        <v>3634.3</v>
      </c>
      <c r="I2545" s="32" t="n">
        <f aca="false">pace_B</f>
        <v>3634.3</v>
      </c>
      <c r="J2545" s="32" t="n">
        <f aca="false">pace_B</f>
        <v>3634.3</v>
      </c>
      <c r="K2545" s="32" t="n">
        <f aca="false">pace_B+(Sens!$J$2546*tg-pace_B)*1/3</f>
        <v>2570.86716666667</v>
      </c>
      <c r="L2545" s="32" t="n">
        <f aca="false">pace_B+(Sens!$J$2546*tg-pace_B)*2/3</f>
        <v>1507.43433333333</v>
      </c>
      <c r="M2545" s="32" t="n">
        <f aca="false">pace_B+(Sens!$J$2546*tg-pace_B)*3/3</f>
        <v>444.0015</v>
      </c>
      <c r="P2545" s="5" t="s">
        <v>600</v>
      </c>
    </row>
    <row r="2546" customFormat="false" ht="17.15" hidden="false" customHeight="false" outlineLevel="0" collapsed="false">
      <c r="A2546" s="15" t="s">
        <v>601</v>
      </c>
      <c r="B2546" s="14" t="s">
        <v>129</v>
      </c>
      <c r="C2546" s="33" t="n">
        <f aca="false">mw_ye24</f>
        <v>360</v>
      </c>
      <c r="D2546" s="33" t="n">
        <f aca="false">mw_ye25</f>
        <v>1440</v>
      </c>
      <c r="E2546" s="33" t="n">
        <f aca="false">mw_open</f>
        <v>2080</v>
      </c>
      <c r="F2546" s="33" t="n">
        <f aca="false">Sens!$E$2546+pace_B*0.5</f>
        <v>3897.15</v>
      </c>
      <c r="G2546" s="33" t="n">
        <f aca="false">Sens!$F$2546</f>
        <v>3897.15</v>
      </c>
      <c r="H2546" s="33" t="n">
        <f aca="false">Sens!$G$2546+Sens!$H$2545</f>
        <v>7531.45</v>
      </c>
      <c r="I2546" s="33" t="n">
        <f aca="false">Sens!$H$2546+Sens!$I$2545</f>
        <v>11165.75</v>
      </c>
      <c r="J2546" s="33" t="n">
        <f aca="false">Sens!$I$2546+Sens!$J$2545</f>
        <v>14800.05</v>
      </c>
      <c r="K2546" s="33" t="n">
        <f aca="false">Sens!$J$2546+Sens!$K$2545</f>
        <v>17370.9171666667</v>
      </c>
      <c r="L2546" s="33" t="n">
        <f aca="false">Sens!$K$2546+Sens!$L$2545</f>
        <v>18878.3515</v>
      </c>
      <c r="M2546" s="33" t="n">
        <f aca="false">Sens!$L$2546+Sens!$M$2545</f>
        <v>19322.353</v>
      </c>
      <c r="N2546" s="33" t="n">
        <f aca="false">(mw_ye24+mw_ye25)/2</f>
        <v>900</v>
      </c>
      <c r="O2546" s="33" t="n">
        <f aca="false">mw_ye25</f>
        <v>1440</v>
      </c>
      <c r="P2546" s="5" t="s">
        <v>602</v>
      </c>
    </row>
    <row r="2547" customFormat="false" ht="17.15" hidden="false" customHeight="false" outlineLevel="0" collapsed="false">
      <c r="A2547" s="5" t="s">
        <v>603</v>
      </c>
      <c r="B2547" s="0" t="s">
        <v>129</v>
      </c>
      <c r="C2547" s="32" t="n">
        <f aca="false">(mw_ye23+mw_ye24)/2</f>
        <v>240</v>
      </c>
      <c r="D2547" s="32" t="n">
        <f aca="false">(Sens!$C$2546+Sens!$D$2546)/2</f>
        <v>900</v>
      </c>
      <c r="E2547" s="32" t="n">
        <f aca="false">(Sens!$D$2546+Sens!$E$2546)/2</f>
        <v>1760</v>
      </c>
      <c r="F2547" s="32" t="n">
        <f aca="false">(Sens!$E$2546+Sens!$F$2546)/2</f>
        <v>2988.575</v>
      </c>
      <c r="G2547" s="32" t="n">
        <f aca="false">(Sens!$E$2547+Sens!$F$2547)/2</f>
        <v>2374.2875</v>
      </c>
      <c r="H2547" s="32" t="n">
        <f aca="false">(Sens!$G$2546+Sens!$H$2546)/2</f>
        <v>5714.3</v>
      </c>
      <c r="I2547" s="32" t="n">
        <f aca="false">(Sens!$H$2546+Sens!$I$2546)/2</f>
        <v>9348.6</v>
      </c>
      <c r="J2547" s="32" t="n">
        <f aca="false">(Sens!$I$2546+Sens!$J$2546)/2</f>
        <v>12982.9</v>
      </c>
      <c r="K2547" s="32" t="n">
        <f aca="false">(Sens!$J$2546+Sens!$K$2546)/2</f>
        <v>16085.4835833333</v>
      </c>
      <c r="L2547" s="32" t="n">
        <f aca="false">(Sens!$K$2546+Sens!$L$2546)/2</f>
        <v>18124.6343333333</v>
      </c>
      <c r="M2547" s="32" t="n">
        <f aca="false">(Sens!$L$2546+Sens!$M$2546)/2</f>
        <v>19100.35225</v>
      </c>
      <c r="N2547" s="32" t="n">
        <f aca="false">(Sens!$C$2546+Sens!$N$2546)/2</f>
        <v>630</v>
      </c>
      <c r="O2547" s="32" t="n">
        <f aca="false">(Sens!$N$2546+Sens!$O$2546)/2</f>
        <v>1170</v>
      </c>
    </row>
    <row r="2548" customFormat="false" ht="15" hidden="false" customHeight="false" outlineLevel="0" collapsed="false">
      <c r="A2548" s="5" t="s">
        <v>604</v>
      </c>
      <c r="B2548" s="5" t="s">
        <v>123</v>
      </c>
      <c r="C2548" s="34" t="n">
        <v>1</v>
      </c>
      <c r="D2548" s="34" t="n">
        <v>1</v>
      </c>
      <c r="E2548" s="34" t="n">
        <v>0.5</v>
      </c>
      <c r="F2548" s="34" t="n">
        <v>0.5</v>
      </c>
      <c r="G2548" s="34" t="n">
        <v>1</v>
      </c>
      <c r="H2548" s="34" t="n">
        <v>1</v>
      </c>
      <c r="I2548" s="34" t="n">
        <v>1</v>
      </c>
      <c r="J2548" s="34" t="n">
        <v>1</v>
      </c>
      <c r="K2548" s="34" t="n">
        <v>1</v>
      </c>
      <c r="L2548" s="34" t="n">
        <v>1</v>
      </c>
      <c r="M2548" s="34" t="n">
        <v>1</v>
      </c>
      <c r="N2548" s="34" t="n">
        <v>0.5</v>
      </c>
      <c r="O2548" s="34" t="n">
        <v>0.5</v>
      </c>
    </row>
    <row r="2549" customFormat="false" ht="17.15" hidden="false" customHeight="false" outlineLevel="0" collapsed="false">
      <c r="A2549" s="5" t="s">
        <v>605</v>
      </c>
      <c r="B2549" s="0" t="s">
        <v>129</v>
      </c>
      <c r="C2549" s="32" t="n">
        <f aca="false">Sens!$C$2546-mw_ye23</f>
        <v>240</v>
      </c>
      <c r="D2549" s="32" t="n">
        <f aca="false">Sens!$D$2546-Sens!$C$2546</f>
        <v>1080</v>
      </c>
      <c r="E2549" s="32" t="n">
        <f aca="false">Sens!$E$2546-Sens!$D$2546</f>
        <v>640</v>
      </c>
      <c r="F2549" s="32" t="n">
        <f aca="false">Sens!$F$2546-Sens!$E$2546</f>
        <v>1817.15</v>
      </c>
      <c r="G2549" s="32" t="n">
        <f aca="false">Sens!$E$2549+Sens!$F$2549</f>
        <v>2457.15</v>
      </c>
      <c r="H2549" s="32" t="n">
        <f aca="false">Sens!$H$2546-Sens!$G$2546</f>
        <v>3634.3</v>
      </c>
      <c r="I2549" s="32" t="n">
        <f aca="false">Sens!$I$2546-Sens!$H$2546</f>
        <v>3634.3</v>
      </c>
      <c r="J2549" s="32" t="n">
        <f aca="false">Sens!$J$2546-Sens!$I$2546</f>
        <v>3634.3</v>
      </c>
      <c r="K2549" s="32" t="n">
        <f aca="false">Sens!$K$2546-Sens!$J$2546</f>
        <v>2570.86716666667</v>
      </c>
      <c r="L2549" s="32" t="n">
        <f aca="false">Sens!$L$2546-Sens!$K$2546</f>
        <v>1507.43433333333</v>
      </c>
      <c r="M2549" s="32" t="n">
        <f aca="false">Sens!$M$2546-Sens!$L$2546</f>
        <v>444.001499999999</v>
      </c>
      <c r="N2549" s="32" t="n">
        <f aca="false">Sens!$N$2546-Sens!$C$2546</f>
        <v>540</v>
      </c>
      <c r="O2549" s="32" t="n">
        <f aca="false">Sens!$O$2546-Sens!$N$2546</f>
        <v>540</v>
      </c>
    </row>
    <row r="2550" customFormat="false" ht="17.15" hidden="false" customHeight="false" outlineLevel="0" collapsed="false">
      <c r="A2550" s="5" t="s">
        <v>606</v>
      </c>
      <c r="B2550" s="0" t="s">
        <v>129</v>
      </c>
      <c r="C2550" s="32" t="n">
        <f aca="false">Sens!$C$2549/ext_sh</f>
        <v>300</v>
      </c>
      <c r="D2550" s="32" t="n">
        <f aca="false">Sens!$D$2549/ext_sh</f>
        <v>1350</v>
      </c>
      <c r="E2550" s="32" t="n">
        <f aca="false">Sens!$E$2549/ext_sh</f>
        <v>800</v>
      </c>
      <c r="F2550" s="32" t="n">
        <f aca="false">Sens!$F$2549/ext_sh</f>
        <v>2271.4375</v>
      </c>
      <c r="G2550" s="32" t="n">
        <f aca="false">Sens!$G$2549/ext_sh</f>
        <v>3071.4375</v>
      </c>
      <c r="H2550" s="32" t="n">
        <f aca="false">Sens!$H$2549/ext_sh</f>
        <v>4542.875</v>
      </c>
      <c r="I2550" s="32" t="n">
        <f aca="false">Sens!$I$2549/ext_sh</f>
        <v>4542.875</v>
      </c>
      <c r="J2550" s="32" t="n">
        <f aca="false">Sens!$J$2549/ext_sh</f>
        <v>4542.875</v>
      </c>
      <c r="K2550" s="32" t="n">
        <f aca="false">Sens!$K$2549/ext_sh</f>
        <v>3213.58395833333</v>
      </c>
      <c r="L2550" s="32" t="n">
        <f aca="false">Sens!$L$2549/ext_sh</f>
        <v>1884.29291666667</v>
      </c>
      <c r="M2550" s="32" t="n">
        <f aca="false">Sens!$M$2549/ext_sh</f>
        <v>555.001874999998</v>
      </c>
      <c r="N2550" s="32" t="n">
        <f aca="false">Sens!$N$2549/ext_sh</f>
        <v>675</v>
      </c>
      <c r="O2550" s="32" t="n">
        <f aca="false">Sens!$O$2549/ext_sh</f>
        <v>675</v>
      </c>
      <c r="P2550" s="8" t="s">
        <v>607</v>
      </c>
      <c r="R2550" s="32" t="n">
        <f aca="false">mw_ye23/ext_sh</f>
        <v>150</v>
      </c>
      <c r="S2550" s="32" t="n">
        <f aca="false">Sens!$C$2550</f>
        <v>300</v>
      </c>
      <c r="T2550" s="32" t="n">
        <f aca="false">Sens!$D$2550</f>
        <v>1350</v>
      </c>
      <c r="U2550" s="32" t="n">
        <f aca="false">Sens!$G$2550</f>
        <v>3071.4375</v>
      </c>
      <c r="V2550" s="32" t="n">
        <f aca="false">Sens!$H$2550</f>
        <v>4542.875</v>
      </c>
      <c r="W2550" s="32" t="n">
        <f aca="false">Sens!$I$2550</f>
        <v>4542.875</v>
      </c>
      <c r="X2550" s="32" t="n">
        <f aca="false">Sens!$J$2550</f>
        <v>4542.875</v>
      </c>
      <c r="Y2550" s="32" t="n">
        <f aca="false">Sens!$K$2550</f>
        <v>3213.58395833333</v>
      </c>
      <c r="Z2550" s="32" t="n">
        <f aca="false">Sens!$L$2550</f>
        <v>1884.29291666667</v>
      </c>
      <c r="AA2550" s="32" t="n">
        <f aca="false">Sens!$M$2550</f>
        <v>555.001874999998</v>
      </c>
    </row>
    <row r="2551" customFormat="false" ht="17.15" hidden="false" customHeight="false" outlineLevel="0" collapsed="false">
      <c r="A2551" s="1" t="s">
        <v>608</v>
      </c>
    </row>
    <row r="2552" customFormat="false" ht="17.15" hidden="false" customHeight="false" outlineLevel="0" collapsed="false">
      <c r="A2552" s="0" t="s">
        <v>609</v>
      </c>
      <c r="B2552" s="0" t="s">
        <v>52</v>
      </c>
      <c r="F2552" s="35" t="n">
        <f aca="false">na_vr26</f>
        <v>0</v>
      </c>
      <c r="G2552" s="35" t="n">
        <f aca="false">na_vr26</f>
        <v>0</v>
      </c>
      <c r="H2552" s="35" t="n">
        <f aca="false">na_vr27</f>
        <v>0.5</v>
      </c>
      <c r="I2552" s="35" t="n">
        <f aca="false">na_vr28</f>
        <v>1</v>
      </c>
      <c r="J2552" s="35" t="n">
        <f aca="false">na_vr28</f>
        <v>1</v>
      </c>
      <c r="K2552" s="35" t="n">
        <f aca="false">na_vr28</f>
        <v>1</v>
      </c>
      <c r="L2552" s="35" t="n">
        <f aca="false">na_vr28</f>
        <v>1</v>
      </c>
      <c r="M2552" s="35" t="n">
        <f aca="false">na_vr28</f>
        <v>1</v>
      </c>
    </row>
    <row r="2553" customFormat="false" ht="17.15" hidden="false" customHeight="false" outlineLevel="0" collapsed="false">
      <c r="A2553" s="5" t="s">
        <v>610</v>
      </c>
      <c r="B2553" s="0" t="s">
        <v>173</v>
      </c>
      <c r="F2553" s="36" t="n">
        <f aca="false">cust_sh*tk_he_gb300*cf_chip+(1-cust_sh)*((1-Sens!$F$2552)*tk_he_gb300+Sens!$F$2552*tk_he_vr200)</f>
        <v>10.8864110021101</v>
      </c>
      <c r="G2553" s="36" t="n">
        <f aca="false">cust_sh*tk_he_gb300*cf_chip+(1-cust_sh)*((1-Sens!$G$2552)*tk_he_gb300+Sens!$G$2552*tk_he_vr200)</f>
        <v>10.8864110021101</v>
      </c>
      <c r="H2553" s="36" t="n">
        <f aca="false">cust_sh*tk_he_gb300*cf_chip+(1-cust_sh)*((1-Sens!$H$2552)*tk_he_gb300+Sens!$H$2552*tk_he_vr200)</f>
        <v>11.2211760027286</v>
      </c>
      <c r="I2553" s="36" t="n">
        <f aca="false">cust_sh*tk_he_gb300*cf_chip+(1-cust_sh)*((1-Sens!$I$2552)*tk_he_gb300+Sens!$I$2552*tk_he_vr200)</f>
        <v>11.5559410033471</v>
      </c>
      <c r="J2553" s="36" t="n">
        <f aca="false">cust_sh*tk_he_gb300*cf_chip+(1-cust_sh)*((1-Sens!$J$2552)*tk_he_gb300+Sens!$J$2552*tk_he_vr200)</f>
        <v>11.5559410033471</v>
      </c>
      <c r="K2553" s="36" t="n">
        <f aca="false">cust_sh*tk_he_gb300*cf_chip+(1-cust_sh)*((1-Sens!$K$2552)*tk_he_gb300+Sens!$K$2552*tk_he_vr200)</f>
        <v>11.5559410033471</v>
      </c>
      <c r="L2553" s="36" t="n">
        <f aca="false">cust_sh*tk_he_gb300*cf_chip+(1-cust_sh)*((1-Sens!$L$2552)*tk_he_gb300+Sens!$L$2552*tk_he_vr200)</f>
        <v>11.5559410033471</v>
      </c>
      <c r="M2553" s="36" t="n">
        <f aca="false">cust_sh*tk_he_gb300*cf_chip+(1-cust_sh)*((1-Sens!$M$2552)*tk_he_gb300+Sens!$M$2552*tk_he_vr200)</f>
        <v>11.5559410033471</v>
      </c>
    </row>
    <row r="2554" customFormat="false" ht="17.15" hidden="false" customHeight="false" outlineLevel="0" collapsed="false">
      <c r="A2554" s="5" t="s">
        <v>611</v>
      </c>
      <c r="B2554" s="0" t="s">
        <v>173</v>
      </c>
      <c r="F2554" s="36" t="n">
        <f aca="false">cust_sh*tk_ox_gb300+(1-cust_sh)*((1-Sens!$F$2552)*tk_ox_gb300+Sens!$F$2552*tk_ox_vr200)</f>
        <v>1.98263481314457</v>
      </c>
      <c r="G2554" s="36" t="n">
        <f aca="false">cust_sh*tk_ox_gb300+(1-cust_sh)*((1-Sens!$G$2552)*tk_ox_gb300+Sens!$G$2552*tk_ox_vr200)</f>
        <v>1.98263481314457</v>
      </c>
      <c r="H2554" s="36" t="n">
        <f aca="false">cust_sh*tk_ox_gb300+(1-cust_sh)*((1-Sens!$H$2552)*tk_ox_gb300+Sens!$H$2552*tk_ox_vr200)</f>
        <v>2.01034999693694</v>
      </c>
      <c r="I2554" s="36" t="n">
        <f aca="false">cust_sh*tk_ox_gb300+(1-cust_sh)*((1-Sens!$I$2552)*tk_ox_gb300+Sens!$I$2552*tk_ox_vr200)</f>
        <v>2.0380651807293</v>
      </c>
      <c r="J2554" s="36" t="n">
        <f aca="false">cust_sh*tk_ox_gb300+(1-cust_sh)*((1-Sens!$J$2552)*tk_ox_gb300+Sens!$J$2552*tk_ox_vr200)</f>
        <v>2.0380651807293</v>
      </c>
      <c r="K2554" s="36" t="n">
        <f aca="false">cust_sh*tk_ox_gb300+(1-cust_sh)*((1-Sens!$K$2552)*tk_ox_gb300+Sens!$K$2552*tk_ox_vr200)</f>
        <v>2.0380651807293</v>
      </c>
      <c r="L2554" s="36" t="n">
        <f aca="false">cust_sh*tk_ox_gb300+(1-cust_sh)*((1-Sens!$L$2552)*tk_ox_gb300+Sens!$L$2552*tk_ox_vr200)</f>
        <v>2.0380651807293</v>
      </c>
      <c r="M2554" s="36" t="n">
        <f aca="false">cust_sh*tk_ox_gb300+(1-cust_sh)*((1-Sens!$M$2552)*tk_ox_gb300+Sens!$M$2552*tk_ox_vr200)</f>
        <v>2.0380651807293</v>
      </c>
    </row>
    <row r="2555" customFormat="false" ht="17.15" hidden="false" customHeight="false" outlineLevel="0" collapsed="false">
      <c r="A2555" s="5" t="s">
        <v>612</v>
      </c>
      <c r="B2555" s="0" t="s">
        <v>192</v>
      </c>
      <c r="F2555" s="36" t="n">
        <f aca="false">cust_sh*tk_cx_gb300*cf_cx+(1-cust_sh)*((1-Sens!$F$2552)*tk_cx_gb300+Sens!$F$2552*tk_cx_vr200)</f>
        <v>32.237224</v>
      </c>
      <c r="G2555" s="36" t="n">
        <f aca="false">cust_sh*tk_cx_gb300*cf_cx+(1-cust_sh)*((1-Sens!$G$2552)*tk_cx_gb300+Sens!$G$2552*tk_cx_vr200)</f>
        <v>32.237224</v>
      </c>
      <c r="H2555" s="36" t="n">
        <f aca="false">cust_sh*tk_cx_gb300*cf_cx+(1-cust_sh)*((1-Sens!$H$2552)*tk_cx_gb300+Sens!$H$2552*tk_cx_vr200)</f>
        <v>33.574506</v>
      </c>
      <c r="I2555" s="36" t="n">
        <f aca="false">cust_sh*tk_cx_gb300*cf_cx+(1-cust_sh)*((1-Sens!$I$2552)*tk_cx_gb300+Sens!$I$2552*tk_cx_vr200)</f>
        <v>34.911788</v>
      </c>
      <c r="J2555" s="36" t="n">
        <f aca="false">cust_sh*tk_cx_gb300*cf_cx+(1-cust_sh)*((1-Sens!$J$2552)*tk_cx_gb300+Sens!$J$2552*tk_cx_vr200)</f>
        <v>34.911788</v>
      </c>
      <c r="K2555" s="36" t="n">
        <f aca="false">cust_sh*tk_cx_gb300*cf_cx+(1-cust_sh)*((1-Sens!$K$2552)*tk_cx_gb300+Sens!$K$2552*tk_cx_vr200)</f>
        <v>34.911788</v>
      </c>
      <c r="L2555" s="36" t="n">
        <f aca="false">cust_sh*tk_cx_gb300*cf_cx+(1-cust_sh)*((1-Sens!$L$2552)*tk_cx_gb300+Sens!$L$2552*tk_cx_vr200)</f>
        <v>34.911788</v>
      </c>
      <c r="M2555" s="36" t="n">
        <f aca="false">cust_sh*tk_cx_gb300*cf_cx+(1-cust_sh)*((1-Sens!$M$2552)*tk_cx_gb300+Sens!$M$2552*tk_cx_vr200)</f>
        <v>34.911788</v>
      </c>
    </row>
    <row r="2556" customFormat="false" ht="17.15" hidden="false" customHeight="false" outlineLevel="0" collapsed="false">
      <c r="A2556" s="5" t="s">
        <v>613</v>
      </c>
      <c r="B2556" s="0" t="s">
        <v>129</v>
      </c>
      <c r="F2556" s="32" t="n">
        <f aca="false">Sens!$F$2546-mw_open</f>
        <v>1817.15</v>
      </c>
      <c r="G2556" s="32" t="n">
        <f aca="false">Sens!$F$2556</f>
        <v>1817.15</v>
      </c>
      <c r="H2556" s="32" t="n">
        <f aca="false">Sens!$H$2546-mw_open</f>
        <v>5451.45</v>
      </c>
      <c r="I2556" s="32" t="n">
        <f aca="false">Sens!$I$2546-mw_open</f>
        <v>9085.75</v>
      </c>
      <c r="J2556" s="32" t="n">
        <f aca="false">Sens!$J$2546-mw_open</f>
        <v>12720.05</v>
      </c>
      <c r="K2556" s="32" t="n">
        <f aca="false">Sens!$K$2546-mw_open</f>
        <v>15290.9171666667</v>
      </c>
      <c r="L2556" s="32" t="n">
        <f aca="false">Sens!$L$2546-mw_open</f>
        <v>16798.3515</v>
      </c>
      <c r="M2556" s="32" t="n">
        <f aca="false">Sens!$M$2546-mw_open</f>
        <v>17242.353</v>
      </c>
    </row>
    <row r="2557" customFormat="false" ht="17.15" hidden="false" customHeight="false" outlineLevel="0" collapsed="false">
      <c r="A2557" s="0" t="s">
        <v>614</v>
      </c>
      <c r="B2557" s="0" t="s">
        <v>615</v>
      </c>
      <c r="F2557" s="32" t="n">
        <f aca="false">Sens!$F$2549*Sens!$F$2553</f>
        <v>19782.2417524844</v>
      </c>
      <c r="G2557" s="32" t="n">
        <f aca="false">Sens!$F$2557</f>
        <v>19782.2417524844</v>
      </c>
      <c r="H2557" s="32" t="n">
        <f aca="false">Sens!$G$2557+Sens!$H$2549*Sens!$H$2553</f>
        <v>60563.3616992009</v>
      </c>
      <c r="I2557" s="32" t="n">
        <f aca="false">Sens!$H$2557+Sens!$I$2549*Sens!$I$2553</f>
        <v>102561.118087665</v>
      </c>
      <c r="J2557" s="32" t="n">
        <f aca="false">Sens!$I$2557+Sens!$J$2549*Sens!$J$2553</f>
        <v>144558.87447613</v>
      </c>
      <c r="K2557" s="32" t="n">
        <f aca="false">Sens!$J$2557+Sens!$K$2549*Sens!$K$2553</f>
        <v>174267.663781572</v>
      </c>
      <c r="L2557" s="32" t="n">
        <f aca="false">Sens!$K$2557+Sens!$L$2549*Sens!$L$2553</f>
        <v>191687.486003992</v>
      </c>
      <c r="M2557" s="32" t="n">
        <f aca="false">Sens!$L$2557+Sens!$M$2549*Sens!$M$2553</f>
        <v>196818.341143389</v>
      </c>
    </row>
    <row r="2558" customFormat="false" ht="17.15" hidden="false" customHeight="false" outlineLevel="0" collapsed="false">
      <c r="A2558" s="0" t="s">
        <v>616</v>
      </c>
      <c r="B2558" s="0" t="s">
        <v>615</v>
      </c>
      <c r="F2558" s="32" t="n">
        <f aca="false">Sens!$F$2549*Sens!$F$2554</f>
        <v>3602.74485070566</v>
      </c>
      <c r="G2558" s="32" t="n">
        <f aca="false">Sens!$F$2558</f>
        <v>3602.74485070566</v>
      </c>
      <c r="H2558" s="32" t="n">
        <f aca="false">Sens!$G$2558+Sens!$H$2549*Sens!$H$2554</f>
        <v>10908.9598445736</v>
      </c>
      <c r="I2558" s="32" t="n">
        <f aca="false">Sens!$H$2558+Sens!$I$2549*Sens!$I$2554</f>
        <v>18315.9001308981</v>
      </c>
      <c r="J2558" s="32" t="n">
        <f aca="false">Sens!$I$2558+Sens!$J$2549*Sens!$J$2554</f>
        <v>25722.8404172225</v>
      </c>
      <c r="K2558" s="32" t="n">
        <f aca="false">Sens!$J$2558+Sens!$K$2549*Sens!$K$2554</f>
        <v>30962.4352738861</v>
      </c>
      <c r="L2558" s="32" t="n">
        <f aca="false">Sens!$K$2558+Sens!$L$2549*Sens!$L$2554</f>
        <v>34034.6847008886</v>
      </c>
      <c r="M2558" s="32" t="n">
        <f aca="false">Sens!$L$2558+Sens!$M$2549*Sens!$M$2554</f>
        <v>34939.5886982302</v>
      </c>
    </row>
    <row r="2559" customFormat="false" ht="17.15" hidden="false" customHeight="false" outlineLevel="0" collapsed="false">
      <c r="A2559" s="5" t="s">
        <v>617</v>
      </c>
      <c r="B2559" s="0" t="s">
        <v>173</v>
      </c>
      <c r="F2559" s="36" t="n">
        <f aca="false">IF(Sens!$F$2556&gt;0,Sens!$F$2557/Sens!$F$2556,Sens!$F$2553)</f>
        <v>10.8864110021101</v>
      </c>
      <c r="G2559" s="36" t="n">
        <f aca="false">IF(Sens!$G$2556&gt;0,Sens!$G$2557/Sens!$G$2556,Sens!$G$2553)</f>
        <v>10.8864110021101</v>
      </c>
      <c r="H2559" s="36" t="n">
        <f aca="false">IF(Sens!$H$2556&gt;0,Sens!$H$2557/Sens!$H$2556,Sens!$H$2553)</f>
        <v>11.1095876691891</v>
      </c>
      <c r="I2559" s="36" t="n">
        <f aca="false">IF(Sens!$I$2556&gt;0,Sens!$I$2557/Sens!$I$2556,Sens!$I$2553)</f>
        <v>11.2881290028523</v>
      </c>
      <c r="J2559" s="36" t="n">
        <f aca="false">IF(Sens!$J$2556&gt;0,Sens!$J$2557/Sens!$J$2556,Sens!$J$2553)</f>
        <v>11.3646467172794</v>
      </c>
      <c r="K2559" s="36" t="n">
        <f aca="false">IF(Sens!$K$2556&gt;0,Sens!$K$2557/Sens!$K$2556,Sens!$K$2553)</f>
        <v>11.3968090914432</v>
      </c>
      <c r="L2559" s="36" t="n">
        <f aca="false">IF(Sens!$L$2556&gt;0,Sens!$L$2557/Sens!$L$2556,Sens!$L$2553)</f>
        <v>11.4110891181192</v>
      </c>
      <c r="M2559" s="36" t="n">
        <f aca="false">IF(Sens!$M$2556&gt;0,Sens!$M$2557/Sens!$M$2556,Sens!$M$2553)</f>
        <v>11.4148191458201</v>
      </c>
    </row>
    <row r="2560" customFormat="false" ht="17.15" hidden="false" customHeight="false" outlineLevel="0" collapsed="false">
      <c r="A2560" s="5" t="s">
        <v>618</v>
      </c>
      <c r="B2560" s="0" t="s">
        <v>173</v>
      </c>
      <c r="F2560" s="36" t="n">
        <f aca="false">IF(Sens!$F$2556&gt;0,Sens!$F$2558/Sens!$F$2556,Sens!$F$2554)</f>
        <v>1.98263481314457</v>
      </c>
      <c r="G2560" s="36" t="n">
        <f aca="false">IF(Sens!$G$2556&gt;0,Sens!$G$2558/Sens!$G$2556,Sens!$G$2554)</f>
        <v>1.98263481314457</v>
      </c>
      <c r="H2560" s="36" t="n">
        <f aca="false">IF(Sens!$H$2556&gt;0,Sens!$H$2558/Sens!$H$2556,Sens!$H$2554)</f>
        <v>2.00111160233948</v>
      </c>
      <c r="I2560" s="36" t="n">
        <f aca="false">IF(Sens!$I$2556&gt;0,Sens!$I$2558/Sens!$I$2556,Sens!$I$2554)</f>
        <v>2.01589303369541</v>
      </c>
      <c r="J2560" s="36" t="n">
        <f aca="false">IF(Sens!$J$2556&gt;0,Sens!$J$2558/Sens!$J$2556,Sens!$J$2554)</f>
        <v>2.02222793284795</v>
      </c>
      <c r="K2560" s="36" t="n">
        <f aca="false">IF(Sens!$K$2556&gt;0,Sens!$K$2558/Sens!$K$2556,Sens!$K$2554)</f>
        <v>2.02489065478573</v>
      </c>
      <c r="L2560" s="36" t="n">
        <f aca="false">IF(Sens!$L$2556&gt;0,Sens!$L$2558/Sens!$L$2556,Sens!$L$2554)</f>
        <v>2.0260728977417</v>
      </c>
      <c r="M2560" s="36" t="n">
        <f aca="false">IF(Sens!$M$2556&gt;0,Sens!$M$2558/Sens!$M$2556,Sens!$M$2554)</f>
        <v>2.02638170661685</v>
      </c>
    </row>
    <row r="2561" customFormat="false" ht="17.15" hidden="false" customHeight="false" outlineLevel="0" collapsed="false">
      <c r="A2561" s="15" t="s">
        <v>619</v>
      </c>
      <c r="B2561" s="14" t="s">
        <v>173</v>
      </c>
      <c r="C2561" s="14"/>
      <c r="D2561" s="14"/>
      <c r="E2561" s="14"/>
      <c r="F2561" s="37" t="n">
        <f aca="false">Sens!$F$2559*k_B</f>
        <v>10.7987645808025</v>
      </c>
      <c r="G2561" s="37" t="n">
        <f aca="false">Sens!$G$2559*k_B</f>
        <v>10.7987645808025</v>
      </c>
      <c r="H2561" s="37" t="n">
        <f aca="false">Sens!$H$2559*k_B</f>
        <v>11.0201444540452</v>
      </c>
      <c r="I2561" s="37" t="n">
        <f aca="false">Sens!$I$2559*k_B</f>
        <v>11.1972483526393</v>
      </c>
      <c r="J2561" s="37" t="n">
        <f aca="false">Sens!$J$2559*k_B</f>
        <v>11.2731500234653</v>
      </c>
      <c r="K2561" s="37" t="n">
        <f aca="false">Sens!$K$2559*k_B</f>
        <v>11.3050534585724</v>
      </c>
      <c r="L2561" s="37" t="n">
        <f aca="false">Sens!$L$2559*k_B</f>
        <v>11.3192185168503</v>
      </c>
      <c r="M2561" s="37" t="n">
        <f aca="false">Sens!$M$2559*k_B</f>
        <v>11.3229185141234</v>
      </c>
      <c r="N2561" s="14"/>
      <c r="O2561" s="14"/>
      <c r="P2561" s="5" t="s">
        <v>620</v>
      </c>
    </row>
    <row r="2562" customFormat="false" ht="17.15" hidden="false" customHeight="false" outlineLevel="0" collapsed="false">
      <c r="A2562" s="5" t="s">
        <v>621</v>
      </c>
      <c r="B2562" s="0" t="s">
        <v>129</v>
      </c>
      <c r="F2562" s="32" t="n">
        <f aca="false">Sens!$F$2556/2</f>
        <v>908.575</v>
      </c>
      <c r="H2562" s="32" t="n">
        <f aca="false">(Sens!$G$2556+Sens!$H$2556)/2</f>
        <v>3634.3</v>
      </c>
      <c r="I2562" s="32" t="n">
        <f aca="false">(Sens!$H$2556+Sens!$I$2556)/2</f>
        <v>7268.6</v>
      </c>
      <c r="J2562" s="32" t="n">
        <f aca="false">(Sens!$I$2556+Sens!$J$2556)/2</f>
        <v>10902.9</v>
      </c>
      <c r="K2562" s="32" t="n">
        <f aca="false">(Sens!$J$2556+Sens!$K$2556)/2</f>
        <v>14005.4835833333</v>
      </c>
      <c r="L2562" s="32" t="n">
        <f aca="false">(Sens!$K$2556+Sens!$L$2556)/2</f>
        <v>16044.6343333333</v>
      </c>
      <c r="M2562" s="32" t="n">
        <f aca="false">(Sens!$L$2556+Sens!$M$2556)/2</f>
        <v>17020.35225</v>
      </c>
    </row>
    <row r="2563" customFormat="false" ht="17.15" hidden="false" customHeight="false" outlineLevel="0" collapsed="false">
      <c r="A2563" s="1" t="s">
        <v>622</v>
      </c>
    </row>
    <row r="2564" customFormat="false" ht="17.15" hidden="false" customHeight="false" outlineLevel="0" collapsed="false">
      <c r="A2564" s="1" t="s">
        <v>623</v>
      </c>
      <c r="B2564" s="8" t="s">
        <v>86</v>
      </c>
      <c r="C2564" s="38" t="n">
        <f aca="false">Sens!$C$2547*rpm_open*Sens!$C$2548/1000</f>
        <v>2.32100535697364</v>
      </c>
      <c r="D2564" s="38" t="n">
        <f aca="false">Sens!$D$2547*rpm_open*Sens!$D$2548/1000</f>
        <v>8.70377008865116</v>
      </c>
      <c r="E2564" s="38" t="n">
        <f aca="false">Sens!$E$2547*rpm_open*Sens!$E$2548/1000</f>
        <v>8.51035297557002</v>
      </c>
      <c r="F2564" s="38" t="n">
        <f aca="false">(mw_open*rpm_open+Sens!$F$2562*Sens!$F$2561)*Sens!$F$2548/1000</f>
        <v>14.9634336447205</v>
      </c>
      <c r="G2564" s="38" t="n">
        <f aca="false">Sens!$E$2564+Sens!$F$2564</f>
        <v>23.4737866202905</v>
      </c>
      <c r="H2564" s="38" t="n">
        <f aca="false">(mw_open*rpm_open+Sens!$H$2562*Sens!$H$2561)/1000</f>
        <v>60.1658907497746</v>
      </c>
      <c r="I2564" s="38" t="n">
        <f aca="false">(mw_open*rpm_open+Sens!$I$2562*Sens!$I$2561)/1000</f>
        <v>101.503699136432</v>
      </c>
      <c r="J2564" s="38" t="n">
        <f aca="false">(mw_open*rpm_open+Sens!$J$2562*Sens!$J$2561)/1000</f>
        <v>143.025407151278</v>
      </c>
      <c r="K2564" s="38" t="n">
        <f aca="false">(mw_open*rpm_open+Sens!$K$2562*Sens!$K$2561)/1000</f>
        <v>178.44812038318</v>
      </c>
      <c r="L2564" s="38" t="n">
        <f aca="false">(mw_open*rpm_open+Sens!$L$2562*Sens!$L$2561)/1000</f>
        <v>201.728101802396</v>
      </c>
      <c r="M2564" s="38" t="n">
        <f aca="false">(mw_open*rpm_open+Sens!$M$2562*Sens!$M$2561)/1000</f>
        <v>212.835441368865</v>
      </c>
      <c r="N2564" s="38" t="n">
        <f aca="false">Sens!$N$2547*rpm_open*Sens!$N$2548/1000</f>
        <v>3.04631953102791</v>
      </c>
      <c r="O2564" s="38" t="n">
        <f aca="false">Sens!$O$2547*rpm_open*Sens!$O$2548/1000</f>
        <v>5.65745055762326</v>
      </c>
      <c r="P2564" s="5" t="s">
        <v>624</v>
      </c>
    </row>
    <row r="2565" customFormat="false" ht="17.15" hidden="false" customHeight="false" outlineLevel="0" collapsed="false">
      <c r="A2565" s="5" t="s">
        <v>625</v>
      </c>
      <c r="B2565" s="0" t="s">
        <v>173</v>
      </c>
      <c r="C2565" s="36" t="n">
        <f aca="false">Sens!$C$2564*1000/(Sens!$C$2547*Sens!$C$2548)</f>
        <v>9.67085565405685</v>
      </c>
      <c r="D2565" s="36" t="n">
        <f aca="false">Sens!$D$2564*1000/(Sens!$D$2547*Sens!$D$2548)</f>
        <v>9.67085565405685</v>
      </c>
      <c r="E2565" s="36" t="n">
        <f aca="false">Sens!$E$2564*1000/(Sens!$E$2547*Sens!$E$2548)</f>
        <v>9.67085565405685</v>
      </c>
      <c r="F2565" s="36" t="n">
        <f aca="false">Sens!$F$2564*1000/(Sens!$F$2547*Sens!$F$2548)</f>
        <v>10.0137581588017</v>
      </c>
      <c r="G2565" s="36" t="n">
        <f aca="false">Sens!$G$2564*1000/(Sens!$G$2547*Sens!$G$2548)</f>
        <v>9.88666562928478</v>
      </c>
      <c r="H2565" s="36" t="n">
        <f aca="false">Sens!$H$2564*1000/(Sens!$H$2547*Sens!$H$2548)</f>
        <v>10.5290045586992</v>
      </c>
      <c r="I2565" s="36" t="n">
        <f aca="false">Sens!$I$2564*1000/(Sens!$I$2547*Sens!$I$2548)</f>
        <v>10.8576363451674</v>
      </c>
      <c r="J2565" s="36" t="n">
        <f aca="false">Sens!$J$2564*1000/(Sens!$J$2547*Sens!$J$2548)</f>
        <v>11.0164452588619</v>
      </c>
      <c r="K2565" s="36" t="n">
        <f aca="false">Sens!$K$2564*1000/(Sens!$K$2547*Sens!$K$2548)</f>
        <v>11.0937367508227</v>
      </c>
      <c r="L2565" s="36" t="n">
        <f aca="false">Sens!$L$2564*1000/(Sens!$L$2547*Sens!$L$2548)</f>
        <v>11.1300508519168</v>
      </c>
      <c r="M2565" s="36" t="n">
        <f aca="false">Sens!$M$2564*1000/(Sens!$M$2547*Sens!$M$2548)</f>
        <v>11.1430113216297</v>
      </c>
      <c r="N2565" s="36" t="n">
        <f aca="false">Sens!$N$2564*1000/(Sens!$N$2547*Sens!$N$2548)</f>
        <v>9.67085565405685</v>
      </c>
      <c r="O2565" s="36" t="n">
        <f aca="false">Sens!$O$2564*1000/(Sens!$O$2547*Sens!$O$2548)</f>
        <v>9.67085565405685</v>
      </c>
    </row>
    <row r="2566" customFormat="false" ht="17.15" hidden="false" customHeight="false" outlineLevel="0" collapsed="false">
      <c r="A2566" s="0" t="s">
        <v>626</v>
      </c>
      <c r="B2566" s="0" t="s">
        <v>86</v>
      </c>
      <c r="C2566" s="38" t="n">
        <f aca="false">Sens!$C$2547/ext_sh*(ox_open+rent_mw)*Sens!$C$2548/1000</f>
        <v>0.642569210675032</v>
      </c>
      <c r="D2566" s="38" t="n">
        <f aca="false">Sens!$D$2547/ext_sh*(ox_open+rent_mw)*Sens!$D$2548/1000</f>
        <v>2.40963454003137</v>
      </c>
      <c r="E2566" s="38" t="n">
        <f aca="false">Sens!$E$2547/ext_sh*(ox_open+rent_mw)*Sens!$E$2548/1000</f>
        <v>2.35608710580845</v>
      </c>
      <c r="F2566" s="38" t="n">
        <f aca="false">((mw_open*ox_open+Sens!$F$2562*Sens!$F$2560)/ext_sh+Sens!$F$2547/ext_sh*rent_mw)*Sens!$F$2548/1000</f>
        <v>4.05421991106232</v>
      </c>
      <c r="G2566" s="38" t="n">
        <f aca="false">Sens!$E$2566+Sens!$F$2566</f>
        <v>6.41030701687077</v>
      </c>
      <c r="H2566" s="38" t="n">
        <f aca="false">((mw_open*ox_open+Sens!$H$2562*Sens!$H$2560)/ext_sh+Sens!$H$2547/ext_sh*rent_mw)*Sens!$H$2548/1000</f>
        <v>15.8108975546616</v>
      </c>
      <c r="I2566" s="38" t="n">
        <f aca="false">((mw_open*ox_open+Sens!$I$2562*Sens!$I$2560)/ext_sh+Sens!$I$2547/ext_sh*rent_mw)*Sens!$I$2548/1000</f>
        <v>26.1871623400817</v>
      </c>
      <c r="J2566" s="38" t="n">
        <f aca="false">((mw_open*ox_open+Sens!$J$2562*Sens!$J$2560)/ext_sh+Sens!$J$2547/ext_sh*rent_mw)*Sens!$J$2548/1000</f>
        <v>36.5826128954935</v>
      </c>
      <c r="K2566" s="38" t="n">
        <f aca="false">((mw_open*ox_open+Sens!$K$2562*Sens!$K$2560)/ext_sh+Sens!$K$2547/ext_sh*rent_mw)*Sens!$K$2548/1000</f>
        <v>45.4546361137628</v>
      </c>
      <c r="L2566" s="38" t="n">
        <f aca="false">((mw_open*ox_open+Sens!$L$2562*Sens!$L$2560)/ext_sh+Sens!$L$2547/ext_sh*rent_mw)*Sens!$L$2548/1000</f>
        <v>51.2855695554452</v>
      </c>
      <c r="M2566" s="38" t="n">
        <f aca="false">((mw_open*ox_open+Sens!$M$2562*Sens!$M$2560)/ext_sh+Sens!$M$2547/ext_sh*rent_mw)*Sens!$M$2548/1000</f>
        <v>54.0722927838398</v>
      </c>
      <c r="N2566" s="38" t="n">
        <f aca="false">Sens!$N$2547/ext_sh*(ox_open+rent_mw)*Sens!$N$2548/1000</f>
        <v>0.84337208901098</v>
      </c>
      <c r="O2566" s="38" t="n">
        <f aca="false">Sens!$O$2547/ext_sh*(ox_open+rent_mw)*Sens!$O$2548/1000</f>
        <v>1.56626245102039</v>
      </c>
    </row>
    <row r="2567" customFormat="false" ht="17.15" hidden="false" customHeight="false" outlineLevel="0" collapsed="false">
      <c r="A2567" s="0" t="s">
        <v>627</v>
      </c>
      <c r="B2567" s="0" t="s">
        <v>86</v>
      </c>
      <c r="C2567" s="38" t="n">
        <f aca="false">Q!$D$7</f>
        <v>107.556</v>
      </c>
      <c r="D2567" s="38" t="n">
        <f aca="false">Q!$E$7</f>
        <v>128.725</v>
      </c>
      <c r="E2567" s="38" t="n">
        <f aca="false">Q!$P$7</f>
        <v>79.819</v>
      </c>
      <c r="N2567" s="38" t="n">
        <f aca="false">Q!$N$7</f>
        <v>60.14</v>
      </c>
      <c r="O2567" s="38" t="n">
        <f aca="false">Q!$O$7</f>
        <v>68.585</v>
      </c>
    </row>
    <row r="2568" customFormat="false" ht="17.15" hidden="false" customHeight="false" outlineLevel="0" collapsed="false">
      <c r="A2568" s="1" t="s">
        <v>628</v>
      </c>
      <c r="B2568" s="8" t="s">
        <v>86</v>
      </c>
      <c r="C2568" s="38" t="n">
        <f aca="false">Sens!$C$2567-Sens!$C$2564</f>
        <v>105.234994643026</v>
      </c>
      <c r="D2568" s="38" t="n">
        <f aca="false">Sens!$D$2567-Sens!$D$2564</f>
        <v>120.021229911349</v>
      </c>
      <c r="E2568" s="38" t="n">
        <f aca="false">Sens!$E$2567-Sens!$E$2564</f>
        <v>71.30864702443</v>
      </c>
      <c r="F2568" s="38" t="n">
        <f aca="false">Sens!$O$2568*(1+Sens!$F$2569)</f>
        <v>71.7692997942464</v>
      </c>
      <c r="G2568" s="38" t="n">
        <f aca="false">Sens!$E$2568+Sens!$F$2568</f>
        <v>143.077946818676</v>
      </c>
      <c r="H2568" s="38" t="n">
        <f aca="false">Sens!$G$2568*(1+Sens!$H$2569)</f>
        <v>161.017077079203</v>
      </c>
      <c r="I2568" s="38" t="n">
        <f aca="false">Sens!$H$2568*(1+Sens!$I$2569)</f>
        <v>178.769759521457</v>
      </c>
      <c r="J2568" s="38" t="n">
        <f aca="false">Sens!$I$2568*(1+Sens!$J$2569)</f>
        <v>195.775538045907</v>
      </c>
      <c r="K2568" s="38" t="n">
        <f aca="false">Sens!$J$2568*(1+Sens!$K$2569)</f>
        <v>211.43758108958</v>
      </c>
      <c r="L2568" s="38" t="n">
        <f aca="false">Sens!$K$2568*(1+Sens!$L$2569)</f>
        <v>228.352587576746</v>
      </c>
      <c r="M2568" s="38" t="n">
        <f aca="false">Sens!$L$2568*(1+Sens!$M$2569)</f>
        <v>246.620794582886</v>
      </c>
      <c r="N2568" s="38" t="n">
        <f aca="false">Sens!$N$2567-Sens!$N$2564</f>
        <v>57.0936804689721</v>
      </c>
      <c r="O2568" s="38" t="n">
        <f aca="false">Sens!$O$2567-Sens!$O$2564</f>
        <v>62.9275494423768</v>
      </c>
      <c r="P2568" s="5" t="s">
        <v>629</v>
      </c>
    </row>
    <row r="2569" customFormat="false" ht="17.15" hidden="false" customHeight="false" outlineLevel="0" collapsed="false">
      <c r="A2569" s="0" t="s">
        <v>630</v>
      </c>
      <c r="B2569" s="0" t="s">
        <v>52</v>
      </c>
      <c r="D2569" s="13" t="n">
        <f aca="false">Sens!$D$2568/Sens!$C$2568-1</f>
        <v>0.140506827776062</v>
      </c>
      <c r="E2569" s="13" t="n">
        <f aca="false">Sens!$E$2568/Sens!$N$2568-1</f>
        <v>0.248976181579029</v>
      </c>
      <c r="F2569" s="13" t="n">
        <f aca="false">Sens!$D$2569</f>
        <v>0.140506827776062</v>
      </c>
      <c r="G2569" s="13" t="n">
        <f aca="false">Sens!$G$2568/Sens!$D$2568-1</f>
        <v>0.19210532106993</v>
      </c>
      <c r="H2569" s="13" t="n">
        <f aca="false">Sens!$F$2569+(g_awso_lt-Sens!$F$2569)*1/4</f>
        <v>0.125380120832046</v>
      </c>
      <c r="I2569" s="13" t="n">
        <f aca="false">Sens!$F$2569+(g_awso_lt-Sens!$F$2569)*2/4</f>
        <v>0.110253413888031</v>
      </c>
      <c r="J2569" s="13" t="n">
        <f aca="false">Sens!$F$2569+(g_awso_lt-Sens!$F$2569)*3/4</f>
        <v>0.0951267069440154</v>
      </c>
      <c r="K2569" s="13" t="n">
        <f aca="false">Sens!$F$2569+(g_awso_lt-Sens!$F$2569)*4/4</f>
        <v>0.08</v>
      </c>
      <c r="L2569" s="13" t="n">
        <f aca="false">g_awso_lt</f>
        <v>0.08</v>
      </c>
      <c r="M2569" s="13" t="n">
        <f aca="false">g_awso_lt</f>
        <v>0.08</v>
      </c>
      <c r="P2569" s="5" t="s">
        <v>631</v>
      </c>
    </row>
    <row r="2570" customFormat="false" ht="17.15" hidden="false" customHeight="false" outlineLevel="0" collapsed="false">
      <c r="A2570" s="1" t="s">
        <v>632</v>
      </c>
    </row>
    <row r="2571" customFormat="false" ht="17.15" hidden="false" customHeight="false" outlineLevel="0" collapsed="false">
      <c r="A2571" s="0" t="s">
        <v>633</v>
      </c>
      <c r="B2571" s="0" t="s">
        <v>86</v>
      </c>
      <c r="F2571" s="38" t="n">
        <f aca="false">cx_rt*Sens!$F$2536+cx_awso*Sens!$F$2568</f>
        <v>34.9734495387866</v>
      </c>
    </row>
    <row r="2572" customFormat="false" ht="17.15" hidden="false" customHeight="false" outlineLevel="0" collapsed="false">
      <c r="A2572" s="0" t="s">
        <v>634</v>
      </c>
      <c r="B2572" s="0" t="s">
        <v>52</v>
      </c>
      <c r="C2572" s="13" t="n">
        <f aca="false">tk_cx_h100/(tk_cx_h100+tk_fac*(1-colo_sh))</f>
        <v>0.730756458006641</v>
      </c>
      <c r="D2572" s="13" t="n">
        <f aca="false">tk_cx_h100/(tk_cx_h100+tk_fac*(1-colo_sh))</f>
        <v>0.730756458006641</v>
      </c>
      <c r="E2572" s="13" t="n">
        <f aca="false">Sens!$F$2572</f>
        <v>0.760792334328868</v>
      </c>
      <c r="F2572" s="13" t="n">
        <f aca="false">Sens!$F$2555/(Sens!$F$2555+tk_fac*(1-colo_sh))</f>
        <v>0.760792334328868</v>
      </c>
      <c r="G2572" s="13" t="n">
        <f aca="false">Sens!$G$2555/(Sens!$G$2555+tk_fac*(1-colo_sh))</f>
        <v>0.760792334328868</v>
      </c>
      <c r="H2572" s="13" t="n">
        <f aca="false">Sens!$H$2555/(Sens!$H$2555+tk_fac*(1-colo_sh))</f>
        <v>0.768110668862996</v>
      </c>
      <c r="I2572" s="13" t="n">
        <f aca="false">Sens!$I$2555/(Sens!$I$2555+tk_fac*(1-colo_sh))</f>
        <v>0.77499450139483</v>
      </c>
      <c r="J2572" s="13" t="n">
        <f aca="false">Sens!$J$2555/(Sens!$J$2555+tk_fac*(1-colo_sh))</f>
        <v>0.77499450139483</v>
      </c>
      <c r="K2572" s="13" t="n">
        <f aca="false">Sens!$K$2555/(Sens!$K$2555+tk_fac*(1-colo_sh))</f>
        <v>0.77499450139483</v>
      </c>
      <c r="L2572" s="13" t="n">
        <f aca="false">Sens!$L$2555/(Sens!$L$2555+tk_fac*(1-colo_sh))</f>
        <v>0.77499450139483</v>
      </c>
      <c r="M2572" s="13" t="n">
        <f aca="false">Sens!$M$2555/(Sens!$M$2555+tk_fac*(1-colo_sh))</f>
        <v>0.77499450139483</v>
      </c>
    </row>
    <row r="2573" customFormat="false" ht="17.15" hidden="false" customHeight="false" outlineLevel="0" collapsed="false">
      <c r="A2573" s="1" t="s">
        <v>635</v>
      </c>
      <c r="B2573" s="8" t="s">
        <v>86</v>
      </c>
      <c r="C2573" s="38" t="n">
        <f aca="false">Q!$D$46-cx_rt*Q!$D$16-cx_awso*Sens!$C$2568</f>
        <v>25.2781053077374</v>
      </c>
      <c r="D2573" s="38" t="n">
        <f aca="false">Q!$E$46-cx_rt*Q!$E$16-cx_awso*Sens!$D$2568</f>
        <v>69.5686316310026</v>
      </c>
      <c r="E2573" s="38" t="n">
        <f aca="false">Q!$P$46-cx_rt*Q!$P$16-cx_awso*Sens!$E$2568</f>
        <v>64.1899206485108</v>
      </c>
      <c r="F2573" s="38" t="n">
        <f aca="false">capex_g26-Q!$P$46-Sens!$F$2571</f>
        <v>88.7165504612134</v>
      </c>
      <c r="G2573" s="38" t="n">
        <f aca="false">Sens!$E$2573+Sens!$F$2573</f>
        <v>152.906471109724</v>
      </c>
      <c r="H2573" s="38" t="n">
        <f aca="false">Sens!$H$2550*(Sens!$H$2555+tk_fac*(1-colo_sh))/1000+Sens!$H$2574</f>
        <v>198.57136494475</v>
      </c>
      <c r="I2573" s="38" t="n">
        <f aca="false">Sens!$I$2550*(Sens!$I$2555+tk_fac*(1-colo_sh))/1000+Sens!$I$2574</f>
        <v>204.6464699105</v>
      </c>
      <c r="J2573" s="38" t="n">
        <f aca="false">Sens!$J$2550*(Sens!$J$2555+tk_fac*(1-colo_sh))/1000+Sens!$J$2574</f>
        <v>209.8832381105</v>
      </c>
      <c r="K2573" s="38" t="n">
        <f aca="false">Sens!$K$2550*(Sens!$K$2555+tk_fac*(1-colo_sh))/1000+Sens!$K$2574</f>
        <v>155.238385275201</v>
      </c>
      <c r="L2573" s="38" t="n">
        <f aca="false">Sens!$L$2550*(Sens!$L$2555+tk_fac*(1-colo_sh))/1000+Sens!$L$2574</f>
        <v>132.014141639902</v>
      </c>
      <c r="M2573" s="38" t="n">
        <f aca="false">Sens!$M$2550*(Sens!$M$2555+tk_fac*(1-colo_sh))/1000+Sens!$M$2574</f>
        <v>132.230981659852</v>
      </c>
      <c r="P2573" s="5" t="s">
        <v>636</v>
      </c>
      <c r="R2573" s="38" t="n">
        <f aca="false">Q!$C$46-cx_rt*Q!$C$16-cx_awso*(Q!$C$7-mw_ye23/2*rpm_open/1000)</f>
        <v>1.50429979529945</v>
      </c>
      <c r="S2573" s="38" t="n">
        <f aca="false">Sens!$C$2573</f>
        <v>25.2781053077374</v>
      </c>
      <c r="T2573" s="38" t="n">
        <f aca="false">Sens!$D$2573</f>
        <v>69.5686316310026</v>
      </c>
      <c r="U2573" s="38" t="n">
        <f aca="false">Sens!$G$2573</f>
        <v>152.906471109724</v>
      </c>
      <c r="V2573" s="38" t="n">
        <f aca="false">Sens!$H$2573</f>
        <v>198.57136494475</v>
      </c>
      <c r="W2573" s="38" t="n">
        <f aca="false">Sens!$I$2573</f>
        <v>204.6464699105</v>
      </c>
      <c r="X2573" s="38" t="n">
        <f aca="false">Sens!$J$2573</f>
        <v>209.8832381105</v>
      </c>
      <c r="Y2573" s="38" t="n">
        <f aca="false">Sens!$K$2573</f>
        <v>155.238385275201</v>
      </c>
      <c r="Z2573" s="38" t="n">
        <f aca="false">Sens!$L$2573</f>
        <v>132.014141639902</v>
      </c>
      <c r="AA2573" s="38" t="n">
        <f aca="false">Sens!$M$2573</f>
        <v>132.230981659852</v>
      </c>
    </row>
    <row r="2574" customFormat="false" ht="17.15" hidden="false" customHeight="false" outlineLevel="0" collapsed="false">
      <c r="A2574" s="0" t="s">
        <v>637</v>
      </c>
      <c r="B2574" s="0" t="s">
        <v>86</v>
      </c>
      <c r="H2574" s="38" t="n">
        <f aca="false">SUMPRODUCT(--(Sens!$R$2543:$AA$2543=2027-tk_life),Sens!$R$2550:$AA$2550)*Sens!$H$2555/1000</f>
        <v>0</v>
      </c>
      <c r="I2574" s="38" t="n">
        <f aca="false">SUMPRODUCT(--(Sens!$R$2543:$AA$2543=2028-tk_life),Sens!$R$2550:$AA$2550)*Sens!$I$2555/1000</f>
        <v>0</v>
      </c>
      <c r="J2574" s="38" t="n">
        <f aca="false">SUMPRODUCT(--(Sens!$R$2543:$AA$2543=2029-tk_life),Sens!$R$2550:$AA$2550)*Sens!$J$2555/1000</f>
        <v>5.2367682</v>
      </c>
      <c r="K2574" s="38" t="n">
        <f aca="false">SUMPRODUCT(--(Sens!$R$2543:$AA$2543=2030-tk_life),Sens!$R$2550:$AA$2550)*Sens!$K$2555/1000</f>
        <v>10.4735364</v>
      </c>
      <c r="L2574" s="38" t="n">
        <f aca="false">SUMPRODUCT(--(Sens!$R$2543:$AA$2543=2031-tk_life),Sens!$R$2550:$AA$2550)*Sens!$L$2555/1000</f>
        <v>47.1309138</v>
      </c>
      <c r="M2574" s="38" t="n">
        <f aca="false">SUMPRODUCT(--(Sens!$R$2543:$AA$2543=2032-tk_life),Sens!$R$2550:$AA$2550)*Sens!$M$2555/1000</f>
        <v>107.22937485525</v>
      </c>
    </row>
    <row r="2575" customFormat="false" ht="17.15" hidden="false" customHeight="false" outlineLevel="0" collapsed="false">
      <c r="A2575" s="0" t="s">
        <v>638</v>
      </c>
      <c r="B2575" s="0" t="s">
        <v>86</v>
      </c>
      <c r="C2575" s="38" t="n">
        <f aca="false">MIN(Sens!$C$2573,Sens!$C$2550*(tk_cx_h100+tk_fac*(1-colo_sh))/1000)</f>
        <v>11.2938642</v>
      </c>
      <c r="D2575" s="38" t="n">
        <f aca="false">MIN(Sens!$D$2573,Sens!$D$2550*(tk_cx_h100+tk_fac*(1-colo_sh))/1000)</f>
        <v>50.8223889</v>
      </c>
      <c r="E2575" s="38" t="n">
        <f aca="false">MIN(Sens!$E$2573,Sens!$E$2550*(Sens!$F$2555+tk_fac*(1-colo_sh))/1000)</f>
        <v>33.8985792</v>
      </c>
      <c r="F2575" s="38" t="n">
        <f aca="false">Sens!$F$2573</f>
        <v>88.7165504612134</v>
      </c>
      <c r="G2575" s="38" t="n">
        <f aca="false">Sens!$E$2575+Sens!$F$2575</f>
        <v>122.615129661213</v>
      </c>
      <c r="H2575" s="38" t="n">
        <f aca="false">Sens!$H$2573</f>
        <v>198.57136494475</v>
      </c>
      <c r="I2575" s="38" t="n">
        <f aca="false">Sens!$I$2573</f>
        <v>204.6464699105</v>
      </c>
      <c r="J2575" s="38" t="n">
        <f aca="false">Sens!$J$2573</f>
        <v>209.8832381105</v>
      </c>
      <c r="K2575" s="38" t="n">
        <f aca="false">Sens!$K$2573</f>
        <v>155.238385275201</v>
      </c>
      <c r="L2575" s="38" t="n">
        <f aca="false">Sens!$L$2573</f>
        <v>132.014141639902</v>
      </c>
      <c r="M2575" s="38" t="n">
        <f aca="false">Sens!$M$2573</f>
        <v>132.230981659852</v>
      </c>
      <c r="P2575" s="5" t="s">
        <v>639</v>
      </c>
      <c r="R2575" s="38" t="n">
        <f aca="false">MIN(Sens!$R$2573,Sens!$R$2550*(tk_cx_h100+tk_fac*(1-colo_sh))/1000)</f>
        <v>1.50429979529945</v>
      </c>
      <c r="S2575" s="38" t="n">
        <f aca="false">Sens!$C$2575</f>
        <v>11.2938642</v>
      </c>
      <c r="T2575" s="38" t="n">
        <f aca="false">Sens!$D$2575</f>
        <v>50.8223889</v>
      </c>
      <c r="U2575" s="38" t="n">
        <f aca="false">Sens!$G$2575</f>
        <v>122.615129661213</v>
      </c>
      <c r="V2575" s="38" t="n">
        <f aca="false">Sens!$H$2575</f>
        <v>198.57136494475</v>
      </c>
      <c r="W2575" s="38" t="n">
        <f aca="false">Sens!$I$2575</f>
        <v>204.6464699105</v>
      </c>
      <c r="X2575" s="38" t="n">
        <f aca="false">Sens!$J$2575</f>
        <v>209.8832381105</v>
      </c>
      <c r="Y2575" s="38" t="n">
        <f aca="false">Sens!$K$2575</f>
        <v>155.238385275201</v>
      </c>
      <c r="Z2575" s="38" t="n">
        <f aca="false">Sens!$L$2575</f>
        <v>132.014141639902</v>
      </c>
      <c r="AA2575" s="38" t="n">
        <f aca="false">Sens!$M$2575</f>
        <v>132.230981659852</v>
      </c>
    </row>
    <row r="2576" customFormat="false" ht="17.15" hidden="false" customHeight="false" outlineLevel="0" collapsed="false">
      <c r="A2576" s="5" t="s">
        <v>640</v>
      </c>
      <c r="B2576" s="0" t="s">
        <v>86</v>
      </c>
      <c r="C2576" s="38" t="n">
        <f aca="false">Sens!$C$2573-Sens!$C$2575</f>
        <v>13.9842411077374</v>
      </c>
      <c r="D2576" s="38" t="n">
        <f aca="false">Sens!$D$2573-Sens!$D$2575</f>
        <v>18.7462427310026</v>
      </c>
      <c r="E2576" s="38" t="n">
        <f aca="false">Sens!$E$2573-Sens!$E$2575</f>
        <v>30.2913414485108</v>
      </c>
      <c r="F2576" s="38" t="n">
        <f aca="false">Sens!$F$2573-Sens!$F$2575</f>
        <v>0</v>
      </c>
      <c r="G2576" s="38" t="n">
        <f aca="false">Sens!$G$2573-Sens!$G$2575</f>
        <v>30.2913414485108</v>
      </c>
      <c r="H2576" s="38" t="n">
        <f aca="false">Sens!$H$2573-Sens!$H$2575</f>
        <v>0</v>
      </c>
      <c r="I2576" s="38" t="n">
        <f aca="false">Sens!$I$2573-Sens!$I$2575</f>
        <v>0</v>
      </c>
      <c r="J2576" s="38" t="n">
        <f aca="false">Sens!$J$2573-Sens!$J$2575</f>
        <v>0</v>
      </c>
      <c r="K2576" s="38" t="n">
        <f aca="false">Sens!$K$2573-Sens!$K$2575</f>
        <v>0</v>
      </c>
      <c r="L2576" s="38" t="n">
        <f aca="false">Sens!$L$2573-Sens!$L$2575</f>
        <v>0</v>
      </c>
      <c r="M2576" s="38" t="n">
        <f aca="false">Sens!$M$2573-Sens!$M$2575</f>
        <v>0</v>
      </c>
      <c r="P2576" s="5" t="s">
        <v>641</v>
      </c>
      <c r="R2576" s="38" t="n">
        <f aca="false">Sens!$R$2573-Sens!$R$2575</f>
        <v>0</v>
      </c>
      <c r="S2576" s="38" t="n">
        <f aca="false">Sens!$S$2573-Sens!$S$2575</f>
        <v>13.9842411077374</v>
      </c>
      <c r="T2576" s="38" t="n">
        <f aca="false">Sens!$T$2573-Sens!$T$2575</f>
        <v>18.7462427310026</v>
      </c>
      <c r="U2576" s="38" t="n">
        <f aca="false">Sens!$U$2573-Sens!$U$2575</f>
        <v>30.2913414485108</v>
      </c>
      <c r="V2576" s="38" t="n">
        <f aca="false">Sens!$V$2573-Sens!$V$2575</f>
        <v>0</v>
      </c>
      <c r="W2576" s="38" t="n">
        <f aca="false">Sens!$W$2573-Sens!$W$2575</f>
        <v>0</v>
      </c>
      <c r="X2576" s="38" t="n">
        <f aca="false">Sens!$X$2573-Sens!$X$2575</f>
        <v>0</v>
      </c>
      <c r="Y2576" s="38" t="n">
        <f aca="false">Sens!$Y$2573-Sens!$Y$2575</f>
        <v>0</v>
      </c>
      <c r="Z2576" s="38" t="n">
        <f aca="false">Sens!$Z$2573-Sens!$Z$2575</f>
        <v>0</v>
      </c>
      <c r="AA2576" s="38" t="n">
        <f aca="false">Sens!$AA$2573-Sens!$AA$2575</f>
        <v>0</v>
      </c>
    </row>
    <row r="2577" customFormat="false" ht="17.15" hidden="false" customHeight="false" outlineLevel="0" collapsed="false">
      <c r="A2577" s="5" t="s">
        <v>642</v>
      </c>
      <c r="B2577" s="0" t="s">
        <v>86</v>
      </c>
      <c r="R2577" s="38" t="n">
        <f aca="false">Sens!$R$2576*Sens!$C$2572</f>
        <v>0</v>
      </c>
      <c r="S2577" s="38" t="n">
        <f aca="false">Sens!$S$2576*Sens!$C$2572</f>
        <v>10.219074499801</v>
      </c>
      <c r="T2577" s="38" t="n">
        <f aca="false">Sens!$T$2576*Sens!$C$2572</f>
        <v>13.6989379390402</v>
      </c>
      <c r="U2577" s="38" t="n">
        <f aca="false">Sens!$U$2576*Sens!$E$2572</f>
        <v>23.0454203705653</v>
      </c>
      <c r="V2577" s="38" t="n">
        <f aca="false">Sens!$V$2576*Sens!$E$2572</f>
        <v>0</v>
      </c>
      <c r="W2577" s="38" t="n">
        <f aca="false">Sens!$W$2576*Sens!$E$2572</f>
        <v>0</v>
      </c>
      <c r="X2577" s="38" t="n">
        <f aca="false">Sens!$X$2576*Sens!$E$2572</f>
        <v>0</v>
      </c>
      <c r="Y2577" s="38" t="n">
        <f aca="false">Sens!$Y$2576*Sens!$E$2572</f>
        <v>0</v>
      </c>
      <c r="Z2577" s="38" t="n">
        <f aca="false">Sens!$Z$2576*Sens!$E$2572</f>
        <v>0</v>
      </c>
      <c r="AA2577" s="38" t="n">
        <f aca="false">Sens!$AA$2576*Sens!$E$2572</f>
        <v>0</v>
      </c>
    </row>
    <row r="2578" customFormat="false" ht="17.15" hidden="false" customHeight="false" outlineLevel="0" collapsed="false">
      <c r="A2578" s="5" t="s">
        <v>643</v>
      </c>
      <c r="B2578" s="0" t="s">
        <v>86</v>
      </c>
      <c r="R2578" s="38" t="n">
        <f aca="false">SUMPRODUCT(--(Sens!$R$2543:$AA$2543=2023-cip_lag),Sens!$R$2577:$AA$2577)</f>
        <v>0</v>
      </c>
      <c r="S2578" s="38" t="n">
        <f aca="false">SUMPRODUCT(--(Sens!$R$2543:$AA$2543=2024-cip_lag),Sens!$R$2577:$AA$2577)</f>
        <v>0</v>
      </c>
      <c r="T2578" s="38" t="n">
        <f aca="false">SUMPRODUCT(--(Sens!$R$2543:$AA$2543=2025-cip_lag),Sens!$R$2577:$AA$2577)</f>
        <v>10.219074499801</v>
      </c>
      <c r="U2578" s="38" t="n">
        <f aca="false">SUMPRODUCT(--(Sens!$R$2543:$AA$2543=2026-cip_lag),Sens!$R$2577:$AA$2577)</f>
        <v>13.6989379390402</v>
      </c>
      <c r="V2578" s="38" t="n">
        <f aca="false">SUMPRODUCT(--(Sens!$R$2543:$AA$2543=2027-cip_lag),Sens!$R$2577:$AA$2577)</f>
        <v>23.0454203705653</v>
      </c>
      <c r="W2578" s="38" t="n">
        <f aca="false">SUMPRODUCT(--(Sens!$R$2543:$AA$2543=2028-cip_lag),Sens!$R$2577:$AA$2577)</f>
        <v>0</v>
      </c>
      <c r="X2578" s="38" t="n">
        <f aca="false">SUMPRODUCT(--(Sens!$R$2543:$AA$2543=2029-cip_lag),Sens!$R$2577:$AA$2577)</f>
        <v>0</v>
      </c>
      <c r="Y2578" s="38" t="n">
        <f aca="false">SUMPRODUCT(--(Sens!$R$2543:$AA$2543=2030-cip_lag),Sens!$R$2577:$AA$2577)</f>
        <v>0</v>
      </c>
      <c r="Z2578" s="38" t="n">
        <f aca="false">SUMPRODUCT(--(Sens!$R$2543:$AA$2543=2031-cip_lag),Sens!$R$2577:$AA$2577)</f>
        <v>0</v>
      </c>
      <c r="AA2578" s="38" t="n">
        <f aca="false">SUMPRODUCT(--(Sens!$R$2543:$AA$2543=2032-cip_lag),Sens!$R$2577:$AA$2577)</f>
        <v>0</v>
      </c>
    </row>
    <row r="2579" customFormat="false" ht="15" hidden="false" customHeight="false" outlineLevel="0" collapsed="false">
      <c r="A2579" s="5" t="s">
        <v>644</v>
      </c>
      <c r="B2579" s="0" t="s">
        <v>86</v>
      </c>
      <c r="R2579" s="38" t="n">
        <f aca="false">SUMPRODUCT(--(Sens!$R$2543:$AA$2543=2023-cip_lag),Sens!$R$2576:$AA$2576)-Sens!$R$2578</f>
        <v>0</v>
      </c>
      <c r="S2579" s="38" t="n">
        <f aca="false">SUMPRODUCT(--(Sens!$R$2543:$AA$2543=2024-cip_lag),Sens!$R$2576:$AA$2576)-Sens!$S$2578</f>
        <v>0</v>
      </c>
      <c r="T2579" s="38" t="n">
        <f aca="false">SUMPRODUCT(--(Sens!$R$2543:$AA$2543=2025-cip_lag),Sens!$R$2576:$AA$2576)-Sens!$T$2578</f>
        <v>3.76516660793636</v>
      </c>
      <c r="U2579" s="38" t="n">
        <f aca="false">SUMPRODUCT(--(Sens!$R$2543:$AA$2543=2026-cip_lag),Sens!$R$2576:$AA$2576)-Sens!$U$2578</f>
        <v>5.04730479196242</v>
      </c>
      <c r="V2579" s="38" t="n">
        <f aca="false">SUMPRODUCT(--(Sens!$R$2543:$AA$2543=2027-cip_lag),Sens!$R$2576:$AA$2576)-Sens!$V$2578</f>
        <v>7.24592107794548</v>
      </c>
      <c r="W2579" s="38" t="n">
        <f aca="false">SUMPRODUCT(--(Sens!$R$2543:$AA$2543=2028-cip_lag),Sens!$R$2576:$AA$2576)-Sens!$W$2578</f>
        <v>0</v>
      </c>
      <c r="X2579" s="38" t="n">
        <f aca="false">SUMPRODUCT(--(Sens!$R$2543:$AA$2543=2029-cip_lag),Sens!$R$2576:$AA$2576)-Sens!$X$2578</f>
        <v>0</v>
      </c>
      <c r="Y2579" s="38" t="n">
        <f aca="false">SUMPRODUCT(--(Sens!$R$2543:$AA$2543=2030-cip_lag),Sens!$R$2576:$AA$2576)-Sens!$Y$2578</f>
        <v>0</v>
      </c>
      <c r="Z2579" s="38" t="n">
        <f aca="false">SUMPRODUCT(--(Sens!$R$2543:$AA$2543=2031-cip_lag),Sens!$R$2576:$AA$2576)-Sens!$Z$2578</f>
        <v>0</v>
      </c>
      <c r="AA2579" s="38" t="n">
        <f aca="false">SUMPRODUCT(--(Sens!$R$2543:$AA$2543=2032-cip_lag),Sens!$R$2576:$AA$2576)-Sens!$AA$2578</f>
        <v>0</v>
      </c>
    </row>
    <row r="2580" customFormat="false" ht="17.15" hidden="false" customHeight="false" outlineLevel="0" collapsed="false">
      <c r="A2580" s="5" t="s">
        <v>645</v>
      </c>
      <c r="B2580" s="0" t="s">
        <v>86</v>
      </c>
      <c r="C2580" s="38" t="n">
        <f aca="false">Sens!$C$2575*Sens!$C$2572</f>
        <v>8.2530642</v>
      </c>
      <c r="D2580" s="38" t="n">
        <f aca="false">Sens!$D$2575*Sens!$D$2572</f>
        <v>37.1387889</v>
      </c>
      <c r="E2580" s="38" t="n">
        <f aca="false">Sens!$E$2575*Sens!$E$2572</f>
        <v>25.7897792</v>
      </c>
      <c r="F2580" s="38" t="n">
        <f aca="false">Sens!$F$2575*Sens!$F$2572</f>
        <v>67.4948715189913</v>
      </c>
      <c r="G2580" s="38" t="n">
        <f aca="false">Sens!$E$2580+Sens!$F$2580</f>
        <v>93.2846507189913</v>
      </c>
      <c r="H2580" s="38" t="n">
        <f aca="false">(Sens!$H$2575-Sens!$H$2574)*Sens!$H$2572+Sens!$H$2574</f>
        <v>152.52478394475</v>
      </c>
      <c r="I2580" s="38" t="n">
        <f aca="false">(Sens!$I$2575-Sens!$I$2574)*Sens!$I$2572+Sens!$I$2574</f>
        <v>158.5998889105</v>
      </c>
      <c r="J2580" s="38" t="n">
        <f aca="false">(Sens!$J$2575-Sens!$J$2574)*Sens!$J$2572+Sens!$J$2574</f>
        <v>163.8366571105</v>
      </c>
      <c r="K2580" s="38" t="n">
        <f aca="false">(Sens!$K$2575-Sens!$K$2574)*Sens!$K$2572+Sens!$K$2574</f>
        <v>122.665498273534</v>
      </c>
      <c r="L2580" s="38" t="n">
        <f aca="false">(Sens!$L$2575-Sens!$L$2574)*Sens!$L$2572+Sens!$L$2574</f>
        <v>112.914948636568</v>
      </c>
      <c r="M2580" s="38" t="n">
        <f aca="false">(Sens!$M$2575-Sens!$M$2574)*Sens!$M$2572+Sens!$M$2574</f>
        <v>126.605482654852</v>
      </c>
      <c r="R2580" s="38" t="n">
        <f aca="false">Sens!$R$2575*Sens!$C$2572</f>
        <v>1.09927679019314</v>
      </c>
      <c r="S2580" s="38" t="n">
        <f aca="false">Sens!$C$2580</f>
        <v>8.2530642</v>
      </c>
      <c r="T2580" s="38" t="n">
        <f aca="false">Sens!$D$2580</f>
        <v>37.1387889</v>
      </c>
      <c r="U2580" s="38" t="n">
        <f aca="false">Sens!$G$2580</f>
        <v>93.2846507189913</v>
      </c>
      <c r="V2580" s="38" t="n">
        <f aca="false">Sens!$H$2580</f>
        <v>152.52478394475</v>
      </c>
      <c r="W2580" s="38" t="n">
        <f aca="false">Sens!$I$2580</f>
        <v>158.5998889105</v>
      </c>
      <c r="X2580" s="38" t="n">
        <f aca="false">Sens!$J$2580</f>
        <v>163.8366571105</v>
      </c>
      <c r="Y2580" s="38" t="n">
        <f aca="false">Sens!$K$2580</f>
        <v>122.665498273534</v>
      </c>
      <c r="Z2580" s="38" t="n">
        <f aca="false">Sens!$L$2580</f>
        <v>112.914948636568</v>
      </c>
      <c r="AA2580" s="38" t="n">
        <f aca="false">Sens!$M$2580</f>
        <v>126.605482654852</v>
      </c>
    </row>
    <row r="2581" customFormat="false" ht="15" hidden="false" customHeight="false" outlineLevel="0" collapsed="false">
      <c r="A2581" s="5" t="s">
        <v>646</v>
      </c>
      <c r="B2581" s="0" t="s">
        <v>86</v>
      </c>
      <c r="C2581" s="38" t="n">
        <f aca="false">Sens!$C$2575-Sens!$C$2580</f>
        <v>3.0408</v>
      </c>
      <c r="D2581" s="38" t="n">
        <f aca="false">Sens!$D$2575-Sens!$D$2580</f>
        <v>13.6836</v>
      </c>
      <c r="E2581" s="38" t="n">
        <f aca="false">Sens!$E$2575-Sens!$E$2580</f>
        <v>8.1088</v>
      </c>
      <c r="F2581" s="38" t="n">
        <f aca="false">Sens!$F$2575-Sens!$F$2580</f>
        <v>21.2216789422221</v>
      </c>
      <c r="G2581" s="38" t="n">
        <f aca="false">Sens!$G$2575-Sens!$G$2580</f>
        <v>29.3304789422221</v>
      </c>
      <c r="H2581" s="38" t="n">
        <f aca="false">Sens!$H$2575-Sens!$H$2580</f>
        <v>46.046581</v>
      </c>
      <c r="I2581" s="38" t="n">
        <f aca="false">Sens!$I$2575-Sens!$I$2580</f>
        <v>46.046581</v>
      </c>
      <c r="J2581" s="38" t="n">
        <f aca="false">Sens!$J$2575-Sens!$J$2580</f>
        <v>46.046581</v>
      </c>
      <c r="K2581" s="38" t="n">
        <f aca="false">Sens!$K$2575-Sens!$K$2580</f>
        <v>32.5728870016667</v>
      </c>
      <c r="L2581" s="38" t="n">
        <f aca="false">Sens!$L$2575-Sens!$L$2580</f>
        <v>19.0991930033334</v>
      </c>
      <c r="M2581" s="38" t="n">
        <f aca="false">Sens!$M$2575-Sens!$M$2580</f>
        <v>5.62549900499998</v>
      </c>
      <c r="R2581" s="38" t="n">
        <f aca="false">Sens!$R$2575-Sens!$R$2580</f>
        <v>0.405023005106309</v>
      </c>
      <c r="S2581" s="38" t="n">
        <f aca="false">Sens!$S$2575-Sens!$S$2580</f>
        <v>3.0408</v>
      </c>
      <c r="T2581" s="38" t="n">
        <f aca="false">Sens!$T$2575-Sens!$T$2580</f>
        <v>13.6836</v>
      </c>
      <c r="U2581" s="38" t="n">
        <f aca="false">Sens!$U$2575-Sens!$U$2580</f>
        <v>29.3304789422221</v>
      </c>
      <c r="V2581" s="38" t="n">
        <f aca="false">Sens!$V$2575-Sens!$V$2580</f>
        <v>46.046581</v>
      </c>
      <c r="W2581" s="38" t="n">
        <f aca="false">Sens!$W$2575-Sens!$W$2580</f>
        <v>46.046581</v>
      </c>
      <c r="X2581" s="38" t="n">
        <f aca="false">Sens!$X$2575-Sens!$X$2580</f>
        <v>46.046581</v>
      </c>
      <c r="Y2581" s="38" t="n">
        <f aca="false">Sens!$Y$2575-Sens!$Y$2580</f>
        <v>32.5728870016667</v>
      </c>
      <c r="Z2581" s="38" t="n">
        <f aca="false">Sens!$Z$2575-Sens!$Z$2580</f>
        <v>19.0991930033334</v>
      </c>
      <c r="AA2581" s="38" t="n">
        <f aca="false">Sens!$AA$2575-Sens!$AA$2580</f>
        <v>5.62549900499998</v>
      </c>
    </row>
    <row r="2582" customFormat="false" ht="17.15" hidden="false" customHeight="false" outlineLevel="0" collapsed="false">
      <c r="A2582" s="0" t="s">
        <v>647</v>
      </c>
      <c r="B2582" s="0" t="s">
        <v>52</v>
      </c>
      <c r="C2582" s="13" t="n">
        <f aca="false">Sens!$C$2573/Sens!$C$2698</f>
        <v>0.325505489553393</v>
      </c>
      <c r="D2582" s="13" t="n">
        <f aca="false">Sens!$D$2573/Sens!$D$2698</f>
        <v>0.54214956071542</v>
      </c>
      <c r="E2582" s="13" t="n">
        <f aca="false">Sens!$E$2573/Sens!$E$2698</f>
        <v>0.666492790452817</v>
      </c>
      <c r="F2582" s="13" t="n">
        <f aca="false">Sens!$F$2573/Sens!$F$2698</f>
        <v>0.71724917504417</v>
      </c>
      <c r="G2582" s="13" t="n">
        <f aca="false">Sens!$G$2573/Sens!$G$2698</f>
        <v>0.69502941413511</v>
      </c>
      <c r="H2582" s="13" t="n">
        <f aca="false">Sens!$H$2573/Sens!$H$2698</f>
        <v>0.726376041178204</v>
      </c>
      <c r="I2582" s="13" t="n">
        <f aca="false">Sens!$I$2573/Sens!$I$2698</f>
        <v>0.713099092661699</v>
      </c>
      <c r="J2582" s="13" t="n">
        <f aca="false">Sens!$J$2573/Sens!$J$2698</f>
        <v>0.701208348786245</v>
      </c>
      <c r="K2582" s="13" t="n">
        <f aca="false">Sens!$K$2573/Sens!$K$2698</f>
        <v>0.618338844562383</v>
      </c>
      <c r="L2582" s="13" t="n">
        <f aca="false">Sens!$L$2573/Sens!$L$2698</f>
        <v>0.562489158462506</v>
      </c>
      <c r="M2582" s="13" t="n">
        <f aca="false">Sens!$M$2573/Sens!$M$2698</f>
        <v>0.545751190895923</v>
      </c>
    </row>
    <row r="2583" customFormat="false" ht="17.15" hidden="false" customHeight="false" outlineLevel="0" collapsed="false">
      <c r="A2583" s="0" t="s">
        <v>648</v>
      </c>
      <c r="B2583" s="0" t="s">
        <v>86</v>
      </c>
      <c r="C2583" s="38" t="n">
        <f aca="false">Sens!$S$2583</f>
        <v>0.183212798365523</v>
      </c>
      <c r="D2583" s="38" t="n">
        <f aca="false">Sens!$T$2583</f>
        <v>1.55872349836552</v>
      </c>
      <c r="E2583" s="38" t="n">
        <f aca="false">Sens!$G$2583/2</f>
        <v>4.72585036583285</v>
      </c>
      <c r="F2583" s="38" t="n">
        <f aca="false">Sens!$G$2583/2</f>
        <v>4.72585036583285</v>
      </c>
      <c r="G2583" s="38" t="n">
        <f aca="false">Sens!$U$2583</f>
        <v>9.4517007316657</v>
      </c>
      <c r="H2583" s="38" t="n">
        <f aca="false">Sens!$V$2583</f>
        <v>27.2822988413376</v>
      </c>
      <c r="I2583" s="38" t="n">
        <f aca="false">Sens!$W$2583</f>
        <v>56.5439995605568</v>
      </c>
      <c r="J2583" s="38" t="n">
        <f aca="false">Sens!$X$2583</f>
        <v>82.9773143789735</v>
      </c>
      <c r="K2583" s="38" t="n">
        <f aca="false">Sens!$Y$2583</f>
        <v>110.100211099025</v>
      </c>
      <c r="L2583" s="38" t="n">
        <f aca="false">Sens!$Z$2583</f>
        <v>129.16895011128</v>
      </c>
      <c r="M2583" s="38" t="n">
        <f aca="false">Sens!$AA$2583</f>
        <v>140.095130984075</v>
      </c>
      <c r="N2583" s="38" t="n">
        <f aca="false">Sens!$D$2583/2</f>
        <v>0.779361749182762</v>
      </c>
      <c r="O2583" s="38" t="n">
        <f aca="false">Sens!$D$2583/2</f>
        <v>0.779361749182762</v>
      </c>
      <c r="R2583" s="38" t="n">
        <f aca="false">(SUMPRODUCT(--(Sens!$R$2543:$AA$2543&lt;Sens!R$2543),--(Sens!$R$2543:$AA$2543&gt;=Sens!R$2543-tk_life),Sens!$R$2580:$AA$2580)+SUMPRODUCT(--(Sens!$R$2543:$AA$2543&lt;Sens!R$2543),--(Sens!$R$2543:$AA$2543&gt;=Sens!R$2543-tk_life),Sens!$R$2578:$AA$2578))/tk_life</f>
        <v>0</v>
      </c>
      <c r="S2583" s="38" t="n">
        <f aca="false">(SUMPRODUCT(--(Sens!$R$2543:$AA$2543&lt;Sens!S$2543),--(Sens!$R$2543:$AA$2543&gt;=Sens!S$2543-tk_life),Sens!$R$2580:$AA$2580)+SUMPRODUCT(--(Sens!$R$2543:$AA$2543&lt;Sens!S$2543),--(Sens!$R$2543:$AA$2543&gt;=Sens!S$2543-tk_life),Sens!$R$2578:$AA$2578))/tk_life</f>
        <v>0.183212798365523</v>
      </c>
      <c r="T2583" s="38" t="n">
        <f aca="false">(SUMPRODUCT(--(Sens!$R$2543:$AA$2543&lt;Sens!T$2543),--(Sens!$R$2543:$AA$2543&gt;=Sens!T$2543-tk_life),Sens!$R$2580:$AA$2580)+SUMPRODUCT(--(Sens!$R$2543:$AA$2543&lt;Sens!T$2543),--(Sens!$R$2543:$AA$2543&gt;=Sens!T$2543-tk_life),Sens!$R$2578:$AA$2578))/tk_life</f>
        <v>1.55872349836552</v>
      </c>
      <c r="U2583" s="38" t="n">
        <f aca="false">(SUMPRODUCT(--(Sens!$R$2543:$AA$2543&lt;Sens!U$2543),--(Sens!$R$2543:$AA$2543&gt;=Sens!U$2543-tk_life),Sens!$R$2580:$AA$2580)+SUMPRODUCT(--(Sens!$R$2543:$AA$2543&lt;Sens!U$2543),--(Sens!$R$2543:$AA$2543&gt;=Sens!U$2543-tk_life),Sens!$R$2578:$AA$2578))/tk_life</f>
        <v>9.4517007316657</v>
      </c>
      <c r="V2583" s="38" t="n">
        <f aca="false">(SUMPRODUCT(--(Sens!$R$2543:$AA$2543&lt;Sens!V$2543),--(Sens!$R$2543:$AA$2543&gt;=Sens!V$2543-tk_life),Sens!$R$2580:$AA$2580)+SUMPRODUCT(--(Sens!$R$2543:$AA$2543&lt;Sens!V$2543),--(Sens!$R$2543:$AA$2543&gt;=Sens!V$2543-tk_life),Sens!$R$2578:$AA$2578))/tk_life</f>
        <v>27.2822988413376</v>
      </c>
      <c r="W2583" s="38" t="n">
        <f aca="false">(SUMPRODUCT(--(Sens!$R$2543:$AA$2543&lt;Sens!W$2543),--(Sens!$R$2543:$AA$2543&gt;=Sens!W$2543-tk_life),Sens!$R$2580:$AA$2580)+SUMPRODUCT(--(Sens!$R$2543:$AA$2543&lt;Sens!W$2543),--(Sens!$R$2543:$AA$2543&gt;=Sens!W$2543-tk_life),Sens!$R$2578:$AA$2578))/tk_life</f>
        <v>56.5439995605568</v>
      </c>
      <c r="X2583" s="38" t="n">
        <f aca="false">(SUMPRODUCT(--(Sens!$R$2543:$AA$2543&lt;Sens!X$2543),--(Sens!$R$2543:$AA$2543&gt;=Sens!X$2543-tk_life),Sens!$R$2580:$AA$2580)+SUMPRODUCT(--(Sens!$R$2543:$AA$2543&lt;Sens!X$2543),--(Sens!$R$2543:$AA$2543&gt;=Sens!X$2543-tk_life),Sens!$R$2578:$AA$2578))/tk_life</f>
        <v>82.9773143789735</v>
      </c>
      <c r="Y2583" s="38" t="n">
        <f aca="false">(SUMPRODUCT(--(Sens!$R$2543:$AA$2543&lt;Sens!Y$2543),--(Sens!$R$2543:$AA$2543&gt;=Sens!Y$2543-tk_life),Sens!$R$2580:$AA$2580)+SUMPRODUCT(--(Sens!$R$2543:$AA$2543&lt;Sens!Y$2543),--(Sens!$R$2543:$AA$2543&gt;=Sens!Y$2543-tk_life),Sens!$R$2578:$AA$2578))/tk_life</f>
        <v>110.100211099025</v>
      </c>
      <c r="Z2583" s="38" t="n">
        <f aca="false">(SUMPRODUCT(--(Sens!$R$2543:$AA$2543&lt;Sens!Z$2543),--(Sens!$R$2543:$AA$2543&gt;=Sens!Z$2543-tk_life),Sens!$R$2580:$AA$2580)+SUMPRODUCT(--(Sens!$R$2543:$AA$2543&lt;Sens!Z$2543),--(Sens!$R$2543:$AA$2543&gt;=Sens!Z$2543-tk_life),Sens!$R$2578:$AA$2578))/tk_life</f>
        <v>129.16895011128</v>
      </c>
      <c r="AA2583" s="38" t="n">
        <f aca="false">(SUMPRODUCT(--(Sens!$R$2543:$AA$2543&lt;Sens!AA$2543),--(Sens!$R$2543:$AA$2543&gt;=Sens!AA$2543-tk_life),Sens!$R$2580:$AA$2580)+SUMPRODUCT(--(Sens!$R$2543:$AA$2543&lt;Sens!AA$2543),--(Sens!$R$2543:$AA$2543&gt;=Sens!AA$2543-tk_life),Sens!$R$2578:$AA$2578))/tk_life</f>
        <v>140.095130984075</v>
      </c>
    </row>
    <row r="2584" customFormat="false" ht="17.15" hidden="false" customHeight="false" outlineLevel="0" collapsed="false">
      <c r="A2584" s="0" t="s">
        <v>649</v>
      </c>
      <c r="B2584" s="0" t="s">
        <v>86</v>
      </c>
      <c r="C2584" s="38" t="n">
        <f aca="false">Sens!$S$2584</f>
        <v>0.0202511502553155</v>
      </c>
      <c r="D2584" s="38" t="n">
        <f aca="false">Sens!$T$2584</f>
        <v>0.172291150255315</v>
      </c>
      <c r="E2584" s="38" t="n">
        <f aca="false">Sens!$G$2584/2</f>
        <v>0.522364740326067</v>
      </c>
      <c r="F2584" s="38" t="n">
        <f aca="false">Sens!$G$2584/2</f>
        <v>0.522364740326067</v>
      </c>
      <c r="G2584" s="38" t="n">
        <f aca="false">Sens!$U$2584</f>
        <v>1.04472948065213</v>
      </c>
      <c r="H2584" s="38" t="n">
        <f aca="false">Sens!$V$2584</f>
        <v>2.76361866736136</v>
      </c>
      <c r="I2584" s="38" t="n">
        <f aca="false">Sens!$W$2584</f>
        <v>5.42824377125863</v>
      </c>
      <c r="J2584" s="38" t="n">
        <f aca="false">Sens!$X$2584</f>
        <v>7.73057282125864</v>
      </c>
      <c r="K2584" s="38" t="n">
        <f aca="false">Sens!$Y$2584</f>
        <v>10.0329018712586</v>
      </c>
      <c r="L2584" s="38" t="n">
        <f aca="false">Sens!$Z$2584</f>
        <v>11.661546221342</v>
      </c>
      <c r="M2584" s="38" t="n">
        <f aca="false">Sens!$AA$2584</f>
        <v>12.6165058715086</v>
      </c>
      <c r="N2584" s="38" t="n">
        <f aca="false">Sens!$D$2584/2</f>
        <v>0.0861455751276577</v>
      </c>
      <c r="O2584" s="38" t="n">
        <f aca="false">Sens!$D$2584/2</f>
        <v>0.0861455751276577</v>
      </c>
      <c r="R2584" s="38" t="n">
        <f aca="false">(SUMPRODUCT(--(Sens!$R$2543:$AA$2543&lt;Sens!R$2543),Sens!$R$2581:$AA$2581)+SUMPRODUCT(--(Sens!$R$2543:$AA$2543&lt;Sens!R$2543),Sens!$R$2579:$AA$2579))/fac_life</f>
        <v>0</v>
      </c>
      <c r="S2584" s="38" t="n">
        <f aca="false">(SUMPRODUCT(--(Sens!$R$2543:$AA$2543&lt;Sens!S$2543),Sens!$R$2581:$AA$2581)+SUMPRODUCT(--(Sens!$R$2543:$AA$2543&lt;Sens!S$2543),Sens!$R$2579:$AA$2579))/fac_life</f>
        <v>0.0202511502553155</v>
      </c>
      <c r="T2584" s="38" t="n">
        <f aca="false">(SUMPRODUCT(--(Sens!$R$2543:$AA$2543&lt;Sens!T$2543),Sens!$R$2581:$AA$2581)+SUMPRODUCT(--(Sens!$R$2543:$AA$2543&lt;Sens!T$2543),Sens!$R$2579:$AA$2579))/fac_life</f>
        <v>0.172291150255315</v>
      </c>
      <c r="U2584" s="38" t="n">
        <f aca="false">(SUMPRODUCT(--(Sens!$R$2543:$AA$2543&lt;Sens!U$2543),Sens!$R$2581:$AA$2581)+SUMPRODUCT(--(Sens!$R$2543:$AA$2543&lt;Sens!U$2543),Sens!$R$2579:$AA$2579))/fac_life</f>
        <v>1.04472948065213</v>
      </c>
      <c r="V2584" s="38" t="n">
        <f aca="false">(SUMPRODUCT(--(Sens!$R$2543:$AA$2543&lt;Sens!V$2543),Sens!$R$2581:$AA$2581)+SUMPRODUCT(--(Sens!$R$2543:$AA$2543&lt;Sens!V$2543),Sens!$R$2579:$AA$2579))/fac_life</f>
        <v>2.76361866736136</v>
      </c>
      <c r="W2584" s="38" t="n">
        <f aca="false">(SUMPRODUCT(--(Sens!$R$2543:$AA$2543&lt;Sens!W$2543),Sens!$R$2581:$AA$2581)+SUMPRODUCT(--(Sens!$R$2543:$AA$2543&lt;Sens!W$2543),Sens!$R$2579:$AA$2579))/fac_life</f>
        <v>5.42824377125863</v>
      </c>
      <c r="X2584" s="38" t="n">
        <f aca="false">(SUMPRODUCT(--(Sens!$R$2543:$AA$2543&lt;Sens!X$2543),Sens!$R$2581:$AA$2581)+SUMPRODUCT(--(Sens!$R$2543:$AA$2543&lt;Sens!X$2543),Sens!$R$2579:$AA$2579))/fac_life</f>
        <v>7.73057282125864</v>
      </c>
      <c r="Y2584" s="38" t="n">
        <f aca="false">(SUMPRODUCT(--(Sens!$R$2543:$AA$2543&lt;Sens!Y$2543),Sens!$R$2581:$AA$2581)+SUMPRODUCT(--(Sens!$R$2543:$AA$2543&lt;Sens!Y$2543),Sens!$R$2579:$AA$2579))/fac_life</f>
        <v>10.0329018712586</v>
      </c>
      <c r="Z2584" s="38" t="n">
        <f aca="false">(SUMPRODUCT(--(Sens!$R$2543:$AA$2543&lt;Sens!Z$2543),Sens!$R$2581:$AA$2581)+SUMPRODUCT(--(Sens!$R$2543:$AA$2543&lt;Sens!Z$2543),Sens!$R$2579:$AA$2579))/fac_life</f>
        <v>11.661546221342</v>
      </c>
      <c r="AA2584" s="38" t="n">
        <f aca="false">(SUMPRODUCT(--(Sens!$R$2543:$AA$2543&lt;Sens!AA$2543),Sens!$R$2581:$AA$2581)+SUMPRODUCT(--(Sens!$R$2543:$AA$2543&lt;Sens!AA$2543),Sens!$R$2579:$AA$2579))/fac_life</f>
        <v>12.6165058715086</v>
      </c>
    </row>
    <row r="2585" customFormat="false" ht="17.15" hidden="false" customHeight="false" outlineLevel="0" collapsed="false">
      <c r="A2585" s="1" t="s">
        <v>650</v>
      </c>
      <c r="B2585" s="8" t="s">
        <v>86</v>
      </c>
      <c r="C2585" s="38" t="n">
        <f aca="false">Sens!$C$2583+Sens!$C$2584</f>
        <v>0.203463948620839</v>
      </c>
      <c r="D2585" s="38" t="n">
        <f aca="false">Sens!$D$2583+Sens!$D$2584</f>
        <v>1.73101464862084</v>
      </c>
      <c r="E2585" s="38" t="n">
        <f aca="false">Sens!$E$2583+Sens!$E$2584</f>
        <v>5.24821510615892</v>
      </c>
      <c r="F2585" s="38" t="n">
        <f aca="false">Sens!$F$2583+Sens!$F$2584</f>
        <v>5.24821510615892</v>
      </c>
      <c r="G2585" s="38" t="n">
        <f aca="false">Sens!$G$2583+Sens!$G$2584</f>
        <v>10.4964302123178</v>
      </c>
      <c r="H2585" s="38" t="n">
        <f aca="false">Sens!$H$2583+Sens!$H$2584</f>
        <v>30.045917508699</v>
      </c>
      <c r="I2585" s="38" t="n">
        <f aca="false">Sens!$I$2583+Sens!$I$2584</f>
        <v>61.9722433318155</v>
      </c>
      <c r="J2585" s="38" t="n">
        <f aca="false">Sens!$J$2583+Sens!$J$2584</f>
        <v>90.7078872002321</v>
      </c>
      <c r="K2585" s="38" t="n">
        <f aca="false">Sens!$K$2583+Sens!$K$2584</f>
        <v>120.133112970283</v>
      </c>
      <c r="L2585" s="38" t="n">
        <f aca="false">Sens!$L$2583+Sens!$L$2584</f>
        <v>140.830496332622</v>
      </c>
      <c r="M2585" s="38" t="n">
        <f aca="false">Sens!$M$2583+Sens!$M$2584</f>
        <v>152.711636855584</v>
      </c>
      <c r="N2585" s="38" t="n">
        <f aca="false">Sens!$N$2583+Sens!$N$2584</f>
        <v>0.865507324310419</v>
      </c>
      <c r="O2585" s="38" t="n">
        <f aca="false">Sens!$O$2583+Sens!$O$2584</f>
        <v>0.865507324310419</v>
      </c>
      <c r="R2585" s="38" t="n">
        <f aca="false">Sens!$R$2583+Sens!$R$2584</f>
        <v>0</v>
      </c>
      <c r="S2585" s="38" t="n">
        <f aca="false">Sens!$S$2583+Sens!$S$2584</f>
        <v>0.203463948620839</v>
      </c>
      <c r="T2585" s="38" t="n">
        <f aca="false">Sens!$T$2583+Sens!$T$2584</f>
        <v>1.73101464862084</v>
      </c>
      <c r="U2585" s="38" t="n">
        <f aca="false">Sens!$U$2583+Sens!$U$2584</f>
        <v>10.4964302123178</v>
      </c>
      <c r="V2585" s="38" t="n">
        <f aca="false">Sens!$V$2583+Sens!$V$2584</f>
        <v>30.045917508699</v>
      </c>
      <c r="W2585" s="38" t="n">
        <f aca="false">Sens!$W$2583+Sens!$W$2584</f>
        <v>61.9722433318155</v>
      </c>
      <c r="X2585" s="38" t="n">
        <f aca="false">Sens!$X$2583+Sens!$X$2584</f>
        <v>90.7078872002321</v>
      </c>
      <c r="Y2585" s="38" t="n">
        <f aca="false">Sens!$Y$2583+Sens!$Y$2584</f>
        <v>120.133112970283</v>
      </c>
      <c r="Z2585" s="38" t="n">
        <f aca="false">Sens!$Z$2583+Sens!$Z$2584</f>
        <v>140.830496332622</v>
      </c>
      <c r="AA2585" s="38" t="n">
        <f aca="false">Sens!$AA$2583+Sens!$AA$2584</f>
        <v>152.711636855584</v>
      </c>
    </row>
    <row r="2586" customFormat="false" ht="17.15" hidden="false" customHeight="false" outlineLevel="0" collapsed="false">
      <c r="A2586" s="0" t="s">
        <v>651</v>
      </c>
      <c r="B2586" s="0" t="s">
        <v>86</v>
      </c>
      <c r="C2586" s="38" t="n">
        <f aca="false">Sens!$S$2586</f>
        <v>26.578941154416</v>
      </c>
      <c r="D2586" s="38" t="n">
        <f aca="false">Sens!$T$2586</f>
        <v>94.4165581367978</v>
      </c>
      <c r="G2586" s="38" t="n">
        <f aca="false">Sens!$U$2586</f>
        <v>236.826599034204</v>
      </c>
      <c r="H2586" s="38" t="n">
        <f aca="false">Sens!$V$2586</f>
        <v>405.352046470255</v>
      </c>
      <c r="I2586" s="38" t="n">
        <f aca="false">Sens!$W$2586</f>
        <v>548.02627304894</v>
      </c>
      <c r="J2586" s="38" t="n">
        <f aca="false">Sens!$X$2586</f>
        <v>667.201623959208</v>
      </c>
      <c r="K2586" s="38" t="n">
        <f aca="false">Sens!$Y$2586</f>
        <v>702.306896264125</v>
      </c>
      <c r="L2586" s="38" t="n">
        <f aca="false">Sens!$Z$2586</f>
        <v>693.490541571405</v>
      </c>
      <c r="M2586" s="38" t="n">
        <f aca="false">Sens!$AA$2586</f>
        <v>673.009886375674</v>
      </c>
      <c r="R2586" s="38" t="n">
        <f aca="false">SUM(Sens!$R$2573:$R$2573)-SUM(Sens!$R$2585:$R$2585)</f>
        <v>1.50429979529945</v>
      </c>
      <c r="S2586" s="38" t="n">
        <f aca="false">SUM(Sens!$R$2573:$S$2573)-SUM(Sens!$R$2585:$S$2585)</f>
        <v>26.578941154416</v>
      </c>
      <c r="T2586" s="38" t="n">
        <f aca="false">SUM(Sens!$R$2573:$T$2573)-SUM(Sens!$R$2585:$T$2585)</f>
        <v>94.4165581367978</v>
      </c>
      <c r="U2586" s="38" t="n">
        <f aca="false">SUM(Sens!$R$2573:$U$2573)-SUM(Sens!$R$2585:$U$2585)</f>
        <v>236.826599034204</v>
      </c>
      <c r="V2586" s="38" t="n">
        <f aca="false">SUM(Sens!$R$2573:$V$2573)-SUM(Sens!$R$2585:$V$2585)</f>
        <v>405.352046470255</v>
      </c>
      <c r="W2586" s="38" t="n">
        <f aca="false">SUM(Sens!$R$2573:$W$2573)-SUM(Sens!$R$2585:$W$2585)</f>
        <v>548.02627304894</v>
      </c>
      <c r="X2586" s="38" t="n">
        <f aca="false">SUM(Sens!$R$2573:$X$2573)-SUM(Sens!$R$2585:$X$2585)</f>
        <v>667.201623959208</v>
      </c>
      <c r="Y2586" s="38" t="n">
        <f aca="false">SUM(Sens!$R$2573:$Y$2573)-SUM(Sens!$R$2585:$Y$2585)</f>
        <v>702.306896264125</v>
      </c>
      <c r="Z2586" s="38" t="n">
        <f aca="false">SUM(Sens!$R$2573:$Z$2573)-SUM(Sens!$R$2585:$Z$2585)</f>
        <v>693.490541571405</v>
      </c>
      <c r="AA2586" s="38" t="n">
        <f aca="false">SUM(Sens!$R$2573:$AA$2573)-SUM(Sens!$R$2585:$AA$2585)</f>
        <v>673.009886375674</v>
      </c>
    </row>
    <row r="2587" customFormat="false" ht="17.15" hidden="false" customHeight="false" outlineLevel="0" collapsed="false">
      <c r="A2587" s="1" t="s">
        <v>652</v>
      </c>
    </row>
    <row r="2588" customFormat="false" ht="17.15" hidden="false" customHeight="false" outlineLevel="0" collapsed="false">
      <c r="A2588" s="0" t="s">
        <v>653</v>
      </c>
      <c r="B2588" s="0" t="s">
        <v>86</v>
      </c>
      <c r="C2588" s="38" t="n">
        <f aca="false">Sens!$C$2564-ext_sh*Sens!$C$2566</f>
        <v>1.80694998843362</v>
      </c>
      <c r="D2588" s="38" t="n">
        <f aca="false">Sens!$D$2564-ext_sh*Sens!$D$2566</f>
        <v>6.77606245662607</v>
      </c>
      <c r="E2588" s="38" t="n">
        <f aca="false">Sens!$E$2564-ext_sh*Sens!$E$2566</f>
        <v>6.62548329092326</v>
      </c>
      <c r="F2588" s="38" t="n">
        <f aca="false">Sens!$F$2564-ext_sh*Sens!$F$2566</f>
        <v>11.7200577158706</v>
      </c>
      <c r="G2588" s="38" t="n">
        <f aca="false">Sens!$G$2564-ext_sh*Sens!$G$2566</f>
        <v>18.3455410067939</v>
      </c>
      <c r="H2588" s="38" t="n">
        <f aca="false">Sens!$H$2564-ext_sh*Sens!$H$2566</f>
        <v>47.5171727060453</v>
      </c>
      <c r="I2588" s="38" t="n">
        <f aca="false">Sens!$I$2564-ext_sh*Sens!$I$2566</f>
        <v>80.5539692643667</v>
      </c>
      <c r="J2588" s="38" t="n">
        <f aca="false">Sens!$J$2564-ext_sh*Sens!$J$2566</f>
        <v>113.759316834883</v>
      </c>
      <c r="K2588" s="38" t="n">
        <f aca="false">Sens!$K$2564-ext_sh*Sens!$K$2566</f>
        <v>142.084411492169</v>
      </c>
      <c r="L2588" s="38" t="n">
        <f aca="false">Sens!$L$2564-ext_sh*Sens!$L$2566</f>
        <v>160.69964615804</v>
      </c>
      <c r="M2588" s="38" t="n">
        <f aca="false">Sens!$M$2564-ext_sh*Sens!$M$2566</f>
        <v>169.577607141793</v>
      </c>
      <c r="N2588" s="38" t="n">
        <f aca="false">Sens!$N$2564-ext_sh*Sens!$N$2566</f>
        <v>2.37162185981912</v>
      </c>
      <c r="O2588" s="38" t="n">
        <f aca="false">Sens!$O$2564-ext_sh*Sens!$O$2566</f>
        <v>4.40444059680694</v>
      </c>
    </row>
    <row r="2589" customFormat="false" ht="17.15" hidden="false" customHeight="false" outlineLevel="0" collapsed="false">
      <c r="A2589" s="1" t="s">
        <v>654</v>
      </c>
      <c r="B2589" s="8" t="s">
        <v>86</v>
      </c>
      <c r="C2589" s="38" t="n">
        <f aca="false">Sens!$C$2588-ext_sh*Sens!$C$2585</f>
        <v>1.64417882953695</v>
      </c>
      <c r="D2589" s="38" t="n">
        <f aca="false">Sens!$D$2588-ext_sh*Sens!$D$2585</f>
        <v>5.39125073772939</v>
      </c>
      <c r="E2589" s="38" t="n">
        <f aca="false">Sens!$E$2588-ext_sh*Sens!$E$2585</f>
        <v>2.42691120599613</v>
      </c>
      <c r="F2589" s="38" t="n">
        <f aca="false">Sens!$F$2588-ext_sh*Sens!$F$2585</f>
        <v>7.52148563094346</v>
      </c>
      <c r="G2589" s="38" t="n">
        <f aca="false">Sens!$G$2588-ext_sh*Sens!$G$2585</f>
        <v>9.94839683693959</v>
      </c>
      <c r="H2589" s="38" t="n">
        <f aca="false">Sens!$H$2588-ext_sh*Sens!$H$2585</f>
        <v>23.4804386990861</v>
      </c>
      <c r="I2589" s="38" t="n">
        <f aca="false">Sens!$I$2588-ext_sh*Sens!$I$2585</f>
        <v>30.9761745989143</v>
      </c>
      <c r="J2589" s="38" t="n">
        <f aca="false">Sens!$J$2588-ext_sh*Sens!$J$2585</f>
        <v>41.1930070746977</v>
      </c>
      <c r="K2589" s="38" t="n">
        <f aca="false">Sens!$K$2588-ext_sh*Sens!$K$2585</f>
        <v>45.9779211159428</v>
      </c>
      <c r="L2589" s="38" t="n">
        <f aca="false">Sens!$L$2588-ext_sh*Sens!$L$2585</f>
        <v>48.0352490919424</v>
      </c>
      <c r="M2589" s="38" t="n">
        <f aca="false">Sens!$M$2588-ext_sh*Sens!$M$2585</f>
        <v>47.4082976573265</v>
      </c>
      <c r="N2589" s="38" t="n">
        <f aca="false">Sens!$N$2588-ext_sh*Sens!$N$2585</f>
        <v>1.67921600037079</v>
      </c>
      <c r="O2589" s="38" t="n">
        <f aca="false">Sens!$O$2588-ext_sh*Sens!$O$2585</f>
        <v>3.71203473735861</v>
      </c>
    </row>
    <row r="2590" customFormat="false" ht="17.15" hidden="false" customHeight="false" outlineLevel="0" collapsed="false">
      <c r="A2590" s="0" t="s">
        <v>655</v>
      </c>
      <c r="B2590" s="0" t="s">
        <v>52</v>
      </c>
      <c r="C2590" s="13" t="n">
        <f aca="false">Sens!$C$2589/Sens!$C$2564</f>
        <v>0.708390794789371</v>
      </c>
      <c r="D2590" s="13" t="n">
        <f aca="false">Sens!$D$2589/Sens!$D$2564</f>
        <v>0.619415573115729</v>
      </c>
      <c r="E2590" s="13" t="n">
        <f aca="false">Sens!$E$2589/Sens!$E$2564</f>
        <v>0.285171627189009</v>
      </c>
      <c r="F2590" s="13" t="n">
        <f aca="false">Sens!$F$2589/Sens!$F$2564</f>
        <v>0.502657732812366</v>
      </c>
      <c r="G2590" s="13" t="n">
        <f aca="false">Sens!$G$2589/Sens!$G$2564</f>
        <v>0.423808778611812</v>
      </c>
      <c r="H2590" s="13" t="n">
        <f aca="false">Sens!$H$2589/Sens!$H$2564</f>
        <v>0.390261631739809</v>
      </c>
      <c r="I2590" s="13" t="n">
        <f aca="false">Sens!$I$2589/Sens!$I$2564</f>
        <v>0.305172864264572</v>
      </c>
      <c r="J2590" s="13" t="n">
        <f aca="false">Sens!$J$2589/Sens!$J$2564</f>
        <v>0.288011814789856</v>
      </c>
      <c r="K2590" s="13" t="n">
        <f aca="false">Sens!$K$2589/Sens!$K$2564</f>
        <v>0.25765427518774</v>
      </c>
      <c r="L2590" s="13" t="n">
        <f aca="false">Sens!$L$2589/Sens!$L$2564</f>
        <v>0.238118778012374</v>
      </c>
      <c r="M2590" s="13" t="n">
        <f aca="false">Sens!$M$2589/Sens!$M$2564</f>
        <v>0.222746255757109</v>
      </c>
      <c r="N2590" s="13" t="n">
        <f aca="false">Sens!$N$2589/Sens!$N$2564</f>
        <v>0.551227795793364</v>
      </c>
      <c r="O2590" s="13" t="n">
        <f aca="false">Sens!$O$2589/Sens!$O$2564</f>
        <v>0.656132068597002</v>
      </c>
    </row>
    <row r="2591" customFormat="false" ht="17.15" hidden="false" customHeight="false" outlineLevel="0" collapsed="false">
      <c r="A2591" s="5" t="s">
        <v>656</v>
      </c>
      <c r="B2591" s="0" t="s">
        <v>86</v>
      </c>
      <c r="C2591" s="39" t="n">
        <v>0</v>
      </c>
      <c r="D2591" s="39" t="n">
        <v>0</v>
      </c>
      <c r="E2591" s="39" t="n">
        <v>0</v>
      </c>
      <c r="F2591" s="38" t="n">
        <f aca="false">IF(1=2,1,0)*(1-ext_sh)/ext_sh*(mw_open*he_open+Sens!$F$2562*Sens!$F$2559)*Sens!$F$2548/1000</f>
        <v>0</v>
      </c>
      <c r="G2591" s="38" t="n">
        <f aca="false">Sens!$E$2591+Sens!$F$2591</f>
        <v>0</v>
      </c>
      <c r="H2591" s="38" t="n">
        <f aca="false">IF(1=2,1,0)*(1-ext_sh)/ext_sh*(mw_open*he_open+Sens!$H$2562*Sens!$H$2559)*Sens!$H$2548/1000</f>
        <v>0</v>
      </c>
      <c r="I2591" s="38" t="n">
        <f aca="false">IF(1=2,1,0)*(1-ext_sh)/ext_sh*(mw_open*he_open+Sens!$I$2562*Sens!$I$2559)*Sens!$I$2548/1000</f>
        <v>0</v>
      </c>
      <c r="J2591" s="38" t="n">
        <f aca="false">IF(1=2,1,0)*(1-ext_sh)/ext_sh*(mw_open*he_open+Sens!$J$2562*Sens!$J$2559)*Sens!$J$2548/1000</f>
        <v>0</v>
      </c>
      <c r="K2591" s="38" t="n">
        <f aca="false">IF(1=2,1,0)*(1-ext_sh)/ext_sh*(mw_open*he_open+Sens!$K$2562*Sens!$K$2559)*Sens!$K$2548/1000</f>
        <v>0</v>
      </c>
      <c r="L2591" s="38" t="n">
        <f aca="false">IF(1=2,1,0)*(1-ext_sh)/ext_sh*(mw_open*he_open+Sens!$L$2562*Sens!$L$2559)*Sens!$L$2548/1000</f>
        <v>0</v>
      </c>
      <c r="M2591" s="38" t="n">
        <f aca="false">IF(1=2,1,0)*(1-ext_sh)/ext_sh*(mw_open*he_open+Sens!$M$2562*Sens!$M$2559)*Sens!$M$2548/1000</f>
        <v>0</v>
      </c>
      <c r="N2591" s="39" t="n">
        <v>0</v>
      </c>
      <c r="O2591" s="39" t="n">
        <v>0</v>
      </c>
      <c r="P2591" s="8" t="s">
        <v>657</v>
      </c>
    </row>
    <row r="2592" customFormat="false" ht="17.15" hidden="false" customHeight="false" outlineLevel="0" collapsed="false">
      <c r="A2592" s="5" t="s">
        <v>658</v>
      </c>
      <c r="B2592" s="0" t="s">
        <v>86</v>
      </c>
      <c r="C2592" s="38" t="n">
        <f aca="false">(1-ext_sh)*(Sens!$C$2566+Sens!$C$2585)</f>
        <v>0.169206631859174</v>
      </c>
      <c r="D2592" s="38" t="n">
        <f aca="false">(1-ext_sh)*(Sens!$D$2566+Sens!$D$2585)</f>
        <v>0.828129837730442</v>
      </c>
      <c r="E2592" s="38" t="n">
        <f aca="false">(1-ext_sh)*(Sens!$E$2566+Sens!$E$2585)</f>
        <v>1.52086044239347</v>
      </c>
      <c r="F2592" s="38" t="n">
        <f aca="false">(1-ext_sh)*(Sens!$F$2566+Sens!$F$2585)</f>
        <v>1.86048700344425</v>
      </c>
      <c r="G2592" s="38" t="n">
        <f aca="false">(1-ext_sh)*(Sens!$G$2566+Sens!$G$2585)</f>
        <v>3.38134744583772</v>
      </c>
      <c r="H2592" s="38" t="n">
        <f aca="false">(1-ext_sh)*(Sens!$H$2566+Sens!$H$2585)</f>
        <v>9.17136301267211</v>
      </c>
      <c r="I2592" s="38" t="n">
        <f aca="false">(1-ext_sh)*(Sens!$I$2566+Sens!$I$2585)</f>
        <v>17.6318811343794</v>
      </c>
      <c r="J2592" s="38" t="n">
        <f aca="false">(1-ext_sh)*(Sens!$J$2566+Sens!$J$2585)</f>
        <v>25.4581000191451</v>
      </c>
      <c r="K2592" s="38" t="n">
        <f aca="false">(1-ext_sh)*(Sens!$K$2566+Sens!$K$2585)</f>
        <v>33.1175498168092</v>
      </c>
      <c r="L2592" s="38" t="n">
        <f aca="false">(1-ext_sh)*(Sens!$L$2566+Sens!$L$2585)</f>
        <v>38.4232131776135</v>
      </c>
      <c r="M2592" s="38" t="n">
        <f aca="false">(1-ext_sh)*(Sens!$M$2566+Sens!$M$2585)</f>
        <v>41.3567859278847</v>
      </c>
      <c r="N2592" s="38" t="n">
        <f aca="false">(1-ext_sh)*(Sens!$N$2566+Sens!$N$2585)</f>
        <v>0.34177588266428</v>
      </c>
      <c r="O2592" s="38" t="n">
        <f aca="false">(1-ext_sh)*(Sens!$O$2566+Sens!$O$2585)</f>
        <v>0.486353955066162</v>
      </c>
    </row>
    <row r="2593" customFormat="false" ht="17.15" hidden="false" customHeight="false" outlineLevel="0" collapsed="false">
      <c r="A2593" s="0" t="s">
        <v>659</v>
      </c>
      <c r="B2593" s="0" t="s">
        <v>86</v>
      </c>
      <c r="C2593" s="38" t="n">
        <f aca="false">Q!$D$24</f>
        <v>39.834</v>
      </c>
      <c r="D2593" s="38" t="n">
        <f aca="false">Q!$E$24</f>
        <v>45.606</v>
      </c>
      <c r="E2593" s="38" t="n">
        <f aca="false">Q!$P$24</f>
        <v>30.782</v>
      </c>
      <c r="N2593" s="38" t="n">
        <f aca="false">Q!$N$24</f>
        <v>21.707</v>
      </c>
      <c r="O2593" s="38" t="n">
        <f aca="false">Q!$O$24</f>
        <v>23.899</v>
      </c>
    </row>
    <row r="2594" customFormat="false" ht="17.15" hidden="false" customHeight="false" outlineLevel="0" collapsed="false">
      <c r="A2594" s="0" t="s">
        <v>660</v>
      </c>
      <c r="B2594" s="0" t="s">
        <v>86</v>
      </c>
      <c r="C2594" s="38" t="n">
        <f aca="false">Sens!$C$2593-Sens!$C$2589</f>
        <v>38.1898211704631</v>
      </c>
      <c r="D2594" s="38" t="n">
        <f aca="false">Sens!$D$2593-Sens!$D$2589</f>
        <v>40.2147492622706</v>
      </c>
      <c r="E2594" s="38" t="n">
        <f aca="false">Sens!$E$2593-Sens!$E$2589</f>
        <v>28.3550887940039</v>
      </c>
      <c r="F2594" s="38" t="n">
        <f aca="false">Sens!$F$2568*Sens!$F$2595</f>
        <v>25.9529793149447</v>
      </c>
      <c r="G2594" s="38" t="n">
        <f aca="false">Sens!$E$2594+Sens!$F$2594</f>
        <v>54.3080681089486</v>
      </c>
      <c r="H2594" s="38" t="n">
        <f aca="false">Sens!$H$2568*Sens!$H$2595</f>
        <v>58.2264684589333</v>
      </c>
      <c r="I2594" s="38" t="n">
        <f aca="false">Sens!$I$2568*Sens!$I$2595</f>
        <v>64.6461353851744</v>
      </c>
      <c r="J2594" s="38" t="n">
        <f aca="false">Sens!$J$2568*Sens!$J$2595</f>
        <v>70.7957093610231</v>
      </c>
      <c r="K2594" s="38" t="n">
        <f aca="false">Sens!$K$2568*Sens!$K$2595</f>
        <v>76.4593661099049</v>
      </c>
      <c r="L2594" s="38" t="n">
        <f aca="false">Sens!$L$2568*Sens!$L$2595</f>
        <v>82.5761153986973</v>
      </c>
      <c r="M2594" s="38" t="n">
        <f aca="false">Sens!$M$2568*Sens!$M$2595</f>
        <v>89.1822046305931</v>
      </c>
      <c r="N2594" s="38" t="n">
        <f aca="false">Sens!$N$2593-Sens!$N$2589</f>
        <v>20.0277839996292</v>
      </c>
      <c r="O2594" s="38" t="n">
        <f aca="false">Sens!$O$2593-Sens!$O$2589</f>
        <v>20.1869652626414</v>
      </c>
      <c r="P2594" s="5" t="s">
        <v>661</v>
      </c>
    </row>
    <row r="2595" customFormat="false" ht="17.15" hidden="false" customHeight="false" outlineLevel="0" collapsed="false">
      <c r="A2595" s="0" t="s">
        <v>662</v>
      </c>
      <c r="B2595" s="0" t="s">
        <v>52</v>
      </c>
      <c r="C2595" s="13" t="n">
        <f aca="false">Sens!$C$2594/Sens!$C$2568</f>
        <v>0.362900395443635</v>
      </c>
      <c r="D2595" s="13" t="n">
        <f aca="false">Sens!$D$2594/Sens!$D$2568</f>
        <v>0.335063632425483</v>
      </c>
      <c r="E2595" s="13" t="n">
        <f aca="false">Sens!$E$2594/Sens!$E$2568</f>
        <v>0.397638855555478</v>
      </c>
      <c r="F2595" s="13" t="n">
        <f aca="false">(Sens!$O$2594+Sens!$E$2594)/(Sens!$O$2568+Sens!$E$2568)</f>
        <v>0.361616727338133</v>
      </c>
      <c r="G2595" s="13" t="n">
        <f aca="false">Sens!$G$2594/Sens!$G$2568</f>
        <v>0.379569803149143</v>
      </c>
      <c r="H2595" s="13" t="n">
        <f aca="false">Sens!$F$2595</f>
        <v>0.361616727338133</v>
      </c>
      <c r="I2595" s="13" t="n">
        <f aca="false">Sens!$F$2595</f>
        <v>0.361616727338133</v>
      </c>
      <c r="J2595" s="13" t="n">
        <f aca="false">Sens!$F$2595</f>
        <v>0.361616727338133</v>
      </c>
      <c r="K2595" s="13" t="n">
        <f aca="false">Sens!$F$2595</f>
        <v>0.361616727338133</v>
      </c>
      <c r="L2595" s="13" t="n">
        <f aca="false">Sens!$F$2595</f>
        <v>0.361616727338133</v>
      </c>
      <c r="M2595" s="13" t="n">
        <f aca="false">Sens!$F$2595</f>
        <v>0.361616727338133</v>
      </c>
      <c r="N2595" s="13" t="n">
        <f aca="false">Sens!$N$2594/Sens!$N$2568</f>
        <v>0.35078810535806</v>
      </c>
      <c r="O2595" s="13" t="n">
        <f aca="false">Sens!$O$2594/Sens!$O$2568</f>
        <v>0.320796939361619</v>
      </c>
      <c r="P2595" s="8" t="s">
        <v>663</v>
      </c>
    </row>
    <row r="2596" customFormat="false" ht="17.15" hidden="false" customHeight="false" outlineLevel="0" collapsed="false">
      <c r="A2596" s="0" t="s">
        <v>664</v>
      </c>
      <c r="B2596" s="0" t="s">
        <v>52</v>
      </c>
      <c r="D2596" s="13" t="n">
        <f aca="false">(Q!$E$31-ext_sh*Sens!$D$2585)/Sens!$D$2568</f>
        <v>0.167180325480118</v>
      </c>
    </row>
    <row r="2597" customFormat="false" ht="17.15" hidden="false" customHeight="false" outlineLevel="0" collapsed="false">
      <c r="A2597" s="0" t="s">
        <v>665</v>
      </c>
      <c r="B2597" s="0" t="s">
        <v>86</v>
      </c>
      <c r="C2597" s="38" t="n">
        <f aca="false">Q!$D$31</f>
        <v>13.32</v>
      </c>
      <c r="D2597" s="38" t="n">
        <f aca="false">Q!$E$31</f>
        <v>21.45</v>
      </c>
      <c r="E2597" s="38" t="n">
        <f aca="false">Q!$P$31</f>
        <v>15.353</v>
      </c>
      <c r="F2597" s="38" t="n">
        <f aca="false">ext_sh*Sens!$F$2585+Sens!$D$2596*Sens!$F$2568</f>
        <v>16.1969869840094</v>
      </c>
      <c r="G2597" s="38" t="n">
        <f aca="false">Sens!$E$2597+Sens!$F$2597</f>
        <v>31.5499869840094</v>
      </c>
      <c r="H2597" s="38" t="n">
        <f aca="false">ext_sh*Sens!$H$2585+Sens!$D$2596*Sens!$H$2568</f>
        <v>50.9556213609176</v>
      </c>
      <c r="I2597" s="38" t="n">
        <f aca="false">ext_sh*Sens!$I$2585+Sens!$D$2596*Sens!$I$2568</f>
        <v>79.464581248252</v>
      </c>
      <c r="J2597" s="38" t="n">
        <f aca="false">ext_sh*Sens!$J$2585+Sens!$D$2596*Sens!$J$2568</f>
        <v>105.296127931746</v>
      </c>
      <c r="K2597" s="38" t="n">
        <f aca="false">ext_sh*Sens!$K$2585+Sens!$D$2596*Sens!$K$2568</f>
        <v>131.454694001511</v>
      </c>
      <c r="L2597" s="38" t="n">
        <f aca="false">ext_sh*Sens!$L$2585+Sens!$D$2596*Sens!$L$2568</f>
        <v>150.840456981405</v>
      </c>
      <c r="M2597" s="38" t="n">
        <f aca="false">ext_sh*Sens!$M$2585+Sens!$D$2596*Sens!$M$2568</f>
        <v>163.399454192999</v>
      </c>
      <c r="N2597" s="38" t="n">
        <f aca="false">Q!$N$31</f>
        <v>9.234</v>
      </c>
      <c r="O2597" s="38" t="n">
        <f aca="false">Q!$O$31</f>
        <v>12.216</v>
      </c>
    </row>
    <row r="2598" customFormat="false" ht="17.15" hidden="false" customHeight="false" outlineLevel="0" collapsed="false">
      <c r="A2598" s="1" t="s">
        <v>666</v>
      </c>
    </row>
    <row r="2599" customFormat="false" ht="17.15" hidden="false" customHeight="false" outlineLevel="0" collapsed="false">
      <c r="A2599" s="15" t="s">
        <v>667</v>
      </c>
      <c r="B2599" s="14" t="s">
        <v>52</v>
      </c>
      <c r="C2599" s="14"/>
      <c r="D2599" s="14"/>
      <c r="E2599" s="14"/>
      <c r="F2599" s="14"/>
      <c r="G2599" s="17" t="n">
        <f aca="false">Sens!$G$2589*(1-tax)/(ext_sh*(Sens!$D$2586+Sens!$G$2586)/2)</f>
        <v>0.0620504069546486</v>
      </c>
      <c r="H2599" s="17" t="n">
        <f aca="false">Sens!$H$2589*(1-tax)/(ext_sh*(Sens!$G$2586+Sens!$H$2586)/2)</f>
        <v>0.0755420551527686</v>
      </c>
      <c r="I2599" s="17" t="n">
        <f aca="false">Sens!$I$2589*(1-tax)/(ext_sh*(Sens!$H$2586+Sens!$I$2586)/2)</f>
        <v>0.067127575356291</v>
      </c>
      <c r="J2599" s="17" t="n">
        <f aca="false">Sens!$J$2589*(1-tax)/(ext_sh*(Sens!$I$2586+Sens!$J$2586)/2)</f>
        <v>0.0700332392906535</v>
      </c>
      <c r="K2599" s="17" t="n">
        <f aca="false">Sens!$K$2589*(1-tax)/(ext_sh*(Sens!$J$2586+Sens!$K$2586)/2)</f>
        <v>0.0693622290093833</v>
      </c>
      <c r="L2599" s="17" t="n">
        <f aca="false">Sens!$L$2589*(1-tax)/(ext_sh*(Sens!$K$2586+Sens!$L$2586)/2)</f>
        <v>0.0711010638813626</v>
      </c>
      <c r="M2599" s="17" t="n">
        <f aca="false">Sens!$M$2589*(1-tax)/(ext_sh*(Sens!$L$2586+Sens!$M$2586)/2)</f>
        <v>0.071677531066401</v>
      </c>
      <c r="N2599" s="14"/>
      <c r="O2599" s="14"/>
      <c r="P2599" s="8" t="s">
        <v>668</v>
      </c>
    </row>
    <row r="2600" customFormat="false" ht="17.15" hidden="false" customHeight="false" outlineLevel="0" collapsed="false">
      <c r="A2600" s="5" t="s">
        <v>669</v>
      </c>
      <c r="B2600" s="0" t="s">
        <v>57</v>
      </c>
      <c r="H2600" s="36" t="n">
        <f aca="false">Sens!$H$2564*1000/(mw_open*he_open+Sens!$H$2562*Sens!$H$2559)</f>
        <v>0.991949006767191</v>
      </c>
      <c r="I2600" s="36" t="n">
        <f aca="false">Sens!$I$2564*1000/(mw_open*he_open+Sens!$I$2562*Sens!$I$2559)</f>
        <v>0.991949006767191</v>
      </c>
      <c r="J2600" s="36" t="n">
        <f aca="false">Sens!$J$2564*1000/(mw_open*he_open+Sens!$J$2562*Sens!$J$2559)</f>
        <v>0.991949006767191</v>
      </c>
      <c r="K2600" s="36" t="n">
        <f aca="false">Sens!$K$2564*1000/(mw_open*he_open+Sens!$K$2562*Sens!$K$2559)</f>
        <v>0.991949006767191</v>
      </c>
      <c r="L2600" s="36" t="n">
        <f aca="false">Sens!$L$2564*1000/(mw_open*he_open+Sens!$L$2562*Sens!$L$2559)</f>
        <v>0.991949006767191</v>
      </c>
      <c r="M2600" s="36" t="n">
        <f aca="false">Sens!$M$2564*1000/(mw_open*he_open+Sens!$M$2562*Sens!$M$2559)</f>
        <v>0.991949006767191</v>
      </c>
    </row>
    <row r="2601" customFormat="false" ht="17.15" hidden="false" customHeight="false" outlineLevel="0" collapsed="false">
      <c r="A2601" s="5" t="s">
        <v>670</v>
      </c>
      <c r="B2601" s="0" t="s">
        <v>57</v>
      </c>
      <c r="H2601" s="36" t="n">
        <f aca="false">Sens!$H$2600*(Sens!$H$2564+wacc*ext_sh*(Sens!$G$2586+Sens!$H$2586)/2/(1-tax)-Sens!$H$2589)/Sens!$H$2564</f>
        <v>1.18542857552197</v>
      </c>
      <c r="I2601" s="36" t="n">
        <f aca="false">Sens!$I$2600*(Sens!$I$2564+wacc*ext_sh*(Sens!$H$2586+Sens!$I$2586)/2/(1-tax)-Sens!$I$2589)/Sens!$I$2564</f>
        <v>1.20015476648903</v>
      </c>
      <c r="J2601" s="36" t="n">
        <f aca="false">Sens!$J$2600*(Sens!$J$2564+wacc*ext_sh*(Sens!$I$2586+Sens!$J$2586)/2/(1-tax)-Sens!$J$2589)/Sens!$J$2564</f>
        <v>1.16844056931249</v>
      </c>
      <c r="K2601" s="36" t="n">
        <f aca="false">Sens!$K$2600*(Sens!$K$2564+wacc*ext_sh*(Sens!$J$2586+Sens!$K$2586)/2/(1-tax)-Sens!$K$2589)/Sens!$K$2564</f>
        <v>1.15383758356873</v>
      </c>
      <c r="L2601" s="36" t="n">
        <f aca="false">Sens!$L$2600*(Sens!$L$2564+wacc*ext_sh*(Sens!$K$2586+Sens!$L$2586)/2/(1-tax)-Sens!$L$2589)/Sens!$L$2564</f>
        <v>1.13212765595665</v>
      </c>
      <c r="M2601" s="36" t="n">
        <f aca="false">Sens!$M$2600*(Sens!$M$2564+wacc*ext_sh*(Sens!$L$2586+Sens!$M$2586)/2/(1-tax)-Sens!$M$2589)/Sens!$M$2564</f>
        <v>1.12024635139935</v>
      </c>
    </row>
    <row r="2602" customFormat="false" ht="17.15" hidden="false" customHeight="false" outlineLevel="0" collapsed="false">
      <c r="A2602" s="5" t="s">
        <v>671</v>
      </c>
      <c r="B2602" s="0" t="s">
        <v>52</v>
      </c>
      <c r="C2602" s="13" t="n">
        <f aca="false">Sens!$C$2565/tk_pq</f>
        <v>0.195316432429398</v>
      </c>
      <c r="D2602" s="13" t="n">
        <f aca="false">Sens!$D$2565/tk_pq</f>
        <v>0.195316432429398</v>
      </c>
      <c r="E2602" s="13" t="n">
        <f aca="false">Sens!$E$2565/tk_pq</f>
        <v>0.195316432429398</v>
      </c>
      <c r="F2602" s="13" t="n">
        <f aca="false">Sens!$F$2565/tk_pq</f>
        <v>0.202241827274866</v>
      </c>
      <c r="G2602" s="13" t="n">
        <f aca="false">Sens!$G$2565/tk_pq</f>
        <v>0.199675016194063</v>
      </c>
      <c r="H2602" s="13" t="n">
        <f aca="false">Sens!$H$2565/tk_pq</f>
        <v>0.212647947710325</v>
      </c>
      <c r="I2602" s="13" t="n">
        <f aca="false">Sens!$I$2565/tk_pq</f>
        <v>0.219285125475351</v>
      </c>
      <c r="J2602" s="13" t="n">
        <f aca="false">Sens!$J$2565/tk_pq</f>
        <v>0.222492493217189</v>
      </c>
      <c r="K2602" s="13" t="n">
        <f aca="false">Sens!$K$2565/tk_pq</f>
        <v>0.224053502812094</v>
      </c>
      <c r="L2602" s="13" t="n">
        <f aca="false">Sens!$L$2565/tk_pq</f>
        <v>0.224786916785614</v>
      </c>
      <c r="M2602" s="13" t="n">
        <f aca="false">Sens!$M$2565/tk_pq</f>
        <v>0.225048671566937</v>
      </c>
      <c r="N2602" s="13" t="n">
        <f aca="false">Sens!$N$2565/tk_pq</f>
        <v>0.195316432429398</v>
      </c>
      <c r="O2602" s="13" t="n">
        <f aca="false">Sens!$O$2565/tk_pq</f>
        <v>0.195316432429398</v>
      </c>
      <c r="P2602" s="5" t="s">
        <v>672</v>
      </c>
    </row>
    <row r="2605" customFormat="false" ht="17.15" hidden="false" customHeight="false" outlineLevel="0" collapsed="false">
      <c r="A2605" s="1" t="s">
        <v>701</v>
      </c>
    </row>
    <row r="2606" customFormat="false" ht="17.15" hidden="false" customHeight="false" outlineLevel="0" collapsed="false">
      <c r="A2606" s="0" t="s">
        <v>702</v>
      </c>
      <c r="B2606" s="0" t="s">
        <v>86</v>
      </c>
      <c r="C2606" s="38" t="n">
        <f aca="false">Sens!$C$2564</f>
        <v>2.32100535697364</v>
      </c>
      <c r="D2606" s="38" t="n">
        <f aca="false">Sens!$D$2564</f>
        <v>8.70377008865116</v>
      </c>
      <c r="E2606" s="38" t="n">
        <f aca="false">Sens!$E$2564</f>
        <v>8.51035297557002</v>
      </c>
      <c r="F2606" s="38" t="n">
        <f aca="false">Sens!$F$2564</f>
        <v>14.9634336447205</v>
      </c>
      <c r="G2606" s="38" t="n">
        <f aca="false">Sens!$G$2564</f>
        <v>23.4737866202905</v>
      </c>
      <c r="H2606" s="38" t="n">
        <f aca="false">Sens!$H$2564</f>
        <v>60.1658907497746</v>
      </c>
      <c r="I2606" s="38" t="n">
        <f aca="false">Sens!$I$2564</f>
        <v>101.503699136432</v>
      </c>
      <c r="J2606" s="38" t="n">
        <f aca="false">Sens!$J$2564</f>
        <v>143.025407151278</v>
      </c>
      <c r="K2606" s="38" t="n">
        <f aca="false">Sens!$K$2564</f>
        <v>178.44812038318</v>
      </c>
      <c r="L2606" s="38" t="n">
        <f aca="false">Sens!$L$2564</f>
        <v>201.728101802396</v>
      </c>
      <c r="M2606" s="38" t="n">
        <f aca="false">Sens!$M$2564</f>
        <v>212.835441368865</v>
      </c>
      <c r="N2606" s="38" t="n">
        <f aca="false">Sens!$N$2564</f>
        <v>3.04631953102791</v>
      </c>
      <c r="O2606" s="38" t="n">
        <f aca="false">Sens!$O$2564</f>
        <v>5.65745055762326</v>
      </c>
      <c r="P2606" s="8" t="s">
        <v>703</v>
      </c>
    </row>
    <row r="2607" customFormat="false" ht="17.15" hidden="false" customHeight="false" outlineLevel="0" collapsed="false">
      <c r="A2607" s="0" t="s">
        <v>704</v>
      </c>
      <c r="B2607" s="0" t="s">
        <v>86</v>
      </c>
      <c r="C2607" s="38" t="n">
        <f aca="false">Sens!$C$2568</f>
        <v>105.234994643026</v>
      </c>
      <c r="D2607" s="38" t="n">
        <f aca="false">Sens!$D$2568</f>
        <v>120.021229911349</v>
      </c>
      <c r="E2607" s="38" t="n">
        <f aca="false">Sens!$E$2568</f>
        <v>71.30864702443</v>
      </c>
      <c r="F2607" s="38" t="n">
        <f aca="false">Sens!$F$2568</f>
        <v>71.7692997942464</v>
      </c>
      <c r="G2607" s="38" t="n">
        <f aca="false">Sens!$G$2568</f>
        <v>143.077946818676</v>
      </c>
      <c r="H2607" s="38" t="n">
        <f aca="false">Sens!$H$2568</f>
        <v>161.017077079203</v>
      </c>
      <c r="I2607" s="38" t="n">
        <f aca="false">Sens!$I$2568</f>
        <v>178.769759521457</v>
      </c>
      <c r="J2607" s="38" t="n">
        <f aca="false">Sens!$J$2568</f>
        <v>195.775538045907</v>
      </c>
      <c r="K2607" s="38" t="n">
        <f aca="false">Sens!$K$2568</f>
        <v>211.43758108958</v>
      </c>
      <c r="L2607" s="38" t="n">
        <f aca="false">Sens!$L$2568</f>
        <v>228.352587576746</v>
      </c>
      <c r="M2607" s="38" t="n">
        <f aca="false">Sens!$M$2568</f>
        <v>246.620794582886</v>
      </c>
      <c r="N2607" s="38" t="n">
        <f aca="false">Sens!$N$2568</f>
        <v>57.0936804689721</v>
      </c>
      <c r="O2607" s="38" t="n">
        <f aca="false">Sens!$O$2568</f>
        <v>62.9275494423768</v>
      </c>
      <c r="P2607" s="8" t="s">
        <v>703</v>
      </c>
    </row>
    <row r="2608" customFormat="false" ht="17.15" hidden="false" customHeight="false" outlineLevel="0" collapsed="false">
      <c r="A2608" s="1" t="s">
        <v>523</v>
      </c>
      <c r="B2608" s="8" t="s">
        <v>86</v>
      </c>
      <c r="C2608" s="38" t="n">
        <f aca="false">Q!$D$7</f>
        <v>107.556</v>
      </c>
      <c r="D2608" s="38" t="n">
        <f aca="false">Q!$E$7</f>
        <v>128.725</v>
      </c>
      <c r="E2608" s="38" t="n">
        <f aca="false">Q!$P$7</f>
        <v>79.819</v>
      </c>
      <c r="F2608" s="38" t="n">
        <f aca="false">Sens!$F$2606+Sens!$F$2607</f>
        <v>86.7327334389669</v>
      </c>
      <c r="G2608" s="38" t="n">
        <f aca="false">Sens!$G$2606+Sens!$G$2607</f>
        <v>166.551733438967</v>
      </c>
      <c r="H2608" s="38" t="n">
        <f aca="false">Sens!$H$2606+Sens!$H$2607</f>
        <v>221.182967828978</v>
      </c>
      <c r="I2608" s="38" t="n">
        <f aca="false">Sens!$I$2606+Sens!$I$2607</f>
        <v>280.27345865789</v>
      </c>
      <c r="J2608" s="38" t="n">
        <f aca="false">Sens!$J$2606+Sens!$J$2607</f>
        <v>338.800945197185</v>
      </c>
      <c r="K2608" s="38" t="n">
        <f aca="false">Sens!$K$2606+Sens!$K$2607</f>
        <v>389.88570147276</v>
      </c>
      <c r="L2608" s="38" t="n">
        <f aca="false">Sens!$L$2606+Sens!$L$2607</f>
        <v>430.080689379143</v>
      </c>
      <c r="M2608" s="38" t="n">
        <f aca="false">Sens!$M$2606+Sens!$M$2607</f>
        <v>459.456235951751</v>
      </c>
      <c r="N2608" s="38" t="n">
        <f aca="false">Q!$N$7</f>
        <v>60.14</v>
      </c>
      <c r="O2608" s="38" t="n">
        <f aca="false">Q!$O$7</f>
        <v>68.585</v>
      </c>
      <c r="P2608" s="5" t="s">
        <v>705</v>
      </c>
    </row>
    <row r="2609" customFormat="false" ht="15" hidden="false" customHeight="false" outlineLevel="0" collapsed="false">
      <c r="A2609" s="3" t="s">
        <v>706</v>
      </c>
      <c r="B2609" s="8" t="s">
        <v>86</v>
      </c>
      <c r="C2609" s="38" t="n">
        <f aca="false">Q!$D$8</f>
        <v>637.959</v>
      </c>
      <c r="D2609" s="38" t="n">
        <f aca="false">Q!$E$8</f>
        <v>716.924</v>
      </c>
      <c r="E2609" s="38" t="n">
        <f aca="false">Q!$P$8</f>
        <v>382.125</v>
      </c>
      <c r="F2609" s="38" t="n">
        <f aca="false">Sens!$F$2536+Sens!$F$2608</f>
        <v>435.780975084504</v>
      </c>
      <c r="G2609" s="38" t="n">
        <f aca="false">Sens!$G$2536+Sens!$G$2608</f>
        <v>817.905975084504</v>
      </c>
      <c r="H2609" s="38" t="n">
        <f aca="false">Sens!$H$2536+Sens!$H$2608</f>
        <v>942.279857350364</v>
      </c>
      <c r="I2609" s="38" t="n">
        <f aca="false">Sens!$I$2536+Sens!$I$2608</f>
        <v>1068.80284981042</v>
      </c>
      <c r="J2609" s="38" t="n">
        <f aca="false">Sens!$J$2536+Sens!$J$2608</f>
        <v>1189.90935093863</v>
      </c>
      <c r="K2609" s="38" t="n">
        <f aca="false">Sens!$K$2536+Sens!$K$2608</f>
        <v>1296.06215690385</v>
      </c>
      <c r="L2609" s="38" t="n">
        <f aca="false">Sens!$L$2536+Sens!$L$2608</f>
        <v>1395.17379585473</v>
      </c>
      <c r="M2609" s="38" t="n">
        <f aca="false">Sens!$M$2536+Sens!$M$2608</f>
        <v>1487.60414389864</v>
      </c>
      <c r="N2609" s="38" t="n">
        <f aca="false">Q!$N$8</f>
        <v>323.369</v>
      </c>
      <c r="O2609" s="38" t="n">
        <f aca="false">Q!$O$8</f>
        <v>393.555</v>
      </c>
    </row>
    <row r="2610" customFormat="false" ht="17.15" hidden="false" customHeight="false" outlineLevel="0" collapsed="false">
      <c r="A2610" s="24" t="s">
        <v>714</v>
      </c>
      <c r="B2610" s="25" t="s">
        <v>86</v>
      </c>
      <c r="C2610" s="41" t="n">
        <f aca="false">Sens!$C$2536-(Sens!$C$2538+Sens!$C$2539)</f>
        <v>0</v>
      </c>
      <c r="D2610" s="41" t="n">
        <f aca="false">Sens!$D$2536-(Sens!$D$2538+Sens!$D$2539)</f>
        <v>0</v>
      </c>
      <c r="E2610" s="41" t="n">
        <f aca="false">Sens!$E$2536-(Sens!$E$2538+Sens!$E$2539)</f>
        <v>0</v>
      </c>
      <c r="F2610" s="41" t="n">
        <f aca="false">Sens!$F$2536-(Sens!$F$2538+Sens!$F$2539)</f>
        <v>0</v>
      </c>
      <c r="G2610" s="41" t="n">
        <f aca="false">Sens!$G$2536-(Sens!$G$2538+Sens!$G$2539)</f>
        <v>0</v>
      </c>
      <c r="H2610" s="41" t="n">
        <f aca="false">Sens!$H$2536-(Sens!$H$2538+Sens!$H$2539)</f>
        <v>0</v>
      </c>
      <c r="I2610" s="41" t="n">
        <f aca="false">Sens!$I$2536-(Sens!$I$2538+Sens!$I$2539)</f>
        <v>0</v>
      </c>
      <c r="J2610" s="41" t="n">
        <f aca="false">Sens!$J$2536-(Sens!$J$2538+Sens!$J$2539)</f>
        <v>0</v>
      </c>
      <c r="K2610" s="41" t="n">
        <f aca="false">Sens!$K$2536-(Sens!$K$2538+Sens!$K$2539)</f>
        <v>0</v>
      </c>
      <c r="L2610" s="41" t="n">
        <f aca="false">Sens!$L$2536-(Sens!$L$2538+Sens!$L$2539)</f>
        <v>0</v>
      </c>
      <c r="M2610" s="41" t="n">
        <f aca="false">Sens!$M$2536-(Sens!$M$2538+Sens!$M$2539)</f>
        <v>0</v>
      </c>
      <c r="N2610" s="41" t="n">
        <f aca="false">Sens!$N$2536-(Sens!$N$2538+Sens!$N$2539)</f>
        <v>0</v>
      </c>
      <c r="O2610" s="41" t="n">
        <f aca="false">Sens!$O$2536-(Sens!$O$2538+Sens!$O$2539)</f>
        <v>0</v>
      </c>
    </row>
    <row r="2611" customFormat="false" ht="17.15" hidden="false" customHeight="false" outlineLevel="0" collapsed="false">
      <c r="A2611" s="24" t="s">
        <v>715</v>
      </c>
      <c r="B2611" s="25" t="s">
        <v>86</v>
      </c>
      <c r="C2611" s="41" t="n">
        <f aca="false">Sens!$C$2606+Sens!$C$2607-Sens!$C$2608</f>
        <v>0</v>
      </c>
      <c r="D2611" s="41" t="n">
        <f aca="false">Sens!$D$2606+Sens!$D$2607-Sens!$D$2608</f>
        <v>0</v>
      </c>
      <c r="E2611" s="41" t="n">
        <f aca="false">Sens!$E$2606+Sens!$E$2607-Sens!$E$2608</f>
        <v>0</v>
      </c>
      <c r="F2611" s="41" t="n">
        <f aca="false">Sens!$F$2606+Sens!$F$2607-Sens!$F$2608</f>
        <v>0</v>
      </c>
      <c r="G2611" s="41" t="n">
        <f aca="false">Sens!$G$2606+Sens!$G$2607-Sens!$G$2608</f>
        <v>0</v>
      </c>
      <c r="H2611" s="41" t="n">
        <f aca="false">Sens!$H$2606+Sens!$H$2607-Sens!$H$2608</f>
        <v>0</v>
      </c>
      <c r="I2611" s="41" t="n">
        <f aca="false">Sens!$I$2606+Sens!$I$2607-Sens!$I$2608</f>
        <v>0</v>
      </c>
      <c r="J2611" s="41" t="n">
        <f aca="false">Sens!$J$2606+Sens!$J$2607-Sens!$J$2608</f>
        <v>0</v>
      </c>
      <c r="K2611" s="41" t="n">
        <f aca="false">Sens!$K$2606+Sens!$K$2607-Sens!$K$2608</f>
        <v>0</v>
      </c>
      <c r="L2611" s="41" t="n">
        <f aca="false">Sens!$L$2606+Sens!$L$2607-Sens!$L$2608</f>
        <v>0</v>
      </c>
      <c r="M2611" s="41" t="n">
        <f aca="false">Sens!$M$2606+Sens!$M$2607-Sens!$M$2608</f>
        <v>0</v>
      </c>
      <c r="N2611" s="41" t="n">
        <f aca="false">Sens!$N$2606+Sens!$N$2607-Sens!$N$2608</f>
        <v>0</v>
      </c>
      <c r="O2611" s="41" t="n">
        <f aca="false">Sens!$O$2606+Sens!$O$2607-Sens!$O$2608</f>
        <v>0</v>
      </c>
    </row>
    <row r="2612" customFormat="false" ht="17.15" hidden="false" customHeight="false" outlineLevel="0" collapsed="false">
      <c r="A2612" s="24" t="s">
        <v>716</v>
      </c>
      <c r="B2612" s="25" t="s">
        <v>86</v>
      </c>
      <c r="C2612" s="41" t="n">
        <f aca="false">Sens!$C$2538+Sens!$C$2539+Sens!$C$2608-Sens!$C$2609</f>
        <v>0</v>
      </c>
      <c r="D2612" s="41" t="n">
        <f aca="false">Sens!$D$2538+Sens!$D$2539+Sens!$D$2608-Sens!$D$2609</f>
        <v>0</v>
      </c>
      <c r="E2612" s="41" t="n">
        <f aca="false">Sens!$E$2538+Sens!$E$2539+Sens!$E$2608-Sens!$E$2609</f>
        <v>0</v>
      </c>
      <c r="F2612" s="41" t="n">
        <f aca="false">Sens!$F$2538+Sens!$F$2539+Sens!$F$2608-Sens!$F$2609</f>
        <v>0</v>
      </c>
      <c r="G2612" s="41" t="n">
        <f aca="false">Sens!$G$2538+Sens!$G$2539+Sens!$G$2608-Sens!$G$2609</f>
        <v>0</v>
      </c>
      <c r="H2612" s="41" t="n">
        <f aca="false">Sens!$H$2538+Sens!$H$2539+Sens!$H$2608-Sens!$H$2609</f>
        <v>0</v>
      </c>
      <c r="I2612" s="41" t="n">
        <f aca="false">Sens!$I$2538+Sens!$I$2539+Sens!$I$2608-Sens!$I$2609</f>
        <v>0</v>
      </c>
      <c r="J2612" s="41" t="n">
        <f aca="false">Sens!$J$2538+Sens!$J$2539+Sens!$J$2608-Sens!$J$2609</f>
        <v>0</v>
      </c>
      <c r="K2612" s="41" t="n">
        <f aca="false">Sens!$K$2538+Sens!$K$2539+Sens!$K$2608-Sens!$K$2609</f>
        <v>0</v>
      </c>
      <c r="L2612" s="41" t="n">
        <f aca="false">Sens!$L$2538+Sens!$L$2539+Sens!$L$2608-Sens!$L$2609</f>
        <v>0</v>
      </c>
      <c r="M2612" s="41" t="n">
        <f aca="false">Sens!$M$2538+Sens!$M$2539+Sens!$M$2608-Sens!$M$2609</f>
        <v>0</v>
      </c>
      <c r="N2612" s="41" t="n">
        <f aca="false">Sens!$N$2538+Sens!$N$2539+Sens!$N$2608-Sens!$N$2609</f>
        <v>0</v>
      </c>
      <c r="O2612" s="41" t="n">
        <f aca="false">Sens!$O$2538+Sens!$O$2539+Sens!$O$2608-Sens!$O$2609</f>
        <v>0</v>
      </c>
    </row>
    <row r="2613" customFormat="false" ht="15" hidden="false" customHeight="false" outlineLevel="0" collapsed="false">
      <c r="A2613" s="5" t="s">
        <v>710</v>
      </c>
      <c r="B2613" s="0" t="s">
        <v>52</v>
      </c>
      <c r="G2613" s="13" t="n">
        <f aca="false">Sens!$G$2609/Sens!$D$2609-1</f>
        <v>0.140854504918937</v>
      </c>
      <c r="H2613" s="13" t="n">
        <f aca="false">Sens!$H$2609/Sens!$G$2609-1</f>
        <v>0.152063789793209</v>
      </c>
      <c r="I2613" s="13" t="n">
        <f aca="false">Sens!$I$2609/Sens!$H$2609-1</f>
        <v>0.134273264437417</v>
      </c>
      <c r="J2613" s="13" t="n">
        <f aca="false">Sens!$J$2609/Sens!$I$2609-1</f>
        <v>0.113310421234083</v>
      </c>
      <c r="K2613" s="13" t="n">
        <f aca="false">Sens!$K$2609/Sens!$J$2609-1</f>
        <v>0.0892108343223652</v>
      </c>
      <c r="L2613" s="13" t="n">
        <f aca="false">Sens!$L$2609/Sens!$K$2609-1</f>
        <v>0.076471362444261</v>
      </c>
      <c r="M2613" s="13" t="n">
        <f aca="false">Sens!$M$2609/Sens!$L$2609-1</f>
        <v>0.066250060256672</v>
      </c>
    </row>
    <row r="2614" customFormat="false" ht="17.15" hidden="false" customHeight="false" outlineLevel="0" collapsed="false">
      <c r="A2614" s="0" t="s">
        <v>711</v>
      </c>
      <c r="B2614" s="0" t="s">
        <v>52</v>
      </c>
      <c r="C2614" s="13" t="n">
        <f aca="false">Sens!$C$2608/Sens!$C$2609</f>
        <v>0.168593906504964</v>
      </c>
      <c r="D2614" s="13" t="n">
        <f aca="false">Sens!$D$2608/Sens!$D$2609</f>
        <v>0.179551807444025</v>
      </c>
      <c r="E2614" s="13" t="n">
        <f aca="false">Sens!$E$2608/Sens!$E$2609</f>
        <v>0.208881910369643</v>
      </c>
      <c r="F2614" s="13" t="n">
        <f aca="false">Sens!$F$2608/Sens!$F$2609</f>
        <v>0.199028269699356</v>
      </c>
      <c r="G2614" s="13" t="n">
        <f aca="false">Sens!$G$2608/Sens!$G$2609</f>
        <v>0.203631882529968</v>
      </c>
      <c r="H2614" s="13" t="n">
        <f aca="false">Sens!$H$2608/Sens!$H$2609</f>
        <v>0.234731715958496</v>
      </c>
      <c r="I2614" s="13" t="n">
        <f aca="false">Sens!$I$2608/Sens!$I$2609</f>
        <v>0.262231204480418</v>
      </c>
      <c r="J2614" s="13" t="n">
        <f aca="false">Sens!$J$2608/Sens!$J$2609</f>
        <v>0.284728366013706</v>
      </c>
      <c r="K2614" s="13" t="n">
        <f aca="false">Sens!$K$2608/Sens!$K$2609</f>
        <v>0.300823304959505</v>
      </c>
      <c r="L2614" s="13" t="n">
        <f aca="false">Sens!$L$2608/Sens!$L$2609</f>
        <v>0.308263164529735</v>
      </c>
      <c r="M2614" s="13" t="n">
        <f aca="false">Sens!$M$2608/Sens!$M$2609</f>
        <v>0.308856517936036</v>
      </c>
      <c r="N2614" s="13" t="n">
        <f aca="false">Sens!$N$2608/Sens!$N$2609</f>
        <v>0.185979484737251</v>
      </c>
      <c r="O2614" s="13" t="n">
        <f aca="false">Sens!$O$2608/Sens!$O$2609</f>
        <v>0.174270432341096</v>
      </c>
    </row>
    <row r="2615" customFormat="false" ht="17.15" hidden="false" customHeight="false" outlineLevel="0" collapsed="false">
      <c r="A2615" s="0" t="s">
        <v>712</v>
      </c>
      <c r="B2615" s="0" t="s">
        <v>52</v>
      </c>
      <c r="C2615" s="13" t="n">
        <f aca="false">Sens!$C$2606/Sens!$C$2608</f>
        <v>0.0215795060896058</v>
      </c>
      <c r="D2615" s="13" t="n">
        <f aca="false">Sens!$D$2606/Sens!$D$2608</f>
        <v>0.0676152269462122</v>
      </c>
      <c r="E2615" s="13" t="n">
        <f aca="false">Sens!$E$2606/Sens!$E$2608</f>
        <v>0.106620641395783</v>
      </c>
      <c r="F2615" s="13" t="n">
        <f aca="false">Sens!$F$2606/Sens!$F$2608</f>
        <v>0.172523487401099</v>
      </c>
      <c r="G2615" s="13" t="n">
        <f aca="false">Sens!$G$2606/Sens!$G$2608</f>
        <v>0.140939911795589</v>
      </c>
      <c r="H2615" s="13" t="n">
        <f aca="false">Sens!$H$2606/Sens!$H$2608</f>
        <v>0.272018642937714</v>
      </c>
      <c r="I2615" s="13" t="n">
        <f aca="false">Sens!$I$2606/Sens!$I$2608</f>
        <v>0.362159512436497</v>
      </c>
      <c r="J2615" s="13" t="n">
        <f aca="false">Sens!$J$2606/Sens!$J$2608</f>
        <v>0.422151735934609</v>
      </c>
      <c r="K2615" s="13" t="n">
        <f aca="false">Sens!$K$2606/Sens!$K$2608</f>
        <v>0.45769342068485</v>
      </c>
      <c r="L2615" s="13" t="n">
        <f aca="false">Sens!$L$2606/Sens!$L$2608</f>
        <v>0.469047103913472</v>
      </c>
      <c r="M2615" s="13" t="n">
        <f aca="false">Sens!$M$2606/Sens!$M$2608</f>
        <v>0.463233328258093</v>
      </c>
      <c r="N2615" s="13" t="n">
        <f aca="false">Sens!$N$2606/Sens!$N$2608</f>
        <v>0.0506537999838362</v>
      </c>
      <c r="O2615" s="13" t="n">
        <f aca="false">Sens!$O$2606/Sens!$O$2608</f>
        <v>0.0824881615167056</v>
      </c>
    </row>
    <row r="2618" customFormat="false" ht="19.4" hidden="false" customHeight="false" outlineLevel="0" collapsed="false">
      <c r="A2618" s="31" t="s">
        <v>1204</v>
      </c>
    </row>
    <row r="2619" customFormat="false" ht="17.15" hidden="false" customHeight="false" outlineLevel="0" collapsed="false">
      <c r="A2619" s="6" t="s">
        <v>16</v>
      </c>
      <c r="B2619" s="6" t="s">
        <v>17</v>
      </c>
      <c r="C2619" s="20" t="s">
        <v>504</v>
      </c>
      <c r="D2619" s="20" t="s">
        <v>505</v>
      </c>
      <c r="E2619" s="20" t="s">
        <v>587</v>
      </c>
      <c r="F2619" s="20" t="s">
        <v>588</v>
      </c>
      <c r="G2619" s="20" t="s">
        <v>589</v>
      </c>
      <c r="H2619" s="20" t="s">
        <v>590</v>
      </c>
      <c r="I2619" s="20" t="s">
        <v>591</v>
      </c>
      <c r="J2619" s="20" t="s">
        <v>592</v>
      </c>
      <c r="K2619" s="20" t="s">
        <v>593</v>
      </c>
      <c r="L2619" s="20" t="s">
        <v>594</v>
      </c>
      <c r="M2619" s="20" t="s">
        <v>595</v>
      </c>
      <c r="N2619" s="20" t="s">
        <v>596</v>
      </c>
      <c r="O2619" s="20" t="s">
        <v>597</v>
      </c>
      <c r="P2619" s="6" t="s">
        <v>23</v>
      </c>
      <c r="R2619" s="20" t="n">
        <v>2023</v>
      </c>
      <c r="S2619" s="20" t="n">
        <v>2024</v>
      </c>
      <c r="T2619" s="20" t="n">
        <v>2025</v>
      </c>
      <c r="U2619" s="20" t="n">
        <v>2026</v>
      </c>
      <c r="V2619" s="20" t="n">
        <v>2027</v>
      </c>
      <c r="W2619" s="20" t="n">
        <v>2028</v>
      </c>
      <c r="X2619" s="20" t="n">
        <v>2029</v>
      </c>
      <c r="Y2619" s="20" t="n">
        <v>2030</v>
      </c>
      <c r="Z2619" s="20" t="n">
        <v>2031</v>
      </c>
      <c r="AA2619" s="20" t="n">
        <v>2032</v>
      </c>
    </row>
    <row r="2620" customFormat="false" ht="17.15" hidden="false" customHeight="false" outlineLevel="0" collapsed="false">
      <c r="A2620" s="1" t="s">
        <v>727</v>
      </c>
    </row>
    <row r="2621" customFormat="false" ht="15" hidden="false" customHeight="false" outlineLevel="0" collapsed="false">
      <c r="A2621" s="0" t="s">
        <v>526</v>
      </c>
      <c r="B2621" s="0" t="s">
        <v>86</v>
      </c>
      <c r="C2621" s="38" t="n">
        <f aca="false">Sens!$C$2523</f>
        <v>247.029</v>
      </c>
      <c r="D2621" s="38" t="n">
        <f aca="false">Sens!$D$2523</f>
        <v>269.287</v>
      </c>
      <c r="E2621" s="38" t="n">
        <f aca="false">Sens!$E$2523</f>
        <v>134.686</v>
      </c>
      <c r="F2621" s="38" t="n">
        <f aca="false">Sens!$F$2523</f>
        <v>158.293876822267</v>
      </c>
      <c r="G2621" s="38" t="n">
        <f aca="false">Sens!$G$2523</f>
        <v>292.979876822267</v>
      </c>
      <c r="H2621" s="38" t="n">
        <f aca="false">Sens!$H$2523</f>
        <v>318.184543087396</v>
      </c>
      <c r="I2621" s="38" t="n">
        <f aca="false">Sens!$I$2523</f>
        <v>341.736278761793</v>
      </c>
      <c r="J2621" s="38" t="n">
        <f aca="false">Sens!$J$2523</f>
        <v>362.927192787048</v>
      </c>
      <c r="K2621" s="38" t="n">
        <f aca="false">Sens!$K$2523</f>
        <v>381.0735524264</v>
      </c>
      <c r="L2621" s="38" t="n">
        <f aca="false">Sens!$L$2523</f>
        <v>400.12723004772</v>
      </c>
      <c r="M2621" s="38" t="n">
        <f aca="false">Sens!$M$2523</f>
        <v>420.133591550106</v>
      </c>
      <c r="N2621" s="38" t="n">
        <f aca="false">Sens!$N$2523</f>
        <v>118.892</v>
      </c>
      <c r="O2621" s="38" t="n">
        <f aca="false">Sens!$O$2523</f>
        <v>150.395</v>
      </c>
    </row>
    <row r="2622" customFormat="false" ht="15" hidden="false" customHeight="false" outlineLevel="0" collapsed="false">
      <c r="A2622" s="0" t="s">
        <v>527</v>
      </c>
      <c r="B2622" s="0" t="s">
        <v>86</v>
      </c>
      <c r="C2622" s="38" t="n">
        <f aca="false">Sens!$C$2525</f>
        <v>21.215</v>
      </c>
      <c r="D2622" s="38" t="n">
        <f aca="false">Sens!$D$2525</f>
        <v>22.561</v>
      </c>
      <c r="E2622" s="38" t="n">
        <f aca="false">Sens!$E$2525</f>
        <v>11.579</v>
      </c>
      <c r="F2622" s="38" t="n">
        <f aca="false">Sens!$F$2525</f>
        <v>11.5938724610325</v>
      </c>
      <c r="G2622" s="38" t="n">
        <f aca="false">Sens!$G$2525</f>
        <v>23.1728724610325</v>
      </c>
      <c r="H2622" s="38" t="n">
        <f aca="false">Sens!$H$2525</f>
        <v>24.353392759506</v>
      </c>
      <c r="I2622" s="38" t="n">
        <f aca="false">Sens!$I$2525</f>
        <v>25.4240338872015</v>
      </c>
      <c r="J2622" s="38" t="n">
        <f aca="false">Sens!$J$2525</f>
        <v>26.3642491017174</v>
      </c>
      <c r="K2622" s="38" t="n">
        <f aca="false">Sens!$K$2525</f>
        <v>27.155176574769</v>
      </c>
      <c r="L2622" s="38" t="n">
        <f aca="false">Sens!$L$2525</f>
        <v>27.969831872012</v>
      </c>
      <c r="M2622" s="38" t="n">
        <f aca="false">Sens!$M$2525</f>
        <v>28.8089268281724</v>
      </c>
      <c r="N2622" s="38" t="n">
        <f aca="false">Sens!$N$2525</f>
        <v>11.128</v>
      </c>
      <c r="O2622" s="38" t="n">
        <f aca="false">Sens!$O$2525</f>
        <v>11.433</v>
      </c>
    </row>
    <row r="2623" customFormat="false" ht="15" hidden="false" customHeight="false" outlineLevel="0" collapsed="false">
      <c r="A2623" s="0" t="s">
        <v>528</v>
      </c>
      <c r="B2623" s="0" t="s">
        <v>86</v>
      </c>
      <c r="C2623" s="38" t="n">
        <f aca="false">Sens!$C$2527</f>
        <v>156.146</v>
      </c>
      <c r="D2623" s="38" t="n">
        <f aca="false">Sens!$D$2527</f>
        <v>172.162</v>
      </c>
      <c r="E2623" s="38" t="n">
        <f aca="false">Sens!$E$2527</f>
        <v>88.358</v>
      </c>
      <c r="F2623" s="38" t="n">
        <f aca="false">Sens!$F$2527</f>
        <v>102.004388260171</v>
      </c>
      <c r="G2623" s="38" t="n">
        <f aca="false">Sens!$G$2527</f>
        <v>190.362388260171</v>
      </c>
      <c r="H2623" s="38" t="n">
        <f aca="false">Sens!$H$2527</f>
        <v>210.343106588311</v>
      </c>
      <c r="I2623" s="38" t="n">
        <f aca="false">Sens!$I$2527</f>
        <v>229.969728494648</v>
      </c>
      <c r="J2623" s="38" t="n">
        <f aca="false">Sens!$J$2527</f>
        <v>248.747636972598</v>
      </c>
      <c r="K2623" s="38" t="n">
        <f aca="false">Sens!$K$2527</f>
        <v>266.15997156068</v>
      </c>
      <c r="L2623" s="38" t="n">
        <f aca="false">Sens!$L$2527</f>
        <v>284.791169569927</v>
      </c>
      <c r="M2623" s="38" t="n">
        <f aca="false">Sens!$M$2527</f>
        <v>304.726551439822</v>
      </c>
      <c r="N2623" s="38" t="n">
        <f aca="false">Sens!$N$2527</f>
        <v>76.86</v>
      </c>
      <c r="O2623" s="38" t="n">
        <f aca="false">Sens!$O$2527</f>
        <v>95.302</v>
      </c>
    </row>
    <row r="2624" customFormat="false" ht="15" hidden="false" customHeight="false" outlineLevel="0" collapsed="false">
      <c r="A2624" s="0" t="s">
        <v>529</v>
      </c>
      <c r="B2624" s="0" t="s">
        <v>86</v>
      </c>
      <c r="C2624" s="38" t="n">
        <f aca="false">Sens!$C$2529</f>
        <v>56.214</v>
      </c>
      <c r="D2624" s="38" t="n">
        <f aca="false">Sens!$D$2529</f>
        <v>68.635</v>
      </c>
      <c r="E2624" s="38" t="n">
        <f aca="false">Sens!$E$2529</f>
        <v>37.052</v>
      </c>
      <c r="F2624" s="38" t="n">
        <f aca="false">Sens!$F$2529</f>
        <v>46.1572219944148</v>
      </c>
      <c r="G2624" s="38" t="n">
        <f aca="false">Sens!$G$2529</f>
        <v>83.2092219944148</v>
      </c>
      <c r="H2624" s="38" t="n">
        <f aca="false">Sens!$H$2529</f>
        <v>99.8969223878976</v>
      </c>
      <c r="I2624" s="38" t="n">
        <f aca="false">Sens!$I$2529</f>
        <v>116.583111095496</v>
      </c>
      <c r="J2624" s="38" t="n">
        <f aca="false">Sens!$J$2529</f>
        <v>132.148941941952</v>
      </c>
      <c r="K2624" s="38" t="n">
        <f aca="false">Sens!$K$2529</f>
        <v>145.363836136147</v>
      </c>
      <c r="L2624" s="38" t="n">
        <f aca="false">Sens!$L$2529</f>
        <v>159.900219749762</v>
      </c>
      <c r="M2624" s="38" t="n">
        <f aca="false">Sens!$M$2529</f>
        <v>175.890241724738</v>
      </c>
      <c r="N2624" s="38" t="n">
        <f aca="false">Sens!$N$2529</f>
        <v>29.615</v>
      </c>
      <c r="O2624" s="38" t="n">
        <f aca="false">Sens!$O$2529</f>
        <v>39.02</v>
      </c>
    </row>
    <row r="2625" customFormat="false" ht="15" hidden="false" customHeight="false" outlineLevel="0" collapsed="false">
      <c r="A2625" s="0" t="s">
        <v>530</v>
      </c>
      <c r="B2625" s="0" t="s">
        <v>86</v>
      </c>
      <c r="C2625" s="38" t="n">
        <f aca="false">Sens!$C$2531</f>
        <v>44.374</v>
      </c>
      <c r="D2625" s="38" t="n">
        <f aca="false">Sens!$D$2531</f>
        <v>49.619</v>
      </c>
      <c r="E2625" s="38" t="n">
        <f aca="false">Sens!$E$2531</f>
        <v>27.157</v>
      </c>
      <c r="F2625" s="38" t="n">
        <f aca="false">Sens!$F$2531</f>
        <v>27.7764165988154</v>
      </c>
      <c r="G2625" s="38" t="n">
        <f aca="false">Sens!$G$2531</f>
        <v>54.9334165988154</v>
      </c>
      <c r="H2625" s="38" t="n">
        <f aca="false">Sens!$H$2531</f>
        <v>61.1564112561829</v>
      </c>
      <c r="I2625" s="38" t="n">
        <f aca="false">Sens!$I$2531</f>
        <v>67.2020282103945</v>
      </c>
      <c r="J2625" s="38" t="n">
        <f aca="false">Sens!$J$2531</f>
        <v>72.8757274028885</v>
      </c>
      <c r="K2625" s="38" t="n">
        <f aca="false">Sens!$K$2531</f>
        <v>77.9770283210907</v>
      </c>
      <c r="L2625" s="38" t="n">
        <f aca="false">Sens!$L$2531</f>
        <v>83.4354203035671</v>
      </c>
      <c r="M2625" s="38" t="n">
        <f aca="false">Sens!$M$2531</f>
        <v>89.2758997248168</v>
      </c>
      <c r="N2625" s="38" t="n">
        <f aca="false">Sens!$N$2531</f>
        <v>23.923</v>
      </c>
      <c r="O2625" s="38" t="n">
        <f aca="false">Sens!$O$2531</f>
        <v>25.696</v>
      </c>
    </row>
    <row r="2626" customFormat="false" ht="15" hidden="false" customHeight="false" outlineLevel="0" collapsed="false">
      <c r="A2626" s="0" t="s">
        <v>531</v>
      </c>
      <c r="B2626" s="0" t="s">
        <v>86</v>
      </c>
      <c r="C2626" s="38" t="n">
        <f aca="false">Sens!$C$2533</f>
        <v>5.425</v>
      </c>
      <c r="D2626" s="38" t="n">
        <f aca="false">Sens!$D$2533</f>
        <v>5.935</v>
      </c>
      <c r="E2626" s="38" t="n">
        <f aca="false">Sens!$E$2533</f>
        <v>3.474</v>
      </c>
      <c r="F2626" s="38" t="n">
        <f aca="false">Sens!$F$2533</f>
        <v>3.22246550883619</v>
      </c>
      <c r="G2626" s="38" t="n">
        <f aca="false">Sens!$G$2533</f>
        <v>6.69646550883619</v>
      </c>
      <c r="H2626" s="38" t="n">
        <f aca="false">Sens!$H$2533</f>
        <v>7.16251344209196</v>
      </c>
      <c r="I2626" s="38" t="n">
        <f aca="false">Sens!$I$2533</f>
        <v>7.61421070299826</v>
      </c>
      <c r="J2626" s="38" t="n">
        <f aca="false">Sens!$J$2533</f>
        <v>8.04465753523932</v>
      </c>
      <c r="K2626" s="38" t="n">
        <f aca="false">Sens!$K$2533</f>
        <v>8.44689041200128</v>
      </c>
      <c r="L2626" s="38" t="n">
        <f aca="false">Sens!$L$2533</f>
        <v>8.86923493260135</v>
      </c>
      <c r="M2626" s="38" t="n">
        <f aca="false">Sens!$M$2533</f>
        <v>9.31269667923142</v>
      </c>
      <c r="N2626" s="38" t="n">
        <f aca="false">Sens!$N$2533</f>
        <v>2.811</v>
      </c>
      <c r="O2626" s="38" t="n">
        <f aca="false">Sens!$O$2533</f>
        <v>3.124</v>
      </c>
    </row>
    <row r="2627" customFormat="false" ht="17.15" hidden="false" customHeight="false" outlineLevel="0" collapsed="false">
      <c r="A2627" s="0" t="s">
        <v>728</v>
      </c>
      <c r="B2627" s="0" t="s">
        <v>86</v>
      </c>
      <c r="C2627" s="38" t="n">
        <f aca="false">Sens!$C$2608</f>
        <v>107.556</v>
      </c>
      <c r="D2627" s="38" t="n">
        <f aca="false">Sens!$D$2608</f>
        <v>128.725</v>
      </c>
      <c r="E2627" s="38" t="n">
        <f aca="false">Sens!$E$2608</f>
        <v>79.819</v>
      </c>
      <c r="F2627" s="38" t="n">
        <f aca="false">Sens!$F$2608</f>
        <v>86.7327334389669</v>
      </c>
      <c r="G2627" s="38" t="n">
        <f aca="false">Sens!$G$2608</f>
        <v>166.551733438967</v>
      </c>
      <c r="H2627" s="38" t="n">
        <f aca="false">Sens!$H$2608</f>
        <v>221.182967828978</v>
      </c>
      <c r="I2627" s="38" t="n">
        <f aca="false">Sens!$I$2608</f>
        <v>280.27345865789</v>
      </c>
      <c r="J2627" s="38" t="n">
        <f aca="false">Sens!$J$2608</f>
        <v>338.800945197185</v>
      </c>
      <c r="K2627" s="38" t="n">
        <f aca="false">Sens!$K$2608</f>
        <v>389.88570147276</v>
      </c>
      <c r="L2627" s="38" t="n">
        <f aca="false">Sens!$L$2608</f>
        <v>430.080689379143</v>
      </c>
      <c r="M2627" s="38" t="n">
        <f aca="false">Sens!$M$2608</f>
        <v>459.456235951751</v>
      </c>
      <c r="N2627" s="38" t="n">
        <f aca="false">Sens!$N$2608</f>
        <v>60.14</v>
      </c>
      <c r="O2627" s="38" t="n">
        <f aca="false">Sens!$O$2608</f>
        <v>68.585</v>
      </c>
    </row>
    <row r="2628" customFormat="false" ht="15" hidden="false" customHeight="false" outlineLevel="0" collapsed="false">
      <c r="A2628" s="1" t="s">
        <v>519</v>
      </c>
      <c r="B2628" s="8" t="s">
        <v>86</v>
      </c>
      <c r="C2628" s="38" t="n">
        <f aca="false">Sens!$C$2538</f>
        <v>387.497</v>
      </c>
      <c r="D2628" s="38" t="n">
        <f aca="false">Sens!$D$2538</f>
        <v>426.305</v>
      </c>
      <c r="E2628" s="38" t="n">
        <f aca="false">Sens!$E$2538</f>
        <v>220.32</v>
      </c>
      <c r="F2628" s="38" t="n">
        <f aca="false">Sens!$F$2538</f>
        <v>250.639773480586</v>
      </c>
      <c r="G2628" s="38" t="n">
        <f aca="false">Sens!$G$2538</f>
        <v>470.959773480586</v>
      </c>
      <c r="H2628" s="38" t="n">
        <f aca="false">Sens!$H$2538</f>
        <v>521.386990416437</v>
      </c>
      <c r="I2628" s="38" t="n">
        <f aca="false">Sens!$I$2538</f>
        <v>570.143862887555</v>
      </c>
      <c r="J2628" s="38" t="n">
        <f aca="false">Sens!$J$2538</f>
        <v>615.391435791933</v>
      </c>
      <c r="K2628" s="38" t="n">
        <f aca="false">Sens!$K$2538</f>
        <v>655.208227561543</v>
      </c>
      <c r="L2628" s="38" t="n">
        <f aca="false">Sens!$L$2538</f>
        <v>697.807739249767</v>
      </c>
      <c r="M2628" s="38" t="n">
        <f aca="false">Sens!$M$2538</f>
        <v>743.399328463592</v>
      </c>
      <c r="N2628" s="38" t="n">
        <f aca="false">Sens!$N$2538</f>
        <v>192.955</v>
      </c>
      <c r="O2628" s="38" t="n">
        <f aca="false">Sens!$O$2538</f>
        <v>233.35</v>
      </c>
    </row>
    <row r="2629" customFormat="false" ht="15" hidden="false" customHeight="false" outlineLevel="0" collapsed="false">
      <c r="A2629" s="1" t="s">
        <v>522</v>
      </c>
      <c r="B2629" s="8" t="s">
        <v>86</v>
      </c>
      <c r="C2629" s="38" t="n">
        <f aca="false">Sens!$C$2539</f>
        <v>142.906</v>
      </c>
      <c r="D2629" s="38" t="n">
        <f aca="false">Sens!$D$2539</f>
        <v>161.894</v>
      </c>
      <c r="E2629" s="38" t="n">
        <f aca="false">Sens!$E$2539</f>
        <v>81.986</v>
      </c>
      <c r="F2629" s="38" t="n">
        <f aca="false">Sens!$F$2539</f>
        <v>98.408468164951</v>
      </c>
      <c r="G2629" s="38" t="n">
        <f aca="false">Sens!$G$2539</f>
        <v>180.394468164951</v>
      </c>
      <c r="H2629" s="38" t="n">
        <f aca="false">Sens!$H$2539</f>
        <v>199.709899104949</v>
      </c>
      <c r="I2629" s="38" t="n">
        <f aca="false">Sens!$I$2539</f>
        <v>218.385528264976</v>
      </c>
      <c r="J2629" s="38" t="n">
        <f aca="false">Sens!$J$2539</f>
        <v>235.71696994951</v>
      </c>
      <c r="K2629" s="38" t="n">
        <f aca="false">Sens!$K$2539</f>
        <v>250.968227869545</v>
      </c>
      <c r="L2629" s="38" t="n">
        <f aca="false">Sens!$L$2539</f>
        <v>267.285367225822</v>
      </c>
      <c r="M2629" s="38" t="n">
        <f aca="false">Sens!$M$2539</f>
        <v>284.748579483295</v>
      </c>
      <c r="N2629" s="38" t="n">
        <f aca="false">Sens!$N$2539</f>
        <v>70.274</v>
      </c>
      <c r="O2629" s="38" t="n">
        <f aca="false">Sens!$O$2539</f>
        <v>91.62</v>
      </c>
    </row>
    <row r="2630" customFormat="false" ht="15" hidden="false" customHeight="false" outlineLevel="0" collapsed="false">
      <c r="A2630" s="1" t="s">
        <v>523</v>
      </c>
      <c r="B2630" s="8" t="s">
        <v>86</v>
      </c>
      <c r="C2630" s="38" t="n">
        <f aca="false">Sens!$C$2608</f>
        <v>107.556</v>
      </c>
      <c r="D2630" s="38" t="n">
        <f aca="false">Sens!$D$2608</f>
        <v>128.725</v>
      </c>
      <c r="E2630" s="38" t="n">
        <f aca="false">Sens!$E$2608</f>
        <v>79.819</v>
      </c>
      <c r="F2630" s="38" t="n">
        <f aca="false">Sens!$F$2608</f>
        <v>86.7327334389669</v>
      </c>
      <c r="G2630" s="38" t="n">
        <f aca="false">Sens!$G$2608</f>
        <v>166.551733438967</v>
      </c>
      <c r="H2630" s="38" t="n">
        <f aca="false">Sens!$H$2608</f>
        <v>221.182967828978</v>
      </c>
      <c r="I2630" s="38" t="n">
        <f aca="false">Sens!$I$2608</f>
        <v>280.27345865789</v>
      </c>
      <c r="J2630" s="38" t="n">
        <f aca="false">Sens!$J$2608</f>
        <v>338.800945197185</v>
      </c>
      <c r="K2630" s="38" t="n">
        <f aca="false">Sens!$K$2608</f>
        <v>389.88570147276</v>
      </c>
      <c r="L2630" s="38" t="n">
        <f aca="false">Sens!$L$2608</f>
        <v>430.080689379143</v>
      </c>
      <c r="M2630" s="38" t="n">
        <f aca="false">Sens!$M$2608</f>
        <v>459.456235951751</v>
      </c>
      <c r="N2630" s="38" t="n">
        <f aca="false">Sens!$N$2608</f>
        <v>60.14</v>
      </c>
      <c r="O2630" s="38" t="n">
        <f aca="false">Sens!$O$2608</f>
        <v>68.585</v>
      </c>
    </row>
    <row r="2631" customFormat="false" ht="17.15" hidden="false" customHeight="false" outlineLevel="0" collapsed="false">
      <c r="A2631" s="0" t="s">
        <v>702</v>
      </c>
      <c r="B2631" s="0" t="s">
        <v>86</v>
      </c>
      <c r="C2631" s="38" t="n">
        <f aca="false">Sens!$C$2606</f>
        <v>2.32100535697364</v>
      </c>
      <c r="D2631" s="38" t="n">
        <f aca="false">Sens!$D$2606</f>
        <v>8.70377008865116</v>
      </c>
      <c r="E2631" s="38" t="n">
        <f aca="false">Sens!$E$2606</f>
        <v>8.51035297557002</v>
      </c>
      <c r="F2631" s="38" t="n">
        <f aca="false">Sens!$F$2606</f>
        <v>14.9634336447205</v>
      </c>
      <c r="G2631" s="38" t="n">
        <f aca="false">Sens!$G$2606</f>
        <v>23.4737866202905</v>
      </c>
      <c r="H2631" s="38" t="n">
        <f aca="false">Sens!$H$2606</f>
        <v>60.1658907497746</v>
      </c>
      <c r="I2631" s="38" t="n">
        <f aca="false">Sens!$I$2606</f>
        <v>101.503699136432</v>
      </c>
      <c r="J2631" s="38" t="n">
        <f aca="false">Sens!$J$2606</f>
        <v>143.025407151278</v>
      </c>
      <c r="K2631" s="38" t="n">
        <f aca="false">Sens!$K$2606</f>
        <v>178.44812038318</v>
      </c>
      <c r="L2631" s="38" t="n">
        <f aca="false">Sens!$L$2606</f>
        <v>201.728101802396</v>
      </c>
      <c r="M2631" s="38" t="n">
        <f aca="false">Sens!$M$2606</f>
        <v>212.835441368865</v>
      </c>
      <c r="N2631" s="38" t="n">
        <f aca="false">Sens!$N$2606</f>
        <v>3.04631953102791</v>
      </c>
      <c r="O2631" s="38" t="n">
        <f aca="false">Sens!$O$2606</f>
        <v>5.65745055762326</v>
      </c>
    </row>
    <row r="2632" customFormat="false" ht="17.15" hidden="false" customHeight="false" outlineLevel="0" collapsed="false">
      <c r="A2632" s="0" t="s">
        <v>704</v>
      </c>
      <c r="B2632" s="0" t="s">
        <v>86</v>
      </c>
      <c r="C2632" s="38" t="n">
        <f aca="false">Sens!$C$2607</f>
        <v>105.234994643026</v>
      </c>
      <c r="D2632" s="38" t="n">
        <f aca="false">Sens!$D$2607</f>
        <v>120.021229911349</v>
      </c>
      <c r="E2632" s="38" t="n">
        <f aca="false">Sens!$E$2607</f>
        <v>71.30864702443</v>
      </c>
      <c r="F2632" s="38" t="n">
        <f aca="false">Sens!$F$2607</f>
        <v>71.7692997942464</v>
      </c>
      <c r="G2632" s="38" t="n">
        <f aca="false">Sens!$G$2607</f>
        <v>143.077946818676</v>
      </c>
      <c r="H2632" s="38" t="n">
        <f aca="false">Sens!$H$2607</f>
        <v>161.017077079203</v>
      </c>
      <c r="I2632" s="38" t="n">
        <f aca="false">Sens!$I$2607</f>
        <v>178.769759521457</v>
      </c>
      <c r="J2632" s="38" t="n">
        <f aca="false">Sens!$J$2607</f>
        <v>195.775538045907</v>
      </c>
      <c r="K2632" s="38" t="n">
        <f aca="false">Sens!$K$2607</f>
        <v>211.43758108958</v>
      </c>
      <c r="L2632" s="38" t="n">
        <f aca="false">Sens!$L$2607</f>
        <v>228.352587576746</v>
      </c>
      <c r="M2632" s="38" t="n">
        <f aca="false">Sens!$M$2607</f>
        <v>246.620794582886</v>
      </c>
      <c r="N2632" s="38" t="n">
        <f aca="false">Sens!$N$2607</f>
        <v>57.0936804689721</v>
      </c>
      <c r="O2632" s="38" t="n">
        <f aca="false">Sens!$O$2607</f>
        <v>62.9275494423768</v>
      </c>
    </row>
    <row r="2633" customFormat="false" ht="15" hidden="false" customHeight="false" outlineLevel="0" collapsed="false">
      <c r="A2633" s="3" t="s">
        <v>524</v>
      </c>
      <c r="B2633" s="8" t="s">
        <v>86</v>
      </c>
      <c r="C2633" s="38" t="n">
        <f aca="false">Sens!$C$2609</f>
        <v>637.959</v>
      </c>
      <c r="D2633" s="38" t="n">
        <f aca="false">Sens!$D$2609</f>
        <v>716.924</v>
      </c>
      <c r="E2633" s="38" t="n">
        <f aca="false">Sens!$E$2609</f>
        <v>382.125</v>
      </c>
      <c r="F2633" s="38" t="n">
        <f aca="false">Sens!$F$2609</f>
        <v>435.780975084504</v>
      </c>
      <c r="G2633" s="38" t="n">
        <f aca="false">Sens!$G$2609</f>
        <v>817.905975084504</v>
      </c>
      <c r="H2633" s="38" t="n">
        <f aca="false">Sens!$H$2609</f>
        <v>942.279857350364</v>
      </c>
      <c r="I2633" s="38" t="n">
        <f aca="false">Sens!$I$2609</f>
        <v>1068.80284981042</v>
      </c>
      <c r="J2633" s="38" t="n">
        <f aca="false">Sens!$J$2609</f>
        <v>1189.90935093863</v>
      </c>
      <c r="K2633" s="38" t="n">
        <f aca="false">Sens!$K$2609</f>
        <v>1296.06215690385</v>
      </c>
      <c r="L2633" s="38" t="n">
        <f aca="false">Sens!$L$2609</f>
        <v>1395.17379585473</v>
      </c>
      <c r="M2633" s="38" t="n">
        <f aca="false">Sens!$M$2609</f>
        <v>1487.60414389864</v>
      </c>
      <c r="N2633" s="38" t="n">
        <f aca="false">Sens!$N$2609</f>
        <v>323.369</v>
      </c>
      <c r="O2633" s="38" t="n">
        <f aca="false">Sens!$O$2609</f>
        <v>393.555</v>
      </c>
    </row>
    <row r="2634" customFormat="false" ht="17.15" hidden="false" customHeight="false" outlineLevel="0" collapsed="false">
      <c r="A2634" s="24" t="s">
        <v>714</v>
      </c>
      <c r="B2634" s="25" t="s">
        <v>86</v>
      </c>
      <c r="C2634" s="41" t="n">
        <f aca="false">Sens!$C$2621+Sens!$C$2622+Sens!$C$2623+Sens!$C$2624+Sens!$C$2625+Sens!$C$2626-(Sens!$C$2628+Sens!$C$2629)</f>
        <v>0</v>
      </c>
      <c r="D2634" s="41" t="n">
        <f aca="false">Sens!$D$2621+Sens!$D$2622+Sens!$D$2623+Sens!$D$2624+Sens!$D$2625+Sens!$D$2626-(Sens!$D$2628+Sens!$D$2629)</f>
        <v>0</v>
      </c>
      <c r="E2634" s="41" t="n">
        <f aca="false">Sens!$E$2621+Sens!$E$2622+Sens!$E$2623+Sens!$E$2624+Sens!$E$2625+Sens!$E$2626-(Sens!$E$2628+Sens!$E$2629)</f>
        <v>0</v>
      </c>
      <c r="F2634" s="41" t="n">
        <f aca="false">Sens!$F$2621+Sens!$F$2622+Sens!$F$2623+Sens!$F$2624+Sens!$F$2625+Sens!$F$2626-(Sens!$F$2628+Sens!$F$2629)</f>
        <v>0</v>
      </c>
      <c r="G2634" s="41" t="n">
        <f aca="false">Sens!$G$2621+Sens!$G$2622+Sens!$G$2623+Sens!$G$2624+Sens!$G$2625+Sens!$G$2626-(Sens!$G$2628+Sens!$G$2629)</f>
        <v>0</v>
      </c>
      <c r="H2634" s="41" t="n">
        <f aca="false">Sens!$H$2621+Sens!$H$2622+Sens!$H$2623+Sens!$H$2624+Sens!$H$2625+Sens!$H$2626-(Sens!$H$2628+Sens!$H$2629)</f>
        <v>0</v>
      </c>
      <c r="I2634" s="41" t="n">
        <f aca="false">Sens!$I$2621+Sens!$I$2622+Sens!$I$2623+Sens!$I$2624+Sens!$I$2625+Sens!$I$2626-(Sens!$I$2628+Sens!$I$2629)</f>
        <v>0</v>
      </c>
      <c r="J2634" s="41" t="n">
        <f aca="false">Sens!$J$2621+Sens!$J$2622+Sens!$J$2623+Sens!$J$2624+Sens!$J$2625+Sens!$J$2626-(Sens!$J$2628+Sens!$J$2629)</f>
        <v>0</v>
      </c>
      <c r="K2634" s="41" t="n">
        <f aca="false">Sens!$K$2621+Sens!$K$2622+Sens!$K$2623+Sens!$K$2624+Sens!$K$2625+Sens!$K$2626-(Sens!$K$2628+Sens!$K$2629)</f>
        <v>0</v>
      </c>
      <c r="L2634" s="41" t="n">
        <f aca="false">Sens!$L$2621+Sens!$L$2622+Sens!$L$2623+Sens!$L$2624+Sens!$L$2625+Sens!$L$2626-(Sens!$L$2628+Sens!$L$2629)</f>
        <v>0</v>
      </c>
      <c r="M2634" s="41" t="n">
        <f aca="false">Sens!$M$2621+Sens!$M$2622+Sens!$M$2623+Sens!$M$2624+Sens!$M$2625+Sens!$M$2626-(Sens!$M$2628+Sens!$M$2629)</f>
        <v>0</v>
      </c>
      <c r="N2634" s="41" t="n">
        <f aca="false">Sens!$N$2621+Sens!$N$2622+Sens!$N$2623+Sens!$N$2624+Sens!$N$2625+Sens!$N$2626-(Sens!$N$2628+Sens!$N$2629)</f>
        <v>0</v>
      </c>
      <c r="O2634" s="41" t="n">
        <f aca="false">Sens!$O$2621+Sens!$O$2622+Sens!$O$2623+Sens!$O$2624+Sens!$O$2625+Sens!$O$2626-(Sens!$O$2628+Sens!$O$2629)</f>
        <v>0</v>
      </c>
    </row>
    <row r="2635" customFormat="false" ht="17.15" hidden="false" customHeight="false" outlineLevel="0" collapsed="false">
      <c r="A2635" s="24" t="s">
        <v>715</v>
      </c>
      <c r="B2635" s="25" t="s">
        <v>86</v>
      </c>
      <c r="C2635" s="41" t="n">
        <f aca="false">Sens!$C$2631+Sens!$C$2632-Sens!$C$2630</f>
        <v>0</v>
      </c>
      <c r="D2635" s="41" t="n">
        <f aca="false">Sens!$D$2631+Sens!$D$2632-Sens!$D$2630</f>
        <v>0</v>
      </c>
      <c r="E2635" s="41" t="n">
        <f aca="false">Sens!$E$2631+Sens!$E$2632-Sens!$E$2630</f>
        <v>0</v>
      </c>
      <c r="F2635" s="41" t="n">
        <f aca="false">Sens!$F$2631+Sens!$F$2632-Sens!$F$2630</f>
        <v>0</v>
      </c>
      <c r="G2635" s="41" t="n">
        <f aca="false">Sens!$G$2631+Sens!$G$2632-Sens!$G$2630</f>
        <v>0</v>
      </c>
      <c r="H2635" s="41" t="n">
        <f aca="false">Sens!$H$2631+Sens!$H$2632-Sens!$H$2630</f>
        <v>0</v>
      </c>
      <c r="I2635" s="41" t="n">
        <f aca="false">Sens!$I$2631+Sens!$I$2632-Sens!$I$2630</f>
        <v>0</v>
      </c>
      <c r="J2635" s="41" t="n">
        <f aca="false">Sens!$J$2631+Sens!$J$2632-Sens!$J$2630</f>
        <v>0</v>
      </c>
      <c r="K2635" s="41" t="n">
        <f aca="false">Sens!$K$2631+Sens!$K$2632-Sens!$K$2630</f>
        <v>0</v>
      </c>
      <c r="L2635" s="41" t="n">
        <f aca="false">Sens!$L$2631+Sens!$L$2632-Sens!$L$2630</f>
        <v>0</v>
      </c>
      <c r="M2635" s="41" t="n">
        <f aca="false">Sens!$M$2631+Sens!$M$2632-Sens!$M$2630</f>
        <v>0</v>
      </c>
      <c r="N2635" s="41" t="n">
        <f aca="false">Sens!$N$2631+Sens!$N$2632-Sens!$N$2630</f>
        <v>0</v>
      </c>
      <c r="O2635" s="41" t="n">
        <f aca="false">Sens!$O$2631+Sens!$O$2632-Sens!$O$2630</f>
        <v>0</v>
      </c>
    </row>
    <row r="2636" customFormat="false" ht="17.15" hidden="false" customHeight="false" outlineLevel="0" collapsed="false">
      <c r="A2636" s="24" t="s">
        <v>774</v>
      </c>
      <c r="B2636" s="25" t="s">
        <v>86</v>
      </c>
      <c r="C2636" s="41" t="n">
        <f aca="false">Sens!$C$2621+Sens!$C$2622+Sens!$C$2623+Sens!$C$2624+Sens!$C$2625+Sens!$C$2626+Sens!$C$2627-Sens!$C$2633</f>
        <v>0</v>
      </c>
      <c r="D2636" s="41" t="n">
        <f aca="false">Sens!$D$2621+Sens!$D$2622+Sens!$D$2623+Sens!$D$2624+Sens!$D$2625+Sens!$D$2626+Sens!$D$2627-Sens!$D$2633</f>
        <v>0</v>
      </c>
      <c r="E2636" s="41" t="n">
        <f aca="false">Sens!$E$2621+Sens!$E$2622+Sens!$E$2623+Sens!$E$2624+Sens!$E$2625+Sens!$E$2626+Sens!$E$2627-Sens!$E$2633</f>
        <v>0</v>
      </c>
      <c r="F2636" s="41" t="n">
        <f aca="false">Sens!$F$2621+Sens!$F$2622+Sens!$F$2623+Sens!$F$2624+Sens!$F$2625+Sens!$F$2626+Sens!$F$2627-Sens!$F$2633</f>
        <v>0</v>
      </c>
      <c r="G2636" s="41" t="n">
        <f aca="false">Sens!$G$2621+Sens!$G$2622+Sens!$G$2623+Sens!$G$2624+Sens!$G$2625+Sens!$G$2626+Sens!$G$2627-Sens!$G$2633</f>
        <v>0</v>
      </c>
      <c r="H2636" s="41" t="n">
        <f aca="false">Sens!$H$2621+Sens!$H$2622+Sens!$H$2623+Sens!$H$2624+Sens!$H$2625+Sens!$H$2626+Sens!$H$2627-Sens!$H$2633</f>
        <v>0</v>
      </c>
      <c r="I2636" s="41" t="n">
        <f aca="false">Sens!$I$2621+Sens!$I$2622+Sens!$I$2623+Sens!$I$2624+Sens!$I$2625+Sens!$I$2626+Sens!$I$2627-Sens!$I$2633</f>
        <v>0</v>
      </c>
      <c r="J2636" s="41" t="n">
        <f aca="false">Sens!$J$2621+Sens!$J$2622+Sens!$J$2623+Sens!$J$2624+Sens!$J$2625+Sens!$J$2626+Sens!$J$2627-Sens!$J$2633</f>
        <v>0</v>
      </c>
      <c r="K2636" s="41" t="n">
        <f aca="false">Sens!$K$2621+Sens!$K$2622+Sens!$K$2623+Sens!$K$2624+Sens!$K$2625+Sens!$K$2626+Sens!$K$2627-Sens!$K$2633</f>
        <v>0</v>
      </c>
      <c r="L2636" s="41" t="n">
        <f aca="false">Sens!$L$2621+Sens!$L$2622+Sens!$L$2623+Sens!$L$2624+Sens!$L$2625+Sens!$L$2626+Sens!$L$2627-Sens!$L$2633</f>
        <v>0</v>
      </c>
      <c r="M2636" s="41" t="n">
        <f aca="false">Sens!$M$2621+Sens!$M$2622+Sens!$M$2623+Sens!$M$2624+Sens!$M$2625+Sens!$M$2626+Sens!$M$2627-Sens!$M$2633</f>
        <v>0</v>
      </c>
      <c r="N2636" s="41" t="n">
        <f aca="false">Sens!$N$2621+Sens!$N$2622+Sens!$N$2623+Sens!$N$2624+Sens!$N$2625+Sens!$N$2626+Sens!$N$2627-Sens!$N$2633</f>
        <v>0</v>
      </c>
      <c r="O2636" s="41" t="n">
        <f aca="false">Sens!$O$2621+Sens!$O$2622+Sens!$O$2623+Sens!$O$2624+Sens!$O$2625+Sens!$O$2626+Sens!$O$2627-Sens!$O$2633</f>
        <v>0</v>
      </c>
    </row>
    <row r="2637" customFormat="false" ht="17.15" hidden="false" customHeight="false" outlineLevel="0" collapsed="false">
      <c r="A2637" s="24" t="s">
        <v>716</v>
      </c>
      <c r="B2637" s="25" t="s">
        <v>86</v>
      </c>
      <c r="C2637" s="41" t="n">
        <f aca="false">Sens!$C$2628+Sens!$C$2629+Sens!$C$2630-Sens!$C$2633</f>
        <v>0</v>
      </c>
      <c r="D2637" s="41" t="n">
        <f aca="false">Sens!$D$2628+Sens!$D$2629+Sens!$D$2630-Sens!$D$2633</f>
        <v>0</v>
      </c>
      <c r="E2637" s="41" t="n">
        <f aca="false">Sens!$E$2628+Sens!$E$2629+Sens!$E$2630-Sens!$E$2633</f>
        <v>0</v>
      </c>
      <c r="F2637" s="41" t="n">
        <f aca="false">Sens!$F$2628+Sens!$F$2629+Sens!$F$2630-Sens!$F$2633</f>
        <v>0</v>
      </c>
      <c r="G2637" s="41" t="n">
        <f aca="false">Sens!$G$2628+Sens!$G$2629+Sens!$G$2630-Sens!$G$2633</f>
        <v>0</v>
      </c>
      <c r="H2637" s="41" t="n">
        <f aca="false">Sens!$H$2628+Sens!$H$2629+Sens!$H$2630-Sens!$H$2633</f>
        <v>0</v>
      </c>
      <c r="I2637" s="41" t="n">
        <f aca="false">Sens!$I$2628+Sens!$I$2629+Sens!$I$2630-Sens!$I$2633</f>
        <v>0</v>
      </c>
      <c r="J2637" s="41" t="n">
        <f aca="false">Sens!$J$2628+Sens!$J$2629+Sens!$J$2630-Sens!$J$2633</f>
        <v>0</v>
      </c>
      <c r="K2637" s="41" t="n">
        <f aca="false">Sens!$K$2628+Sens!$K$2629+Sens!$K$2630-Sens!$K$2633</f>
        <v>0</v>
      </c>
      <c r="L2637" s="41" t="n">
        <f aca="false">Sens!$L$2628+Sens!$L$2629+Sens!$L$2630-Sens!$L$2633</f>
        <v>0</v>
      </c>
      <c r="M2637" s="41" t="n">
        <f aca="false">Sens!$M$2628+Sens!$M$2629+Sens!$M$2630-Sens!$M$2633</f>
        <v>0</v>
      </c>
      <c r="N2637" s="41" t="n">
        <f aca="false">Sens!$N$2628+Sens!$N$2629+Sens!$N$2630-Sens!$N$2633</f>
        <v>0</v>
      </c>
      <c r="O2637" s="41" t="n">
        <f aca="false">Sens!$O$2628+Sens!$O$2629+Sens!$O$2630-Sens!$O$2633</f>
        <v>0</v>
      </c>
    </row>
    <row r="2638" customFormat="false" ht="17.15" hidden="false" customHeight="false" outlineLevel="0" collapsed="false">
      <c r="A2638" s="1" t="s">
        <v>730</v>
      </c>
    </row>
    <row r="2639" customFormat="false" ht="17.15" hidden="false" customHeight="false" outlineLevel="0" collapsed="false">
      <c r="A2639" s="0" t="s">
        <v>731</v>
      </c>
      <c r="B2639" s="0" t="s">
        <v>86</v>
      </c>
      <c r="C2639" s="38" t="n">
        <f aca="false">Sens!$C$2540*m_ad</f>
        <v>20.5341564414228</v>
      </c>
      <c r="D2639" s="38" t="n">
        <f aca="false">Sens!$D$2540*m_ad</f>
        <v>24.8720617299587</v>
      </c>
      <c r="E2639" s="38" t="n">
        <f aca="false">Sens!$E$2540*m_ad</f>
        <v>13.5017112462207</v>
      </c>
      <c r="F2639" s="38" t="n">
        <f aca="false">Sens!$F$2540*m_ad</f>
        <v>16.5719724165257</v>
      </c>
      <c r="G2639" s="38" t="n">
        <f aca="false">Sens!$G$2540*m_ad</f>
        <v>30.0820919220415</v>
      </c>
      <c r="H2639" s="38" t="n">
        <f aca="false">Sens!$H$2540*m_ad</f>
        <v>36.1150883276314</v>
      </c>
      <c r="I2639" s="38" t="n">
        <f aca="false">Sens!$I$2540*m_ad</f>
        <v>42.1475382231996</v>
      </c>
      <c r="J2639" s="38" t="n">
        <f aca="false">Sens!$J$2540*m_ad</f>
        <v>47.7749523864693</v>
      </c>
      <c r="K2639" s="38" t="n">
        <f aca="false">Sens!$K$2540*m_ad</f>
        <v>52.5524476251162</v>
      </c>
      <c r="L2639" s="38" t="n">
        <f aca="false">Sens!$L$2540*m_ad</f>
        <v>57.8076923876279</v>
      </c>
      <c r="M2639" s="38" t="n">
        <f aca="false">Sens!$M$2540*m_ad</f>
        <v>63.5884616263907</v>
      </c>
      <c r="N2639" s="38" t="n">
        <f aca="false">Sens!$N$2540*m_ad</f>
        <v>10.8543555706248</v>
      </c>
      <c r="O2639" s="38" t="n">
        <f aca="false">Sens!$O$2540*m_ad</f>
        <v>14.0094731821399</v>
      </c>
    </row>
    <row r="2640" customFormat="false" ht="17.15" hidden="false" customHeight="false" outlineLevel="0" collapsed="false">
      <c r="A2640" s="0" t="s">
        <v>732</v>
      </c>
      <c r="B2640" s="0" t="s">
        <v>86</v>
      </c>
      <c r="C2640" s="38" t="n">
        <f aca="false">Sens!$C$2538-Sens!$C$2540</f>
        <v>346.428687117154</v>
      </c>
      <c r="D2640" s="38" t="n">
        <f aca="false">Sens!$D$2538-Sens!$D$2540</f>
        <v>376.560876540083</v>
      </c>
      <c r="E2640" s="38" t="n">
        <f aca="false">Sens!$E$2538-Sens!$E$2540</f>
        <v>193.316577507559</v>
      </c>
      <c r="F2640" s="38" t="n">
        <f aca="false">Sens!$F$2538-Sens!$F$2540</f>
        <v>217.495828647535</v>
      </c>
      <c r="G2640" s="38" t="n">
        <f aca="false">Sens!$G$2538-Sens!$G$2540</f>
        <v>410.795589636503</v>
      </c>
      <c r="H2640" s="38" t="n">
        <f aca="false">Sens!$H$2538-Sens!$H$2540</f>
        <v>449.156813761174</v>
      </c>
      <c r="I2640" s="38" t="n">
        <f aca="false">Sens!$I$2538-Sens!$I$2540</f>
        <v>485.848786441156</v>
      </c>
      <c r="J2640" s="38" t="n">
        <f aca="false">Sens!$J$2538-Sens!$J$2540</f>
        <v>519.841531018994</v>
      </c>
      <c r="K2640" s="38" t="n">
        <f aca="false">Sens!$K$2538-Sens!$K$2540</f>
        <v>550.103332311311</v>
      </c>
      <c r="L2640" s="38" t="n">
        <f aca="false">Sens!$L$2538-Sens!$L$2540</f>
        <v>582.192354474511</v>
      </c>
      <c r="M2640" s="38" t="n">
        <f aca="false">Sens!$M$2538-Sens!$M$2540</f>
        <v>616.22240521081</v>
      </c>
      <c r="N2640" s="38" t="n">
        <f aca="false">Sens!$N$2538-Sens!$N$2540</f>
        <v>171.24628885875</v>
      </c>
      <c r="O2640" s="38" t="n">
        <f aca="false">Sens!$O$2538-Sens!$O$2540</f>
        <v>205.33105363572</v>
      </c>
    </row>
    <row r="2641" customFormat="false" ht="17.15" hidden="false" customHeight="false" outlineLevel="0" collapsed="false">
      <c r="A2641" s="0" t="s">
        <v>733</v>
      </c>
      <c r="B2641" s="0" t="s">
        <v>86</v>
      </c>
      <c r="C2641" s="38" t="n">
        <f aca="false">Sens!$C$2592*Sens!$C$2537</f>
        <v>0.123617442257179</v>
      </c>
      <c r="D2641" s="38" t="n">
        <f aca="false">Sens!$D$2592*Sens!$D$2537</f>
        <v>0.600198046024689</v>
      </c>
      <c r="E2641" s="38" t="n">
        <f aca="false">Sens!$E$2592*Sens!$E$2537</f>
        <v>1.10840000750276</v>
      </c>
      <c r="F2641" s="38" t="n">
        <f aca="false">Sens!$F$2592*Sens!$F$2537</f>
        <v>1.33595298721025</v>
      </c>
      <c r="G2641" s="38" t="n">
        <f aca="false">Sens!$G$2592*Sens!$G$2537</f>
        <v>2.44487335052545</v>
      </c>
      <c r="H2641" s="38" t="n">
        <f aca="false">Sens!$H$2592*Sens!$H$2537</f>
        <v>6.63132711939388</v>
      </c>
      <c r="I2641" s="38" t="n">
        <f aca="false">Sens!$I$2592*Sens!$I$2537</f>
        <v>12.7486799258504</v>
      </c>
      <c r="J2641" s="38" t="n">
        <f aca="false">Sens!$J$2592*Sens!$J$2537</f>
        <v>18.4074045299415</v>
      </c>
      <c r="K2641" s="38" t="n">
        <f aca="false">Sens!$K$2592*Sens!$K$2537</f>
        <v>23.9455472348705</v>
      </c>
      <c r="L2641" s="38" t="n">
        <f aca="false">Sens!$L$2592*Sens!$L$2537</f>
        <v>27.78179156216</v>
      </c>
      <c r="M2641" s="38" t="n">
        <f aca="false">Sens!$M$2592*Sens!$M$2537</f>
        <v>29.9029027327362</v>
      </c>
      <c r="N2641" s="38" t="n">
        <f aca="false">Sens!$N$2592*Sens!$N$2537</f>
        <v>0.25053229484398</v>
      </c>
      <c r="O2641" s="38" t="n">
        <f aca="false">Sens!$O$2592*Sens!$O$2537</f>
        <v>0.349234376756897</v>
      </c>
    </row>
    <row r="2642" customFormat="false" ht="17.15" hidden="false" customHeight="false" outlineLevel="0" collapsed="false">
      <c r="A2642" s="0" t="s">
        <v>734</v>
      </c>
      <c r="B2642" s="0" t="s">
        <v>52</v>
      </c>
      <c r="C2642" s="28" t="n">
        <f aca="false">(Sens!$C$2643-Sens!$C$2639+Sens!$C$2641)/Sens!$C$2640</f>
        <v>0.0131526665379575</v>
      </c>
      <c r="D2642" s="28" t="n">
        <f aca="false">(Sens!$D$2643-Sens!$D$2639+Sens!$D$2641)/Sens!$D$2640</f>
        <v>0.0141999252954702</v>
      </c>
      <c r="E2642" s="28" t="n">
        <f aca="false">(Sens!$E$2643-Sens!$E$2639+Sens!$E$2641)/Sens!$E$2640</f>
        <v>0.0258471819939326</v>
      </c>
      <c r="F2642" s="28" t="n">
        <f aca="false">Sens!$O$2642+(Sens!$E$2642-Sens!$N$2642)</f>
        <v>0.0224302350712874</v>
      </c>
      <c r="G2642" s="28" t="n">
        <f aca="false">(Sens!$G$2643-Sens!$G$2639+Sens!$G$2641)/Sens!$G$2640</f>
        <v>0.0240199351461372</v>
      </c>
      <c r="H2642" s="28" t="n">
        <f aca="false">Sens!$G$2642+step_na</f>
        <v>0.0270199351461372</v>
      </c>
      <c r="I2642" s="28" t="n">
        <f aca="false">Sens!$H$2642+step_na</f>
        <v>0.0300199351461372</v>
      </c>
      <c r="J2642" s="28" t="n">
        <f aca="false">Sens!$I$2642+step_na</f>
        <v>0.0330199351461372</v>
      </c>
      <c r="K2642" s="28" t="n">
        <f aca="false">Sens!$J$2642+step_na</f>
        <v>0.0360199351461372</v>
      </c>
      <c r="L2642" s="28" t="n">
        <f aca="false">Sens!$K$2642</f>
        <v>0.0360199351461372</v>
      </c>
      <c r="M2642" s="28" t="n">
        <f aca="false">Sens!$L$2642</f>
        <v>0.0360199351461372</v>
      </c>
      <c r="N2642" s="28" t="n">
        <f aca="false">(Sens!$N$2643-Sens!$N$2639+Sens!$N$2641)/Sens!$N$2640</f>
        <v>0.0160831323269779</v>
      </c>
      <c r="O2642" s="28" t="n">
        <f aca="false">(Sens!$O$2643-Sens!$O$2639+Sens!$O$2641)/Sens!$O$2640</f>
        <v>0.0126661854043327</v>
      </c>
      <c r="P2642" s="8" t="s">
        <v>735</v>
      </c>
    </row>
    <row r="2643" customFormat="false" ht="17.15" hidden="false" customHeight="false" outlineLevel="0" collapsed="false">
      <c r="A2643" s="1" t="s">
        <v>736</v>
      </c>
      <c r="B2643" s="8" t="s">
        <v>86</v>
      </c>
      <c r="C2643" s="38" t="n">
        <f aca="false">Q!$D$22</f>
        <v>24.967</v>
      </c>
      <c r="D2643" s="38" t="n">
        <f aca="false">Q!$E$22</f>
        <v>29.619</v>
      </c>
      <c r="E2643" s="38" t="n">
        <f aca="false">Q!$P$22</f>
        <v>17.39</v>
      </c>
      <c r="F2643" s="38" t="n">
        <f aca="false">Sens!$F$2639+Sens!$F$2640*Sens!$F$2642-Sens!$F$2641</f>
        <v>20.1145019929041</v>
      </c>
      <c r="G2643" s="38" t="n">
        <f aca="false">Sens!$E$2643+Sens!$F$2643</f>
        <v>37.5045019929041</v>
      </c>
      <c r="H2643" s="38" t="n">
        <f aca="false">Sens!$H$2639+Sens!$H$2640*Sens!$H$2642-Sens!$H$2641</f>
        <v>41.6199491865101</v>
      </c>
      <c r="I2643" s="38" t="n">
        <f aca="false">Sens!$I$2639+Sens!$I$2640*Sens!$I$2642-Sens!$I$2641</f>
        <v>43.9840073571422</v>
      </c>
      <c r="J2643" s="38" t="n">
        <f aca="false">Sens!$J$2639+Sens!$J$2640*Sens!$J$2642-Sens!$J$2641</f>
        <v>46.5326814970436</v>
      </c>
      <c r="K2643" s="38" t="n">
        <f aca="false">Sens!$K$2639+Sens!$K$2640*Sens!$K$2642-Sens!$K$2641</f>
        <v>48.4215867437731</v>
      </c>
      <c r="L2643" s="38" t="n">
        <f aca="false">Sens!$L$2639+Sens!$L$2640*Sens!$L$2642-Sens!$L$2641</f>
        <v>50.9964316762167</v>
      </c>
      <c r="M2643" s="38" t="n">
        <f aca="false">Sens!$M$2639+Sens!$M$2640*Sens!$M$2642-Sens!$M$2641</f>
        <v>55.8818499649445</v>
      </c>
      <c r="N2643" s="38" t="n">
        <f aca="false">Q!$N$22</f>
        <v>13.358</v>
      </c>
      <c r="O2643" s="38" t="n">
        <f aca="false">Q!$O$22</f>
        <v>16.261</v>
      </c>
    </row>
    <row r="2644" customFormat="false" ht="17.15" hidden="false" customHeight="false" outlineLevel="0" collapsed="false">
      <c r="A2644" s="0" t="s">
        <v>737</v>
      </c>
      <c r="B2644" s="0" t="s">
        <v>86</v>
      </c>
      <c r="C2644" s="38" t="n">
        <f aca="false">Sens!$C$2541*m_ad</f>
        <v>7.57284355857716</v>
      </c>
      <c r="D2644" s="38" t="n">
        <f aca="false">Sens!$D$2541*m_ad</f>
        <v>9.44543827004127</v>
      </c>
      <c r="E2644" s="38" t="n">
        <f aca="false">Sens!$E$2541*m_ad</f>
        <v>5.02428875377928</v>
      </c>
      <c r="F2644" s="38" t="n">
        <f aca="false">Sens!$F$2541*m_ad</f>
        <v>6.50663858068173</v>
      </c>
      <c r="G2644" s="38" t="n">
        <f aca="false">Sens!$G$2541*m_ad</f>
        <v>11.5225190751659</v>
      </c>
      <c r="H2644" s="38" t="n">
        <f aca="false">Sens!$H$2541*m_ad</f>
        <v>13.8333728663174</v>
      </c>
      <c r="I2644" s="38" t="n">
        <f aca="false">Sens!$I$2541*m_ad</f>
        <v>16.1440173245485</v>
      </c>
      <c r="J2644" s="38" t="n">
        <f aca="false">Sens!$J$2541*m_ad</f>
        <v>18.2995185845066</v>
      </c>
      <c r="K2644" s="38" t="n">
        <f aca="false">Sens!$K$2541*m_ad</f>
        <v>20.1294704429572</v>
      </c>
      <c r="L2644" s="38" t="n">
        <f aca="false">Sens!$L$2541*m_ad</f>
        <v>22.142417487253</v>
      </c>
      <c r="M2644" s="38" t="n">
        <f aca="false">Sens!$M$2541*m_ad</f>
        <v>24.3566592359783</v>
      </c>
      <c r="N2644" s="38" t="n">
        <f aca="false">Sens!$N$2541*m_ad</f>
        <v>3.95314442937518</v>
      </c>
      <c r="O2644" s="38" t="n">
        <f aca="false">Sens!$O$2541*m_ad</f>
        <v>5.50052681786011</v>
      </c>
    </row>
    <row r="2645" customFormat="false" ht="17.15" hidden="false" customHeight="false" outlineLevel="0" collapsed="false">
      <c r="A2645" s="0" t="s">
        <v>738</v>
      </c>
      <c r="B2645" s="0" t="s">
        <v>86</v>
      </c>
      <c r="C2645" s="38" t="n">
        <f aca="false">Sens!$C$2539-Sens!$C$2541</f>
        <v>127.760312882846</v>
      </c>
      <c r="D2645" s="38" t="n">
        <f aca="false">Sens!$D$2539-Sens!$D$2541</f>
        <v>143.003123459917</v>
      </c>
      <c r="E2645" s="38" t="n">
        <f aca="false">Sens!$E$2539-Sens!$E$2541</f>
        <v>71.9374224924414</v>
      </c>
      <c r="F2645" s="38" t="n">
        <f aca="false">Sens!$F$2539-Sens!$F$2541</f>
        <v>85.3951910035875</v>
      </c>
      <c r="G2645" s="38" t="n">
        <f aca="false">Sens!$G$2539-Sens!$G$2541</f>
        <v>157.349430014619</v>
      </c>
      <c r="H2645" s="38" t="n">
        <f aca="false">Sens!$H$2539-Sens!$H$2541</f>
        <v>172.043153372315</v>
      </c>
      <c r="I2645" s="38" t="n">
        <f aca="false">Sens!$I$2539-Sens!$I$2541</f>
        <v>186.097493615879</v>
      </c>
      <c r="J2645" s="38" t="n">
        <f aca="false">Sens!$J$2539-Sens!$J$2541</f>
        <v>199.117932780497</v>
      </c>
      <c r="K2645" s="38" t="n">
        <f aca="false">Sens!$K$2539-Sens!$K$2541</f>
        <v>210.70928698363</v>
      </c>
      <c r="L2645" s="38" t="n">
        <f aca="false">Sens!$L$2539-Sens!$L$2541</f>
        <v>223.000532251316</v>
      </c>
      <c r="M2645" s="38" t="n">
        <f aca="false">Sens!$M$2539-Sens!$M$2541</f>
        <v>236.035261011339</v>
      </c>
      <c r="N2645" s="38" t="n">
        <f aca="false">Sens!$N$2539-Sens!$N$2541</f>
        <v>62.3677111412496</v>
      </c>
      <c r="O2645" s="38" t="n">
        <f aca="false">Sens!$O$2539-Sens!$O$2541</f>
        <v>80.6189463642798</v>
      </c>
    </row>
    <row r="2646" customFormat="false" ht="17.15" hidden="false" customHeight="false" outlineLevel="0" collapsed="false">
      <c r="A2646" s="0" t="s">
        <v>739</v>
      </c>
      <c r="B2646" s="0" t="s">
        <v>86</v>
      </c>
      <c r="C2646" s="38" t="n">
        <f aca="false">Sens!$C$2592*(1-Sens!$C$2537)</f>
        <v>0.0455891896019953</v>
      </c>
      <c r="D2646" s="38" t="n">
        <f aca="false">Sens!$D$2592*(1-Sens!$D$2537)</f>
        <v>0.227931791705753</v>
      </c>
      <c r="E2646" s="38" t="n">
        <f aca="false">Sens!$E$2592*(1-Sens!$E$2537)</f>
        <v>0.412460434890711</v>
      </c>
      <c r="F2646" s="38" t="n">
        <f aca="false">Sens!$F$2592*(1-Sens!$F$2537)</f>
        <v>0.524534016233997</v>
      </c>
      <c r="G2646" s="38" t="n">
        <f aca="false">Sens!$G$2592*(1-Sens!$G$2537)</f>
        <v>0.936474095312266</v>
      </c>
      <c r="H2646" s="38" t="n">
        <f aca="false">Sens!$H$2592*(1-Sens!$H$2537)</f>
        <v>2.54003589327823</v>
      </c>
      <c r="I2646" s="38" t="n">
        <f aca="false">Sens!$I$2592*(1-Sens!$I$2537)</f>
        <v>4.88320120852905</v>
      </c>
      <c r="J2646" s="38" t="n">
        <f aca="false">Sens!$J$2592*(1-Sens!$J$2537)</f>
        <v>7.05069548920359</v>
      </c>
      <c r="K2646" s="38" t="n">
        <f aca="false">Sens!$K$2592*(1-Sens!$K$2537)</f>
        <v>9.17200258193867</v>
      </c>
      <c r="L2646" s="38" t="n">
        <f aca="false">Sens!$L$2592*(1-Sens!$L$2537)</f>
        <v>10.6414216154535</v>
      </c>
      <c r="M2646" s="38" t="n">
        <f aca="false">Sens!$M$2592*(1-Sens!$M$2537)</f>
        <v>11.4538831951485</v>
      </c>
      <c r="N2646" s="38" t="n">
        <f aca="false">Sens!$N$2592*(1-Sens!$N$2537)</f>
        <v>0.0912435878202994</v>
      </c>
      <c r="O2646" s="38" t="n">
        <f aca="false">Sens!$O$2592*(1-Sens!$O$2537)</f>
        <v>0.137119578309265</v>
      </c>
    </row>
    <row r="2647" customFormat="false" ht="17.15" hidden="false" customHeight="false" outlineLevel="0" collapsed="false">
      <c r="A2647" s="0" t="s">
        <v>740</v>
      </c>
      <c r="B2647" s="0" t="s">
        <v>52</v>
      </c>
      <c r="C2647" s="28" t="n">
        <f aca="false">(Sens!$C$2648-Sens!$C$2644+Sens!$C$2646)/Sens!$C$2645</f>
        <v>-0.0292364215826579</v>
      </c>
      <c r="D2647" s="28" t="n">
        <f aca="false">(Sens!$D$2648-Sens!$D$2644+Sens!$D$2646)/Sens!$D$2645</f>
        <v>-0.0312406216748665</v>
      </c>
      <c r="E2647" s="28" t="n">
        <f aca="false">(Sens!$E$2648-Sens!$E$2644+Sens!$E$2646)/Sens!$E$2645</f>
        <v>-0.0204459413185552</v>
      </c>
      <c r="F2647" s="28" t="n">
        <f aca="false">Sens!$O$2647+(Sens!$E$2647-Sens!$N$2647)</f>
        <v>-0.0375409290246314</v>
      </c>
      <c r="G2647" s="28" t="n">
        <f aca="false">(Sens!$G$2648-Sens!$G$2644+Sens!$G$2646)/Sens!$G$2645</f>
        <v>-0.0296712560031684</v>
      </c>
      <c r="H2647" s="28" t="n">
        <f aca="false">Sens!$G$2647+step_in</f>
        <v>-0.0296712560031684</v>
      </c>
      <c r="I2647" s="28" t="n">
        <f aca="false">Sens!$H$2647+step_in</f>
        <v>-0.0296712560031684</v>
      </c>
      <c r="J2647" s="28" t="n">
        <f aca="false">Sens!$I$2647+step_in</f>
        <v>-0.0296712560031684</v>
      </c>
      <c r="K2647" s="28" t="n">
        <f aca="false">Sens!$J$2647+step_in</f>
        <v>-0.0296712560031684</v>
      </c>
      <c r="L2647" s="28" t="n">
        <f aca="false">Sens!$K$2647</f>
        <v>-0.0296712560031684</v>
      </c>
      <c r="M2647" s="28" t="n">
        <f aca="false">Sens!$L$2647</f>
        <v>-0.0296712560031684</v>
      </c>
      <c r="N2647" s="28" t="n">
        <f aca="false">(Sens!$N$2648-Sens!$N$2644+Sens!$N$2646)/Sens!$N$2645</f>
        <v>-0.0216602600421776</v>
      </c>
      <c r="O2647" s="28" t="n">
        <f aca="false">(Sens!$O$2648-Sens!$O$2644+Sens!$O$2646)/Sens!$O$2645</f>
        <v>-0.0387552477482538</v>
      </c>
      <c r="P2647" s="8" t="s">
        <v>735</v>
      </c>
    </row>
    <row r="2648" customFormat="false" ht="17.15" hidden="false" customHeight="false" outlineLevel="0" collapsed="false">
      <c r="A2648" s="1" t="s">
        <v>741</v>
      </c>
      <c r="B2648" s="8" t="s">
        <v>86</v>
      </c>
      <c r="C2648" s="38" t="n">
        <f aca="false">Q!$D$23</f>
        <v>3.792</v>
      </c>
      <c r="D2648" s="38" t="n">
        <f aca="false">Q!$E$23</f>
        <v>4.75</v>
      </c>
      <c r="E2648" s="38" t="n">
        <f aca="false">Q!$P$23</f>
        <v>3.141</v>
      </c>
      <c r="F2648" s="38" t="n">
        <f aca="false">Sens!$F$2644+Sens!$F$2645*Sens!$F$2647-Sens!$F$2646</f>
        <v>2.77628975993721</v>
      </c>
      <c r="G2648" s="38" t="n">
        <f aca="false">Sens!$E$2648+Sens!$F$2648</f>
        <v>5.91728975993721</v>
      </c>
      <c r="H2648" s="38" t="n">
        <f aca="false">Sens!$H$2644+Sens!$H$2645*Sens!$H$2647-Sens!$H$2646</f>
        <v>6.18860052573681</v>
      </c>
      <c r="I2648" s="38" t="n">
        <f aca="false">Sens!$I$2644+Sens!$I$2645*Sens!$I$2647-Sens!$I$2646</f>
        <v>5.73906974139474</v>
      </c>
      <c r="J2648" s="38" t="n">
        <f aca="false">Sens!$J$2644+Sens!$J$2645*Sens!$J$2647-Sens!$J$2646</f>
        <v>5.34074393695119</v>
      </c>
      <c r="K2648" s="38" t="n">
        <f aca="false">Sens!$K$2644+Sens!$K$2645*Sens!$K$2647-Sens!$K$2646</f>
        <v>4.7054586646822</v>
      </c>
      <c r="L2648" s="38" t="n">
        <f aca="false">Sens!$L$2644+Sens!$L$2645*Sens!$L$2647-Sens!$L$2646</f>
        <v>4.88428999052786</v>
      </c>
      <c r="M2648" s="38" t="n">
        <f aca="false">Sens!$M$2644+Sens!$M$2645*Sens!$M$2647-Sens!$M$2646</f>
        <v>5.89931338558769</v>
      </c>
      <c r="N2648" s="38" t="n">
        <f aca="false">Q!$N$23</f>
        <v>2.511</v>
      </c>
      <c r="O2648" s="38" t="n">
        <f aca="false">Q!$O$23</f>
        <v>2.239</v>
      </c>
    </row>
    <row r="2649" customFormat="false" ht="17.15" hidden="false" customHeight="false" outlineLevel="0" collapsed="false">
      <c r="A2649" s="0" t="s">
        <v>742</v>
      </c>
      <c r="B2649" s="0" t="s">
        <v>86</v>
      </c>
      <c r="C2649" s="38" t="n">
        <f aca="false">Sens!$C$2589</f>
        <v>1.64417882953695</v>
      </c>
      <c r="D2649" s="38" t="n">
        <f aca="false">Sens!$D$2589</f>
        <v>5.39125073772939</v>
      </c>
      <c r="E2649" s="38" t="n">
        <f aca="false">Sens!$E$2589</f>
        <v>2.42691120599613</v>
      </c>
      <c r="F2649" s="38" t="n">
        <f aca="false">Sens!$F$2589</f>
        <v>7.52148563094346</v>
      </c>
      <c r="G2649" s="38" t="n">
        <f aca="false">Sens!$G$2589</f>
        <v>9.94839683693959</v>
      </c>
      <c r="H2649" s="38" t="n">
        <f aca="false">Sens!$H$2589</f>
        <v>23.4804386990861</v>
      </c>
      <c r="I2649" s="38" t="n">
        <f aca="false">Sens!$I$2589</f>
        <v>30.9761745989143</v>
      </c>
      <c r="J2649" s="38" t="n">
        <f aca="false">Sens!$J$2589</f>
        <v>41.1930070746977</v>
      </c>
      <c r="K2649" s="38" t="n">
        <f aca="false">Sens!$K$2589</f>
        <v>45.9779211159428</v>
      </c>
      <c r="L2649" s="38" t="n">
        <f aca="false">Sens!$L$2589</f>
        <v>48.0352490919424</v>
      </c>
      <c r="M2649" s="38" t="n">
        <f aca="false">Sens!$M$2589</f>
        <v>47.4082976573265</v>
      </c>
      <c r="N2649" s="38" t="n">
        <f aca="false">Sens!$N$2589</f>
        <v>1.67921600037079</v>
      </c>
      <c r="O2649" s="38" t="n">
        <f aca="false">Sens!$O$2589</f>
        <v>3.71203473735861</v>
      </c>
    </row>
    <row r="2650" customFormat="false" ht="17.15" hidden="false" customHeight="false" outlineLevel="0" collapsed="false">
      <c r="A2650" s="0" t="s">
        <v>660</v>
      </c>
      <c r="B2650" s="0" t="s">
        <v>86</v>
      </c>
      <c r="C2650" s="38" t="n">
        <f aca="false">Sens!$C$2594</f>
        <v>38.1898211704631</v>
      </c>
      <c r="D2650" s="38" t="n">
        <f aca="false">Sens!$D$2594</f>
        <v>40.2147492622706</v>
      </c>
      <c r="E2650" s="38" t="n">
        <f aca="false">Sens!$E$2594</f>
        <v>28.3550887940039</v>
      </c>
      <c r="F2650" s="38" t="n">
        <f aca="false">Sens!$F$2594</f>
        <v>25.9529793149447</v>
      </c>
      <c r="G2650" s="38" t="n">
        <f aca="false">Sens!$G$2594</f>
        <v>54.3080681089486</v>
      </c>
      <c r="H2650" s="38" t="n">
        <f aca="false">Sens!$H$2594</f>
        <v>58.2264684589333</v>
      </c>
      <c r="I2650" s="38" t="n">
        <f aca="false">Sens!$I$2594</f>
        <v>64.6461353851744</v>
      </c>
      <c r="J2650" s="38" t="n">
        <f aca="false">Sens!$J$2594</f>
        <v>70.7957093610231</v>
      </c>
      <c r="K2650" s="38" t="n">
        <f aca="false">Sens!$K$2594</f>
        <v>76.4593661099049</v>
      </c>
      <c r="L2650" s="38" t="n">
        <f aca="false">Sens!$L$2594</f>
        <v>82.5761153986973</v>
      </c>
      <c r="M2650" s="38" t="n">
        <f aca="false">Sens!$M$2594</f>
        <v>89.1822046305931</v>
      </c>
      <c r="N2650" s="38" t="n">
        <f aca="false">Sens!$N$2594</f>
        <v>20.0277839996292</v>
      </c>
      <c r="O2650" s="38" t="n">
        <f aca="false">Sens!$O$2594</f>
        <v>20.1869652626414</v>
      </c>
    </row>
    <row r="2651" customFormat="false" ht="17.15" hidden="false" customHeight="false" outlineLevel="0" collapsed="false">
      <c r="A2651" s="1" t="s">
        <v>743</v>
      </c>
      <c r="B2651" s="8" t="s">
        <v>86</v>
      </c>
      <c r="C2651" s="38" t="n">
        <f aca="false">Q!$D$24</f>
        <v>39.834</v>
      </c>
      <c r="D2651" s="38" t="n">
        <f aca="false">Q!$E$24</f>
        <v>45.606</v>
      </c>
      <c r="E2651" s="38" t="n">
        <f aca="false">Q!$P$24</f>
        <v>30.782</v>
      </c>
      <c r="F2651" s="38" t="n">
        <f aca="false">Sens!$F$2649+Sens!$F$2650</f>
        <v>33.4744649458882</v>
      </c>
      <c r="G2651" s="38" t="n">
        <f aca="false">Sens!$G$2649+Sens!$G$2650</f>
        <v>64.2564649458882</v>
      </c>
      <c r="H2651" s="38" t="n">
        <f aca="false">Sens!$H$2649+Sens!$H$2650</f>
        <v>81.7069071580194</v>
      </c>
      <c r="I2651" s="38" t="n">
        <f aca="false">Sens!$I$2649+Sens!$I$2650</f>
        <v>95.6223099840887</v>
      </c>
      <c r="J2651" s="38" t="n">
        <f aca="false">Sens!$J$2649+Sens!$J$2650</f>
        <v>111.988716435721</v>
      </c>
      <c r="K2651" s="38" t="n">
        <f aca="false">Sens!$K$2649+Sens!$K$2650</f>
        <v>122.437287225848</v>
      </c>
      <c r="L2651" s="38" t="n">
        <f aca="false">Sens!$L$2649+Sens!$L$2650</f>
        <v>130.61136449064</v>
      </c>
      <c r="M2651" s="38" t="n">
        <f aca="false">Sens!$M$2649+Sens!$M$2650</f>
        <v>136.59050228792</v>
      </c>
      <c r="N2651" s="38" t="n">
        <f aca="false">Q!$N$24</f>
        <v>21.707</v>
      </c>
      <c r="O2651" s="38" t="n">
        <f aca="false">Q!$O$24</f>
        <v>23.899</v>
      </c>
    </row>
    <row r="2652" customFormat="false" ht="17.15" hidden="false" customHeight="false" outlineLevel="0" collapsed="false">
      <c r="A2652" s="5" t="s">
        <v>744</v>
      </c>
      <c r="B2652" s="0" t="s">
        <v>86</v>
      </c>
      <c r="C2652" s="38" t="n">
        <f aca="false">Q!$D$26</f>
        <v>0</v>
      </c>
      <c r="D2652" s="38" t="n">
        <f aca="false">Q!$E$26</f>
        <v>0</v>
      </c>
      <c r="E2652" s="38" t="n">
        <f aca="false">Q!$P$26</f>
        <v>0</v>
      </c>
      <c r="F2652" s="39" t="n">
        <v>0</v>
      </c>
      <c r="G2652" s="38" t="n">
        <f aca="false">Sens!$E$2652+Sens!$F$2652</f>
        <v>0</v>
      </c>
      <c r="H2652" s="39" t="n">
        <v>0</v>
      </c>
      <c r="I2652" s="39" t="n">
        <v>0</v>
      </c>
      <c r="J2652" s="39" t="n">
        <v>0</v>
      </c>
      <c r="K2652" s="39" t="n">
        <v>0</v>
      </c>
      <c r="L2652" s="39" t="n">
        <v>0</v>
      </c>
      <c r="M2652" s="39" t="n">
        <v>0</v>
      </c>
      <c r="N2652" s="38" t="n">
        <f aca="false">Q!$N$26</f>
        <v>0</v>
      </c>
      <c r="O2652" s="38" t="n">
        <f aca="false">Q!$O$26</f>
        <v>0</v>
      </c>
    </row>
    <row r="2653" customFormat="false" ht="15" hidden="false" customHeight="false" outlineLevel="0" collapsed="false">
      <c r="A2653" s="3" t="s">
        <v>541</v>
      </c>
      <c r="B2653" s="8" t="s">
        <v>86</v>
      </c>
      <c r="C2653" s="38" t="n">
        <f aca="false">Q!$D$25</f>
        <v>68.593</v>
      </c>
      <c r="D2653" s="38" t="n">
        <f aca="false">Q!$E$25</f>
        <v>79.975</v>
      </c>
      <c r="E2653" s="38" t="n">
        <f aca="false">Q!$P$25</f>
        <v>51.313</v>
      </c>
      <c r="F2653" s="38" t="n">
        <f aca="false">Sens!$F$2643+Sens!$F$2648+Sens!$F$2651+Sens!$F$2652</f>
        <v>56.3652566987294</v>
      </c>
      <c r="G2653" s="38" t="n">
        <f aca="false">Sens!$G$2643+Sens!$G$2648+Sens!$G$2651+Sens!$G$2652</f>
        <v>107.678256698729</v>
      </c>
      <c r="H2653" s="38" t="n">
        <f aca="false">Sens!$H$2643+Sens!$H$2648+Sens!$H$2651+Sens!$H$2652</f>
        <v>129.515456870266</v>
      </c>
      <c r="I2653" s="38" t="n">
        <f aca="false">Sens!$I$2643+Sens!$I$2648+Sens!$I$2651+Sens!$I$2652</f>
        <v>145.345387082626</v>
      </c>
      <c r="J2653" s="38" t="n">
        <f aca="false">Sens!$J$2643+Sens!$J$2648+Sens!$J$2651+Sens!$J$2652</f>
        <v>163.862141869716</v>
      </c>
      <c r="K2653" s="38" t="n">
        <f aca="false">Sens!$K$2643+Sens!$K$2648+Sens!$K$2651+Sens!$K$2652</f>
        <v>175.564332634303</v>
      </c>
      <c r="L2653" s="38" t="n">
        <f aca="false">Sens!$L$2643+Sens!$L$2648+Sens!$L$2651+Sens!$L$2652</f>
        <v>186.492086157384</v>
      </c>
      <c r="M2653" s="38" t="n">
        <f aca="false">Sens!$M$2643+Sens!$M$2648+Sens!$M$2651+Sens!$M$2652</f>
        <v>198.371665638452</v>
      </c>
      <c r="N2653" s="38" t="n">
        <f aca="false">Q!$N$25</f>
        <v>37.576</v>
      </c>
      <c r="O2653" s="38" t="n">
        <f aca="false">Q!$O$25</f>
        <v>42.399</v>
      </c>
    </row>
    <row r="2654" customFormat="false" ht="17.15" hidden="false" customHeight="false" outlineLevel="0" collapsed="false">
      <c r="A2654" s="24" t="s">
        <v>775</v>
      </c>
      <c r="B2654" s="25" t="s">
        <v>86</v>
      </c>
      <c r="C2654" s="41" t="n">
        <f aca="false">Sens!$C$2643+Sens!$C$2648+Sens!$C$2651+Sens!$C$2652-Sens!$C$2653</f>
        <v>0</v>
      </c>
      <c r="D2654" s="41" t="n">
        <f aca="false">Sens!$D$2643+Sens!$D$2648+Sens!$D$2651+Sens!$D$2652-Sens!$D$2653</f>
        <v>0</v>
      </c>
      <c r="E2654" s="41" t="n">
        <f aca="false">Sens!$E$2643+Sens!$E$2648+Sens!$E$2651+Sens!$E$2652-Sens!$E$2653</f>
        <v>0</v>
      </c>
      <c r="F2654" s="41" t="n">
        <f aca="false">Sens!$F$2643+Sens!$F$2648+Sens!$F$2651+Sens!$F$2652-Sens!$F$2653</f>
        <v>0</v>
      </c>
      <c r="G2654" s="41" t="n">
        <f aca="false">Sens!$G$2643+Sens!$G$2648+Sens!$G$2651+Sens!$G$2652-Sens!$G$2653</f>
        <v>0</v>
      </c>
      <c r="H2654" s="41" t="n">
        <f aca="false">Sens!$H$2643+Sens!$H$2648+Sens!$H$2651+Sens!$H$2652-Sens!$H$2653</f>
        <v>0</v>
      </c>
      <c r="I2654" s="41" t="n">
        <f aca="false">Sens!$I$2643+Sens!$I$2648+Sens!$I$2651+Sens!$I$2652-Sens!$I$2653</f>
        <v>0</v>
      </c>
      <c r="J2654" s="41" t="n">
        <f aca="false">Sens!$J$2643+Sens!$J$2648+Sens!$J$2651+Sens!$J$2652-Sens!$J$2653</f>
        <v>0</v>
      </c>
      <c r="K2654" s="41" t="n">
        <f aca="false">Sens!$K$2643+Sens!$K$2648+Sens!$K$2651+Sens!$K$2652-Sens!$K$2653</f>
        <v>0</v>
      </c>
      <c r="L2654" s="41" t="n">
        <f aca="false">Sens!$L$2643+Sens!$L$2648+Sens!$L$2651+Sens!$L$2652-Sens!$L$2653</f>
        <v>0</v>
      </c>
      <c r="M2654" s="41" t="n">
        <f aca="false">Sens!$M$2643+Sens!$M$2648+Sens!$M$2651+Sens!$M$2652-Sens!$M$2653</f>
        <v>0</v>
      </c>
      <c r="N2654" s="41" t="n">
        <f aca="false">Sens!$N$2643+Sens!$N$2648+Sens!$N$2651+Sens!$N$2652-Sens!$N$2653</f>
        <v>0</v>
      </c>
      <c r="O2654" s="41" t="n">
        <f aca="false">Sens!$O$2643+Sens!$O$2648+Sens!$O$2651+Sens!$O$2652-Sens!$O$2653</f>
        <v>0</v>
      </c>
    </row>
    <row r="2655" customFormat="false" ht="17.15" hidden="false" customHeight="false" outlineLevel="0" collapsed="false">
      <c r="A2655" s="5" t="s">
        <v>746</v>
      </c>
      <c r="B2655" s="0" t="s">
        <v>86</v>
      </c>
      <c r="C2655" s="38" t="n">
        <f aca="false">Sens!$C$2591</f>
        <v>0</v>
      </c>
      <c r="D2655" s="38" t="n">
        <f aca="false">Sens!$D$2591</f>
        <v>0</v>
      </c>
      <c r="E2655" s="38" t="n">
        <f aca="false">Sens!$E$2591</f>
        <v>0</v>
      </c>
      <c r="F2655" s="38" t="n">
        <f aca="false">Sens!$F$2591</f>
        <v>0</v>
      </c>
      <c r="G2655" s="38" t="n">
        <f aca="false">Sens!$G$2591</f>
        <v>0</v>
      </c>
      <c r="H2655" s="38" t="n">
        <f aca="false">Sens!$H$2591</f>
        <v>0</v>
      </c>
      <c r="I2655" s="38" t="n">
        <f aca="false">Sens!$I$2591</f>
        <v>0</v>
      </c>
      <c r="J2655" s="38" t="n">
        <f aca="false">Sens!$J$2591</f>
        <v>0</v>
      </c>
      <c r="K2655" s="38" t="n">
        <f aca="false">Sens!$K$2591</f>
        <v>0</v>
      </c>
      <c r="L2655" s="38" t="n">
        <f aca="false">Sens!$L$2591</f>
        <v>0</v>
      </c>
      <c r="M2655" s="38" t="n">
        <f aca="false">Sens!$M$2591</f>
        <v>0</v>
      </c>
      <c r="N2655" s="38" t="n">
        <f aca="false">Sens!$N$2591</f>
        <v>0</v>
      </c>
      <c r="O2655" s="38" t="n">
        <f aca="false">Sens!$O$2591</f>
        <v>0</v>
      </c>
      <c r="P2655" s="5" t="s">
        <v>747</v>
      </c>
    </row>
    <row r="2656" customFormat="false" ht="17.15" hidden="false" customHeight="false" outlineLevel="0" collapsed="false">
      <c r="A2656" s="5" t="s">
        <v>748</v>
      </c>
      <c r="B2656" s="0" t="s">
        <v>86</v>
      </c>
      <c r="C2656" s="38" t="n">
        <f aca="false">Sens!$C$2653+Sens!$C$2655</f>
        <v>68.593</v>
      </c>
      <c r="D2656" s="38" t="n">
        <f aca="false">Sens!$D$2653+Sens!$D$2655</f>
        <v>79.975</v>
      </c>
      <c r="E2656" s="38" t="n">
        <f aca="false">Sens!$E$2653+Sens!$E$2655</f>
        <v>51.313</v>
      </c>
      <c r="F2656" s="38" t="n">
        <f aca="false">Sens!$F$2653+Sens!$F$2655</f>
        <v>56.3652566987294</v>
      </c>
      <c r="G2656" s="38" t="n">
        <f aca="false">Sens!$G$2653+Sens!$G$2655</f>
        <v>107.678256698729</v>
      </c>
      <c r="H2656" s="38" t="n">
        <f aca="false">Sens!$H$2653+Sens!$H$2655</f>
        <v>129.515456870266</v>
      </c>
      <c r="I2656" s="38" t="n">
        <f aca="false">Sens!$I$2653+Sens!$I$2655</f>
        <v>145.345387082626</v>
      </c>
      <c r="J2656" s="38" t="n">
        <f aca="false">Sens!$J$2653+Sens!$J$2655</f>
        <v>163.862141869716</v>
      </c>
      <c r="K2656" s="38" t="n">
        <f aca="false">Sens!$K$2653+Sens!$K$2655</f>
        <v>175.564332634303</v>
      </c>
      <c r="L2656" s="38" t="n">
        <f aca="false">Sens!$L$2653+Sens!$L$2655</f>
        <v>186.492086157384</v>
      </c>
      <c r="M2656" s="38" t="n">
        <f aca="false">Sens!$M$2653+Sens!$M$2655</f>
        <v>198.371665638452</v>
      </c>
      <c r="N2656" s="38" t="n">
        <f aca="false">Sens!$N$2653+Sens!$N$2655</f>
        <v>37.576</v>
      </c>
      <c r="O2656" s="38" t="n">
        <f aca="false">Sens!$O$2653+Sens!$O$2655</f>
        <v>42.399</v>
      </c>
    </row>
    <row r="2657" customFormat="false" ht="17.15" hidden="false" customHeight="false" outlineLevel="0" collapsed="false">
      <c r="A2657" s="0" t="s">
        <v>749</v>
      </c>
      <c r="B2657" s="0" t="s">
        <v>52</v>
      </c>
      <c r="C2657" s="13" t="n">
        <f aca="false">Sens!$C$2643/Sens!$C$2628</f>
        <v>0.0644314665661928</v>
      </c>
      <c r="D2657" s="13" t="n">
        <f aca="false">Sens!$D$2643/Sens!$D$2628</f>
        <v>0.0694784250712518</v>
      </c>
      <c r="E2657" s="13" t="n">
        <f aca="false">Sens!$E$2643/Sens!$E$2628</f>
        <v>0.0789306463326071</v>
      </c>
      <c r="F2657" s="13" t="n">
        <f aca="false">Sens!$F$2643/Sens!$F$2628</f>
        <v>0.0802526339438384</v>
      </c>
      <c r="G2657" s="13" t="n">
        <f aca="false">Sens!$G$2643/Sens!$G$2628</f>
        <v>0.0796341940538369</v>
      </c>
      <c r="H2657" s="13" t="n">
        <f aca="false">Sens!$H$2643/Sens!$H$2628</f>
        <v>0.0798254462645258</v>
      </c>
      <c r="I2657" s="13" t="n">
        <f aca="false">Sens!$I$2643/Sens!$I$2628</f>
        <v>0.0771454543672196</v>
      </c>
      <c r="J2657" s="13" t="n">
        <f aca="false">Sens!$J$2643/Sens!$J$2628</f>
        <v>0.0756147693819656</v>
      </c>
      <c r="K2657" s="13" t="n">
        <f aca="false">Sens!$K$2643/Sens!$K$2628</f>
        <v>0.0739025926520816</v>
      </c>
      <c r="L2657" s="13" t="n">
        <f aca="false">Sens!$L$2643/Sens!$L$2628</f>
        <v>0.0730809201558074</v>
      </c>
      <c r="M2657" s="13" t="n">
        <f aca="false">Sens!$M$2643/Sens!$M$2628</f>
        <v>0.0751707027775199</v>
      </c>
      <c r="N2657" s="13" t="n">
        <f aca="false">Sens!$N$2643/Sens!$N$2628</f>
        <v>0.069228576611127</v>
      </c>
      <c r="O2657" s="13" t="n">
        <f aca="false">Sens!$O$2643/Sens!$O$2628</f>
        <v>0.069685022498393</v>
      </c>
    </row>
    <row r="2658" customFormat="false" ht="17.15" hidden="false" customHeight="false" outlineLevel="0" collapsed="false">
      <c r="A2658" s="0" t="s">
        <v>750</v>
      </c>
      <c r="B2658" s="0" t="s">
        <v>52</v>
      </c>
      <c r="C2658" s="13" t="n">
        <f aca="false">Sens!$C$2648/Sens!$C$2629</f>
        <v>0.026534925055631</v>
      </c>
      <c r="D2658" s="13" t="n">
        <f aca="false">Sens!$D$2648/Sens!$D$2629</f>
        <v>0.0293401855535103</v>
      </c>
      <c r="E2658" s="13" t="n">
        <f aca="false">Sens!$E$2648/Sens!$E$2629</f>
        <v>0.03831141902276</v>
      </c>
      <c r="F2658" s="13" t="n">
        <f aca="false">Sens!$F$2648/Sens!$F$2629</f>
        <v>0.0282118989524726</v>
      </c>
      <c r="G2658" s="13" t="n">
        <f aca="false">Sens!$G$2648/Sens!$G$2629</f>
        <v>0.0328019468674976</v>
      </c>
      <c r="H2658" s="13" t="n">
        <f aca="false">Sens!$H$2648/Sens!$H$2629</f>
        <v>0.0309879507899839</v>
      </c>
      <c r="I2658" s="13" t="n">
        <f aca="false">Sens!$I$2648/Sens!$I$2629</f>
        <v>0.0262795332043765</v>
      </c>
      <c r="J2658" s="13" t="n">
        <f aca="false">Sens!$J$2648/Sens!$J$2629</f>
        <v>0.0226574435353346</v>
      </c>
      <c r="K2658" s="13" t="n">
        <f aca="false">Sens!$K$2648/Sens!$K$2629</f>
        <v>0.0187492205871101</v>
      </c>
      <c r="L2658" s="13" t="n">
        <f aca="false">Sens!$L$2648/Sens!$L$2629</f>
        <v>0.018273690180732</v>
      </c>
      <c r="M2658" s="13" t="n">
        <f aca="false">Sens!$M$2648/Sens!$M$2629</f>
        <v>0.0207176218272716</v>
      </c>
      <c r="N2658" s="13" t="n">
        <f aca="false">Sens!$N$2648/Sens!$N$2629</f>
        <v>0.0357315650169337</v>
      </c>
      <c r="O2658" s="13" t="n">
        <f aca="false">Sens!$O$2648/Sens!$O$2629</f>
        <v>0.0244378956559703</v>
      </c>
    </row>
    <row r="2659" customFormat="false" ht="17.15" hidden="false" customHeight="false" outlineLevel="0" collapsed="false">
      <c r="A2659" s="14" t="s">
        <v>751</v>
      </c>
      <c r="B2659" s="14" t="s">
        <v>52</v>
      </c>
      <c r="C2659" s="17" t="n">
        <f aca="false">Sens!$C$2651/Sens!$C$2630</f>
        <v>0.370355907620217</v>
      </c>
      <c r="D2659" s="17" t="n">
        <f aca="false">Sens!$D$2651/Sens!$D$2630</f>
        <v>0.35429015342785</v>
      </c>
      <c r="E2659" s="17" t="n">
        <f aca="false">Sens!$E$2651/Sens!$E$2630</f>
        <v>0.385647527531039</v>
      </c>
      <c r="F2659" s="17" t="n">
        <f aca="false">Sens!$F$2651/Sens!$F$2630</f>
        <v>0.385949613469105</v>
      </c>
      <c r="G2659" s="17" t="n">
        <f aca="false">Sens!$G$2651/Sens!$G$2630</f>
        <v>0.385804840448779</v>
      </c>
      <c r="H2659" s="17" t="n">
        <f aca="false">Sens!$H$2651/Sens!$H$2630</f>
        <v>0.369408675360557</v>
      </c>
      <c r="I2659" s="17" t="n">
        <f aca="false">Sens!$I$2651/Sens!$I$2630</f>
        <v>0.34117504540738</v>
      </c>
      <c r="J2659" s="17" t="n">
        <f aca="false">Sens!$J$2651/Sens!$J$2630</f>
        <v>0.330544285732563</v>
      </c>
      <c r="K2659" s="17" t="n">
        <f aca="false">Sens!$K$2651/Sens!$K$2630</f>
        <v>0.314033796990635</v>
      </c>
      <c r="L2659" s="17" t="n">
        <f aca="false">Sens!$L$2651/Sens!$L$2630</f>
        <v>0.303690371867633</v>
      </c>
      <c r="M2659" s="17" t="n">
        <f aca="false">Sens!$M$2651/Sens!$M$2630</f>
        <v>0.297287296590884</v>
      </c>
      <c r="N2659" s="17" t="n">
        <f aca="false">Sens!$N$2651/Sens!$N$2630</f>
        <v>0.360941137346192</v>
      </c>
      <c r="O2659" s="17" t="n">
        <f aca="false">Sens!$O$2651/Sens!$O$2630</f>
        <v>0.348458117664212</v>
      </c>
    </row>
    <row r="2660" customFormat="false" ht="17.15" hidden="false" customHeight="false" outlineLevel="0" collapsed="false">
      <c r="A2660" s="0" t="s">
        <v>752</v>
      </c>
      <c r="B2660" s="0" t="s">
        <v>52</v>
      </c>
      <c r="C2660" s="13" t="n">
        <f aca="false">Sens!$C$2649/Sens!$C$2631</f>
        <v>0.708390794789371</v>
      </c>
      <c r="D2660" s="13" t="n">
        <f aca="false">Sens!$D$2649/Sens!$D$2631</f>
        <v>0.619415573115729</v>
      </c>
      <c r="E2660" s="13" t="n">
        <f aca="false">Sens!$E$2649/Sens!$E$2631</f>
        <v>0.285171627189009</v>
      </c>
      <c r="F2660" s="13" t="n">
        <f aca="false">Sens!$F$2649/Sens!$F$2631</f>
        <v>0.502657732812366</v>
      </c>
      <c r="G2660" s="13" t="n">
        <f aca="false">Sens!$G$2649/Sens!$G$2631</f>
        <v>0.423808778611812</v>
      </c>
      <c r="H2660" s="13" t="n">
        <f aca="false">Sens!$H$2649/Sens!$H$2631</f>
        <v>0.390261631739809</v>
      </c>
      <c r="I2660" s="13" t="n">
        <f aca="false">Sens!$I$2649/Sens!$I$2631</f>
        <v>0.305172864264572</v>
      </c>
      <c r="J2660" s="13" t="n">
        <f aca="false">Sens!$J$2649/Sens!$J$2631</f>
        <v>0.288011814789856</v>
      </c>
      <c r="K2660" s="13" t="n">
        <f aca="false">Sens!$K$2649/Sens!$K$2631</f>
        <v>0.25765427518774</v>
      </c>
      <c r="L2660" s="13" t="n">
        <f aca="false">Sens!$L$2649/Sens!$L$2631</f>
        <v>0.238118778012374</v>
      </c>
      <c r="M2660" s="13" t="n">
        <f aca="false">Sens!$M$2649/Sens!$M$2631</f>
        <v>0.222746255757109</v>
      </c>
      <c r="N2660" s="13" t="n">
        <f aca="false">Sens!$N$2649/Sens!$N$2631</f>
        <v>0.551227795793364</v>
      </c>
      <c r="O2660" s="13" t="n">
        <f aca="false">Sens!$O$2649/Sens!$O$2631</f>
        <v>0.656132068597002</v>
      </c>
    </row>
    <row r="2661" customFormat="false" ht="15" hidden="false" customHeight="false" outlineLevel="0" collapsed="false">
      <c r="A2661" s="5" t="s">
        <v>753</v>
      </c>
      <c r="B2661" s="0" t="s">
        <v>52</v>
      </c>
      <c r="C2661" s="13" t="n">
        <f aca="false">Sens!$C$2653/Sens!$C$2633</f>
        <v>0.107519448742004</v>
      </c>
      <c r="D2661" s="13" t="n">
        <f aca="false">Sens!$D$2653/Sens!$D$2633</f>
        <v>0.111552967957552</v>
      </c>
      <c r="E2661" s="13" t="n">
        <f aca="false">Sens!$E$2653/Sens!$E$2633</f>
        <v>0.13428328426562</v>
      </c>
      <c r="F2661" s="13" t="n">
        <f aca="false">Sens!$F$2653/Sens!$F$2633</f>
        <v>0.129343087287827</v>
      </c>
      <c r="G2661" s="13" t="n">
        <f aca="false">Sens!$G$2653/Sens!$G$2633</f>
        <v>0.131651143259596</v>
      </c>
      <c r="H2661" s="13" t="n">
        <f aca="false">Sens!$H$2653/Sens!$H$2633</f>
        <v>0.137449034763893</v>
      </c>
      <c r="I2661" s="13" t="n">
        <f aca="false">Sens!$I$2653/Sens!$I$2633</f>
        <v>0.13598895915033</v>
      </c>
      <c r="J2661" s="13" t="n">
        <f aca="false">Sens!$J$2653/Sens!$J$2633</f>
        <v>0.137709769017663</v>
      </c>
      <c r="K2661" s="13" t="n">
        <f aca="false">Sens!$K$2653/Sens!$K$2633</f>
        <v>0.135459809314784</v>
      </c>
      <c r="L2661" s="13" t="n">
        <f aca="false">Sens!$L$2653/Sens!$L$2633</f>
        <v>0.133669430082102</v>
      </c>
      <c r="M2661" s="13" t="n">
        <f aca="false">Sens!$M$2653/Sens!$M$2633</f>
        <v>0.133349766772341</v>
      </c>
      <c r="N2661" s="13" t="n">
        <f aca="false">Sens!$N$2653/Sens!$N$2633</f>
        <v>0.116201614873411</v>
      </c>
      <c r="O2661" s="13" t="n">
        <f aca="false">Sens!$O$2653/Sens!$O$2633</f>
        <v>0.107733353660861</v>
      </c>
    </row>
    <row r="2662" customFormat="false" ht="17.15" hidden="false" customHeight="false" outlineLevel="0" collapsed="false">
      <c r="A2662" s="1" t="s">
        <v>754</v>
      </c>
    </row>
    <row r="2663" customFormat="false" ht="17.15" hidden="false" customHeight="false" outlineLevel="0" collapsed="false">
      <c r="A2663" s="5" t="s">
        <v>755</v>
      </c>
      <c r="B2663" s="0" t="s">
        <v>52</v>
      </c>
      <c r="D2663" s="28" t="n">
        <f aca="false">(Q!$E$29+Q!$E$30-(1-ext_sh)*Sens!$D$2585)/Sens!$D$2536</f>
        <v>0.0341105596409988</v>
      </c>
    </row>
    <row r="2664" customFormat="false" ht="17.15" hidden="false" customHeight="false" outlineLevel="0" collapsed="false">
      <c r="A2664" s="0" t="s">
        <v>545</v>
      </c>
      <c r="B2664" s="0" t="s">
        <v>86</v>
      </c>
      <c r="C2664" s="38" t="n">
        <f aca="false">Q!$D$29</f>
        <v>14.285</v>
      </c>
      <c r="D2664" s="38" t="n">
        <f aca="false">Q!$E$29</f>
        <v>15.503</v>
      </c>
      <c r="E2664" s="38" t="n">
        <f aca="false">Q!$P$29</f>
        <v>8.78</v>
      </c>
      <c r="F2664" s="38" t="n">
        <f aca="false">(Sens!$D$2663*Sens!$F$2536+(1-ext_sh)*Sens!$F$2585)*Sens!$F$2537</f>
        <v>9.30317620449232</v>
      </c>
      <c r="G2664" s="38" t="n">
        <f aca="false">Sens!$E$2664+Sens!$F$2664</f>
        <v>18.0831762044923</v>
      </c>
      <c r="H2664" s="38" t="n">
        <f aca="false">(Sens!$D$2663*Sens!$H$2536+(1-ext_sh)*Sens!$H$2585)*Sens!$H$2537</f>
        <v>22.1297245338482</v>
      </c>
      <c r="I2664" s="38" t="n">
        <f aca="false">(Sens!$D$2663*Sens!$I$2536+(1-ext_sh)*Sens!$I$2585)*Sens!$I$2537</f>
        <v>28.409695984391</v>
      </c>
      <c r="J2664" s="38" t="n">
        <f aca="false">(Sens!$D$2663*Sens!$J$2536+(1-ext_sh)*Sens!$J$2585)*Sens!$J$2537</f>
        <v>34.1085606174579</v>
      </c>
      <c r="K2664" s="38" t="n">
        <f aca="false">(Sens!$D$2663*Sens!$K$2536+(1-ext_sh)*Sens!$K$2585)*Sens!$K$2537</f>
        <v>39.7218983009068</v>
      </c>
      <c r="L2664" s="38" t="n">
        <f aca="false">(Sens!$D$2663*Sens!$L$2536+(1-ext_sh)*Sens!$L$2585)*Sens!$L$2537</f>
        <v>44.1680279486684</v>
      </c>
      <c r="M2664" s="38" t="n">
        <f aca="false">(Sens!$D$2663*Sens!$M$2536+(1-ext_sh)*Sens!$M$2585)*Sens!$M$2537</f>
        <v>47.4413073313286</v>
      </c>
      <c r="N2664" s="38" t="n">
        <f aca="false">Q!$N$29</f>
        <v>7.272</v>
      </c>
      <c r="O2664" s="38" t="n">
        <f aca="false">Q!$O$29</f>
        <v>8.231</v>
      </c>
    </row>
    <row r="2665" customFormat="false" ht="17.15" hidden="false" customHeight="false" outlineLevel="0" collapsed="false">
      <c r="A2665" s="0" t="s">
        <v>547</v>
      </c>
      <c r="B2665" s="0" t="s">
        <v>86</v>
      </c>
      <c r="C2665" s="38" t="n">
        <f aca="false">Q!$D$30</f>
        <v>4.462</v>
      </c>
      <c r="D2665" s="38" t="n">
        <f aca="false">Q!$E$30</f>
        <v>4.907</v>
      </c>
      <c r="E2665" s="38" t="n">
        <f aca="false">Q!$P$30</f>
        <v>2.57</v>
      </c>
      <c r="F2665" s="38" t="n">
        <f aca="false">(Sens!$D$2663*Sens!$F$2536+(1-ext_sh)*Sens!$F$2585)*(1-Sens!$F$2537)</f>
        <v>3.6526976809753</v>
      </c>
      <c r="G2665" s="38" t="n">
        <f aca="false">Sens!$E$2665+Sens!$F$2665</f>
        <v>6.2226976809753</v>
      </c>
      <c r="H2665" s="38" t="n">
        <f aca="false">(Sens!$D$2663*Sens!$H$2536+(1-ext_sh)*Sens!$H$2585)*(1-Sens!$H$2537)</f>
        <v>8.4764774248495</v>
      </c>
      <c r="I2665" s="38" t="n">
        <f aca="false">(Sens!$D$2663*Sens!$I$2536+(1-ext_sh)*Sens!$I$2585)*(1-Sens!$I$2537)</f>
        <v>10.881931507561</v>
      </c>
      <c r="J2665" s="38" t="n">
        <f aca="false">(Sens!$D$2663*Sens!$J$2536+(1-ext_sh)*Sens!$J$2585)*(1-Sens!$J$2537)</f>
        <v>13.0648008575874</v>
      </c>
      <c r="K2665" s="38" t="n">
        <f aca="false">(Sens!$D$2663*Sens!$K$2536+(1-ext_sh)*Sens!$K$2585)*(1-Sens!$K$2537)</f>
        <v>15.2149103214008</v>
      </c>
      <c r="L2665" s="38" t="n">
        <f aca="false">(Sens!$D$2663*Sens!$L$2536+(1-ext_sh)*Sens!$L$2585)*(1-Sens!$L$2537)</f>
        <v>16.9179372854085</v>
      </c>
      <c r="M2665" s="38" t="n">
        <f aca="false">(Sens!$D$2663*Sens!$M$2536+(1-ext_sh)*Sens!$M$2585)*(1-Sens!$M$2537)</f>
        <v>18.1717205735785</v>
      </c>
      <c r="N2665" s="38" t="n">
        <f aca="false">Q!$N$30</f>
        <v>2.316</v>
      </c>
      <c r="O2665" s="38" t="n">
        <f aca="false">Q!$O$30</f>
        <v>2.591</v>
      </c>
    </row>
    <row r="2666" customFormat="false" ht="17.15" hidden="false" customHeight="false" outlineLevel="0" collapsed="false">
      <c r="A2666" s="0" t="s">
        <v>548</v>
      </c>
      <c r="B2666" s="0" t="s">
        <v>86</v>
      </c>
      <c r="C2666" s="38" t="n">
        <f aca="false">Sens!$C$2597</f>
        <v>13.32</v>
      </c>
      <c r="D2666" s="38" t="n">
        <f aca="false">Sens!$D$2597</f>
        <v>21.45</v>
      </c>
      <c r="E2666" s="38" t="n">
        <f aca="false">Sens!$E$2597</f>
        <v>15.353</v>
      </c>
      <c r="F2666" s="38" t="n">
        <f aca="false">Sens!$F$2597</f>
        <v>16.1969869840094</v>
      </c>
      <c r="G2666" s="38" t="n">
        <f aca="false">Sens!$G$2597</f>
        <v>31.5499869840094</v>
      </c>
      <c r="H2666" s="38" t="n">
        <f aca="false">Sens!$H$2597</f>
        <v>50.9556213609176</v>
      </c>
      <c r="I2666" s="38" t="n">
        <f aca="false">Sens!$I$2597</f>
        <v>79.464581248252</v>
      </c>
      <c r="J2666" s="38" t="n">
        <f aca="false">Sens!$J$2597</f>
        <v>105.296127931746</v>
      </c>
      <c r="K2666" s="38" t="n">
        <f aca="false">Sens!$K$2597</f>
        <v>131.454694001511</v>
      </c>
      <c r="L2666" s="38" t="n">
        <f aca="false">Sens!$L$2597</f>
        <v>150.840456981405</v>
      </c>
      <c r="M2666" s="38" t="n">
        <f aca="false">Sens!$M$2597</f>
        <v>163.399454192999</v>
      </c>
      <c r="N2666" s="38" t="n">
        <f aca="false">Sens!$N$2597</f>
        <v>9.234</v>
      </c>
      <c r="O2666" s="38" t="n">
        <f aca="false">Sens!$O$2597</f>
        <v>12.216</v>
      </c>
    </row>
    <row r="2667" customFormat="false" ht="17.15" hidden="false" customHeight="false" outlineLevel="0" collapsed="false">
      <c r="A2667" s="5" t="s">
        <v>756</v>
      </c>
      <c r="B2667" s="0" t="s">
        <v>86</v>
      </c>
      <c r="C2667" s="38" t="n">
        <f aca="false">Sens!$C$2664+Sens!$C$2665+Sens!$C$2666</f>
        <v>32.067</v>
      </c>
      <c r="D2667" s="38" t="n">
        <f aca="false">Sens!$D$2664+Sens!$D$2665+Sens!$D$2666</f>
        <v>41.86</v>
      </c>
      <c r="E2667" s="38" t="n">
        <f aca="false">Sens!$E$2664+Sens!$E$2665+Sens!$E$2666</f>
        <v>26.703</v>
      </c>
      <c r="F2667" s="38" t="n">
        <f aca="false">Sens!$F$2664+Sens!$F$2665+Sens!$F$2666</f>
        <v>29.152860869477</v>
      </c>
      <c r="G2667" s="38" t="n">
        <f aca="false">Sens!$G$2664+Sens!$G$2665+Sens!$G$2666</f>
        <v>55.855860869477</v>
      </c>
      <c r="H2667" s="38" t="n">
        <f aca="false">Sens!$H$2664+Sens!$H$2665+Sens!$H$2666</f>
        <v>81.5618233196153</v>
      </c>
      <c r="I2667" s="38" t="n">
        <f aca="false">Sens!$I$2664+Sens!$I$2665+Sens!$I$2666</f>
        <v>118.756208740204</v>
      </c>
      <c r="J2667" s="38" t="n">
        <f aca="false">Sens!$J$2664+Sens!$J$2665+Sens!$J$2666</f>
        <v>152.469489406791</v>
      </c>
      <c r="K2667" s="38" t="n">
        <f aca="false">Sens!$K$2664+Sens!$K$2665+Sens!$K$2666</f>
        <v>186.391502623819</v>
      </c>
      <c r="L2667" s="38" t="n">
        <f aca="false">Sens!$L$2664+Sens!$L$2665+Sens!$L$2666</f>
        <v>211.926422215482</v>
      </c>
      <c r="M2667" s="38" t="n">
        <f aca="false">Sens!$M$2664+Sens!$M$2665+Sens!$M$2666</f>
        <v>229.012482097906</v>
      </c>
      <c r="N2667" s="38" t="n">
        <f aca="false">Sens!$N$2664+Sens!$N$2665+Sens!$N$2666</f>
        <v>18.822</v>
      </c>
      <c r="O2667" s="38" t="n">
        <f aca="false">Sens!$O$2664+Sens!$O$2665+Sens!$O$2666</f>
        <v>23.038</v>
      </c>
    </row>
    <row r="2668" customFormat="false" ht="17.15" hidden="false" customHeight="false" outlineLevel="0" collapsed="false">
      <c r="A2668" s="0" t="s">
        <v>757</v>
      </c>
      <c r="B2668" s="0" t="s">
        <v>86</v>
      </c>
      <c r="C2668" s="38" t="n">
        <f aca="false">Sens!$C$2639+Sens!$C$2644</f>
        <v>28.107</v>
      </c>
      <c r="D2668" s="38" t="n">
        <f aca="false">Sens!$D$2639+Sens!$D$2644</f>
        <v>34.3175</v>
      </c>
      <c r="E2668" s="38" t="n">
        <f aca="false">Sens!$E$2639+Sens!$E$2644</f>
        <v>18.526</v>
      </c>
      <c r="F2668" s="38" t="n">
        <f aca="false">Sens!$F$2639+Sens!$F$2644</f>
        <v>23.0786109972074</v>
      </c>
      <c r="G2668" s="38" t="n">
        <f aca="false">Sens!$G$2639+Sens!$G$2644</f>
        <v>41.6046109972074</v>
      </c>
      <c r="H2668" s="38" t="n">
        <f aca="false">Sens!$H$2639+Sens!$H$2644</f>
        <v>49.9484611939488</v>
      </c>
      <c r="I2668" s="38" t="n">
        <f aca="false">Sens!$I$2639+Sens!$I$2644</f>
        <v>58.2915555477481</v>
      </c>
      <c r="J2668" s="38" t="n">
        <f aca="false">Sens!$J$2639+Sens!$J$2644</f>
        <v>66.0744709709759</v>
      </c>
      <c r="K2668" s="38" t="n">
        <f aca="false">Sens!$K$2639+Sens!$K$2644</f>
        <v>72.6819180680735</v>
      </c>
      <c r="L2668" s="38" t="n">
        <f aca="false">Sens!$L$2639+Sens!$L$2644</f>
        <v>79.9501098748808</v>
      </c>
      <c r="M2668" s="38" t="n">
        <f aca="false">Sens!$M$2639+Sens!$M$2644</f>
        <v>87.9451208623689</v>
      </c>
      <c r="N2668" s="38" t="n">
        <f aca="false">Sens!$N$2639+Sens!$N$2644</f>
        <v>14.8075</v>
      </c>
      <c r="O2668" s="38" t="n">
        <f aca="false">Sens!$O$2639+Sens!$O$2644</f>
        <v>19.51</v>
      </c>
    </row>
    <row r="2669" customFormat="false" ht="17.15" hidden="false" customHeight="false" outlineLevel="0" collapsed="false">
      <c r="A2669" s="0" t="s">
        <v>758</v>
      </c>
      <c r="B2669" s="0" t="s">
        <v>86</v>
      </c>
      <c r="C2669" s="38" t="n">
        <f aca="false">Sens!$C$2643+Sens!$C$2648+Sens!$C$2664+Sens!$C$2665-Sens!$C$2668</f>
        <v>19.399</v>
      </c>
      <c r="D2669" s="38" t="n">
        <f aca="false">Sens!$D$2643+Sens!$D$2648+Sens!$D$2664+Sens!$D$2665-Sens!$D$2668</f>
        <v>20.4615</v>
      </c>
      <c r="E2669" s="38" t="n">
        <f aca="false">Sens!$E$2643+Sens!$E$2648+Sens!$E$2664+Sens!$E$2665-Sens!$E$2668</f>
        <v>13.355</v>
      </c>
      <c r="F2669" s="38" t="n">
        <f aca="false">Sens!$F$2643+Sens!$F$2648+Sens!$F$2664+Sens!$F$2665-Sens!$F$2668</f>
        <v>12.7680546411015</v>
      </c>
      <c r="G2669" s="38" t="n">
        <f aca="false">Sens!$G$2643+Sens!$G$2648+Sens!$G$2664+Sens!$G$2665-Sens!$G$2668</f>
        <v>26.1230546411015</v>
      </c>
      <c r="H2669" s="38" t="n">
        <f aca="false">Sens!$H$2643+Sens!$H$2648+Sens!$H$2664+Sens!$H$2665-Sens!$H$2668</f>
        <v>28.4662904769959</v>
      </c>
      <c r="I2669" s="38" t="n">
        <f aca="false">Sens!$I$2643+Sens!$I$2648+Sens!$I$2664+Sens!$I$2665-Sens!$I$2668</f>
        <v>30.7231490427408</v>
      </c>
      <c r="J2669" s="38" t="n">
        <f aca="false">Sens!$J$2643+Sens!$J$2648+Sens!$J$2664+Sens!$J$2665-Sens!$J$2668</f>
        <v>32.9723159380642</v>
      </c>
      <c r="K2669" s="38" t="n">
        <f aca="false">Sens!$K$2643+Sens!$K$2648+Sens!$K$2664+Sens!$K$2665-Sens!$K$2668</f>
        <v>35.3819359626894</v>
      </c>
      <c r="L2669" s="38" t="n">
        <f aca="false">Sens!$L$2643+Sens!$L$2648+Sens!$L$2664+Sens!$L$2665-Sens!$L$2668</f>
        <v>37.0165770259405</v>
      </c>
      <c r="M2669" s="38" t="n">
        <f aca="false">Sens!$M$2643+Sens!$M$2648+Sens!$M$2664+Sens!$M$2665-Sens!$M$2668</f>
        <v>39.4490703930704</v>
      </c>
      <c r="N2669" s="38" t="n">
        <f aca="false">Sens!$N$2643+Sens!$N$2648+Sens!$N$2664+Sens!$N$2665-Sens!$N$2668</f>
        <v>10.6495</v>
      </c>
      <c r="O2669" s="38" t="n">
        <f aca="false">Sens!$O$2643+Sens!$O$2648+Sens!$O$2664+Sens!$O$2665-Sens!$O$2668</f>
        <v>9.81200000000001</v>
      </c>
    </row>
    <row r="2670" customFormat="false" ht="17.15" hidden="false" customHeight="false" outlineLevel="0" collapsed="false">
      <c r="A2670" s="0" t="s">
        <v>759</v>
      </c>
      <c r="B2670" s="0" t="s">
        <v>86</v>
      </c>
      <c r="C2670" s="38" t="n">
        <f aca="false">Sens!$C$2650+Sens!$C$2666-ext_sh*Sens!$C$2585</f>
        <v>51.3470500115664</v>
      </c>
      <c r="D2670" s="38" t="n">
        <f aca="false">Sens!$D$2650+Sens!$D$2666-ext_sh*Sens!$D$2585</f>
        <v>60.2799375433739</v>
      </c>
      <c r="E2670" s="38" t="n">
        <f aca="false">Sens!$E$2650+Sens!$E$2666-ext_sh*Sens!$E$2585</f>
        <v>39.5095167090767</v>
      </c>
      <c r="F2670" s="38" t="n">
        <f aca="false">Sens!$F$2650+Sens!$F$2666-ext_sh*Sens!$F$2585</f>
        <v>37.951394214027</v>
      </c>
      <c r="G2670" s="38" t="n">
        <f aca="false">Sens!$G$2650+Sens!$G$2666-ext_sh*Sens!$G$2585</f>
        <v>77.4609109231037</v>
      </c>
      <c r="H2670" s="38" t="n">
        <f aca="false">Sens!$H$2650+Sens!$H$2666-ext_sh*Sens!$H$2585</f>
        <v>85.1453558128916</v>
      </c>
      <c r="I2670" s="38" t="n">
        <f aca="false">Sens!$I$2650+Sens!$I$2666-ext_sh*Sens!$I$2585</f>
        <v>94.532921967974</v>
      </c>
      <c r="J2670" s="38" t="n">
        <f aca="false">Sens!$J$2650+Sens!$J$2666-ext_sh*Sens!$J$2585</f>
        <v>103.525527532583</v>
      </c>
      <c r="K2670" s="38" t="n">
        <f aca="false">Sens!$K$2650+Sens!$K$2666-ext_sh*Sens!$K$2585</f>
        <v>111.80756973519</v>
      </c>
      <c r="L2670" s="38" t="n">
        <f aca="false">Sens!$L$2650+Sens!$L$2666-ext_sh*Sens!$L$2585</f>
        <v>120.752175314005</v>
      </c>
      <c r="M2670" s="38" t="n">
        <f aca="false">Sens!$M$2650+Sens!$M$2666-ext_sh*Sens!$M$2585</f>
        <v>130.412349339125</v>
      </c>
      <c r="N2670" s="38" t="n">
        <f aca="false">Sens!$N$2650+Sens!$N$2666-ext_sh*Sens!$N$2585</f>
        <v>28.5693781401809</v>
      </c>
      <c r="O2670" s="38" t="n">
        <f aca="false">Sens!$O$2650+Sens!$O$2666-ext_sh*Sens!$O$2585</f>
        <v>31.7105594031931</v>
      </c>
    </row>
    <row r="2671" customFormat="false" ht="17.15" hidden="false" customHeight="false" outlineLevel="0" collapsed="false">
      <c r="A2671" s="0" t="s">
        <v>760</v>
      </c>
      <c r="B2671" s="0" t="s">
        <v>86</v>
      </c>
      <c r="C2671" s="38" t="n">
        <f aca="false">Sens!$C$2588</f>
        <v>1.80694998843362</v>
      </c>
      <c r="D2671" s="38" t="n">
        <f aca="false">Sens!$D$2588</f>
        <v>6.77606245662607</v>
      </c>
      <c r="E2671" s="38" t="n">
        <f aca="false">Sens!$E$2588</f>
        <v>6.62548329092326</v>
      </c>
      <c r="F2671" s="38" t="n">
        <f aca="false">Sens!$F$2588</f>
        <v>11.7200577158706</v>
      </c>
      <c r="G2671" s="38" t="n">
        <f aca="false">Sens!$G$2588</f>
        <v>18.3455410067939</v>
      </c>
      <c r="H2671" s="38" t="n">
        <f aca="false">Sens!$H$2588</f>
        <v>47.5171727060453</v>
      </c>
      <c r="I2671" s="38" t="n">
        <f aca="false">Sens!$I$2588</f>
        <v>80.5539692643667</v>
      </c>
      <c r="J2671" s="38" t="n">
        <f aca="false">Sens!$J$2588</f>
        <v>113.759316834883</v>
      </c>
      <c r="K2671" s="38" t="n">
        <f aca="false">Sens!$K$2588</f>
        <v>142.084411492169</v>
      </c>
      <c r="L2671" s="38" t="n">
        <f aca="false">Sens!$L$2588</f>
        <v>160.69964615804</v>
      </c>
      <c r="M2671" s="38" t="n">
        <f aca="false">Sens!$M$2588</f>
        <v>169.577607141793</v>
      </c>
      <c r="N2671" s="38" t="n">
        <f aca="false">Sens!$N$2588</f>
        <v>2.37162185981912</v>
      </c>
      <c r="O2671" s="38" t="n">
        <f aca="false">Sens!$O$2588</f>
        <v>4.40444059680694</v>
      </c>
    </row>
    <row r="2672" customFormat="false" ht="17.15" hidden="false" customHeight="false" outlineLevel="0" collapsed="false">
      <c r="A2672" s="0" t="s">
        <v>761</v>
      </c>
      <c r="B2672" s="0" t="s">
        <v>86</v>
      </c>
      <c r="C2672" s="38" t="n">
        <f aca="false">Sens!$C$2653+Sens!$C$2667</f>
        <v>100.66</v>
      </c>
      <c r="D2672" s="38" t="n">
        <f aca="false">Sens!$D$2653+Sens!$D$2667</f>
        <v>121.835</v>
      </c>
      <c r="E2672" s="38" t="n">
        <f aca="false">Sens!$E$2653+Sens!$E$2667</f>
        <v>78.016</v>
      </c>
      <c r="F2672" s="38" t="n">
        <f aca="false">Sens!$F$2653+Sens!$F$2667</f>
        <v>85.5181175682064</v>
      </c>
      <c r="G2672" s="38" t="n">
        <f aca="false">Sens!$G$2653+Sens!$G$2667</f>
        <v>163.534117568206</v>
      </c>
      <c r="H2672" s="38" t="n">
        <f aca="false">Sens!$H$2653+Sens!$H$2667</f>
        <v>211.077280189882</v>
      </c>
      <c r="I2672" s="38" t="n">
        <f aca="false">Sens!$I$2653+Sens!$I$2667</f>
        <v>264.10159582283</v>
      </c>
      <c r="J2672" s="38" t="n">
        <f aca="false">Sens!$J$2653+Sens!$J$2667</f>
        <v>316.331631276507</v>
      </c>
      <c r="K2672" s="38" t="n">
        <f aca="false">Sens!$K$2653+Sens!$K$2667</f>
        <v>361.955835258122</v>
      </c>
      <c r="L2672" s="38" t="n">
        <f aca="false">Sens!$L$2653+Sens!$L$2667</f>
        <v>398.418508372866</v>
      </c>
      <c r="M2672" s="38" t="n">
        <f aca="false">Sens!$M$2653+Sens!$M$2667</f>
        <v>427.384147736358</v>
      </c>
      <c r="N2672" s="38" t="n">
        <f aca="false">Sens!$N$2653+Sens!$N$2667</f>
        <v>56.398</v>
      </c>
      <c r="O2672" s="38" t="n">
        <f aca="false">Sens!$O$2653+Sens!$O$2667</f>
        <v>65.437</v>
      </c>
    </row>
    <row r="2673" customFormat="false" ht="17.15" hidden="false" customHeight="false" outlineLevel="0" collapsed="false">
      <c r="A2673" s="1" t="s">
        <v>762</v>
      </c>
    </row>
    <row r="2674" customFormat="false" ht="15" hidden="false" customHeight="false" outlineLevel="0" collapsed="false">
      <c r="A2674" s="5" t="s">
        <v>551</v>
      </c>
      <c r="B2674" s="0" t="s">
        <v>86</v>
      </c>
      <c r="C2674" s="38" t="n">
        <f aca="false">Q!$D$34</f>
        <v>2.406</v>
      </c>
      <c r="D2674" s="38" t="n">
        <f aca="false">Q!$E$34</f>
        <v>2.274</v>
      </c>
      <c r="E2674" s="38" t="n">
        <f aca="false">Q!$P$34</f>
        <v>2.114</v>
      </c>
      <c r="F2674" s="38" t="n">
        <f aca="false">Sens!$F$2712</f>
        <v>3.24888962733561</v>
      </c>
      <c r="G2674" s="38" t="n">
        <f aca="false">Sens!$E$2674+Sens!$F$2674</f>
        <v>5.36288962733561</v>
      </c>
      <c r="H2674" s="38" t="n">
        <f aca="false">Sens!$H$2712</f>
        <v>7.42354172302123</v>
      </c>
      <c r="I2674" s="38" t="n">
        <f aca="false">Sens!$I$2712</f>
        <v>7.84418947693382</v>
      </c>
      <c r="J2674" s="38" t="n">
        <f aca="false">Sens!$J$2712</f>
        <v>8.79561318891235</v>
      </c>
      <c r="K2674" s="38" t="n">
        <f aca="false">Sens!$K$2712</f>
        <v>8.79561318891235</v>
      </c>
      <c r="L2674" s="38" t="n">
        <f aca="false">Sens!$L$2712</f>
        <v>8.79561318891235</v>
      </c>
      <c r="M2674" s="38" t="n">
        <f aca="false">Sens!$M$2712</f>
        <v>8.79561318891235</v>
      </c>
      <c r="N2674" s="38" t="n">
        <f aca="false">Q!$N$34</f>
        <v>1.057</v>
      </c>
      <c r="O2674" s="38" t="n">
        <f aca="false">Q!$O$34</f>
        <v>1.217</v>
      </c>
    </row>
    <row r="2675" customFormat="false" ht="15" hidden="false" customHeight="false" outlineLevel="0" collapsed="false">
      <c r="A2675" s="5" t="s">
        <v>763</v>
      </c>
      <c r="B2675" s="0" t="s">
        <v>86</v>
      </c>
      <c r="F2675" s="38" t="n">
        <f aca="false">Sens!$F$2713</f>
        <v>2.59</v>
      </c>
      <c r="H2675" s="38" t="n">
        <f aca="false">Sens!$H$2713</f>
        <v>4.1153774832261</v>
      </c>
      <c r="I2675" s="38" t="n">
        <f aca="false">Sens!$I$2713</f>
        <v>2.10589651022864</v>
      </c>
      <c r="J2675" s="38" t="n">
        <f aca="false">Sens!$J$2713</f>
        <v>2.10589651022864</v>
      </c>
      <c r="K2675" s="38" t="n">
        <f aca="false">Sens!$K$2713</f>
        <v>3.172800358404</v>
      </c>
      <c r="L2675" s="38" t="n">
        <f aca="false">Sens!$L$2713</f>
        <v>8.31037272592208</v>
      </c>
      <c r="M2675" s="38" t="n">
        <f aca="false">Sens!$M$2713</f>
        <v>15.9256588704093</v>
      </c>
    </row>
    <row r="2676" customFormat="false" ht="17.15" hidden="false" customHeight="false" outlineLevel="0" collapsed="false">
      <c r="A2676" s="5" t="s">
        <v>764</v>
      </c>
      <c r="B2676" s="0" t="s">
        <v>86</v>
      </c>
      <c r="C2676" s="38" t="n">
        <f aca="false">Q!$D$39</f>
        <v>2.427</v>
      </c>
      <c r="D2676" s="38" t="n">
        <f aca="false">Q!$E$39</f>
        <v>19.61</v>
      </c>
      <c r="E2676" s="38" t="n">
        <f aca="false">Q!$P$39</f>
        <v>71.492</v>
      </c>
      <c r="F2676" s="39" t="n">
        <v>0</v>
      </c>
      <c r="G2676" s="38" t="n">
        <f aca="false">Sens!$E$2676+Sens!$F$2676</f>
        <v>71.492</v>
      </c>
      <c r="H2676" s="39" t="n">
        <v>0</v>
      </c>
      <c r="I2676" s="39" t="n">
        <v>0</v>
      </c>
      <c r="J2676" s="39" t="n">
        <v>0</v>
      </c>
      <c r="K2676" s="39" t="n">
        <v>0</v>
      </c>
      <c r="L2676" s="39" t="n">
        <v>0</v>
      </c>
      <c r="M2676" s="39" t="n">
        <v>0</v>
      </c>
      <c r="N2676" s="38" t="n">
        <f aca="false">Q!$N$39</f>
        <v>6.017</v>
      </c>
      <c r="O2676" s="38" t="n">
        <f aca="false">Q!$O$39</f>
        <v>13.593</v>
      </c>
      <c r="P2676" s="5" t="s">
        <v>765</v>
      </c>
    </row>
    <row r="2677" customFormat="false" ht="15" hidden="false" customHeight="false" outlineLevel="0" collapsed="false">
      <c r="A2677" s="5" t="s">
        <v>554</v>
      </c>
      <c r="B2677" s="0" t="s">
        <v>86</v>
      </c>
      <c r="C2677" s="38" t="n">
        <f aca="false">Q!$D$36</f>
        <v>68.614</v>
      </c>
      <c r="D2677" s="38" t="n">
        <f aca="false">Q!$E$36</f>
        <v>97.311</v>
      </c>
      <c r="E2677" s="38" t="n">
        <f aca="false">Q!$P$36</f>
        <v>120.691</v>
      </c>
      <c r="F2677" s="38" t="n">
        <f aca="false">Sens!$F$2653-Sens!$F$2674+Sens!$F$2675+Sens!$F$2676</f>
        <v>55.7063670713938</v>
      </c>
      <c r="G2677" s="38" t="n">
        <f aca="false">Sens!$E$2677+Sens!$F$2677</f>
        <v>176.397367071394</v>
      </c>
      <c r="H2677" s="38" t="n">
        <f aca="false">Sens!$H$2653-Sens!$H$2674+Sens!$H$2675+Sens!$H$2676</f>
        <v>126.207292630471</v>
      </c>
      <c r="I2677" s="38" t="n">
        <f aca="false">Sens!$I$2653-Sens!$I$2674+Sens!$I$2675+Sens!$I$2676</f>
        <v>139.60709411592</v>
      </c>
      <c r="J2677" s="38" t="n">
        <f aca="false">Sens!$J$2653-Sens!$J$2674+Sens!$J$2675+Sens!$J$2676</f>
        <v>157.172425191032</v>
      </c>
      <c r="K2677" s="38" t="n">
        <f aca="false">Sens!$K$2653-Sens!$K$2674+Sens!$K$2675+Sens!$K$2676</f>
        <v>169.941519803795</v>
      </c>
      <c r="L2677" s="38" t="n">
        <f aca="false">Sens!$L$2653-Sens!$L$2674+Sens!$L$2675+Sens!$L$2676</f>
        <v>186.006845694394</v>
      </c>
      <c r="M2677" s="38" t="n">
        <f aca="false">Sens!$M$2653-Sens!$M$2674+Sens!$M$2675+Sens!$M$2676</f>
        <v>205.501711319949</v>
      </c>
      <c r="N2677" s="38" t="n">
        <f aca="false">Q!$N$36</f>
        <v>42.536</v>
      </c>
      <c r="O2677" s="38" t="n">
        <f aca="false">Q!$O$36</f>
        <v>54.775</v>
      </c>
    </row>
    <row r="2678" customFormat="false" ht="15" hidden="false" customHeight="false" outlineLevel="0" collapsed="false">
      <c r="A2678" s="5" t="s">
        <v>555</v>
      </c>
      <c r="B2678" s="0" t="s">
        <v>86</v>
      </c>
      <c r="C2678" s="38" t="n">
        <f aca="false">Q!$D$37</f>
        <v>9.265</v>
      </c>
      <c r="D2678" s="38" t="n">
        <f aca="false">Q!$E$37</f>
        <v>19.087</v>
      </c>
      <c r="E2678" s="38" t="n">
        <f aca="false">Q!$P$37</f>
        <v>27.759</v>
      </c>
      <c r="F2678" s="38" t="n">
        <f aca="false">Sens!$F$2677*tax</f>
        <v>9.669763357865</v>
      </c>
      <c r="G2678" s="38" t="n">
        <f aca="false">Sens!$E$2678+Sens!$F$2678</f>
        <v>37.428763357865</v>
      </c>
      <c r="H2678" s="38" t="n">
        <f aca="false">Sens!$H$2677*tax</f>
        <v>21.9076331473816</v>
      </c>
      <c r="I2678" s="38" t="n">
        <f aca="false">Sens!$I$2677*tax</f>
        <v>24.2336313450491</v>
      </c>
      <c r="J2678" s="38" t="n">
        <f aca="false">Sens!$J$2677*tax</f>
        <v>27.2827010246639</v>
      </c>
      <c r="K2678" s="38" t="n">
        <f aca="false">Sens!$K$2677*tax</f>
        <v>29.4992182683994</v>
      </c>
      <c r="L2678" s="38" t="n">
        <f aca="false">Sens!$L$2677*tax</f>
        <v>32.2879102581316</v>
      </c>
      <c r="M2678" s="38" t="n">
        <f aca="false">Sens!$M$2677*tax</f>
        <v>35.671917279284</v>
      </c>
      <c r="N2678" s="38" t="n">
        <f aca="false">Q!$N$37</f>
        <v>7.231</v>
      </c>
      <c r="O2678" s="38" t="n">
        <f aca="false">Q!$O$37</f>
        <v>11.856</v>
      </c>
    </row>
    <row r="2679" customFormat="false" ht="15" hidden="false" customHeight="false" outlineLevel="0" collapsed="false">
      <c r="A2679" s="3" t="s">
        <v>556</v>
      </c>
      <c r="B2679" s="8" t="s">
        <v>86</v>
      </c>
      <c r="C2679" s="38" t="n">
        <f aca="false">Q!$D$38</f>
        <v>59.248</v>
      </c>
      <c r="D2679" s="38" t="n">
        <f aca="false">Q!$E$38</f>
        <v>77.67</v>
      </c>
      <c r="E2679" s="38" t="n">
        <f aca="false">Q!$P$38</f>
        <v>92.902</v>
      </c>
      <c r="F2679" s="38" t="n">
        <f aca="false">Sens!$F$2677-Sens!$F$2678</f>
        <v>46.0366037135288</v>
      </c>
      <c r="G2679" s="38" t="n">
        <f aca="false">Sens!$E$2679+Sens!$F$2679</f>
        <v>138.938603713529</v>
      </c>
      <c r="H2679" s="38" t="n">
        <f aca="false">Sens!$H$2677-Sens!$H$2678</f>
        <v>104.29965948309</v>
      </c>
      <c r="I2679" s="38" t="n">
        <f aca="false">Sens!$I$2677-Sens!$I$2678</f>
        <v>115.373462770871</v>
      </c>
      <c r="J2679" s="38" t="n">
        <f aca="false">Sens!$J$2677-Sens!$J$2678</f>
        <v>129.889724166368</v>
      </c>
      <c r="K2679" s="38" t="n">
        <f aca="false">Sens!$K$2677-Sens!$K$2678</f>
        <v>140.442301535395</v>
      </c>
      <c r="L2679" s="38" t="n">
        <f aca="false">Sens!$L$2677-Sens!$L$2678</f>
        <v>153.718935436262</v>
      </c>
      <c r="M2679" s="38" t="n">
        <f aca="false">Sens!$M$2677-Sens!$M$2678</f>
        <v>169.829794040665</v>
      </c>
      <c r="N2679" s="38" t="n">
        <f aca="false">Q!$N$38</f>
        <v>35.291</v>
      </c>
      <c r="O2679" s="38" t="n">
        <f aca="false">Q!$O$38</f>
        <v>42.379</v>
      </c>
    </row>
    <row r="2680" customFormat="false" ht="17.15" hidden="false" customHeight="false" outlineLevel="0" collapsed="false">
      <c r="A2680" s="5" t="s">
        <v>559</v>
      </c>
      <c r="B2680" s="5" t="s">
        <v>33</v>
      </c>
      <c r="C2680" s="22" t="n">
        <f aca="false">Q!$D$41</f>
        <v>10.721</v>
      </c>
      <c r="D2680" s="22" t="n">
        <f aca="false">Q!$E$41</f>
        <v>10.827</v>
      </c>
      <c r="E2680" s="22" t="n">
        <f aca="false">(Q!$L$41+Q!$M$41)/2</f>
        <v>10.8885</v>
      </c>
      <c r="F2680" s="22" t="n">
        <f aca="false">Sens!$G$2680</f>
        <v>10.924806</v>
      </c>
      <c r="G2680" s="22" t="n">
        <f aca="false">Q!$M$41*(1+sh_g*0.25)</f>
        <v>10.924806</v>
      </c>
      <c r="H2680" s="22" t="n">
        <f aca="false">Sens!$G$2680*(1+sh_g)</f>
        <v>11.012204448</v>
      </c>
      <c r="I2680" s="22" t="n">
        <f aca="false">Sens!$H$2680*(1+sh_g)</f>
        <v>11.100302083584</v>
      </c>
      <c r="J2680" s="22" t="n">
        <f aca="false">Sens!$I$2680*(1+sh_g)</f>
        <v>11.1891045002527</v>
      </c>
      <c r="K2680" s="22" t="n">
        <f aca="false">Sens!$J$2680*(1+sh_g)</f>
        <v>11.2786173362547</v>
      </c>
      <c r="L2680" s="22" t="n">
        <f aca="false">Sens!$K$2680*(1+sh_g)</f>
        <v>11.3688462749447</v>
      </c>
      <c r="M2680" s="22" t="n">
        <f aca="false">Sens!$L$2680*(1+sh_g)</f>
        <v>11.4597970451443</v>
      </c>
      <c r="P2680" s="5" t="s">
        <v>766</v>
      </c>
    </row>
    <row r="2681" customFormat="false" ht="17.15" hidden="false" customHeight="false" outlineLevel="0" collapsed="false">
      <c r="A2681" s="5" t="s">
        <v>767</v>
      </c>
      <c r="B2681" s="0" t="s">
        <v>86</v>
      </c>
      <c r="C2681" s="38" t="n">
        <f aca="false">Sens!$C$2679+Sens!$C$2655*(1-tax)</f>
        <v>59.248</v>
      </c>
      <c r="D2681" s="38" t="n">
        <f aca="false">Sens!$D$2679+Sens!$D$2655*(1-tax)</f>
        <v>77.67</v>
      </c>
      <c r="E2681" s="38" t="n">
        <f aca="false">Sens!$E$2679+Sens!$E$2655*(1-tax)</f>
        <v>92.902</v>
      </c>
      <c r="F2681" s="38" t="n">
        <f aca="false">Sens!$F$2679+Sens!$F$2655*(1-tax)</f>
        <v>46.0366037135288</v>
      </c>
      <c r="G2681" s="38" t="n">
        <f aca="false">Sens!$G$2679+Sens!$G$2655*(1-tax)</f>
        <v>138.938603713529</v>
      </c>
      <c r="H2681" s="38" t="n">
        <f aca="false">Sens!$H$2679+Sens!$H$2655*(1-tax)</f>
        <v>104.29965948309</v>
      </c>
      <c r="I2681" s="38" t="n">
        <f aca="false">Sens!$I$2679+Sens!$I$2655*(1-tax)</f>
        <v>115.373462770871</v>
      </c>
      <c r="J2681" s="38" t="n">
        <f aca="false">Sens!$J$2679+Sens!$J$2655*(1-tax)</f>
        <v>129.889724166368</v>
      </c>
      <c r="K2681" s="38" t="n">
        <f aca="false">Sens!$K$2679+Sens!$K$2655*(1-tax)</f>
        <v>140.442301535395</v>
      </c>
      <c r="L2681" s="38" t="n">
        <f aca="false">Sens!$L$2679+Sens!$L$2655*(1-tax)</f>
        <v>153.718935436262</v>
      </c>
      <c r="M2681" s="38" t="n">
        <f aca="false">Sens!$M$2679+Sens!$M$2655*(1-tax)</f>
        <v>169.829794040665</v>
      </c>
      <c r="N2681" s="38" t="n">
        <f aca="false">Sens!$N$2679+Sens!$N$2655*(1-tax)</f>
        <v>35.291</v>
      </c>
      <c r="O2681" s="38" t="n">
        <f aca="false">Sens!$O$2679+Sens!$O$2655*(1-tax)</f>
        <v>42.379</v>
      </c>
    </row>
    <row r="2682" customFormat="false" ht="17.15" hidden="false" customHeight="false" outlineLevel="0" collapsed="false">
      <c r="A2682" s="43" t="s">
        <v>768</v>
      </c>
      <c r="B2682" s="14" t="s">
        <v>27</v>
      </c>
      <c r="C2682" s="44" t="n">
        <f aca="false">Sens!$C$2681/Sens!$C$2680</f>
        <v>5.52635015390355</v>
      </c>
      <c r="D2682" s="44" t="n">
        <f aca="false">Sens!$D$2681/Sens!$D$2680</f>
        <v>7.1737323358271</v>
      </c>
      <c r="E2682" s="44" t="n">
        <f aca="false">Sens!$E$2681/Sens!$E$2680</f>
        <v>8.53212104513937</v>
      </c>
      <c r="F2682" s="14"/>
      <c r="G2682" s="44" t="n">
        <f aca="false">Sens!$G$2681/Sens!$G$2680</f>
        <v>12.7177181648378</v>
      </c>
      <c r="H2682" s="44" t="n">
        <f aca="false">Sens!$H$2681/Sens!$H$2680</f>
        <v>9.47127888658407</v>
      </c>
      <c r="I2682" s="44" t="n">
        <f aca="false">Sens!$I$2681/Sens!$I$2680</f>
        <v>10.3937227925981</v>
      </c>
      <c r="J2682" s="44" t="n">
        <f aca="false">Sens!$J$2681/Sens!$J$2680</f>
        <v>11.6085897815536</v>
      </c>
      <c r="K2682" s="44" t="n">
        <f aca="false">Sens!$K$2681/Sens!$K$2680</f>
        <v>12.4520849806606</v>
      </c>
      <c r="L2682" s="44" t="n">
        <f aca="false">Sens!$L$2681/Sens!$L$2680</f>
        <v>13.5210672849924</v>
      </c>
      <c r="M2682" s="44" t="n">
        <f aca="false">Sens!$M$2681/Sens!$M$2680</f>
        <v>14.8196162088773</v>
      </c>
      <c r="N2682" s="14"/>
      <c r="O2682" s="14"/>
    </row>
    <row r="2683" customFormat="false" ht="17.15" hidden="false" customHeight="false" outlineLevel="0" collapsed="false">
      <c r="A2683" s="0" t="s">
        <v>769</v>
      </c>
      <c r="B2683" s="0" t="s">
        <v>27</v>
      </c>
      <c r="C2683" s="30" t="n">
        <f aca="false">Sens!$C$2679/Sens!$C$2680</f>
        <v>5.52635015390355</v>
      </c>
      <c r="D2683" s="30" t="n">
        <f aca="false">Sens!$D$2679/Sens!$D$2680</f>
        <v>7.1737323358271</v>
      </c>
      <c r="E2683" s="30" t="n">
        <f aca="false">Sens!$E$2679/Sens!$E$2680</f>
        <v>8.53212104513937</v>
      </c>
      <c r="G2683" s="30" t="n">
        <f aca="false">Sens!$G$2679/Sens!$G$2680</f>
        <v>12.7177181648378</v>
      </c>
      <c r="H2683" s="30" t="n">
        <f aca="false">Sens!$H$2679/Sens!$H$2680</f>
        <v>9.47127888658407</v>
      </c>
      <c r="I2683" s="30" t="n">
        <f aca="false">Sens!$I$2679/Sens!$I$2680</f>
        <v>10.3937227925981</v>
      </c>
      <c r="J2683" s="30" t="n">
        <f aca="false">Sens!$J$2679/Sens!$J$2680</f>
        <v>11.6085897815536</v>
      </c>
      <c r="K2683" s="30" t="n">
        <f aca="false">Sens!$K$2679/Sens!$K$2680</f>
        <v>12.4520849806606</v>
      </c>
      <c r="L2683" s="30" t="n">
        <f aca="false">Sens!$L$2679/Sens!$L$2680</f>
        <v>13.5210672849924</v>
      </c>
      <c r="M2683" s="30" t="n">
        <f aca="false">Sens!$M$2679/Sens!$M$2680</f>
        <v>14.8196162088773</v>
      </c>
    </row>
    <row r="2684" customFormat="false" ht="17.15" hidden="false" customHeight="false" outlineLevel="0" collapsed="false">
      <c r="A2684" s="0" t="s">
        <v>770</v>
      </c>
      <c r="B2684" s="0" t="s">
        <v>27</v>
      </c>
      <c r="C2684" s="30" t="n">
        <f aca="false">(Sens!$C$2679-Sens!$C$2676*(1-tax))/Sens!$C$2680</f>
        <v>5.33926775917445</v>
      </c>
      <c r="D2684" s="30" t="n">
        <f aca="false">(Sens!$D$2679-Sens!$D$2676*(1-tax))/Sens!$D$2680</f>
        <v>5.67691812755503</v>
      </c>
      <c r="E2684" s="30" t="n">
        <f aca="false">(Sens!$E$2679-Sens!$E$2676*(1-tax))/Sens!$E$2680</f>
        <v>3.10602057006846</v>
      </c>
      <c r="G2684" s="30" t="n">
        <f aca="false">(Sens!$G$2679-Sens!$G$2676*(1-tax))/Sens!$G$2680</f>
        <v>7.30965004694081</v>
      </c>
      <c r="H2684" s="30" t="n">
        <f aca="false">(Sens!$H$2679-Sens!$H$2676*(1-tax))/Sens!$H$2680</f>
        <v>9.47127888658407</v>
      </c>
      <c r="I2684" s="30" t="n">
        <f aca="false">(Sens!$I$2679-Sens!$I$2676*(1-tax))/Sens!$I$2680</f>
        <v>10.3937227925981</v>
      </c>
      <c r="J2684" s="30" t="n">
        <f aca="false">(Sens!$J$2679-Sens!$J$2676*(1-tax))/Sens!$J$2680</f>
        <v>11.6085897815536</v>
      </c>
      <c r="K2684" s="30" t="n">
        <f aca="false">(Sens!$K$2679-Sens!$K$2676*(1-tax))/Sens!$K$2680</f>
        <v>12.4520849806606</v>
      </c>
      <c r="L2684" s="30" t="n">
        <f aca="false">(Sens!$L$2679-Sens!$L$2676*(1-tax))/Sens!$L$2680</f>
        <v>13.5210672849924</v>
      </c>
      <c r="M2684" s="30" t="n">
        <f aca="false">(Sens!$M$2679-Sens!$M$2676*(1-tax))/Sens!$M$2680</f>
        <v>14.8196162088773</v>
      </c>
      <c r="P2684" s="5" t="s">
        <v>771</v>
      </c>
    </row>
    <row r="2685" customFormat="false" ht="17.15" hidden="false" customHeight="false" outlineLevel="0" collapsed="false">
      <c r="A2685" s="0" t="s">
        <v>772</v>
      </c>
      <c r="B2685" s="0" t="s">
        <v>52</v>
      </c>
      <c r="H2685" s="13" t="n">
        <f aca="false">Sens!$H$2682/Sens!$G$2682-1</f>
        <v>-0.25526900629309</v>
      </c>
      <c r="I2685" s="13" t="n">
        <f aca="false">Sens!$I$2682/Sens!$H$2682-1</f>
        <v>0.097393806798433</v>
      </c>
      <c r="J2685" s="13" t="n">
        <f aca="false">Sens!$J$2682/Sens!$I$2682-1</f>
        <v>0.116884682533634</v>
      </c>
      <c r="K2685" s="13" t="n">
        <f aca="false">Sens!$K$2682/Sens!$J$2682-1</f>
        <v>0.0726612977958256</v>
      </c>
      <c r="L2685" s="13" t="n">
        <f aca="false">Sens!$L$2682/Sens!$K$2682-1</f>
        <v>0.0858476557132404</v>
      </c>
      <c r="M2685" s="13" t="n">
        <f aca="false">Sens!$M$2682/Sens!$L$2682-1</f>
        <v>0.0960389366101511</v>
      </c>
    </row>
    <row r="2688" customFormat="false" ht="19.4" hidden="false" customHeight="false" outlineLevel="0" collapsed="false">
      <c r="A2688" s="31" t="s">
        <v>1205</v>
      </c>
    </row>
    <row r="2689" customFormat="false" ht="17.15" hidden="false" customHeight="false" outlineLevel="0" collapsed="false">
      <c r="A2689" s="6" t="s">
        <v>16</v>
      </c>
      <c r="B2689" s="6" t="s">
        <v>17</v>
      </c>
      <c r="C2689" s="20" t="s">
        <v>504</v>
      </c>
      <c r="D2689" s="20" t="s">
        <v>505</v>
      </c>
      <c r="E2689" s="20" t="s">
        <v>587</v>
      </c>
      <c r="F2689" s="20" t="s">
        <v>588</v>
      </c>
      <c r="G2689" s="20" t="s">
        <v>589</v>
      </c>
      <c r="H2689" s="20" t="s">
        <v>590</v>
      </c>
      <c r="I2689" s="20" t="s">
        <v>591</v>
      </c>
      <c r="J2689" s="20" t="s">
        <v>592</v>
      </c>
      <c r="K2689" s="20" t="s">
        <v>593</v>
      </c>
      <c r="L2689" s="20" t="s">
        <v>594</v>
      </c>
      <c r="M2689" s="20" t="s">
        <v>595</v>
      </c>
      <c r="N2689" s="20" t="s">
        <v>596</v>
      </c>
      <c r="O2689" s="20" t="s">
        <v>597</v>
      </c>
      <c r="P2689" s="6" t="s">
        <v>23</v>
      </c>
      <c r="R2689" s="20" t="n">
        <v>2023</v>
      </c>
      <c r="S2689" s="20" t="n">
        <v>2024</v>
      </c>
      <c r="T2689" s="20" t="n">
        <v>2025</v>
      </c>
      <c r="U2689" s="20" t="n">
        <v>2026</v>
      </c>
      <c r="V2689" s="20" t="n">
        <v>2027</v>
      </c>
      <c r="W2689" s="20" t="n">
        <v>2028</v>
      </c>
      <c r="X2689" s="20" t="n">
        <v>2029</v>
      </c>
      <c r="Y2689" s="20" t="n">
        <v>2030</v>
      </c>
      <c r="Z2689" s="20" t="n">
        <v>2031</v>
      </c>
      <c r="AA2689" s="20" t="n">
        <v>2032</v>
      </c>
    </row>
    <row r="2690" customFormat="false" ht="15" hidden="false" customHeight="false" outlineLevel="0" collapsed="false">
      <c r="A2690" s="5" t="s">
        <v>556</v>
      </c>
      <c r="B2690" s="0" t="s">
        <v>86</v>
      </c>
      <c r="C2690" s="38" t="n">
        <f aca="false">Sens!$C$2679</f>
        <v>59.248</v>
      </c>
      <c r="D2690" s="38" t="n">
        <f aca="false">Sens!$D$2679</f>
        <v>77.67</v>
      </c>
      <c r="E2690" s="38" t="n">
        <f aca="false">Sens!$E$2679</f>
        <v>92.902</v>
      </c>
      <c r="F2690" s="38" t="n">
        <f aca="false">Sens!$F$2679</f>
        <v>46.0366037135288</v>
      </c>
      <c r="G2690" s="38" t="n">
        <f aca="false">Sens!$G$2679</f>
        <v>138.938603713529</v>
      </c>
      <c r="H2690" s="38" t="n">
        <f aca="false">Sens!$H$2679</f>
        <v>104.29965948309</v>
      </c>
      <c r="I2690" s="38" t="n">
        <f aca="false">Sens!$I$2679</f>
        <v>115.373462770871</v>
      </c>
      <c r="J2690" s="38" t="n">
        <f aca="false">Sens!$J$2679</f>
        <v>129.889724166368</v>
      </c>
      <c r="K2690" s="38" t="n">
        <f aca="false">Sens!$K$2679</f>
        <v>140.442301535395</v>
      </c>
      <c r="L2690" s="38" t="n">
        <f aca="false">Sens!$L$2679</f>
        <v>153.718935436262</v>
      </c>
      <c r="M2690" s="38" t="n">
        <f aca="false">Sens!$M$2679</f>
        <v>169.829794040665</v>
      </c>
    </row>
    <row r="2691" customFormat="false" ht="17.15" hidden="false" customHeight="false" outlineLevel="0" collapsed="false">
      <c r="A2691" s="5" t="s">
        <v>795</v>
      </c>
      <c r="B2691" s="0" t="s">
        <v>86</v>
      </c>
      <c r="C2691" s="38" t="n">
        <f aca="false">Sens!$C$2667</f>
        <v>32.067</v>
      </c>
      <c r="D2691" s="38" t="n">
        <f aca="false">Sens!$D$2667</f>
        <v>41.86</v>
      </c>
      <c r="E2691" s="38" t="n">
        <f aca="false">Sens!$E$2667</f>
        <v>26.703</v>
      </c>
      <c r="F2691" s="38" t="n">
        <f aca="false">Sens!$F$2667</f>
        <v>29.152860869477</v>
      </c>
      <c r="G2691" s="38" t="n">
        <f aca="false">Sens!$G$2667</f>
        <v>55.855860869477</v>
      </c>
      <c r="H2691" s="38" t="n">
        <f aca="false">Sens!$H$2667</f>
        <v>81.5618233196153</v>
      </c>
      <c r="I2691" s="38" t="n">
        <f aca="false">Sens!$I$2667</f>
        <v>118.756208740204</v>
      </c>
      <c r="J2691" s="38" t="n">
        <f aca="false">Sens!$J$2667</f>
        <v>152.469489406791</v>
      </c>
      <c r="K2691" s="38" t="n">
        <f aca="false">Sens!$K$2667</f>
        <v>186.391502623819</v>
      </c>
      <c r="L2691" s="38" t="n">
        <f aca="false">Sens!$L$2667</f>
        <v>211.926422215482</v>
      </c>
      <c r="M2691" s="38" t="n">
        <f aca="false">Sens!$M$2667</f>
        <v>229.012482097906</v>
      </c>
    </row>
    <row r="2692" customFormat="false" ht="15" hidden="false" customHeight="false" outlineLevel="0" collapsed="false">
      <c r="A2692" s="5" t="s">
        <v>796</v>
      </c>
      <c r="B2692" s="0" t="s">
        <v>86</v>
      </c>
      <c r="C2692" s="38" t="n">
        <f aca="false">Q!$D$48</f>
        <v>22.011</v>
      </c>
      <c r="D2692" s="38" t="n">
        <f aca="false">Q!$E$48</f>
        <v>19.467</v>
      </c>
      <c r="E2692" s="38" t="n">
        <f aca="false">Q!$P$48</f>
        <v>10.07</v>
      </c>
      <c r="F2692" s="38" t="n">
        <f aca="false">sbc_r*Sens!$F$2609</f>
        <v>10.8507035798037</v>
      </c>
      <c r="G2692" s="38" t="n">
        <f aca="false">Sens!$E$2692+Sens!$F$2692</f>
        <v>20.9207035798037</v>
      </c>
      <c r="H2692" s="38" t="n">
        <f aca="false">sbc_r*Sens!$H$2609</f>
        <v>23.46224366345</v>
      </c>
      <c r="I2692" s="38" t="n">
        <f aca="false">sbc_r*Sens!$I$2609</f>
        <v>26.6125957111676</v>
      </c>
      <c r="J2692" s="38" t="n">
        <f aca="false">sbc_r*Sens!$J$2609</f>
        <v>29.6280801413323</v>
      </c>
      <c r="K2692" s="38" t="n">
        <f aca="false">sbc_r*Sens!$K$2609</f>
        <v>32.2712258901105</v>
      </c>
      <c r="L2692" s="38" t="n">
        <f aca="false">sbc_r*Sens!$L$2609</f>
        <v>34.7390505016737</v>
      </c>
      <c r="M2692" s="38" t="n">
        <f aca="false">sbc_r*Sens!$M$2609</f>
        <v>37.0405146906692</v>
      </c>
    </row>
    <row r="2693" customFormat="false" ht="17.15" hidden="false" customHeight="false" outlineLevel="0" collapsed="false">
      <c r="A2693" s="5" t="s">
        <v>797</v>
      </c>
      <c r="B2693" s="0" t="s">
        <v>86</v>
      </c>
      <c r="C2693" s="38" t="n">
        <f aca="false">Q!$D$44-Sens!$C$2690-Sens!$C$2691-Sens!$C$2692</f>
        <v>2.551</v>
      </c>
      <c r="D2693" s="38" t="n">
        <f aca="false">Q!$E$44-Sens!$D$2690-Sens!$D$2691-Sens!$D$2692</f>
        <v>0.51700000000001</v>
      </c>
      <c r="E2693" s="38" t="n">
        <f aca="false">Q!$P$44-Sens!$E$2690-Sens!$E$2691-Sens!$E$2692</f>
        <v>-58.256</v>
      </c>
      <c r="F2693" s="38" t="n">
        <f aca="false">oth_r*Sens!$F$2609</f>
        <v>5.22265251035878</v>
      </c>
      <c r="G2693" s="38" t="n">
        <f aca="false">Sens!$E$2693+Sens!$F$2693</f>
        <v>-53.0333474896412</v>
      </c>
      <c r="H2693" s="38" t="n">
        <f aca="false">oth_r*Sens!$H$2609</f>
        <v>11.2928295263397</v>
      </c>
      <c r="I2693" s="38" t="n">
        <f aca="false">oth_r*Sens!$I$2609</f>
        <v>12.8091546115766</v>
      </c>
      <c r="J2693" s="38" t="n">
        <f aca="false">oth_r*Sens!$J$2609</f>
        <v>14.2605653162668</v>
      </c>
      <c r="K2693" s="38" t="n">
        <f aca="false">oth_r*Sens!$K$2609</f>
        <v>15.5327622460396</v>
      </c>
      <c r="L2693" s="38" t="n">
        <f aca="false">oth_r*Sens!$L$2609</f>
        <v>16.720573737517</v>
      </c>
      <c r="M2693" s="38" t="n">
        <f aca="false">oth_r*Sens!$M$2609</f>
        <v>17.8283127551536</v>
      </c>
      <c r="P2693" s="8" t="s">
        <v>798</v>
      </c>
    </row>
    <row r="2694" customFormat="false" ht="15" hidden="false" customHeight="false" outlineLevel="0" collapsed="false">
      <c r="A2694" s="3" t="s">
        <v>562</v>
      </c>
      <c r="B2694" s="8" t="s">
        <v>86</v>
      </c>
      <c r="C2694" s="38" t="n">
        <f aca="false">Q!$D$44</f>
        <v>115.877</v>
      </c>
      <c r="D2694" s="38" t="n">
        <f aca="false">Q!$E$44</f>
        <v>139.514</v>
      </c>
      <c r="E2694" s="38" t="n">
        <f aca="false">Q!$P$44</f>
        <v>71.419</v>
      </c>
      <c r="F2694" s="38" t="n">
        <f aca="false">Sens!$F$2690+Sens!$F$2691+Sens!$F$2692+Sens!$F$2693</f>
        <v>91.2628206731683</v>
      </c>
      <c r="G2694" s="38" t="n">
        <f aca="false">Sens!$E$2694+Sens!$F$2694</f>
        <v>162.681820673168</v>
      </c>
      <c r="H2694" s="38" t="n">
        <f aca="false">Sens!$H$2690+Sens!$H$2691+Sens!$H$2692+Sens!$H$2693</f>
        <v>220.616555992495</v>
      </c>
      <c r="I2694" s="38" t="n">
        <f aca="false">Sens!$I$2690+Sens!$I$2691+Sens!$I$2692+Sens!$I$2693</f>
        <v>273.55142183382</v>
      </c>
      <c r="J2694" s="38" t="n">
        <f aca="false">Sens!$J$2690+Sens!$J$2691+Sens!$J$2692+Sens!$J$2693</f>
        <v>326.247859030758</v>
      </c>
      <c r="K2694" s="38" t="n">
        <f aca="false">Sens!$K$2690+Sens!$K$2691+Sens!$K$2692+Sens!$K$2693</f>
        <v>374.637792295364</v>
      </c>
      <c r="L2694" s="38" t="n">
        <f aca="false">Sens!$L$2690+Sens!$L$2691+Sens!$L$2692+Sens!$L$2693</f>
        <v>417.104981890935</v>
      </c>
      <c r="M2694" s="38" t="n">
        <f aca="false">Sens!$M$2690+Sens!$M$2691+Sens!$M$2692+Sens!$M$2693</f>
        <v>453.711103584394</v>
      </c>
    </row>
    <row r="2695" customFormat="false" ht="17.15" hidden="false" customHeight="false" outlineLevel="0" collapsed="false">
      <c r="A2695" s="5" t="s">
        <v>799</v>
      </c>
      <c r="B2695" s="0" t="s">
        <v>86</v>
      </c>
      <c r="C2695" s="38" t="n">
        <f aca="false">Sens!$C$2573</f>
        <v>25.2781053077374</v>
      </c>
      <c r="D2695" s="38" t="n">
        <f aca="false">Sens!$D$2573</f>
        <v>69.5686316310026</v>
      </c>
      <c r="E2695" s="38" t="n">
        <f aca="false">Sens!$E$2573</f>
        <v>64.1899206485108</v>
      </c>
      <c r="F2695" s="38" t="n">
        <f aca="false">Sens!$F$2573</f>
        <v>88.7165504612134</v>
      </c>
      <c r="G2695" s="38" t="n">
        <f aca="false">Sens!$G$2573</f>
        <v>152.906471109724</v>
      </c>
      <c r="H2695" s="38" t="n">
        <f aca="false">Sens!$H$2573</f>
        <v>198.57136494475</v>
      </c>
      <c r="I2695" s="38" t="n">
        <f aca="false">Sens!$I$2573</f>
        <v>204.6464699105</v>
      </c>
      <c r="J2695" s="38" t="n">
        <f aca="false">Sens!$J$2573</f>
        <v>209.8832381105</v>
      </c>
      <c r="K2695" s="38" t="n">
        <f aca="false">Sens!$K$2573</f>
        <v>155.238385275201</v>
      </c>
      <c r="L2695" s="38" t="n">
        <f aca="false">Sens!$L$2573</f>
        <v>132.014141639902</v>
      </c>
      <c r="M2695" s="38" t="n">
        <f aca="false">Sens!$M$2573</f>
        <v>132.230981659852</v>
      </c>
    </row>
    <row r="2696" customFormat="false" ht="17.15" hidden="false" customHeight="false" outlineLevel="0" collapsed="false">
      <c r="A2696" s="5" t="s">
        <v>800</v>
      </c>
      <c r="B2696" s="0" t="s">
        <v>86</v>
      </c>
      <c r="C2696" s="38" t="n">
        <f aca="false">cx_awso*Sens!$C$2607</f>
        <v>21.0469989286053</v>
      </c>
      <c r="D2696" s="38" t="n">
        <f aca="false">cx_awso*Sens!$D$2607</f>
        <v>24.0042459822698</v>
      </c>
      <c r="E2696" s="38" t="n">
        <f aca="false">cx_awso*Sens!$E$2607</f>
        <v>14.261729404886</v>
      </c>
      <c r="F2696" s="38" t="n">
        <f aca="false">cx_awso*Sens!$F$2607</f>
        <v>14.3538599588493</v>
      </c>
      <c r="G2696" s="38" t="n">
        <f aca="false">Sens!$E$2696+Sens!$F$2696</f>
        <v>28.6155893637353</v>
      </c>
      <c r="H2696" s="38" t="n">
        <f aca="false">cx_awso*Sens!$H$2607</f>
        <v>32.2034154158406</v>
      </c>
      <c r="I2696" s="38" t="n">
        <f aca="false">cx_awso*Sens!$I$2607</f>
        <v>35.7539519042915</v>
      </c>
      <c r="J2696" s="38" t="n">
        <f aca="false">cx_awso*Sens!$J$2607</f>
        <v>39.1551076091815</v>
      </c>
      <c r="K2696" s="38" t="n">
        <f aca="false">cx_awso*Sens!$K$2607</f>
        <v>42.287516217916</v>
      </c>
      <c r="L2696" s="38" t="n">
        <f aca="false">cx_awso*Sens!$L$2607</f>
        <v>45.6705175153492</v>
      </c>
      <c r="M2696" s="38" t="n">
        <f aca="false">cx_awso*Sens!$M$2607</f>
        <v>49.3241589165772</v>
      </c>
    </row>
    <row r="2697" customFormat="false" ht="17.15" hidden="false" customHeight="false" outlineLevel="0" collapsed="false">
      <c r="A2697" s="5" t="s">
        <v>801</v>
      </c>
      <c r="B2697" s="0" t="s">
        <v>86</v>
      </c>
      <c r="C2697" s="38" t="n">
        <f aca="false">Q!$D$46-Sens!$C$2695-Sens!$C$2696</f>
        <v>31.3328957636573</v>
      </c>
      <c r="D2697" s="38" t="n">
        <f aca="false">Q!$E$46-Sens!$D$2695-Sens!$D$2696</f>
        <v>34.7471223867276</v>
      </c>
      <c r="E2697" s="38" t="n">
        <f aca="false">Q!$P$46-Sens!$E$2695-Sens!$E$2696</f>
        <v>17.8583499466032</v>
      </c>
      <c r="F2697" s="38" t="n">
        <f aca="false">cx_rt*Sens!$F$2536</f>
        <v>20.6195895799373</v>
      </c>
      <c r="G2697" s="38" t="n">
        <f aca="false">Sens!$E$2697+Sens!$F$2697</f>
        <v>38.4779395265405</v>
      </c>
      <c r="H2697" s="38" t="n">
        <f aca="false">cx_rt*Sens!$H$2536</f>
        <v>42.5978994743075</v>
      </c>
      <c r="I2697" s="38" t="n">
        <f aca="false">cx_rt*Sens!$I$2536</f>
        <v>46.5813904136335</v>
      </c>
      <c r="J2697" s="38" t="n">
        <f aca="false">cx_rt*Sens!$J$2536</f>
        <v>50.2781676586844</v>
      </c>
      <c r="K2697" s="38" t="n">
        <f aca="false">cx_rt*Sens!$K$2536</f>
        <v>53.5312440191755</v>
      </c>
      <c r="L2697" s="38" t="n">
        <f aca="false">cx_rt*Sens!$L$2536</f>
        <v>57.0116717051447</v>
      </c>
      <c r="M2697" s="38" t="n">
        <f aca="false">cx_rt*Sens!$M$2536</f>
        <v>60.7365554669226</v>
      </c>
    </row>
    <row r="2698" customFormat="false" ht="15" hidden="false" customHeight="false" outlineLevel="0" collapsed="false">
      <c r="A2698" s="3" t="s">
        <v>802</v>
      </c>
      <c r="B2698" s="8" t="s">
        <v>86</v>
      </c>
      <c r="C2698" s="38" t="n">
        <f aca="false">Q!$D$46</f>
        <v>77.658</v>
      </c>
      <c r="D2698" s="38" t="n">
        <f aca="false">Q!$E$46</f>
        <v>128.32</v>
      </c>
      <c r="E2698" s="38" t="n">
        <f aca="false">Q!$P$46</f>
        <v>96.31</v>
      </c>
      <c r="F2698" s="38" t="n">
        <f aca="false">Sens!$F$2695+Sens!$F$2696+Sens!$F$2697</f>
        <v>123.69</v>
      </c>
      <c r="G2698" s="38" t="n">
        <f aca="false">Sens!$E$2698+Sens!$F$2698</f>
        <v>220</v>
      </c>
      <c r="H2698" s="38" t="n">
        <f aca="false">Sens!$H$2695+Sens!$H$2696+Sens!$H$2697</f>
        <v>273.372679834898</v>
      </c>
      <c r="I2698" s="38" t="n">
        <f aca="false">Sens!$I$2695+Sens!$I$2696+Sens!$I$2697</f>
        <v>286.981812228425</v>
      </c>
      <c r="J2698" s="38" t="n">
        <f aca="false">Sens!$J$2695+Sens!$J$2696+Sens!$J$2697</f>
        <v>299.316513378366</v>
      </c>
      <c r="K2698" s="38" t="n">
        <f aca="false">Sens!$K$2695+Sens!$K$2696+Sens!$K$2697</f>
        <v>251.057145512292</v>
      </c>
      <c r="L2698" s="38" t="n">
        <f aca="false">Sens!$L$2695+Sens!$L$2696+Sens!$L$2697</f>
        <v>234.696330860396</v>
      </c>
      <c r="M2698" s="38" t="n">
        <f aca="false">Sens!$M$2695+Sens!$M$2696+Sens!$M$2697</f>
        <v>242.291696043352</v>
      </c>
    </row>
    <row r="2699" customFormat="false" ht="17.15" hidden="false" customHeight="false" outlineLevel="0" collapsed="false">
      <c r="A2699" s="5" t="s">
        <v>570</v>
      </c>
      <c r="B2699" s="0" t="s">
        <v>86</v>
      </c>
      <c r="C2699" s="38" t="n">
        <f aca="false">Q!$D$50</f>
        <v>2.043</v>
      </c>
      <c r="D2699" s="38" t="n">
        <f aca="false">Q!$E$50</f>
        <v>1.557</v>
      </c>
      <c r="E2699" s="38" t="n">
        <f aca="false">lease_pr/2</f>
        <v>0.8</v>
      </c>
      <c r="F2699" s="38" t="n">
        <f aca="false">lease_pr/2</f>
        <v>0.8</v>
      </c>
      <c r="G2699" s="38" t="n">
        <f aca="false">Sens!$E$2699+Sens!$F$2699</f>
        <v>1.6</v>
      </c>
      <c r="H2699" s="38" t="n">
        <f aca="false">lease_pr</f>
        <v>1.6</v>
      </c>
      <c r="I2699" s="38" t="n">
        <f aca="false">lease_pr</f>
        <v>1.6</v>
      </c>
      <c r="J2699" s="38" t="n">
        <f aca="false">lease_pr</f>
        <v>1.6</v>
      </c>
      <c r="K2699" s="38" t="n">
        <f aca="false">lease_pr</f>
        <v>1.6</v>
      </c>
      <c r="L2699" s="38" t="n">
        <f aca="false">lease_pr</f>
        <v>1.6</v>
      </c>
      <c r="M2699" s="38" t="n">
        <f aca="false">lease_pr</f>
        <v>1.6</v>
      </c>
      <c r="P2699" s="8" t="s">
        <v>803</v>
      </c>
    </row>
    <row r="2700" customFormat="false" ht="15" hidden="false" customHeight="false" outlineLevel="0" collapsed="false">
      <c r="A2700" s="47" t="s">
        <v>804</v>
      </c>
      <c r="B2700" s="14" t="s">
        <v>86</v>
      </c>
      <c r="C2700" s="48" t="n">
        <f aca="false">Sens!$C$2694-Sens!$C$2698-Sens!$C$2699</f>
        <v>36.176</v>
      </c>
      <c r="D2700" s="48" t="n">
        <f aca="false">Sens!$D$2694-Sens!$D$2698-Sens!$D$2699</f>
        <v>9.63700000000002</v>
      </c>
      <c r="E2700" s="48" t="n">
        <f aca="false">Sens!$E$2694-Sens!$E$2698-Sens!$E$2699</f>
        <v>-25.691</v>
      </c>
      <c r="F2700" s="48" t="n">
        <f aca="false">Sens!$F$2694-Sens!$F$2698-Sens!$F$2699</f>
        <v>-33.2271793268317</v>
      </c>
      <c r="G2700" s="48" t="n">
        <f aca="false">Sens!$G$2694-Sens!$G$2698-Sens!$G$2699</f>
        <v>-58.9181793268317</v>
      </c>
      <c r="H2700" s="48" t="n">
        <f aca="false">Sens!$H$2694-Sens!$H$2698-Sens!$H$2699</f>
        <v>-54.3561238424036</v>
      </c>
      <c r="I2700" s="48" t="n">
        <f aca="false">Sens!$I$2694-Sens!$I$2698-Sens!$I$2699</f>
        <v>-15.0303903946055</v>
      </c>
      <c r="J2700" s="48" t="n">
        <f aca="false">Sens!$J$2694-Sens!$J$2698-Sens!$J$2699</f>
        <v>25.3313456523922</v>
      </c>
      <c r="K2700" s="48" t="n">
        <f aca="false">Sens!$K$2694-Sens!$K$2698-Sens!$K$2699</f>
        <v>121.980646783072</v>
      </c>
      <c r="L2700" s="48" t="n">
        <f aca="false">Sens!$L$2694-Sens!$L$2698-Sens!$L$2699</f>
        <v>180.80865103054</v>
      </c>
      <c r="M2700" s="48" t="n">
        <f aca="false">Sens!$M$2694-Sens!$M$2698-Sens!$M$2699</f>
        <v>209.819407541041</v>
      </c>
      <c r="N2700" s="14"/>
      <c r="O2700" s="14"/>
    </row>
    <row r="2701" customFormat="false" ht="17.15" hidden="false" customHeight="false" outlineLevel="0" collapsed="false">
      <c r="A2701" s="5" t="s">
        <v>805</v>
      </c>
      <c r="B2701" s="0" t="s">
        <v>86</v>
      </c>
      <c r="C2701" s="38" t="n">
        <f aca="false">dps*Sens!$C$2680</f>
        <v>0</v>
      </c>
      <c r="D2701" s="38" t="n">
        <f aca="false">dps*Sens!$D$2680</f>
        <v>0</v>
      </c>
      <c r="E2701" s="38" t="n">
        <f aca="false">dps*Sens!$E$2680</f>
        <v>0</v>
      </c>
      <c r="F2701" s="38" t="n">
        <f aca="false">0</f>
        <v>0</v>
      </c>
      <c r="G2701" s="38" t="n">
        <f aca="false">dps*Sens!$G$2680</f>
        <v>0</v>
      </c>
      <c r="H2701" s="38" t="n">
        <f aca="false">dps*Sens!$H$2680</f>
        <v>0</v>
      </c>
      <c r="I2701" s="38" t="n">
        <f aca="false">dps*Sens!$I$2680</f>
        <v>0</v>
      </c>
      <c r="J2701" s="38" t="n">
        <f aca="false">dps*Sens!$J$2680</f>
        <v>0</v>
      </c>
      <c r="K2701" s="38" t="n">
        <f aca="false">dps*Sens!$K$2680</f>
        <v>0</v>
      </c>
      <c r="L2701" s="38" t="n">
        <f aca="false">dps*Sens!$L$2680</f>
        <v>0</v>
      </c>
      <c r="M2701" s="38" t="n">
        <f aca="false">dps*Sens!$M$2680</f>
        <v>0</v>
      </c>
      <c r="P2701" s="8" t="s">
        <v>806</v>
      </c>
    </row>
    <row r="2702" customFormat="false" ht="17.15" hidden="false" customHeight="false" outlineLevel="0" collapsed="false">
      <c r="A2702" s="5" t="s">
        <v>807</v>
      </c>
      <c r="B2702" s="0" t="s">
        <v>86</v>
      </c>
      <c r="C2702" s="38" t="n">
        <f aca="false">0</f>
        <v>0</v>
      </c>
      <c r="D2702" s="38" t="n">
        <f aca="false">0</f>
        <v>0</v>
      </c>
      <c r="E2702" s="38" t="n">
        <f aca="false">0</f>
        <v>0</v>
      </c>
      <c r="F2702" s="38" t="n">
        <f aca="false">0</f>
        <v>0</v>
      </c>
      <c r="G2702" s="38" t="n">
        <f aca="false">0</f>
        <v>0</v>
      </c>
      <c r="H2702" s="38" t="n">
        <f aca="false">0</f>
        <v>0</v>
      </c>
      <c r="I2702" s="38" t="n">
        <f aca="false">0</f>
        <v>0</v>
      </c>
      <c r="J2702" s="38" t="n">
        <f aca="false">0</f>
        <v>0</v>
      </c>
      <c r="K2702" s="38" t="n">
        <f aca="false">0</f>
        <v>0</v>
      </c>
      <c r="L2702" s="38" t="n">
        <f aca="false">0</f>
        <v>0</v>
      </c>
      <c r="M2702" s="38" t="n">
        <f aca="false">0</f>
        <v>0</v>
      </c>
      <c r="P2702" s="8" t="s">
        <v>808</v>
      </c>
    </row>
    <row r="2703" customFormat="false" ht="15" hidden="false" customHeight="false" outlineLevel="0" collapsed="false">
      <c r="A2703" s="3" t="s">
        <v>809</v>
      </c>
      <c r="B2703" s="8" t="s">
        <v>86</v>
      </c>
      <c r="C2703" s="38" t="n">
        <f aca="false">Sens!$C$2700-Sens!$C$2701</f>
        <v>36.176</v>
      </c>
      <c r="D2703" s="38" t="n">
        <f aca="false">Sens!$D$2700-Sens!$D$2701</f>
        <v>9.63700000000002</v>
      </c>
      <c r="E2703" s="38" t="n">
        <f aca="false">Sens!$E$2700-Sens!$E$2701</f>
        <v>-25.691</v>
      </c>
      <c r="F2703" s="38" t="n">
        <f aca="false">Sens!$F$2700-Sens!$F$2701</f>
        <v>-33.2271793268317</v>
      </c>
      <c r="G2703" s="38" t="n">
        <f aca="false">Sens!$G$2700-Sens!$G$2701</f>
        <v>-58.9181793268317</v>
      </c>
      <c r="H2703" s="38" t="n">
        <f aca="false">Sens!$H$2700-Sens!$H$2701</f>
        <v>-54.3561238424036</v>
      </c>
      <c r="I2703" s="38" t="n">
        <f aca="false">Sens!$I$2700-Sens!$I$2701</f>
        <v>-15.0303903946055</v>
      </c>
      <c r="J2703" s="38" t="n">
        <f aca="false">Sens!$J$2700-Sens!$J$2701</f>
        <v>25.3313456523922</v>
      </c>
      <c r="K2703" s="38" t="n">
        <f aca="false">Sens!$K$2700-Sens!$K$2701</f>
        <v>121.980646783072</v>
      </c>
      <c r="L2703" s="38" t="n">
        <f aca="false">Sens!$L$2700-Sens!$L$2701</f>
        <v>180.80865103054</v>
      </c>
      <c r="M2703" s="38" t="n">
        <f aca="false">Sens!$M$2700-Sens!$M$2701</f>
        <v>209.819407541041</v>
      </c>
    </row>
    <row r="2704" customFormat="false" ht="17.15" hidden="false" customHeight="false" outlineLevel="0" collapsed="false">
      <c r="A2704" s="5" t="s">
        <v>810</v>
      </c>
      <c r="B2704" s="0" t="s">
        <v>86</v>
      </c>
      <c r="E2704" s="38" t="n">
        <f aca="false">Q!$P$53</f>
        <v>39.767</v>
      </c>
      <c r="F2704" s="38" t="n">
        <f aca="false">inv_2h26</f>
        <v>21.3</v>
      </c>
      <c r="G2704" s="38" t="n">
        <f aca="false">Sens!$E$2704+Sens!$F$2704</f>
        <v>61.067</v>
      </c>
      <c r="H2704" s="39" t="n">
        <v>0</v>
      </c>
      <c r="I2704" s="39" t="n">
        <v>0</v>
      </c>
      <c r="J2704" s="39" t="n">
        <v>0</v>
      </c>
      <c r="K2704" s="39" t="n">
        <v>0</v>
      </c>
      <c r="L2704" s="39" t="n">
        <v>0</v>
      </c>
      <c r="M2704" s="39" t="n">
        <v>0</v>
      </c>
    </row>
    <row r="2705" customFormat="false" ht="17.15" hidden="false" customHeight="false" outlineLevel="0" collapsed="false">
      <c r="A2705" s="5" t="s">
        <v>811</v>
      </c>
      <c r="B2705" s="0" t="s">
        <v>86</v>
      </c>
      <c r="F2705" s="38" t="n">
        <f aca="false">iss_2h26</f>
        <v>29.249999</v>
      </c>
      <c r="G2705" s="38" t="n">
        <f aca="false">Sens!$F$2705</f>
        <v>29.249999</v>
      </c>
      <c r="H2705" s="39" t="n">
        <v>0</v>
      </c>
      <c r="I2705" s="39" t="n">
        <v>0</v>
      </c>
      <c r="J2705" s="39" t="n">
        <v>0</v>
      </c>
      <c r="K2705" s="39" t="n">
        <v>0</v>
      </c>
      <c r="L2705" s="39" t="n">
        <v>0</v>
      </c>
      <c r="M2705" s="39" t="n">
        <v>0</v>
      </c>
    </row>
    <row r="2706" customFormat="false" ht="17.15" hidden="false" customHeight="false" outlineLevel="0" collapsed="false">
      <c r="A2706" s="5" t="s">
        <v>812</v>
      </c>
      <c r="B2706" s="0" t="s">
        <v>86</v>
      </c>
      <c r="F2706" s="38" t="n">
        <f aca="false">cash_q2</f>
        <v>122.988</v>
      </c>
      <c r="G2706" s="38" t="n">
        <f aca="false">cash_q2</f>
        <v>122.988</v>
      </c>
      <c r="H2706" s="38" t="n">
        <f aca="false">Sens!$G$2709</f>
        <v>97.7108196731683</v>
      </c>
      <c r="I2706" s="38" t="n">
        <f aca="false">Sens!$H$2709</f>
        <v>50</v>
      </c>
      <c r="J2706" s="38" t="n">
        <f aca="false">Sens!$I$2709</f>
        <v>50</v>
      </c>
      <c r="K2706" s="38" t="n">
        <f aca="false">Sens!$J$2709</f>
        <v>75.3313456523922</v>
      </c>
      <c r="L2706" s="38" t="n">
        <f aca="false">Sens!$K$2709</f>
        <v>197.311992435464</v>
      </c>
      <c r="M2706" s="38" t="n">
        <f aca="false">Sens!$L$2709</f>
        <v>378.120643466004</v>
      </c>
    </row>
    <row r="2707" customFormat="false" ht="15" hidden="false" customHeight="false" outlineLevel="0" collapsed="false">
      <c r="A2707" s="5" t="s">
        <v>813</v>
      </c>
      <c r="B2707" s="0" t="s">
        <v>86</v>
      </c>
      <c r="F2707" s="38" t="n">
        <f aca="false">Sens!$F$2706+Sens!$F$2703-Sens!$F$2702-Sens!$F$2704+Sens!$F$2705</f>
        <v>97.7108196731683</v>
      </c>
      <c r="H2707" s="38" t="n">
        <f aca="false">Sens!$H$2706+Sens!$H$2703-Sens!$H$2702-Sens!$H$2704+Sens!$H$2705</f>
        <v>43.3546958307647</v>
      </c>
      <c r="I2707" s="38" t="n">
        <f aca="false">Sens!$I$2706+Sens!$I$2703-Sens!$I$2702-Sens!$I$2704+Sens!$I$2705</f>
        <v>34.9696096053945</v>
      </c>
      <c r="J2707" s="38" t="n">
        <f aca="false">Sens!$J$2706+Sens!$J$2703-Sens!$J$2702-Sens!$J$2704+Sens!$J$2705</f>
        <v>75.3313456523922</v>
      </c>
      <c r="K2707" s="38" t="n">
        <f aca="false">Sens!$K$2706+Sens!$K$2703-Sens!$K$2702-Sens!$K$2704+Sens!$K$2705</f>
        <v>197.311992435464</v>
      </c>
      <c r="L2707" s="38" t="n">
        <f aca="false">Sens!$L$2706+Sens!$L$2703-Sens!$L$2702-Sens!$L$2704+Sens!$L$2705</f>
        <v>378.120643466004</v>
      </c>
      <c r="M2707" s="38" t="n">
        <f aca="false">Sens!$M$2706+Sens!$M$2703-Sens!$M$2702-Sens!$M$2704+Sens!$M$2705</f>
        <v>587.940051007045</v>
      </c>
    </row>
    <row r="2708" customFormat="false" ht="17.15" hidden="false" customHeight="false" outlineLevel="0" collapsed="false">
      <c r="A2708" s="5" t="s">
        <v>814</v>
      </c>
      <c r="B2708" s="0" t="s">
        <v>86</v>
      </c>
      <c r="F2708" s="38" t="n">
        <f aca="false">MAX(0,min_cash-Sens!$F$2707)</f>
        <v>0</v>
      </c>
      <c r="G2708" s="38" t="n">
        <f aca="false">Sens!$F$2708</f>
        <v>0</v>
      </c>
      <c r="H2708" s="38" t="n">
        <f aca="false">MAX(0,min_cash-Sens!$H$2707)</f>
        <v>6.64530416923528</v>
      </c>
      <c r="I2708" s="38" t="n">
        <f aca="false">MAX(0,min_cash-Sens!$I$2707)</f>
        <v>15.0303903946055</v>
      </c>
      <c r="J2708" s="38" t="n">
        <f aca="false">MAX(0,min_cash-Sens!$J$2707)</f>
        <v>0</v>
      </c>
      <c r="K2708" s="38" t="n">
        <f aca="false">MAX(0,min_cash-Sens!$K$2707)</f>
        <v>0</v>
      </c>
      <c r="L2708" s="38" t="n">
        <f aca="false">MAX(0,min_cash-Sens!$L$2707)</f>
        <v>0</v>
      </c>
      <c r="M2708" s="38" t="n">
        <f aca="false">MAX(0,min_cash-Sens!$M$2707)</f>
        <v>0</v>
      </c>
      <c r="P2708" s="5" t="s">
        <v>815</v>
      </c>
    </row>
    <row r="2709" customFormat="false" ht="15" hidden="false" customHeight="false" outlineLevel="0" collapsed="false">
      <c r="A2709" s="5" t="s">
        <v>816</v>
      </c>
      <c r="B2709" s="0" t="s">
        <v>86</v>
      </c>
      <c r="D2709" s="38" t="n">
        <f aca="false">Q!$E$61</f>
        <v>123.029</v>
      </c>
      <c r="E2709" s="38" t="n">
        <f aca="false">Q!$M$61</f>
        <v>122.988</v>
      </c>
      <c r="F2709" s="38" t="n">
        <f aca="false">Sens!$F$2707+Sens!$F$2708</f>
        <v>97.7108196731683</v>
      </c>
      <c r="G2709" s="38" t="n">
        <f aca="false">Sens!$F$2709</f>
        <v>97.7108196731683</v>
      </c>
      <c r="H2709" s="38" t="n">
        <f aca="false">Sens!$H$2707+Sens!$H$2708</f>
        <v>50</v>
      </c>
      <c r="I2709" s="38" t="n">
        <f aca="false">Sens!$I$2707+Sens!$I$2708</f>
        <v>50</v>
      </c>
      <c r="J2709" s="38" t="n">
        <f aca="false">Sens!$J$2707+Sens!$J$2708</f>
        <v>75.3313456523922</v>
      </c>
      <c r="K2709" s="38" t="n">
        <f aca="false">Sens!$K$2707+Sens!$K$2708</f>
        <v>197.311992435464</v>
      </c>
      <c r="L2709" s="38" t="n">
        <f aca="false">Sens!$L$2707+Sens!$L$2708</f>
        <v>378.120643466004</v>
      </c>
      <c r="M2709" s="38" t="n">
        <f aca="false">Sens!$M$2707+Sens!$M$2708</f>
        <v>587.940051007045</v>
      </c>
    </row>
    <row r="2710" customFormat="false" ht="15" hidden="false" customHeight="false" outlineLevel="0" collapsed="false">
      <c r="A2710" s="5" t="s">
        <v>817</v>
      </c>
      <c r="B2710" s="0" t="s">
        <v>86</v>
      </c>
      <c r="D2710" s="38" t="n">
        <f aca="false">Q!$E$62</f>
        <v>68.836</v>
      </c>
      <c r="E2710" s="38" t="n">
        <f aca="false">Q!$M$62</f>
        <v>132.995</v>
      </c>
      <c r="F2710" s="38" t="n">
        <f aca="false">debt_q2+Sens!$F$2705+Sens!$F$2708</f>
        <v>162.244999</v>
      </c>
      <c r="G2710" s="38" t="n">
        <f aca="false">Sens!$F$2710</f>
        <v>162.244999</v>
      </c>
      <c r="H2710" s="38" t="n">
        <f aca="false">Sens!$G$2710+Sens!$H$2708</f>
        <v>168.890303169235</v>
      </c>
      <c r="I2710" s="38" t="n">
        <f aca="false">Sens!$H$2710+Sens!$I$2708</f>
        <v>183.920693563841</v>
      </c>
      <c r="J2710" s="38" t="n">
        <f aca="false">Sens!$I$2710+Sens!$J$2708</f>
        <v>183.920693563841</v>
      </c>
      <c r="K2710" s="38" t="n">
        <f aca="false">Sens!$J$2710+Sens!$K$2708</f>
        <v>183.920693563841</v>
      </c>
      <c r="L2710" s="38" t="n">
        <f aca="false">Sens!$K$2710+Sens!$L$2708</f>
        <v>183.920693563841</v>
      </c>
      <c r="M2710" s="38" t="n">
        <f aca="false">Sens!$L$2710+Sens!$M$2708</f>
        <v>183.920693563841</v>
      </c>
    </row>
    <row r="2711" customFormat="false" ht="15" hidden="false" customHeight="false" outlineLevel="0" collapsed="false">
      <c r="A2711" s="5" t="s">
        <v>818</v>
      </c>
      <c r="B2711" s="0" t="s">
        <v>86</v>
      </c>
      <c r="D2711" s="38" t="n">
        <f aca="false">Sens!$D$2710-Sens!$D$2709</f>
        <v>-54.193</v>
      </c>
      <c r="E2711" s="38" t="n">
        <f aca="false">Sens!$E$2710-Sens!$E$2709</f>
        <v>10.007</v>
      </c>
      <c r="F2711" s="38" t="n">
        <f aca="false">Sens!$F$2710-Sens!$F$2709</f>
        <v>64.5341793268317</v>
      </c>
      <c r="G2711" s="38" t="n">
        <f aca="false">Sens!$G$2710-Sens!$G$2709</f>
        <v>64.5341793268317</v>
      </c>
      <c r="H2711" s="38" t="n">
        <f aca="false">Sens!$H$2710-Sens!$H$2709</f>
        <v>118.890303169235</v>
      </c>
      <c r="I2711" s="38" t="n">
        <f aca="false">Sens!$I$2710-Sens!$I$2709</f>
        <v>133.920693563841</v>
      </c>
      <c r="J2711" s="38" t="n">
        <f aca="false">Sens!$J$2710-Sens!$J$2709</f>
        <v>108.589347911449</v>
      </c>
      <c r="K2711" s="38" t="n">
        <f aca="false">Sens!$K$2710-Sens!$K$2709</f>
        <v>-13.3912988716235</v>
      </c>
      <c r="L2711" s="38" t="n">
        <f aca="false">Sens!$L$2710-Sens!$L$2709</f>
        <v>-194.199949902163</v>
      </c>
      <c r="M2711" s="38" t="n">
        <f aca="false">Sens!$M$2710-Sens!$M$2709</f>
        <v>-404.019357443204</v>
      </c>
    </row>
    <row r="2712" customFormat="false" ht="17.15" hidden="false" customHeight="false" outlineLevel="0" collapsed="false">
      <c r="A2712" s="5" t="s">
        <v>819</v>
      </c>
      <c r="B2712" s="0" t="s">
        <v>86</v>
      </c>
      <c r="F2712" s="38" t="n">
        <f aca="false">debt_q2*kd_book*0.5+iss_2h26*kd_new*iss_t</f>
        <v>3.24888962733561</v>
      </c>
      <c r="H2712" s="38" t="n">
        <f aca="false">debt_q2*kd_book+(Sens!$G$2710-debt_q2)*kd_new</f>
        <v>7.42354172302123</v>
      </c>
      <c r="I2712" s="38" t="n">
        <f aca="false">debt_q2*kd_book+(Sens!$H$2710-debt_q2)*kd_new</f>
        <v>7.84418947693382</v>
      </c>
      <c r="J2712" s="38" t="n">
        <f aca="false">debt_q2*kd_book+(Sens!$I$2710-debt_q2)*kd_new</f>
        <v>8.79561318891235</v>
      </c>
      <c r="K2712" s="38" t="n">
        <f aca="false">debt_q2*kd_book+(Sens!$J$2710-debt_q2)*kd_new</f>
        <v>8.79561318891235</v>
      </c>
      <c r="L2712" s="38" t="n">
        <f aca="false">debt_q2*kd_book+(Sens!$K$2710-debt_q2)*kd_new</f>
        <v>8.79561318891235</v>
      </c>
      <c r="M2712" s="38" t="n">
        <f aca="false">debt_q2*kd_book+(Sens!$L$2710-debt_q2)*kd_new</f>
        <v>8.79561318891235</v>
      </c>
    </row>
    <row r="2713" customFormat="false" ht="17.15" hidden="false" customHeight="false" outlineLevel="0" collapsed="false">
      <c r="A2713" s="5" t="s">
        <v>820</v>
      </c>
      <c r="B2713" s="0" t="s">
        <v>86</v>
      </c>
      <c r="F2713" s="38" t="n">
        <f aca="false">cash_q2*y_cash*0.5</f>
        <v>2.59</v>
      </c>
      <c r="H2713" s="38" t="n">
        <f aca="false">Sens!$G$2709*y_cash</f>
        <v>4.1153774832261</v>
      </c>
      <c r="I2713" s="38" t="n">
        <f aca="false">Sens!$H$2709*y_cash</f>
        <v>2.10589651022864</v>
      </c>
      <c r="J2713" s="38" t="n">
        <f aca="false">Sens!$I$2709*y_cash</f>
        <v>2.10589651022864</v>
      </c>
      <c r="K2713" s="38" t="n">
        <f aca="false">Sens!$J$2709*y_cash</f>
        <v>3.172800358404</v>
      </c>
      <c r="L2713" s="38" t="n">
        <f aca="false">Sens!$K$2709*y_cash</f>
        <v>8.31037272592208</v>
      </c>
      <c r="M2713" s="38" t="n">
        <f aca="false">Sens!$L$2709*y_cash</f>
        <v>15.9256588704093</v>
      </c>
    </row>
    <row r="2714" customFormat="false" ht="17.15" hidden="false" customHeight="false" outlineLevel="0" collapsed="false">
      <c r="A2714" s="47" t="s">
        <v>821</v>
      </c>
      <c r="B2714" s="14" t="s">
        <v>86</v>
      </c>
      <c r="C2714" s="14"/>
      <c r="D2714" s="14"/>
      <c r="E2714" s="14"/>
      <c r="F2714" s="14"/>
      <c r="G2714" s="48" t="n">
        <f aca="false">SUM(Sens!$G$2703:$K$2703)</f>
        <v>19.0072988716234</v>
      </c>
      <c r="H2714" s="14"/>
      <c r="I2714" s="14"/>
      <c r="J2714" s="14"/>
      <c r="K2714" s="14"/>
      <c r="L2714" s="14"/>
      <c r="M2714" s="14"/>
      <c r="N2714" s="14"/>
      <c r="O2714" s="14"/>
    </row>
    <row r="2715" customFormat="false" ht="17.15" hidden="false" customHeight="false" outlineLevel="0" collapsed="false">
      <c r="A2715" s="0" t="s">
        <v>787</v>
      </c>
      <c r="B2715" s="0" t="s">
        <v>86</v>
      </c>
      <c r="G2715" s="38" t="n">
        <f aca="false">SUM(Sens!$G$2708:$K$2708)</f>
        <v>21.6756945638408</v>
      </c>
    </row>
    <row r="2716" customFormat="false" ht="17.15" hidden="false" customHeight="false" outlineLevel="0" collapsed="false">
      <c r="A2716" s="24" t="s">
        <v>824</v>
      </c>
      <c r="B2716" s="25" t="s">
        <v>86</v>
      </c>
      <c r="C2716" s="25"/>
      <c r="D2716" s="25"/>
      <c r="E2716" s="25"/>
      <c r="F2716" s="25"/>
      <c r="G2716" s="41" t="n">
        <f aca="false">Sens!$G$2714-(Sens!$G$2703+Sens!$H$2703+Sens!$I$2703+Sens!$J$2703+Sens!$K$2703)</f>
        <v>0</v>
      </c>
      <c r="H2716" s="25"/>
      <c r="I2716" s="25"/>
      <c r="J2716" s="25"/>
      <c r="K2716" s="25"/>
      <c r="L2716" s="25"/>
      <c r="M2716" s="25"/>
      <c r="N2716" s="25"/>
      <c r="O2716" s="25"/>
    </row>
    <row r="2719" customFormat="false" ht="19.4" hidden="false" customHeight="false" outlineLevel="0" collapsed="false">
      <c r="A2719" s="31" t="s">
        <v>1206</v>
      </c>
    </row>
    <row r="2720" customFormat="false" ht="17.15" hidden="false" customHeight="false" outlineLevel="0" collapsed="false">
      <c r="A2720" s="6" t="s">
        <v>16</v>
      </c>
      <c r="B2720" s="6" t="s">
        <v>17</v>
      </c>
      <c r="C2720" s="20" t="s">
        <v>504</v>
      </c>
      <c r="D2720" s="20" t="s">
        <v>505</v>
      </c>
      <c r="E2720" s="20" t="s">
        <v>587</v>
      </c>
      <c r="F2720" s="20" t="s">
        <v>588</v>
      </c>
      <c r="G2720" s="20" t="s">
        <v>589</v>
      </c>
      <c r="H2720" s="20" t="s">
        <v>590</v>
      </c>
      <c r="I2720" s="20" t="s">
        <v>591</v>
      </c>
      <c r="J2720" s="20" t="s">
        <v>592</v>
      </c>
      <c r="K2720" s="20" t="s">
        <v>593</v>
      </c>
      <c r="L2720" s="20" t="s">
        <v>594</v>
      </c>
      <c r="M2720" s="20" t="s">
        <v>595</v>
      </c>
      <c r="N2720" s="20" t="s">
        <v>596</v>
      </c>
      <c r="O2720" s="20" t="s">
        <v>597</v>
      </c>
      <c r="P2720" s="6" t="s">
        <v>23</v>
      </c>
      <c r="R2720" s="20" t="n">
        <v>2023</v>
      </c>
      <c r="S2720" s="20" t="n">
        <v>2024</v>
      </c>
      <c r="T2720" s="20" t="n">
        <v>2025</v>
      </c>
      <c r="U2720" s="20" t="n">
        <v>2026</v>
      </c>
      <c r="V2720" s="20" t="n">
        <v>2027</v>
      </c>
      <c r="W2720" s="20" t="n">
        <v>2028</v>
      </c>
      <c r="X2720" s="20" t="n">
        <v>2029</v>
      </c>
      <c r="Y2720" s="20" t="n">
        <v>2030</v>
      </c>
      <c r="Z2720" s="20" t="n">
        <v>2031</v>
      </c>
      <c r="AA2720" s="20" t="n">
        <v>2032</v>
      </c>
    </row>
    <row r="2721" customFormat="false" ht="17.15" hidden="false" customHeight="false" outlineLevel="0" collapsed="false">
      <c r="A2721" s="1" t="s">
        <v>926</v>
      </c>
    </row>
    <row r="2722" customFormat="false" ht="17.15" hidden="false" customHeight="false" outlineLevel="0" collapsed="false">
      <c r="A2722" s="0" t="s">
        <v>927</v>
      </c>
      <c r="B2722" s="0" t="s">
        <v>86</v>
      </c>
      <c r="H2722" s="38" t="n">
        <f aca="false">Sens!$H$2656*(1-tax)</f>
        <v>107.033577599335</v>
      </c>
      <c r="I2722" s="38" t="n">
        <f aca="false">Sens!$I$2656*(1-tax)</f>
        <v>120.115676869338</v>
      </c>
      <c r="J2722" s="38" t="n">
        <f aca="false">Sens!$J$2656*(1-tax)</f>
        <v>135.418209542154</v>
      </c>
      <c r="K2722" s="38" t="n">
        <f aca="false">Sens!$K$2656*(1-tax)</f>
        <v>145.089081062441</v>
      </c>
      <c r="L2722" s="38" t="n">
        <f aca="false">Sens!$L$2656*(1-tax)</f>
        <v>154.119945663187</v>
      </c>
      <c r="M2722" s="38" t="n">
        <f aca="false">Sens!$M$2656*(1-tax)</f>
        <v>163.937413963577</v>
      </c>
    </row>
    <row r="2723" customFormat="false" ht="15" hidden="false" customHeight="false" outlineLevel="0" collapsed="false">
      <c r="A2723" s="5" t="s">
        <v>928</v>
      </c>
      <c r="B2723" s="0" t="s">
        <v>86</v>
      </c>
      <c r="H2723" s="38" t="n">
        <f aca="false">Sens!$H$2667</f>
        <v>81.5618233196153</v>
      </c>
      <c r="I2723" s="38" t="n">
        <f aca="false">Sens!$I$2667</f>
        <v>118.756208740204</v>
      </c>
      <c r="J2723" s="38" t="n">
        <f aca="false">Sens!$J$2667</f>
        <v>152.469489406791</v>
      </c>
      <c r="K2723" s="38" t="n">
        <f aca="false">Sens!$K$2667</f>
        <v>186.391502623819</v>
      </c>
      <c r="L2723" s="38" t="n">
        <f aca="false">Sens!$L$2667</f>
        <v>211.926422215482</v>
      </c>
      <c r="M2723" s="38" t="n">
        <f aca="false">Sens!$M$2667</f>
        <v>229.012482097906</v>
      </c>
    </row>
    <row r="2724" customFormat="false" ht="15" hidden="false" customHeight="false" outlineLevel="0" collapsed="false">
      <c r="A2724" s="5" t="s">
        <v>929</v>
      </c>
      <c r="B2724" s="0" t="s">
        <v>86</v>
      </c>
      <c r="H2724" s="38" t="n">
        <f aca="false">Sens!$H$2698</f>
        <v>273.372679834898</v>
      </c>
      <c r="I2724" s="38" t="n">
        <f aca="false">Sens!$I$2698</f>
        <v>286.981812228425</v>
      </c>
      <c r="J2724" s="38" t="n">
        <f aca="false">Sens!$J$2698</f>
        <v>299.316513378366</v>
      </c>
      <c r="K2724" s="38" t="n">
        <f aca="false">Sens!$K$2698</f>
        <v>251.057145512292</v>
      </c>
      <c r="L2724" s="38" t="n">
        <f aca="false">Sens!$L$2698</f>
        <v>234.696330860396</v>
      </c>
      <c r="M2724" s="38" t="n">
        <f aca="false">Sens!$M$2698</f>
        <v>242.291696043352</v>
      </c>
    </row>
    <row r="2725" customFormat="false" ht="15" hidden="false" customHeight="false" outlineLevel="0" collapsed="false">
      <c r="A2725" s="5" t="s">
        <v>930</v>
      </c>
      <c r="B2725" s="0" t="s">
        <v>86</v>
      </c>
      <c r="H2725" s="38" t="n">
        <f aca="false">Sens!$H$2699</f>
        <v>1.6</v>
      </c>
      <c r="I2725" s="38" t="n">
        <f aca="false">Sens!$I$2699</f>
        <v>1.6</v>
      </c>
      <c r="J2725" s="38" t="n">
        <f aca="false">Sens!$J$2699</f>
        <v>1.6</v>
      </c>
      <c r="K2725" s="38" t="n">
        <f aca="false">Sens!$K$2699</f>
        <v>1.6</v>
      </c>
      <c r="L2725" s="38" t="n">
        <f aca="false">Sens!$L$2699</f>
        <v>1.6</v>
      </c>
      <c r="M2725" s="38" t="n">
        <f aca="false">Sens!$M$2699</f>
        <v>1.6</v>
      </c>
    </row>
    <row r="2726" customFormat="false" ht="15" hidden="false" customHeight="false" outlineLevel="0" collapsed="false">
      <c r="A2726" s="5" t="s">
        <v>931</v>
      </c>
      <c r="B2726" s="0" t="s">
        <v>86</v>
      </c>
      <c r="H2726" s="38" t="n">
        <f aca="false">Sens!$H$2693</f>
        <v>11.2928295263397</v>
      </c>
      <c r="I2726" s="38" t="n">
        <f aca="false">Sens!$I$2693</f>
        <v>12.8091546115766</v>
      </c>
      <c r="J2726" s="38" t="n">
        <f aca="false">Sens!$J$2693</f>
        <v>14.2605653162668</v>
      </c>
      <c r="K2726" s="38" t="n">
        <f aca="false">Sens!$K$2693</f>
        <v>15.5327622460396</v>
      </c>
      <c r="L2726" s="38" t="n">
        <f aca="false">Sens!$L$2693</f>
        <v>16.720573737517</v>
      </c>
      <c r="M2726" s="38" t="n">
        <f aca="false">Sens!$M$2693</f>
        <v>17.8283127551536</v>
      </c>
    </row>
    <row r="2727" customFormat="false" ht="17.15" hidden="false" customHeight="false" outlineLevel="0" collapsed="false">
      <c r="A2727" s="1" t="s">
        <v>932</v>
      </c>
      <c r="B2727" s="8" t="s">
        <v>86</v>
      </c>
      <c r="H2727" s="38" t="n">
        <f aca="false">Sens!$H$2722+Sens!$H$2723-Sens!$H$2724-Sens!$H$2725+Sens!$H$2726</f>
        <v>-75.0844493896079</v>
      </c>
      <c r="I2727" s="38" t="n">
        <f aca="false">Sens!$I$2722+Sens!$I$2723-Sens!$I$2724-Sens!$I$2725+Sens!$I$2726</f>
        <v>-36.9007720073061</v>
      </c>
      <c r="J2727" s="38" t="n">
        <f aca="false">Sens!$J$2722+Sens!$J$2723-Sens!$J$2724-Sens!$J$2725+Sens!$J$2726</f>
        <v>1.2317508868455</v>
      </c>
      <c r="K2727" s="38" t="n">
        <f aca="false">Sens!$K$2722+Sens!$K$2723-Sens!$K$2724-Sens!$K$2725+Sens!$K$2726</f>
        <v>94.3562004200074</v>
      </c>
      <c r="L2727" s="38" t="n">
        <f aca="false">Sens!$L$2722+Sens!$L$2723-Sens!$L$2724-Sens!$L$2725+Sens!$L$2726</f>
        <v>146.470610755791</v>
      </c>
      <c r="M2727" s="38" t="n">
        <f aca="false">Sens!$M$2722+Sens!$M$2723-Sens!$M$2724-Sens!$M$2725+Sens!$M$2726</f>
        <v>166.886512773284</v>
      </c>
    </row>
    <row r="2728" customFormat="false" ht="15" hidden="false" customHeight="false" outlineLevel="0" collapsed="false">
      <c r="A2728" s="5" t="s">
        <v>933</v>
      </c>
      <c r="B2728" s="0" t="s">
        <v>57</v>
      </c>
      <c r="H2728" s="40" t="n">
        <f aca="false">1/(1+wacc)^(2027-2026-0.5)</f>
        <v>0.947751320380232</v>
      </c>
      <c r="I2728" s="40" t="n">
        <f aca="false">1/(1+wacc)^(2028-2026-0.5)</f>
        <v>0.851301099754987</v>
      </c>
      <c r="J2728" s="40" t="n">
        <f aca="false">1/(1+wacc)^(2029-2026-0.5)</f>
        <v>0.764666370660713</v>
      </c>
      <c r="K2728" s="40" t="n">
        <f aca="false">1/(1+wacc)^(2030-2026-0.5)</f>
        <v>0.686848235703811</v>
      </c>
      <c r="L2728" s="40" t="n">
        <f aca="false">1/(1+wacc)^(2031-2026-0.5)</f>
        <v>0.616949452715975</v>
      </c>
      <c r="M2728" s="40" t="n">
        <f aca="false">1/(1+wacc)^(2032-2026-0.5)</f>
        <v>0.554164089562688</v>
      </c>
    </row>
    <row r="2729" customFormat="false" ht="15" hidden="false" customHeight="false" outlineLevel="0" collapsed="false">
      <c r="A2729" s="5" t="s">
        <v>934</v>
      </c>
      <c r="B2729" s="0" t="s">
        <v>86</v>
      </c>
      <c r="H2729" s="38" t="n">
        <f aca="false">Sens!$H$2727*Sens!$H$2728</f>
        <v>-71.1613860490236</v>
      </c>
      <c r="I2729" s="38" t="n">
        <f aca="false">Sens!$I$2727*Sens!$I$2728</f>
        <v>-31.4136677916277</v>
      </c>
      <c r="J2729" s="38" t="n">
        <f aca="false">Sens!$J$2727*Sens!$J$2728</f>
        <v>0.941878480202264</v>
      </c>
      <c r="K2729" s="38" t="n">
        <f aca="false">Sens!$K$2727*Sens!$K$2728</f>
        <v>64.8083897861973</v>
      </c>
      <c r="L2729" s="38" t="n">
        <f aca="false">Sens!$L$2727*Sens!$L$2728</f>
        <v>90.3649631447596</v>
      </c>
      <c r="M2729" s="38" t="n">
        <f aca="false">Sens!$M$2727*Sens!$M$2728</f>
        <v>92.482512411299</v>
      </c>
    </row>
    <row r="2730" customFormat="false" ht="15" hidden="false" customHeight="false" outlineLevel="0" collapsed="false">
      <c r="A2730" s="5" t="s">
        <v>935</v>
      </c>
      <c r="B2730" s="0" t="s">
        <v>86</v>
      </c>
      <c r="C2730" s="38" t="n">
        <f aca="false">SUM(Sens!$H$2729:$M$2729)</f>
        <v>146.022689981807</v>
      </c>
    </row>
    <row r="2731" customFormat="false" ht="17.15" hidden="false" customHeight="false" outlineLevel="0" collapsed="false">
      <c r="A2731" s="5" t="s">
        <v>936</v>
      </c>
      <c r="B2731" s="0" t="s">
        <v>86</v>
      </c>
      <c r="C2731" s="38" t="n">
        <f aca="false">Sens!$M$2722*(1+tg)*(1-tg/ronic)/(wacc-tg)</f>
        <v>1490.37402807664</v>
      </c>
    </row>
    <row r="2732" customFormat="false" ht="15" hidden="false" customHeight="false" outlineLevel="0" collapsed="false">
      <c r="A2732" s="5" t="s">
        <v>937</v>
      </c>
      <c r="B2732" s="0" t="s">
        <v>86</v>
      </c>
      <c r="C2732" s="38" t="n">
        <f aca="false">Sens!$C$2731/(1+wacc)^6</f>
        <v>782.758967101341</v>
      </c>
    </row>
    <row r="2733" customFormat="false" ht="17.15" hidden="false" customHeight="false" outlineLevel="0" collapsed="false">
      <c r="A2733" s="5" t="s">
        <v>938</v>
      </c>
      <c r="B2733" s="0" t="s">
        <v>86</v>
      </c>
      <c r="C2733" s="38" t="n">
        <f aca="false">Sens!$C$2730+Sens!$C$2732</f>
        <v>928.781657083147</v>
      </c>
    </row>
    <row r="2734" customFormat="false" ht="17.15" hidden="false" customHeight="false" outlineLevel="0" collapsed="false">
      <c r="A2734" s="5" t="s">
        <v>939</v>
      </c>
      <c r="B2734" s="0" t="s">
        <v>52</v>
      </c>
      <c r="C2734" s="13" t="n">
        <f aca="false">Sens!$C$2732/Sens!$C$2733</f>
        <v>0.842780389913822</v>
      </c>
    </row>
    <row r="2735" customFormat="false" ht="17.15" hidden="false" customHeight="false" outlineLevel="0" collapsed="false">
      <c r="A2735" s="5" t="s">
        <v>940</v>
      </c>
      <c r="B2735" s="0" t="s">
        <v>86</v>
      </c>
      <c r="C2735" s="38" t="n">
        <f aca="false">Sens!$G$2711+fin_debt</f>
        <v>89.0551793268317</v>
      </c>
    </row>
    <row r="2736" customFormat="false" ht="17.15" hidden="false" customHeight="false" outlineLevel="0" collapsed="false">
      <c r="A2736" s="5" t="s">
        <v>941</v>
      </c>
      <c r="B2736" s="0" t="s">
        <v>86</v>
      </c>
      <c r="C2736" s="38" t="n">
        <f aca="false">(ant_val*ant_sh+oai_val*oai_sh)*(1-liq_disc)</f>
        <v>178.944</v>
      </c>
    </row>
    <row r="2737" customFormat="false" ht="15" hidden="false" customHeight="false" outlineLevel="0" collapsed="false">
      <c r="A2737" s="5" t="s">
        <v>942</v>
      </c>
      <c r="B2737" s="0" t="s">
        <v>86</v>
      </c>
      <c r="C2737" s="38" t="n">
        <f aca="false">Sens!$C$2733-Sens!$C$2735+Sens!$C$2736</f>
        <v>1018.67047775632</v>
      </c>
    </row>
    <row r="2738" customFormat="false" ht="17.15" hidden="false" customHeight="false" outlineLevel="0" collapsed="false">
      <c r="A2738" s="5" t="s">
        <v>943</v>
      </c>
      <c r="B2738" s="0" t="s">
        <v>27</v>
      </c>
      <c r="C2738" s="30" t="n">
        <f aca="false">Sens!$C$2737/sh_out</f>
        <v>94.4410182900586</v>
      </c>
    </row>
    <row r="2739" customFormat="false" ht="17.15" hidden="false" customHeight="false" outlineLevel="0" collapsed="false">
      <c r="A2739" s="1" t="s">
        <v>944</v>
      </c>
      <c r="B2739" s="8" t="s">
        <v>27</v>
      </c>
      <c r="C2739" s="30" t="n">
        <f aca="false">Sens!$C$2738*(1+ke)^tp_yf-dps*tp_yf</f>
        <v>103.447749264271</v>
      </c>
    </row>
    <row r="2740" customFormat="false" ht="17.15" hidden="false" customHeight="false" outlineLevel="0" collapsed="false">
      <c r="A2740" s="3" t="s">
        <v>945</v>
      </c>
    </row>
    <row r="2741" customFormat="false" ht="17.15" hidden="false" customHeight="false" outlineLevel="0" collapsed="false">
      <c r="A2741" s="5" t="s">
        <v>946</v>
      </c>
      <c r="B2741" s="0" t="s">
        <v>86</v>
      </c>
      <c r="C2741" s="38" t="n">
        <f aca="false">(1-tp_yf)*(Sens!$H$2668+sbc_ab*Sens!$H$2692*Sens!$H$2529/Sens!$H$2609)+tp_yf*(Sens!$I$2668+sbc_ab*Sens!$I$2692*Sens!$I$2529/Sens!$I$2609)</f>
        <v>59.634664536349</v>
      </c>
    </row>
    <row r="2742" customFormat="false" ht="15" hidden="false" customHeight="false" outlineLevel="0" collapsed="false">
      <c r="A2742" s="5" t="s">
        <v>947</v>
      </c>
      <c r="B2742" s="0" t="s">
        <v>57</v>
      </c>
      <c r="C2742" s="30" t="n">
        <f aca="false">m_ads*m_x</f>
        <v>9.11</v>
      </c>
    </row>
    <row r="2743" customFormat="false" ht="17.15" hidden="false" customHeight="false" outlineLevel="0" collapsed="false">
      <c r="A2743" s="5" t="s">
        <v>948</v>
      </c>
      <c r="B2743" s="0" t="s">
        <v>86</v>
      </c>
      <c r="C2743" s="38" t="n">
        <f aca="false">Sens!$C$2741*Sens!$C$2742</f>
        <v>543.271793926139</v>
      </c>
    </row>
    <row r="2744" customFormat="false" ht="17.15" hidden="false" customHeight="false" outlineLevel="0" collapsed="false">
      <c r="A2744" s="5" t="s">
        <v>949</v>
      </c>
      <c r="B2744" s="0" t="s">
        <v>86</v>
      </c>
      <c r="C2744" s="38" t="n">
        <f aca="false">(1-tp_yf)*(Sens!$H$2669+sbc_ab*Sens!$H$2692*(Sens!$H$2536-Sens!$H$2529)/Sens!$H$2609+IF(1=2,1,0)*(1-ext_sh)*Sens!$H$2566)+tp_yf*(Sens!$I$2669+sbc_ab*Sens!$I$2692*(Sens!$I$2536-Sens!$I$2529)/Sens!$I$2609+IF(1=2,1,0)*(1-ext_sh)*Sens!$I$2566)</f>
        <v>46.8273142374246</v>
      </c>
    </row>
    <row r="2745" customFormat="false" ht="17.15" hidden="false" customHeight="false" outlineLevel="0" collapsed="false">
      <c r="A2745" s="5" t="s">
        <v>950</v>
      </c>
      <c r="B2745" s="0" t="s">
        <v>57</v>
      </c>
      <c r="C2745" s="30" t="n">
        <f aca="false">m_retail*m_x</f>
        <v>17.72</v>
      </c>
    </row>
    <row r="2746" customFormat="false" ht="17.15" hidden="false" customHeight="false" outlineLevel="0" collapsed="false">
      <c r="A2746" s="5" t="s">
        <v>951</v>
      </c>
      <c r="B2746" s="0" t="s">
        <v>86</v>
      </c>
      <c r="C2746" s="38" t="n">
        <f aca="false">Sens!$C$2744*Sens!$C$2745</f>
        <v>829.780008287164</v>
      </c>
    </row>
    <row r="2747" customFormat="false" ht="17.15" hidden="false" customHeight="false" outlineLevel="0" collapsed="false">
      <c r="A2747" s="0" t="s">
        <v>952</v>
      </c>
      <c r="B2747" s="0" t="s">
        <v>86</v>
      </c>
      <c r="C2747" s="38" t="n">
        <f aca="false">(1-tp_yf)*(Sens!$H$2670+sbc_ab*Sens!$H$2692*Sens!$H$2607/Sens!$H$2609)+tp_yf*(Sens!$I$2670+sbc_ab*Sens!$I$2692*Sens!$I$2607/Sens!$I$2609)</f>
        <v>97.2337130506861</v>
      </c>
    </row>
    <row r="2748" customFormat="false" ht="17.15" hidden="false" customHeight="false" outlineLevel="0" collapsed="false">
      <c r="A2748" s="0" t="s">
        <v>953</v>
      </c>
      <c r="B2748" s="0" t="s">
        <v>57</v>
      </c>
      <c r="C2748" s="30" t="n">
        <f aca="false">m_cloud*m_x</f>
        <v>13.82</v>
      </c>
    </row>
    <row r="2749" customFormat="false" ht="17.15" hidden="false" customHeight="false" outlineLevel="0" collapsed="false">
      <c r="A2749" s="0" t="s">
        <v>954</v>
      </c>
      <c r="B2749" s="0" t="s">
        <v>86</v>
      </c>
      <c r="C2749" s="38" t="n">
        <f aca="false">Sens!$C$2747*Sens!$C$2748</f>
        <v>1343.76991436048</v>
      </c>
    </row>
    <row r="2750" customFormat="false" ht="17.15" hidden="false" customHeight="false" outlineLevel="0" collapsed="false">
      <c r="A2750" s="0" t="s">
        <v>955</v>
      </c>
      <c r="B2750" s="0" t="s">
        <v>86</v>
      </c>
      <c r="H2750" s="38" t="n">
        <f aca="false">Sens!$H$2588-tax*Sens!$H$2589-ext_sh*Sens!$H$2573</f>
        <v>-115.41576008619</v>
      </c>
      <c r="I2750" s="38" t="n">
        <f aca="false">Sens!$I$2588-tax*Sens!$I$2589-ext_sh*Sens!$I$2573</f>
        <v>-88.5401912683161</v>
      </c>
      <c r="J2750" s="38" t="n">
        <f aca="false">Sens!$J$2588-tax*Sens!$J$2589-ext_sh*Sens!$J$2573</f>
        <v>-61.2977422866746</v>
      </c>
      <c r="K2750" s="38" t="n">
        <f aca="false">Sens!$K$2588-tax*Sens!$K$2589-ext_sh*Sens!$K$2573</f>
        <v>9.91264760007891</v>
      </c>
      <c r="L2750" s="38" t="n">
        <f aca="false">Sens!$L$2588-tax*Sens!$L$2589-ext_sh*Sens!$L$2573</f>
        <v>46.750156871371</v>
      </c>
      <c r="M2750" s="38" t="n">
        <f aca="false">Sens!$M$2588-tax*Sens!$M$2589-ext_sh*Sens!$M$2573</f>
        <v>55.5634749071557</v>
      </c>
    </row>
    <row r="2751" customFormat="false" ht="17.15" hidden="false" customHeight="false" outlineLevel="0" collapsed="false">
      <c r="A2751" s="5" t="s">
        <v>956</v>
      </c>
      <c r="B2751" s="0" t="s">
        <v>86</v>
      </c>
      <c r="H2751" s="38" t="n">
        <f aca="false">Sens!$H$2750*Sens!$H$2728</f>
        <v>-109.385439014374</v>
      </c>
      <c r="I2751" s="38" t="n">
        <f aca="false">Sens!$I$2750*Sens!$I$2728</f>
        <v>-75.3743621992344</v>
      </c>
      <c r="J2751" s="38" t="n">
        <f aca="false">Sens!$J$2750*Sens!$J$2728</f>
        <v>-46.8723221240472</v>
      </c>
      <c r="K2751" s="38" t="n">
        <f aca="false">Sens!$K$2750*Sens!$K$2728</f>
        <v>6.80848451526782</v>
      </c>
      <c r="L2751" s="38" t="n">
        <f aca="false">Sens!$L$2750*Sens!$L$2728</f>
        <v>28.8424836961783</v>
      </c>
      <c r="M2751" s="38" t="n">
        <f aca="false">Sens!$M$2750*Sens!$M$2728</f>
        <v>30.7912824848632</v>
      </c>
    </row>
    <row r="2752" customFormat="false" ht="17.15" hidden="false" customHeight="false" outlineLevel="0" collapsed="false">
      <c r="A2752" s="5" t="s">
        <v>957</v>
      </c>
      <c r="B2752" s="0" t="s">
        <v>86</v>
      </c>
      <c r="C2752" s="38" t="n">
        <f aca="false">Sens!$M$2589*(1-tax)*(1+tg)*(1-tg/ronic)/(wacc-tg)</f>
        <v>356.180381489473</v>
      </c>
    </row>
    <row r="2753" customFormat="false" ht="17.15" hidden="false" customHeight="false" outlineLevel="0" collapsed="false">
      <c r="A2753" s="0" t="s">
        <v>958</v>
      </c>
      <c r="B2753" s="0" t="s">
        <v>86</v>
      </c>
      <c r="C2753" s="38" t="n">
        <f aca="false">(SUM(Sens!$I$2751:$M$2751)+Sens!$C$2752/(1+wacc)^6)*(1+wacc)^tp_yf</f>
        <v>143.3703803388</v>
      </c>
    </row>
    <row r="2754" customFormat="false" ht="17.15" hidden="false" customHeight="false" outlineLevel="0" collapsed="false">
      <c r="A2754" s="5" t="s">
        <v>959</v>
      </c>
      <c r="B2754" s="0" t="s">
        <v>86</v>
      </c>
      <c r="C2754" s="38" t="n">
        <f aca="false">(1-tp_yf)*(Sens!$H$2671)+tp_yf*(Sens!$I$2671)</f>
        <v>74.6707041238437</v>
      </c>
    </row>
    <row r="2755" customFormat="false" ht="17.15" hidden="false" customHeight="false" outlineLevel="0" collapsed="false">
      <c r="A2755" s="5" t="s">
        <v>960</v>
      </c>
      <c r="B2755" s="0" t="s">
        <v>86</v>
      </c>
      <c r="C2755" s="38" t="n">
        <f aca="false">Sens!$C$2754*m_ai</f>
        <v>448.024224743062</v>
      </c>
    </row>
    <row r="2756" customFormat="false" ht="17.15" hidden="false" customHeight="false" outlineLevel="0" collapsed="false">
      <c r="A2756" s="0" t="s">
        <v>961</v>
      </c>
      <c r="B2756" s="0" t="s">
        <v>86</v>
      </c>
      <c r="C2756" s="38" t="n">
        <f aca="false">IF(ai_leg=1,Sens!$C$2753,Sens!$C$2755)</f>
        <v>143.3703803388</v>
      </c>
    </row>
    <row r="2757" customFormat="false" ht="17.15" hidden="false" customHeight="false" outlineLevel="0" collapsed="false">
      <c r="A2757" s="5" t="s">
        <v>962</v>
      </c>
      <c r="B2757" s="0" t="s">
        <v>86</v>
      </c>
      <c r="C2757" s="38" t="n">
        <f aca="false">Sens!$C$2743+Sens!$C$2746+Sens!$C$2749+Sens!$C$2756</f>
        <v>2860.19209691259</v>
      </c>
    </row>
    <row r="2758" customFormat="false" ht="17.15" hidden="false" customHeight="false" outlineLevel="0" collapsed="false">
      <c r="A2758" s="5" t="s">
        <v>963</v>
      </c>
      <c r="B2758" s="0" t="s">
        <v>86</v>
      </c>
      <c r="C2758" s="38" t="n">
        <f aca="false">Sens!$H$2711+fin_debt</f>
        <v>143.411303169235</v>
      </c>
    </row>
    <row r="2759" customFormat="false" ht="15" hidden="false" customHeight="false" outlineLevel="0" collapsed="false">
      <c r="A2759" s="5" t="s">
        <v>964</v>
      </c>
      <c r="B2759" s="0" t="s">
        <v>86</v>
      </c>
      <c r="C2759" s="38" t="n">
        <f aca="false">Sens!$C$2757-Sens!$C$2758+Sens!$C$2736</f>
        <v>2895.72479374335</v>
      </c>
    </row>
    <row r="2760" customFormat="false" ht="15" hidden="false" customHeight="false" outlineLevel="0" collapsed="false">
      <c r="A2760" s="3" t="s">
        <v>965</v>
      </c>
      <c r="B2760" s="8" t="s">
        <v>27</v>
      </c>
      <c r="C2760" s="30" t="n">
        <f aca="false">Sens!$C$2759/sh_val</f>
        <v>262.524239449879</v>
      </c>
    </row>
    <row r="2761" customFormat="false" ht="17.15" hidden="false" customHeight="false" outlineLevel="0" collapsed="false">
      <c r="A2761" s="47" t="s">
        <v>966</v>
      </c>
      <c r="B2761" s="14" t="s">
        <v>27</v>
      </c>
      <c r="C2761" s="44" t="n">
        <f aca="false">w_dcf*Sens!$C$2739+(1-w_dcf)*Sens!$C$2760</f>
        <v>182.985994357075</v>
      </c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</row>
    <row r="2762" customFormat="false" ht="17.15" hidden="false" customHeight="false" outlineLevel="0" collapsed="false">
      <c r="A2762" s="5" t="s">
        <v>967</v>
      </c>
      <c r="B2762" s="0" t="s">
        <v>27</v>
      </c>
      <c r="C2762" s="30" t="n">
        <f aca="false">v022_wdcf*Sens!$C$2739+(1-v022_wdcf)*Sens!$C$2760</f>
        <v>190.939818866356</v>
      </c>
    </row>
    <row r="2763" customFormat="false" ht="17.15" hidden="false" customHeight="false" outlineLevel="0" collapsed="false">
      <c r="A2763" s="5" t="s">
        <v>968</v>
      </c>
      <c r="B2763" s="0" t="s">
        <v>27</v>
      </c>
      <c r="C2763" s="30" t="n">
        <f aca="false">(Sens!$C$2759-Sens!$C$2756+Sens!$C$2755)/sh_val</f>
        <v>290.14392864497</v>
      </c>
    </row>
    <row r="2766" customFormat="false" ht="19.4" hidden="false" customHeight="false" outlineLevel="0" collapsed="false">
      <c r="A2766" s="31" t="s">
        <v>1207</v>
      </c>
    </row>
    <row r="2767" customFormat="false" ht="17.15" hidden="false" customHeight="false" outlineLevel="0" collapsed="false">
      <c r="A2767" s="6" t="s">
        <v>16</v>
      </c>
      <c r="B2767" s="6" t="s">
        <v>17</v>
      </c>
      <c r="C2767" s="20" t="s">
        <v>504</v>
      </c>
      <c r="D2767" s="20" t="s">
        <v>505</v>
      </c>
      <c r="E2767" s="20" t="s">
        <v>587</v>
      </c>
      <c r="F2767" s="20" t="s">
        <v>588</v>
      </c>
      <c r="G2767" s="20" t="s">
        <v>589</v>
      </c>
      <c r="H2767" s="20" t="s">
        <v>590</v>
      </c>
      <c r="I2767" s="20" t="s">
        <v>591</v>
      </c>
      <c r="J2767" s="20" t="s">
        <v>592</v>
      </c>
      <c r="K2767" s="20" t="s">
        <v>593</v>
      </c>
      <c r="L2767" s="20" t="s">
        <v>594</v>
      </c>
      <c r="M2767" s="20" t="s">
        <v>595</v>
      </c>
      <c r="N2767" s="20" t="s">
        <v>596</v>
      </c>
      <c r="O2767" s="20" t="s">
        <v>597</v>
      </c>
      <c r="P2767" s="6" t="s">
        <v>23</v>
      </c>
      <c r="R2767" s="20" t="n">
        <v>2023</v>
      </c>
      <c r="S2767" s="20" t="n">
        <v>2024</v>
      </c>
      <c r="T2767" s="20" t="n">
        <v>2025</v>
      </c>
      <c r="U2767" s="20" t="n">
        <v>2026</v>
      </c>
      <c r="V2767" s="20" t="n">
        <v>2027</v>
      </c>
      <c r="W2767" s="20" t="n">
        <v>2028</v>
      </c>
      <c r="X2767" s="20" t="n">
        <v>2029</v>
      </c>
      <c r="Y2767" s="20" t="n">
        <v>2030</v>
      </c>
      <c r="Z2767" s="20" t="n">
        <v>2031</v>
      </c>
      <c r="AA2767" s="20" t="n">
        <v>2032</v>
      </c>
    </row>
    <row r="2768" customFormat="false" ht="17.15" hidden="false" customHeight="false" outlineLevel="0" collapsed="false">
      <c r="A2768" s="1" t="s">
        <v>677</v>
      </c>
    </row>
    <row r="2769" customFormat="false" ht="17.15" hidden="false" customHeight="false" outlineLevel="0" collapsed="false">
      <c r="A2769" s="0" t="s">
        <v>526</v>
      </c>
      <c r="B2769" s="0" t="s">
        <v>86</v>
      </c>
      <c r="C2769" s="38" t="n">
        <f aca="false">Q!$D$10</f>
        <v>247.029</v>
      </c>
      <c r="D2769" s="38" t="n">
        <f aca="false">Q!$E$10</f>
        <v>269.287</v>
      </c>
      <c r="E2769" s="38" t="n">
        <f aca="false">Q!$P$10</f>
        <v>134.686</v>
      </c>
      <c r="F2769" s="38" t="n">
        <f aca="false">Sens!$O$2769*(1+Sens!$F$2770)*Sens!$F$2781</f>
        <v>158.293876822267</v>
      </c>
      <c r="G2769" s="38" t="n">
        <f aca="false">Sens!$E$2769+Sens!$F$2769</f>
        <v>292.979876822267</v>
      </c>
      <c r="H2769" s="38" t="n">
        <f aca="false">Sens!$G$2769*(1+Sens!$H$2770)</f>
        <v>318.184543087396</v>
      </c>
      <c r="I2769" s="38" t="n">
        <f aca="false">Sens!$H$2769*(1+Sens!$I$2770)</f>
        <v>341.736278761793</v>
      </c>
      <c r="J2769" s="38" t="n">
        <f aca="false">Sens!$I$2769*(1+Sens!$J$2770)</f>
        <v>362.927192787048</v>
      </c>
      <c r="K2769" s="38" t="n">
        <f aca="false">Sens!$J$2769*(1+Sens!$K$2770)</f>
        <v>381.0735524264</v>
      </c>
      <c r="L2769" s="38" t="n">
        <f aca="false">Sens!$K$2769*(1+Sens!$L$2770)</f>
        <v>400.12723004772</v>
      </c>
      <c r="M2769" s="38" t="n">
        <f aca="false">Sens!$L$2769*(1+Sens!$M$2770)</f>
        <v>420.133591550106</v>
      </c>
      <c r="N2769" s="38" t="n">
        <f aca="false">Q!$N$10</f>
        <v>118.892</v>
      </c>
      <c r="O2769" s="38" t="n">
        <f aca="false">Q!$O$10</f>
        <v>150.395</v>
      </c>
      <c r="P2769" s="8" t="s">
        <v>678</v>
      </c>
    </row>
    <row r="2770" customFormat="false" ht="17.15" hidden="false" customHeight="false" outlineLevel="0" collapsed="false">
      <c r="A2770" s="0" t="s">
        <v>679</v>
      </c>
      <c r="B2770" s="0" t="s">
        <v>52</v>
      </c>
      <c r="E2770" s="13" t="n">
        <f aca="false">Sens!$E$2769/Sens!$N$2769-1</f>
        <v>0.132843252699929</v>
      </c>
      <c r="F2770" s="13" t="n">
        <f aca="false">Sens!$O$2769/(Q!$F$10+Q!$G$10)-1</f>
        <v>0.0980382135842941</v>
      </c>
      <c r="G2770" s="13" t="n">
        <f aca="false">Sens!$G$2769/Sens!$D$2769-1</f>
        <v>0.0879837378791657</v>
      </c>
      <c r="H2770" s="13" t="n">
        <f aca="false">Sens!$F$2770+(g_os-Sens!$F$2770)*1/4</f>
        <v>0.0860286601882206</v>
      </c>
      <c r="I2770" s="13" t="n">
        <f aca="false">Sens!$F$2770+(g_os-Sens!$F$2770)*2/4</f>
        <v>0.074019106792147</v>
      </c>
      <c r="J2770" s="13" t="n">
        <f aca="false">Sens!$F$2770+(g_os-Sens!$F$2770)*3/4</f>
        <v>0.0620095533960735</v>
      </c>
      <c r="K2770" s="13" t="n">
        <f aca="false">Sens!$F$2770+(g_os-Sens!$F$2770)*4/4</f>
        <v>0.05</v>
      </c>
      <c r="L2770" s="13" t="n">
        <f aca="false">g_os</f>
        <v>0.05</v>
      </c>
      <c r="M2770" s="13" t="n">
        <f aca="false">g_os</f>
        <v>0.05</v>
      </c>
      <c r="P2770" s="8" t="s">
        <v>680</v>
      </c>
    </row>
    <row r="2771" customFormat="false" ht="17.15" hidden="false" customHeight="false" outlineLevel="0" collapsed="false">
      <c r="A2771" s="0" t="s">
        <v>527</v>
      </c>
      <c r="B2771" s="0" t="s">
        <v>86</v>
      </c>
      <c r="C2771" s="38" t="n">
        <f aca="false">Q!$D$11</f>
        <v>21.215</v>
      </c>
      <c r="D2771" s="38" t="n">
        <f aca="false">Q!$E$11</f>
        <v>22.561</v>
      </c>
      <c r="E2771" s="38" t="n">
        <f aca="false">Q!$P$11</f>
        <v>11.579</v>
      </c>
      <c r="F2771" s="38" t="n">
        <f aca="false">Sens!$O$2771*(1+Sens!$F$2772)*Sens!$F$2781</f>
        <v>11.5938724610325</v>
      </c>
      <c r="G2771" s="38" t="n">
        <f aca="false">Sens!$E$2771+Sens!$F$2771</f>
        <v>23.1728724610325</v>
      </c>
      <c r="H2771" s="38" t="n">
        <f aca="false">Sens!$G$2771*(1+Sens!$H$2772)</f>
        <v>24.353392759506</v>
      </c>
      <c r="I2771" s="38" t="n">
        <f aca="false">Sens!$H$2771*(1+Sens!$I$2772)</f>
        <v>25.4240338872015</v>
      </c>
      <c r="J2771" s="38" t="n">
        <f aca="false">Sens!$I$2771*(1+Sens!$J$2772)</f>
        <v>26.3642491017174</v>
      </c>
      <c r="K2771" s="38" t="n">
        <f aca="false">Sens!$J$2771*(1+Sens!$K$2772)</f>
        <v>27.155176574769</v>
      </c>
      <c r="L2771" s="38" t="n">
        <f aca="false">Sens!$K$2771*(1+Sens!$L$2772)</f>
        <v>27.969831872012</v>
      </c>
      <c r="M2771" s="38" t="n">
        <f aca="false">Sens!$L$2771*(1+Sens!$M$2772)</f>
        <v>28.8089268281724</v>
      </c>
      <c r="N2771" s="38" t="n">
        <f aca="false">Q!$N$11</f>
        <v>11.128</v>
      </c>
      <c r="O2771" s="38" t="n">
        <f aca="false">Q!$O$11</f>
        <v>11.433</v>
      </c>
      <c r="P2771" s="8" t="s">
        <v>678</v>
      </c>
    </row>
    <row r="2772" customFormat="false" ht="17.15" hidden="false" customHeight="false" outlineLevel="0" collapsed="false">
      <c r="A2772" s="0" t="s">
        <v>681</v>
      </c>
      <c r="B2772" s="0" t="s">
        <v>52</v>
      </c>
      <c r="E2772" s="13" t="n">
        <f aca="false">Sens!$E$2771/Sens!$N$2771-1</f>
        <v>0.0405283968368082</v>
      </c>
      <c r="F2772" s="13" t="n">
        <f aca="false">Sens!$O$2771/(Q!$F$11+Q!$G$11)-1</f>
        <v>0.0579254187100955</v>
      </c>
      <c r="G2772" s="13" t="n">
        <f aca="false">Sens!$G$2771/Sens!$D$2771-1</f>
        <v>0.0271208040881397</v>
      </c>
      <c r="H2772" s="13" t="n">
        <f aca="false">Sens!$F$2772+(g_ps-Sens!$F$2772)*1/4</f>
        <v>0.0509440640325716</v>
      </c>
      <c r="I2772" s="13" t="n">
        <f aca="false">Sens!$F$2772+(g_ps-Sens!$F$2772)*2/4</f>
        <v>0.0439627093550477</v>
      </c>
      <c r="J2772" s="13" t="n">
        <f aca="false">Sens!$F$2772+(g_ps-Sens!$F$2772)*3/4</f>
        <v>0.0369813546775239</v>
      </c>
      <c r="K2772" s="13" t="n">
        <f aca="false">Sens!$F$2772+(g_ps-Sens!$F$2772)*4/4</f>
        <v>0.03</v>
      </c>
      <c r="L2772" s="13" t="n">
        <f aca="false">g_ps</f>
        <v>0.03</v>
      </c>
      <c r="M2772" s="13" t="n">
        <f aca="false">g_ps</f>
        <v>0.03</v>
      </c>
      <c r="P2772" s="8" t="s">
        <v>682</v>
      </c>
    </row>
    <row r="2773" customFormat="false" ht="17.15" hidden="false" customHeight="false" outlineLevel="0" collapsed="false">
      <c r="A2773" s="0" t="s">
        <v>528</v>
      </c>
      <c r="B2773" s="0" t="s">
        <v>86</v>
      </c>
      <c r="C2773" s="38" t="n">
        <f aca="false">Q!$D$12</f>
        <v>156.146</v>
      </c>
      <c r="D2773" s="38" t="n">
        <f aca="false">Q!$E$12</f>
        <v>172.162</v>
      </c>
      <c r="E2773" s="38" t="n">
        <f aca="false">Q!$P$12</f>
        <v>88.358</v>
      </c>
      <c r="F2773" s="38" t="n">
        <f aca="false">Sens!$O$2773*(1+Sens!$F$2774)*Sens!$F$2781</f>
        <v>102.004388260171</v>
      </c>
      <c r="G2773" s="38" t="n">
        <f aca="false">Sens!$E$2773+Sens!$F$2773</f>
        <v>190.362388260171</v>
      </c>
      <c r="H2773" s="38" t="n">
        <f aca="false">Sens!$G$2773*(1+Sens!$H$2774)</f>
        <v>210.343106588311</v>
      </c>
      <c r="I2773" s="38" t="n">
        <f aca="false">Sens!$H$2773*(1+Sens!$I$2774)</f>
        <v>229.969728494648</v>
      </c>
      <c r="J2773" s="38" t="n">
        <f aca="false">Sens!$I$2773*(1+Sens!$J$2774)</f>
        <v>248.747636972598</v>
      </c>
      <c r="K2773" s="38" t="n">
        <f aca="false">Sens!$J$2773*(1+Sens!$K$2774)</f>
        <v>266.15997156068</v>
      </c>
      <c r="L2773" s="38" t="n">
        <f aca="false">Sens!$K$2773*(1+Sens!$L$2774)</f>
        <v>284.791169569927</v>
      </c>
      <c r="M2773" s="38" t="n">
        <f aca="false">Sens!$L$2773*(1+Sens!$M$2774)</f>
        <v>304.726551439822</v>
      </c>
      <c r="N2773" s="38" t="n">
        <f aca="false">Q!$N$12</f>
        <v>76.86</v>
      </c>
      <c r="O2773" s="38" t="n">
        <f aca="false">Q!$O$12</f>
        <v>95.302</v>
      </c>
      <c r="P2773" s="8" t="s">
        <v>678</v>
      </c>
    </row>
    <row r="2774" customFormat="false" ht="17.15" hidden="false" customHeight="false" outlineLevel="0" collapsed="false">
      <c r="A2774" s="0" t="s">
        <v>683</v>
      </c>
      <c r="B2774" s="0" t="s">
        <v>52</v>
      </c>
      <c r="E2774" s="13" t="n">
        <f aca="false">Sens!$E$2773/Sens!$N$2773-1</f>
        <v>0.1495966692688</v>
      </c>
      <c r="F2774" s="13" t="n">
        <f aca="false">Sens!$O$2773/(Q!$F$12+Q!$G$12)-1</f>
        <v>0.11661530890813</v>
      </c>
      <c r="G2774" s="13" t="n">
        <f aca="false">Sens!$G$2773/Sens!$D$2773-1</f>
        <v>0.105716640490767</v>
      </c>
      <c r="H2774" s="13" t="n">
        <f aca="false">Sens!$F$2774+(g_sp-Sens!$F$2774)*1/4</f>
        <v>0.104961481681098</v>
      </c>
      <c r="I2774" s="13" t="n">
        <f aca="false">Sens!$F$2774+(g_sp-Sens!$F$2774)*2/4</f>
        <v>0.0933076544540651</v>
      </c>
      <c r="J2774" s="13" t="n">
        <f aca="false">Sens!$F$2774+(g_sp-Sens!$F$2774)*3/4</f>
        <v>0.0816538272270325</v>
      </c>
      <c r="K2774" s="13" t="n">
        <f aca="false">Sens!$F$2774+(g_sp-Sens!$F$2774)*4/4</f>
        <v>0.07</v>
      </c>
      <c r="L2774" s="13" t="n">
        <f aca="false">g_sp</f>
        <v>0.07</v>
      </c>
      <c r="M2774" s="13" t="n">
        <f aca="false">g_sp</f>
        <v>0.07</v>
      </c>
      <c r="P2774" s="8" t="s">
        <v>684</v>
      </c>
    </row>
    <row r="2775" customFormat="false" ht="17.15" hidden="false" customHeight="false" outlineLevel="0" collapsed="false">
      <c r="A2775" s="0" t="s">
        <v>529</v>
      </c>
      <c r="B2775" s="0" t="s">
        <v>86</v>
      </c>
      <c r="C2775" s="38" t="n">
        <f aca="false">Q!$D$13</f>
        <v>56.214</v>
      </c>
      <c r="D2775" s="38" t="n">
        <f aca="false">Q!$E$13</f>
        <v>68.635</v>
      </c>
      <c r="E2775" s="38" t="n">
        <f aca="false">Q!$P$13</f>
        <v>37.052</v>
      </c>
      <c r="F2775" s="38" t="n">
        <f aca="false">Sens!$O$2775*(1+Sens!$F$2776)*Sens!$F$2781</f>
        <v>46.1572219944148</v>
      </c>
      <c r="G2775" s="38" t="n">
        <f aca="false">Sens!$E$2775+Sens!$F$2775</f>
        <v>83.2092219944148</v>
      </c>
      <c r="H2775" s="38" t="n">
        <f aca="false">Sens!$G$2775*(1+Sens!$H$2776)</f>
        <v>99.8969223878976</v>
      </c>
      <c r="I2775" s="38" t="n">
        <f aca="false">Sens!$H$2775*(1+Sens!$I$2776)</f>
        <v>116.583111095496</v>
      </c>
      <c r="J2775" s="38" t="n">
        <f aca="false">Sens!$I$2775*(1+Sens!$J$2776)</f>
        <v>132.148941941952</v>
      </c>
      <c r="K2775" s="38" t="n">
        <f aca="false">Sens!$J$2775*(1+Sens!$K$2776)</f>
        <v>145.363836136147</v>
      </c>
      <c r="L2775" s="38" t="n">
        <f aca="false">Sens!$K$2775*(1+Sens!$L$2776)</f>
        <v>159.900219749762</v>
      </c>
      <c r="M2775" s="38" t="n">
        <f aca="false">Sens!$L$2775*(1+Sens!$M$2776)</f>
        <v>175.890241724738</v>
      </c>
      <c r="N2775" s="38" t="n">
        <f aca="false">Q!$N$13</f>
        <v>29.615</v>
      </c>
      <c r="O2775" s="38" t="n">
        <f aca="false">Q!$O$13</f>
        <v>39.02</v>
      </c>
      <c r="P2775" s="8" t="s">
        <v>678</v>
      </c>
    </row>
    <row r="2776" customFormat="false" ht="17.15" hidden="false" customHeight="false" outlineLevel="0" collapsed="false">
      <c r="A2776" s="0" t="s">
        <v>685</v>
      </c>
      <c r="B2776" s="0" t="s">
        <v>52</v>
      </c>
      <c r="E2776" s="13" t="n">
        <f aca="false">Sens!$E$2775/Sens!$N$2775-1</f>
        <v>0.25112274185379</v>
      </c>
      <c r="F2776" s="13" t="n">
        <f aca="false">Sens!$O$2775/(Q!$F$13+Q!$G$13)-1</f>
        <v>0.234068123596572</v>
      </c>
      <c r="G2776" s="13" t="n">
        <f aca="false">Sens!$G$2775/Sens!$D$2775-1</f>
        <v>0.212343876949294</v>
      </c>
      <c r="H2776" s="13" t="n">
        <f aca="false">Sens!$F$2776+(g_ad-Sens!$F$2776)*1/4</f>
        <v>0.200551092697429</v>
      </c>
      <c r="I2776" s="13" t="n">
        <f aca="false">Sens!$F$2776+(g_ad-Sens!$F$2776)*2/4</f>
        <v>0.167034061798286</v>
      </c>
      <c r="J2776" s="13" t="n">
        <f aca="false">Sens!$F$2776+(g_ad-Sens!$F$2776)*3/4</f>
        <v>0.133517030899143</v>
      </c>
      <c r="K2776" s="13" t="n">
        <f aca="false">Sens!$F$2776+(g_ad-Sens!$F$2776)*4/4</f>
        <v>0.1</v>
      </c>
      <c r="L2776" s="13" t="n">
        <f aca="false">g_ad</f>
        <v>0.1</v>
      </c>
      <c r="M2776" s="13" t="n">
        <f aca="false">g_ad</f>
        <v>0.1</v>
      </c>
      <c r="P2776" s="8" t="s">
        <v>686</v>
      </c>
    </row>
    <row r="2777" customFormat="false" ht="17.15" hidden="false" customHeight="false" outlineLevel="0" collapsed="false">
      <c r="A2777" s="0" t="s">
        <v>530</v>
      </c>
      <c r="B2777" s="0" t="s">
        <v>86</v>
      </c>
      <c r="C2777" s="38" t="n">
        <f aca="false">Q!$D$14</f>
        <v>44.374</v>
      </c>
      <c r="D2777" s="38" t="n">
        <f aca="false">Q!$E$14</f>
        <v>49.619</v>
      </c>
      <c r="E2777" s="38" t="n">
        <f aca="false">Q!$P$14</f>
        <v>27.157</v>
      </c>
      <c r="F2777" s="38" t="n">
        <f aca="false">Sens!$O$2777*(1+Sens!$F$2778)*Sens!$F$2781</f>
        <v>27.7764165988154</v>
      </c>
      <c r="G2777" s="38" t="n">
        <f aca="false">Sens!$E$2777+Sens!$F$2777</f>
        <v>54.9334165988154</v>
      </c>
      <c r="H2777" s="38" t="n">
        <f aca="false">Sens!$G$2777*(1+Sens!$H$2778)</f>
        <v>61.1564112561829</v>
      </c>
      <c r="I2777" s="38" t="n">
        <f aca="false">Sens!$H$2777*(1+Sens!$I$2778)</f>
        <v>67.2020282103945</v>
      </c>
      <c r="J2777" s="38" t="n">
        <f aca="false">Sens!$I$2777*(1+Sens!$J$2778)</f>
        <v>72.8757274028885</v>
      </c>
      <c r="K2777" s="38" t="n">
        <f aca="false">Sens!$J$2777*(1+Sens!$K$2778)</f>
        <v>77.9770283210907</v>
      </c>
      <c r="L2777" s="38" t="n">
        <f aca="false">Sens!$K$2777*(1+Sens!$L$2778)</f>
        <v>83.4354203035671</v>
      </c>
      <c r="M2777" s="38" t="n">
        <f aca="false">Sens!$L$2777*(1+Sens!$M$2778)</f>
        <v>89.2758997248168</v>
      </c>
      <c r="N2777" s="38" t="n">
        <f aca="false">Q!$N$14</f>
        <v>23.923</v>
      </c>
      <c r="O2777" s="38" t="n">
        <f aca="false">Q!$O$14</f>
        <v>25.696</v>
      </c>
      <c r="P2777" s="8" t="s">
        <v>678</v>
      </c>
    </row>
    <row r="2778" customFormat="false" ht="17.15" hidden="false" customHeight="false" outlineLevel="0" collapsed="false">
      <c r="A2778" s="0" t="s">
        <v>687</v>
      </c>
      <c r="B2778" s="0" t="s">
        <v>52</v>
      </c>
      <c r="E2778" s="13" t="n">
        <f aca="false">Sens!$E$2777/Sens!$N$2777-1</f>
        <v>0.135183714417088</v>
      </c>
      <c r="F2778" s="13" t="n">
        <f aca="false">Sens!$O$2777/(Q!$F$14+Q!$G$14)-1</f>
        <v>0.127709997366804</v>
      </c>
      <c r="G2778" s="13" t="n">
        <f aca="false">Sens!$G$2777/Sens!$D$2777-1</f>
        <v>0.107104468022641</v>
      </c>
      <c r="H2778" s="13" t="n">
        <f aca="false">Sens!$F$2778+(g_sub-Sens!$F$2778)*1/4</f>
        <v>0.113282498025103</v>
      </c>
      <c r="I2778" s="13" t="n">
        <f aca="false">Sens!$F$2778+(g_sub-Sens!$F$2778)*2/4</f>
        <v>0.0988549986834021</v>
      </c>
      <c r="J2778" s="13" t="n">
        <f aca="false">Sens!$F$2778+(g_sub-Sens!$F$2778)*3/4</f>
        <v>0.084427499341701</v>
      </c>
      <c r="K2778" s="13" t="n">
        <f aca="false">Sens!$F$2778+(g_sub-Sens!$F$2778)*4/4</f>
        <v>0.07</v>
      </c>
      <c r="L2778" s="13" t="n">
        <f aca="false">g_sub</f>
        <v>0.07</v>
      </c>
      <c r="M2778" s="13" t="n">
        <f aca="false">g_sub</f>
        <v>0.07</v>
      </c>
      <c r="P2778" s="8" t="s">
        <v>688</v>
      </c>
    </row>
    <row r="2779" customFormat="false" ht="17.15" hidden="false" customHeight="false" outlineLevel="0" collapsed="false">
      <c r="A2779" s="0" t="s">
        <v>531</v>
      </c>
      <c r="B2779" s="0" t="s">
        <v>86</v>
      </c>
      <c r="C2779" s="38" t="n">
        <f aca="false">Q!$D$15</f>
        <v>5.425</v>
      </c>
      <c r="D2779" s="38" t="n">
        <f aca="false">Q!$E$15</f>
        <v>5.935</v>
      </c>
      <c r="E2779" s="38" t="n">
        <f aca="false">Q!$P$15</f>
        <v>3.474</v>
      </c>
      <c r="F2779" s="38" t="n">
        <f aca="false">Sens!$O$2779*(1+Sens!$F$2780)*Sens!$F$2781</f>
        <v>3.22246550883619</v>
      </c>
      <c r="G2779" s="38" t="n">
        <f aca="false">Sens!$E$2779+Sens!$F$2779</f>
        <v>6.69646550883619</v>
      </c>
      <c r="H2779" s="38" t="n">
        <f aca="false">Sens!$G$2779*(1+Sens!$H$2780)</f>
        <v>7.16251344209196</v>
      </c>
      <c r="I2779" s="38" t="n">
        <f aca="false">Sens!$H$2779*(1+Sens!$I$2780)</f>
        <v>7.61421070299826</v>
      </c>
      <c r="J2779" s="38" t="n">
        <f aca="false">Sens!$I$2779*(1+Sens!$J$2780)</f>
        <v>8.04465753523932</v>
      </c>
      <c r="K2779" s="38" t="n">
        <f aca="false">Sens!$J$2779*(1+Sens!$K$2780)</f>
        <v>8.44689041200128</v>
      </c>
      <c r="L2779" s="38" t="n">
        <f aca="false">Sens!$K$2779*(1+Sens!$L$2780)</f>
        <v>8.86923493260135</v>
      </c>
      <c r="M2779" s="38" t="n">
        <f aca="false">Sens!$L$2779*(1+Sens!$M$2780)</f>
        <v>9.31269667923142</v>
      </c>
      <c r="N2779" s="38" t="n">
        <f aca="false">Q!$N$15</f>
        <v>2.811</v>
      </c>
      <c r="O2779" s="38" t="n">
        <f aca="false">Q!$O$15</f>
        <v>3.124</v>
      </c>
      <c r="P2779" s="8" t="s">
        <v>678</v>
      </c>
    </row>
    <row r="2780" customFormat="false" ht="17.15" hidden="false" customHeight="false" outlineLevel="0" collapsed="false">
      <c r="A2780" s="0" t="s">
        <v>689</v>
      </c>
      <c r="B2780" s="0" t="s">
        <v>52</v>
      </c>
      <c r="E2780" s="13" t="n">
        <f aca="false">Sens!$E$2779/Sens!$N$2779-1</f>
        <v>0.235859124866596</v>
      </c>
      <c r="F2780" s="13" t="n">
        <f aca="false">Sens!$O$2779/(Q!$F$15+Q!$G$15)-1</f>
        <v>0.0761281433000345</v>
      </c>
      <c r="G2780" s="13" t="n">
        <f aca="false">Sens!$G$2779/Sens!$D$2779-1</f>
        <v>0.128300843948811</v>
      </c>
      <c r="H2780" s="13" t="n">
        <f aca="false">Sens!$F$2780+(g_ot-Sens!$F$2780)*1/4</f>
        <v>0.0695961074750259</v>
      </c>
      <c r="I2780" s="13" t="n">
        <f aca="false">Sens!$F$2780+(g_ot-Sens!$F$2780)*2/4</f>
        <v>0.0630640716500172</v>
      </c>
      <c r="J2780" s="13" t="n">
        <f aca="false">Sens!$F$2780+(g_ot-Sens!$F$2780)*3/4</f>
        <v>0.0565320358250086</v>
      </c>
      <c r="K2780" s="13" t="n">
        <f aca="false">Sens!$F$2780+(g_ot-Sens!$F$2780)*4/4</f>
        <v>0.05</v>
      </c>
      <c r="L2780" s="13" t="n">
        <f aca="false">g_ot</f>
        <v>0.05</v>
      </c>
      <c r="M2780" s="13" t="n">
        <f aca="false">g_ot</f>
        <v>0.05</v>
      </c>
      <c r="P2780" s="8" t="s">
        <v>690</v>
      </c>
    </row>
    <row r="2781" customFormat="false" ht="17.15" hidden="false" customHeight="false" outlineLevel="0" collapsed="false">
      <c r="A2781" s="0" t="s">
        <v>691</v>
      </c>
      <c r="B2781" s="0" t="s">
        <v>57</v>
      </c>
      <c r="F2781" s="40" t="n">
        <f aca="false">(g26q3_mid*Q!$O$8/Q!$J$8-Thesis!$F$89-Thesis!$F$93)/(Sens!$O$2769*(1+Sens!$F$2770)+Sens!$O$2771*(1+Sens!$F$2772)+Sens!$O$2773*(1+Sens!$F$2774)+Sens!$O$2775*(1+Sens!$F$2776)+Sens!$O$2777*(1+Sens!$F$2778)+Sens!$O$2779*(1+Sens!$F$2780))</f>
        <v>0.958546670622329</v>
      </c>
      <c r="P2781" s="8" t="s">
        <v>692</v>
      </c>
    </row>
    <row r="2782" customFormat="false" ht="17.15" hidden="false" customHeight="false" outlineLevel="0" collapsed="false">
      <c r="A2782" s="3" t="s">
        <v>693</v>
      </c>
      <c r="B2782" s="8" t="s">
        <v>86</v>
      </c>
      <c r="C2782" s="38" t="n">
        <f aca="false">Sens!$C$2769+Sens!$C$2771+Sens!$C$2773+Sens!$C$2775+Sens!$C$2777+Sens!$C$2779</f>
        <v>530.403</v>
      </c>
      <c r="D2782" s="38" t="n">
        <f aca="false">Sens!$D$2769+Sens!$D$2771+Sens!$D$2773+Sens!$D$2775+Sens!$D$2777+Sens!$D$2779</f>
        <v>588.199</v>
      </c>
      <c r="E2782" s="38" t="n">
        <f aca="false">Sens!$E$2769+Sens!$E$2771+Sens!$E$2773+Sens!$E$2775+Sens!$E$2777+Sens!$E$2779</f>
        <v>302.306</v>
      </c>
      <c r="F2782" s="38" t="n">
        <f aca="false">Sens!$F$2769+Sens!$F$2771+Sens!$F$2773+Sens!$F$2775+Sens!$F$2777+Sens!$F$2779</f>
        <v>349.048241645537</v>
      </c>
      <c r="G2782" s="38" t="n">
        <f aca="false">Sens!$G$2769+Sens!$G$2771+Sens!$G$2773+Sens!$G$2775+Sens!$G$2777+Sens!$G$2779</f>
        <v>651.354241645537</v>
      </c>
      <c r="H2782" s="38" t="n">
        <f aca="false">Sens!$H$2769+Sens!$H$2771+Sens!$H$2773+Sens!$H$2775+Sens!$H$2777+Sens!$H$2779</f>
        <v>721.096889521386</v>
      </c>
      <c r="I2782" s="38" t="n">
        <f aca="false">Sens!$I$2769+Sens!$I$2771+Sens!$I$2773+Sens!$I$2775+Sens!$I$2777+Sens!$I$2779</f>
        <v>788.529391152531</v>
      </c>
      <c r="J2782" s="38" t="n">
        <f aca="false">Sens!$J$2769+Sens!$J$2771+Sens!$J$2773+Sens!$J$2775+Sens!$J$2777+Sens!$J$2779</f>
        <v>851.108405741443</v>
      </c>
      <c r="K2782" s="38" t="n">
        <f aca="false">Sens!$K$2769+Sens!$K$2771+Sens!$K$2773+Sens!$K$2775+Sens!$K$2777+Sens!$K$2779</f>
        <v>906.176455431088</v>
      </c>
      <c r="L2782" s="38" t="n">
        <f aca="false">Sens!$L$2769+Sens!$L$2771+Sens!$L$2773+Sens!$L$2775+Sens!$L$2777+Sens!$L$2779</f>
        <v>965.093106475589</v>
      </c>
      <c r="M2782" s="38" t="n">
        <f aca="false">Sens!$M$2769+Sens!$M$2771+Sens!$M$2773+Sens!$M$2775+Sens!$M$2777+Sens!$M$2779</f>
        <v>1028.14790794689</v>
      </c>
      <c r="N2782" s="38" t="n">
        <f aca="false">Sens!$N$2769+Sens!$N$2771+Sens!$N$2773+Sens!$N$2775+Sens!$N$2777+Sens!$N$2779</f>
        <v>263.229</v>
      </c>
      <c r="O2782" s="38" t="n">
        <f aca="false">Sens!$O$2769+Sens!$O$2771+Sens!$O$2773+Sens!$O$2775+Sens!$O$2777+Sens!$O$2779</f>
        <v>324.97</v>
      </c>
    </row>
    <row r="2783" customFormat="false" ht="17.15" hidden="false" customHeight="false" outlineLevel="0" collapsed="false">
      <c r="A2783" s="5" t="s">
        <v>694</v>
      </c>
      <c r="B2783" s="0" t="s">
        <v>52</v>
      </c>
      <c r="C2783" s="13" t="n">
        <f aca="false">Q!$D$5/(Q!$D$5+Q!$D$6)</f>
        <v>0.730570905519011</v>
      </c>
      <c r="D2783" s="13" t="n">
        <f aca="false">Q!$E$5/(Q!$E$5+Q!$E$6)</f>
        <v>0.724763217890544</v>
      </c>
      <c r="E2783" s="13" t="n">
        <f aca="false">Q!$P$5/(Q!$P$5+Q!$P$6)</f>
        <v>0.728797972914861</v>
      </c>
      <c r="F2783" s="13" t="n">
        <f aca="false">Sens!$O$2783</f>
        <v>0.718066283041511</v>
      </c>
      <c r="G2783" s="13" t="n">
        <f aca="false">Sens!$G$2784/Sens!$G$2782</f>
        <v>0.723047066202847</v>
      </c>
      <c r="H2783" s="13" t="n">
        <f aca="false">Sens!$G$2783</f>
        <v>0.723047066202847</v>
      </c>
      <c r="I2783" s="13" t="n">
        <f aca="false">Sens!$G$2783</f>
        <v>0.723047066202847</v>
      </c>
      <c r="J2783" s="13" t="n">
        <f aca="false">Sens!$G$2783</f>
        <v>0.723047066202847</v>
      </c>
      <c r="K2783" s="13" t="n">
        <f aca="false">Sens!$G$2783</f>
        <v>0.723047066202847</v>
      </c>
      <c r="L2783" s="13" t="n">
        <f aca="false">Sens!$G$2783</f>
        <v>0.723047066202847</v>
      </c>
      <c r="M2783" s="13" t="n">
        <f aca="false">Sens!$G$2783</f>
        <v>0.723047066202847</v>
      </c>
      <c r="N2783" s="13" t="n">
        <f aca="false">Q!$N$5/(Q!$N$5+Q!$N$6)</f>
        <v>0.733030935041352</v>
      </c>
      <c r="O2783" s="13" t="n">
        <f aca="false">Q!$O$5/(Q!$O$5+Q!$O$6)</f>
        <v>0.718066283041511</v>
      </c>
      <c r="P2783" s="8" t="s">
        <v>695</v>
      </c>
    </row>
    <row r="2784" customFormat="false" ht="17.15" hidden="false" customHeight="false" outlineLevel="0" collapsed="false">
      <c r="A2784" s="1" t="s">
        <v>519</v>
      </c>
      <c r="B2784" s="8" t="s">
        <v>86</v>
      </c>
      <c r="C2784" s="38" t="n">
        <f aca="false">Q!$D$5</f>
        <v>387.497</v>
      </c>
      <c r="D2784" s="38" t="n">
        <f aca="false">Q!$E$5</f>
        <v>426.305</v>
      </c>
      <c r="E2784" s="38" t="n">
        <f aca="false">Q!$P$5</f>
        <v>220.32</v>
      </c>
      <c r="F2784" s="38" t="n">
        <f aca="false">Sens!$F$2782*Sens!$F$2783</f>
        <v>250.639773480586</v>
      </c>
      <c r="G2784" s="38" t="n">
        <f aca="false">Sens!$E$2784+Sens!$F$2784</f>
        <v>470.959773480586</v>
      </c>
      <c r="H2784" s="38" t="n">
        <f aca="false">Sens!$H$2782*Sens!$H$2783</f>
        <v>521.386990416437</v>
      </c>
      <c r="I2784" s="38" t="n">
        <f aca="false">Sens!$I$2782*Sens!$I$2783</f>
        <v>570.143862887555</v>
      </c>
      <c r="J2784" s="38" t="n">
        <f aca="false">Sens!$J$2782*Sens!$J$2783</f>
        <v>615.391435791933</v>
      </c>
      <c r="K2784" s="38" t="n">
        <f aca="false">Sens!$K$2782*Sens!$K$2783</f>
        <v>655.208227561543</v>
      </c>
      <c r="L2784" s="38" t="n">
        <f aca="false">Sens!$L$2782*Sens!$L$2783</f>
        <v>697.807739249767</v>
      </c>
      <c r="M2784" s="38" t="n">
        <f aca="false">Sens!$M$2782*Sens!$M$2783</f>
        <v>743.399328463592</v>
      </c>
      <c r="N2784" s="38" t="n">
        <f aca="false">Q!$N$5</f>
        <v>192.955</v>
      </c>
      <c r="O2784" s="38" t="n">
        <f aca="false">Q!$O$5</f>
        <v>233.35</v>
      </c>
      <c r="P2784" s="5" t="s">
        <v>696</v>
      </c>
    </row>
    <row r="2785" customFormat="false" ht="17.15" hidden="false" customHeight="false" outlineLevel="0" collapsed="false">
      <c r="A2785" s="1" t="s">
        <v>522</v>
      </c>
      <c r="B2785" s="8" t="s">
        <v>86</v>
      </c>
      <c r="C2785" s="38" t="n">
        <f aca="false">Q!$D$6</f>
        <v>142.906</v>
      </c>
      <c r="D2785" s="38" t="n">
        <f aca="false">Q!$E$6</f>
        <v>161.894</v>
      </c>
      <c r="E2785" s="38" t="n">
        <f aca="false">Q!$P$6</f>
        <v>81.986</v>
      </c>
      <c r="F2785" s="38" t="n">
        <f aca="false">Sens!$F$2782*(1-Sens!$F$2783)</f>
        <v>98.408468164951</v>
      </c>
      <c r="G2785" s="38" t="n">
        <f aca="false">Sens!$E$2785+Sens!$F$2785</f>
        <v>180.394468164951</v>
      </c>
      <c r="H2785" s="38" t="n">
        <f aca="false">Sens!$H$2782*(1-Sens!$H$2783)</f>
        <v>199.709899104949</v>
      </c>
      <c r="I2785" s="38" t="n">
        <f aca="false">Sens!$I$2782*(1-Sens!$I$2783)</f>
        <v>218.385528264976</v>
      </c>
      <c r="J2785" s="38" t="n">
        <f aca="false">Sens!$J$2782*(1-Sens!$J$2783)</f>
        <v>235.71696994951</v>
      </c>
      <c r="K2785" s="38" t="n">
        <f aca="false">Sens!$K$2782*(1-Sens!$K$2783)</f>
        <v>250.968227869545</v>
      </c>
      <c r="L2785" s="38" t="n">
        <f aca="false">Sens!$L$2782*(1-Sens!$L$2783)</f>
        <v>267.285367225822</v>
      </c>
      <c r="M2785" s="38" t="n">
        <f aca="false">Sens!$M$2782*(1-Sens!$M$2783)</f>
        <v>284.748579483295</v>
      </c>
      <c r="N2785" s="38" t="n">
        <f aca="false">Q!$N$6</f>
        <v>70.274</v>
      </c>
      <c r="O2785" s="38" t="n">
        <f aca="false">Q!$O$6</f>
        <v>91.62</v>
      </c>
      <c r="P2785" s="5" t="s">
        <v>697</v>
      </c>
    </row>
    <row r="2786" customFormat="false" ht="17.15" hidden="false" customHeight="false" outlineLevel="0" collapsed="false">
      <c r="A2786" s="5" t="s">
        <v>698</v>
      </c>
      <c r="B2786" s="0" t="s">
        <v>86</v>
      </c>
      <c r="C2786" s="38" t="n">
        <f aca="false">Sens!$C$2775*Sens!$C$2783</f>
        <v>41.0683128828457</v>
      </c>
      <c r="D2786" s="38" t="n">
        <f aca="false">Sens!$D$2775*Sens!$D$2783</f>
        <v>49.7441234599175</v>
      </c>
      <c r="E2786" s="38" t="n">
        <f aca="false">Sens!$E$2775*Sens!$E$2783</f>
        <v>27.0034224924414</v>
      </c>
      <c r="F2786" s="38" t="n">
        <f aca="false">Sens!$F$2775*Sens!$F$2783</f>
        <v>33.1439448330513</v>
      </c>
      <c r="G2786" s="38" t="n">
        <f aca="false">Sens!$G$2775*Sens!$G$2783</f>
        <v>60.164183844083</v>
      </c>
      <c r="H2786" s="38" t="n">
        <f aca="false">Sens!$H$2775*Sens!$H$2783</f>
        <v>72.2301766552629</v>
      </c>
      <c r="I2786" s="38" t="n">
        <f aca="false">Sens!$I$2775*Sens!$I$2783</f>
        <v>84.2950764463991</v>
      </c>
      <c r="J2786" s="38" t="n">
        <f aca="false">Sens!$J$2775*Sens!$J$2783</f>
        <v>95.5499047729386</v>
      </c>
      <c r="K2786" s="38" t="n">
        <f aca="false">Sens!$K$2775*Sens!$K$2783</f>
        <v>105.104895250232</v>
      </c>
      <c r="L2786" s="38" t="n">
        <f aca="false">Sens!$L$2775*Sens!$L$2783</f>
        <v>115.615384775256</v>
      </c>
      <c r="M2786" s="38" t="n">
        <f aca="false">Sens!$M$2775*Sens!$M$2783</f>
        <v>127.176923252781</v>
      </c>
      <c r="N2786" s="38" t="n">
        <f aca="false">Sens!$N$2775*Sens!$N$2783</f>
        <v>21.7087111412496</v>
      </c>
      <c r="O2786" s="38" t="n">
        <f aca="false">Sens!$O$2775*Sens!$O$2783</f>
        <v>28.0189463642798</v>
      </c>
      <c r="P2786" s="5" t="s">
        <v>699</v>
      </c>
    </row>
    <row r="2787" customFormat="false" ht="15" hidden="false" customHeight="false" outlineLevel="0" collapsed="false">
      <c r="A2787" s="5" t="s">
        <v>700</v>
      </c>
      <c r="B2787" s="0" t="s">
        <v>86</v>
      </c>
      <c r="C2787" s="38" t="n">
        <f aca="false">Sens!$C$2775-Sens!$C$2786</f>
        <v>15.1456871171543</v>
      </c>
      <c r="D2787" s="38" t="n">
        <f aca="false">Sens!$D$2775-Sens!$D$2786</f>
        <v>18.8908765400825</v>
      </c>
      <c r="E2787" s="38" t="n">
        <f aca="false">Sens!$E$2775-Sens!$E$2786</f>
        <v>10.0485775075586</v>
      </c>
      <c r="F2787" s="38" t="n">
        <f aca="false">Sens!$F$2775-Sens!$F$2786</f>
        <v>13.0132771613635</v>
      </c>
      <c r="G2787" s="38" t="n">
        <f aca="false">Sens!$G$2775-Sens!$G$2786</f>
        <v>23.0450381503318</v>
      </c>
      <c r="H2787" s="38" t="n">
        <f aca="false">Sens!$H$2775-Sens!$H$2786</f>
        <v>27.6667457326347</v>
      </c>
      <c r="I2787" s="38" t="n">
        <f aca="false">Sens!$I$2775-Sens!$I$2786</f>
        <v>32.2880346490971</v>
      </c>
      <c r="J2787" s="38" t="n">
        <f aca="false">Sens!$J$2775-Sens!$J$2786</f>
        <v>36.5990371690132</v>
      </c>
      <c r="K2787" s="38" t="n">
        <f aca="false">Sens!$K$2775-Sens!$K$2786</f>
        <v>40.2589408859145</v>
      </c>
      <c r="L2787" s="38" t="n">
        <f aca="false">Sens!$L$2775-Sens!$L$2786</f>
        <v>44.2848349745059</v>
      </c>
      <c r="M2787" s="38" t="n">
        <f aca="false">Sens!$M$2775-Sens!$M$2786</f>
        <v>48.7133184719565</v>
      </c>
      <c r="N2787" s="38" t="n">
        <f aca="false">Sens!$N$2775-Sens!$N$2786</f>
        <v>7.90628885875037</v>
      </c>
      <c r="O2787" s="38" t="n">
        <f aca="false">Sens!$O$2775-Sens!$O$2786</f>
        <v>11.0010536357202</v>
      </c>
    </row>
    <row r="2788" customFormat="false" ht="19.4" hidden="false" customHeight="false" outlineLevel="0" collapsed="false">
      <c r="A2788" s="31" t="s">
        <v>1208</v>
      </c>
    </row>
    <row r="2789" customFormat="false" ht="17.15" hidden="false" customHeight="false" outlineLevel="0" collapsed="false">
      <c r="A2789" s="6" t="s">
        <v>16</v>
      </c>
      <c r="B2789" s="6" t="s">
        <v>17</v>
      </c>
      <c r="C2789" s="20" t="s">
        <v>504</v>
      </c>
      <c r="D2789" s="20" t="s">
        <v>505</v>
      </c>
      <c r="E2789" s="20" t="s">
        <v>587</v>
      </c>
      <c r="F2789" s="20" t="s">
        <v>588</v>
      </c>
      <c r="G2789" s="20" t="s">
        <v>589</v>
      </c>
      <c r="H2789" s="20" t="s">
        <v>590</v>
      </c>
      <c r="I2789" s="20" t="s">
        <v>591</v>
      </c>
      <c r="J2789" s="20" t="s">
        <v>592</v>
      </c>
      <c r="K2789" s="20" t="s">
        <v>593</v>
      </c>
      <c r="L2789" s="20" t="s">
        <v>594</v>
      </c>
      <c r="M2789" s="20" t="s">
        <v>595</v>
      </c>
      <c r="N2789" s="20" t="s">
        <v>596</v>
      </c>
      <c r="O2789" s="20" t="s">
        <v>597</v>
      </c>
      <c r="P2789" s="6" t="s">
        <v>23</v>
      </c>
      <c r="R2789" s="20" t="n">
        <v>2023</v>
      </c>
      <c r="S2789" s="20" t="n">
        <v>2024</v>
      </c>
      <c r="T2789" s="20" t="n">
        <v>2025</v>
      </c>
      <c r="U2789" s="20" t="n">
        <v>2026</v>
      </c>
      <c r="V2789" s="20" t="n">
        <v>2027</v>
      </c>
      <c r="W2789" s="20" t="n">
        <v>2028</v>
      </c>
      <c r="X2789" s="20" t="n">
        <v>2029</v>
      </c>
      <c r="Y2789" s="20" t="n">
        <v>2030</v>
      </c>
      <c r="Z2789" s="20" t="n">
        <v>2031</v>
      </c>
      <c r="AA2789" s="20" t="n">
        <v>2032</v>
      </c>
    </row>
    <row r="2790" customFormat="false" ht="17.15" hidden="false" customHeight="false" outlineLevel="0" collapsed="false">
      <c r="A2790" s="1" t="s">
        <v>598</v>
      </c>
    </row>
    <row r="2791" customFormat="false" ht="17.15" hidden="false" customHeight="false" outlineLevel="0" collapsed="false">
      <c r="A2791" s="5" t="s">
        <v>599</v>
      </c>
      <c r="B2791" s="0" t="s">
        <v>144</v>
      </c>
      <c r="H2791" s="32" t="n">
        <f aca="false">pace_B</f>
        <v>3634.3</v>
      </c>
      <c r="I2791" s="32" t="n">
        <f aca="false">pace_B</f>
        <v>3634.3</v>
      </c>
      <c r="J2791" s="32" t="n">
        <f aca="false">pace_B</f>
        <v>3634.3</v>
      </c>
      <c r="K2791" s="32" t="n">
        <f aca="false">pace_B+(Sens!$J$2792*tg-pace_B)*1/3</f>
        <v>2570.86716666667</v>
      </c>
      <c r="L2791" s="32" t="n">
        <f aca="false">pace_B+(Sens!$J$2792*tg-pace_B)*2/3</f>
        <v>1507.43433333333</v>
      </c>
      <c r="M2791" s="32" t="n">
        <f aca="false">pace_B+(Sens!$J$2792*tg-pace_B)*3/3</f>
        <v>444.0015</v>
      </c>
      <c r="P2791" s="5" t="s">
        <v>600</v>
      </c>
    </row>
    <row r="2792" customFormat="false" ht="17.15" hidden="false" customHeight="false" outlineLevel="0" collapsed="false">
      <c r="A2792" s="15" t="s">
        <v>601</v>
      </c>
      <c r="B2792" s="14" t="s">
        <v>129</v>
      </c>
      <c r="C2792" s="33" t="n">
        <f aca="false">mw_ye24</f>
        <v>360</v>
      </c>
      <c r="D2792" s="33" t="n">
        <f aca="false">mw_ye25</f>
        <v>1440</v>
      </c>
      <c r="E2792" s="33" t="n">
        <f aca="false">mw_open</f>
        <v>2080</v>
      </c>
      <c r="F2792" s="33" t="n">
        <f aca="false">Sens!$E$2792+pace_B*0.5</f>
        <v>3897.15</v>
      </c>
      <c r="G2792" s="33" t="n">
        <f aca="false">Sens!$F$2792</f>
        <v>3897.15</v>
      </c>
      <c r="H2792" s="33" t="n">
        <f aca="false">Sens!$G$2792+Sens!$H$2791</f>
        <v>7531.45</v>
      </c>
      <c r="I2792" s="33" t="n">
        <f aca="false">Sens!$H$2792+Sens!$I$2791</f>
        <v>11165.75</v>
      </c>
      <c r="J2792" s="33" t="n">
        <f aca="false">Sens!$I$2792+Sens!$J$2791</f>
        <v>14800.05</v>
      </c>
      <c r="K2792" s="33" t="n">
        <f aca="false">Sens!$J$2792+Sens!$K$2791</f>
        <v>17370.9171666667</v>
      </c>
      <c r="L2792" s="33" t="n">
        <f aca="false">Sens!$K$2792+Sens!$L$2791</f>
        <v>18878.3515</v>
      </c>
      <c r="M2792" s="33" t="n">
        <f aca="false">Sens!$L$2792+Sens!$M$2791</f>
        <v>19322.353</v>
      </c>
      <c r="N2792" s="33" t="n">
        <f aca="false">(mw_ye24+mw_ye25)/2</f>
        <v>900</v>
      </c>
      <c r="O2792" s="33" t="n">
        <f aca="false">mw_ye25</f>
        <v>1440</v>
      </c>
      <c r="P2792" s="5" t="s">
        <v>602</v>
      </c>
    </row>
    <row r="2793" customFormat="false" ht="17.15" hidden="false" customHeight="false" outlineLevel="0" collapsed="false">
      <c r="A2793" s="5" t="s">
        <v>603</v>
      </c>
      <c r="B2793" s="0" t="s">
        <v>129</v>
      </c>
      <c r="C2793" s="32" t="n">
        <f aca="false">(mw_ye23+mw_ye24)/2</f>
        <v>240</v>
      </c>
      <c r="D2793" s="32" t="n">
        <f aca="false">(Sens!$C$2792+Sens!$D$2792)/2</f>
        <v>900</v>
      </c>
      <c r="E2793" s="32" t="n">
        <f aca="false">(Sens!$D$2792+Sens!$E$2792)/2</f>
        <v>1760</v>
      </c>
      <c r="F2793" s="32" t="n">
        <f aca="false">(Sens!$E$2792+Sens!$F$2792)/2</f>
        <v>2988.575</v>
      </c>
      <c r="G2793" s="32" t="n">
        <f aca="false">(Sens!$E$2793+Sens!$F$2793)/2</f>
        <v>2374.2875</v>
      </c>
      <c r="H2793" s="32" t="n">
        <f aca="false">(Sens!$G$2792+Sens!$H$2792)/2</f>
        <v>5714.3</v>
      </c>
      <c r="I2793" s="32" t="n">
        <f aca="false">(Sens!$H$2792+Sens!$I$2792)/2</f>
        <v>9348.6</v>
      </c>
      <c r="J2793" s="32" t="n">
        <f aca="false">(Sens!$I$2792+Sens!$J$2792)/2</f>
        <v>12982.9</v>
      </c>
      <c r="K2793" s="32" t="n">
        <f aca="false">(Sens!$J$2792+Sens!$K$2792)/2</f>
        <v>16085.4835833333</v>
      </c>
      <c r="L2793" s="32" t="n">
        <f aca="false">(Sens!$K$2792+Sens!$L$2792)/2</f>
        <v>18124.6343333333</v>
      </c>
      <c r="M2793" s="32" t="n">
        <f aca="false">(Sens!$L$2792+Sens!$M$2792)/2</f>
        <v>19100.35225</v>
      </c>
      <c r="N2793" s="32" t="n">
        <f aca="false">(Sens!$C$2792+Sens!$N$2792)/2</f>
        <v>630</v>
      </c>
      <c r="O2793" s="32" t="n">
        <f aca="false">(Sens!$N$2792+Sens!$O$2792)/2</f>
        <v>1170</v>
      </c>
    </row>
    <row r="2794" customFormat="false" ht="15" hidden="false" customHeight="false" outlineLevel="0" collapsed="false">
      <c r="A2794" s="5" t="s">
        <v>604</v>
      </c>
      <c r="B2794" s="5" t="s">
        <v>123</v>
      </c>
      <c r="C2794" s="34" t="n">
        <v>1</v>
      </c>
      <c r="D2794" s="34" t="n">
        <v>1</v>
      </c>
      <c r="E2794" s="34" t="n">
        <v>0.5</v>
      </c>
      <c r="F2794" s="34" t="n">
        <v>0.5</v>
      </c>
      <c r="G2794" s="34" t="n">
        <v>1</v>
      </c>
      <c r="H2794" s="34" t="n">
        <v>1</v>
      </c>
      <c r="I2794" s="34" t="n">
        <v>1</v>
      </c>
      <c r="J2794" s="34" t="n">
        <v>1</v>
      </c>
      <c r="K2794" s="34" t="n">
        <v>1</v>
      </c>
      <c r="L2794" s="34" t="n">
        <v>1</v>
      </c>
      <c r="M2794" s="34" t="n">
        <v>1</v>
      </c>
      <c r="N2794" s="34" t="n">
        <v>0.5</v>
      </c>
      <c r="O2794" s="34" t="n">
        <v>0.5</v>
      </c>
    </row>
    <row r="2795" customFormat="false" ht="17.15" hidden="false" customHeight="false" outlineLevel="0" collapsed="false">
      <c r="A2795" s="5" t="s">
        <v>605</v>
      </c>
      <c r="B2795" s="0" t="s">
        <v>129</v>
      </c>
      <c r="C2795" s="32" t="n">
        <f aca="false">Sens!$C$2792-mw_ye23</f>
        <v>240</v>
      </c>
      <c r="D2795" s="32" t="n">
        <f aca="false">Sens!$D$2792-Sens!$C$2792</f>
        <v>1080</v>
      </c>
      <c r="E2795" s="32" t="n">
        <f aca="false">Sens!$E$2792-Sens!$D$2792</f>
        <v>640</v>
      </c>
      <c r="F2795" s="32" t="n">
        <f aca="false">Sens!$F$2792-Sens!$E$2792</f>
        <v>1817.15</v>
      </c>
      <c r="G2795" s="32" t="n">
        <f aca="false">Sens!$E$2795+Sens!$F$2795</f>
        <v>2457.15</v>
      </c>
      <c r="H2795" s="32" t="n">
        <f aca="false">Sens!$H$2792-Sens!$G$2792</f>
        <v>3634.3</v>
      </c>
      <c r="I2795" s="32" t="n">
        <f aca="false">Sens!$I$2792-Sens!$H$2792</f>
        <v>3634.3</v>
      </c>
      <c r="J2795" s="32" t="n">
        <f aca="false">Sens!$J$2792-Sens!$I$2792</f>
        <v>3634.3</v>
      </c>
      <c r="K2795" s="32" t="n">
        <f aca="false">Sens!$K$2792-Sens!$J$2792</f>
        <v>2570.86716666667</v>
      </c>
      <c r="L2795" s="32" t="n">
        <f aca="false">Sens!$L$2792-Sens!$K$2792</f>
        <v>1507.43433333333</v>
      </c>
      <c r="M2795" s="32" t="n">
        <f aca="false">Sens!$M$2792-Sens!$L$2792</f>
        <v>444.001499999999</v>
      </c>
      <c r="N2795" s="32" t="n">
        <f aca="false">Sens!$N$2792-Sens!$C$2792</f>
        <v>540</v>
      </c>
      <c r="O2795" s="32" t="n">
        <f aca="false">Sens!$O$2792-Sens!$N$2792</f>
        <v>540</v>
      </c>
    </row>
    <row r="2796" customFormat="false" ht="17.15" hidden="false" customHeight="false" outlineLevel="0" collapsed="false">
      <c r="A2796" s="5" t="s">
        <v>606</v>
      </c>
      <c r="B2796" s="0" t="s">
        <v>129</v>
      </c>
      <c r="C2796" s="32" t="n">
        <f aca="false">Sens!$C$2795/ext_sh</f>
        <v>300</v>
      </c>
      <c r="D2796" s="32" t="n">
        <f aca="false">Sens!$D$2795/ext_sh</f>
        <v>1350</v>
      </c>
      <c r="E2796" s="32" t="n">
        <f aca="false">Sens!$E$2795/ext_sh</f>
        <v>800</v>
      </c>
      <c r="F2796" s="32" t="n">
        <f aca="false">Sens!$F$2795/ext_sh</f>
        <v>2271.4375</v>
      </c>
      <c r="G2796" s="32" t="n">
        <f aca="false">Sens!$G$2795/ext_sh</f>
        <v>3071.4375</v>
      </c>
      <c r="H2796" s="32" t="n">
        <f aca="false">Sens!$H$2795/ext_sh</f>
        <v>4542.875</v>
      </c>
      <c r="I2796" s="32" t="n">
        <f aca="false">Sens!$I$2795/ext_sh</f>
        <v>4542.875</v>
      </c>
      <c r="J2796" s="32" t="n">
        <f aca="false">Sens!$J$2795/ext_sh</f>
        <v>4542.875</v>
      </c>
      <c r="K2796" s="32" t="n">
        <f aca="false">Sens!$K$2795/ext_sh</f>
        <v>3213.58395833333</v>
      </c>
      <c r="L2796" s="32" t="n">
        <f aca="false">Sens!$L$2795/ext_sh</f>
        <v>1884.29291666667</v>
      </c>
      <c r="M2796" s="32" t="n">
        <f aca="false">Sens!$M$2795/ext_sh</f>
        <v>555.001874999998</v>
      </c>
      <c r="N2796" s="32" t="n">
        <f aca="false">Sens!$N$2795/ext_sh</f>
        <v>675</v>
      </c>
      <c r="O2796" s="32" t="n">
        <f aca="false">Sens!$O$2795/ext_sh</f>
        <v>675</v>
      </c>
      <c r="P2796" s="8" t="s">
        <v>607</v>
      </c>
      <c r="R2796" s="32" t="n">
        <f aca="false">mw_ye23/ext_sh</f>
        <v>150</v>
      </c>
      <c r="S2796" s="32" t="n">
        <f aca="false">Sens!$C$2796</f>
        <v>300</v>
      </c>
      <c r="T2796" s="32" t="n">
        <f aca="false">Sens!$D$2796</f>
        <v>1350</v>
      </c>
      <c r="U2796" s="32" t="n">
        <f aca="false">Sens!$G$2796</f>
        <v>3071.4375</v>
      </c>
      <c r="V2796" s="32" t="n">
        <f aca="false">Sens!$H$2796</f>
        <v>4542.875</v>
      </c>
      <c r="W2796" s="32" t="n">
        <f aca="false">Sens!$I$2796</f>
        <v>4542.875</v>
      </c>
      <c r="X2796" s="32" t="n">
        <f aca="false">Sens!$J$2796</f>
        <v>4542.875</v>
      </c>
      <c r="Y2796" s="32" t="n">
        <f aca="false">Sens!$K$2796</f>
        <v>3213.58395833333</v>
      </c>
      <c r="Z2796" s="32" t="n">
        <f aca="false">Sens!$L$2796</f>
        <v>1884.29291666667</v>
      </c>
      <c r="AA2796" s="32" t="n">
        <f aca="false">Sens!$M$2796</f>
        <v>555.001874999998</v>
      </c>
    </row>
    <row r="2797" customFormat="false" ht="17.15" hidden="false" customHeight="false" outlineLevel="0" collapsed="false">
      <c r="A2797" s="1" t="s">
        <v>608</v>
      </c>
    </row>
    <row r="2798" customFormat="false" ht="17.15" hidden="false" customHeight="false" outlineLevel="0" collapsed="false">
      <c r="A2798" s="0" t="s">
        <v>609</v>
      </c>
      <c r="B2798" s="0" t="s">
        <v>52</v>
      </c>
      <c r="F2798" s="35" t="n">
        <f aca="false">na_vr26</f>
        <v>0</v>
      </c>
      <c r="G2798" s="35" t="n">
        <f aca="false">na_vr26</f>
        <v>0</v>
      </c>
      <c r="H2798" s="35" t="n">
        <f aca="false">na_vr27</f>
        <v>0.5</v>
      </c>
      <c r="I2798" s="35" t="n">
        <f aca="false">na_vr28</f>
        <v>1</v>
      </c>
      <c r="J2798" s="35" t="n">
        <f aca="false">na_vr28</f>
        <v>1</v>
      </c>
      <c r="K2798" s="35" t="n">
        <f aca="false">na_vr28</f>
        <v>1</v>
      </c>
      <c r="L2798" s="35" t="n">
        <f aca="false">na_vr28</f>
        <v>1</v>
      </c>
      <c r="M2798" s="35" t="n">
        <f aca="false">na_vr28</f>
        <v>1</v>
      </c>
    </row>
    <row r="2799" customFormat="false" ht="17.15" hidden="false" customHeight="false" outlineLevel="0" collapsed="false">
      <c r="A2799" s="5" t="s">
        <v>610</v>
      </c>
      <c r="B2799" s="0" t="s">
        <v>173</v>
      </c>
      <c r="F2799" s="36" t="n">
        <f aca="false">cust_sh*tk_he_gb300*cf_chip+(1-cust_sh)*((1-Sens!$F$2798)*tk_he_gb300+Sens!$F$2798*tk_he_vr200)</f>
        <v>10.8864110021101</v>
      </c>
      <c r="G2799" s="36" t="n">
        <f aca="false">cust_sh*tk_he_gb300*cf_chip+(1-cust_sh)*((1-Sens!$G$2798)*tk_he_gb300+Sens!$G$2798*tk_he_vr200)</f>
        <v>10.8864110021101</v>
      </c>
      <c r="H2799" s="36" t="n">
        <f aca="false">cust_sh*tk_he_gb300*cf_chip+(1-cust_sh)*((1-Sens!$H$2798)*tk_he_gb300+Sens!$H$2798*tk_he_vr200)</f>
        <v>11.2211760027286</v>
      </c>
      <c r="I2799" s="36" t="n">
        <f aca="false">cust_sh*tk_he_gb300*cf_chip+(1-cust_sh)*((1-Sens!$I$2798)*tk_he_gb300+Sens!$I$2798*tk_he_vr200)</f>
        <v>11.5559410033471</v>
      </c>
      <c r="J2799" s="36" t="n">
        <f aca="false">cust_sh*tk_he_gb300*cf_chip+(1-cust_sh)*((1-Sens!$J$2798)*tk_he_gb300+Sens!$J$2798*tk_he_vr200)</f>
        <v>11.5559410033471</v>
      </c>
      <c r="K2799" s="36" t="n">
        <f aca="false">cust_sh*tk_he_gb300*cf_chip+(1-cust_sh)*((1-Sens!$K$2798)*tk_he_gb300+Sens!$K$2798*tk_he_vr200)</f>
        <v>11.5559410033471</v>
      </c>
      <c r="L2799" s="36" t="n">
        <f aca="false">cust_sh*tk_he_gb300*cf_chip+(1-cust_sh)*((1-Sens!$L$2798)*tk_he_gb300+Sens!$L$2798*tk_he_vr200)</f>
        <v>11.5559410033471</v>
      </c>
      <c r="M2799" s="36" t="n">
        <f aca="false">cust_sh*tk_he_gb300*cf_chip+(1-cust_sh)*((1-Sens!$M$2798)*tk_he_gb300+Sens!$M$2798*tk_he_vr200)</f>
        <v>11.5559410033471</v>
      </c>
    </row>
    <row r="2800" customFormat="false" ht="17.15" hidden="false" customHeight="false" outlineLevel="0" collapsed="false">
      <c r="A2800" s="5" t="s">
        <v>611</v>
      </c>
      <c r="B2800" s="0" t="s">
        <v>173</v>
      </c>
      <c r="F2800" s="36" t="n">
        <f aca="false">cust_sh*tk_ox_gb300+(1-cust_sh)*((1-Sens!$F$2798)*tk_ox_gb300+Sens!$F$2798*tk_ox_vr200)</f>
        <v>1.98263481314457</v>
      </c>
      <c r="G2800" s="36" t="n">
        <f aca="false">cust_sh*tk_ox_gb300+(1-cust_sh)*((1-Sens!$G$2798)*tk_ox_gb300+Sens!$G$2798*tk_ox_vr200)</f>
        <v>1.98263481314457</v>
      </c>
      <c r="H2800" s="36" t="n">
        <f aca="false">cust_sh*tk_ox_gb300+(1-cust_sh)*((1-Sens!$H$2798)*tk_ox_gb300+Sens!$H$2798*tk_ox_vr200)</f>
        <v>2.01034999693694</v>
      </c>
      <c r="I2800" s="36" t="n">
        <f aca="false">cust_sh*tk_ox_gb300+(1-cust_sh)*((1-Sens!$I$2798)*tk_ox_gb300+Sens!$I$2798*tk_ox_vr200)</f>
        <v>2.0380651807293</v>
      </c>
      <c r="J2800" s="36" t="n">
        <f aca="false">cust_sh*tk_ox_gb300+(1-cust_sh)*((1-Sens!$J$2798)*tk_ox_gb300+Sens!$J$2798*tk_ox_vr200)</f>
        <v>2.0380651807293</v>
      </c>
      <c r="K2800" s="36" t="n">
        <f aca="false">cust_sh*tk_ox_gb300+(1-cust_sh)*((1-Sens!$K$2798)*tk_ox_gb300+Sens!$K$2798*tk_ox_vr200)</f>
        <v>2.0380651807293</v>
      </c>
      <c r="L2800" s="36" t="n">
        <f aca="false">cust_sh*tk_ox_gb300+(1-cust_sh)*((1-Sens!$L$2798)*tk_ox_gb300+Sens!$L$2798*tk_ox_vr200)</f>
        <v>2.0380651807293</v>
      </c>
      <c r="M2800" s="36" t="n">
        <f aca="false">cust_sh*tk_ox_gb300+(1-cust_sh)*((1-Sens!$M$2798)*tk_ox_gb300+Sens!$M$2798*tk_ox_vr200)</f>
        <v>2.0380651807293</v>
      </c>
    </row>
    <row r="2801" customFormat="false" ht="17.15" hidden="false" customHeight="false" outlineLevel="0" collapsed="false">
      <c r="A2801" s="5" t="s">
        <v>612</v>
      </c>
      <c r="B2801" s="0" t="s">
        <v>192</v>
      </c>
      <c r="F2801" s="36" t="n">
        <f aca="false">cust_sh*tk_cx_gb300*cf_cx+(1-cust_sh)*((1-Sens!$F$2798)*tk_cx_gb300+Sens!$F$2798*tk_cx_vr200)</f>
        <v>32.237224</v>
      </c>
      <c r="G2801" s="36" t="n">
        <f aca="false">cust_sh*tk_cx_gb300*cf_cx+(1-cust_sh)*((1-Sens!$G$2798)*tk_cx_gb300+Sens!$G$2798*tk_cx_vr200)</f>
        <v>32.237224</v>
      </c>
      <c r="H2801" s="36" t="n">
        <f aca="false">cust_sh*tk_cx_gb300*cf_cx+(1-cust_sh)*((1-Sens!$H$2798)*tk_cx_gb300+Sens!$H$2798*tk_cx_vr200)</f>
        <v>33.574506</v>
      </c>
      <c r="I2801" s="36" t="n">
        <f aca="false">cust_sh*tk_cx_gb300*cf_cx+(1-cust_sh)*((1-Sens!$I$2798)*tk_cx_gb300+Sens!$I$2798*tk_cx_vr200)</f>
        <v>34.911788</v>
      </c>
      <c r="J2801" s="36" t="n">
        <f aca="false">cust_sh*tk_cx_gb300*cf_cx+(1-cust_sh)*((1-Sens!$J$2798)*tk_cx_gb300+Sens!$J$2798*tk_cx_vr200)</f>
        <v>34.911788</v>
      </c>
      <c r="K2801" s="36" t="n">
        <f aca="false">cust_sh*tk_cx_gb300*cf_cx+(1-cust_sh)*((1-Sens!$K$2798)*tk_cx_gb300+Sens!$K$2798*tk_cx_vr200)</f>
        <v>34.911788</v>
      </c>
      <c r="L2801" s="36" t="n">
        <f aca="false">cust_sh*tk_cx_gb300*cf_cx+(1-cust_sh)*((1-Sens!$L$2798)*tk_cx_gb300+Sens!$L$2798*tk_cx_vr200)</f>
        <v>34.911788</v>
      </c>
      <c r="M2801" s="36" t="n">
        <f aca="false">cust_sh*tk_cx_gb300*cf_cx+(1-cust_sh)*((1-Sens!$M$2798)*tk_cx_gb300+Sens!$M$2798*tk_cx_vr200)</f>
        <v>34.911788</v>
      </c>
    </row>
    <row r="2802" customFormat="false" ht="17.15" hidden="false" customHeight="false" outlineLevel="0" collapsed="false">
      <c r="A2802" s="5" t="s">
        <v>613</v>
      </c>
      <c r="B2802" s="0" t="s">
        <v>129</v>
      </c>
      <c r="F2802" s="32" t="n">
        <f aca="false">Sens!$F$2792-mw_open</f>
        <v>1817.15</v>
      </c>
      <c r="G2802" s="32" t="n">
        <f aca="false">Sens!$F$2802</f>
        <v>1817.15</v>
      </c>
      <c r="H2802" s="32" t="n">
        <f aca="false">Sens!$H$2792-mw_open</f>
        <v>5451.45</v>
      </c>
      <c r="I2802" s="32" t="n">
        <f aca="false">Sens!$I$2792-mw_open</f>
        <v>9085.75</v>
      </c>
      <c r="J2802" s="32" t="n">
        <f aca="false">Sens!$J$2792-mw_open</f>
        <v>12720.05</v>
      </c>
      <c r="K2802" s="32" t="n">
        <f aca="false">Sens!$K$2792-mw_open</f>
        <v>15290.9171666667</v>
      </c>
      <c r="L2802" s="32" t="n">
        <f aca="false">Sens!$L$2792-mw_open</f>
        <v>16798.3515</v>
      </c>
      <c r="M2802" s="32" t="n">
        <f aca="false">Sens!$M$2792-mw_open</f>
        <v>17242.353</v>
      </c>
    </row>
    <row r="2803" customFormat="false" ht="17.15" hidden="false" customHeight="false" outlineLevel="0" collapsed="false">
      <c r="A2803" s="0" t="s">
        <v>614</v>
      </c>
      <c r="B2803" s="0" t="s">
        <v>615</v>
      </c>
      <c r="F2803" s="32" t="n">
        <f aca="false">Sens!$F$2795*Sens!$F$2799</f>
        <v>19782.2417524844</v>
      </c>
      <c r="G2803" s="32" t="n">
        <f aca="false">Sens!$F$2803</f>
        <v>19782.2417524844</v>
      </c>
      <c r="H2803" s="32" t="n">
        <f aca="false">Sens!$G$2803+Sens!$H$2795*Sens!$H$2799</f>
        <v>60563.3616992009</v>
      </c>
      <c r="I2803" s="32" t="n">
        <f aca="false">Sens!$H$2803+Sens!$I$2795*Sens!$I$2799</f>
        <v>102561.118087665</v>
      </c>
      <c r="J2803" s="32" t="n">
        <f aca="false">Sens!$I$2803+Sens!$J$2795*Sens!$J$2799</f>
        <v>144558.87447613</v>
      </c>
      <c r="K2803" s="32" t="n">
        <f aca="false">Sens!$J$2803+Sens!$K$2795*Sens!$K$2799</f>
        <v>174267.663781572</v>
      </c>
      <c r="L2803" s="32" t="n">
        <f aca="false">Sens!$K$2803+Sens!$L$2795*Sens!$L$2799</f>
        <v>191687.486003992</v>
      </c>
      <c r="M2803" s="32" t="n">
        <f aca="false">Sens!$L$2803+Sens!$M$2795*Sens!$M$2799</f>
        <v>196818.341143389</v>
      </c>
    </row>
    <row r="2804" customFormat="false" ht="17.15" hidden="false" customHeight="false" outlineLevel="0" collapsed="false">
      <c r="A2804" s="0" t="s">
        <v>616</v>
      </c>
      <c r="B2804" s="0" t="s">
        <v>615</v>
      </c>
      <c r="F2804" s="32" t="n">
        <f aca="false">Sens!$F$2795*Sens!$F$2800</f>
        <v>3602.74485070566</v>
      </c>
      <c r="G2804" s="32" t="n">
        <f aca="false">Sens!$F$2804</f>
        <v>3602.74485070566</v>
      </c>
      <c r="H2804" s="32" t="n">
        <f aca="false">Sens!$G$2804+Sens!$H$2795*Sens!$H$2800</f>
        <v>10908.9598445736</v>
      </c>
      <c r="I2804" s="32" t="n">
        <f aca="false">Sens!$H$2804+Sens!$I$2795*Sens!$I$2800</f>
        <v>18315.9001308981</v>
      </c>
      <c r="J2804" s="32" t="n">
        <f aca="false">Sens!$I$2804+Sens!$J$2795*Sens!$J$2800</f>
        <v>25722.8404172225</v>
      </c>
      <c r="K2804" s="32" t="n">
        <f aca="false">Sens!$J$2804+Sens!$K$2795*Sens!$K$2800</f>
        <v>30962.4352738861</v>
      </c>
      <c r="L2804" s="32" t="n">
        <f aca="false">Sens!$K$2804+Sens!$L$2795*Sens!$L$2800</f>
        <v>34034.6847008886</v>
      </c>
      <c r="M2804" s="32" t="n">
        <f aca="false">Sens!$L$2804+Sens!$M$2795*Sens!$M$2800</f>
        <v>34939.5886982302</v>
      </c>
    </row>
    <row r="2805" customFormat="false" ht="17.15" hidden="false" customHeight="false" outlineLevel="0" collapsed="false">
      <c r="A2805" s="5" t="s">
        <v>617</v>
      </c>
      <c r="B2805" s="0" t="s">
        <v>173</v>
      </c>
      <c r="F2805" s="36" t="n">
        <f aca="false">IF(Sens!$F$2802&gt;0,Sens!$F$2803/Sens!$F$2802,Sens!$F$2799)</f>
        <v>10.8864110021101</v>
      </c>
      <c r="G2805" s="36" t="n">
        <f aca="false">IF(Sens!$G$2802&gt;0,Sens!$G$2803/Sens!$G$2802,Sens!$G$2799)</f>
        <v>10.8864110021101</v>
      </c>
      <c r="H2805" s="36" t="n">
        <f aca="false">IF(Sens!$H$2802&gt;0,Sens!$H$2803/Sens!$H$2802,Sens!$H$2799)</f>
        <v>11.1095876691891</v>
      </c>
      <c r="I2805" s="36" t="n">
        <f aca="false">IF(Sens!$I$2802&gt;0,Sens!$I$2803/Sens!$I$2802,Sens!$I$2799)</f>
        <v>11.2881290028523</v>
      </c>
      <c r="J2805" s="36" t="n">
        <f aca="false">IF(Sens!$J$2802&gt;0,Sens!$J$2803/Sens!$J$2802,Sens!$J$2799)</f>
        <v>11.3646467172794</v>
      </c>
      <c r="K2805" s="36" t="n">
        <f aca="false">IF(Sens!$K$2802&gt;0,Sens!$K$2803/Sens!$K$2802,Sens!$K$2799)</f>
        <v>11.3968090914432</v>
      </c>
      <c r="L2805" s="36" t="n">
        <f aca="false">IF(Sens!$L$2802&gt;0,Sens!$L$2803/Sens!$L$2802,Sens!$L$2799)</f>
        <v>11.4110891181192</v>
      </c>
      <c r="M2805" s="36" t="n">
        <f aca="false">IF(Sens!$M$2802&gt;0,Sens!$M$2803/Sens!$M$2802,Sens!$M$2799)</f>
        <v>11.4148191458201</v>
      </c>
    </row>
    <row r="2806" customFormat="false" ht="17.15" hidden="false" customHeight="false" outlineLevel="0" collapsed="false">
      <c r="A2806" s="5" t="s">
        <v>618</v>
      </c>
      <c r="B2806" s="0" t="s">
        <v>173</v>
      </c>
      <c r="F2806" s="36" t="n">
        <f aca="false">IF(Sens!$F$2802&gt;0,Sens!$F$2804/Sens!$F$2802,Sens!$F$2800)</f>
        <v>1.98263481314457</v>
      </c>
      <c r="G2806" s="36" t="n">
        <f aca="false">IF(Sens!$G$2802&gt;0,Sens!$G$2804/Sens!$G$2802,Sens!$G$2800)</f>
        <v>1.98263481314457</v>
      </c>
      <c r="H2806" s="36" t="n">
        <f aca="false">IF(Sens!$H$2802&gt;0,Sens!$H$2804/Sens!$H$2802,Sens!$H$2800)</f>
        <v>2.00111160233948</v>
      </c>
      <c r="I2806" s="36" t="n">
        <f aca="false">IF(Sens!$I$2802&gt;0,Sens!$I$2804/Sens!$I$2802,Sens!$I$2800)</f>
        <v>2.01589303369541</v>
      </c>
      <c r="J2806" s="36" t="n">
        <f aca="false">IF(Sens!$J$2802&gt;0,Sens!$J$2804/Sens!$J$2802,Sens!$J$2800)</f>
        <v>2.02222793284795</v>
      </c>
      <c r="K2806" s="36" t="n">
        <f aca="false">IF(Sens!$K$2802&gt;0,Sens!$K$2804/Sens!$K$2802,Sens!$K$2800)</f>
        <v>2.02489065478573</v>
      </c>
      <c r="L2806" s="36" t="n">
        <f aca="false">IF(Sens!$L$2802&gt;0,Sens!$L$2804/Sens!$L$2802,Sens!$L$2800)</f>
        <v>2.0260728977417</v>
      </c>
      <c r="M2806" s="36" t="n">
        <f aca="false">IF(Sens!$M$2802&gt;0,Sens!$M$2804/Sens!$M$2802,Sens!$M$2800)</f>
        <v>2.02638170661685</v>
      </c>
    </row>
    <row r="2807" customFormat="false" ht="17.15" hidden="false" customHeight="false" outlineLevel="0" collapsed="false">
      <c r="A2807" s="15" t="s">
        <v>619</v>
      </c>
      <c r="B2807" s="14" t="s">
        <v>173</v>
      </c>
      <c r="C2807" s="14"/>
      <c r="D2807" s="14"/>
      <c r="E2807" s="14"/>
      <c r="F2807" s="37" t="n">
        <f aca="false">Sens!$F$2805*k_B</f>
        <v>10.7987645808025</v>
      </c>
      <c r="G2807" s="37" t="n">
        <f aca="false">Sens!$G$2805*k_B</f>
        <v>10.7987645808025</v>
      </c>
      <c r="H2807" s="37" t="n">
        <f aca="false">Sens!$H$2805*k_B</f>
        <v>11.0201444540452</v>
      </c>
      <c r="I2807" s="37" t="n">
        <f aca="false">Sens!$I$2805*k_B</f>
        <v>11.1972483526393</v>
      </c>
      <c r="J2807" s="37" t="n">
        <f aca="false">Sens!$J$2805*k_B</f>
        <v>11.2731500234653</v>
      </c>
      <c r="K2807" s="37" t="n">
        <f aca="false">Sens!$K$2805*k_B</f>
        <v>11.3050534585724</v>
      </c>
      <c r="L2807" s="37" t="n">
        <f aca="false">Sens!$L$2805*k_B</f>
        <v>11.3192185168503</v>
      </c>
      <c r="M2807" s="37" t="n">
        <f aca="false">Sens!$M$2805*k_B</f>
        <v>11.3229185141234</v>
      </c>
      <c r="N2807" s="14"/>
      <c r="O2807" s="14"/>
      <c r="P2807" s="5" t="s">
        <v>620</v>
      </c>
    </row>
    <row r="2808" customFormat="false" ht="17.15" hidden="false" customHeight="false" outlineLevel="0" collapsed="false">
      <c r="A2808" s="5" t="s">
        <v>621</v>
      </c>
      <c r="B2808" s="0" t="s">
        <v>129</v>
      </c>
      <c r="F2808" s="32" t="n">
        <f aca="false">Sens!$F$2802/2</f>
        <v>908.575</v>
      </c>
      <c r="H2808" s="32" t="n">
        <f aca="false">(Sens!$G$2802+Sens!$H$2802)/2</f>
        <v>3634.3</v>
      </c>
      <c r="I2808" s="32" t="n">
        <f aca="false">(Sens!$H$2802+Sens!$I$2802)/2</f>
        <v>7268.6</v>
      </c>
      <c r="J2808" s="32" t="n">
        <f aca="false">(Sens!$I$2802+Sens!$J$2802)/2</f>
        <v>10902.9</v>
      </c>
      <c r="K2808" s="32" t="n">
        <f aca="false">(Sens!$J$2802+Sens!$K$2802)/2</f>
        <v>14005.4835833333</v>
      </c>
      <c r="L2808" s="32" t="n">
        <f aca="false">(Sens!$K$2802+Sens!$L$2802)/2</f>
        <v>16044.6343333333</v>
      </c>
      <c r="M2808" s="32" t="n">
        <f aca="false">(Sens!$L$2802+Sens!$M$2802)/2</f>
        <v>17020.35225</v>
      </c>
    </row>
    <row r="2809" customFormat="false" ht="17.15" hidden="false" customHeight="false" outlineLevel="0" collapsed="false">
      <c r="A2809" s="1" t="s">
        <v>622</v>
      </c>
    </row>
    <row r="2810" customFormat="false" ht="17.15" hidden="false" customHeight="false" outlineLevel="0" collapsed="false">
      <c r="A2810" s="1" t="s">
        <v>623</v>
      </c>
      <c r="B2810" s="8" t="s">
        <v>86</v>
      </c>
      <c r="C2810" s="38" t="n">
        <f aca="false">Sens!$C$2793*rpm_open*Sens!$C$2794/1000</f>
        <v>2.32100535697364</v>
      </c>
      <c r="D2810" s="38" t="n">
        <f aca="false">Sens!$D$2793*rpm_open*Sens!$D$2794/1000</f>
        <v>8.70377008865116</v>
      </c>
      <c r="E2810" s="38" t="n">
        <f aca="false">Sens!$E$2793*rpm_open*Sens!$E$2794/1000</f>
        <v>8.51035297557002</v>
      </c>
      <c r="F2810" s="38" t="n">
        <f aca="false">(mw_open*rpm_open+Sens!$F$2808*Sens!$F$2807)*Sens!$F$2794/1000</f>
        <v>14.9634336447205</v>
      </c>
      <c r="G2810" s="38" t="n">
        <f aca="false">Sens!$E$2810+Sens!$F$2810</f>
        <v>23.4737866202905</v>
      </c>
      <c r="H2810" s="38" t="n">
        <f aca="false">(mw_open*rpm_open+Sens!$H$2808*Sens!$H$2807)/1000</f>
        <v>60.1658907497746</v>
      </c>
      <c r="I2810" s="38" t="n">
        <f aca="false">(mw_open*rpm_open+Sens!$I$2808*Sens!$I$2807)/1000</f>
        <v>101.503699136432</v>
      </c>
      <c r="J2810" s="38" t="n">
        <f aca="false">(mw_open*rpm_open+Sens!$J$2808*Sens!$J$2807)/1000</f>
        <v>143.025407151278</v>
      </c>
      <c r="K2810" s="38" t="n">
        <f aca="false">(mw_open*rpm_open+Sens!$K$2808*Sens!$K$2807)/1000</f>
        <v>178.44812038318</v>
      </c>
      <c r="L2810" s="38" t="n">
        <f aca="false">(mw_open*rpm_open+Sens!$L$2808*Sens!$L$2807)/1000</f>
        <v>201.728101802396</v>
      </c>
      <c r="M2810" s="38" t="n">
        <f aca="false">(mw_open*rpm_open+Sens!$M$2808*Sens!$M$2807)/1000</f>
        <v>212.835441368865</v>
      </c>
      <c r="N2810" s="38" t="n">
        <f aca="false">Sens!$N$2793*rpm_open*Sens!$N$2794/1000</f>
        <v>3.04631953102791</v>
      </c>
      <c r="O2810" s="38" t="n">
        <f aca="false">Sens!$O$2793*rpm_open*Sens!$O$2794/1000</f>
        <v>5.65745055762326</v>
      </c>
      <c r="P2810" s="5" t="s">
        <v>624</v>
      </c>
    </row>
    <row r="2811" customFormat="false" ht="17.15" hidden="false" customHeight="false" outlineLevel="0" collapsed="false">
      <c r="A2811" s="5" t="s">
        <v>625</v>
      </c>
      <c r="B2811" s="0" t="s">
        <v>173</v>
      </c>
      <c r="C2811" s="36" t="n">
        <f aca="false">Sens!$C$2810*1000/(Sens!$C$2793*Sens!$C$2794)</f>
        <v>9.67085565405685</v>
      </c>
      <c r="D2811" s="36" t="n">
        <f aca="false">Sens!$D$2810*1000/(Sens!$D$2793*Sens!$D$2794)</f>
        <v>9.67085565405685</v>
      </c>
      <c r="E2811" s="36" t="n">
        <f aca="false">Sens!$E$2810*1000/(Sens!$E$2793*Sens!$E$2794)</f>
        <v>9.67085565405685</v>
      </c>
      <c r="F2811" s="36" t="n">
        <f aca="false">Sens!$F$2810*1000/(Sens!$F$2793*Sens!$F$2794)</f>
        <v>10.0137581588017</v>
      </c>
      <c r="G2811" s="36" t="n">
        <f aca="false">Sens!$G$2810*1000/(Sens!$G$2793*Sens!$G$2794)</f>
        <v>9.88666562928478</v>
      </c>
      <c r="H2811" s="36" t="n">
        <f aca="false">Sens!$H$2810*1000/(Sens!$H$2793*Sens!$H$2794)</f>
        <v>10.5290045586992</v>
      </c>
      <c r="I2811" s="36" t="n">
        <f aca="false">Sens!$I$2810*1000/(Sens!$I$2793*Sens!$I$2794)</f>
        <v>10.8576363451674</v>
      </c>
      <c r="J2811" s="36" t="n">
        <f aca="false">Sens!$J$2810*1000/(Sens!$J$2793*Sens!$J$2794)</f>
        <v>11.0164452588619</v>
      </c>
      <c r="K2811" s="36" t="n">
        <f aca="false">Sens!$K$2810*1000/(Sens!$K$2793*Sens!$K$2794)</f>
        <v>11.0937367508227</v>
      </c>
      <c r="L2811" s="36" t="n">
        <f aca="false">Sens!$L$2810*1000/(Sens!$L$2793*Sens!$L$2794)</f>
        <v>11.1300508519168</v>
      </c>
      <c r="M2811" s="36" t="n">
        <f aca="false">Sens!$M$2810*1000/(Sens!$M$2793*Sens!$M$2794)</f>
        <v>11.1430113216297</v>
      </c>
      <c r="N2811" s="36" t="n">
        <f aca="false">Sens!$N$2810*1000/(Sens!$N$2793*Sens!$N$2794)</f>
        <v>9.67085565405685</v>
      </c>
      <c r="O2811" s="36" t="n">
        <f aca="false">Sens!$O$2810*1000/(Sens!$O$2793*Sens!$O$2794)</f>
        <v>9.67085565405685</v>
      </c>
    </row>
    <row r="2812" customFormat="false" ht="17.15" hidden="false" customHeight="false" outlineLevel="0" collapsed="false">
      <c r="A2812" s="0" t="s">
        <v>626</v>
      </c>
      <c r="B2812" s="0" t="s">
        <v>86</v>
      </c>
      <c r="C2812" s="38" t="n">
        <f aca="false">Sens!$C$2793/ext_sh*(ox_open+rent_mw)*Sens!$C$2794/1000</f>
        <v>0.642569210675032</v>
      </c>
      <c r="D2812" s="38" t="n">
        <f aca="false">Sens!$D$2793/ext_sh*(ox_open+rent_mw)*Sens!$D$2794/1000</f>
        <v>2.40963454003137</v>
      </c>
      <c r="E2812" s="38" t="n">
        <f aca="false">Sens!$E$2793/ext_sh*(ox_open+rent_mw)*Sens!$E$2794/1000</f>
        <v>2.35608710580845</v>
      </c>
      <c r="F2812" s="38" t="n">
        <f aca="false">((mw_open*ox_open+Sens!$F$2808*Sens!$F$2806)/ext_sh+Sens!$F$2793/ext_sh*rent_mw)*Sens!$F$2794/1000</f>
        <v>4.05421991106232</v>
      </c>
      <c r="G2812" s="38" t="n">
        <f aca="false">Sens!$E$2812+Sens!$F$2812</f>
        <v>6.41030701687077</v>
      </c>
      <c r="H2812" s="38" t="n">
        <f aca="false">((mw_open*ox_open+Sens!$H$2808*Sens!$H$2806)/ext_sh+Sens!$H$2793/ext_sh*rent_mw)*Sens!$H$2794/1000</f>
        <v>15.8108975546616</v>
      </c>
      <c r="I2812" s="38" t="n">
        <f aca="false">((mw_open*ox_open+Sens!$I$2808*Sens!$I$2806)/ext_sh+Sens!$I$2793/ext_sh*rent_mw)*Sens!$I$2794/1000</f>
        <v>26.1871623400817</v>
      </c>
      <c r="J2812" s="38" t="n">
        <f aca="false">((mw_open*ox_open+Sens!$J$2808*Sens!$J$2806)/ext_sh+Sens!$J$2793/ext_sh*rent_mw)*Sens!$J$2794/1000</f>
        <v>36.5826128954935</v>
      </c>
      <c r="K2812" s="38" t="n">
        <f aca="false">((mw_open*ox_open+Sens!$K$2808*Sens!$K$2806)/ext_sh+Sens!$K$2793/ext_sh*rent_mw)*Sens!$K$2794/1000</f>
        <v>45.4546361137628</v>
      </c>
      <c r="L2812" s="38" t="n">
        <f aca="false">((mw_open*ox_open+Sens!$L$2808*Sens!$L$2806)/ext_sh+Sens!$L$2793/ext_sh*rent_mw)*Sens!$L$2794/1000</f>
        <v>51.2855695554452</v>
      </c>
      <c r="M2812" s="38" t="n">
        <f aca="false">((mw_open*ox_open+Sens!$M$2808*Sens!$M$2806)/ext_sh+Sens!$M$2793/ext_sh*rent_mw)*Sens!$M$2794/1000</f>
        <v>54.0722927838398</v>
      </c>
      <c r="N2812" s="38" t="n">
        <f aca="false">Sens!$N$2793/ext_sh*(ox_open+rent_mw)*Sens!$N$2794/1000</f>
        <v>0.84337208901098</v>
      </c>
      <c r="O2812" s="38" t="n">
        <f aca="false">Sens!$O$2793/ext_sh*(ox_open+rent_mw)*Sens!$O$2794/1000</f>
        <v>1.56626245102039</v>
      </c>
    </row>
    <row r="2813" customFormat="false" ht="17.15" hidden="false" customHeight="false" outlineLevel="0" collapsed="false">
      <c r="A2813" s="0" t="s">
        <v>627</v>
      </c>
      <c r="B2813" s="0" t="s">
        <v>86</v>
      </c>
      <c r="C2813" s="38" t="n">
        <f aca="false">Q!$D$7</f>
        <v>107.556</v>
      </c>
      <c r="D2813" s="38" t="n">
        <f aca="false">Q!$E$7</f>
        <v>128.725</v>
      </c>
      <c r="E2813" s="38" t="n">
        <f aca="false">Q!$P$7</f>
        <v>79.819</v>
      </c>
      <c r="N2813" s="38" t="n">
        <f aca="false">Q!$N$7</f>
        <v>60.14</v>
      </c>
      <c r="O2813" s="38" t="n">
        <f aca="false">Q!$O$7</f>
        <v>68.585</v>
      </c>
    </row>
    <row r="2814" customFormat="false" ht="17.15" hidden="false" customHeight="false" outlineLevel="0" collapsed="false">
      <c r="A2814" s="1" t="s">
        <v>628</v>
      </c>
      <c r="B2814" s="8" t="s">
        <v>86</v>
      </c>
      <c r="C2814" s="38" t="n">
        <f aca="false">Sens!$C$2813-Sens!$C$2810</f>
        <v>105.234994643026</v>
      </c>
      <c r="D2814" s="38" t="n">
        <f aca="false">Sens!$D$2813-Sens!$D$2810</f>
        <v>120.021229911349</v>
      </c>
      <c r="E2814" s="38" t="n">
        <f aca="false">Sens!$E$2813-Sens!$E$2810</f>
        <v>71.30864702443</v>
      </c>
      <c r="F2814" s="38" t="n">
        <f aca="false">Sens!$O$2814*(1+Sens!$F$2815)</f>
        <v>71.7692997942464</v>
      </c>
      <c r="G2814" s="38" t="n">
        <f aca="false">Sens!$E$2814+Sens!$F$2814</f>
        <v>143.077946818676</v>
      </c>
      <c r="H2814" s="38" t="n">
        <f aca="false">Sens!$G$2814*(1+Sens!$H$2815)</f>
        <v>161.017077079203</v>
      </c>
      <c r="I2814" s="38" t="n">
        <f aca="false">Sens!$H$2814*(1+Sens!$I$2815)</f>
        <v>178.769759521457</v>
      </c>
      <c r="J2814" s="38" t="n">
        <f aca="false">Sens!$I$2814*(1+Sens!$J$2815)</f>
        <v>195.775538045907</v>
      </c>
      <c r="K2814" s="38" t="n">
        <f aca="false">Sens!$J$2814*(1+Sens!$K$2815)</f>
        <v>211.43758108958</v>
      </c>
      <c r="L2814" s="38" t="n">
        <f aca="false">Sens!$K$2814*(1+Sens!$L$2815)</f>
        <v>228.352587576746</v>
      </c>
      <c r="M2814" s="38" t="n">
        <f aca="false">Sens!$L$2814*(1+Sens!$M$2815)</f>
        <v>246.620794582886</v>
      </c>
      <c r="N2814" s="38" t="n">
        <f aca="false">Sens!$N$2813-Sens!$N$2810</f>
        <v>57.0936804689721</v>
      </c>
      <c r="O2814" s="38" t="n">
        <f aca="false">Sens!$O$2813-Sens!$O$2810</f>
        <v>62.9275494423768</v>
      </c>
      <c r="P2814" s="5" t="s">
        <v>629</v>
      </c>
    </row>
    <row r="2815" customFormat="false" ht="17.15" hidden="false" customHeight="false" outlineLevel="0" collapsed="false">
      <c r="A2815" s="0" t="s">
        <v>630</v>
      </c>
      <c r="B2815" s="0" t="s">
        <v>52</v>
      </c>
      <c r="D2815" s="13" t="n">
        <f aca="false">Sens!$D$2814/Sens!$C$2814-1</f>
        <v>0.140506827776062</v>
      </c>
      <c r="E2815" s="13" t="n">
        <f aca="false">Sens!$E$2814/Sens!$N$2814-1</f>
        <v>0.248976181579029</v>
      </c>
      <c r="F2815" s="13" t="n">
        <f aca="false">Sens!$D$2815</f>
        <v>0.140506827776062</v>
      </c>
      <c r="G2815" s="13" t="n">
        <f aca="false">Sens!$G$2814/Sens!$D$2814-1</f>
        <v>0.19210532106993</v>
      </c>
      <c r="H2815" s="13" t="n">
        <f aca="false">Sens!$F$2815+(g_awso_lt-Sens!$F$2815)*1/4</f>
        <v>0.125380120832046</v>
      </c>
      <c r="I2815" s="13" t="n">
        <f aca="false">Sens!$F$2815+(g_awso_lt-Sens!$F$2815)*2/4</f>
        <v>0.110253413888031</v>
      </c>
      <c r="J2815" s="13" t="n">
        <f aca="false">Sens!$F$2815+(g_awso_lt-Sens!$F$2815)*3/4</f>
        <v>0.0951267069440154</v>
      </c>
      <c r="K2815" s="13" t="n">
        <f aca="false">Sens!$F$2815+(g_awso_lt-Sens!$F$2815)*4/4</f>
        <v>0.08</v>
      </c>
      <c r="L2815" s="13" t="n">
        <f aca="false">g_awso_lt</f>
        <v>0.08</v>
      </c>
      <c r="M2815" s="13" t="n">
        <f aca="false">g_awso_lt</f>
        <v>0.08</v>
      </c>
      <c r="P2815" s="5" t="s">
        <v>631</v>
      </c>
    </row>
    <row r="2816" customFormat="false" ht="17.15" hidden="false" customHeight="false" outlineLevel="0" collapsed="false">
      <c r="A2816" s="1" t="s">
        <v>632</v>
      </c>
    </row>
    <row r="2817" customFormat="false" ht="17.15" hidden="false" customHeight="false" outlineLevel="0" collapsed="false">
      <c r="A2817" s="0" t="s">
        <v>633</v>
      </c>
      <c r="B2817" s="0" t="s">
        <v>86</v>
      </c>
      <c r="F2817" s="38" t="n">
        <f aca="false">cx_rt*Sens!$F$2782+cx_awso*Sens!$F$2814</f>
        <v>34.9734495387866</v>
      </c>
    </row>
    <row r="2818" customFormat="false" ht="17.15" hidden="false" customHeight="false" outlineLevel="0" collapsed="false">
      <c r="A2818" s="0" t="s">
        <v>634</v>
      </c>
      <c r="B2818" s="0" t="s">
        <v>52</v>
      </c>
      <c r="C2818" s="13" t="n">
        <f aca="false">tk_cx_h100/(tk_cx_h100+tk_fac*(1-colo_sh))</f>
        <v>0.730756458006641</v>
      </c>
      <c r="D2818" s="13" t="n">
        <f aca="false">tk_cx_h100/(tk_cx_h100+tk_fac*(1-colo_sh))</f>
        <v>0.730756458006641</v>
      </c>
      <c r="E2818" s="13" t="n">
        <f aca="false">Sens!$F$2818</f>
        <v>0.760792334328868</v>
      </c>
      <c r="F2818" s="13" t="n">
        <f aca="false">Sens!$F$2801/(Sens!$F$2801+tk_fac*(1-colo_sh))</f>
        <v>0.760792334328868</v>
      </c>
      <c r="G2818" s="13" t="n">
        <f aca="false">Sens!$G$2801/(Sens!$G$2801+tk_fac*(1-colo_sh))</f>
        <v>0.760792334328868</v>
      </c>
      <c r="H2818" s="13" t="n">
        <f aca="false">Sens!$H$2801/(Sens!$H$2801+tk_fac*(1-colo_sh))</f>
        <v>0.768110668862996</v>
      </c>
      <c r="I2818" s="13" t="n">
        <f aca="false">Sens!$I$2801/(Sens!$I$2801+tk_fac*(1-colo_sh))</f>
        <v>0.77499450139483</v>
      </c>
      <c r="J2818" s="13" t="n">
        <f aca="false">Sens!$J$2801/(Sens!$J$2801+tk_fac*(1-colo_sh))</f>
        <v>0.77499450139483</v>
      </c>
      <c r="K2818" s="13" t="n">
        <f aca="false">Sens!$K$2801/(Sens!$K$2801+tk_fac*(1-colo_sh))</f>
        <v>0.77499450139483</v>
      </c>
      <c r="L2818" s="13" t="n">
        <f aca="false">Sens!$L$2801/(Sens!$L$2801+tk_fac*(1-colo_sh))</f>
        <v>0.77499450139483</v>
      </c>
      <c r="M2818" s="13" t="n">
        <f aca="false">Sens!$M$2801/(Sens!$M$2801+tk_fac*(1-colo_sh))</f>
        <v>0.77499450139483</v>
      </c>
    </row>
    <row r="2819" customFormat="false" ht="17.15" hidden="false" customHeight="false" outlineLevel="0" collapsed="false">
      <c r="A2819" s="1" t="s">
        <v>635</v>
      </c>
      <c r="B2819" s="8" t="s">
        <v>86</v>
      </c>
      <c r="C2819" s="38" t="n">
        <f aca="false">Q!$D$46-cx_rt*Q!$D$16-cx_awso*Sens!$C$2814</f>
        <v>25.2781053077374</v>
      </c>
      <c r="D2819" s="38" t="n">
        <f aca="false">Q!$E$46-cx_rt*Q!$E$16-cx_awso*Sens!$D$2814</f>
        <v>69.5686316310026</v>
      </c>
      <c r="E2819" s="38" t="n">
        <f aca="false">Q!$P$46-cx_rt*Q!$P$16-cx_awso*Sens!$E$2814</f>
        <v>64.1899206485108</v>
      </c>
      <c r="F2819" s="38" t="n">
        <f aca="false">capex_g26-Q!$P$46-Sens!$F$2817</f>
        <v>88.7165504612134</v>
      </c>
      <c r="G2819" s="38" t="n">
        <f aca="false">Sens!$E$2819+Sens!$F$2819</f>
        <v>152.906471109724</v>
      </c>
      <c r="H2819" s="38" t="n">
        <f aca="false">Sens!$H$2796*(Sens!$H$2801+tk_fac*(1-colo_sh))/1000+Sens!$H$2820</f>
        <v>198.57136494475</v>
      </c>
      <c r="I2819" s="38" t="n">
        <f aca="false">Sens!$I$2796*(Sens!$I$2801+tk_fac*(1-colo_sh))/1000+Sens!$I$2820</f>
        <v>204.6464699105</v>
      </c>
      <c r="J2819" s="38" t="n">
        <f aca="false">Sens!$J$2796*(Sens!$J$2801+tk_fac*(1-colo_sh))/1000+Sens!$J$2820</f>
        <v>209.8832381105</v>
      </c>
      <c r="K2819" s="38" t="n">
        <f aca="false">Sens!$K$2796*(Sens!$K$2801+tk_fac*(1-colo_sh))/1000+Sens!$K$2820</f>
        <v>155.238385275201</v>
      </c>
      <c r="L2819" s="38" t="n">
        <f aca="false">Sens!$L$2796*(Sens!$L$2801+tk_fac*(1-colo_sh))/1000+Sens!$L$2820</f>
        <v>132.014141639902</v>
      </c>
      <c r="M2819" s="38" t="n">
        <f aca="false">Sens!$M$2796*(Sens!$M$2801+tk_fac*(1-colo_sh))/1000+Sens!$M$2820</f>
        <v>132.230981659852</v>
      </c>
      <c r="P2819" s="5" t="s">
        <v>636</v>
      </c>
      <c r="R2819" s="38" t="n">
        <f aca="false">Q!$C$46-cx_rt*Q!$C$16-cx_awso*(Q!$C$7-mw_ye23/2*rpm_open/1000)</f>
        <v>1.50429979529945</v>
      </c>
      <c r="S2819" s="38" t="n">
        <f aca="false">Sens!$C$2819</f>
        <v>25.2781053077374</v>
      </c>
      <c r="T2819" s="38" t="n">
        <f aca="false">Sens!$D$2819</f>
        <v>69.5686316310026</v>
      </c>
      <c r="U2819" s="38" t="n">
        <f aca="false">Sens!$G$2819</f>
        <v>152.906471109724</v>
      </c>
      <c r="V2819" s="38" t="n">
        <f aca="false">Sens!$H$2819</f>
        <v>198.57136494475</v>
      </c>
      <c r="W2819" s="38" t="n">
        <f aca="false">Sens!$I$2819</f>
        <v>204.6464699105</v>
      </c>
      <c r="X2819" s="38" t="n">
        <f aca="false">Sens!$J$2819</f>
        <v>209.8832381105</v>
      </c>
      <c r="Y2819" s="38" t="n">
        <f aca="false">Sens!$K$2819</f>
        <v>155.238385275201</v>
      </c>
      <c r="Z2819" s="38" t="n">
        <f aca="false">Sens!$L$2819</f>
        <v>132.014141639902</v>
      </c>
      <c r="AA2819" s="38" t="n">
        <f aca="false">Sens!$M$2819</f>
        <v>132.230981659852</v>
      </c>
    </row>
    <row r="2820" customFormat="false" ht="17.15" hidden="false" customHeight="false" outlineLevel="0" collapsed="false">
      <c r="A2820" s="0" t="s">
        <v>637</v>
      </c>
      <c r="B2820" s="0" t="s">
        <v>86</v>
      </c>
      <c r="H2820" s="38" t="n">
        <f aca="false">SUMPRODUCT(--(Sens!$R$2789:$AA$2789=2027-tk_life),Sens!$R$2796:$AA$2796)*Sens!$H$2801/1000</f>
        <v>0</v>
      </c>
      <c r="I2820" s="38" t="n">
        <f aca="false">SUMPRODUCT(--(Sens!$R$2789:$AA$2789=2028-tk_life),Sens!$R$2796:$AA$2796)*Sens!$I$2801/1000</f>
        <v>0</v>
      </c>
      <c r="J2820" s="38" t="n">
        <f aca="false">SUMPRODUCT(--(Sens!$R$2789:$AA$2789=2029-tk_life),Sens!$R$2796:$AA$2796)*Sens!$J$2801/1000</f>
        <v>5.2367682</v>
      </c>
      <c r="K2820" s="38" t="n">
        <f aca="false">SUMPRODUCT(--(Sens!$R$2789:$AA$2789=2030-tk_life),Sens!$R$2796:$AA$2796)*Sens!$K$2801/1000</f>
        <v>10.4735364</v>
      </c>
      <c r="L2820" s="38" t="n">
        <f aca="false">SUMPRODUCT(--(Sens!$R$2789:$AA$2789=2031-tk_life),Sens!$R$2796:$AA$2796)*Sens!$L$2801/1000</f>
        <v>47.1309138</v>
      </c>
      <c r="M2820" s="38" t="n">
        <f aca="false">SUMPRODUCT(--(Sens!$R$2789:$AA$2789=2032-tk_life),Sens!$R$2796:$AA$2796)*Sens!$M$2801/1000</f>
        <v>107.22937485525</v>
      </c>
    </row>
    <row r="2821" customFormat="false" ht="17.15" hidden="false" customHeight="false" outlineLevel="0" collapsed="false">
      <c r="A2821" s="0" t="s">
        <v>638</v>
      </c>
      <c r="B2821" s="0" t="s">
        <v>86</v>
      </c>
      <c r="C2821" s="38" t="n">
        <f aca="false">MIN(Sens!$C$2819,Sens!$C$2796*(tk_cx_h100+tk_fac*(1-colo_sh))/1000)</f>
        <v>11.2938642</v>
      </c>
      <c r="D2821" s="38" t="n">
        <f aca="false">MIN(Sens!$D$2819,Sens!$D$2796*(tk_cx_h100+tk_fac*(1-colo_sh))/1000)</f>
        <v>50.8223889</v>
      </c>
      <c r="E2821" s="38" t="n">
        <f aca="false">MIN(Sens!$E$2819,Sens!$E$2796*(Sens!$F$2801+tk_fac*(1-colo_sh))/1000)</f>
        <v>33.8985792</v>
      </c>
      <c r="F2821" s="38" t="n">
        <f aca="false">Sens!$F$2819</f>
        <v>88.7165504612134</v>
      </c>
      <c r="G2821" s="38" t="n">
        <f aca="false">Sens!$E$2821+Sens!$F$2821</f>
        <v>122.615129661213</v>
      </c>
      <c r="H2821" s="38" t="n">
        <f aca="false">Sens!$H$2819</f>
        <v>198.57136494475</v>
      </c>
      <c r="I2821" s="38" t="n">
        <f aca="false">Sens!$I$2819</f>
        <v>204.6464699105</v>
      </c>
      <c r="J2821" s="38" t="n">
        <f aca="false">Sens!$J$2819</f>
        <v>209.8832381105</v>
      </c>
      <c r="K2821" s="38" t="n">
        <f aca="false">Sens!$K$2819</f>
        <v>155.238385275201</v>
      </c>
      <c r="L2821" s="38" t="n">
        <f aca="false">Sens!$L$2819</f>
        <v>132.014141639902</v>
      </c>
      <c r="M2821" s="38" t="n">
        <f aca="false">Sens!$M$2819</f>
        <v>132.230981659852</v>
      </c>
      <c r="P2821" s="5" t="s">
        <v>639</v>
      </c>
      <c r="R2821" s="38" t="n">
        <f aca="false">MIN(Sens!$R$2819,Sens!$R$2796*(tk_cx_h100+tk_fac*(1-colo_sh))/1000)</f>
        <v>1.50429979529945</v>
      </c>
      <c r="S2821" s="38" t="n">
        <f aca="false">Sens!$C$2821</f>
        <v>11.2938642</v>
      </c>
      <c r="T2821" s="38" t="n">
        <f aca="false">Sens!$D$2821</f>
        <v>50.8223889</v>
      </c>
      <c r="U2821" s="38" t="n">
        <f aca="false">Sens!$G$2821</f>
        <v>122.615129661213</v>
      </c>
      <c r="V2821" s="38" t="n">
        <f aca="false">Sens!$H$2821</f>
        <v>198.57136494475</v>
      </c>
      <c r="W2821" s="38" t="n">
        <f aca="false">Sens!$I$2821</f>
        <v>204.6464699105</v>
      </c>
      <c r="X2821" s="38" t="n">
        <f aca="false">Sens!$J$2821</f>
        <v>209.8832381105</v>
      </c>
      <c r="Y2821" s="38" t="n">
        <f aca="false">Sens!$K$2821</f>
        <v>155.238385275201</v>
      </c>
      <c r="Z2821" s="38" t="n">
        <f aca="false">Sens!$L$2821</f>
        <v>132.014141639902</v>
      </c>
      <c r="AA2821" s="38" t="n">
        <f aca="false">Sens!$M$2821</f>
        <v>132.230981659852</v>
      </c>
    </row>
    <row r="2822" customFormat="false" ht="17.15" hidden="false" customHeight="false" outlineLevel="0" collapsed="false">
      <c r="A2822" s="5" t="s">
        <v>640</v>
      </c>
      <c r="B2822" s="0" t="s">
        <v>86</v>
      </c>
      <c r="C2822" s="38" t="n">
        <f aca="false">Sens!$C$2819-Sens!$C$2821</f>
        <v>13.9842411077374</v>
      </c>
      <c r="D2822" s="38" t="n">
        <f aca="false">Sens!$D$2819-Sens!$D$2821</f>
        <v>18.7462427310026</v>
      </c>
      <c r="E2822" s="38" t="n">
        <f aca="false">Sens!$E$2819-Sens!$E$2821</f>
        <v>30.2913414485108</v>
      </c>
      <c r="F2822" s="38" t="n">
        <f aca="false">Sens!$F$2819-Sens!$F$2821</f>
        <v>0</v>
      </c>
      <c r="G2822" s="38" t="n">
        <f aca="false">Sens!$G$2819-Sens!$G$2821</f>
        <v>30.2913414485108</v>
      </c>
      <c r="H2822" s="38" t="n">
        <f aca="false">Sens!$H$2819-Sens!$H$2821</f>
        <v>0</v>
      </c>
      <c r="I2822" s="38" t="n">
        <f aca="false">Sens!$I$2819-Sens!$I$2821</f>
        <v>0</v>
      </c>
      <c r="J2822" s="38" t="n">
        <f aca="false">Sens!$J$2819-Sens!$J$2821</f>
        <v>0</v>
      </c>
      <c r="K2822" s="38" t="n">
        <f aca="false">Sens!$K$2819-Sens!$K$2821</f>
        <v>0</v>
      </c>
      <c r="L2822" s="38" t="n">
        <f aca="false">Sens!$L$2819-Sens!$L$2821</f>
        <v>0</v>
      </c>
      <c r="M2822" s="38" t="n">
        <f aca="false">Sens!$M$2819-Sens!$M$2821</f>
        <v>0</v>
      </c>
      <c r="P2822" s="5" t="s">
        <v>641</v>
      </c>
      <c r="R2822" s="38" t="n">
        <f aca="false">Sens!$R$2819-Sens!$R$2821</f>
        <v>0</v>
      </c>
      <c r="S2822" s="38" t="n">
        <f aca="false">Sens!$S$2819-Sens!$S$2821</f>
        <v>13.9842411077374</v>
      </c>
      <c r="T2822" s="38" t="n">
        <f aca="false">Sens!$T$2819-Sens!$T$2821</f>
        <v>18.7462427310026</v>
      </c>
      <c r="U2822" s="38" t="n">
        <f aca="false">Sens!$U$2819-Sens!$U$2821</f>
        <v>30.2913414485108</v>
      </c>
      <c r="V2822" s="38" t="n">
        <f aca="false">Sens!$V$2819-Sens!$V$2821</f>
        <v>0</v>
      </c>
      <c r="W2822" s="38" t="n">
        <f aca="false">Sens!$W$2819-Sens!$W$2821</f>
        <v>0</v>
      </c>
      <c r="X2822" s="38" t="n">
        <f aca="false">Sens!$X$2819-Sens!$X$2821</f>
        <v>0</v>
      </c>
      <c r="Y2822" s="38" t="n">
        <f aca="false">Sens!$Y$2819-Sens!$Y$2821</f>
        <v>0</v>
      </c>
      <c r="Z2822" s="38" t="n">
        <f aca="false">Sens!$Z$2819-Sens!$Z$2821</f>
        <v>0</v>
      </c>
      <c r="AA2822" s="38" t="n">
        <f aca="false">Sens!$AA$2819-Sens!$AA$2821</f>
        <v>0</v>
      </c>
    </row>
    <row r="2823" customFormat="false" ht="17.15" hidden="false" customHeight="false" outlineLevel="0" collapsed="false">
      <c r="A2823" s="5" t="s">
        <v>642</v>
      </c>
      <c r="B2823" s="0" t="s">
        <v>86</v>
      </c>
      <c r="R2823" s="38" t="n">
        <f aca="false">Sens!$R$2822*Sens!$C$2818</f>
        <v>0</v>
      </c>
      <c r="S2823" s="38" t="n">
        <f aca="false">Sens!$S$2822*Sens!$C$2818</f>
        <v>10.219074499801</v>
      </c>
      <c r="T2823" s="38" t="n">
        <f aca="false">Sens!$T$2822*Sens!$C$2818</f>
        <v>13.6989379390402</v>
      </c>
      <c r="U2823" s="38" t="n">
        <f aca="false">Sens!$U$2822*Sens!$E$2818</f>
        <v>23.0454203705653</v>
      </c>
      <c r="V2823" s="38" t="n">
        <f aca="false">Sens!$V$2822*Sens!$E$2818</f>
        <v>0</v>
      </c>
      <c r="W2823" s="38" t="n">
        <f aca="false">Sens!$W$2822*Sens!$E$2818</f>
        <v>0</v>
      </c>
      <c r="X2823" s="38" t="n">
        <f aca="false">Sens!$X$2822*Sens!$E$2818</f>
        <v>0</v>
      </c>
      <c r="Y2823" s="38" t="n">
        <f aca="false">Sens!$Y$2822*Sens!$E$2818</f>
        <v>0</v>
      </c>
      <c r="Z2823" s="38" t="n">
        <f aca="false">Sens!$Z$2822*Sens!$E$2818</f>
        <v>0</v>
      </c>
      <c r="AA2823" s="38" t="n">
        <f aca="false">Sens!$AA$2822*Sens!$E$2818</f>
        <v>0</v>
      </c>
    </row>
    <row r="2824" customFormat="false" ht="17.15" hidden="false" customHeight="false" outlineLevel="0" collapsed="false">
      <c r="A2824" s="5" t="s">
        <v>643</v>
      </c>
      <c r="B2824" s="0" t="s">
        <v>86</v>
      </c>
      <c r="R2824" s="38" t="n">
        <f aca="false">SUMPRODUCT(--(Sens!$R$2789:$AA$2789=2023-cip_lag_hi),Sens!$R$2823:$AA$2823)</f>
        <v>0</v>
      </c>
      <c r="S2824" s="38" t="n">
        <f aca="false">SUMPRODUCT(--(Sens!$R$2789:$AA$2789=2024-cip_lag_hi),Sens!$R$2823:$AA$2823)</f>
        <v>0</v>
      </c>
      <c r="T2824" s="38" t="n">
        <f aca="false">SUMPRODUCT(--(Sens!$R$2789:$AA$2789=2025-cip_lag_hi),Sens!$R$2823:$AA$2823)</f>
        <v>0</v>
      </c>
      <c r="U2824" s="38" t="n">
        <f aca="false">SUMPRODUCT(--(Sens!$R$2789:$AA$2789=2026-cip_lag_hi),Sens!$R$2823:$AA$2823)</f>
        <v>10.219074499801</v>
      </c>
      <c r="V2824" s="38" t="n">
        <f aca="false">SUMPRODUCT(--(Sens!$R$2789:$AA$2789=2027-cip_lag_hi),Sens!$R$2823:$AA$2823)</f>
        <v>13.6989379390402</v>
      </c>
      <c r="W2824" s="38" t="n">
        <f aca="false">SUMPRODUCT(--(Sens!$R$2789:$AA$2789=2028-cip_lag_hi),Sens!$R$2823:$AA$2823)</f>
        <v>23.0454203705653</v>
      </c>
      <c r="X2824" s="38" t="n">
        <f aca="false">SUMPRODUCT(--(Sens!$R$2789:$AA$2789=2029-cip_lag_hi),Sens!$R$2823:$AA$2823)</f>
        <v>0</v>
      </c>
      <c r="Y2824" s="38" t="n">
        <f aca="false">SUMPRODUCT(--(Sens!$R$2789:$AA$2789=2030-cip_lag_hi),Sens!$R$2823:$AA$2823)</f>
        <v>0</v>
      </c>
      <c r="Z2824" s="38" t="n">
        <f aca="false">SUMPRODUCT(--(Sens!$R$2789:$AA$2789=2031-cip_lag_hi),Sens!$R$2823:$AA$2823)</f>
        <v>0</v>
      </c>
      <c r="AA2824" s="38" t="n">
        <f aca="false">SUMPRODUCT(--(Sens!$R$2789:$AA$2789=2032-cip_lag_hi),Sens!$R$2823:$AA$2823)</f>
        <v>0</v>
      </c>
    </row>
    <row r="2825" customFormat="false" ht="15" hidden="false" customHeight="false" outlineLevel="0" collapsed="false">
      <c r="A2825" s="5" t="s">
        <v>644</v>
      </c>
      <c r="B2825" s="0" t="s">
        <v>86</v>
      </c>
      <c r="R2825" s="38" t="n">
        <f aca="false">SUMPRODUCT(--(Sens!$R$2789:$AA$2789=2023-cip_lag_hi),Sens!$R$2822:$AA$2822)-Sens!$R$2824</f>
        <v>0</v>
      </c>
      <c r="S2825" s="38" t="n">
        <f aca="false">SUMPRODUCT(--(Sens!$R$2789:$AA$2789=2024-cip_lag_hi),Sens!$R$2822:$AA$2822)-Sens!$S$2824</f>
        <v>0</v>
      </c>
      <c r="T2825" s="38" t="n">
        <f aca="false">SUMPRODUCT(--(Sens!$R$2789:$AA$2789=2025-cip_lag_hi),Sens!$R$2822:$AA$2822)-Sens!$T$2824</f>
        <v>0</v>
      </c>
      <c r="U2825" s="38" t="n">
        <f aca="false">SUMPRODUCT(--(Sens!$R$2789:$AA$2789=2026-cip_lag_hi),Sens!$R$2822:$AA$2822)-Sens!$U$2824</f>
        <v>3.76516660793636</v>
      </c>
      <c r="V2825" s="38" t="n">
        <f aca="false">SUMPRODUCT(--(Sens!$R$2789:$AA$2789=2027-cip_lag_hi),Sens!$R$2822:$AA$2822)-Sens!$V$2824</f>
        <v>5.04730479196242</v>
      </c>
      <c r="W2825" s="38" t="n">
        <f aca="false">SUMPRODUCT(--(Sens!$R$2789:$AA$2789=2028-cip_lag_hi),Sens!$R$2822:$AA$2822)-Sens!$W$2824</f>
        <v>7.24592107794548</v>
      </c>
      <c r="X2825" s="38" t="n">
        <f aca="false">SUMPRODUCT(--(Sens!$R$2789:$AA$2789=2029-cip_lag_hi),Sens!$R$2822:$AA$2822)-Sens!$X$2824</f>
        <v>0</v>
      </c>
      <c r="Y2825" s="38" t="n">
        <f aca="false">SUMPRODUCT(--(Sens!$R$2789:$AA$2789=2030-cip_lag_hi),Sens!$R$2822:$AA$2822)-Sens!$Y$2824</f>
        <v>0</v>
      </c>
      <c r="Z2825" s="38" t="n">
        <f aca="false">SUMPRODUCT(--(Sens!$R$2789:$AA$2789=2031-cip_lag_hi),Sens!$R$2822:$AA$2822)-Sens!$Z$2824</f>
        <v>0</v>
      </c>
      <c r="AA2825" s="38" t="n">
        <f aca="false">SUMPRODUCT(--(Sens!$R$2789:$AA$2789=2032-cip_lag_hi),Sens!$R$2822:$AA$2822)-Sens!$AA$2824</f>
        <v>0</v>
      </c>
    </row>
    <row r="2826" customFormat="false" ht="17.15" hidden="false" customHeight="false" outlineLevel="0" collapsed="false">
      <c r="A2826" s="5" t="s">
        <v>645</v>
      </c>
      <c r="B2826" s="0" t="s">
        <v>86</v>
      </c>
      <c r="C2826" s="38" t="n">
        <f aca="false">Sens!$C$2821*Sens!$C$2818</f>
        <v>8.2530642</v>
      </c>
      <c r="D2826" s="38" t="n">
        <f aca="false">Sens!$D$2821*Sens!$D$2818</f>
        <v>37.1387889</v>
      </c>
      <c r="E2826" s="38" t="n">
        <f aca="false">Sens!$E$2821*Sens!$E$2818</f>
        <v>25.7897792</v>
      </c>
      <c r="F2826" s="38" t="n">
        <f aca="false">Sens!$F$2821*Sens!$F$2818</f>
        <v>67.4948715189913</v>
      </c>
      <c r="G2826" s="38" t="n">
        <f aca="false">Sens!$E$2826+Sens!$F$2826</f>
        <v>93.2846507189913</v>
      </c>
      <c r="H2826" s="38" t="n">
        <f aca="false">(Sens!$H$2821-Sens!$H$2820)*Sens!$H$2818+Sens!$H$2820</f>
        <v>152.52478394475</v>
      </c>
      <c r="I2826" s="38" t="n">
        <f aca="false">(Sens!$I$2821-Sens!$I$2820)*Sens!$I$2818+Sens!$I$2820</f>
        <v>158.5998889105</v>
      </c>
      <c r="J2826" s="38" t="n">
        <f aca="false">(Sens!$J$2821-Sens!$J$2820)*Sens!$J$2818+Sens!$J$2820</f>
        <v>163.8366571105</v>
      </c>
      <c r="K2826" s="38" t="n">
        <f aca="false">(Sens!$K$2821-Sens!$K$2820)*Sens!$K$2818+Sens!$K$2820</f>
        <v>122.665498273534</v>
      </c>
      <c r="L2826" s="38" t="n">
        <f aca="false">(Sens!$L$2821-Sens!$L$2820)*Sens!$L$2818+Sens!$L$2820</f>
        <v>112.914948636568</v>
      </c>
      <c r="M2826" s="38" t="n">
        <f aca="false">(Sens!$M$2821-Sens!$M$2820)*Sens!$M$2818+Sens!$M$2820</f>
        <v>126.605482654852</v>
      </c>
      <c r="R2826" s="38" t="n">
        <f aca="false">Sens!$R$2821*Sens!$C$2818</f>
        <v>1.09927679019314</v>
      </c>
      <c r="S2826" s="38" t="n">
        <f aca="false">Sens!$C$2826</f>
        <v>8.2530642</v>
      </c>
      <c r="T2826" s="38" t="n">
        <f aca="false">Sens!$D$2826</f>
        <v>37.1387889</v>
      </c>
      <c r="U2826" s="38" t="n">
        <f aca="false">Sens!$G$2826</f>
        <v>93.2846507189913</v>
      </c>
      <c r="V2826" s="38" t="n">
        <f aca="false">Sens!$H$2826</f>
        <v>152.52478394475</v>
      </c>
      <c r="W2826" s="38" t="n">
        <f aca="false">Sens!$I$2826</f>
        <v>158.5998889105</v>
      </c>
      <c r="X2826" s="38" t="n">
        <f aca="false">Sens!$J$2826</f>
        <v>163.8366571105</v>
      </c>
      <c r="Y2826" s="38" t="n">
        <f aca="false">Sens!$K$2826</f>
        <v>122.665498273534</v>
      </c>
      <c r="Z2826" s="38" t="n">
        <f aca="false">Sens!$L$2826</f>
        <v>112.914948636568</v>
      </c>
      <c r="AA2826" s="38" t="n">
        <f aca="false">Sens!$M$2826</f>
        <v>126.605482654852</v>
      </c>
    </row>
    <row r="2827" customFormat="false" ht="15" hidden="false" customHeight="false" outlineLevel="0" collapsed="false">
      <c r="A2827" s="5" t="s">
        <v>646</v>
      </c>
      <c r="B2827" s="0" t="s">
        <v>86</v>
      </c>
      <c r="C2827" s="38" t="n">
        <f aca="false">Sens!$C$2821-Sens!$C$2826</f>
        <v>3.0408</v>
      </c>
      <c r="D2827" s="38" t="n">
        <f aca="false">Sens!$D$2821-Sens!$D$2826</f>
        <v>13.6836</v>
      </c>
      <c r="E2827" s="38" t="n">
        <f aca="false">Sens!$E$2821-Sens!$E$2826</f>
        <v>8.1088</v>
      </c>
      <c r="F2827" s="38" t="n">
        <f aca="false">Sens!$F$2821-Sens!$F$2826</f>
        <v>21.2216789422221</v>
      </c>
      <c r="G2827" s="38" t="n">
        <f aca="false">Sens!$G$2821-Sens!$G$2826</f>
        <v>29.3304789422221</v>
      </c>
      <c r="H2827" s="38" t="n">
        <f aca="false">Sens!$H$2821-Sens!$H$2826</f>
        <v>46.046581</v>
      </c>
      <c r="I2827" s="38" t="n">
        <f aca="false">Sens!$I$2821-Sens!$I$2826</f>
        <v>46.046581</v>
      </c>
      <c r="J2827" s="38" t="n">
        <f aca="false">Sens!$J$2821-Sens!$J$2826</f>
        <v>46.046581</v>
      </c>
      <c r="K2827" s="38" t="n">
        <f aca="false">Sens!$K$2821-Sens!$K$2826</f>
        <v>32.5728870016667</v>
      </c>
      <c r="L2827" s="38" t="n">
        <f aca="false">Sens!$L$2821-Sens!$L$2826</f>
        <v>19.0991930033334</v>
      </c>
      <c r="M2827" s="38" t="n">
        <f aca="false">Sens!$M$2821-Sens!$M$2826</f>
        <v>5.62549900499998</v>
      </c>
      <c r="R2827" s="38" t="n">
        <f aca="false">Sens!$R$2821-Sens!$R$2826</f>
        <v>0.405023005106309</v>
      </c>
      <c r="S2827" s="38" t="n">
        <f aca="false">Sens!$S$2821-Sens!$S$2826</f>
        <v>3.0408</v>
      </c>
      <c r="T2827" s="38" t="n">
        <f aca="false">Sens!$T$2821-Sens!$T$2826</f>
        <v>13.6836</v>
      </c>
      <c r="U2827" s="38" t="n">
        <f aca="false">Sens!$U$2821-Sens!$U$2826</f>
        <v>29.3304789422221</v>
      </c>
      <c r="V2827" s="38" t="n">
        <f aca="false">Sens!$V$2821-Sens!$V$2826</f>
        <v>46.046581</v>
      </c>
      <c r="W2827" s="38" t="n">
        <f aca="false">Sens!$W$2821-Sens!$W$2826</f>
        <v>46.046581</v>
      </c>
      <c r="X2827" s="38" t="n">
        <f aca="false">Sens!$X$2821-Sens!$X$2826</f>
        <v>46.046581</v>
      </c>
      <c r="Y2827" s="38" t="n">
        <f aca="false">Sens!$Y$2821-Sens!$Y$2826</f>
        <v>32.5728870016667</v>
      </c>
      <c r="Z2827" s="38" t="n">
        <f aca="false">Sens!$Z$2821-Sens!$Z$2826</f>
        <v>19.0991930033334</v>
      </c>
      <c r="AA2827" s="38" t="n">
        <f aca="false">Sens!$AA$2821-Sens!$AA$2826</f>
        <v>5.62549900499998</v>
      </c>
    </row>
    <row r="2828" customFormat="false" ht="17.15" hidden="false" customHeight="false" outlineLevel="0" collapsed="false">
      <c r="A2828" s="0" t="s">
        <v>647</v>
      </c>
      <c r="B2828" s="0" t="s">
        <v>52</v>
      </c>
      <c r="C2828" s="13" t="n">
        <f aca="false">Sens!$C$2819/Sens!$C$2944</f>
        <v>0.325505489553393</v>
      </c>
      <c r="D2828" s="13" t="n">
        <f aca="false">Sens!$D$2819/Sens!$D$2944</f>
        <v>0.54214956071542</v>
      </c>
      <c r="E2828" s="13" t="n">
        <f aca="false">Sens!$E$2819/Sens!$E$2944</f>
        <v>0.666492790452817</v>
      </c>
      <c r="F2828" s="13" t="n">
        <f aca="false">Sens!$F$2819/Sens!$F$2944</f>
        <v>0.71724917504417</v>
      </c>
      <c r="G2828" s="13" t="n">
        <f aca="false">Sens!$G$2819/Sens!$G$2944</f>
        <v>0.69502941413511</v>
      </c>
      <c r="H2828" s="13" t="n">
        <f aca="false">Sens!$H$2819/Sens!$H$2944</f>
        <v>0.726376041178204</v>
      </c>
      <c r="I2828" s="13" t="n">
        <f aca="false">Sens!$I$2819/Sens!$I$2944</f>
        <v>0.713099092661699</v>
      </c>
      <c r="J2828" s="13" t="n">
        <f aca="false">Sens!$J$2819/Sens!$J$2944</f>
        <v>0.701208348786245</v>
      </c>
      <c r="K2828" s="13" t="n">
        <f aca="false">Sens!$K$2819/Sens!$K$2944</f>
        <v>0.618338844562383</v>
      </c>
      <c r="L2828" s="13" t="n">
        <f aca="false">Sens!$L$2819/Sens!$L$2944</f>
        <v>0.562489158462506</v>
      </c>
      <c r="M2828" s="13" t="n">
        <f aca="false">Sens!$M$2819/Sens!$M$2944</f>
        <v>0.545751190895923</v>
      </c>
    </row>
    <row r="2829" customFormat="false" ht="17.15" hidden="false" customHeight="false" outlineLevel="0" collapsed="false">
      <c r="A2829" s="0" t="s">
        <v>648</v>
      </c>
      <c r="B2829" s="0" t="s">
        <v>86</v>
      </c>
      <c r="C2829" s="38" t="n">
        <f aca="false">Sens!$S$2829</f>
        <v>0.183212798365523</v>
      </c>
      <c r="D2829" s="38" t="n">
        <f aca="false">Sens!$T$2829</f>
        <v>1.55872349836552</v>
      </c>
      <c r="E2829" s="38" t="n">
        <f aca="false">Sens!$G$2829/2</f>
        <v>3.87426082418276</v>
      </c>
      <c r="F2829" s="38" t="n">
        <f aca="false">Sens!$G$2829/2</f>
        <v>3.87426082418276</v>
      </c>
      <c r="G2829" s="38" t="n">
        <f aca="false">Sens!$U$2829</f>
        <v>7.74852164836552</v>
      </c>
      <c r="H2829" s="38" t="n">
        <f aca="false">Sens!$V$2829</f>
        <v>24.9991425181643</v>
      </c>
      <c r="I2829" s="38" t="n">
        <f aca="false">Sens!$W$2829</f>
        <v>52.7030961654626</v>
      </c>
      <c r="J2829" s="38" t="n">
        <f aca="false">Sens!$X$2829</f>
        <v>82.9773143789735</v>
      </c>
      <c r="K2829" s="38" t="n">
        <f aca="false">Sens!$Y$2829</f>
        <v>110.100211099025</v>
      </c>
      <c r="L2829" s="38" t="n">
        <f aca="false">Sens!$Z$2829</f>
        <v>129.16895011128</v>
      </c>
      <c r="M2829" s="38" t="n">
        <f aca="false">Sens!$AA$2829</f>
        <v>141.798310067375</v>
      </c>
      <c r="N2829" s="38" t="n">
        <f aca="false">Sens!$D$2829/2</f>
        <v>0.779361749182762</v>
      </c>
      <c r="O2829" s="38" t="n">
        <f aca="false">Sens!$D$2829/2</f>
        <v>0.779361749182762</v>
      </c>
      <c r="R2829" s="38" t="n">
        <f aca="false">(SUMPRODUCT(--(Sens!$R$2789:$AA$2789&lt;Sens!R$2789),--(Sens!$R$2789:$AA$2789&gt;=Sens!R$2789-tk_life),Sens!$R$2826:$AA$2826)+SUMPRODUCT(--(Sens!$R$2789:$AA$2789&lt;Sens!R$2789),--(Sens!$R$2789:$AA$2789&gt;=Sens!R$2789-tk_life),Sens!$R$2824:$AA$2824))/tk_life</f>
        <v>0</v>
      </c>
      <c r="S2829" s="38" t="n">
        <f aca="false">(SUMPRODUCT(--(Sens!$R$2789:$AA$2789&lt;Sens!S$2789),--(Sens!$R$2789:$AA$2789&gt;=Sens!S$2789-tk_life),Sens!$R$2826:$AA$2826)+SUMPRODUCT(--(Sens!$R$2789:$AA$2789&lt;Sens!S$2789),--(Sens!$R$2789:$AA$2789&gt;=Sens!S$2789-tk_life),Sens!$R$2824:$AA$2824))/tk_life</f>
        <v>0.183212798365523</v>
      </c>
      <c r="T2829" s="38" t="n">
        <f aca="false">(SUMPRODUCT(--(Sens!$R$2789:$AA$2789&lt;Sens!T$2789),--(Sens!$R$2789:$AA$2789&gt;=Sens!T$2789-tk_life),Sens!$R$2826:$AA$2826)+SUMPRODUCT(--(Sens!$R$2789:$AA$2789&lt;Sens!T$2789),--(Sens!$R$2789:$AA$2789&gt;=Sens!T$2789-tk_life),Sens!$R$2824:$AA$2824))/tk_life</f>
        <v>1.55872349836552</v>
      </c>
      <c r="U2829" s="38" t="n">
        <f aca="false">(SUMPRODUCT(--(Sens!$R$2789:$AA$2789&lt;Sens!U$2789),--(Sens!$R$2789:$AA$2789&gt;=Sens!U$2789-tk_life),Sens!$R$2826:$AA$2826)+SUMPRODUCT(--(Sens!$R$2789:$AA$2789&lt;Sens!U$2789),--(Sens!$R$2789:$AA$2789&gt;=Sens!U$2789-tk_life),Sens!$R$2824:$AA$2824))/tk_life</f>
        <v>7.74852164836552</v>
      </c>
      <c r="V2829" s="38" t="n">
        <f aca="false">(SUMPRODUCT(--(Sens!$R$2789:$AA$2789&lt;Sens!V$2789),--(Sens!$R$2789:$AA$2789&gt;=Sens!V$2789-tk_life),Sens!$R$2826:$AA$2826)+SUMPRODUCT(--(Sens!$R$2789:$AA$2789&lt;Sens!V$2789),--(Sens!$R$2789:$AA$2789&gt;=Sens!V$2789-tk_life),Sens!$R$2824:$AA$2824))/tk_life</f>
        <v>24.9991425181643</v>
      </c>
      <c r="W2829" s="38" t="n">
        <f aca="false">(SUMPRODUCT(--(Sens!$R$2789:$AA$2789&lt;Sens!W$2789),--(Sens!$R$2789:$AA$2789&gt;=Sens!W$2789-tk_life),Sens!$R$2826:$AA$2826)+SUMPRODUCT(--(Sens!$R$2789:$AA$2789&lt;Sens!W$2789),--(Sens!$R$2789:$AA$2789&gt;=Sens!W$2789-tk_life),Sens!$R$2824:$AA$2824))/tk_life</f>
        <v>52.7030961654626</v>
      </c>
      <c r="X2829" s="38" t="n">
        <f aca="false">(SUMPRODUCT(--(Sens!$R$2789:$AA$2789&lt;Sens!X$2789),--(Sens!$R$2789:$AA$2789&gt;=Sens!X$2789-tk_life),Sens!$R$2826:$AA$2826)+SUMPRODUCT(--(Sens!$R$2789:$AA$2789&lt;Sens!X$2789),--(Sens!$R$2789:$AA$2789&gt;=Sens!X$2789-tk_life),Sens!$R$2824:$AA$2824))/tk_life</f>
        <v>82.9773143789735</v>
      </c>
      <c r="Y2829" s="38" t="n">
        <f aca="false">(SUMPRODUCT(--(Sens!$R$2789:$AA$2789&lt;Sens!Y$2789),--(Sens!$R$2789:$AA$2789&gt;=Sens!Y$2789-tk_life),Sens!$R$2826:$AA$2826)+SUMPRODUCT(--(Sens!$R$2789:$AA$2789&lt;Sens!Y$2789),--(Sens!$R$2789:$AA$2789&gt;=Sens!Y$2789-tk_life),Sens!$R$2824:$AA$2824))/tk_life</f>
        <v>110.100211099025</v>
      </c>
      <c r="Z2829" s="38" t="n">
        <f aca="false">(SUMPRODUCT(--(Sens!$R$2789:$AA$2789&lt;Sens!Z$2789),--(Sens!$R$2789:$AA$2789&gt;=Sens!Z$2789-tk_life),Sens!$R$2826:$AA$2826)+SUMPRODUCT(--(Sens!$R$2789:$AA$2789&lt;Sens!Z$2789),--(Sens!$R$2789:$AA$2789&gt;=Sens!Z$2789-tk_life),Sens!$R$2824:$AA$2824))/tk_life</f>
        <v>129.16895011128</v>
      </c>
      <c r="AA2829" s="38" t="n">
        <f aca="false">(SUMPRODUCT(--(Sens!$R$2789:$AA$2789&lt;Sens!AA$2789),--(Sens!$R$2789:$AA$2789&gt;=Sens!AA$2789-tk_life),Sens!$R$2826:$AA$2826)+SUMPRODUCT(--(Sens!$R$2789:$AA$2789&lt;Sens!AA$2789),--(Sens!$R$2789:$AA$2789&gt;=Sens!AA$2789-tk_life),Sens!$R$2824:$AA$2824))/tk_life</f>
        <v>141.798310067375</v>
      </c>
    </row>
    <row r="2830" customFormat="false" ht="17.15" hidden="false" customHeight="false" outlineLevel="0" collapsed="false">
      <c r="A2830" s="0" t="s">
        <v>649</v>
      </c>
      <c r="B2830" s="0" t="s">
        <v>86</v>
      </c>
      <c r="C2830" s="38" t="n">
        <f aca="false">Sens!$S$2830</f>
        <v>0.0202511502553155</v>
      </c>
      <c r="D2830" s="38" t="n">
        <f aca="false">Sens!$T$2830</f>
        <v>0.172291150255315</v>
      </c>
      <c r="E2830" s="38" t="n">
        <f aca="false">Sens!$G$2830/2</f>
        <v>0.428235575127658</v>
      </c>
      <c r="F2830" s="38" t="n">
        <f aca="false">Sens!$G$2830/2</f>
        <v>0.428235575127658</v>
      </c>
      <c r="G2830" s="38" t="n">
        <f aca="false">Sens!$U$2830</f>
        <v>0.856471150255315</v>
      </c>
      <c r="H2830" s="38" t="n">
        <f aca="false">Sens!$V$2830</f>
        <v>2.51125342776324</v>
      </c>
      <c r="I2830" s="38" t="n">
        <f aca="false">Sens!$W$2830</f>
        <v>5.06594771736136</v>
      </c>
      <c r="J2830" s="38" t="n">
        <f aca="false">Sens!$X$2830</f>
        <v>7.73057282125864</v>
      </c>
      <c r="K2830" s="38" t="n">
        <f aca="false">Sens!$Y$2830</f>
        <v>10.0329018712586</v>
      </c>
      <c r="L2830" s="38" t="n">
        <f aca="false">Sens!$Z$2830</f>
        <v>11.661546221342</v>
      </c>
      <c r="M2830" s="38" t="n">
        <f aca="false">Sens!$AA$2830</f>
        <v>12.6165058715086</v>
      </c>
      <c r="N2830" s="38" t="n">
        <f aca="false">Sens!$D$2830/2</f>
        <v>0.0861455751276577</v>
      </c>
      <c r="O2830" s="38" t="n">
        <f aca="false">Sens!$D$2830/2</f>
        <v>0.0861455751276577</v>
      </c>
      <c r="R2830" s="38" t="n">
        <f aca="false">(SUMPRODUCT(--(Sens!$R$2789:$AA$2789&lt;Sens!R$2789),Sens!$R$2827:$AA$2827)+SUMPRODUCT(--(Sens!$R$2789:$AA$2789&lt;Sens!R$2789),Sens!$R$2825:$AA$2825))/fac_life</f>
        <v>0</v>
      </c>
      <c r="S2830" s="38" t="n">
        <f aca="false">(SUMPRODUCT(--(Sens!$R$2789:$AA$2789&lt;Sens!S$2789),Sens!$R$2827:$AA$2827)+SUMPRODUCT(--(Sens!$R$2789:$AA$2789&lt;Sens!S$2789),Sens!$R$2825:$AA$2825))/fac_life</f>
        <v>0.0202511502553155</v>
      </c>
      <c r="T2830" s="38" t="n">
        <f aca="false">(SUMPRODUCT(--(Sens!$R$2789:$AA$2789&lt;Sens!T$2789),Sens!$R$2827:$AA$2827)+SUMPRODUCT(--(Sens!$R$2789:$AA$2789&lt;Sens!T$2789),Sens!$R$2825:$AA$2825))/fac_life</f>
        <v>0.172291150255315</v>
      </c>
      <c r="U2830" s="38" t="n">
        <f aca="false">(SUMPRODUCT(--(Sens!$R$2789:$AA$2789&lt;Sens!U$2789),Sens!$R$2827:$AA$2827)+SUMPRODUCT(--(Sens!$R$2789:$AA$2789&lt;Sens!U$2789),Sens!$R$2825:$AA$2825))/fac_life</f>
        <v>0.856471150255315</v>
      </c>
      <c r="V2830" s="38" t="n">
        <f aca="false">(SUMPRODUCT(--(Sens!$R$2789:$AA$2789&lt;Sens!V$2789),Sens!$R$2827:$AA$2827)+SUMPRODUCT(--(Sens!$R$2789:$AA$2789&lt;Sens!V$2789),Sens!$R$2825:$AA$2825))/fac_life</f>
        <v>2.51125342776324</v>
      </c>
      <c r="W2830" s="38" t="n">
        <f aca="false">(SUMPRODUCT(--(Sens!$R$2789:$AA$2789&lt;Sens!W$2789),Sens!$R$2827:$AA$2827)+SUMPRODUCT(--(Sens!$R$2789:$AA$2789&lt;Sens!W$2789),Sens!$R$2825:$AA$2825))/fac_life</f>
        <v>5.06594771736136</v>
      </c>
      <c r="X2830" s="38" t="n">
        <f aca="false">(SUMPRODUCT(--(Sens!$R$2789:$AA$2789&lt;Sens!X$2789),Sens!$R$2827:$AA$2827)+SUMPRODUCT(--(Sens!$R$2789:$AA$2789&lt;Sens!X$2789),Sens!$R$2825:$AA$2825))/fac_life</f>
        <v>7.73057282125864</v>
      </c>
      <c r="Y2830" s="38" t="n">
        <f aca="false">(SUMPRODUCT(--(Sens!$R$2789:$AA$2789&lt;Sens!Y$2789),Sens!$R$2827:$AA$2827)+SUMPRODUCT(--(Sens!$R$2789:$AA$2789&lt;Sens!Y$2789),Sens!$R$2825:$AA$2825))/fac_life</f>
        <v>10.0329018712586</v>
      </c>
      <c r="Z2830" s="38" t="n">
        <f aca="false">(SUMPRODUCT(--(Sens!$R$2789:$AA$2789&lt;Sens!Z$2789),Sens!$R$2827:$AA$2827)+SUMPRODUCT(--(Sens!$R$2789:$AA$2789&lt;Sens!Z$2789),Sens!$R$2825:$AA$2825))/fac_life</f>
        <v>11.661546221342</v>
      </c>
      <c r="AA2830" s="38" t="n">
        <f aca="false">(SUMPRODUCT(--(Sens!$R$2789:$AA$2789&lt;Sens!AA$2789),Sens!$R$2827:$AA$2827)+SUMPRODUCT(--(Sens!$R$2789:$AA$2789&lt;Sens!AA$2789),Sens!$R$2825:$AA$2825))/fac_life</f>
        <v>12.6165058715086</v>
      </c>
    </row>
    <row r="2831" customFormat="false" ht="17.15" hidden="false" customHeight="false" outlineLevel="0" collapsed="false">
      <c r="A2831" s="1" t="s">
        <v>650</v>
      </c>
      <c r="B2831" s="8" t="s">
        <v>86</v>
      </c>
      <c r="C2831" s="38" t="n">
        <f aca="false">Sens!$C$2829+Sens!$C$2830</f>
        <v>0.203463948620839</v>
      </c>
      <c r="D2831" s="38" t="n">
        <f aca="false">Sens!$D$2829+Sens!$D$2830</f>
        <v>1.73101464862084</v>
      </c>
      <c r="E2831" s="38" t="n">
        <f aca="false">Sens!$E$2829+Sens!$E$2830</f>
        <v>4.30249639931042</v>
      </c>
      <c r="F2831" s="38" t="n">
        <f aca="false">Sens!$F$2829+Sens!$F$2830</f>
        <v>4.30249639931042</v>
      </c>
      <c r="G2831" s="38" t="n">
        <f aca="false">Sens!$G$2829+Sens!$G$2830</f>
        <v>8.60499279862084</v>
      </c>
      <c r="H2831" s="38" t="n">
        <f aca="false">Sens!$H$2829+Sens!$H$2830</f>
        <v>27.5103959459275</v>
      </c>
      <c r="I2831" s="38" t="n">
        <f aca="false">Sens!$I$2829+Sens!$I$2830</f>
        <v>57.769043882824</v>
      </c>
      <c r="J2831" s="38" t="n">
        <f aca="false">Sens!$J$2829+Sens!$J$2830</f>
        <v>90.7078872002321</v>
      </c>
      <c r="K2831" s="38" t="n">
        <f aca="false">Sens!$K$2829+Sens!$K$2830</f>
        <v>120.133112970283</v>
      </c>
      <c r="L2831" s="38" t="n">
        <f aca="false">Sens!$L$2829+Sens!$L$2830</f>
        <v>140.830496332622</v>
      </c>
      <c r="M2831" s="38" t="n">
        <f aca="false">Sens!$M$2829+Sens!$M$2830</f>
        <v>154.414815938884</v>
      </c>
      <c r="N2831" s="38" t="n">
        <f aca="false">Sens!$N$2829+Sens!$N$2830</f>
        <v>0.865507324310419</v>
      </c>
      <c r="O2831" s="38" t="n">
        <f aca="false">Sens!$O$2829+Sens!$O$2830</f>
        <v>0.865507324310419</v>
      </c>
      <c r="R2831" s="38" t="n">
        <f aca="false">Sens!$R$2829+Sens!$R$2830</f>
        <v>0</v>
      </c>
      <c r="S2831" s="38" t="n">
        <f aca="false">Sens!$S$2829+Sens!$S$2830</f>
        <v>0.203463948620839</v>
      </c>
      <c r="T2831" s="38" t="n">
        <f aca="false">Sens!$T$2829+Sens!$T$2830</f>
        <v>1.73101464862084</v>
      </c>
      <c r="U2831" s="38" t="n">
        <f aca="false">Sens!$U$2829+Sens!$U$2830</f>
        <v>8.60499279862084</v>
      </c>
      <c r="V2831" s="38" t="n">
        <f aca="false">Sens!$V$2829+Sens!$V$2830</f>
        <v>27.5103959459275</v>
      </c>
      <c r="W2831" s="38" t="n">
        <f aca="false">Sens!$W$2829+Sens!$W$2830</f>
        <v>57.769043882824</v>
      </c>
      <c r="X2831" s="38" t="n">
        <f aca="false">Sens!$X$2829+Sens!$X$2830</f>
        <v>90.7078872002321</v>
      </c>
      <c r="Y2831" s="38" t="n">
        <f aca="false">Sens!$Y$2829+Sens!$Y$2830</f>
        <v>120.133112970283</v>
      </c>
      <c r="Z2831" s="38" t="n">
        <f aca="false">Sens!$Z$2829+Sens!$Z$2830</f>
        <v>140.830496332622</v>
      </c>
      <c r="AA2831" s="38" t="n">
        <f aca="false">Sens!$AA$2829+Sens!$AA$2830</f>
        <v>154.414815938884</v>
      </c>
    </row>
    <row r="2832" customFormat="false" ht="17.15" hidden="false" customHeight="false" outlineLevel="0" collapsed="false">
      <c r="A2832" s="0" t="s">
        <v>651</v>
      </c>
      <c r="B2832" s="0" t="s">
        <v>86</v>
      </c>
      <c r="C2832" s="38" t="n">
        <f aca="false">Sens!$S$2832</f>
        <v>26.578941154416</v>
      </c>
      <c r="D2832" s="38" t="n">
        <f aca="false">Sens!$T$2832</f>
        <v>94.4165581367978</v>
      </c>
      <c r="G2832" s="38" t="n">
        <f aca="false">Sens!$U$2832</f>
        <v>238.718036447901</v>
      </c>
      <c r="H2832" s="38" t="n">
        <f aca="false">Sens!$V$2832</f>
        <v>409.779005446724</v>
      </c>
      <c r="I2832" s="38" t="n">
        <f aca="false">Sens!$W$2832</f>
        <v>556.6564314744</v>
      </c>
      <c r="J2832" s="38" t="n">
        <f aca="false">Sens!$X$2832</f>
        <v>675.831782384668</v>
      </c>
      <c r="K2832" s="38" t="n">
        <f aca="false">Sens!$Y$2832</f>
        <v>710.937054689585</v>
      </c>
      <c r="L2832" s="38" t="n">
        <f aca="false">Sens!$Z$2832</f>
        <v>702.120699996865</v>
      </c>
      <c r="M2832" s="38" t="n">
        <f aca="false">Sens!$AA$2832</f>
        <v>679.936865717833</v>
      </c>
      <c r="R2832" s="38" t="n">
        <f aca="false">SUM(Sens!$R$2819:$R$2819)-SUM(Sens!$R$2831:$R$2831)</f>
        <v>1.50429979529945</v>
      </c>
      <c r="S2832" s="38" t="n">
        <f aca="false">SUM(Sens!$R$2819:$S$2819)-SUM(Sens!$R$2831:$S$2831)</f>
        <v>26.578941154416</v>
      </c>
      <c r="T2832" s="38" t="n">
        <f aca="false">SUM(Sens!$R$2819:$T$2819)-SUM(Sens!$R$2831:$T$2831)</f>
        <v>94.4165581367978</v>
      </c>
      <c r="U2832" s="38" t="n">
        <f aca="false">SUM(Sens!$R$2819:$U$2819)-SUM(Sens!$R$2831:$U$2831)</f>
        <v>238.718036447901</v>
      </c>
      <c r="V2832" s="38" t="n">
        <f aca="false">SUM(Sens!$R$2819:$V$2819)-SUM(Sens!$R$2831:$V$2831)</f>
        <v>409.779005446724</v>
      </c>
      <c r="W2832" s="38" t="n">
        <f aca="false">SUM(Sens!$R$2819:$W$2819)-SUM(Sens!$R$2831:$W$2831)</f>
        <v>556.6564314744</v>
      </c>
      <c r="X2832" s="38" t="n">
        <f aca="false">SUM(Sens!$R$2819:$X$2819)-SUM(Sens!$R$2831:$X$2831)</f>
        <v>675.831782384668</v>
      </c>
      <c r="Y2832" s="38" t="n">
        <f aca="false">SUM(Sens!$R$2819:$Y$2819)-SUM(Sens!$R$2831:$Y$2831)</f>
        <v>710.937054689585</v>
      </c>
      <c r="Z2832" s="38" t="n">
        <f aca="false">SUM(Sens!$R$2819:$Z$2819)-SUM(Sens!$R$2831:$Z$2831)</f>
        <v>702.120699996865</v>
      </c>
      <c r="AA2832" s="38" t="n">
        <f aca="false">SUM(Sens!$R$2819:$AA$2819)-SUM(Sens!$R$2831:$AA$2831)</f>
        <v>679.936865717833</v>
      </c>
    </row>
    <row r="2833" customFormat="false" ht="17.15" hidden="false" customHeight="false" outlineLevel="0" collapsed="false">
      <c r="A2833" s="1" t="s">
        <v>652</v>
      </c>
    </row>
    <row r="2834" customFormat="false" ht="17.15" hidden="false" customHeight="false" outlineLevel="0" collapsed="false">
      <c r="A2834" s="0" t="s">
        <v>653</v>
      </c>
      <c r="B2834" s="0" t="s">
        <v>86</v>
      </c>
      <c r="C2834" s="38" t="n">
        <f aca="false">Sens!$C$2810-ext_sh*Sens!$C$2812</f>
        <v>1.80694998843362</v>
      </c>
      <c r="D2834" s="38" t="n">
        <f aca="false">Sens!$D$2810-ext_sh*Sens!$D$2812</f>
        <v>6.77606245662607</v>
      </c>
      <c r="E2834" s="38" t="n">
        <f aca="false">Sens!$E$2810-ext_sh*Sens!$E$2812</f>
        <v>6.62548329092326</v>
      </c>
      <c r="F2834" s="38" t="n">
        <f aca="false">Sens!$F$2810-ext_sh*Sens!$F$2812</f>
        <v>11.7200577158706</v>
      </c>
      <c r="G2834" s="38" t="n">
        <f aca="false">Sens!$G$2810-ext_sh*Sens!$G$2812</f>
        <v>18.3455410067939</v>
      </c>
      <c r="H2834" s="38" t="n">
        <f aca="false">Sens!$H$2810-ext_sh*Sens!$H$2812</f>
        <v>47.5171727060453</v>
      </c>
      <c r="I2834" s="38" t="n">
        <f aca="false">Sens!$I$2810-ext_sh*Sens!$I$2812</f>
        <v>80.5539692643667</v>
      </c>
      <c r="J2834" s="38" t="n">
        <f aca="false">Sens!$J$2810-ext_sh*Sens!$J$2812</f>
        <v>113.759316834883</v>
      </c>
      <c r="K2834" s="38" t="n">
        <f aca="false">Sens!$K$2810-ext_sh*Sens!$K$2812</f>
        <v>142.084411492169</v>
      </c>
      <c r="L2834" s="38" t="n">
        <f aca="false">Sens!$L$2810-ext_sh*Sens!$L$2812</f>
        <v>160.69964615804</v>
      </c>
      <c r="M2834" s="38" t="n">
        <f aca="false">Sens!$M$2810-ext_sh*Sens!$M$2812</f>
        <v>169.577607141793</v>
      </c>
      <c r="N2834" s="38" t="n">
        <f aca="false">Sens!$N$2810-ext_sh*Sens!$N$2812</f>
        <v>2.37162185981912</v>
      </c>
      <c r="O2834" s="38" t="n">
        <f aca="false">Sens!$O$2810-ext_sh*Sens!$O$2812</f>
        <v>4.40444059680694</v>
      </c>
    </row>
    <row r="2835" customFormat="false" ht="17.15" hidden="false" customHeight="false" outlineLevel="0" collapsed="false">
      <c r="A2835" s="1" t="s">
        <v>654</v>
      </c>
      <c r="B2835" s="8" t="s">
        <v>86</v>
      </c>
      <c r="C2835" s="38" t="n">
        <f aca="false">Sens!$C$2834-ext_sh*Sens!$C$2831</f>
        <v>1.64417882953695</v>
      </c>
      <c r="D2835" s="38" t="n">
        <f aca="false">Sens!$D$2834-ext_sh*Sens!$D$2831</f>
        <v>5.39125073772939</v>
      </c>
      <c r="E2835" s="38" t="n">
        <f aca="false">Sens!$E$2834-ext_sh*Sens!$E$2831</f>
        <v>3.18348617147493</v>
      </c>
      <c r="F2835" s="38" t="n">
        <f aca="false">Sens!$F$2834-ext_sh*Sens!$F$2831</f>
        <v>8.27806059642226</v>
      </c>
      <c r="G2835" s="38" t="n">
        <f aca="false">Sens!$G$2834-ext_sh*Sens!$G$2831</f>
        <v>11.4615467678972</v>
      </c>
      <c r="H2835" s="38" t="n">
        <f aca="false">Sens!$H$2834-ext_sh*Sens!$H$2831</f>
        <v>25.5088559493033</v>
      </c>
      <c r="I2835" s="38" t="n">
        <f aca="false">Sens!$I$2834-ext_sh*Sens!$I$2831</f>
        <v>34.3387341581075</v>
      </c>
      <c r="J2835" s="38" t="n">
        <f aca="false">Sens!$J$2834-ext_sh*Sens!$J$2831</f>
        <v>41.1930070746977</v>
      </c>
      <c r="K2835" s="38" t="n">
        <f aca="false">Sens!$K$2834-ext_sh*Sens!$K$2831</f>
        <v>45.9779211159428</v>
      </c>
      <c r="L2835" s="38" t="n">
        <f aca="false">Sens!$L$2834-ext_sh*Sens!$L$2831</f>
        <v>48.0352490919424</v>
      </c>
      <c r="M2835" s="38" t="n">
        <f aca="false">Sens!$M$2834-ext_sh*Sens!$M$2831</f>
        <v>46.0457543906864</v>
      </c>
      <c r="N2835" s="38" t="n">
        <f aca="false">Sens!$N$2834-ext_sh*Sens!$N$2831</f>
        <v>1.67921600037079</v>
      </c>
      <c r="O2835" s="38" t="n">
        <f aca="false">Sens!$O$2834-ext_sh*Sens!$O$2831</f>
        <v>3.71203473735861</v>
      </c>
    </row>
    <row r="2836" customFormat="false" ht="17.15" hidden="false" customHeight="false" outlineLevel="0" collapsed="false">
      <c r="A2836" s="0" t="s">
        <v>655</v>
      </c>
      <c r="B2836" s="0" t="s">
        <v>52</v>
      </c>
      <c r="C2836" s="13" t="n">
        <f aca="false">Sens!$C$2835/Sens!$C$2810</f>
        <v>0.708390794789371</v>
      </c>
      <c r="D2836" s="13" t="n">
        <f aca="false">Sens!$D$2835/Sens!$D$2810</f>
        <v>0.619415573115729</v>
      </c>
      <c r="E2836" s="13" t="n">
        <f aca="false">Sens!$E$2835/Sens!$E$2810</f>
        <v>0.374072166056273</v>
      </c>
      <c r="F2836" s="13" t="n">
        <f aca="false">Sens!$F$2835/Sens!$F$2810</f>
        <v>0.553219320710057</v>
      </c>
      <c r="G2836" s="13" t="n">
        <f aca="false">Sens!$G$2835/Sens!$G$2810</f>
        <v>0.488270041527512</v>
      </c>
      <c r="H2836" s="13" t="n">
        <f aca="false">Sens!$H$2835/Sens!$H$2810</f>
        <v>0.42397537261424</v>
      </c>
      <c r="I2836" s="13" t="n">
        <f aca="false">Sens!$I$2835/Sens!$I$2810</f>
        <v>0.338300322552309</v>
      </c>
      <c r="J2836" s="13" t="n">
        <f aca="false">Sens!$J$2835/Sens!$J$2810</f>
        <v>0.288011814789856</v>
      </c>
      <c r="K2836" s="13" t="n">
        <f aca="false">Sens!$K$2835/Sens!$K$2810</f>
        <v>0.25765427518774</v>
      </c>
      <c r="L2836" s="13" t="n">
        <f aca="false">Sens!$L$2835/Sens!$L$2810</f>
        <v>0.238118778012374</v>
      </c>
      <c r="M2836" s="13" t="n">
        <f aca="false">Sens!$M$2835/Sens!$M$2810</f>
        <v>0.216344393088576</v>
      </c>
      <c r="N2836" s="13" t="n">
        <f aca="false">Sens!$N$2835/Sens!$N$2810</f>
        <v>0.551227795793364</v>
      </c>
      <c r="O2836" s="13" t="n">
        <f aca="false">Sens!$O$2835/Sens!$O$2810</f>
        <v>0.656132068597002</v>
      </c>
    </row>
    <row r="2837" customFormat="false" ht="17.15" hidden="false" customHeight="false" outlineLevel="0" collapsed="false">
      <c r="A2837" s="5" t="s">
        <v>656</v>
      </c>
      <c r="B2837" s="0" t="s">
        <v>86</v>
      </c>
      <c r="C2837" s="39" t="n">
        <v>0</v>
      </c>
      <c r="D2837" s="39" t="n">
        <v>0</v>
      </c>
      <c r="E2837" s="39" t="n">
        <v>0</v>
      </c>
      <c r="F2837" s="38" t="n">
        <f aca="false">IF(internal_ai_reading=2,1,0)*(1-ext_sh)/ext_sh*(mw_open*he_open+Sens!$F$2808*Sens!$F$2805)*Sens!$F$2794/1000</f>
        <v>3.77122048175818</v>
      </c>
      <c r="G2837" s="38" t="n">
        <f aca="false">Sens!$E$2837+Sens!$F$2837</f>
        <v>3.77122048175818</v>
      </c>
      <c r="H2837" s="38" t="n">
        <f aca="false">IF(internal_ai_reading=2,1,0)*(1-ext_sh)/ext_sh*(mw_open*he_open+Sens!$H$2808*Sens!$H$2805)*Sens!$H$2794/1000</f>
        <v>15.1635543609893</v>
      </c>
      <c r="I2837" s="38" t="n">
        <f aca="false">IF(internal_ai_reading=2,1,0)*(1-ext_sh)/ext_sh*(mw_open*he_open+Sens!$I$2808*Sens!$I$2805)*Sens!$I$2794/1000</f>
        <v>25.5818843619889</v>
      </c>
      <c r="J2837" s="38" t="n">
        <f aca="false">IF(internal_ai_reading=2,1,0)*(1-ext_sh)/ext_sh*(mw_open*he_open+Sens!$J$2808*Sens!$J$2805)*Sens!$J$2794/1000</f>
        <v>36.0465624179122</v>
      </c>
      <c r="K2837" s="38" t="n">
        <f aca="false">IF(internal_ai_reading=2,1,0)*(1-ext_sh)/ext_sh*(mw_open*he_open+Sens!$K$2808*Sens!$K$2805)*Sens!$K$2794/1000</f>
        <v>44.9741164026038</v>
      </c>
      <c r="L2837" s="38" t="n">
        <f aca="false">IF(internal_ai_reading=2,1,0)*(1-ext_sh)/ext_sh*(mw_open*he_open+Sens!$L$2808*Sens!$L$2805)*Sens!$L$2794/1000</f>
        <v>50.8413488057813</v>
      </c>
      <c r="M2837" s="38" t="n">
        <f aca="false">IF(internal_ai_reading=2,1,0)*(1-ext_sh)/ext_sh*(mw_open*he_open+Sens!$M$2808*Sens!$M$2805)*Sens!$M$2794/1000</f>
        <v>53.6407214274315</v>
      </c>
      <c r="N2837" s="39" t="n">
        <v>0</v>
      </c>
      <c r="O2837" s="39" t="n">
        <v>0</v>
      </c>
      <c r="P2837" s="8" t="s">
        <v>657</v>
      </c>
    </row>
    <row r="2838" customFormat="false" ht="17.15" hidden="false" customHeight="false" outlineLevel="0" collapsed="false">
      <c r="A2838" s="5" t="s">
        <v>658</v>
      </c>
      <c r="B2838" s="0" t="s">
        <v>86</v>
      </c>
      <c r="C2838" s="38" t="n">
        <f aca="false">(1-ext_sh)*(Sens!$C$2812+Sens!$C$2831)</f>
        <v>0.169206631859174</v>
      </c>
      <c r="D2838" s="38" t="n">
        <f aca="false">(1-ext_sh)*(Sens!$D$2812+Sens!$D$2831)</f>
        <v>0.828129837730442</v>
      </c>
      <c r="E2838" s="38" t="n">
        <f aca="false">(1-ext_sh)*(Sens!$E$2812+Sens!$E$2831)</f>
        <v>1.33171670102377</v>
      </c>
      <c r="F2838" s="38" t="n">
        <f aca="false">(1-ext_sh)*(Sens!$F$2812+Sens!$F$2831)</f>
        <v>1.67134326207455</v>
      </c>
      <c r="G2838" s="38" t="n">
        <f aca="false">(1-ext_sh)*(Sens!$G$2812+Sens!$G$2831)</f>
        <v>3.00305996309832</v>
      </c>
      <c r="H2838" s="38" t="n">
        <f aca="false">(1-ext_sh)*(Sens!$H$2812+Sens!$H$2831)</f>
        <v>8.66425870011781</v>
      </c>
      <c r="I2838" s="38" t="n">
        <f aca="false">(1-ext_sh)*(Sens!$I$2812+Sens!$I$2831)</f>
        <v>16.7912412445811</v>
      </c>
      <c r="J2838" s="38" t="n">
        <f aca="false">(1-ext_sh)*(Sens!$J$2812+Sens!$J$2831)</f>
        <v>25.4581000191451</v>
      </c>
      <c r="K2838" s="38" t="n">
        <f aca="false">(1-ext_sh)*(Sens!$K$2812+Sens!$K$2831)</f>
        <v>33.1175498168092</v>
      </c>
      <c r="L2838" s="38" t="n">
        <f aca="false">(1-ext_sh)*(Sens!$L$2812+Sens!$L$2831)</f>
        <v>38.4232131776135</v>
      </c>
      <c r="M2838" s="38" t="n">
        <f aca="false">(1-ext_sh)*(Sens!$M$2812+Sens!$M$2831)</f>
        <v>41.6974217445447</v>
      </c>
      <c r="N2838" s="38" t="n">
        <f aca="false">(1-ext_sh)*(Sens!$N$2812+Sens!$N$2831)</f>
        <v>0.34177588266428</v>
      </c>
      <c r="O2838" s="38" t="n">
        <f aca="false">(1-ext_sh)*(Sens!$O$2812+Sens!$O$2831)</f>
        <v>0.486353955066162</v>
      </c>
    </row>
    <row r="2839" customFormat="false" ht="17.15" hidden="false" customHeight="false" outlineLevel="0" collapsed="false">
      <c r="A2839" s="0" t="s">
        <v>659</v>
      </c>
      <c r="B2839" s="0" t="s">
        <v>86</v>
      </c>
      <c r="C2839" s="38" t="n">
        <f aca="false">Q!$D$24</f>
        <v>39.834</v>
      </c>
      <c r="D2839" s="38" t="n">
        <f aca="false">Q!$E$24</f>
        <v>45.606</v>
      </c>
      <c r="E2839" s="38" t="n">
        <f aca="false">Q!$P$24</f>
        <v>30.782</v>
      </c>
      <c r="N2839" s="38" t="n">
        <f aca="false">Q!$N$24</f>
        <v>21.707</v>
      </c>
      <c r="O2839" s="38" t="n">
        <f aca="false">Q!$O$24</f>
        <v>23.899</v>
      </c>
    </row>
    <row r="2840" customFormat="false" ht="17.15" hidden="false" customHeight="false" outlineLevel="0" collapsed="false">
      <c r="A2840" s="0" t="s">
        <v>660</v>
      </c>
      <c r="B2840" s="0" t="s">
        <v>86</v>
      </c>
      <c r="C2840" s="38" t="n">
        <f aca="false">Sens!$C$2839-Sens!$C$2835</f>
        <v>38.1898211704631</v>
      </c>
      <c r="D2840" s="38" t="n">
        <f aca="false">Sens!$D$2839-Sens!$D$2835</f>
        <v>40.2147492622706</v>
      </c>
      <c r="E2840" s="38" t="n">
        <f aca="false">Sens!$E$2839-Sens!$E$2835</f>
        <v>27.5985138285251</v>
      </c>
      <c r="F2840" s="38" t="n">
        <f aca="false">Sens!$F$2814*Sens!$F$2841</f>
        <v>25.5484769754606</v>
      </c>
      <c r="G2840" s="38" t="n">
        <f aca="false">Sens!$E$2840+Sens!$F$2840</f>
        <v>53.1469908039857</v>
      </c>
      <c r="H2840" s="38" t="n">
        <f aca="false">Sens!$H$2814*Sens!$H$2841</f>
        <v>57.3189525076539</v>
      </c>
      <c r="I2840" s="38" t="n">
        <f aca="false">Sens!$I$2814*Sens!$I$2841</f>
        <v>63.6385627021087</v>
      </c>
      <c r="J2840" s="38" t="n">
        <f aca="false">Sens!$J$2814*Sens!$J$2841</f>
        <v>69.6922896066105</v>
      </c>
      <c r="K2840" s="38" t="n">
        <f aca="false">Sens!$K$2814*Sens!$K$2841</f>
        <v>75.2676727751394</v>
      </c>
      <c r="L2840" s="38" t="n">
        <f aca="false">Sens!$L$2814*Sens!$L$2841</f>
        <v>81.2890865971505</v>
      </c>
      <c r="M2840" s="38" t="n">
        <f aca="false">Sens!$M$2814*Sens!$M$2841</f>
        <v>87.7922135249226</v>
      </c>
      <c r="N2840" s="38" t="n">
        <f aca="false">Sens!$N$2839-Sens!$N$2835</f>
        <v>20.0277839996292</v>
      </c>
      <c r="O2840" s="38" t="n">
        <f aca="false">Sens!$O$2839-Sens!$O$2835</f>
        <v>20.1869652626414</v>
      </c>
      <c r="P2840" s="5" t="s">
        <v>661</v>
      </c>
    </row>
    <row r="2841" customFormat="false" ht="17.15" hidden="false" customHeight="false" outlineLevel="0" collapsed="false">
      <c r="A2841" s="0" t="s">
        <v>662</v>
      </c>
      <c r="B2841" s="0" t="s">
        <v>52</v>
      </c>
      <c r="C2841" s="13" t="n">
        <f aca="false">Sens!$C$2840/Sens!$C$2814</f>
        <v>0.362900395443635</v>
      </c>
      <c r="D2841" s="13" t="n">
        <f aca="false">Sens!$D$2840/Sens!$D$2814</f>
        <v>0.335063632425483</v>
      </c>
      <c r="E2841" s="13" t="n">
        <f aca="false">Sens!$E$2840/Sens!$E$2814</f>
        <v>0.387028992698038</v>
      </c>
      <c r="F2841" s="13" t="n">
        <f aca="false">(Sens!$O$2840+Sens!$E$2840)/(Sens!$O$2814+Sens!$E$2814)</f>
        <v>0.355980580118587</v>
      </c>
      <c r="G2841" s="13" t="n">
        <f aca="false">Sens!$G$2840/Sens!$G$2814</f>
        <v>0.371454804780916</v>
      </c>
      <c r="H2841" s="13" t="n">
        <f aca="false">Sens!$F$2841</f>
        <v>0.355980580118587</v>
      </c>
      <c r="I2841" s="13" t="n">
        <f aca="false">Sens!$F$2841</f>
        <v>0.355980580118587</v>
      </c>
      <c r="J2841" s="13" t="n">
        <f aca="false">Sens!$F$2841</f>
        <v>0.355980580118587</v>
      </c>
      <c r="K2841" s="13" t="n">
        <f aca="false">Sens!$F$2841</f>
        <v>0.355980580118587</v>
      </c>
      <c r="L2841" s="13" t="n">
        <f aca="false">Sens!$F$2841</f>
        <v>0.355980580118587</v>
      </c>
      <c r="M2841" s="13" t="n">
        <f aca="false">Sens!$F$2841</f>
        <v>0.355980580118587</v>
      </c>
      <c r="N2841" s="13" t="n">
        <f aca="false">Sens!$N$2840/Sens!$N$2814</f>
        <v>0.35078810535806</v>
      </c>
      <c r="O2841" s="13" t="n">
        <f aca="false">Sens!$O$2840/Sens!$O$2814</f>
        <v>0.320796939361619</v>
      </c>
      <c r="P2841" s="8" t="s">
        <v>663</v>
      </c>
    </row>
    <row r="2842" customFormat="false" ht="17.15" hidden="false" customHeight="false" outlineLevel="0" collapsed="false">
      <c r="A2842" s="0" t="s">
        <v>664</v>
      </c>
      <c r="B2842" s="0" t="s">
        <v>52</v>
      </c>
      <c r="D2842" s="13" t="n">
        <f aca="false">(Q!$E$31-ext_sh*Sens!$D$2831)/Sens!$D$2814</f>
        <v>0.167180325480118</v>
      </c>
    </row>
    <row r="2843" customFormat="false" ht="17.15" hidden="false" customHeight="false" outlineLevel="0" collapsed="false">
      <c r="A2843" s="0" t="s">
        <v>665</v>
      </c>
      <c r="B2843" s="0" t="s">
        <v>86</v>
      </c>
      <c r="C2843" s="38" t="n">
        <f aca="false">Q!$D$31</f>
        <v>13.32</v>
      </c>
      <c r="D2843" s="38" t="n">
        <f aca="false">Q!$E$31</f>
        <v>21.45</v>
      </c>
      <c r="E2843" s="38" t="n">
        <f aca="false">Q!$P$31</f>
        <v>15.353</v>
      </c>
      <c r="F2843" s="38" t="n">
        <f aca="false">ext_sh*Sens!$F$2831+Sens!$D$2842*Sens!$F$2814</f>
        <v>15.4404120185306</v>
      </c>
      <c r="G2843" s="38" t="n">
        <f aca="false">Sens!$E$2843+Sens!$F$2843</f>
        <v>30.7934120185306</v>
      </c>
      <c r="H2843" s="38" t="n">
        <f aca="false">ext_sh*Sens!$H$2831+Sens!$D$2842*Sens!$H$2814</f>
        <v>48.9272041107004</v>
      </c>
      <c r="I2843" s="38" t="n">
        <f aca="false">ext_sh*Sens!$I$2831+Sens!$D$2842*Sens!$I$2814</f>
        <v>76.1020216890588</v>
      </c>
      <c r="J2843" s="38" t="n">
        <f aca="false">ext_sh*Sens!$J$2831+Sens!$D$2842*Sens!$J$2814</f>
        <v>105.296127931746</v>
      </c>
      <c r="K2843" s="38" t="n">
        <f aca="false">ext_sh*Sens!$K$2831+Sens!$D$2842*Sens!$K$2814</f>
        <v>131.454694001511</v>
      </c>
      <c r="L2843" s="38" t="n">
        <f aca="false">ext_sh*Sens!$L$2831+Sens!$D$2842*Sens!$L$2814</f>
        <v>150.840456981405</v>
      </c>
      <c r="M2843" s="38" t="n">
        <f aca="false">ext_sh*Sens!$M$2831+Sens!$D$2842*Sens!$M$2814</f>
        <v>164.761997459639</v>
      </c>
      <c r="N2843" s="38" t="n">
        <f aca="false">Q!$N$31</f>
        <v>9.234</v>
      </c>
      <c r="O2843" s="38" t="n">
        <f aca="false">Q!$O$31</f>
        <v>12.216</v>
      </c>
    </row>
    <row r="2844" customFormat="false" ht="17.15" hidden="false" customHeight="false" outlineLevel="0" collapsed="false">
      <c r="A2844" s="1" t="s">
        <v>666</v>
      </c>
    </row>
    <row r="2845" customFormat="false" ht="17.15" hidden="false" customHeight="false" outlineLevel="0" collapsed="false">
      <c r="A2845" s="15" t="s">
        <v>667</v>
      </c>
      <c r="B2845" s="14" t="s">
        <v>52</v>
      </c>
      <c r="C2845" s="14"/>
      <c r="D2845" s="14"/>
      <c r="E2845" s="14"/>
      <c r="F2845" s="14"/>
      <c r="G2845" s="17" t="n">
        <f aca="false">Sens!$G$2835*(1-tax)/(ext_sh*(Sens!$D$2832+Sens!$G$2832)/2)</f>
        <v>0.0710823774520868</v>
      </c>
      <c r="H2845" s="17" t="n">
        <f aca="false">Sens!$H$2835*(1-tax)/(ext_sh*(Sens!$G$2832+Sens!$H$2832)/2)</f>
        <v>0.0812683478212574</v>
      </c>
      <c r="I2845" s="17" t="n">
        <f aca="false">Sens!$I$2835*(1-tax)/(ext_sh*(Sens!$H$2832+Sens!$I$2832)/2)</f>
        <v>0.0734090973912189</v>
      </c>
      <c r="J2845" s="17" t="n">
        <f aca="false">Sens!$J$2835*(1-tax)/(ext_sh*(Sens!$I$2832+Sens!$J$2832)/2)</f>
        <v>0.0690524624469804</v>
      </c>
      <c r="K2845" s="17" t="n">
        <f aca="false">Sens!$K$2835*(1-tax)/(ext_sh*(Sens!$J$2832+Sens!$K$2832)/2)</f>
        <v>0.0684989171017449</v>
      </c>
      <c r="L2845" s="17" t="n">
        <f aca="false">Sens!$L$2835*(1-tax)/(ext_sh*(Sens!$K$2832+Sens!$L$2832)/2)</f>
        <v>0.0702325736254197</v>
      </c>
      <c r="M2845" s="17" t="n">
        <f aca="false">Sens!$M$2835*(1-tax)/(ext_sh*(Sens!$L$2832+Sens!$M$2832)/2)</f>
        <v>0.0688338258403023</v>
      </c>
      <c r="N2845" s="14"/>
      <c r="O2845" s="14"/>
      <c r="P2845" s="8" t="s">
        <v>668</v>
      </c>
    </row>
    <row r="2846" customFormat="false" ht="17.15" hidden="false" customHeight="false" outlineLevel="0" collapsed="false">
      <c r="A2846" s="5" t="s">
        <v>669</v>
      </c>
      <c r="B2846" s="0" t="s">
        <v>57</v>
      </c>
      <c r="H2846" s="36" t="n">
        <f aca="false">Sens!$H$2810*1000/(mw_open*he_open+Sens!$H$2808*Sens!$H$2805)</f>
        <v>0.991949006767191</v>
      </c>
      <c r="I2846" s="36" t="n">
        <f aca="false">Sens!$I$2810*1000/(mw_open*he_open+Sens!$I$2808*Sens!$I$2805)</f>
        <v>0.991949006767191</v>
      </c>
      <c r="J2846" s="36" t="n">
        <f aca="false">Sens!$J$2810*1000/(mw_open*he_open+Sens!$J$2808*Sens!$J$2805)</f>
        <v>0.991949006767191</v>
      </c>
      <c r="K2846" s="36" t="n">
        <f aca="false">Sens!$K$2810*1000/(mw_open*he_open+Sens!$K$2808*Sens!$K$2805)</f>
        <v>0.991949006767191</v>
      </c>
      <c r="L2846" s="36" t="n">
        <f aca="false">Sens!$L$2810*1000/(mw_open*he_open+Sens!$L$2808*Sens!$L$2805)</f>
        <v>0.991949006767191</v>
      </c>
      <c r="M2846" s="36" t="n">
        <f aca="false">Sens!$M$2810*1000/(mw_open*he_open+Sens!$M$2808*Sens!$M$2805)</f>
        <v>0.991949006767191</v>
      </c>
    </row>
    <row r="2847" customFormat="false" ht="17.15" hidden="false" customHeight="false" outlineLevel="0" collapsed="false">
      <c r="A2847" s="5" t="s">
        <v>670</v>
      </c>
      <c r="B2847" s="0" t="s">
        <v>57</v>
      </c>
      <c r="H2847" s="36" t="n">
        <f aca="false">Sens!$H$2846*(Sens!$H$2810+wacc*ext_sh*(Sens!$G$2832+Sens!$H$2832)/2/(1-tax)-Sens!$H$2835)/Sens!$H$2810</f>
        <v>1.15769877997248</v>
      </c>
      <c r="I2847" s="36" t="n">
        <f aca="false">Sens!$I$2846*(Sens!$I$2810+wacc*ext_sh*(Sens!$H$2832+Sens!$I$2832)/2/(1-tax)-Sens!$I$2835)/Sens!$I$2810</f>
        <v>1.17429141179133</v>
      </c>
      <c r="J2847" s="36" t="n">
        <f aca="false">Sens!$J$2846*(Sens!$J$2810+wacc*ext_sh*(Sens!$I$2832+Sens!$J$2832)/2/(1-tax)-Sens!$J$2835)/Sens!$J$2810</f>
        <v>1.17500514258556</v>
      </c>
      <c r="K2847" s="36" t="n">
        <f aca="false">Sens!$K$2846*(Sens!$K$2810+wacc*ext_sh*(Sens!$J$2832+Sens!$K$2832)/2/(1-tax)-Sens!$K$2835)/Sens!$K$2810</f>
        <v>1.15909906103983</v>
      </c>
      <c r="L2847" s="36" t="n">
        <f aca="false">Sens!$L$2846*(Sens!$L$2810+wacc*ext_sh*(Sens!$K$2832+Sens!$L$2832)/2/(1-tax)-Sens!$L$2835)/Sens!$L$2810</f>
        <v>1.13678194436153</v>
      </c>
      <c r="M2847" s="36" t="n">
        <f aca="false">Sens!$M$2846*(Sens!$M$2810+wacc*ext_sh*(Sens!$L$2832+Sens!$M$2832)/2/(1-tax)-Sens!$M$2835)/Sens!$M$2810</f>
        <v>1.13057276703765</v>
      </c>
    </row>
    <row r="2848" customFormat="false" ht="17.15" hidden="false" customHeight="false" outlineLevel="0" collapsed="false">
      <c r="A2848" s="5" t="s">
        <v>671</v>
      </c>
      <c r="B2848" s="0" t="s">
        <v>52</v>
      </c>
      <c r="C2848" s="13" t="n">
        <f aca="false">Sens!$C$2811/tk_pq</f>
        <v>0.195316432429398</v>
      </c>
      <c r="D2848" s="13" t="n">
        <f aca="false">Sens!$D$2811/tk_pq</f>
        <v>0.195316432429398</v>
      </c>
      <c r="E2848" s="13" t="n">
        <f aca="false">Sens!$E$2811/tk_pq</f>
        <v>0.195316432429398</v>
      </c>
      <c r="F2848" s="13" t="n">
        <f aca="false">Sens!$F$2811/tk_pq</f>
        <v>0.202241827274866</v>
      </c>
      <c r="G2848" s="13" t="n">
        <f aca="false">Sens!$G$2811/tk_pq</f>
        <v>0.199675016194063</v>
      </c>
      <c r="H2848" s="13" t="n">
        <f aca="false">Sens!$H$2811/tk_pq</f>
        <v>0.212647947710325</v>
      </c>
      <c r="I2848" s="13" t="n">
        <f aca="false">Sens!$I$2811/tk_pq</f>
        <v>0.219285125475351</v>
      </c>
      <c r="J2848" s="13" t="n">
        <f aca="false">Sens!$J$2811/tk_pq</f>
        <v>0.222492493217189</v>
      </c>
      <c r="K2848" s="13" t="n">
        <f aca="false">Sens!$K$2811/tk_pq</f>
        <v>0.224053502812094</v>
      </c>
      <c r="L2848" s="13" t="n">
        <f aca="false">Sens!$L$2811/tk_pq</f>
        <v>0.224786916785614</v>
      </c>
      <c r="M2848" s="13" t="n">
        <f aca="false">Sens!$M$2811/tk_pq</f>
        <v>0.225048671566937</v>
      </c>
      <c r="N2848" s="13" t="n">
        <f aca="false">Sens!$N$2811/tk_pq</f>
        <v>0.195316432429398</v>
      </c>
      <c r="O2848" s="13" t="n">
        <f aca="false">Sens!$O$2811/tk_pq</f>
        <v>0.195316432429398</v>
      </c>
      <c r="P2848" s="5" t="s">
        <v>672</v>
      </c>
    </row>
    <row r="2851" customFormat="false" ht="17.15" hidden="false" customHeight="false" outlineLevel="0" collapsed="false">
      <c r="A2851" s="1" t="s">
        <v>701</v>
      </c>
    </row>
    <row r="2852" customFormat="false" ht="17.15" hidden="false" customHeight="false" outlineLevel="0" collapsed="false">
      <c r="A2852" s="0" t="s">
        <v>702</v>
      </c>
      <c r="B2852" s="0" t="s">
        <v>86</v>
      </c>
      <c r="C2852" s="38" t="n">
        <f aca="false">Sens!$C$2810</f>
        <v>2.32100535697364</v>
      </c>
      <c r="D2852" s="38" t="n">
        <f aca="false">Sens!$D$2810</f>
        <v>8.70377008865116</v>
      </c>
      <c r="E2852" s="38" t="n">
        <f aca="false">Sens!$E$2810</f>
        <v>8.51035297557002</v>
      </c>
      <c r="F2852" s="38" t="n">
        <f aca="false">Sens!$F$2810</f>
        <v>14.9634336447205</v>
      </c>
      <c r="G2852" s="38" t="n">
        <f aca="false">Sens!$G$2810</f>
        <v>23.4737866202905</v>
      </c>
      <c r="H2852" s="38" t="n">
        <f aca="false">Sens!$H$2810</f>
        <v>60.1658907497746</v>
      </c>
      <c r="I2852" s="38" t="n">
        <f aca="false">Sens!$I$2810</f>
        <v>101.503699136432</v>
      </c>
      <c r="J2852" s="38" t="n">
        <f aca="false">Sens!$J$2810</f>
        <v>143.025407151278</v>
      </c>
      <c r="K2852" s="38" t="n">
        <f aca="false">Sens!$K$2810</f>
        <v>178.44812038318</v>
      </c>
      <c r="L2852" s="38" t="n">
        <f aca="false">Sens!$L$2810</f>
        <v>201.728101802396</v>
      </c>
      <c r="M2852" s="38" t="n">
        <f aca="false">Sens!$M$2810</f>
        <v>212.835441368865</v>
      </c>
      <c r="N2852" s="38" t="n">
        <f aca="false">Sens!$N$2810</f>
        <v>3.04631953102791</v>
      </c>
      <c r="O2852" s="38" t="n">
        <f aca="false">Sens!$O$2810</f>
        <v>5.65745055762326</v>
      </c>
      <c r="P2852" s="8" t="s">
        <v>703</v>
      </c>
    </row>
    <row r="2853" customFormat="false" ht="17.15" hidden="false" customHeight="false" outlineLevel="0" collapsed="false">
      <c r="A2853" s="0" t="s">
        <v>704</v>
      </c>
      <c r="B2853" s="0" t="s">
        <v>86</v>
      </c>
      <c r="C2853" s="38" t="n">
        <f aca="false">Sens!$C$2814</f>
        <v>105.234994643026</v>
      </c>
      <c r="D2853" s="38" t="n">
        <f aca="false">Sens!$D$2814</f>
        <v>120.021229911349</v>
      </c>
      <c r="E2853" s="38" t="n">
        <f aca="false">Sens!$E$2814</f>
        <v>71.30864702443</v>
      </c>
      <c r="F2853" s="38" t="n">
        <f aca="false">Sens!$F$2814</f>
        <v>71.7692997942464</v>
      </c>
      <c r="G2853" s="38" t="n">
        <f aca="false">Sens!$G$2814</f>
        <v>143.077946818676</v>
      </c>
      <c r="H2853" s="38" t="n">
        <f aca="false">Sens!$H$2814</f>
        <v>161.017077079203</v>
      </c>
      <c r="I2853" s="38" t="n">
        <f aca="false">Sens!$I$2814</f>
        <v>178.769759521457</v>
      </c>
      <c r="J2853" s="38" t="n">
        <f aca="false">Sens!$J$2814</f>
        <v>195.775538045907</v>
      </c>
      <c r="K2853" s="38" t="n">
        <f aca="false">Sens!$K$2814</f>
        <v>211.43758108958</v>
      </c>
      <c r="L2853" s="38" t="n">
        <f aca="false">Sens!$L$2814</f>
        <v>228.352587576746</v>
      </c>
      <c r="M2853" s="38" t="n">
        <f aca="false">Sens!$M$2814</f>
        <v>246.620794582886</v>
      </c>
      <c r="N2853" s="38" t="n">
        <f aca="false">Sens!$N$2814</f>
        <v>57.0936804689721</v>
      </c>
      <c r="O2853" s="38" t="n">
        <f aca="false">Sens!$O$2814</f>
        <v>62.9275494423768</v>
      </c>
      <c r="P2853" s="8" t="s">
        <v>703</v>
      </c>
    </row>
    <row r="2854" customFormat="false" ht="17.15" hidden="false" customHeight="false" outlineLevel="0" collapsed="false">
      <c r="A2854" s="1" t="s">
        <v>523</v>
      </c>
      <c r="B2854" s="8" t="s">
        <v>86</v>
      </c>
      <c r="C2854" s="38" t="n">
        <f aca="false">Q!$D$7</f>
        <v>107.556</v>
      </c>
      <c r="D2854" s="38" t="n">
        <f aca="false">Q!$E$7</f>
        <v>128.725</v>
      </c>
      <c r="E2854" s="38" t="n">
        <f aca="false">Q!$P$7</f>
        <v>79.819</v>
      </c>
      <c r="F2854" s="38" t="n">
        <f aca="false">Sens!$F$2852+Sens!$F$2853</f>
        <v>86.7327334389669</v>
      </c>
      <c r="G2854" s="38" t="n">
        <f aca="false">Sens!$G$2852+Sens!$G$2853</f>
        <v>166.551733438967</v>
      </c>
      <c r="H2854" s="38" t="n">
        <f aca="false">Sens!$H$2852+Sens!$H$2853</f>
        <v>221.182967828978</v>
      </c>
      <c r="I2854" s="38" t="n">
        <f aca="false">Sens!$I$2852+Sens!$I$2853</f>
        <v>280.27345865789</v>
      </c>
      <c r="J2854" s="38" t="n">
        <f aca="false">Sens!$J$2852+Sens!$J$2853</f>
        <v>338.800945197185</v>
      </c>
      <c r="K2854" s="38" t="n">
        <f aca="false">Sens!$K$2852+Sens!$K$2853</f>
        <v>389.88570147276</v>
      </c>
      <c r="L2854" s="38" t="n">
        <f aca="false">Sens!$L$2852+Sens!$L$2853</f>
        <v>430.080689379143</v>
      </c>
      <c r="M2854" s="38" t="n">
        <f aca="false">Sens!$M$2852+Sens!$M$2853</f>
        <v>459.456235951751</v>
      </c>
      <c r="N2854" s="38" t="n">
        <f aca="false">Q!$N$7</f>
        <v>60.14</v>
      </c>
      <c r="O2854" s="38" t="n">
        <f aca="false">Q!$O$7</f>
        <v>68.585</v>
      </c>
      <c r="P2854" s="5" t="s">
        <v>705</v>
      </c>
    </row>
    <row r="2855" customFormat="false" ht="15" hidden="false" customHeight="false" outlineLevel="0" collapsed="false">
      <c r="A2855" s="3" t="s">
        <v>706</v>
      </c>
      <c r="B2855" s="8" t="s">
        <v>86</v>
      </c>
      <c r="C2855" s="38" t="n">
        <f aca="false">Q!$D$8</f>
        <v>637.959</v>
      </c>
      <c r="D2855" s="38" t="n">
        <f aca="false">Q!$E$8</f>
        <v>716.924</v>
      </c>
      <c r="E2855" s="38" t="n">
        <f aca="false">Q!$P$8</f>
        <v>382.125</v>
      </c>
      <c r="F2855" s="38" t="n">
        <f aca="false">Sens!$F$2782+Sens!$F$2854</f>
        <v>435.780975084504</v>
      </c>
      <c r="G2855" s="38" t="n">
        <f aca="false">Sens!$G$2782+Sens!$G$2854</f>
        <v>817.905975084504</v>
      </c>
      <c r="H2855" s="38" t="n">
        <f aca="false">Sens!$H$2782+Sens!$H$2854</f>
        <v>942.279857350364</v>
      </c>
      <c r="I2855" s="38" t="n">
        <f aca="false">Sens!$I$2782+Sens!$I$2854</f>
        <v>1068.80284981042</v>
      </c>
      <c r="J2855" s="38" t="n">
        <f aca="false">Sens!$J$2782+Sens!$J$2854</f>
        <v>1189.90935093863</v>
      </c>
      <c r="K2855" s="38" t="n">
        <f aca="false">Sens!$K$2782+Sens!$K$2854</f>
        <v>1296.06215690385</v>
      </c>
      <c r="L2855" s="38" t="n">
        <f aca="false">Sens!$L$2782+Sens!$L$2854</f>
        <v>1395.17379585473</v>
      </c>
      <c r="M2855" s="38" t="n">
        <f aca="false">Sens!$M$2782+Sens!$M$2854</f>
        <v>1487.60414389864</v>
      </c>
      <c r="N2855" s="38" t="n">
        <f aca="false">Q!$N$8</f>
        <v>323.369</v>
      </c>
      <c r="O2855" s="38" t="n">
        <f aca="false">Q!$O$8</f>
        <v>393.555</v>
      </c>
    </row>
    <row r="2856" customFormat="false" ht="17.15" hidden="false" customHeight="false" outlineLevel="0" collapsed="false">
      <c r="A2856" s="24" t="s">
        <v>714</v>
      </c>
      <c r="B2856" s="25" t="s">
        <v>86</v>
      </c>
      <c r="C2856" s="41" t="n">
        <f aca="false">Sens!$C$2782-(Sens!$C$2784+Sens!$C$2785)</f>
        <v>0</v>
      </c>
      <c r="D2856" s="41" t="n">
        <f aca="false">Sens!$D$2782-(Sens!$D$2784+Sens!$D$2785)</f>
        <v>0</v>
      </c>
      <c r="E2856" s="41" t="n">
        <f aca="false">Sens!$E$2782-(Sens!$E$2784+Sens!$E$2785)</f>
        <v>0</v>
      </c>
      <c r="F2856" s="41" t="n">
        <f aca="false">Sens!$F$2782-(Sens!$F$2784+Sens!$F$2785)</f>
        <v>0</v>
      </c>
      <c r="G2856" s="41" t="n">
        <f aca="false">Sens!$G$2782-(Sens!$G$2784+Sens!$G$2785)</f>
        <v>0</v>
      </c>
      <c r="H2856" s="41" t="n">
        <f aca="false">Sens!$H$2782-(Sens!$H$2784+Sens!$H$2785)</f>
        <v>0</v>
      </c>
      <c r="I2856" s="41" t="n">
        <f aca="false">Sens!$I$2782-(Sens!$I$2784+Sens!$I$2785)</f>
        <v>0</v>
      </c>
      <c r="J2856" s="41" t="n">
        <f aca="false">Sens!$J$2782-(Sens!$J$2784+Sens!$J$2785)</f>
        <v>0</v>
      </c>
      <c r="K2856" s="41" t="n">
        <f aca="false">Sens!$K$2782-(Sens!$K$2784+Sens!$K$2785)</f>
        <v>0</v>
      </c>
      <c r="L2856" s="41" t="n">
        <f aca="false">Sens!$L$2782-(Sens!$L$2784+Sens!$L$2785)</f>
        <v>0</v>
      </c>
      <c r="M2856" s="41" t="n">
        <f aca="false">Sens!$M$2782-(Sens!$M$2784+Sens!$M$2785)</f>
        <v>0</v>
      </c>
      <c r="N2856" s="41" t="n">
        <f aca="false">Sens!$N$2782-(Sens!$N$2784+Sens!$N$2785)</f>
        <v>0</v>
      </c>
      <c r="O2856" s="41" t="n">
        <f aca="false">Sens!$O$2782-(Sens!$O$2784+Sens!$O$2785)</f>
        <v>0</v>
      </c>
    </row>
    <row r="2857" customFormat="false" ht="17.15" hidden="false" customHeight="false" outlineLevel="0" collapsed="false">
      <c r="A2857" s="24" t="s">
        <v>715</v>
      </c>
      <c r="B2857" s="25" t="s">
        <v>86</v>
      </c>
      <c r="C2857" s="41" t="n">
        <f aca="false">Sens!$C$2852+Sens!$C$2853-Sens!$C$2854</f>
        <v>0</v>
      </c>
      <c r="D2857" s="41" t="n">
        <f aca="false">Sens!$D$2852+Sens!$D$2853-Sens!$D$2854</f>
        <v>0</v>
      </c>
      <c r="E2857" s="41" t="n">
        <f aca="false">Sens!$E$2852+Sens!$E$2853-Sens!$E$2854</f>
        <v>0</v>
      </c>
      <c r="F2857" s="41" t="n">
        <f aca="false">Sens!$F$2852+Sens!$F$2853-Sens!$F$2854</f>
        <v>0</v>
      </c>
      <c r="G2857" s="41" t="n">
        <f aca="false">Sens!$G$2852+Sens!$G$2853-Sens!$G$2854</f>
        <v>0</v>
      </c>
      <c r="H2857" s="41" t="n">
        <f aca="false">Sens!$H$2852+Sens!$H$2853-Sens!$H$2854</f>
        <v>0</v>
      </c>
      <c r="I2857" s="41" t="n">
        <f aca="false">Sens!$I$2852+Sens!$I$2853-Sens!$I$2854</f>
        <v>0</v>
      </c>
      <c r="J2857" s="41" t="n">
        <f aca="false">Sens!$J$2852+Sens!$J$2853-Sens!$J$2854</f>
        <v>0</v>
      </c>
      <c r="K2857" s="41" t="n">
        <f aca="false">Sens!$K$2852+Sens!$K$2853-Sens!$K$2854</f>
        <v>0</v>
      </c>
      <c r="L2857" s="41" t="n">
        <f aca="false">Sens!$L$2852+Sens!$L$2853-Sens!$L$2854</f>
        <v>0</v>
      </c>
      <c r="M2857" s="41" t="n">
        <f aca="false">Sens!$M$2852+Sens!$M$2853-Sens!$M$2854</f>
        <v>0</v>
      </c>
      <c r="N2857" s="41" t="n">
        <f aca="false">Sens!$N$2852+Sens!$N$2853-Sens!$N$2854</f>
        <v>0</v>
      </c>
      <c r="O2857" s="41" t="n">
        <f aca="false">Sens!$O$2852+Sens!$O$2853-Sens!$O$2854</f>
        <v>0</v>
      </c>
    </row>
    <row r="2858" customFormat="false" ht="17.15" hidden="false" customHeight="false" outlineLevel="0" collapsed="false">
      <c r="A2858" s="24" t="s">
        <v>716</v>
      </c>
      <c r="B2858" s="25" t="s">
        <v>86</v>
      </c>
      <c r="C2858" s="41" t="n">
        <f aca="false">Sens!$C$2784+Sens!$C$2785+Sens!$C$2854-Sens!$C$2855</f>
        <v>0</v>
      </c>
      <c r="D2858" s="41" t="n">
        <f aca="false">Sens!$D$2784+Sens!$D$2785+Sens!$D$2854-Sens!$D$2855</f>
        <v>0</v>
      </c>
      <c r="E2858" s="41" t="n">
        <f aca="false">Sens!$E$2784+Sens!$E$2785+Sens!$E$2854-Sens!$E$2855</f>
        <v>0</v>
      </c>
      <c r="F2858" s="41" t="n">
        <f aca="false">Sens!$F$2784+Sens!$F$2785+Sens!$F$2854-Sens!$F$2855</f>
        <v>0</v>
      </c>
      <c r="G2858" s="41" t="n">
        <f aca="false">Sens!$G$2784+Sens!$G$2785+Sens!$G$2854-Sens!$G$2855</f>
        <v>0</v>
      </c>
      <c r="H2858" s="41" t="n">
        <f aca="false">Sens!$H$2784+Sens!$H$2785+Sens!$H$2854-Sens!$H$2855</f>
        <v>0</v>
      </c>
      <c r="I2858" s="41" t="n">
        <f aca="false">Sens!$I$2784+Sens!$I$2785+Sens!$I$2854-Sens!$I$2855</f>
        <v>0</v>
      </c>
      <c r="J2858" s="41" t="n">
        <f aca="false">Sens!$J$2784+Sens!$J$2785+Sens!$J$2854-Sens!$J$2855</f>
        <v>0</v>
      </c>
      <c r="K2858" s="41" t="n">
        <f aca="false">Sens!$K$2784+Sens!$K$2785+Sens!$K$2854-Sens!$K$2855</f>
        <v>0</v>
      </c>
      <c r="L2858" s="41" t="n">
        <f aca="false">Sens!$L$2784+Sens!$L$2785+Sens!$L$2854-Sens!$L$2855</f>
        <v>0</v>
      </c>
      <c r="M2858" s="41" t="n">
        <f aca="false">Sens!$M$2784+Sens!$M$2785+Sens!$M$2854-Sens!$M$2855</f>
        <v>0</v>
      </c>
      <c r="N2858" s="41" t="n">
        <f aca="false">Sens!$N$2784+Sens!$N$2785+Sens!$N$2854-Sens!$N$2855</f>
        <v>0</v>
      </c>
      <c r="O2858" s="41" t="n">
        <f aca="false">Sens!$O$2784+Sens!$O$2785+Sens!$O$2854-Sens!$O$2855</f>
        <v>0</v>
      </c>
    </row>
    <row r="2859" customFormat="false" ht="15" hidden="false" customHeight="false" outlineLevel="0" collapsed="false">
      <c r="A2859" s="5" t="s">
        <v>710</v>
      </c>
      <c r="B2859" s="0" t="s">
        <v>52</v>
      </c>
      <c r="G2859" s="13" t="n">
        <f aca="false">Sens!$G$2855/Sens!$D$2855-1</f>
        <v>0.140854504918937</v>
      </c>
      <c r="H2859" s="13" t="n">
        <f aca="false">Sens!$H$2855/Sens!$G$2855-1</f>
        <v>0.152063789793209</v>
      </c>
      <c r="I2859" s="13" t="n">
        <f aca="false">Sens!$I$2855/Sens!$H$2855-1</f>
        <v>0.134273264437417</v>
      </c>
      <c r="J2859" s="13" t="n">
        <f aca="false">Sens!$J$2855/Sens!$I$2855-1</f>
        <v>0.113310421234083</v>
      </c>
      <c r="K2859" s="13" t="n">
        <f aca="false">Sens!$K$2855/Sens!$J$2855-1</f>
        <v>0.0892108343223652</v>
      </c>
      <c r="L2859" s="13" t="n">
        <f aca="false">Sens!$L$2855/Sens!$K$2855-1</f>
        <v>0.076471362444261</v>
      </c>
      <c r="M2859" s="13" t="n">
        <f aca="false">Sens!$M$2855/Sens!$L$2855-1</f>
        <v>0.066250060256672</v>
      </c>
    </row>
    <row r="2860" customFormat="false" ht="17.15" hidden="false" customHeight="false" outlineLevel="0" collapsed="false">
      <c r="A2860" s="0" t="s">
        <v>711</v>
      </c>
      <c r="B2860" s="0" t="s">
        <v>52</v>
      </c>
      <c r="C2860" s="13" t="n">
        <f aca="false">Sens!$C$2854/Sens!$C$2855</f>
        <v>0.168593906504964</v>
      </c>
      <c r="D2860" s="13" t="n">
        <f aca="false">Sens!$D$2854/Sens!$D$2855</f>
        <v>0.179551807444025</v>
      </c>
      <c r="E2860" s="13" t="n">
        <f aca="false">Sens!$E$2854/Sens!$E$2855</f>
        <v>0.208881910369643</v>
      </c>
      <c r="F2860" s="13" t="n">
        <f aca="false">Sens!$F$2854/Sens!$F$2855</f>
        <v>0.199028269699356</v>
      </c>
      <c r="G2860" s="13" t="n">
        <f aca="false">Sens!$G$2854/Sens!$G$2855</f>
        <v>0.203631882529968</v>
      </c>
      <c r="H2860" s="13" t="n">
        <f aca="false">Sens!$H$2854/Sens!$H$2855</f>
        <v>0.234731715958496</v>
      </c>
      <c r="I2860" s="13" t="n">
        <f aca="false">Sens!$I$2854/Sens!$I$2855</f>
        <v>0.262231204480418</v>
      </c>
      <c r="J2860" s="13" t="n">
        <f aca="false">Sens!$J$2854/Sens!$J$2855</f>
        <v>0.284728366013706</v>
      </c>
      <c r="K2860" s="13" t="n">
        <f aca="false">Sens!$K$2854/Sens!$K$2855</f>
        <v>0.300823304959505</v>
      </c>
      <c r="L2860" s="13" t="n">
        <f aca="false">Sens!$L$2854/Sens!$L$2855</f>
        <v>0.308263164529735</v>
      </c>
      <c r="M2860" s="13" t="n">
        <f aca="false">Sens!$M$2854/Sens!$M$2855</f>
        <v>0.308856517936036</v>
      </c>
      <c r="N2860" s="13" t="n">
        <f aca="false">Sens!$N$2854/Sens!$N$2855</f>
        <v>0.185979484737251</v>
      </c>
      <c r="O2860" s="13" t="n">
        <f aca="false">Sens!$O$2854/Sens!$O$2855</f>
        <v>0.174270432341096</v>
      </c>
    </row>
    <row r="2861" customFormat="false" ht="17.15" hidden="false" customHeight="false" outlineLevel="0" collapsed="false">
      <c r="A2861" s="0" t="s">
        <v>712</v>
      </c>
      <c r="B2861" s="0" t="s">
        <v>52</v>
      </c>
      <c r="C2861" s="13" t="n">
        <f aca="false">Sens!$C$2852/Sens!$C$2854</f>
        <v>0.0215795060896058</v>
      </c>
      <c r="D2861" s="13" t="n">
        <f aca="false">Sens!$D$2852/Sens!$D$2854</f>
        <v>0.0676152269462122</v>
      </c>
      <c r="E2861" s="13" t="n">
        <f aca="false">Sens!$E$2852/Sens!$E$2854</f>
        <v>0.106620641395783</v>
      </c>
      <c r="F2861" s="13" t="n">
        <f aca="false">Sens!$F$2852/Sens!$F$2854</f>
        <v>0.172523487401099</v>
      </c>
      <c r="G2861" s="13" t="n">
        <f aca="false">Sens!$G$2852/Sens!$G$2854</f>
        <v>0.140939911795589</v>
      </c>
      <c r="H2861" s="13" t="n">
        <f aca="false">Sens!$H$2852/Sens!$H$2854</f>
        <v>0.272018642937714</v>
      </c>
      <c r="I2861" s="13" t="n">
        <f aca="false">Sens!$I$2852/Sens!$I$2854</f>
        <v>0.362159512436497</v>
      </c>
      <c r="J2861" s="13" t="n">
        <f aca="false">Sens!$J$2852/Sens!$J$2854</f>
        <v>0.422151735934609</v>
      </c>
      <c r="K2861" s="13" t="n">
        <f aca="false">Sens!$K$2852/Sens!$K$2854</f>
        <v>0.45769342068485</v>
      </c>
      <c r="L2861" s="13" t="n">
        <f aca="false">Sens!$L$2852/Sens!$L$2854</f>
        <v>0.469047103913472</v>
      </c>
      <c r="M2861" s="13" t="n">
        <f aca="false">Sens!$M$2852/Sens!$M$2854</f>
        <v>0.463233328258093</v>
      </c>
      <c r="N2861" s="13" t="n">
        <f aca="false">Sens!$N$2852/Sens!$N$2854</f>
        <v>0.0506537999838362</v>
      </c>
      <c r="O2861" s="13" t="n">
        <f aca="false">Sens!$O$2852/Sens!$O$2854</f>
        <v>0.0824881615167056</v>
      </c>
    </row>
    <row r="2864" customFormat="false" ht="19.4" hidden="false" customHeight="false" outlineLevel="0" collapsed="false">
      <c r="A2864" s="31" t="s">
        <v>1209</v>
      </c>
    </row>
    <row r="2865" customFormat="false" ht="17.15" hidden="false" customHeight="false" outlineLevel="0" collapsed="false">
      <c r="A2865" s="6" t="s">
        <v>16</v>
      </c>
      <c r="B2865" s="6" t="s">
        <v>17</v>
      </c>
      <c r="C2865" s="20" t="s">
        <v>504</v>
      </c>
      <c r="D2865" s="20" t="s">
        <v>505</v>
      </c>
      <c r="E2865" s="20" t="s">
        <v>587</v>
      </c>
      <c r="F2865" s="20" t="s">
        <v>588</v>
      </c>
      <c r="G2865" s="20" t="s">
        <v>589</v>
      </c>
      <c r="H2865" s="20" t="s">
        <v>590</v>
      </c>
      <c r="I2865" s="20" t="s">
        <v>591</v>
      </c>
      <c r="J2865" s="20" t="s">
        <v>592</v>
      </c>
      <c r="K2865" s="20" t="s">
        <v>593</v>
      </c>
      <c r="L2865" s="20" t="s">
        <v>594</v>
      </c>
      <c r="M2865" s="20" t="s">
        <v>595</v>
      </c>
      <c r="N2865" s="20" t="s">
        <v>596</v>
      </c>
      <c r="O2865" s="20" t="s">
        <v>597</v>
      </c>
      <c r="P2865" s="6" t="s">
        <v>23</v>
      </c>
      <c r="R2865" s="20" t="n">
        <v>2023</v>
      </c>
      <c r="S2865" s="20" t="n">
        <v>2024</v>
      </c>
      <c r="T2865" s="20" t="n">
        <v>2025</v>
      </c>
      <c r="U2865" s="20" t="n">
        <v>2026</v>
      </c>
      <c r="V2865" s="20" t="n">
        <v>2027</v>
      </c>
      <c r="W2865" s="20" t="n">
        <v>2028</v>
      </c>
      <c r="X2865" s="20" t="n">
        <v>2029</v>
      </c>
      <c r="Y2865" s="20" t="n">
        <v>2030</v>
      </c>
      <c r="Z2865" s="20" t="n">
        <v>2031</v>
      </c>
      <c r="AA2865" s="20" t="n">
        <v>2032</v>
      </c>
    </row>
    <row r="2866" customFormat="false" ht="17.15" hidden="false" customHeight="false" outlineLevel="0" collapsed="false">
      <c r="A2866" s="1" t="s">
        <v>727</v>
      </c>
    </row>
    <row r="2867" customFormat="false" ht="15" hidden="false" customHeight="false" outlineLevel="0" collapsed="false">
      <c r="A2867" s="0" t="s">
        <v>526</v>
      </c>
      <c r="B2867" s="0" t="s">
        <v>86</v>
      </c>
      <c r="C2867" s="38" t="n">
        <f aca="false">Sens!$C$2769</f>
        <v>247.029</v>
      </c>
      <c r="D2867" s="38" t="n">
        <f aca="false">Sens!$D$2769</f>
        <v>269.287</v>
      </c>
      <c r="E2867" s="38" t="n">
        <f aca="false">Sens!$E$2769</f>
        <v>134.686</v>
      </c>
      <c r="F2867" s="38" t="n">
        <f aca="false">Sens!$F$2769</f>
        <v>158.293876822267</v>
      </c>
      <c r="G2867" s="38" t="n">
        <f aca="false">Sens!$G$2769</f>
        <v>292.979876822267</v>
      </c>
      <c r="H2867" s="38" t="n">
        <f aca="false">Sens!$H$2769</f>
        <v>318.184543087396</v>
      </c>
      <c r="I2867" s="38" t="n">
        <f aca="false">Sens!$I$2769</f>
        <v>341.736278761793</v>
      </c>
      <c r="J2867" s="38" t="n">
        <f aca="false">Sens!$J$2769</f>
        <v>362.927192787048</v>
      </c>
      <c r="K2867" s="38" t="n">
        <f aca="false">Sens!$K$2769</f>
        <v>381.0735524264</v>
      </c>
      <c r="L2867" s="38" t="n">
        <f aca="false">Sens!$L$2769</f>
        <v>400.12723004772</v>
      </c>
      <c r="M2867" s="38" t="n">
        <f aca="false">Sens!$M$2769</f>
        <v>420.133591550106</v>
      </c>
      <c r="N2867" s="38" t="n">
        <f aca="false">Sens!$N$2769</f>
        <v>118.892</v>
      </c>
      <c r="O2867" s="38" t="n">
        <f aca="false">Sens!$O$2769</f>
        <v>150.395</v>
      </c>
    </row>
    <row r="2868" customFormat="false" ht="15" hidden="false" customHeight="false" outlineLevel="0" collapsed="false">
      <c r="A2868" s="0" t="s">
        <v>527</v>
      </c>
      <c r="B2868" s="0" t="s">
        <v>86</v>
      </c>
      <c r="C2868" s="38" t="n">
        <f aca="false">Sens!$C$2771</f>
        <v>21.215</v>
      </c>
      <c r="D2868" s="38" t="n">
        <f aca="false">Sens!$D$2771</f>
        <v>22.561</v>
      </c>
      <c r="E2868" s="38" t="n">
        <f aca="false">Sens!$E$2771</f>
        <v>11.579</v>
      </c>
      <c r="F2868" s="38" t="n">
        <f aca="false">Sens!$F$2771</f>
        <v>11.5938724610325</v>
      </c>
      <c r="G2868" s="38" t="n">
        <f aca="false">Sens!$G$2771</f>
        <v>23.1728724610325</v>
      </c>
      <c r="H2868" s="38" t="n">
        <f aca="false">Sens!$H$2771</f>
        <v>24.353392759506</v>
      </c>
      <c r="I2868" s="38" t="n">
        <f aca="false">Sens!$I$2771</f>
        <v>25.4240338872015</v>
      </c>
      <c r="J2868" s="38" t="n">
        <f aca="false">Sens!$J$2771</f>
        <v>26.3642491017174</v>
      </c>
      <c r="K2868" s="38" t="n">
        <f aca="false">Sens!$K$2771</f>
        <v>27.155176574769</v>
      </c>
      <c r="L2868" s="38" t="n">
        <f aca="false">Sens!$L$2771</f>
        <v>27.969831872012</v>
      </c>
      <c r="M2868" s="38" t="n">
        <f aca="false">Sens!$M$2771</f>
        <v>28.8089268281724</v>
      </c>
      <c r="N2868" s="38" t="n">
        <f aca="false">Sens!$N$2771</f>
        <v>11.128</v>
      </c>
      <c r="O2868" s="38" t="n">
        <f aca="false">Sens!$O$2771</f>
        <v>11.433</v>
      </c>
    </row>
    <row r="2869" customFormat="false" ht="15" hidden="false" customHeight="false" outlineLevel="0" collapsed="false">
      <c r="A2869" s="0" t="s">
        <v>528</v>
      </c>
      <c r="B2869" s="0" t="s">
        <v>86</v>
      </c>
      <c r="C2869" s="38" t="n">
        <f aca="false">Sens!$C$2773</f>
        <v>156.146</v>
      </c>
      <c r="D2869" s="38" t="n">
        <f aca="false">Sens!$D$2773</f>
        <v>172.162</v>
      </c>
      <c r="E2869" s="38" t="n">
        <f aca="false">Sens!$E$2773</f>
        <v>88.358</v>
      </c>
      <c r="F2869" s="38" t="n">
        <f aca="false">Sens!$F$2773</f>
        <v>102.004388260171</v>
      </c>
      <c r="G2869" s="38" t="n">
        <f aca="false">Sens!$G$2773</f>
        <v>190.362388260171</v>
      </c>
      <c r="H2869" s="38" t="n">
        <f aca="false">Sens!$H$2773</f>
        <v>210.343106588311</v>
      </c>
      <c r="I2869" s="38" t="n">
        <f aca="false">Sens!$I$2773</f>
        <v>229.969728494648</v>
      </c>
      <c r="J2869" s="38" t="n">
        <f aca="false">Sens!$J$2773</f>
        <v>248.747636972598</v>
      </c>
      <c r="K2869" s="38" t="n">
        <f aca="false">Sens!$K$2773</f>
        <v>266.15997156068</v>
      </c>
      <c r="L2869" s="38" t="n">
        <f aca="false">Sens!$L$2773</f>
        <v>284.791169569927</v>
      </c>
      <c r="M2869" s="38" t="n">
        <f aca="false">Sens!$M$2773</f>
        <v>304.726551439822</v>
      </c>
      <c r="N2869" s="38" t="n">
        <f aca="false">Sens!$N$2773</f>
        <v>76.86</v>
      </c>
      <c r="O2869" s="38" t="n">
        <f aca="false">Sens!$O$2773</f>
        <v>95.302</v>
      </c>
    </row>
    <row r="2870" customFormat="false" ht="15" hidden="false" customHeight="false" outlineLevel="0" collapsed="false">
      <c r="A2870" s="0" t="s">
        <v>529</v>
      </c>
      <c r="B2870" s="0" t="s">
        <v>86</v>
      </c>
      <c r="C2870" s="38" t="n">
        <f aca="false">Sens!$C$2775</f>
        <v>56.214</v>
      </c>
      <c r="D2870" s="38" t="n">
        <f aca="false">Sens!$D$2775</f>
        <v>68.635</v>
      </c>
      <c r="E2870" s="38" t="n">
        <f aca="false">Sens!$E$2775</f>
        <v>37.052</v>
      </c>
      <c r="F2870" s="38" t="n">
        <f aca="false">Sens!$F$2775</f>
        <v>46.1572219944148</v>
      </c>
      <c r="G2870" s="38" t="n">
        <f aca="false">Sens!$G$2775</f>
        <v>83.2092219944148</v>
      </c>
      <c r="H2870" s="38" t="n">
        <f aca="false">Sens!$H$2775</f>
        <v>99.8969223878976</v>
      </c>
      <c r="I2870" s="38" t="n">
        <f aca="false">Sens!$I$2775</f>
        <v>116.583111095496</v>
      </c>
      <c r="J2870" s="38" t="n">
        <f aca="false">Sens!$J$2775</f>
        <v>132.148941941952</v>
      </c>
      <c r="K2870" s="38" t="n">
        <f aca="false">Sens!$K$2775</f>
        <v>145.363836136147</v>
      </c>
      <c r="L2870" s="38" t="n">
        <f aca="false">Sens!$L$2775</f>
        <v>159.900219749762</v>
      </c>
      <c r="M2870" s="38" t="n">
        <f aca="false">Sens!$M$2775</f>
        <v>175.890241724738</v>
      </c>
      <c r="N2870" s="38" t="n">
        <f aca="false">Sens!$N$2775</f>
        <v>29.615</v>
      </c>
      <c r="O2870" s="38" t="n">
        <f aca="false">Sens!$O$2775</f>
        <v>39.02</v>
      </c>
    </row>
    <row r="2871" customFormat="false" ht="15" hidden="false" customHeight="false" outlineLevel="0" collapsed="false">
      <c r="A2871" s="0" t="s">
        <v>530</v>
      </c>
      <c r="B2871" s="0" t="s">
        <v>86</v>
      </c>
      <c r="C2871" s="38" t="n">
        <f aca="false">Sens!$C$2777</f>
        <v>44.374</v>
      </c>
      <c r="D2871" s="38" t="n">
        <f aca="false">Sens!$D$2777</f>
        <v>49.619</v>
      </c>
      <c r="E2871" s="38" t="n">
        <f aca="false">Sens!$E$2777</f>
        <v>27.157</v>
      </c>
      <c r="F2871" s="38" t="n">
        <f aca="false">Sens!$F$2777</f>
        <v>27.7764165988154</v>
      </c>
      <c r="G2871" s="38" t="n">
        <f aca="false">Sens!$G$2777</f>
        <v>54.9334165988154</v>
      </c>
      <c r="H2871" s="38" t="n">
        <f aca="false">Sens!$H$2777</f>
        <v>61.1564112561829</v>
      </c>
      <c r="I2871" s="38" t="n">
        <f aca="false">Sens!$I$2777</f>
        <v>67.2020282103945</v>
      </c>
      <c r="J2871" s="38" t="n">
        <f aca="false">Sens!$J$2777</f>
        <v>72.8757274028885</v>
      </c>
      <c r="K2871" s="38" t="n">
        <f aca="false">Sens!$K$2777</f>
        <v>77.9770283210907</v>
      </c>
      <c r="L2871" s="38" t="n">
        <f aca="false">Sens!$L$2777</f>
        <v>83.4354203035671</v>
      </c>
      <c r="M2871" s="38" t="n">
        <f aca="false">Sens!$M$2777</f>
        <v>89.2758997248168</v>
      </c>
      <c r="N2871" s="38" t="n">
        <f aca="false">Sens!$N$2777</f>
        <v>23.923</v>
      </c>
      <c r="O2871" s="38" t="n">
        <f aca="false">Sens!$O$2777</f>
        <v>25.696</v>
      </c>
    </row>
    <row r="2872" customFormat="false" ht="15" hidden="false" customHeight="false" outlineLevel="0" collapsed="false">
      <c r="A2872" s="0" t="s">
        <v>531</v>
      </c>
      <c r="B2872" s="0" t="s">
        <v>86</v>
      </c>
      <c r="C2872" s="38" t="n">
        <f aca="false">Sens!$C$2779</f>
        <v>5.425</v>
      </c>
      <c r="D2872" s="38" t="n">
        <f aca="false">Sens!$D$2779</f>
        <v>5.935</v>
      </c>
      <c r="E2872" s="38" t="n">
        <f aca="false">Sens!$E$2779</f>
        <v>3.474</v>
      </c>
      <c r="F2872" s="38" t="n">
        <f aca="false">Sens!$F$2779</f>
        <v>3.22246550883619</v>
      </c>
      <c r="G2872" s="38" t="n">
        <f aca="false">Sens!$G$2779</f>
        <v>6.69646550883619</v>
      </c>
      <c r="H2872" s="38" t="n">
        <f aca="false">Sens!$H$2779</f>
        <v>7.16251344209196</v>
      </c>
      <c r="I2872" s="38" t="n">
        <f aca="false">Sens!$I$2779</f>
        <v>7.61421070299826</v>
      </c>
      <c r="J2872" s="38" t="n">
        <f aca="false">Sens!$J$2779</f>
        <v>8.04465753523932</v>
      </c>
      <c r="K2872" s="38" t="n">
        <f aca="false">Sens!$K$2779</f>
        <v>8.44689041200128</v>
      </c>
      <c r="L2872" s="38" t="n">
        <f aca="false">Sens!$L$2779</f>
        <v>8.86923493260135</v>
      </c>
      <c r="M2872" s="38" t="n">
        <f aca="false">Sens!$M$2779</f>
        <v>9.31269667923142</v>
      </c>
      <c r="N2872" s="38" t="n">
        <f aca="false">Sens!$N$2779</f>
        <v>2.811</v>
      </c>
      <c r="O2872" s="38" t="n">
        <f aca="false">Sens!$O$2779</f>
        <v>3.124</v>
      </c>
    </row>
    <row r="2873" customFormat="false" ht="17.15" hidden="false" customHeight="false" outlineLevel="0" collapsed="false">
      <c r="A2873" s="0" t="s">
        <v>728</v>
      </c>
      <c r="B2873" s="0" t="s">
        <v>86</v>
      </c>
      <c r="C2873" s="38" t="n">
        <f aca="false">Sens!$C$2854</f>
        <v>107.556</v>
      </c>
      <c r="D2873" s="38" t="n">
        <f aca="false">Sens!$D$2854</f>
        <v>128.725</v>
      </c>
      <c r="E2873" s="38" t="n">
        <f aca="false">Sens!$E$2854</f>
        <v>79.819</v>
      </c>
      <c r="F2873" s="38" t="n">
        <f aca="false">Sens!$F$2854</f>
        <v>86.7327334389669</v>
      </c>
      <c r="G2873" s="38" t="n">
        <f aca="false">Sens!$G$2854</f>
        <v>166.551733438967</v>
      </c>
      <c r="H2873" s="38" t="n">
        <f aca="false">Sens!$H$2854</f>
        <v>221.182967828978</v>
      </c>
      <c r="I2873" s="38" t="n">
        <f aca="false">Sens!$I$2854</f>
        <v>280.27345865789</v>
      </c>
      <c r="J2873" s="38" t="n">
        <f aca="false">Sens!$J$2854</f>
        <v>338.800945197185</v>
      </c>
      <c r="K2873" s="38" t="n">
        <f aca="false">Sens!$K$2854</f>
        <v>389.88570147276</v>
      </c>
      <c r="L2873" s="38" t="n">
        <f aca="false">Sens!$L$2854</f>
        <v>430.080689379143</v>
      </c>
      <c r="M2873" s="38" t="n">
        <f aca="false">Sens!$M$2854</f>
        <v>459.456235951751</v>
      </c>
      <c r="N2873" s="38" t="n">
        <f aca="false">Sens!$N$2854</f>
        <v>60.14</v>
      </c>
      <c r="O2873" s="38" t="n">
        <f aca="false">Sens!$O$2854</f>
        <v>68.585</v>
      </c>
    </row>
    <row r="2874" customFormat="false" ht="15" hidden="false" customHeight="false" outlineLevel="0" collapsed="false">
      <c r="A2874" s="1" t="s">
        <v>519</v>
      </c>
      <c r="B2874" s="8" t="s">
        <v>86</v>
      </c>
      <c r="C2874" s="38" t="n">
        <f aca="false">Sens!$C$2784</f>
        <v>387.497</v>
      </c>
      <c r="D2874" s="38" t="n">
        <f aca="false">Sens!$D$2784</f>
        <v>426.305</v>
      </c>
      <c r="E2874" s="38" t="n">
        <f aca="false">Sens!$E$2784</f>
        <v>220.32</v>
      </c>
      <c r="F2874" s="38" t="n">
        <f aca="false">Sens!$F$2784</f>
        <v>250.639773480586</v>
      </c>
      <c r="G2874" s="38" t="n">
        <f aca="false">Sens!$G$2784</f>
        <v>470.959773480586</v>
      </c>
      <c r="H2874" s="38" t="n">
        <f aca="false">Sens!$H$2784</f>
        <v>521.386990416437</v>
      </c>
      <c r="I2874" s="38" t="n">
        <f aca="false">Sens!$I$2784</f>
        <v>570.143862887555</v>
      </c>
      <c r="J2874" s="38" t="n">
        <f aca="false">Sens!$J$2784</f>
        <v>615.391435791933</v>
      </c>
      <c r="K2874" s="38" t="n">
        <f aca="false">Sens!$K$2784</f>
        <v>655.208227561543</v>
      </c>
      <c r="L2874" s="38" t="n">
        <f aca="false">Sens!$L$2784</f>
        <v>697.807739249767</v>
      </c>
      <c r="M2874" s="38" t="n">
        <f aca="false">Sens!$M$2784</f>
        <v>743.399328463592</v>
      </c>
      <c r="N2874" s="38" t="n">
        <f aca="false">Sens!$N$2784</f>
        <v>192.955</v>
      </c>
      <c r="O2874" s="38" t="n">
        <f aca="false">Sens!$O$2784</f>
        <v>233.35</v>
      </c>
    </row>
    <row r="2875" customFormat="false" ht="15" hidden="false" customHeight="false" outlineLevel="0" collapsed="false">
      <c r="A2875" s="1" t="s">
        <v>522</v>
      </c>
      <c r="B2875" s="8" t="s">
        <v>86</v>
      </c>
      <c r="C2875" s="38" t="n">
        <f aca="false">Sens!$C$2785</f>
        <v>142.906</v>
      </c>
      <c r="D2875" s="38" t="n">
        <f aca="false">Sens!$D$2785</f>
        <v>161.894</v>
      </c>
      <c r="E2875" s="38" t="n">
        <f aca="false">Sens!$E$2785</f>
        <v>81.986</v>
      </c>
      <c r="F2875" s="38" t="n">
        <f aca="false">Sens!$F$2785</f>
        <v>98.408468164951</v>
      </c>
      <c r="G2875" s="38" t="n">
        <f aca="false">Sens!$G$2785</f>
        <v>180.394468164951</v>
      </c>
      <c r="H2875" s="38" t="n">
        <f aca="false">Sens!$H$2785</f>
        <v>199.709899104949</v>
      </c>
      <c r="I2875" s="38" t="n">
        <f aca="false">Sens!$I$2785</f>
        <v>218.385528264976</v>
      </c>
      <c r="J2875" s="38" t="n">
        <f aca="false">Sens!$J$2785</f>
        <v>235.71696994951</v>
      </c>
      <c r="K2875" s="38" t="n">
        <f aca="false">Sens!$K$2785</f>
        <v>250.968227869545</v>
      </c>
      <c r="L2875" s="38" t="n">
        <f aca="false">Sens!$L$2785</f>
        <v>267.285367225822</v>
      </c>
      <c r="M2875" s="38" t="n">
        <f aca="false">Sens!$M$2785</f>
        <v>284.748579483295</v>
      </c>
      <c r="N2875" s="38" t="n">
        <f aca="false">Sens!$N$2785</f>
        <v>70.274</v>
      </c>
      <c r="O2875" s="38" t="n">
        <f aca="false">Sens!$O$2785</f>
        <v>91.62</v>
      </c>
    </row>
    <row r="2876" customFormat="false" ht="15" hidden="false" customHeight="false" outlineLevel="0" collapsed="false">
      <c r="A2876" s="1" t="s">
        <v>523</v>
      </c>
      <c r="B2876" s="8" t="s">
        <v>86</v>
      </c>
      <c r="C2876" s="38" t="n">
        <f aca="false">Sens!$C$2854</f>
        <v>107.556</v>
      </c>
      <c r="D2876" s="38" t="n">
        <f aca="false">Sens!$D$2854</f>
        <v>128.725</v>
      </c>
      <c r="E2876" s="38" t="n">
        <f aca="false">Sens!$E$2854</f>
        <v>79.819</v>
      </c>
      <c r="F2876" s="38" t="n">
        <f aca="false">Sens!$F$2854</f>
        <v>86.7327334389669</v>
      </c>
      <c r="G2876" s="38" t="n">
        <f aca="false">Sens!$G$2854</f>
        <v>166.551733438967</v>
      </c>
      <c r="H2876" s="38" t="n">
        <f aca="false">Sens!$H$2854</f>
        <v>221.182967828978</v>
      </c>
      <c r="I2876" s="38" t="n">
        <f aca="false">Sens!$I$2854</f>
        <v>280.27345865789</v>
      </c>
      <c r="J2876" s="38" t="n">
        <f aca="false">Sens!$J$2854</f>
        <v>338.800945197185</v>
      </c>
      <c r="K2876" s="38" t="n">
        <f aca="false">Sens!$K$2854</f>
        <v>389.88570147276</v>
      </c>
      <c r="L2876" s="38" t="n">
        <f aca="false">Sens!$L$2854</f>
        <v>430.080689379143</v>
      </c>
      <c r="M2876" s="38" t="n">
        <f aca="false">Sens!$M$2854</f>
        <v>459.456235951751</v>
      </c>
      <c r="N2876" s="38" t="n">
        <f aca="false">Sens!$N$2854</f>
        <v>60.14</v>
      </c>
      <c r="O2876" s="38" t="n">
        <f aca="false">Sens!$O$2854</f>
        <v>68.585</v>
      </c>
    </row>
    <row r="2877" customFormat="false" ht="17.15" hidden="false" customHeight="false" outlineLevel="0" collapsed="false">
      <c r="A2877" s="0" t="s">
        <v>702</v>
      </c>
      <c r="B2877" s="0" t="s">
        <v>86</v>
      </c>
      <c r="C2877" s="38" t="n">
        <f aca="false">Sens!$C$2852</f>
        <v>2.32100535697364</v>
      </c>
      <c r="D2877" s="38" t="n">
        <f aca="false">Sens!$D$2852</f>
        <v>8.70377008865116</v>
      </c>
      <c r="E2877" s="38" t="n">
        <f aca="false">Sens!$E$2852</f>
        <v>8.51035297557002</v>
      </c>
      <c r="F2877" s="38" t="n">
        <f aca="false">Sens!$F$2852</f>
        <v>14.9634336447205</v>
      </c>
      <c r="G2877" s="38" t="n">
        <f aca="false">Sens!$G$2852</f>
        <v>23.4737866202905</v>
      </c>
      <c r="H2877" s="38" t="n">
        <f aca="false">Sens!$H$2852</f>
        <v>60.1658907497746</v>
      </c>
      <c r="I2877" s="38" t="n">
        <f aca="false">Sens!$I$2852</f>
        <v>101.503699136432</v>
      </c>
      <c r="J2877" s="38" t="n">
        <f aca="false">Sens!$J$2852</f>
        <v>143.025407151278</v>
      </c>
      <c r="K2877" s="38" t="n">
        <f aca="false">Sens!$K$2852</f>
        <v>178.44812038318</v>
      </c>
      <c r="L2877" s="38" t="n">
        <f aca="false">Sens!$L$2852</f>
        <v>201.728101802396</v>
      </c>
      <c r="M2877" s="38" t="n">
        <f aca="false">Sens!$M$2852</f>
        <v>212.835441368865</v>
      </c>
      <c r="N2877" s="38" t="n">
        <f aca="false">Sens!$N$2852</f>
        <v>3.04631953102791</v>
      </c>
      <c r="O2877" s="38" t="n">
        <f aca="false">Sens!$O$2852</f>
        <v>5.65745055762326</v>
      </c>
    </row>
    <row r="2878" customFormat="false" ht="17.15" hidden="false" customHeight="false" outlineLevel="0" collapsed="false">
      <c r="A2878" s="0" t="s">
        <v>704</v>
      </c>
      <c r="B2878" s="0" t="s">
        <v>86</v>
      </c>
      <c r="C2878" s="38" t="n">
        <f aca="false">Sens!$C$2853</f>
        <v>105.234994643026</v>
      </c>
      <c r="D2878" s="38" t="n">
        <f aca="false">Sens!$D$2853</f>
        <v>120.021229911349</v>
      </c>
      <c r="E2878" s="38" t="n">
        <f aca="false">Sens!$E$2853</f>
        <v>71.30864702443</v>
      </c>
      <c r="F2878" s="38" t="n">
        <f aca="false">Sens!$F$2853</f>
        <v>71.7692997942464</v>
      </c>
      <c r="G2878" s="38" t="n">
        <f aca="false">Sens!$G$2853</f>
        <v>143.077946818676</v>
      </c>
      <c r="H2878" s="38" t="n">
        <f aca="false">Sens!$H$2853</f>
        <v>161.017077079203</v>
      </c>
      <c r="I2878" s="38" t="n">
        <f aca="false">Sens!$I$2853</f>
        <v>178.769759521457</v>
      </c>
      <c r="J2878" s="38" t="n">
        <f aca="false">Sens!$J$2853</f>
        <v>195.775538045907</v>
      </c>
      <c r="K2878" s="38" t="n">
        <f aca="false">Sens!$K$2853</f>
        <v>211.43758108958</v>
      </c>
      <c r="L2878" s="38" t="n">
        <f aca="false">Sens!$L$2853</f>
        <v>228.352587576746</v>
      </c>
      <c r="M2878" s="38" t="n">
        <f aca="false">Sens!$M$2853</f>
        <v>246.620794582886</v>
      </c>
      <c r="N2878" s="38" t="n">
        <f aca="false">Sens!$N$2853</f>
        <v>57.0936804689721</v>
      </c>
      <c r="O2878" s="38" t="n">
        <f aca="false">Sens!$O$2853</f>
        <v>62.9275494423768</v>
      </c>
    </row>
    <row r="2879" customFormat="false" ht="15" hidden="false" customHeight="false" outlineLevel="0" collapsed="false">
      <c r="A2879" s="3" t="s">
        <v>524</v>
      </c>
      <c r="B2879" s="8" t="s">
        <v>86</v>
      </c>
      <c r="C2879" s="38" t="n">
        <f aca="false">Sens!$C$2855</f>
        <v>637.959</v>
      </c>
      <c r="D2879" s="38" t="n">
        <f aca="false">Sens!$D$2855</f>
        <v>716.924</v>
      </c>
      <c r="E2879" s="38" t="n">
        <f aca="false">Sens!$E$2855</f>
        <v>382.125</v>
      </c>
      <c r="F2879" s="38" t="n">
        <f aca="false">Sens!$F$2855</f>
        <v>435.780975084504</v>
      </c>
      <c r="G2879" s="38" t="n">
        <f aca="false">Sens!$G$2855</f>
        <v>817.905975084504</v>
      </c>
      <c r="H2879" s="38" t="n">
        <f aca="false">Sens!$H$2855</f>
        <v>942.279857350364</v>
      </c>
      <c r="I2879" s="38" t="n">
        <f aca="false">Sens!$I$2855</f>
        <v>1068.80284981042</v>
      </c>
      <c r="J2879" s="38" t="n">
        <f aca="false">Sens!$J$2855</f>
        <v>1189.90935093863</v>
      </c>
      <c r="K2879" s="38" t="n">
        <f aca="false">Sens!$K$2855</f>
        <v>1296.06215690385</v>
      </c>
      <c r="L2879" s="38" t="n">
        <f aca="false">Sens!$L$2855</f>
        <v>1395.17379585473</v>
      </c>
      <c r="M2879" s="38" t="n">
        <f aca="false">Sens!$M$2855</f>
        <v>1487.60414389864</v>
      </c>
      <c r="N2879" s="38" t="n">
        <f aca="false">Sens!$N$2855</f>
        <v>323.369</v>
      </c>
      <c r="O2879" s="38" t="n">
        <f aca="false">Sens!$O$2855</f>
        <v>393.555</v>
      </c>
    </row>
    <row r="2880" customFormat="false" ht="17.15" hidden="false" customHeight="false" outlineLevel="0" collapsed="false">
      <c r="A2880" s="24" t="s">
        <v>714</v>
      </c>
      <c r="B2880" s="25" t="s">
        <v>86</v>
      </c>
      <c r="C2880" s="41" t="n">
        <f aca="false">Sens!$C$2867+Sens!$C$2868+Sens!$C$2869+Sens!$C$2870+Sens!$C$2871+Sens!$C$2872-(Sens!$C$2874+Sens!$C$2875)</f>
        <v>0</v>
      </c>
      <c r="D2880" s="41" t="n">
        <f aca="false">Sens!$D$2867+Sens!$D$2868+Sens!$D$2869+Sens!$D$2870+Sens!$D$2871+Sens!$D$2872-(Sens!$D$2874+Sens!$D$2875)</f>
        <v>0</v>
      </c>
      <c r="E2880" s="41" t="n">
        <f aca="false">Sens!$E$2867+Sens!$E$2868+Sens!$E$2869+Sens!$E$2870+Sens!$E$2871+Sens!$E$2872-(Sens!$E$2874+Sens!$E$2875)</f>
        <v>0</v>
      </c>
      <c r="F2880" s="41" t="n">
        <f aca="false">Sens!$F$2867+Sens!$F$2868+Sens!$F$2869+Sens!$F$2870+Sens!$F$2871+Sens!$F$2872-(Sens!$F$2874+Sens!$F$2875)</f>
        <v>0</v>
      </c>
      <c r="G2880" s="41" t="n">
        <f aca="false">Sens!$G$2867+Sens!$G$2868+Sens!$G$2869+Sens!$G$2870+Sens!$G$2871+Sens!$G$2872-(Sens!$G$2874+Sens!$G$2875)</f>
        <v>0</v>
      </c>
      <c r="H2880" s="41" t="n">
        <f aca="false">Sens!$H$2867+Sens!$H$2868+Sens!$H$2869+Sens!$H$2870+Sens!$H$2871+Sens!$H$2872-(Sens!$H$2874+Sens!$H$2875)</f>
        <v>0</v>
      </c>
      <c r="I2880" s="41" t="n">
        <f aca="false">Sens!$I$2867+Sens!$I$2868+Sens!$I$2869+Sens!$I$2870+Sens!$I$2871+Sens!$I$2872-(Sens!$I$2874+Sens!$I$2875)</f>
        <v>0</v>
      </c>
      <c r="J2880" s="41" t="n">
        <f aca="false">Sens!$J$2867+Sens!$J$2868+Sens!$J$2869+Sens!$J$2870+Sens!$J$2871+Sens!$J$2872-(Sens!$J$2874+Sens!$J$2875)</f>
        <v>0</v>
      </c>
      <c r="K2880" s="41" t="n">
        <f aca="false">Sens!$K$2867+Sens!$K$2868+Sens!$K$2869+Sens!$K$2870+Sens!$K$2871+Sens!$K$2872-(Sens!$K$2874+Sens!$K$2875)</f>
        <v>0</v>
      </c>
      <c r="L2880" s="41" t="n">
        <f aca="false">Sens!$L$2867+Sens!$L$2868+Sens!$L$2869+Sens!$L$2870+Sens!$L$2871+Sens!$L$2872-(Sens!$L$2874+Sens!$L$2875)</f>
        <v>0</v>
      </c>
      <c r="M2880" s="41" t="n">
        <f aca="false">Sens!$M$2867+Sens!$M$2868+Sens!$M$2869+Sens!$M$2870+Sens!$M$2871+Sens!$M$2872-(Sens!$M$2874+Sens!$M$2875)</f>
        <v>0</v>
      </c>
      <c r="N2880" s="41" t="n">
        <f aca="false">Sens!$N$2867+Sens!$N$2868+Sens!$N$2869+Sens!$N$2870+Sens!$N$2871+Sens!$N$2872-(Sens!$N$2874+Sens!$N$2875)</f>
        <v>0</v>
      </c>
      <c r="O2880" s="41" t="n">
        <f aca="false">Sens!$O$2867+Sens!$O$2868+Sens!$O$2869+Sens!$O$2870+Sens!$O$2871+Sens!$O$2872-(Sens!$O$2874+Sens!$O$2875)</f>
        <v>0</v>
      </c>
    </row>
    <row r="2881" customFormat="false" ht="17.15" hidden="false" customHeight="false" outlineLevel="0" collapsed="false">
      <c r="A2881" s="24" t="s">
        <v>715</v>
      </c>
      <c r="B2881" s="25" t="s">
        <v>86</v>
      </c>
      <c r="C2881" s="41" t="n">
        <f aca="false">Sens!$C$2877+Sens!$C$2878-Sens!$C$2876</f>
        <v>0</v>
      </c>
      <c r="D2881" s="41" t="n">
        <f aca="false">Sens!$D$2877+Sens!$D$2878-Sens!$D$2876</f>
        <v>0</v>
      </c>
      <c r="E2881" s="41" t="n">
        <f aca="false">Sens!$E$2877+Sens!$E$2878-Sens!$E$2876</f>
        <v>0</v>
      </c>
      <c r="F2881" s="41" t="n">
        <f aca="false">Sens!$F$2877+Sens!$F$2878-Sens!$F$2876</f>
        <v>0</v>
      </c>
      <c r="G2881" s="41" t="n">
        <f aca="false">Sens!$G$2877+Sens!$G$2878-Sens!$G$2876</f>
        <v>0</v>
      </c>
      <c r="H2881" s="41" t="n">
        <f aca="false">Sens!$H$2877+Sens!$H$2878-Sens!$H$2876</f>
        <v>0</v>
      </c>
      <c r="I2881" s="41" t="n">
        <f aca="false">Sens!$I$2877+Sens!$I$2878-Sens!$I$2876</f>
        <v>0</v>
      </c>
      <c r="J2881" s="41" t="n">
        <f aca="false">Sens!$J$2877+Sens!$J$2878-Sens!$J$2876</f>
        <v>0</v>
      </c>
      <c r="K2881" s="41" t="n">
        <f aca="false">Sens!$K$2877+Sens!$K$2878-Sens!$K$2876</f>
        <v>0</v>
      </c>
      <c r="L2881" s="41" t="n">
        <f aca="false">Sens!$L$2877+Sens!$L$2878-Sens!$L$2876</f>
        <v>0</v>
      </c>
      <c r="M2881" s="41" t="n">
        <f aca="false">Sens!$M$2877+Sens!$M$2878-Sens!$M$2876</f>
        <v>0</v>
      </c>
      <c r="N2881" s="41" t="n">
        <f aca="false">Sens!$N$2877+Sens!$N$2878-Sens!$N$2876</f>
        <v>0</v>
      </c>
      <c r="O2881" s="41" t="n">
        <f aca="false">Sens!$O$2877+Sens!$O$2878-Sens!$O$2876</f>
        <v>0</v>
      </c>
    </row>
    <row r="2882" customFormat="false" ht="17.15" hidden="false" customHeight="false" outlineLevel="0" collapsed="false">
      <c r="A2882" s="24" t="s">
        <v>774</v>
      </c>
      <c r="B2882" s="25" t="s">
        <v>86</v>
      </c>
      <c r="C2882" s="41" t="n">
        <f aca="false">Sens!$C$2867+Sens!$C$2868+Sens!$C$2869+Sens!$C$2870+Sens!$C$2871+Sens!$C$2872+Sens!$C$2873-Sens!$C$2879</f>
        <v>0</v>
      </c>
      <c r="D2882" s="41" t="n">
        <f aca="false">Sens!$D$2867+Sens!$D$2868+Sens!$D$2869+Sens!$D$2870+Sens!$D$2871+Sens!$D$2872+Sens!$D$2873-Sens!$D$2879</f>
        <v>0</v>
      </c>
      <c r="E2882" s="41" t="n">
        <f aca="false">Sens!$E$2867+Sens!$E$2868+Sens!$E$2869+Sens!$E$2870+Sens!$E$2871+Sens!$E$2872+Sens!$E$2873-Sens!$E$2879</f>
        <v>0</v>
      </c>
      <c r="F2882" s="41" t="n">
        <f aca="false">Sens!$F$2867+Sens!$F$2868+Sens!$F$2869+Sens!$F$2870+Sens!$F$2871+Sens!$F$2872+Sens!$F$2873-Sens!$F$2879</f>
        <v>0</v>
      </c>
      <c r="G2882" s="41" t="n">
        <f aca="false">Sens!$G$2867+Sens!$G$2868+Sens!$G$2869+Sens!$G$2870+Sens!$G$2871+Sens!$G$2872+Sens!$G$2873-Sens!$G$2879</f>
        <v>0</v>
      </c>
      <c r="H2882" s="41" t="n">
        <f aca="false">Sens!$H$2867+Sens!$H$2868+Sens!$H$2869+Sens!$H$2870+Sens!$H$2871+Sens!$H$2872+Sens!$H$2873-Sens!$H$2879</f>
        <v>0</v>
      </c>
      <c r="I2882" s="41" t="n">
        <f aca="false">Sens!$I$2867+Sens!$I$2868+Sens!$I$2869+Sens!$I$2870+Sens!$I$2871+Sens!$I$2872+Sens!$I$2873-Sens!$I$2879</f>
        <v>0</v>
      </c>
      <c r="J2882" s="41" t="n">
        <f aca="false">Sens!$J$2867+Sens!$J$2868+Sens!$J$2869+Sens!$J$2870+Sens!$J$2871+Sens!$J$2872+Sens!$J$2873-Sens!$J$2879</f>
        <v>0</v>
      </c>
      <c r="K2882" s="41" t="n">
        <f aca="false">Sens!$K$2867+Sens!$K$2868+Sens!$K$2869+Sens!$K$2870+Sens!$K$2871+Sens!$K$2872+Sens!$K$2873-Sens!$K$2879</f>
        <v>0</v>
      </c>
      <c r="L2882" s="41" t="n">
        <f aca="false">Sens!$L$2867+Sens!$L$2868+Sens!$L$2869+Sens!$L$2870+Sens!$L$2871+Sens!$L$2872+Sens!$L$2873-Sens!$L$2879</f>
        <v>0</v>
      </c>
      <c r="M2882" s="41" t="n">
        <f aca="false">Sens!$M$2867+Sens!$M$2868+Sens!$M$2869+Sens!$M$2870+Sens!$M$2871+Sens!$M$2872+Sens!$M$2873-Sens!$M$2879</f>
        <v>0</v>
      </c>
      <c r="N2882" s="41" t="n">
        <f aca="false">Sens!$N$2867+Sens!$N$2868+Sens!$N$2869+Sens!$N$2870+Sens!$N$2871+Sens!$N$2872+Sens!$N$2873-Sens!$N$2879</f>
        <v>0</v>
      </c>
      <c r="O2882" s="41" t="n">
        <f aca="false">Sens!$O$2867+Sens!$O$2868+Sens!$O$2869+Sens!$O$2870+Sens!$O$2871+Sens!$O$2872+Sens!$O$2873-Sens!$O$2879</f>
        <v>0</v>
      </c>
    </row>
    <row r="2883" customFormat="false" ht="17.15" hidden="false" customHeight="false" outlineLevel="0" collapsed="false">
      <c r="A2883" s="24" t="s">
        <v>716</v>
      </c>
      <c r="B2883" s="25" t="s">
        <v>86</v>
      </c>
      <c r="C2883" s="41" t="n">
        <f aca="false">Sens!$C$2874+Sens!$C$2875+Sens!$C$2876-Sens!$C$2879</f>
        <v>0</v>
      </c>
      <c r="D2883" s="41" t="n">
        <f aca="false">Sens!$D$2874+Sens!$D$2875+Sens!$D$2876-Sens!$D$2879</f>
        <v>0</v>
      </c>
      <c r="E2883" s="41" t="n">
        <f aca="false">Sens!$E$2874+Sens!$E$2875+Sens!$E$2876-Sens!$E$2879</f>
        <v>0</v>
      </c>
      <c r="F2883" s="41" t="n">
        <f aca="false">Sens!$F$2874+Sens!$F$2875+Sens!$F$2876-Sens!$F$2879</f>
        <v>0</v>
      </c>
      <c r="G2883" s="41" t="n">
        <f aca="false">Sens!$G$2874+Sens!$G$2875+Sens!$G$2876-Sens!$G$2879</f>
        <v>0</v>
      </c>
      <c r="H2883" s="41" t="n">
        <f aca="false">Sens!$H$2874+Sens!$H$2875+Sens!$H$2876-Sens!$H$2879</f>
        <v>0</v>
      </c>
      <c r="I2883" s="41" t="n">
        <f aca="false">Sens!$I$2874+Sens!$I$2875+Sens!$I$2876-Sens!$I$2879</f>
        <v>0</v>
      </c>
      <c r="J2883" s="41" t="n">
        <f aca="false">Sens!$J$2874+Sens!$J$2875+Sens!$J$2876-Sens!$J$2879</f>
        <v>0</v>
      </c>
      <c r="K2883" s="41" t="n">
        <f aca="false">Sens!$K$2874+Sens!$K$2875+Sens!$K$2876-Sens!$K$2879</f>
        <v>0</v>
      </c>
      <c r="L2883" s="41" t="n">
        <f aca="false">Sens!$L$2874+Sens!$L$2875+Sens!$L$2876-Sens!$L$2879</f>
        <v>0</v>
      </c>
      <c r="M2883" s="41" t="n">
        <f aca="false">Sens!$M$2874+Sens!$M$2875+Sens!$M$2876-Sens!$M$2879</f>
        <v>0</v>
      </c>
      <c r="N2883" s="41" t="n">
        <f aca="false">Sens!$N$2874+Sens!$N$2875+Sens!$N$2876-Sens!$N$2879</f>
        <v>0</v>
      </c>
      <c r="O2883" s="41" t="n">
        <f aca="false">Sens!$O$2874+Sens!$O$2875+Sens!$O$2876-Sens!$O$2879</f>
        <v>0</v>
      </c>
    </row>
    <row r="2884" customFormat="false" ht="17.15" hidden="false" customHeight="false" outlineLevel="0" collapsed="false">
      <c r="A2884" s="1" t="s">
        <v>730</v>
      </c>
    </row>
    <row r="2885" customFormat="false" ht="17.15" hidden="false" customHeight="false" outlineLevel="0" collapsed="false">
      <c r="A2885" s="0" t="s">
        <v>731</v>
      </c>
      <c r="B2885" s="0" t="s">
        <v>86</v>
      </c>
      <c r="C2885" s="38" t="n">
        <f aca="false">Sens!$C$2786*m_ad</f>
        <v>20.5341564414228</v>
      </c>
      <c r="D2885" s="38" t="n">
        <f aca="false">Sens!$D$2786*m_ad</f>
        <v>24.8720617299587</v>
      </c>
      <c r="E2885" s="38" t="n">
        <f aca="false">Sens!$E$2786*m_ad</f>
        <v>13.5017112462207</v>
      </c>
      <c r="F2885" s="38" t="n">
        <f aca="false">Sens!$F$2786*m_ad</f>
        <v>16.5719724165257</v>
      </c>
      <c r="G2885" s="38" t="n">
        <f aca="false">Sens!$G$2786*m_ad</f>
        <v>30.0820919220415</v>
      </c>
      <c r="H2885" s="38" t="n">
        <f aca="false">Sens!$H$2786*m_ad</f>
        <v>36.1150883276314</v>
      </c>
      <c r="I2885" s="38" t="n">
        <f aca="false">Sens!$I$2786*m_ad</f>
        <v>42.1475382231996</v>
      </c>
      <c r="J2885" s="38" t="n">
        <f aca="false">Sens!$J$2786*m_ad</f>
        <v>47.7749523864693</v>
      </c>
      <c r="K2885" s="38" t="n">
        <f aca="false">Sens!$K$2786*m_ad</f>
        <v>52.5524476251162</v>
      </c>
      <c r="L2885" s="38" t="n">
        <f aca="false">Sens!$L$2786*m_ad</f>
        <v>57.8076923876279</v>
      </c>
      <c r="M2885" s="38" t="n">
        <f aca="false">Sens!$M$2786*m_ad</f>
        <v>63.5884616263907</v>
      </c>
      <c r="N2885" s="38" t="n">
        <f aca="false">Sens!$N$2786*m_ad</f>
        <v>10.8543555706248</v>
      </c>
      <c r="O2885" s="38" t="n">
        <f aca="false">Sens!$O$2786*m_ad</f>
        <v>14.0094731821399</v>
      </c>
    </row>
    <row r="2886" customFormat="false" ht="17.15" hidden="false" customHeight="false" outlineLevel="0" collapsed="false">
      <c r="A2886" s="0" t="s">
        <v>732</v>
      </c>
      <c r="B2886" s="0" t="s">
        <v>86</v>
      </c>
      <c r="C2886" s="38" t="n">
        <f aca="false">Sens!$C$2784-Sens!$C$2786</f>
        <v>346.428687117154</v>
      </c>
      <c r="D2886" s="38" t="n">
        <f aca="false">Sens!$D$2784-Sens!$D$2786</f>
        <v>376.560876540083</v>
      </c>
      <c r="E2886" s="38" t="n">
        <f aca="false">Sens!$E$2784-Sens!$E$2786</f>
        <v>193.316577507559</v>
      </c>
      <c r="F2886" s="38" t="n">
        <f aca="false">Sens!$F$2784-Sens!$F$2786</f>
        <v>217.495828647535</v>
      </c>
      <c r="G2886" s="38" t="n">
        <f aca="false">Sens!$G$2784-Sens!$G$2786</f>
        <v>410.795589636503</v>
      </c>
      <c r="H2886" s="38" t="n">
        <f aca="false">Sens!$H$2784-Sens!$H$2786</f>
        <v>449.156813761174</v>
      </c>
      <c r="I2886" s="38" t="n">
        <f aca="false">Sens!$I$2784-Sens!$I$2786</f>
        <v>485.848786441156</v>
      </c>
      <c r="J2886" s="38" t="n">
        <f aca="false">Sens!$J$2784-Sens!$J$2786</f>
        <v>519.841531018994</v>
      </c>
      <c r="K2886" s="38" t="n">
        <f aca="false">Sens!$K$2784-Sens!$K$2786</f>
        <v>550.103332311311</v>
      </c>
      <c r="L2886" s="38" t="n">
        <f aca="false">Sens!$L$2784-Sens!$L$2786</f>
        <v>582.192354474511</v>
      </c>
      <c r="M2886" s="38" t="n">
        <f aca="false">Sens!$M$2784-Sens!$M$2786</f>
        <v>616.22240521081</v>
      </c>
      <c r="N2886" s="38" t="n">
        <f aca="false">Sens!$N$2784-Sens!$N$2786</f>
        <v>171.24628885875</v>
      </c>
      <c r="O2886" s="38" t="n">
        <f aca="false">Sens!$O$2784-Sens!$O$2786</f>
        <v>205.33105363572</v>
      </c>
    </row>
    <row r="2887" customFormat="false" ht="17.15" hidden="false" customHeight="false" outlineLevel="0" collapsed="false">
      <c r="A2887" s="0" t="s">
        <v>733</v>
      </c>
      <c r="B2887" s="0" t="s">
        <v>86</v>
      </c>
      <c r="C2887" s="38" t="n">
        <f aca="false">Sens!$C$2838*Sens!$C$2783</f>
        <v>0.123617442257179</v>
      </c>
      <c r="D2887" s="38" t="n">
        <f aca="false">Sens!$D$2838*Sens!$D$2783</f>
        <v>0.600198046024689</v>
      </c>
      <c r="E2887" s="38" t="n">
        <f aca="false">Sens!$E$2838*Sens!$E$2783</f>
        <v>0.970552432202993</v>
      </c>
      <c r="F2887" s="38" t="n">
        <f aca="false">Sens!$F$2838*Sens!$F$2783</f>
        <v>1.20013524388435</v>
      </c>
      <c r="G2887" s="38" t="n">
        <f aca="false">Sens!$G$2838*Sens!$G$2783</f>
        <v>2.17135369594947</v>
      </c>
      <c r="H2887" s="38" t="n">
        <f aca="false">Sens!$H$2838*Sens!$H$2783</f>
        <v>6.26466683394268</v>
      </c>
      <c r="I2887" s="38" t="n">
        <f aca="false">Sens!$I$2838*Sens!$I$2783</f>
        <v>12.1408577197986</v>
      </c>
      <c r="J2887" s="38" t="n">
        <f aca="false">Sens!$J$2838*Sens!$J$2783</f>
        <v>18.4074045299415</v>
      </c>
      <c r="K2887" s="38" t="n">
        <f aca="false">Sens!$K$2838*Sens!$K$2783</f>
        <v>23.9455472348705</v>
      </c>
      <c r="L2887" s="38" t="n">
        <f aca="false">Sens!$L$2838*Sens!$L$2783</f>
        <v>27.78179156216</v>
      </c>
      <c r="M2887" s="38" t="n">
        <f aca="false">Sens!$M$2838*Sens!$M$2783</f>
        <v>30.1491984606158</v>
      </c>
      <c r="N2887" s="38" t="n">
        <f aca="false">Sens!$N$2838*Sens!$N$2783</f>
        <v>0.25053229484398</v>
      </c>
      <c r="O2887" s="38" t="n">
        <f aca="false">Sens!$O$2838*Sens!$O$2783</f>
        <v>0.349234376756897</v>
      </c>
    </row>
    <row r="2888" customFormat="false" ht="17.15" hidden="false" customHeight="false" outlineLevel="0" collapsed="false">
      <c r="A2888" s="0" t="s">
        <v>734</v>
      </c>
      <c r="B2888" s="0" t="s">
        <v>52</v>
      </c>
      <c r="C2888" s="28" t="n">
        <f aca="false">(Sens!$C$2889-Sens!$C$2885+Sens!$C$2887)/Sens!$C$2886</f>
        <v>0.0131526665379575</v>
      </c>
      <c r="D2888" s="28" t="n">
        <f aca="false">(Sens!$D$2889-Sens!$D$2885+Sens!$D$2887)/Sens!$D$2886</f>
        <v>0.0141999252954702</v>
      </c>
      <c r="E2888" s="28" t="n">
        <f aca="false">(Sens!$E$2889-Sens!$E$2885+Sens!$E$2887)/Sens!$E$2886</f>
        <v>0.0251341154940129</v>
      </c>
      <c r="F2888" s="28" t="n">
        <f aca="false">Sens!$O$2888+(Sens!$E$2888-Sens!$N$2888)</f>
        <v>0.0217171685713677</v>
      </c>
      <c r="G2888" s="28" t="n">
        <f aca="false">(Sens!$G$2889-Sens!$G$2885+Sens!$G$2887)/Sens!$G$2886</f>
        <v>0.0233071940458981</v>
      </c>
      <c r="H2888" s="28" t="n">
        <f aca="false">Sens!$G$2888+step_na</f>
        <v>0.0263071940458981</v>
      </c>
      <c r="I2888" s="28" t="n">
        <f aca="false">Sens!$H$2888+step_na</f>
        <v>0.0293071940458981</v>
      </c>
      <c r="J2888" s="28" t="n">
        <f aca="false">Sens!$I$2888+step_na</f>
        <v>0.0323071940458981</v>
      </c>
      <c r="K2888" s="28" t="n">
        <f aca="false">Sens!$J$2888+step_na</f>
        <v>0.0353071940458981</v>
      </c>
      <c r="L2888" s="28" t="n">
        <f aca="false">Sens!$K$2888</f>
        <v>0.0353071940458981</v>
      </c>
      <c r="M2888" s="28" t="n">
        <f aca="false">Sens!$L$2888</f>
        <v>0.0353071940458981</v>
      </c>
      <c r="N2888" s="28" t="n">
        <f aca="false">(Sens!$N$2889-Sens!$N$2885+Sens!$N$2887)/Sens!$N$2886</f>
        <v>0.0160831323269779</v>
      </c>
      <c r="O2888" s="28" t="n">
        <f aca="false">(Sens!$O$2889-Sens!$O$2885+Sens!$O$2887)/Sens!$O$2886</f>
        <v>0.0126661854043327</v>
      </c>
      <c r="P2888" s="8" t="s">
        <v>735</v>
      </c>
    </row>
    <row r="2889" customFormat="false" ht="17.15" hidden="false" customHeight="false" outlineLevel="0" collapsed="false">
      <c r="A2889" s="1" t="s">
        <v>736</v>
      </c>
      <c r="B2889" s="8" t="s">
        <v>86</v>
      </c>
      <c r="C2889" s="38" t="n">
        <f aca="false">Q!$D$22</f>
        <v>24.967</v>
      </c>
      <c r="D2889" s="38" t="n">
        <f aca="false">Q!$E$22</f>
        <v>29.619</v>
      </c>
      <c r="E2889" s="38" t="n">
        <f aca="false">Q!$P$22</f>
        <v>17.39</v>
      </c>
      <c r="F2889" s="38" t="n">
        <f aca="false">Sens!$F$2885+Sens!$F$2886*Sens!$F$2888-Sens!$F$2887</f>
        <v>20.0952307469491</v>
      </c>
      <c r="G2889" s="38" t="n">
        <f aca="false">Sens!$E$2889+Sens!$F$2889</f>
        <v>37.4852307469491</v>
      </c>
      <c r="H2889" s="38" t="n">
        <f aca="false">Sens!$H$2885+Sens!$H$2886*Sens!$H$2888-Sens!$H$2887</f>
        <v>41.6664769503413</v>
      </c>
      <c r="I2889" s="38" t="n">
        <f aca="false">Sens!$I$2885+Sens!$I$2886*Sens!$I$2888-Sens!$I$2887</f>
        <v>44.245545164596</v>
      </c>
      <c r="J2889" s="38" t="n">
        <f aca="false">Sens!$J$2885+Sens!$J$2886*Sens!$J$2888-Sens!$J$2887</f>
        <v>46.1621690722752</v>
      </c>
      <c r="K2889" s="38" t="n">
        <f aca="false">Sens!$K$2885+Sens!$K$2886*Sens!$K$2888-Sens!$K$2887</f>
        <v>48.0295054894563</v>
      </c>
      <c r="L2889" s="38" t="n">
        <f aca="false">Sens!$L$2885+Sens!$L$2886*Sens!$L$2888-Sens!$L$2887</f>
        <v>50.5814792569377</v>
      </c>
      <c r="M2889" s="38" t="n">
        <f aca="false">Sens!$M$2885+Sens!$M$2886*Sens!$M$2888-Sens!$M$2887</f>
        <v>55.1963472019829</v>
      </c>
      <c r="N2889" s="38" t="n">
        <f aca="false">Q!$N$22</f>
        <v>13.358</v>
      </c>
      <c r="O2889" s="38" t="n">
        <f aca="false">Q!$O$22</f>
        <v>16.261</v>
      </c>
    </row>
    <row r="2890" customFormat="false" ht="17.15" hidden="false" customHeight="false" outlineLevel="0" collapsed="false">
      <c r="A2890" s="0" t="s">
        <v>737</v>
      </c>
      <c r="B2890" s="0" t="s">
        <v>86</v>
      </c>
      <c r="C2890" s="38" t="n">
        <f aca="false">Sens!$C$2787*m_ad</f>
        <v>7.57284355857716</v>
      </c>
      <c r="D2890" s="38" t="n">
        <f aca="false">Sens!$D$2787*m_ad</f>
        <v>9.44543827004127</v>
      </c>
      <c r="E2890" s="38" t="n">
        <f aca="false">Sens!$E$2787*m_ad</f>
        <v>5.02428875377928</v>
      </c>
      <c r="F2890" s="38" t="n">
        <f aca="false">Sens!$F$2787*m_ad</f>
        <v>6.50663858068173</v>
      </c>
      <c r="G2890" s="38" t="n">
        <f aca="false">Sens!$G$2787*m_ad</f>
        <v>11.5225190751659</v>
      </c>
      <c r="H2890" s="38" t="n">
        <f aca="false">Sens!$H$2787*m_ad</f>
        <v>13.8333728663174</v>
      </c>
      <c r="I2890" s="38" t="n">
        <f aca="false">Sens!$I$2787*m_ad</f>
        <v>16.1440173245485</v>
      </c>
      <c r="J2890" s="38" t="n">
        <f aca="false">Sens!$J$2787*m_ad</f>
        <v>18.2995185845066</v>
      </c>
      <c r="K2890" s="38" t="n">
        <f aca="false">Sens!$K$2787*m_ad</f>
        <v>20.1294704429572</v>
      </c>
      <c r="L2890" s="38" t="n">
        <f aca="false">Sens!$L$2787*m_ad</f>
        <v>22.142417487253</v>
      </c>
      <c r="M2890" s="38" t="n">
        <f aca="false">Sens!$M$2787*m_ad</f>
        <v>24.3566592359783</v>
      </c>
      <c r="N2890" s="38" t="n">
        <f aca="false">Sens!$N$2787*m_ad</f>
        <v>3.95314442937518</v>
      </c>
      <c r="O2890" s="38" t="n">
        <f aca="false">Sens!$O$2787*m_ad</f>
        <v>5.50052681786011</v>
      </c>
    </row>
    <row r="2891" customFormat="false" ht="17.15" hidden="false" customHeight="false" outlineLevel="0" collapsed="false">
      <c r="A2891" s="0" t="s">
        <v>738</v>
      </c>
      <c r="B2891" s="0" t="s">
        <v>86</v>
      </c>
      <c r="C2891" s="38" t="n">
        <f aca="false">Sens!$C$2785-Sens!$C$2787</f>
        <v>127.760312882846</v>
      </c>
      <c r="D2891" s="38" t="n">
        <f aca="false">Sens!$D$2785-Sens!$D$2787</f>
        <v>143.003123459917</v>
      </c>
      <c r="E2891" s="38" t="n">
        <f aca="false">Sens!$E$2785-Sens!$E$2787</f>
        <v>71.9374224924414</v>
      </c>
      <c r="F2891" s="38" t="n">
        <f aca="false">Sens!$F$2785-Sens!$F$2787</f>
        <v>85.3951910035875</v>
      </c>
      <c r="G2891" s="38" t="n">
        <f aca="false">Sens!$G$2785-Sens!$G$2787</f>
        <v>157.349430014619</v>
      </c>
      <c r="H2891" s="38" t="n">
        <f aca="false">Sens!$H$2785-Sens!$H$2787</f>
        <v>172.043153372315</v>
      </c>
      <c r="I2891" s="38" t="n">
        <f aca="false">Sens!$I$2785-Sens!$I$2787</f>
        <v>186.097493615879</v>
      </c>
      <c r="J2891" s="38" t="n">
        <f aca="false">Sens!$J$2785-Sens!$J$2787</f>
        <v>199.117932780497</v>
      </c>
      <c r="K2891" s="38" t="n">
        <f aca="false">Sens!$K$2785-Sens!$K$2787</f>
        <v>210.70928698363</v>
      </c>
      <c r="L2891" s="38" t="n">
        <f aca="false">Sens!$L$2785-Sens!$L$2787</f>
        <v>223.000532251316</v>
      </c>
      <c r="M2891" s="38" t="n">
        <f aca="false">Sens!$M$2785-Sens!$M$2787</f>
        <v>236.035261011339</v>
      </c>
      <c r="N2891" s="38" t="n">
        <f aca="false">Sens!$N$2785-Sens!$N$2787</f>
        <v>62.3677111412496</v>
      </c>
      <c r="O2891" s="38" t="n">
        <f aca="false">Sens!$O$2785-Sens!$O$2787</f>
        <v>80.6189463642798</v>
      </c>
    </row>
    <row r="2892" customFormat="false" ht="17.15" hidden="false" customHeight="false" outlineLevel="0" collapsed="false">
      <c r="A2892" s="0" t="s">
        <v>739</v>
      </c>
      <c r="B2892" s="0" t="s">
        <v>86</v>
      </c>
      <c r="C2892" s="38" t="n">
        <f aca="false">Sens!$C$2838*(1-Sens!$C$2783)</f>
        <v>0.0455891896019953</v>
      </c>
      <c r="D2892" s="38" t="n">
        <f aca="false">Sens!$D$2838*(1-Sens!$D$2783)</f>
        <v>0.227931791705753</v>
      </c>
      <c r="E2892" s="38" t="n">
        <f aca="false">Sens!$E$2838*(1-Sens!$E$2783)</f>
        <v>0.361164268820781</v>
      </c>
      <c r="F2892" s="38" t="n">
        <f aca="false">Sens!$F$2838*(1-Sens!$F$2783)</f>
        <v>0.471208018190203</v>
      </c>
      <c r="G2892" s="38" t="n">
        <f aca="false">Sens!$G$2838*(1-Sens!$G$2783)</f>
        <v>0.83170626714885</v>
      </c>
      <c r="H2892" s="38" t="n">
        <f aca="false">Sens!$H$2838*(1-Sens!$H$2783)</f>
        <v>2.39959186617513</v>
      </c>
      <c r="I2892" s="38" t="n">
        <f aca="false">Sens!$I$2838*(1-Sens!$I$2783)</f>
        <v>4.6503835247825</v>
      </c>
      <c r="J2892" s="38" t="n">
        <f aca="false">Sens!$J$2838*(1-Sens!$J$2783)</f>
        <v>7.05069548920359</v>
      </c>
      <c r="K2892" s="38" t="n">
        <f aca="false">Sens!$K$2838*(1-Sens!$K$2783)</f>
        <v>9.17200258193867</v>
      </c>
      <c r="L2892" s="38" t="n">
        <f aca="false">Sens!$L$2838*(1-Sens!$L$2783)</f>
        <v>10.6414216154535</v>
      </c>
      <c r="M2892" s="38" t="n">
        <f aca="false">Sens!$M$2838*(1-Sens!$M$2783)</f>
        <v>11.5482232839288</v>
      </c>
      <c r="N2892" s="38" t="n">
        <f aca="false">Sens!$N$2838*(1-Sens!$N$2783)</f>
        <v>0.0912435878202994</v>
      </c>
      <c r="O2892" s="38" t="n">
        <f aca="false">Sens!$O$2838*(1-Sens!$O$2783)</f>
        <v>0.137119578309265</v>
      </c>
    </row>
    <row r="2893" customFormat="false" ht="17.15" hidden="false" customHeight="false" outlineLevel="0" collapsed="false">
      <c r="A2893" s="0" t="s">
        <v>740</v>
      </c>
      <c r="B2893" s="0" t="s">
        <v>52</v>
      </c>
      <c r="C2893" s="28" t="n">
        <f aca="false">(Sens!$C$2894-Sens!$C$2890+Sens!$C$2892)/Sens!$C$2891</f>
        <v>-0.0292364215826579</v>
      </c>
      <c r="D2893" s="28" t="n">
        <f aca="false">(Sens!$D$2894-Sens!$D$2890+Sens!$D$2892)/Sens!$D$2891</f>
        <v>-0.0312406216748665</v>
      </c>
      <c r="E2893" s="28" t="n">
        <f aca="false">(Sens!$E$2894-Sens!$E$2890+Sens!$E$2892)/Sens!$E$2891</f>
        <v>-0.0211590078184749</v>
      </c>
      <c r="F2893" s="28" t="n">
        <f aca="false">Sens!$O$2893+(Sens!$E$2893-Sens!$N$2893)</f>
        <v>-0.0382539955245511</v>
      </c>
      <c r="G2893" s="28" t="n">
        <f aca="false">(Sens!$G$2894-Sens!$G$2890+Sens!$G$2892)/Sens!$G$2891</f>
        <v>-0.030385172031133</v>
      </c>
      <c r="H2893" s="28" t="n">
        <f aca="false">Sens!$G$2893+step_in</f>
        <v>-0.030385172031133</v>
      </c>
      <c r="I2893" s="28" t="n">
        <f aca="false">Sens!$H$2893+step_in</f>
        <v>-0.030385172031133</v>
      </c>
      <c r="J2893" s="28" t="n">
        <f aca="false">Sens!$I$2893+step_in</f>
        <v>-0.030385172031133</v>
      </c>
      <c r="K2893" s="28" t="n">
        <f aca="false">Sens!$J$2893+step_in</f>
        <v>-0.030385172031133</v>
      </c>
      <c r="L2893" s="28" t="n">
        <f aca="false">Sens!$K$2893</f>
        <v>-0.030385172031133</v>
      </c>
      <c r="M2893" s="28" t="n">
        <f aca="false">Sens!$L$2893</f>
        <v>-0.030385172031133</v>
      </c>
      <c r="N2893" s="28" t="n">
        <f aca="false">(Sens!$N$2894-Sens!$N$2890+Sens!$N$2892)/Sens!$N$2891</f>
        <v>-0.0216602600421776</v>
      </c>
      <c r="O2893" s="28" t="n">
        <f aca="false">(Sens!$O$2894-Sens!$O$2890+Sens!$O$2892)/Sens!$O$2891</f>
        <v>-0.0387552477482538</v>
      </c>
      <c r="P2893" s="8" t="s">
        <v>735</v>
      </c>
    </row>
    <row r="2894" customFormat="false" ht="17.15" hidden="false" customHeight="false" outlineLevel="0" collapsed="false">
      <c r="A2894" s="1" t="s">
        <v>741</v>
      </c>
      <c r="B2894" s="8" t="s">
        <v>86</v>
      </c>
      <c r="C2894" s="38" t="n">
        <f aca="false">Q!$D$23</f>
        <v>3.792</v>
      </c>
      <c r="D2894" s="38" t="n">
        <f aca="false">Q!$E$23</f>
        <v>4.75</v>
      </c>
      <c r="E2894" s="38" t="n">
        <f aca="false">Q!$P$23</f>
        <v>3.141</v>
      </c>
      <c r="F2894" s="38" t="n">
        <f aca="false">Sens!$F$2890+Sens!$F$2891*Sens!$F$2893-Sens!$F$2892</f>
        <v>2.7687233080221</v>
      </c>
      <c r="G2894" s="38" t="n">
        <f aca="false">Sens!$E$2894+Sens!$F$2894</f>
        <v>5.9097233080221</v>
      </c>
      <c r="H2894" s="38" t="n">
        <f aca="false">Sens!$H$2890+Sens!$H$2891*Sens!$H$2893-Sens!$H$2892</f>
        <v>6.20622018814585</v>
      </c>
      <c r="I2894" s="38" t="n">
        <f aca="false">Sens!$I$2890+Sens!$I$2891*Sens!$I$2893-Sens!$I$2892</f>
        <v>5.83902944168488</v>
      </c>
      <c r="J2894" s="38" t="n">
        <f aca="false">Sens!$J$2890+Sens!$J$2891*Sens!$J$2893-Sens!$J$2892</f>
        <v>5.19859045328402</v>
      </c>
      <c r="K2894" s="38" t="n">
        <f aca="false">Sens!$K$2890+Sens!$K$2891*Sens!$K$2893-Sens!$K$2892</f>
        <v>4.5550299274636</v>
      </c>
      <c r="L2894" s="38" t="n">
        <f aca="false">Sens!$L$2890+Sens!$L$2891*Sens!$L$2893-Sens!$L$2892</f>
        <v>4.72508633630902</v>
      </c>
      <c r="M2894" s="38" t="n">
        <f aca="false">Sens!$M$2890+Sens!$M$2891*Sens!$M$2893-Sens!$M$2892</f>
        <v>5.63646394080652</v>
      </c>
      <c r="N2894" s="38" t="n">
        <f aca="false">Q!$N$23</f>
        <v>2.511</v>
      </c>
      <c r="O2894" s="38" t="n">
        <f aca="false">Q!$O$23</f>
        <v>2.239</v>
      </c>
    </row>
    <row r="2895" customFormat="false" ht="17.15" hidden="false" customHeight="false" outlineLevel="0" collapsed="false">
      <c r="A2895" s="0" t="s">
        <v>742</v>
      </c>
      <c r="B2895" s="0" t="s">
        <v>86</v>
      </c>
      <c r="C2895" s="38" t="n">
        <f aca="false">Sens!$C$2835</f>
        <v>1.64417882953695</v>
      </c>
      <c r="D2895" s="38" t="n">
        <f aca="false">Sens!$D$2835</f>
        <v>5.39125073772939</v>
      </c>
      <c r="E2895" s="38" t="n">
        <f aca="false">Sens!$E$2835</f>
        <v>3.18348617147493</v>
      </c>
      <c r="F2895" s="38" t="n">
        <f aca="false">Sens!$F$2835</f>
        <v>8.27806059642226</v>
      </c>
      <c r="G2895" s="38" t="n">
        <f aca="false">Sens!$G$2835</f>
        <v>11.4615467678972</v>
      </c>
      <c r="H2895" s="38" t="n">
        <f aca="false">Sens!$H$2835</f>
        <v>25.5088559493033</v>
      </c>
      <c r="I2895" s="38" t="n">
        <f aca="false">Sens!$I$2835</f>
        <v>34.3387341581075</v>
      </c>
      <c r="J2895" s="38" t="n">
        <f aca="false">Sens!$J$2835</f>
        <v>41.1930070746977</v>
      </c>
      <c r="K2895" s="38" t="n">
        <f aca="false">Sens!$K$2835</f>
        <v>45.9779211159428</v>
      </c>
      <c r="L2895" s="38" t="n">
        <f aca="false">Sens!$L$2835</f>
        <v>48.0352490919424</v>
      </c>
      <c r="M2895" s="38" t="n">
        <f aca="false">Sens!$M$2835</f>
        <v>46.0457543906864</v>
      </c>
      <c r="N2895" s="38" t="n">
        <f aca="false">Sens!$N$2835</f>
        <v>1.67921600037079</v>
      </c>
      <c r="O2895" s="38" t="n">
        <f aca="false">Sens!$O$2835</f>
        <v>3.71203473735861</v>
      </c>
    </row>
    <row r="2896" customFormat="false" ht="17.15" hidden="false" customHeight="false" outlineLevel="0" collapsed="false">
      <c r="A2896" s="0" t="s">
        <v>660</v>
      </c>
      <c r="B2896" s="0" t="s">
        <v>86</v>
      </c>
      <c r="C2896" s="38" t="n">
        <f aca="false">Sens!$C$2840</f>
        <v>38.1898211704631</v>
      </c>
      <c r="D2896" s="38" t="n">
        <f aca="false">Sens!$D$2840</f>
        <v>40.2147492622706</v>
      </c>
      <c r="E2896" s="38" t="n">
        <f aca="false">Sens!$E$2840</f>
        <v>27.5985138285251</v>
      </c>
      <c r="F2896" s="38" t="n">
        <f aca="false">Sens!$F$2840</f>
        <v>25.5484769754606</v>
      </c>
      <c r="G2896" s="38" t="n">
        <f aca="false">Sens!$G$2840</f>
        <v>53.1469908039857</v>
      </c>
      <c r="H2896" s="38" t="n">
        <f aca="false">Sens!$H$2840</f>
        <v>57.3189525076539</v>
      </c>
      <c r="I2896" s="38" t="n">
        <f aca="false">Sens!$I$2840</f>
        <v>63.6385627021087</v>
      </c>
      <c r="J2896" s="38" t="n">
        <f aca="false">Sens!$J$2840</f>
        <v>69.6922896066105</v>
      </c>
      <c r="K2896" s="38" t="n">
        <f aca="false">Sens!$K$2840</f>
        <v>75.2676727751394</v>
      </c>
      <c r="L2896" s="38" t="n">
        <f aca="false">Sens!$L$2840</f>
        <v>81.2890865971505</v>
      </c>
      <c r="M2896" s="38" t="n">
        <f aca="false">Sens!$M$2840</f>
        <v>87.7922135249226</v>
      </c>
      <c r="N2896" s="38" t="n">
        <f aca="false">Sens!$N$2840</f>
        <v>20.0277839996292</v>
      </c>
      <c r="O2896" s="38" t="n">
        <f aca="false">Sens!$O$2840</f>
        <v>20.1869652626414</v>
      </c>
    </row>
    <row r="2897" customFormat="false" ht="17.15" hidden="false" customHeight="false" outlineLevel="0" collapsed="false">
      <c r="A2897" s="1" t="s">
        <v>743</v>
      </c>
      <c r="B2897" s="8" t="s">
        <v>86</v>
      </c>
      <c r="C2897" s="38" t="n">
        <f aca="false">Q!$D$24</f>
        <v>39.834</v>
      </c>
      <c r="D2897" s="38" t="n">
        <f aca="false">Q!$E$24</f>
        <v>45.606</v>
      </c>
      <c r="E2897" s="38" t="n">
        <f aca="false">Q!$P$24</f>
        <v>30.782</v>
      </c>
      <c r="F2897" s="38" t="n">
        <f aca="false">Sens!$F$2895+Sens!$F$2896</f>
        <v>33.8265375718829</v>
      </c>
      <c r="G2897" s="38" t="n">
        <f aca="false">Sens!$G$2895+Sens!$G$2896</f>
        <v>64.6085375718829</v>
      </c>
      <c r="H2897" s="38" t="n">
        <f aca="false">Sens!$H$2895+Sens!$H$2896</f>
        <v>82.8278084569573</v>
      </c>
      <c r="I2897" s="38" t="n">
        <f aca="false">Sens!$I$2895+Sens!$I$2896</f>
        <v>97.9772968602162</v>
      </c>
      <c r="J2897" s="38" t="n">
        <f aca="false">Sens!$J$2895+Sens!$J$2896</f>
        <v>110.885296681308</v>
      </c>
      <c r="K2897" s="38" t="n">
        <f aca="false">Sens!$K$2895+Sens!$K$2896</f>
        <v>121.245593891082</v>
      </c>
      <c r="L2897" s="38" t="n">
        <f aca="false">Sens!$L$2895+Sens!$L$2896</f>
        <v>129.324335689093</v>
      </c>
      <c r="M2897" s="38" t="n">
        <f aca="false">Sens!$M$2895+Sens!$M$2896</f>
        <v>133.837967915609</v>
      </c>
      <c r="N2897" s="38" t="n">
        <f aca="false">Q!$N$24</f>
        <v>21.707</v>
      </c>
      <c r="O2897" s="38" t="n">
        <f aca="false">Q!$O$24</f>
        <v>23.899</v>
      </c>
    </row>
    <row r="2898" customFormat="false" ht="17.15" hidden="false" customHeight="false" outlineLevel="0" collapsed="false">
      <c r="A2898" s="5" t="s">
        <v>744</v>
      </c>
      <c r="B2898" s="0" t="s">
        <v>86</v>
      </c>
      <c r="C2898" s="38" t="n">
        <f aca="false">Q!$D$26</f>
        <v>0</v>
      </c>
      <c r="D2898" s="38" t="n">
        <f aca="false">Q!$E$26</f>
        <v>0</v>
      </c>
      <c r="E2898" s="38" t="n">
        <f aca="false">Q!$P$26</f>
        <v>0</v>
      </c>
      <c r="F2898" s="39" t="n">
        <v>0</v>
      </c>
      <c r="G2898" s="38" t="n">
        <f aca="false">Sens!$E$2898+Sens!$F$2898</f>
        <v>0</v>
      </c>
      <c r="H2898" s="39" t="n">
        <v>0</v>
      </c>
      <c r="I2898" s="39" t="n">
        <v>0</v>
      </c>
      <c r="J2898" s="39" t="n">
        <v>0</v>
      </c>
      <c r="K2898" s="39" t="n">
        <v>0</v>
      </c>
      <c r="L2898" s="39" t="n">
        <v>0</v>
      </c>
      <c r="M2898" s="39" t="n">
        <v>0</v>
      </c>
      <c r="N2898" s="38" t="n">
        <f aca="false">Q!$N$26</f>
        <v>0</v>
      </c>
      <c r="O2898" s="38" t="n">
        <f aca="false">Q!$O$26</f>
        <v>0</v>
      </c>
    </row>
    <row r="2899" customFormat="false" ht="15" hidden="false" customHeight="false" outlineLevel="0" collapsed="false">
      <c r="A2899" s="3" t="s">
        <v>541</v>
      </c>
      <c r="B2899" s="8" t="s">
        <v>86</v>
      </c>
      <c r="C2899" s="38" t="n">
        <f aca="false">Q!$D$25</f>
        <v>68.593</v>
      </c>
      <c r="D2899" s="38" t="n">
        <f aca="false">Q!$E$25</f>
        <v>79.975</v>
      </c>
      <c r="E2899" s="38" t="n">
        <f aca="false">Q!$P$25</f>
        <v>51.313</v>
      </c>
      <c r="F2899" s="38" t="n">
        <f aca="false">Sens!$F$2889+Sens!$F$2894+Sens!$F$2897+Sens!$F$2898</f>
        <v>56.6904916268541</v>
      </c>
      <c r="G2899" s="38" t="n">
        <f aca="false">Sens!$G$2889+Sens!$G$2894+Sens!$G$2897+Sens!$G$2898</f>
        <v>108.003491626854</v>
      </c>
      <c r="H2899" s="38" t="n">
        <f aca="false">Sens!$H$2889+Sens!$H$2894+Sens!$H$2897+Sens!$H$2898</f>
        <v>130.700505595444</v>
      </c>
      <c r="I2899" s="38" t="n">
        <f aca="false">Sens!$I$2889+Sens!$I$2894+Sens!$I$2897+Sens!$I$2898</f>
        <v>148.061871466497</v>
      </c>
      <c r="J2899" s="38" t="n">
        <f aca="false">Sens!$J$2889+Sens!$J$2894+Sens!$J$2897+Sens!$J$2898</f>
        <v>162.246056206867</v>
      </c>
      <c r="K2899" s="38" t="n">
        <f aca="false">Sens!$K$2889+Sens!$K$2894+Sens!$K$2897+Sens!$K$2898</f>
        <v>173.830129308002</v>
      </c>
      <c r="L2899" s="38" t="n">
        <f aca="false">Sens!$L$2889+Sens!$L$2894+Sens!$L$2897+Sens!$L$2898</f>
        <v>184.63090128234</v>
      </c>
      <c r="M2899" s="38" t="n">
        <f aca="false">Sens!$M$2889+Sens!$M$2894+Sens!$M$2897+Sens!$M$2898</f>
        <v>194.670779058398</v>
      </c>
      <c r="N2899" s="38" t="n">
        <f aca="false">Q!$N$25</f>
        <v>37.576</v>
      </c>
      <c r="O2899" s="38" t="n">
        <f aca="false">Q!$O$25</f>
        <v>42.399</v>
      </c>
    </row>
    <row r="2900" customFormat="false" ht="17.15" hidden="false" customHeight="false" outlineLevel="0" collapsed="false">
      <c r="A2900" s="24" t="s">
        <v>775</v>
      </c>
      <c r="B2900" s="25" t="s">
        <v>86</v>
      </c>
      <c r="C2900" s="41" t="n">
        <f aca="false">Sens!$C$2889+Sens!$C$2894+Sens!$C$2897+Sens!$C$2898-Sens!$C$2899</f>
        <v>0</v>
      </c>
      <c r="D2900" s="41" t="n">
        <f aca="false">Sens!$D$2889+Sens!$D$2894+Sens!$D$2897+Sens!$D$2898-Sens!$D$2899</f>
        <v>0</v>
      </c>
      <c r="E2900" s="41" t="n">
        <f aca="false">Sens!$E$2889+Sens!$E$2894+Sens!$E$2897+Sens!$E$2898-Sens!$E$2899</f>
        <v>0</v>
      </c>
      <c r="F2900" s="41" t="n">
        <f aca="false">Sens!$F$2889+Sens!$F$2894+Sens!$F$2897+Sens!$F$2898-Sens!$F$2899</f>
        <v>0</v>
      </c>
      <c r="G2900" s="41" t="n">
        <f aca="false">Sens!$G$2889+Sens!$G$2894+Sens!$G$2897+Sens!$G$2898-Sens!$G$2899</f>
        <v>0</v>
      </c>
      <c r="H2900" s="41" t="n">
        <f aca="false">Sens!$H$2889+Sens!$H$2894+Sens!$H$2897+Sens!$H$2898-Sens!$H$2899</f>
        <v>0</v>
      </c>
      <c r="I2900" s="41" t="n">
        <f aca="false">Sens!$I$2889+Sens!$I$2894+Sens!$I$2897+Sens!$I$2898-Sens!$I$2899</f>
        <v>0</v>
      </c>
      <c r="J2900" s="41" t="n">
        <f aca="false">Sens!$J$2889+Sens!$J$2894+Sens!$J$2897+Sens!$J$2898-Sens!$J$2899</f>
        <v>0</v>
      </c>
      <c r="K2900" s="41" t="n">
        <f aca="false">Sens!$K$2889+Sens!$K$2894+Sens!$K$2897+Sens!$K$2898-Sens!$K$2899</f>
        <v>0</v>
      </c>
      <c r="L2900" s="41" t="n">
        <f aca="false">Sens!$L$2889+Sens!$L$2894+Sens!$L$2897+Sens!$L$2898-Sens!$L$2899</f>
        <v>0</v>
      </c>
      <c r="M2900" s="41" t="n">
        <f aca="false">Sens!$M$2889+Sens!$M$2894+Sens!$M$2897+Sens!$M$2898-Sens!$M$2899</f>
        <v>0</v>
      </c>
      <c r="N2900" s="41" t="n">
        <f aca="false">Sens!$N$2889+Sens!$N$2894+Sens!$N$2897+Sens!$N$2898-Sens!$N$2899</f>
        <v>0</v>
      </c>
      <c r="O2900" s="41" t="n">
        <f aca="false">Sens!$O$2889+Sens!$O$2894+Sens!$O$2897+Sens!$O$2898-Sens!$O$2899</f>
        <v>0</v>
      </c>
    </row>
    <row r="2901" customFormat="false" ht="17.15" hidden="false" customHeight="false" outlineLevel="0" collapsed="false">
      <c r="A2901" s="5" t="s">
        <v>746</v>
      </c>
      <c r="B2901" s="0" t="s">
        <v>86</v>
      </c>
      <c r="C2901" s="38" t="n">
        <f aca="false">Sens!$C$2837</f>
        <v>0</v>
      </c>
      <c r="D2901" s="38" t="n">
        <f aca="false">Sens!$D$2837</f>
        <v>0</v>
      </c>
      <c r="E2901" s="38" t="n">
        <f aca="false">Sens!$E$2837</f>
        <v>0</v>
      </c>
      <c r="F2901" s="38" t="n">
        <f aca="false">Sens!$F$2837</f>
        <v>3.77122048175818</v>
      </c>
      <c r="G2901" s="38" t="n">
        <f aca="false">Sens!$G$2837</f>
        <v>3.77122048175818</v>
      </c>
      <c r="H2901" s="38" t="n">
        <f aca="false">Sens!$H$2837</f>
        <v>15.1635543609893</v>
      </c>
      <c r="I2901" s="38" t="n">
        <f aca="false">Sens!$I$2837</f>
        <v>25.5818843619889</v>
      </c>
      <c r="J2901" s="38" t="n">
        <f aca="false">Sens!$J$2837</f>
        <v>36.0465624179122</v>
      </c>
      <c r="K2901" s="38" t="n">
        <f aca="false">Sens!$K$2837</f>
        <v>44.9741164026038</v>
      </c>
      <c r="L2901" s="38" t="n">
        <f aca="false">Sens!$L$2837</f>
        <v>50.8413488057813</v>
      </c>
      <c r="M2901" s="38" t="n">
        <f aca="false">Sens!$M$2837</f>
        <v>53.6407214274315</v>
      </c>
      <c r="N2901" s="38" t="n">
        <f aca="false">Sens!$N$2837</f>
        <v>0</v>
      </c>
      <c r="O2901" s="38" t="n">
        <f aca="false">Sens!$O$2837</f>
        <v>0</v>
      </c>
      <c r="P2901" s="5" t="s">
        <v>747</v>
      </c>
    </row>
    <row r="2902" customFormat="false" ht="17.15" hidden="false" customHeight="false" outlineLevel="0" collapsed="false">
      <c r="A2902" s="5" t="s">
        <v>748</v>
      </c>
      <c r="B2902" s="0" t="s">
        <v>86</v>
      </c>
      <c r="C2902" s="38" t="n">
        <f aca="false">Sens!$C$2899+Sens!$C$2901</f>
        <v>68.593</v>
      </c>
      <c r="D2902" s="38" t="n">
        <f aca="false">Sens!$D$2899+Sens!$D$2901</f>
        <v>79.975</v>
      </c>
      <c r="E2902" s="38" t="n">
        <f aca="false">Sens!$E$2899+Sens!$E$2901</f>
        <v>51.313</v>
      </c>
      <c r="F2902" s="38" t="n">
        <f aca="false">Sens!$F$2899+Sens!$F$2901</f>
        <v>60.4617121086123</v>
      </c>
      <c r="G2902" s="38" t="n">
        <f aca="false">Sens!$G$2899+Sens!$G$2901</f>
        <v>111.774712108612</v>
      </c>
      <c r="H2902" s="38" t="n">
        <f aca="false">Sens!$H$2899+Sens!$H$2901</f>
        <v>145.864059956434</v>
      </c>
      <c r="I2902" s="38" t="n">
        <f aca="false">Sens!$I$2899+Sens!$I$2901</f>
        <v>173.643755828486</v>
      </c>
      <c r="J2902" s="38" t="n">
        <f aca="false">Sens!$J$2899+Sens!$J$2901</f>
        <v>198.29261862478</v>
      </c>
      <c r="K2902" s="38" t="n">
        <f aca="false">Sens!$K$2899+Sens!$K$2901</f>
        <v>218.804245710606</v>
      </c>
      <c r="L2902" s="38" t="n">
        <f aca="false">Sens!$L$2899+Sens!$L$2901</f>
        <v>235.472250088121</v>
      </c>
      <c r="M2902" s="38" t="n">
        <f aca="false">Sens!$M$2899+Sens!$M$2901</f>
        <v>248.31150048583</v>
      </c>
      <c r="N2902" s="38" t="n">
        <f aca="false">Sens!$N$2899+Sens!$N$2901</f>
        <v>37.576</v>
      </c>
      <c r="O2902" s="38" t="n">
        <f aca="false">Sens!$O$2899+Sens!$O$2901</f>
        <v>42.399</v>
      </c>
    </row>
    <row r="2903" customFormat="false" ht="17.15" hidden="false" customHeight="false" outlineLevel="0" collapsed="false">
      <c r="A2903" s="0" t="s">
        <v>749</v>
      </c>
      <c r="B2903" s="0" t="s">
        <v>52</v>
      </c>
      <c r="C2903" s="13" t="n">
        <f aca="false">Sens!$C$2889/Sens!$C$2874</f>
        <v>0.0644314665661928</v>
      </c>
      <c r="D2903" s="13" t="n">
        <f aca="false">Sens!$D$2889/Sens!$D$2874</f>
        <v>0.0694784250712518</v>
      </c>
      <c r="E2903" s="13" t="n">
        <f aca="false">Sens!$E$2889/Sens!$E$2874</f>
        <v>0.0789306463326071</v>
      </c>
      <c r="F2903" s="13" t="n">
        <f aca="false">Sens!$F$2889/Sens!$F$2874</f>
        <v>0.0801757457241943</v>
      </c>
      <c r="G2903" s="13" t="n">
        <f aca="false">Sens!$G$2889/Sens!$G$2874</f>
        <v>0.0795932749625682</v>
      </c>
      <c r="H2903" s="13" t="n">
        <f aca="false">Sens!$H$2889/Sens!$H$2874</f>
        <v>0.0799146847086879</v>
      </c>
      <c r="I2903" s="13" t="n">
        <f aca="false">Sens!$I$2889/Sens!$I$2874</f>
        <v>0.0776041768484706</v>
      </c>
      <c r="J2903" s="13" t="n">
        <f aca="false">Sens!$J$2889/Sens!$J$2874</f>
        <v>0.0750126933646227</v>
      </c>
      <c r="K2903" s="13" t="n">
        <f aca="false">Sens!$K$2889/Sens!$K$2874</f>
        <v>0.0733041855536604</v>
      </c>
      <c r="L2903" s="13" t="n">
        <f aca="false">Sens!$L$2889/Sens!$L$2874</f>
        <v>0.0724862686552019</v>
      </c>
      <c r="M2903" s="13" t="n">
        <f aca="false">Sens!$M$2889/Sens!$M$2874</f>
        <v>0.0742485836193302</v>
      </c>
      <c r="N2903" s="13" t="n">
        <f aca="false">Sens!$N$2889/Sens!$N$2874</f>
        <v>0.069228576611127</v>
      </c>
      <c r="O2903" s="13" t="n">
        <f aca="false">Sens!$O$2889/Sens!$O$2874</f>
        <v>0.069685022498393</v>
      </c>
    </row>
    <row r="2904" customFormat="false" ht="17.15" hidden="false" customHeight="false" outlineLevel="0" collapsed="false">
      <c r="A2904" s="0" t="s">
        <v>750</v>
      </c>
      <c r="B2904" s="0" t="s">
        <v>52</v>
      </c>
      <c r="C2904" s="13" t="n">
        <f aca="false">Sens!$C$2894/Sens!$C$2875</f>
        <v>0.026534925055631</v>
      </c>
      <c r="D2904" s="13" t="n">
        <f aca="false">Sens!$D$2894/Sens!$D$2875</f>
        <v>0.0293401855535103</v>
      </c>
      <c r="E2904" s="13" t="n">
        <f aca="false">Sens!$E$2894/Sens!$E$2875</f>
        <v>0.03831141902276</v>
      </c>
      <c r="F2904" s="13" t="n">
        <f aca="false">Sens!$F$2894/Sens!$F$2875</f>
        <v>0.0281350107328284</v>
      </c>
      <c r="G2904" s="13" t="n">
        <f aca="false">Sens!$G$2894/Sens!$G$2875</f>
        <v>0.0327600029432073</v>
      </c>
      <c r="H2904" s="13" t="n">
        <f aca="false">Sens!$H$2894/Sens!$H$2875</f>
        <v>0.0310761770746498</v>
      </c>
      <c r="I2904" s="13" t="n">
        <f aca="false">Sens!$I$2894/Sens!$I$2875</f>
        <v>0.0267372544695368</v>
      </c>
      <c r="J2904" s="13" t="n">
        <f aca="false">Sens!$J$2894/Sens!$J$2875</f>
        <v>0.022054375017622</v>
      </c>
      <c r="K2904" s="13" t="n">
        <f aca="false">Sens!$K$2894/Sens!$K$2875</f>
        <v>0.0181498270363982</v>
      </c>
      <c r="L2904" s="13" t="n">
        <f aca="false">Sens!$L$2894/Sens!$L$2875</f>
        <v>0.0176780584188019</v>
      </c>
      <c r="M2904" s="13" t="n">
        <f aca="false">Sens!$M$2894/Sens!$M$2875</f>
        <v>0.0197945287419324</v>
      </c>
      <c r="N2904" s="13" t="n">
        <f aca="false">Sens!$N$2894/Sens!$N$2875</f>
        <v>0.0357315650169337</v>
      </c>
      <c r="O2904" s="13" t="n">
        <f aca="false">Sens!$O$2894/Sens!$O$2875</f>
        <v>0.0244378956559703</v>
      </c>
    </row>
    <row r="2905" customFormat="false" ht="17.15" hidden="false" customHeight="false" outlineLevel="0" collapsed="false">
      <c r="A2905" s="14" t="s">
        <v>751</v>
      </c>
      <c r="B2905" s="14" t="s">
        <v>52</v>
      </c>
      <c r="C2905" s="17" t="n">
        <f aca="false">Sens!$C$2897/Sens!$C$2876</f>
        <v>0.370355907620217</v>
      </c>
      <c r="D2905" s="17" t="n">
        <f aca="false">Sens!$D$2897/Sens!$D$2876</f>
        <v>0.35429015342785</v>
      </c>
      <c r="E2905" s="17" t="n">
        <f aca="false">Sens!$E$2897/Sens!$E$2876</f>
        <v>0.385647527531039</v>
      </c>
      <c r="F2905" s="17" t="n">
        <f aca="false">Sens!$F$2897/Sens!$F$2876</f>
        <v>0.390008895496028</v>
      </c>
      <c r="G2905" s="17" t="n">
        <f aca="false">Sens!$G$2897/Sens!$G$2876</f>
        <v>0.387918733944362</v>
      </c>
      <c r="H2905" s="17" t="n">
        <f aca="false">Sens!$H$2897/Sens!$H$2876</f>
        <v>0.374476431300086</v>
      </c>
      <c r="I2905" s="17" t="n">
        <f aca="false">Sens!$I$2897/Sens!$I$2876</f>
        <v>0.349577506658632</v>
      </c>
      <c r="J2905" s="17" t="n">
        <f aca="false">Sens!$J$2897/Sens!$J$2876</f>
        <v>0.327287447845731</v>
      </c>
      <c r="K2905" s="17" t="n">
        <f aca="false">Sens!$K$2897/Sens!$K$2876</f>
        <v>0.310977277271486</v>
      </c>
      <c r="L2905" s="17" t="n">
        <f aca="false">Sens!$L$2897/Sens!$L$2876</f>
        <v>0.300697843178645</v>
      </c>
      <c r="M2905" s="17" t="n">
        <f aca="false">Sens!$M$2897/Sens!$M$2876</f>
        <v>0.291296444455406</v>
      </c>
      <c r="N2905" s="17" t="n">
        <f aca="false">Sens!$N$2897/Sens!$N$2876</f>
        <v>0.360941137346192</v>
      </c>
      <c r="O2905" s="17" t="n">
        <f aca="false">Sens!$O$2897/Sens!$O$2876</f>
        <v>0.348458117664212</v>
      </c>
    </row>
    <row r="2906" customFormat="false" ht="17.15" hidden="false" customHeight="false" outlineLevel="0" collapsed="false">
      <c r="A2906" s="0" t="s">
        <v>752</v>
      </c>
      <c r="B2906" s="0" t="s">
        <v>52</v>
      </c>
      <c r="C2906" s="13" t="n">
        <f aca="false">Sens!$C$2895/Sens!$C$2877</f>
        <v>0.708390794789371</v>
      </c>
      <c r="D2906" s="13" t="n">
        <f aca="false">Sens!$D$2895/Sens!$D$2877</f>
        <v>0.619415573115729</v>
      </c>
      <c r="E2906" s="13" t="n">
        <f aca="false">Sens!$E$2895/Sens!$E$2877</f>
        <v>0.374072166056273</v>
      </c>
      <c r="F2906" s="13" t="n">
        <f aca="false">Sens!$F$2895/Sens!$F$2877</f>
        <v>0.553219320710057</v>
      </c>
      <c r="G2906" s="13" t="n">
        <f aca="false">Sens!$G$2895/Sens!$G$2877</f>
        <v>0.488270041527512</v>
      </c>
      <c r="H2906" s="13" t="n">
        <f aca="false">Sens!$H$2895/Sens!$H$2877</f>
        <v>0.42397537261424</v>
      </c>
      <c r="I2906" s="13" t="n">
        <f aca="false">Sens!$I$2895/Sens!$I$2877</f>
        <v>0.338300322552309</v>
      </c>
      <c r="J2906" s="13" t="n">
        <f aca="false">Sens!$J$2895/Sens!$J$2877</f>
        <v>0.288011814789856</v>
      </c>
      <c r="K2906" s="13" t="n">
        <f aca="false">Sens!$K$2895/Sens!$K$2877</f>
        <v>0.25765427518774</v>
      </c>
      <c r="L2906" s="13" t="n">
        <f aca="false">Sens!$L$2895/Sens!$L$2877</f>
        <v>0.238118778012374</v>
      </c>
      <c r="M2906" s="13" t="n">
        <f aca="false">Sens!$M$2895/Sens!$M$2877</f>
        <v>0.216344393088576</v>
      </c>
      <c r="N2906" s="13" t="n">
        <f aca="false">Sens!$N$2895/Sens!$N$2877</f>
        <v>0.551227795793364</v>
      </c>
      <c r="O2906" s="13" t="n">
        <f aca="false">Sens!$O$2895/Sens!$O$2877</f>
        <v>0.656132068597002</v>
      </c>
    </row>
    <row r="2907" customFormat="false" ht="15" hidden="false" customHeight="false" outlineLevel="0" collapsed="false">
      <c r="A2907" s="5" t="s">
        <v>753</v>
      </c>
      <c r="B2907" s="0" t="s">
        <v>52</v>
      </c>
      <c r="C2907" s="13" t="n">
        <f aca="false">Sens!$C$2899/Sens!$C$2879</f>
        <v>0.107519448742004</v>
      </c>
      <c r="D2907" s="13" t="n">
        <f aca="false">Sens!$D$2899/Sens!$D$2879</f>
        <v>0.111552967957552</v>
      </c>
      <c r="E2907" s="13" t="n">
        <f aca="false">Sens!$E$2899/Sens!$E$2879</f>
        <v>0.13428328426562</v>
      </c>
      <c r="F2907" s="13" t="n">
        <f aca="false">Sens!$F$2899/Sens!$F$2879</f>
        <v>0.130089413875539</v>
      </c>
      <c r="G2907" s="13" t="n">
        <f aca="false">Sens!$G$2899/Sens!$G$2879</f>
        <v>0.132048786678316</v>
      </c>
      <c r="H2907" s="13" t="n">
        <f aca="false">Sens!$H$2899/Sens!$H$2879</f>
        <v>0.138706674642252</v>
      </c>
      <c r="I2907" s="13" t="n">
        <f aca="false">Sens!$I$2899/Sens!$I$2879</f>
        <v>0.138530573241604</v>
      </c>
      <c r="J2907" s="13" t="n">
        <f aca="false">Sens!$J$2899/Sens!$J$2879</f>
        <v>0.136351610380139</v>
      </c>
      <c r="K2907" s="13" t="n">
        <f aca="false">Sens!$K$2899/Sens!$K$2879</f>
        <v>0.134121753638162</v>
      </c>
      <c r="L2907" s="13" t="n">
        <f aca="false">Sens!$L$2899/Sens!$L$2879</f>
        <v>0.132335413574212</v>
      </c>
      <c r="M2907" s="13" t="n">
        <f aca="false">Sens!$M$2899/Sens!$M$2879</f>
        <v>0.130861949972938</v>
      </c>
      <c r="N2907" s="13" t="n">
        <f aca="false">Sens!$N$2899/Sens!$N$2879</f>
        <v>0.116201614873411</v>
      </c>
      <c r="O2907" s="13" t="n">
        <f aca="false">Sens!$O$2899/Sens!$O$2879</f>
        <v>0.107733353660861</v>
      </c>
    </row>
    <row r="2908" customFormat="false" ht="17.15" hidden="false" customHeight="false" outlineLevel="0" collapsed="false">
      <c r="A2908" s="1" t="s">
        <v>754</v>
      </c>
    </row>
    <row r="2909" customFormat="false" ht="17.15" hidden="false" customHeight="false" outlineLevel="0" collapsed="false">
      <c r="A2909" s="5" t="s">
        <v>755</v>
      </c>
      <c r="B2909" s="0" t="s">
        <v>52</v>
      </c>
      <c r="D2909" s="28" t="n">
        <f aca="false">(Q!$E$29+Q!$E$30-(1-ext_sh)*Sens!$D$2831)/Sens!$D$2782</f>
        <v>0.0341105596409988</v>
      </c>
    </row>
    <row r="2910" customFormat="false" ht="17.15" hidden="false" customHeight="false" outlineLevel="0" collapsed="false">
      <c r="A2910" s="0" t="s">
        <v>545</v>
      </c>
      <c r="B2910" s="0" t="s">
        <v>86</v>
      </c>
      <c r="C2910" s="38" t="n">
        <f aca="false">Q!$D$29</f>
        <v>14.285</v>
      </c>
      <c r="D2910" s="38" t="n">
        <f aca="false">Q!$E$29</f>
        <v>15.503</v>
      </c>
      <c r="E2910" s="38" t="n">
        <f aca="false">Q!$P$29</f>
        <v>8.78</v>
      </c>
      <c r="F2910" s="38" t="n">
        <f aca="false">(Sens!$D$2909*Sens!$F$2782+(1-ext_sh)*Sens!$F$2831)*Sens!$F$2783</f>
        <v>9.16735846116642</v>
      </c>
      <c r="G2910" s="38" t="n">
        <f aca="false">Sens!$E$2910+Sens!$F$2910</f>
        <v>17.9473584611664</v>
      </c>
      <c r="H2910" s="38" t="n">
        <f aca="false">(Sens!$D$2909*Sens!$H$2782+(1-ext_sh)*Sens!$H$2831)*Sens!$H$2783</f>
        <v>21.763064248397</v>
      </c>
      <c r="I2910" s="38" t="n">
        <f aca="false">(Sens!$D$2909*Sens!$I$2782+(1-ext_sh)*Sens!$I$2831)*Sens!$I$2783</f>
        <v>27.8018737783393</v>
      </c>
      <c r="J2910" s="38" t="n">
        <f aca="false">(Sens!$D$2909*Sens!$J$2782+(1-ext_sh)*Sens!$J$2831)*Sens!$J$2783</f>
        <v>34.1085606174579</v>
      </c>
      <c r="K2910" s="38" t="n">
        <f aca="false">(Sens!$D$2909*Sens!$K$2782+(1-ext_sh)*Sens!$K$2831)*Sens!$K$2783</f>
        <v>39.7218983009068</v>
      </c>
      <c r="L2910" s="38" t="n">
        <f aca="false">(Sens!$D$2909*Sens!$L$2782+(1-ext_sh)*Sens!$L$2831)*Sens!$L$2783</f>
        <v>44.1680279486684</v>
      </c>
      <c r="M2910" s="38" t="n">
        <f aca="false">(Sens!$D$2909*Sens!$M$2782+(1-ext_sh)*Sens!$M$2831)*Sens!$M$2783</f>
        <v>47.6876030592083</v>
      </c>
      <c r="N2910" s="38" t="n">
        <f aca="false">Q!$N$29</f>
        <v>7.272</v>
      </c>
      <c r="O2910" s="38" t="n">
        <f aca="false">Q!$O$29</f>
        <v>8.231</v>
      </c>
    </row>
    <row r="2911" customFormat="false" ht="17.15" hidden="false" customHeight="false" outlineLevel="0" collapsed="false">
      <c r="A2911" s="0" t="s">
        <v>547</v>
      </c>
      <c r="B2911" s="0" t="s">
        <v>86</v>
      </c>
      <c r="C2911" s="38" t="n">
        <f aca="false">Q!$D$30</f>
        <v>4.462</v>
      </c>
      <c r="D2911" s="38" t="n">
        <f aca="false">Q!$E$30</f>
        <v>4.907</v>
      </c>
      <c r="E2911" s="38" t="n">
        <f aca="false">Q!$P$30</f>
        <v>2.57</v>
      </c>
      <c r="F2911" s="38" t="n">
        <f aca="false">(Sens!$D$2909*Sens!$F$2782+(1-ext_sh)*Sens!$F$2831)*(1-Sens!$F$2783)</f>
        <v>3.59937168293151</v>
      </c>
      <c r="G2911" s="38" t="n">
        <f aca="false">Sens!$E$2911+Sens!$F$2911</f>
        <v>6.16937168293151</v>
      </c>
      <c r="H2911" s="38" t="n">
        <f aca="false">(Sens!$D$2909*Sens!$H$2782+(1-ext_sh)*Sens!$H$2831)*(1-Sens!$H$2783)</f>
        <v>8.3360333977464</v>
      </c>
      <c r="I2911" s="38" t="n">
        <f aca="false">(Sens!$D$2909*Sens!$I$2782+(1-ext_sh)*Sens!$I$2831)*(1-Sens!$I$2783)</f>
        <v>10.6491138238144</v>
      </c>
      <c r="J2911" s="38" t="n">
        <f aca="false">(Sens!$D$2909*Sens!$J$2782+(1-ext_sh)*Sens!$J$2831)*(1-Sens!$J$2783)</f>
        <v>13.0648008575874</v>
      </c>
      <c r="K2911" s="38" t="n">
        <f aca="false">(Sens!$D$2909*Sens!$K$2782+(1-ext_sh)*Sens!$K$2831)*(1-Sens!$K$2783)</f>
        <v>15.2149103214008</v>
      </c>
      <c r="L2911" s="38" t="n">
        <f aca="false">(Sens!$D$2909*Sens!$L$2782+(1-ext_sh)*Sens!$L$2831)*(1-Sens!$L$2783)</f>
        <v>16.9179372854085</v>
      </c>
      <c r="M2911" s="38" t="n">
        <f aca="false">(Sens!$D$2909*Sens!$M$2782+(1-ext_sh)*Sens!$M$2831)*(1-Sens!$M$2783)</f>
        <v>18.2660606623589</v>
      </c>
      <c r="N2911" s="38" t="n">
        <f aca="false">Q!$N$30</f>
        <v>2.316</v>
      </c>
      <c r="O2911" s="38" t="n">
        <f aca="false">Q!$O$30</f>
        <v>2.591</v>
      </c>
    </row>
    <row r="2912" customFormat="false" ht="17.15" hidden="false" customHeight="false" outlineLevel="0" collapsed="false">
      <c r="A2912" s="0" t="s">
        <v>548</v>
      </c>
      <c r="B2912" s="0" t="s">
        <v>86</v>
      </c>
      <c r="C2912" s="38" t="n">
        <f aca="false">Sens!$C$2843</f>
        <v>13.32</v>
      </c>
      <c r="D2912" s="38" t="n">
        <f aca="false">Sens!$D$2843</f>
        <v>21.45</v>
      </c>
      <c r="E2912" s="38" t="n">
        <f aca="false">Sens!$E$2843</f>
        <v>15.353</v>
      </c>
      <c r="F2912" s="38" t="n">
        <f aca="false">Sens!$F$2843</f>
        <v>15.4404120185306</v>
      </c>
      <c r="G2912" s="38" t="n">
        <f aca="false">Sens!$G$2843</f>
        <v>30.7934120185306</v>
      </c>
      <c r="H2912" s="38" t="n">
        <f aca="false">Sens!$H$2843</f>
        <v>48.9272041107004</v>
      </c>
      <c r="I2912" s="38" t="n">
        <f aca="false">Sens!$I$2843</f>
        <v>76.1020216890588</v>
      </c>
      <c r="J2912" s="38" t="n">
        <f aca="false">Sens!$J$2843</f>
        <v>105.296127931746</v>
      </c>
      <c r="K2912" s="38" t="n">
        <f aca="false">Sens!$K$2843</f>
        <v>131.454694001511</v>
      </c>
      <c r="L2912" s="38" t="n">
        <f aca="false">Sens!$L$2843</f>
        <v>150.840456981405</v>
      </c>
      <c r="M2912" s="38" t="n">
        <f aca="false">Sens!$M$2843</f>
        <v>164.761997459639</v>
      </c>
      <c r="N2912" s="38" t="n">
        <f aca="false">Sens!$N$2843</f>
        <v>9.234</v>
      </c>
      <c r="O2912" s="38" t="n">
        <f aca="false">Sens!$O$2843</f>
        <v>12.216</v>
      </c>
    </row>
    <row r="2913" customFormat="false" ht="17.15" hidden="false" customHeight="false" outlineLevel="0" collapsed="false">
      <c r="A2913" s="5" t="s">
        <v>756</v>
      </c>
      <c r="B2913" s="0" t="s">
        <v>86</v>
      </c>
      <c r="C2913" s="38" t="n">
        <f aca="false">Sens!$C$2910+Sens!$C$2911+Sens!$C$2912</f>
        <v>32.067</v>
      </c>
      <c r="D2913" s="38" t="n">
        <f aca="false">Sens!$D$2910+Sens!$D$2911+Sens!$D$2912</f>
        <v>41.86</v>
      </c>
      <c r="E2913" s="38" t="n">
        <f aca="false">Sens!$E$2910+Sens!$E$2911+Sens!$E$2912</f>
        <v>26.703</v>
      </c>
      <c r="F2913" s="38" t="n">
        <f aca="false">Sens!$F$2910+Sens!$F$2911+Sens!$F$2912</f>
        <v>28.2071421626285</v>
      </c>
      <c r="G2913" s="38" t="n">
        <f aca="false">Sens!$G$2910+Sens!$G$2911+Sens!$G$2912</f>
        <v>54.9101421626285</v>
      </c>
      <c r="H2913" s="38" t="n">
        <f aca="false">Sens!$H$2910+Sens!$H$2911+Sens!$H$2912</f>
        <v>79.0263017568438</v>
      </c>
      <c r="I2913" s="38" t="n">
        <f aca="false">Sens!$I$2910+Sens!$I$2911+Sens!$I$2912</f>
        <v>114.553009291212</v>
      </c>
      <c r="J2913" s="38" t="n">
        <f aca="false">Sens!$J$2910+Sens!$J$2911+Sens!$J$2912</f>
        <v>152.469489406791</v>
      </c>
      <c r="K2913" s="38" t="n">
        <f aca="false">Sens!$K$2910+Sens!$K$2911+Sens!$K$2912</f>
        <v>186.391502623819</v>
      </c>
      <c r="L2913" s="38" t="n">
        <f aca="false">Sens!$L$2910+Sens!$L$2911+Sens!$L$2912</f>
        <v>211.926422215482</v>
      </c>
      <c r="M2913" s="38" t="n">
        <f aca="false">Sens!$M$2910+Sens!$M$2911+Sens!$M$2912</f>
        <v>230.715661181206</v>
      </c>
      <c r="N2913" s="38" t="n">
        <f aca="false">Sens!$N$2910+Sens!$N$2911+Sens!$N$2912</f>
        <v>18.822</v>
      </c>
      <c r="O2913" s="38" t="n">
        <f aca="false">Sens!$O$2910+Sens!$O$2911+Sens!$O$2912</f>
        <v>23.038</v>
      </c>
    </row>
    <row r="2914" customFormat="false" ht="17.15" hidden="false" customHeight="false" outlineLevel="0" collapsed="false">
      <c r="A2914" s="0" t="s">
        <v>757</v>
      </c>
      <c r="B2914" s="0" t="s">
        <v>86</v>
      </c>
      <c r="C2914" s="38" t="n">
        <f aca="false">Sens!$C$2885+Sens!$C$2890</f>
        <v>28.107</v>
      </c>
      <c r="D2914" s="38" t="n">
        <f aca="false">Sens!$D$2885+Sens!$D$2890</f>
        <v>34.3175</v>
      </c>
      <c r="E2914" s="38" t="n">
        <f aca="false">Sens!$E$2885+Sens!$E$2890</f>
        <v>18.526</v>
      </c>
      <c r="F2914" s="38" t="n">
        <f aca="false">Sens!$F$2885+Sens!$F$2890</f>
        <v>23.0786109972074</v>
      </c>
      <c r="G2914" s="38" t="n">
        <f aca="false">Sens!$G$2885+Sens!$G$2890</f>
        <v>41.6046109972074</v>
      </c>
      <c r="H2914" s="38" t="n">
        <f aca="false">Sens!$H$2885+Sens!$H$2890</f>
        <v>49.9484611939488</v>
      </c>
      <c r="I2914" s="38" t="n">
        <f aca="false">Sens!$I$2885+Sens!$I$2890</f>
        <v>58.2915555477481</v>
      </c>
      <c r="J2914" s="38" t="n">
        <f aca="false">Sens!$J$2885+Sens!$J$2890</f>
        <v>66.0744709709759</v>
      </c>
      <c r="K2914" s="38" t="n">
        <f aca="false">Sens!$K$2885+Sens!$K$2890</f>
        <v>72.6819180680735</v>
      </c>
      <c r="L2914" s="38" t="n">
        <f aca="false">Sens!$L$2885+Sens!$L$2890</f>
        <v>79.9501098748808</v>
      </c>
      <c r="M2914" s="38" t="n">
        <f aca="false">Sens!$M$2885+Sens!$M$2890</f>
        <v>87.9451208623689</v>
      </c>
      <c r="N2914" s="38" t="n">
        <f aca="false">Sens!$N$2885+Sens!$N$2890</f>
        <v>14.8075</v>
      </c>
      <c r="O2914" s="38" t="n">
        <f aca="false">Sens!$O$2885+Sens!$O$2890</f>
        <v>19.51</v>
      </c>
    </row>
    <row r="2915" customFormat="false" ht="17.15" hidden="false" customHeight="false" outlineLevel="0" collapsed="false">
      <c r="A2915" s="0" t="s">
        <v>758</v>
      </c>
      <c r="B2915" s="0" t="s">
        <v>86</v>
      </c>
      <c r="C2915" s="38" t="n">
        <f aca="false">Sens!$C$2889+Sens!$C$2894+Sens!$C$2910+Sens!$C$2911-Sens!$C$2914</f>
        <v>19.399</v>
      </c>
      <c r="D2915" s="38" t="n">
        <f aca="false">Sens!$D$2889+Sens!$D$2894+Sens!$D$2910+Sens!$D$2911-Sens!$D$2914</f>
        <v>20.4615</v>
      </c>
      <c r="E2915" s="38" t="n">
        <f aca="false">Sens!$E$2889+Sens!$E$2894+Sens!$E$2910+Sens!$E$2911-Sens!$E$2914</f>
        <v>13.355</v>
      </c>
      <c r="F2915" s="38" t="n">
        <f aca="false">Sens!$F$2889+Sens!$F$2894+Sens!$F$2910+Sens!$F$2911-Sens!$F$2914</f>
        <v>12.5520732018618</v>
      </c>
      <c r="G2915" s="38" t="n">
        <f aca="false">Sens!$G$2889+Sens!$G$2894+Sens!$G$2910+Sens!$G$2911-Sens!$G$2914</f>
        <v>25.9070732018618</v>
      </c>
      <c r="H2915" s="38" t="n">
        <f aca="false">Sens!$H$2889+Sens!$H$2894+Sens!$H$2910+Sens!$H$2911-Sens!$H$2914</f>
        <v>28.0233335906818</v>
      </c>
      <c r="I2915" s="38" t="n">
        <f aca="false">Sens!$I$2889+Sens!$I$2894+Sens!$I$2910+Sens!$I$2911-Sens!$I$2914</f>
        <v>30.2440066606864</v>
      </c>
      <c r="J2915" s="38" t="n">
        <f aca="false">Sens!$J$2889+Sens!$J$2894+Sens!$J$2910+Sens!$J$2911-Sens!$J$2914</f>
        <v>32.4596500296286</v>
      </c>
      <c r="K2915" s="38" t="n">
        <f aca="false">Sens!$K$2889+Sens!$K$2894+Sens!$K$2910+Sens!$K$2911-Sens!$K$2914</f>
        <v>34.8394259711541</v>
      </c>
      <c r="L2915" s="38" t="n">
        <f aca="false">Sens!$L$2889+Sens!$L$2894+Sens!$L$2910+Sens!$L$2911-Sens!$L$2914</f>
        <v>36.4424209524427</v>
      </c>
      <c r="M2915" s="38" t="n">
        <f aca="false">Sens!$M$2889+Sens!$M$2894+Sens!$M$2910+Sens!$M$2911-Sens!$M$2914</f>
        <v>38.8413540019876</v>
      </c>
      <c r="N2915" s="38" t="n">
        <f aca="false">Sens!$N$2889+Sens!$N$2894+Sens!$N$2910+Sens!$N$2911-Sens!$N$2914</f>
        <v>10.6495</v>
      </c>
      <c r="O2915" s="38" t="n">
        <f aca="false">Sens!$O$2889+Sens!$O$2894+Sens!$O$2910+Sens!$O$2911-Sens!$O$2914</f>
        <v>9.81200000000001</v>
      </c>
    </row>
    <row r="2916" customFormat="false" ht="17.15" hidden="false" customHeight="false" outlineLevel="0" collapsed="false">
      <c r="A2916" s="0" t="s">
        <v>759</v>
      </c>
      <c r="B2916" s="0" t="s">
        <v>86</v>
      </c>
      <c r="C2916" s="38" t="n">
        <f aca="false">Sens!$C$2896+Sens!$C$2912-ext_sh*Sens!$C$2831</f>
        <v>51.3470500115664</v>
      </c>
      <c r="D2916" s="38" t="n">
        <f aca="false">Sens!$D$2896+Sens!$D$2912-ext_sh*Sens!$D$2831</f>
        <v>60.2799375433739</v>
      </c>
      <c r="E2916" s="38" t="n">
        <f aca="false">Sens!$E$2896+Sens!$E$2912-ext_sh*Sens!$E$2831</f>
        <v>39.5095167090767</v>
      </c>
      <c r="F2916" s="38" t="n">
        <f aca="false">Sens!$F$2896+Sens!$F$2912-ext_sh*Sens!$F$2831</f>
        <v>37.5468918745429</v>
      </c>
      <c r="G2916" s="38" t="n">
        <f aca="false">Sens!$G$2896+Sens!$G$2912-ext_sh*Sens!$G$2831</f>
        <v>77.0564085836196</v>
      </c>
      <c r="H2916" s="38" t="n">
        <f aca="false">Sens!$H$2896+Sens!$H$2912-ext_sh*Sens!$H$2831</f>
        <v>84.2378398616123</v>
      </c>
      <c r="I2916" s="38" t="n">
        <f aca="false">Sens!$I$2896+Sens!$I$2912-ext_sh*Sens!$I$2831</f>
        <v>93.5253492849083</v>
      </c>
      <c r="J2916" s="38" t="n">
        <f aca="false">Sens!$J$2896+Sens!$J$2912-ext_sh*Sens!$J$2831</f>
        <v>102.42210777817</v>
      </c>
      <c r="K2916" s="38" t="n">
        <f aca="false">Sens!$K$2896+Sens!$K$2912-ext_sh*Sens!$K$2831</f>
        <v>110.615876400424</v>
      </c>
      <c r="L2916" s="38" t="n">
        <f aca="false">Sens!$L$2896+Sens!$L$2912-ext_sh*Sens!$L$2831</f>
        <v>119.465146512458</v>
      </c>
      <c r="M2916" s="38" t="n">
        <f aca="false">Sens!$M$2896+Sens!$M$2912-ext_sh*Sens!$M$2831</f>
        <v>129.022358233455</v>
      </c>
      <c r="N2916" s="38" t="n">
        <f aca="false">Sens!$N$2896+Sens!$N$2912-ext_sh*Sens!$N$2831</f>
        <v>28.5693781401809</v>
      </c>
      <c r="O2916" s="38" t="n">
        <f aca="false">Sens!$O$2896+Sens!$O$2912-ext_sh*Sens!$O$2831</f>
        <v>31.7105594031931</v>
      </c>
    </row>
    <row r="2917" customFormat="false" ht="17.15" hidden="false" customHeight="false" outlineLevel="0" collapsed="false">
      <c r="A2917" s="0" t="s">
        <v>760</v>
      </c>
      <c r="B2917" s="0" t="s">
        <v>86</v>
      </c>
      <c r="C2917" s="38" t="n">
        <f aca="false">Sens!$C$2834</f>
        <v>1.80694998843362</v>
      </c>
      <c r="D2917" s="38" t="n">
        <f aca="false">Sens!$D$2834</f>
        <v>6.77606245662607</v>
      </c>
      <c r="E2917" s="38" t="n">
        <f aca="false">Sens!$E$2834</f>
        <v>6.62548329092326</v>
      </c>
      <c r="F2917" s="38" t="n">
        <f aca="false">Sens!$F$2834</f>
        <v>11.7200577158706</v>
      </c>
      <c r="G2917" s="38" t="n">
        <f aca="false">Sens!$G$2834</f>
        <v>18.3455410067939</v>
      </c>
      <c r="H2917" s="38" t="n">
        <f aca="false">Sens!$H$2834</f>
        <v>47.5171727060453</v>
      </c>
      <c r="I2917" s="38" t="n">
        <f aca="false">Sens!$I$2834</f>
        <v>80.5539692643667</v>
      </c>
      <c r="J2917" s="38" t="n">
        <f aca="false">Sens!$J$2834</f>
        <v>113.759316834883</v>
      </c>
      <c r="K2917" s="38" t="n">
        <f aca="false">Sens!$K$2834</f>
        <v>142.084411492169</v>
      </c>
      <c r="L2917" s="38" t="n">
        <f aca="false">Sens!$L$2834</f>
        <v>160.69964615804</v>
      </c>
      <c r="M2917" s="38" t="n">
        <f aca="false">Sens!$M$2834</f>
        <v>169.577607141793</v>
      </c>
      <c r="N2917" s="38" t="n">
        <f aca="false">Sens!$N$2834</f>
        <v>2.37162185981912</v>
      </c>
      <c r="O2917" s="38" t="n">
        <f aca="false">Sens!$O$2834</f>
        <v>4.40444059680694</v>
      </c>
    </row>
    <row r="2918" customFormat="false" ht="17.15" hidden="false" customHeight="false" outlineLevel="0" collapsed="false">
      <c r="A2918" s="0" t="s">
        <v>761</v>
      </c>
      <c r="B2918" s="0" t="s">
        <v>86</v>
      </c>
      <c r="C2918" s="38" t="n">
        <f aca="false">Sens!$C$2899+Sens!$C$2913</f>
        <v>100.66</v>
      </c>
      <c r="D2918" s="38" t="n">
        <f aca="false">Sens!$D$2899+Sens!$D$2913</f>
        <v>121.835</v>
      </c>
      <c r="E2918" s="38" t="n">
        <f aca="false">Sens!$E$2899+Sens!$E$2913</f>
        <v>78.016</v>
      </c>
      <c r="F2918" s="38" t="n">
        <f aca="false">Sens!$F$2899+Sens!$F$2913</f>
        <v>84.8976337894826</v>
      </c>
      <c r="G2918" s="38" t="n">
        <f aca="false">Sens!$G$2899+Sens!$G$2913</f>
        <v>162.913633789483</v>
      </c>
      <c r="H2918" s="38" t="n">
        <f aca="false">Sens!$H$2899+Sens!$H$2913</f>
        <v>209.726807352288</v>
      </c>
      <c r="I2918" s="38" t="n">
        <f aca="false">Sens!$I$2899+Sens!$I$2913</f>
        <v>262.61488075771</v>
      </c>
      <c r="J2918" s="38" t="n">
        <f aca="false">Sens!$J$2899+Sens!$J$2913</f>
        <v>314.715545613658</v>
      </c>
      <c r="K2918" s="38" t="n">
        <f aca="false">Sens!$K$2899+Sens!$K$2913</f>
        <v>360.221631931821</v>
      </c>
      <c r="L2918" s="38" t="n">
        <f aca="false">Sens!$L$2899+Sens!$L$2913</f>
        <v>396.557323497822</v>
      </c>
      <c r="M2918" s="38" t="n">
        <f aca="false">Sens!$M$2899+Sens!$M$2913</f>
        <v>425.386440239605</v>
      </c>
      <c r="N2918" s="38" t="n">
        <f aca="false">Sens!$N$2899+Sens!$N$2913</f>
        <v>56.398</v>
      </c>
      <c r="O2918" s="38" t="n">
        <f aca="false">Sens!$O$2899+Sens!$O$2913</f>
        <v>65.437</v>
      </c>
    </row>
    <row r="2919" customFormat="false" ht="17.15" hidden="false" customHeight="false" outlineLevel="0" collapsed="false">
      <c r="A2919" s="1" t="s">
        <v>762</v>
      </c>
    </row>
    <row r="2920" customFormat="false" ht="15" hidden="false" customHeight="false" outlineLevel="0" collapsed="false">
      <c r="A2920" s="5" t="s">
        <v>551</v>
      </c>
      <c r="B2920" s="0" t="s">
        <v>86</v>
      </c>
      <c r="C2920" s="38" t="n">
        <f aca="false">Q!$D$34</f>
        <v>2.406</v>
      </c>
      <c r="D2920" s="38" t="n">
        <f aca="false">Q!$E$34</f>
        <v>2.274</v>
      </c>
      <c r="E2920" s="38" t="n">
        <f aca="false">Q!$P$34</f>
        <v>2.114</v>
      </c>
      <c r="F2920" s="38" t="n">
        <f aca="false">Sens!$F$2958</f>
        <v>3.24888962733561</v>
      </c>
      <c r="G2920" s="38" t="n">
        <f aca="false">Sens!$E$2920+Sens!$F$2920</f>
        <v>5.36288962733561</v>
      </c>
      <c r="H2920" s="38" t="n">
        <f aca="false">Sens!$H$2958</f>
        <v>7.42354172302123</v>
      </c>
      <c r="I2920" s="38" t="n">
        <f aca="false">Sens!$I$2958</f>
        <v>7.98703736284503</v>
      </c>
      <c r="J2920" s="38" t="n">
        <f aca="false">Sens!$J$2958</f>
        <v>9.06989127147696</v>
      </c>
      <c r="K2920" s="38" t="n">
        <f aca="false">Sens!$K$2958</f>
        <v>9.06989127147696</v>
      </c>
      <c r="L2920" s="38" t="n">
        <f aca="false">Sens!$L$2958</f>
        <v>9.06989127147696</v>
      </c>
      <c r="M2920" s="38" t="n">
        <f aca="false">Sens!$M$2958</f>
        <v>9.06989127147696</v>
      </c>
      <c r="N2920" s="38" t="n">
        <f aca="false">Q!$N$34</f>
        <v>1.057</v>
      </c>
      <c r="O2920" s="38" t="n">
        <f aca="false">Q!$O$34</f>
        <v>1.217</v>
      </c>
    </row>
    <row r="2921" customFormat="false" ht="15" hidden="false" customHeight="false" outlineLevel="0" collapsed="false">
      <c r="A2921" s="5" t="s">
        <v>763</v>
      </c>
      <c r="B2921" s="0" t="s">
        <v>86</v>
      </c>
      <c r="F2921" s="38" t="n">
        <f aca="false">Sens!$F$2959</f>
        <v>2.59</v>
      </c>
      <c r="H2921" s="38" t="n">
        <f aca="false">Sens!$H$2959</f>
        <v>4.08686619135883</v>
      </c>
      <c r="I2921" s="38" t="n">
        <f aca="false">Sens!$I$2959</f>
        <v>2.10589651022864</v>
      </c>
      <c r="J2921" s="38" t="n">
        <f aca="false">Sens!$J$2959</f>
        <v>2.10589651022864</v>
      </c>
      <c r="K2921" s="38" t="n">
        <f aca="false">Sens!$K$2959</f>
        <v>3.10700263910998</v>
      </c>
      <c r="L2921" s="38" t="n">
        <f aca="false">Sens!$L$2959</f>
        <v>8.17237576130118</v>
      </c>
      <c r="M2921" s="38" t="n">
        <f aca="false">Sens!$M$2959</f>
        <v>15.7085297926424</v>
      </c>
    </row>
    <row r="2922" customFormat="false" ht="17.15" hidden="false" customHeight="false" outlineLevel="0" collapsed="false">
      <c r="A2922" s="5" t="s">
        <v>764</v>
      </c>
      <c r="B2922" s="0" t="s">
        <v>86</v>
      </c>
      <c r="C2922" s="38" t="n">
        <f aca="false">Q!$D$39</f>
        <v>2.427</v>
      </c>
      <c r="D2922" s="38" t="n">
        <f aca="false">Q!$E$39</f>
        <v>19.61</v>
      </c>
      <c r="E2922" s="38" t="n">
        <f aca="false">Q!$P$39</f>
        <v>71.492</v>
      </c>
      <c r="F2922" s="39" t="n">
        <v>0</v>
      </c>
      <c r="G2922" s="38" t="n">
        <f aca="false">Sens!$E$2922+Sens!$F$2922</f>
        <v>71.492</v>
      </c>
      <c r="H2922" s="39" t="n">
        <v>0</v>
      </c>
      <c r="I2922" s="39" t="n">
        <v>0</v>
      </c>
      <c r="J2922" s="39" t="n">
        <v>0</v>
      </c>
      <c r="K2922" s="39" t="n">
        <v>0</v>
      </c>
      <c r="L2922" s="39" t="n">
        <v>0</v>
      </c>
      <c r="M2922" s="39" t="n">
        <v>0</v>
      </c>
      <c r="N2922" s="38" t="n">
        <f aca="false">Q!$N$39</f>
        <v>6.017</v>
      </c>
      <c r="O2922" s="38" t="n">
        <f aca="false">Q!$O$39</f>
        <v>13.593</v>
      </c>
      <c r="P2922" s="5" t="s">
        <v>765</v>
      </c>
    </row>
    <row r="2923" customFormat="false" ht="15" hidden="false" customHeight="false" outlineLevel="0" collapsed="false">
      <c r="A2923" s="5" t="s">
        <v>554</v>
      </c>
      <c r="B2923" s="0" t="s">
        <v>86</v>
      </c>
      <c r="C2923" s="38" t="n">
        <f aca="false">Q!$D$36</f>
        <v>68.614</v>
      </c>
      <c r="D2923" s="38" t="n">
        <f aca="false">Q!$E$36</f>
        <v>97.311</v>
      </c>
      <c r="E2923" s="38" t="n">
        <f aca="false">Q!$P$36</f>
        <v>120.691</v>
      </c>
      <c r="F2923" s="38" t="n">
        <f aca="false">Sens!$F$2899-Sens!$F$2920+Sens!$F$2921+Sens!$F$2922</f>
        <v>56.0316019995185</v>
      </c>
      <c r="G2923" s="38" t="n">
        <f aca="false">Sens!$E$2923+Sens!$F$2923</f>
        <v>176.722601999518</v>
      </c>
      <c r="H2923" s="38" t="n">
        <f aca="false">Sens!$H$2899-Sens!$H$2920+Sens!$H$2921+Sens!$H$2922</f>
        <v>127.363830063782</v>
      </c>
      <c r="I2923" s="38" t="n">
        <f aca="false">Sens!$I$2899-Sens!$I$2920+Sens!$I$2921+Sens!$I$2922</f>
        <v>142.180730613881</v>
      </c>
      <c r="J2923" s="38" t="n">
        <f aca="false">Sens!$J$2899-Sens!$J$2920+Sens!$J$2921+Sens!$J$2922</f>
        <v>155.282061445619</v>
      </c>
      <c r="K2923" s="38" t="n">
        <f aca="false">Sens!$K$2899-Sens!$K$2920+Sens!$K$2921+Sens!$K$2922</f>
        <v>167.867240675635</v>
      </c>
      <c r="L2923" s="38" t="n">
        <f aca="false">Sens!$L$2899-Sens!$L$2920+Sens!$L$2921+Sens!$L$2922</f>
        <v>183.733385772164</v>
      </c>
      <c r="M2923" s="38" t="n">
        <f aca="false">Sens!$M$2899-Sens!$M$2920+Sens!$M$2921+Sens!$M$2922</f>
        <v>201.309417579564</v>
      </c>
      <c r="N2923" s="38" t="n">
        <f aca="false">Q!$N$36</f>
        <v>42.536</v>
      </c>
      <c r="O2923" s="38" t="n">
        <f aca="false">Q!$O$36</f>
        <v>54.775</v>
      </c>
    </row>
    <row r="2924" customFormat="false" ht="15" hidden="false" customHeight="false" outlineLevel="0" collapsed="false">
      <c r="A2924" s="5" t="s">
        <v>555</v>
      </c>
      <c r="B2924" s="0" t="s">
        <v>86</v>
      </c>
      <c r="C2924" s="38" t="n">
        <f aca="false">Q!$D$37</f>
        <v>9.265</v>
      </c>
      <c r="D2924" s="38" t="n">
        <f aca="false">Q!$E$37</f>
        <v>19.087</v>
      </c>
      <c r="E2924" s="38" t="n">
        <f aca="false">Q!$P$37</f>
        <v>27.759</v>
      </c>
      <c r="F2924" s="38" t="n">
        <f aca="false">Sens!$F$2923*tax</f>
        <v>9.72621910890414</v>
      </c>
      <c r="G2924" s="38" t="n">
        <f aca="false">Sens!$E$2924+Sens!$F$2924</f>
        <v>37.4852191089041</v>
      </c>
      <c r="H2924" s="38" t="n">
        <f aca="false">Sens!$H$2923*tax</f>
        <v>22.1083901502624</v>
      </c>
      <c r="I2924" s="38" t="n">
        <f aca="false">Sens!$I$2923*tax</f>
        <v>24.6803748182421</v>
      </c>
      <c r="J2924" s="38" t="n">
        <f aca="false">Sens!$J$2923*tax</f>
        <v>26.9545631287748</v>
      </c>
      <c r="K2924" s="38" t="n">
        <f aca="false">Sens!$K$2923*tax</f>
        <v>29.1391555078579</v>
      </c>
      <c r="L2924" s="38" t="n">
        <f aca="false">Sens!$L$2923*tax</f>
        <v>31.8932727937394</v>
      </c>
      <c r="M2924" s="38" t="n">
        <f aca="false">Sens!$M$2923*tax</f>
        <v>34.944199954903</v>
      </c>
      <c r="N2924" s="38" t="n">
        <f aca="false">Q!$N$37</f>
        <v>7.231</v>
      </c>
      <c r="O2924" s="38" t="n">
        <f aca="false">Q!$O$37</f>
        <v>11.856</v>
      </c>
    </row>
    <row r="2925" customFormat="false" ht="15" hidden="false" customHeight="false" outlineLevel="0" collapsed="false">
      <c r="A2925" s="3" t="s">
        <v>556</v>
      </c>
      <c r="B2925" s="8" t="s">
        <v>86</v>
      </c>
      <c r="C2925" s="38" t="n">
        <f aca="false">Q!$D$38</f>
        <v>59.248</v>
      </c>
      <c r="D2925" s="38" t="n">
        <f aca="false">Q!$E$38</f>
        <v>77.67</v>
      </c>
      <c r="E2925" s="38" t="n">
        <f aca="false">Q!$P$38</f>
        <v>92.902</v>
      </c>
      <c r="F2925" s="38" t="n">
        <f aca="false">Sens!$F$2923-Sens!$F$2924</f>
        <v>46.3053828906144</v>
      </c>
      <c r="G2925" s="38" t="n">
        <f aca="false">Sens!$E$2925+Sens!$F$2925</f>
        <v>139.207382890614</v>
      </c>
      <c r="H2925" s="38" t="n">
        <f aca="false">Sens!$H$2923-Sens!$H$2924</f>
        <v>105.25543991352</v>
      </c>
      <c r="I2925" s="38" t="n">
        <f aca="false">Sens!$I$2923-Sens!$I$2924</f>
        <v>117.500355795639</v>
      </c>
      <c r="J2925" s="38" t="n">
        <f aca="false">Sens!$J$2923-Sens!$J$2924</f>
        <v>128.327498316844</v>
      </c>
      <c r="K2925" s="38" t="n">
        <f aca="false">Sens!$K$2923-Sens!$K$2924</f>
        <v>138.728085167777</v>
      </c>
      <c r="L2925" s="38" t="n">
        <f aca="false">Sens!$L$2923-Sens!$L$2924</f>
        <v>151.840112978425</v>
      </c>
      <c r="M2925" s="38" t="n">
        <f aca="false">Sens!$M$2923-Sens!$M$2924</f>
        <v>166.365217624661</v>
      </c>
      <c r="N2925" s="38" t="n">
        <f aca="false">Q!$N$38</f>
        <v>35.291</v>
      </c>
      <c r="O2925" s="38" t="n">
        <f aca="false">Q!$O$38</f>
        <v>42.379</v>
      </c>
    </row>
    <row r="2926" customFormat="false" ht="17.15" hidden="false" customHeight="false" outlineLevel="0" collapsed="false">
      <c r="A2926" s="5" t="s">
        <v>559</v>
      </c>
      <c r="B2926" s="5" t="s">
        <v>33</v>
      </c>
      <c r="C2926" s="22" t="n">
        <f aca="false">Q!$D$41</f>
        <v>10.721</v>
      </c>
      <c r="D2926" s="22" t="n">
        <f aca="false">Q!$E$41</f>
        <v>10.827</v>
      </c>
      <c r="E2926" s="22" t="n">
        <f aca="false">(Q!$L$41+Q!$M$41)/2</f>
        <v>10.8885</v>
      </c>
      <c r="F2926" s="22" t="n">
        <f aca="false">Sens!$G$2926</f>
        <v>10.924806</v>
      </c>
      <c r="G2926" s="22" t="n">
        <f aca="false">Q!$M$41*(1+sh_g*0.25)</f>
        <v>10.924806</v>
      </c>
      <c r="H2926" s="22" t="n">
        <f aca="false">Sens!$G$2926*(1+sh_g)</f>
        <v>11.012204448</v>
      </c>
      <c r="I2926" s="22" t="n">
        <f aca="false">Sens!$H$2926*(1+sh_g)</f>
        <v>11.100302083584</v>
      </c>
      <c r="J2926" s="22" t="n">
        <f aca="false">Sens!$I$2926*(1+sh_g)</f>
        <v>11.1891045002527</v>
      </c>
      <c r="K2926" s="22" t="n">
        <f aca="false">Sens!$J$2926*(1+sh_g)</f>
        <v>11.2786173362547</v>
      </c>
      <c r="L2926" s="22" t="n">
        <f aca="false">Sens!$K$2926*(1+sh_g)</f>
        <v>11.3688462749447</v>
      </c>
      <c r="M2926" s="22" t="n">
        <f aca="false">Sens!$L$2926*(1+sh_g)</f>
        <v>11.4597970451443</v>
      </c>
      <c r="P2926" s="5" t="s">
        <v>766</v>
      </c>
    </row>
    <row r="2927" customFormat="false" ht="17.15" hidden="false" customHeight="false" outlineLevel="0" collapsed="false">
      <c r="A2927" s="5" t="s">
        <v>767</v>
      </c>
      <c r="B2927" s="0" t="s">
        <v>86</v>
      </c>
      <c r="C2927" s="38" t="n">
        <f aca="false">Sens!$C$2925+Sens!$C$2901*(1-tax)</f>
        <v>59.248</v>
      </c>
      <c r="D2927" s="38" t="n">
        <f aca="false">Sens!$D$2925+Sens!$D$2901*(1-tax)</f>
        <v>77.67</v>
      </c>
      <c r="E2927" s="38" t="n">
        <f aca="false">Sens!$E$2925+Sens!$E$2901*(1-tax)</f>
        <v>92.902</v>
      </c>
      <c r="F2927" s="38" t="n">
        <f aca="false">Sens!$F$2925+Sens!$F$2901*(1-tax)</f>
        <v>49.421977850263</v>
      </c>
      <c r="G2927" s="38" t="n">
        <f aca="false">Sens!$G$2925+Sens!$G$2901*(1-tax)</f>
        <v>142.323977850263</v>
      </c>
      <c r="H2927" s="38" t="n">
        <f aca="false">Sens!$H$2925+Sens!$H$2901*(1-tax)</f>
        <v>117.786835868864</v>
      </c>
      <c r="I2927" s="38" t="n">
        <f aca="false">Sens!$I$2925+Sens!$I$2901*(1-tax)</f>
        <v>138.641620870578</v>
      </c>
      <c r="J2927" s="38" t="n">
        <f aca="false">Sens!$J$2925+Sens!$J$2901*(1-tax)</f>
        <v>158.116935261128</v>
      </c>
      <c r="K2927" s="38" t="n">
        <f aca="false">Sens!$K$2925+Sens!$K$2901*(1-tax)</f>
        <v>175.895390864436</v>
      </c>
      <c r="L2927" s="38" t="n">
        <f aca="false">Sens!$L$2925+Sens!$L$2901*(1-tax)</f>
        <v>193.85619031898</v>
      </c>
      <c r="M2927" s="38" t="n">
        <f aca="false">Sens!$M$2925+Sens!$M$2901*(1-tax)</f>
        <v>210.694739815501</v>
      </c>
      <c r="N2927" s="38" t="n">
        <f aca="false">Sens!$N$2925+Sens!$N$2901*(1-tax)</f>
        <v>35.291</v>
      </c>
      <c r="O2927" s="38" t="n">
        <f aca="false">Sens!$O$2925+Sens!$O$2901*(1-tax)</f>
        <v>42.379</v>
      </c>
    </row>
    <row r="2928" customFormat="false" ht="17.15" hidden="false" customHeight="false" outlineLevel="0" collapsed="false">
      <c r="A2928" s="43" t="s">
        <v>768</v>
      </c>
      <c r="B2928" s="14" t="s">
        <v>27</v>
      </c>
      <c r="C2928" s="44" t="n">
        <f aca="false">Sens!$C$2927/Sens!$C$2926</f>
        <v>5.52635015390355</v>
      </c>
      <c r="D2928" s="44" t="n">
        <f aca="false">Sens!$D$2927/Sens!$D$2926</f>
        <v>7.1737323358271</v>
      </c>
      <c r="E2928" s="44" t="n">
        <f aca="false">Sens!$E$2927/Sens!$E$2926</f>
        <v>8.53212104513937</v>
      </c>
      <c r="F2928" s="14"/>
      <c r="G2928" s="44" t="n">
        <f aca="false">Sens!$G$2927/Sens!$G$2926</f>
        <v>13.0275977303636</v>
      </c>
      <c r="H2928" s="44" t="n">
        <f aca="false">Sens!$H$2927/Sens!$H$2926</f>
        <v>10.6960269785271</v>
      </c>
      <c r="I2928" s="44" t="n">
        <f aca="false">Sens!$I$2927/Sens!$I$2926</f>
        <v>12.4898962052224</v>
      </c>
      <c r="J2928" s="44" t="n">
        <f aca="false">Sens!$J$2927/Sens!$J$2926</f>
        <v>14.1313306402275</v>
      </c>
      <c r="K2928" s="44" t="n">
        <f aca="false">Sens!$K$2927/Sens!$K$2926</f>
        <v>15.5954746597375</v>
      </c>
      <c r="L2928" s="44" t="n">
        <f aca="false">Sens!$L$2927/Sens!$L$2926</f>
        <v>17.0515270970116</v>
      </c>
      <c r="M2928" s="44" t="n">
        <f aca="false">Sens!$M$2927/Sens!$M$2926</f>
        <v>18.3855559557904</v>
      </c>
      <c r="N2928" s="14"/>
      <c r="O2928" s="14"/>
    </row>
    <row r="2929" customFormat="false" ht="17.15" hidden="false" customHeight="false" outlineLevel="0" collapsed="false">
      <c r="A2929" s="0" t="s">
        <v>769</v>
      </c>
      <c r="B2929" s="0" t="s">
        <v>27</v>
      </c>
      <c r="C2929" s="30" t="n">
        <f aca="false">Sens!$C$2925/Sens!$C$2926</f>
        <v>5.52635015390355</v>
      </c>
      <c r="D2929" s="30" t="n">
        <f aca="false">Sens!$D$2925/Sens!$D$2926</f>
        <v>7.1737323358271</v>
      </c>
      <c r="E2929" s="30" t="n">
        <f aca="false">Sens!$E$2925/Sens!$E$2926</f>
        <v>8.53212104513937</v>
      </c>
      <c r="G2929" s="30" t="n">
        <f aca="false">Sens!$G$2925/Sens!$G$2926</f>
        <v>12.7423208147233</v>
      </c>
      <c r="H2929" s="30" t="n">
        <f aca="false">Sens!$H$2925/Sens!$H$2926</f>
        <v>9.55807172038436</v>
      </c>
      <c r="I2929" s="30" t="n">
        <f aca="false">Sens!$I$2925/Sens!$I$2926</f>
        <v>10.5853295622835</v>
      </c>
      <c r="J2929" s="30" t="n">
        <f aca="false">Sens!$J$2925/Sens!$J$2926</f>
        <v>11.4689695063574</v>
      </c>
      <c r="K2929" s="30" t="n">
        <f aca="false">Sens!$K$2925/Sens!$K$2926</f>
        <v>12.3000968143356</v>
      </c>
      <c r="L2929" s="30" t="n">
        <f aca="false">Sens!$L$2925/Sens!$L$2926</f>
        <v>13.3558066760967</v>
      </c>
      <c r="M2929" s="30" t="n">
        <f aca="false">Sens!$M$2925/Sens!$M$2926</f>
        <v>14.5172917957698</v>
      </c>
    </row>
    <row r="2930" customFormat="false" ht="17.15" hidden="false" customHeight="false" outlineLevel="0" collapsed="false">
      <c r="A2930" s="0" t="s">
        <v>770</v>
      </c>
      <c r="B2930" s="0" t="s">
        <v>27</v>
      </c>
      <c r="C2930" s="30" t="n">
        <f aca="false">(Sens!$C$2925-Sens!$C$2922*(1-tax))/Sens!$C$2926</f>
        <v>5.33926775917445</v>
      </c>
      <c r="D2930" s="30" t="n">
        <f aca="false">(Sens!$D$2925-Sens!$D$2922*(1-tax))/Sens!$D$2926</f>
        <v>5.67691812755503</v>
      </c>
      <c r="E2930" s="30" t="n">
        <f aca="false">(Sens!$E$2925-Sens!$E$2922*(1-tax))/Sens!$E$2926</f>
        <v>3.10602057006846</v>
      </c>
      <c r="G2930" s="30" t="n">
        <f aca="false">(Sens!$G$2925-Sens!$G$2922*(1-tax))/Sens!$G$2926</f>
        <v>7.33425269682635</v>
      </c>
      <c r="H2930" s="30" t="n">
        <f aca="false">(Sens!$H$2925-Sens!$H$2922*(1-tax))/Sens!$H$2926</f>
        <v>9.55807172038436</v>
      </c>
      <c r="I2930" s="30" t="n">
        <f aca="false">(Sens!$I$2925-Sens!$I$2922*(1-tax))/Sens!$I$2926</f>
        <v>10.5853295622835</v>
      </c>
      <c r="J2930" s="30" t="n">
        <f aca="false">(Sens!$J$2925-Sens!$J$2922*(1-tax))/Sens!$J$2926</f>
        <v>11.4689695063574</v>
      </c>
      <c r="K2930" s="30" t="n">
        <f aca="false">(Sens!$K$2925-Sens!$K$2922*(1-tax))/Sens!$K$2926</f>
        <v>12.3000968143356</v>
      </c>
      <c r="L2930" s="30" t="n">
        <f aca="false">(Sens!$L$2925-Sens!$L$2922*(1-tax))/Sens!$L$2926</f>
        <v>13.3558066760967</v>
      </c>
      <c r="M2930" s="30" t="n">
        <f aca="false">(Sens!$M$2925-Sens!$M$2922*(1-tax))/Sens!$M$2926</f>
        <v>14.5172917957698</v>
      </c>
      <c r="P2930" s="5" t="s">
        <v>771</v>
      </c>
    </row>
    <row r="2931" customFormat="false" ht="17.15" hidden="false" customHeight="false" outlineLevel="0" collapsed="false">
      <c r="A2931" s="0" t="s">
        <v>772</v>
      </c>
      <c r="B2931" s="0" t="s">
        <v>52</v>
      </c>
      <c r="H2931" s="13" t="n">
        <f aca="false">Sens!$H$2928/Sens!$G$2928-1</f>
        <v>-0.178971656946567</v>
      </c>
      <c r="I2931" s="13" t="n">
        <f aca="false">Sens!$I$2928/Sens!$H$2928-1</f>
        <v>0.167713603405876</v>
      </c>
      <c r="J2931" s="13" t="n">
        <f aca="false">Sens!$J$2928/Sens!$I$2928-1</f>
        <v>0.131420982851626</v>
      </c>
      <c r="K2931" s="13" t="n">
        <f aca="false">Sens!$K$2928/Sens!$J$2928-1</f>
        <v>0.103609777223813</v>
      </c>
      <c r="L2931" s="13" t="n">
        <f aca="false">Sens!$L$2928/Sens!$K$2928-1</f>
        <v>0.093363778214022</v>
      </c>
      <c r="M2931" s="13" t="n">
        <f aca="false">Sens!$M$2928/Sens!$L$2928-1</f>
        <v>0.078235154610435</v>
      </c>
    </row>
    <row r="2934" customFormat="false" ht="19.4" hidden="false" customHeight="false" outlineLevel="0" collapsed="false">
      <c r="A2934" s="31" t="s">
        <v>1210</v>
      </c>
    </row>
    <row r="2935" customFormat="false" ht="17.15" hidden="false" customHeight="false" outlineLevel="0" collapsed="false">
      <c r="A2935" s="6" t="s">
        <v>16</v>
      </c>
      <c r="B2935" s="6" t="s">
        <v>17</v>
      </c>
      <c r="C2935" s="20" t="s">
        <v>504</v>
      </c>
      <c r="D2935" s="20" t="s">
        <v>505</v>
      </c>
      <c r="E2935" s="20" t="s">
        <v>587</v>
      </c>
      <c r="F2935" s="20" t="s">
        <v>588</v>
      </c>
      <c r="G2935" s="20" t="s">
        <v>589</v>
      </c>
      <c r="H2935" s="20" t="s">
        <v>590</v>
      </c>
      <c r="I2935" s="20" t="s">
        <v>591</v>
      </c>
      <c r="J2935" s="20" t="s">
        <v>592</v>
      </c>
      <c r="K2935" s="20" t="s">
        <v>593</v>
      </c>
      <c r="L2935" s="20" t="s">
        <v>594</v>
      </c>
      <c r="M2935" s="20" t="s">
        <v>595</v>
      </c>
      <c r="N2935" s="20" t="s">
        <v>596</v>
      </c>
      <c r="O2935" s="20" t="s">
        <v>597</v>
      </c>
      <c r="P2935" s="6" t="s">
        <v>23</v>
      </c>
      <c r="R2935" s="20" t="n">
        <v>2023</v>
      </c>
      <c r="S2935" s="20" t="n">
        <v>2024</v>
      </c>
      <c r="T2935" s="20" t="n">
        <v>2025</v>
      </c>
      <c r="U2935" s="20" t="n">
        <v>2026</v>
      </c>
      <c r="V2935" s="20" t="n">
        <v>2027</v>
      </c>
      <c r="W2935" s="20" t="n">
        <v>2028</v>
      </c>
      <c r="X2935" s="20" t="n">
        <v>2029</v>
      </c>
      <c r="Y2935" s="20" t="n">
        <v>2030</v>
      </c>
      <c r="Z2935" s="20" t="n">
        <v>2031</v>
      </c>
      <c r="AA2935" s="20" t="n">
        <v>2032</v>
      </c>
    </row>
    <row r="2936" customFormat="false" ht="15" hidden="false" customHeight="false" outlineLevel="0" collapsed="false">
      <c r="A2936" s="5" t="s">
        <v>556</v>
      </c>
      <c r="B2936" s="0" t="s">
        <v>86</v>
      </c>
      <c r="C2936" s="38" t="n">
        <f aca="false">Sens!$C$2925</f>
        <v>59.248</v>
      </c>
      <c r="D2936" s="38" t="n">
        <f aca="false">Sens!$D$2925</f>
        <v>77.67</v>
      </c>
      <c r="E2936" s="38" t="n">
        <f aca="false">Sens!$E$2925</f>
        <v>92.902</v>
      </c>
      <c r="F2936" s="38" t="n">
        <f aca="false">Sens!$F$2925</f>
        <v>46.3053828906144</v>
      </c>
      <c r="G2936" s="38" t="n">
        <f aca="false">Sens!$G$2925</f>
        <v>139.207382890614</v>
      </c>
      <c r="H2936" s="38" t="n">
        <f aca="false">Sens!$H$2925</f>
        <v>105.25543991352</v>
      </c>
      <c r="I2936" s="38" t="n">
        <f aca="false">Sens!$I$2925</f>
        <v>117.500355795639</v>
      </c>
      <c r="J2936" s="38" t="n">
        <f aca="false">Sens!$J$2925</f>
        <v>128.327498316844</v>
      </c>
      <c r="K2936" s="38" t="n">
        <f aca="false">Sens!$K$2925</f>
        <v>138.728085167777</v>
      </c>
      <c r="L2936" s="38" t="n">
        <f aca="false">Sens!$L$2925</f>
        <v>151.840112978425</v>
      </c>
      <c r="M2936" s="38" t="n">
        <f aca="false">Sens!$M$2925</f>
        <v>166.365217624661</v>
      </c>
    </row>
    <row r="2937" customFormat="false" ht="17.15" hidden="false" customHeight="false" outlineLevel="0" collapsed="false">
      <c r="A2937" s="5" t="s">
        <v>795</v>
      </c>
      <c r="B2937" s="0" t="s">
        <v>86</v>
      </c>
      <c r="C2937" s="38" t="n">
        <f aca="false">Sens!$C$2913</f>
        <v>32.067</v>
      </c>
      <c r="D2937" s="38" t="n">
        <f aca="false">Sens!$D$2913</f>
        <v>41.86</v>
      </c>
      <c r="E2937" s="38" t="n">
        <f aca="false">Sens!$E$2913</f>
        <v>26.703</v>
      </c>
      <c r="F2937" s="38" t="n">
        <f aca="false">Sens!$F$2913</f>
        <v>28.2071421626285</v>
      </c>
      <c r="G2937" s="38" t="n">
        <f aca="false">Sens!$G$2913</f>
        <v>54.9101421626285</v>
      </c>
      <c r="H2937" s="38" t="n">
        <f aca="false">Sens!$H$2913</f>
        <v>79.0263017568438</v>
      </c>
      <c r="I2937" s="38" t="n">
        <f aca="false">Sens!$I$2913</f>
        <v>114.553009291212</v>
      </c>
      <c r="J2937" s="38" t="n">
        <f aca="false">Sens!$J$2913</f>
        <v>152.469489406791</v>
      </c>
      <c r="K2937" s="38" t="n">
        <f aca="false">Sens!$K$2913</f>
        <v>186.391502623819</v>
      </c>
      <c r="L2937" s="38" t="n">
        <f aca="false">Sens!$L$2913</f>
        <v>211.926422215482</v>
      </c>
      <c r="M2937" s="38" t="n">
        <f aca="false">Sens!$M$2913</f>
        <v>230.715661181206</v>
      </c>
    </row>
    <row r="2938" customFormat="false" ht="15" hidden="false" customHeight="false" outlineLevel="0" collapsed="false">
      <c r="A2938" s="5" t="s">
        <v>796</v>
      </c>
      <c r="B2938" s="0" t="s">
        <v>86</v>
      </c>
      <c r="C2938" s="38" t="n">
        <f aca="false">Q!$D$48</f>
        <v>22.011</v>
      </c>
      <c r="D2938" s="38" t="n">
        <f aca="false">Q!$E$48</f>
        <v>19.467</v>
      </c>
      <c r="E2938" s="38" t="n">
        <f aca="false">Q!$P$48</f>
        <v>10.07</v>
      </c>
      <c r="F2938" s="38" t="n">
        <f aca="false">sbc_r*Sens!$F$2855</f>
        <v>10.8507035798037</v>
      </c>
      <c r="G2938" s="38" t="n">
        <f aca="false">Sens!$E$2938+Sens!$F$2938</f>
        <v>20.9207035798037</v>
      </c>
      <c r="H2938" s="38" t="n">
        <f aca="false">sbc_r*Sens!$H$2855</f>
        <v>23.46224366345</v>
      </c>
      <c r="I2938" s="38" t="n">
        <f aca="false">sbc_r*Sens!$I$2855</f>
        <v>26.6125957111676</v>
      </c>
      <c r="J2938" s="38" t="n">
        <f aca="false">sbc_r*Sens!$J$2855</f>
        <v>29.6280801413323</v>
      </c>
      <c r="K2938" s="38" t="n">
        <f aca="false">sbc_r*Sens!$K$2855</f>
        <v>32.2712258901105</v>
      </c>
      <c r="L2938" s="38" t="n">
        <f aca="false">sbc_r*Sens!$L$2855</f>
        <v>34.7390505016737</v>
      </c>
      <c r="M2938" s="38" t="n">
        <f aca="false">sbc_r*Sens!$M$2855</f>
        <v>37.0405146906692</v>
      </c>
    </row>
    <row r="2939" customFormat="false" ht="17.15" hidden="false" customHeight="false" outlineLevel="0" collapsed="false">
      <c r="A2939" s="5" t="s">
        <v>797</v>
      </c>
      <c r="B2939" s="0" t="s">
        <v>86</v>
      </c>
      <c r="C2939" s="38" t="n">
        <f aca="false">Q!$D$44-Sens!$C$2936-Sens!$C$2937-Sens!$C$2938</f>
        <v>2.551</v>
      </c>
      <c r="D2939" s="38" t="n">
        <f aca="false">Q!$E$44-Sens!$D$2936-Sens!$D$2937-Sens!$D$2938</f>
        <v>0.51700000000001</v>
      </c>
      <c r="E2939" s="38" t="n">
        <f aca="false">Q!$P$44-Sens!$E$2936-Sens!$E$2937-Sens!$E$2938</f>
        <v>-58.256</v>
      </c>
      <c r="F2939" s="38" t="n">
        <f aca="false">oth_r*Sens!$F$2855</f>
        <v>5.22265251035878</v>
      </c>
      <c r="G2939" s="38" t="n">
        <f aca="false">Sens!$E$2939+Sens!$F$2939</f>
        <v>-53.0333474896412</v>
      </c>
      <c r="H2939" s="38" t="n">
        <f aca="false">oth_r*Sens!$H$2855</f>
        <v>11.2928295263397</v>
      </c>
      <c r="I2939" s="38" t="n">
        <f aca="false">oth_r*Sens!$I$2855</f>
        <v>12.8091546115766</v>
      </c>
      <c r="J2939" s="38" t="n">
        <f aca="false">oth_r*Sens!$J$2855</f>
        <v>14.2605653162668</v>
      </c>
      <c r="K2939" s="38" t="n">
        <f aca="false">oth_r*Sens!$K$2855</f>
        <v>15.5327622460396</v>
      </c>
      <c r="L2939" s="38" t="n">
        <f aca="false">oth_r*Sens!$L$2855</f>
        <v>16.720573737517</v>
      </c>
      <c r="M2939" s="38" t="n">
        <f aca="false">oth_r*Sens!$M$2855</f>
        <v>17.8283127551536</v>
      </c>
      <c r="P2939" s="8" t="s">
        <v>798</v>
      </c>
    </row>
    <row r="2940" customFormat="false" ht="15" hidden="false" customHeight="false" outlineLevel="0" collapsed="false">
      <c r="A2940" s="3" t="s">
        <v>562</v>
      </c>
      <c r="B2940" s="8" t="s">
        <v>86</v>
      </c>
      <c r="C2940" s="38" t="n">
        <f aca="false">Q!$D$44</f>
        <v>115.877</v>
      </c>
      <c r="D2940" s="38" t="n">
        <f aca="false">Q!$E$44</f>
        <v>139.514</v>
      </c>
      <c r="E2940" s="38" t="n">
        <f aca="false">Q!$P$44</f>
        <v>71.419</v>
      </c>
      <c r="F2940" s="38" t="n">
        <f aca="false">Sens!$F$2936+Sens!$F$2937+Sens!$F$2938+Sens!$F$2939</f>
        <v>90.5858811434053</v>
      </c>
      <c r="G2940" s="38" t="n">
        <f aca="false">Sens!$E$2940+Sens!$F$2940</f>
        <v>162.004881143405</v>
      </c>
      <c r="H2940" s="38" t="n">
        <f aca="false">Sens!$H$2936+Sens!$H$2937+Sens!$H$2938+Sens!$H$2939</f>
        <v>219.036814860153</v>
      </c>
      <c r="I2940" s="38" t="n">
        <f aca="false">Sens!$I$2936+Sens!$I$2937+Sens!$I$2938+Sens!$I$2939</f>
        <v>271.475115409595</v>
      </c>
      <c r="J2940" s="38" t="n">
        <f aca="false">Sens!$J$2936+Sens!$J$2937+Sens!$J$2938+Sens!$J$2939</f>
        <v>324.685633181234</v>
      </c>
      <c r="K2940" s="38" t="n">
        <f aca="false">Sens!$K$2936+Sens!$K$2937+Sens!$K$2938+Sens!$K$2939</f>
        <v>372.923575927746</v>
      </c>
      <c r="L2940" s="38" t="n">
        <f aca="false">Sens!$L$2936+Sens!$L$2937+Sens!$L$2938+Sens!$L$2939</f>
        <v>415.226159433097</v>
      </c>
      <c r="M2940" s="38" t="n">
        <f aca="false">Sens!$M$2936+Sens!$M$2937+Sens!$M$2938+Sens!$M$2939</f>
        <v>451.94970625169</v>
      </c>
    </row>
    <row r="2941" customFormat="false" ht="17.15" hidden="false" customHeight="false" outlineLevel="0" collapsed="false">
      <c r="A2941" s="5" t="s">
        <v>799</v>
      </c>
      <c r="B2941" s="0" t="s">
        <v>86</v>
      </c>
      <c r="C2941" s="38" t="n">
        <f aca="false">Sens!$C$2819</f>
        <v>25.2781053077374</v>
      </c>
      <c r="D2941" s="38" t="n">
        <f aca="false">Sens!$D$2819</f>
        <v>69.5686316310026</v>
      </c>
      <c r="E2941" s="38" t="n">
        <f aca="false">Sens!$E$2819</f>
        <v>64.1899206485108</v>
      </c>
      <c r="F2941" s="38" t="n">
        <f aca="false">Sens!$F$2819</f>
        <v>88.7165504612134</v>
      </c>
      <c r="G2941" s="38" t="n">
        <f aca="false">Sens!$G$2819</f>
        <v>152.906471109724</v>
      </c>
      <c r="H2941" s="38" t="n">
        <f aca="false">Sens!$H$2819</f>
        <v>198.57136494475</v>
      </c>
      <c r="I2941" s="38" t="n">
        <f aca="false">Sens!$I$2819</f>
        <v>204.6464699105</v>
      </c>
      <c r="J2941" s="38" t="n">
        <f aca="false">Sens!$J$2819</f>
        <v>209.8832381105</v>
      </c>
      <c r="K2941" s="38" t="n">
        <f aca="false">Sens!$K$2819</f>
        <v>155.238385275201</v>
      </c>
      <c r="L2941" s="38" t="n">
        <f aca="false">Sens!$L$2819</f>
        <v>132.014141639902</v>
      </c>
      <c r="M2941" s="38" t="n">
        <f aca="false">Sens!$M$2819</f>
        <v>132.230981659852</v>
      </c>
    </row>
    <row r="2942" customFormat="false" ht="17.15" hidden="false" customHeight="false" outlineLevel="0" collapsed="false">
      <c r="A2942" s="5" t="s">
        <v>800</v>
      </c>
      <c r="B2942" s="0" t="s">
        <v>86</v>
      </c>
      <c r="C2942" s="38" t="n">
        <f aca="false">cx_awso*Sens!$C$2853</f>
        <v>21.0469989286053</v>
      </c>
      <c r="D2942" s="38" t="n">
        <f aca="false">cx_awso*Sens!$D$2853</f>
        <v>24.0042459822698</v>
      </c>
      <c r="E2942" s="38" t="n">
        <f aca="false">cx_awso*Sens!$E$2853</f>
        <v>14.261729404886</v>
      </c>
      <c r="F2942" s="38" t="n">
        <f aca="false">cx_awso*Sens!$F$2853</f>
        <v>14.3538599588493</v>
      </c>
      <c r="G2942" s="38" t="n">
        <f aca="false">Sens!$E$2942+Sens!$F$2942</f>
        <v>28.6155893637353</v>
      </c>
      <c r="H2942" s="38" t="n">
        <f aca="false">cx_awso*Sens!$H$2853</f>
        <v>32.2034154158406</v>
      </c>
      <c r="I2942" s="38" t="n">
        <f aca="false">cx_awso*Sens!$I$2853</f>
        <v>35.7539519042915</v>
      </c>
      <c r="J2942" s="38" t="n">
        <f aca="false">cx_awso*Sens!$J$2853</f>
        <v>39.1551076091815</v>
      </c>
      <c r="K2942" s="38" t="n">
        <f aca="false">cx_awso*Sens!$K$2853</f>
        <v>42.287516217916</v>
      </c>
      <c r="L2942" s="38" t="n">
        <f aca="false">cx_awso*Sens!$L$2853</f>
        <v>45.6705175153492</v>
      </c>
      <c r="M2942" s="38" t="n">
        <f aca="false">cx_awso*Sens!$M$2853</f>
        <v>49.3241589165772</v>
      </c>
    </row>
    <row r="2943" customFormat="false" ht="17.15" hidden="false" customHeight="false" outlineLevel="0" collapsed="false">
      <c r="A2943" s="5" t="s">
        <v>801</v>
      </c>
      <c r="B2943" s="0" t="s">
        <v>86</v>
      </c>
      <c r="C2943" s="38" t="n">
        <f aca="false">Q!$D$46-Sens!$C$2941-Sens!$C$2942</f>
        <v>31.3328957636573</v>
      </c>
      <c r="D2943" s="38" t="n">
        <f aca="false">Q!$E$46-Sens!$D$2941-Sens!$D$2942</f>
        <v>34.7471223867276</v>
      </c>
      <c r="E2943" s="38" t="n">
        <f aca="false">Q!$P$46-Sens!$E$2941-Sens!$E$2942</f>
        <v>17.8583499466032</v>
      </c>
      <c r="F2943" s="38" t="n">
        <f aca="false">cx_rt*Sens!$F$2782</f>
        <v>20.6195895799373</v>
      </c>
      <c r="G2943" s="38" t="n">
        <f aca="false">Sens!$E$2943+Sens!$F$2943</f>
        <v>38.4779395265405</v>
      </c>
      <c r="H2943" s="38" t="n">
        <f aca="false">cx_rt*Sens!$H$2782</f>
        <v>42.5978994743075</v>
      </c>
      <c r="I2943" s="38" t="n">
        <f aca="false">cx_rt*Sens!$I$2782</f>
        <v>46.5813904136335</v>
      </c>
      <c r="J2943" s="38" t="n">
        <f aca="false">cx_rt*Sens!$J$2782</f>
        <v>50.2781676586844</v>
      </c>
      <c r="K2943" s="38" t="n">
        <f aca="false">cx_rt*Sens!$K$2782</f>
        <v>53.5312440191755</v>
      </c>
      <c r="L2943" s="38" t="n">
        <f aca="false">cx_rt*Sens!$L$2782</f>
        <v>57.0116717051447</v>
      </c>
      <c r="M2943" s="38" t="n">
        <f aca="false">cx_rt*Sens!$M$2782</f>
        <v>60.7365554669226</v>
      </c>
    </row>
    <row r="2944" customFormat="false" ht="15" hidden="false" customHeight="false" outlineLevel="0" collapsed="false">
      <c r="A2944" s="3" t="s">
        <v>802</v>
      </c>
      <c r="B2944" s="8" t="s">
        <v>86</v>
      </c>
      <c r="C2944" s="38" t="n">
        <f aca="false">Q!$D$46</f>
        <v>77.658</v>
      </c>
      <c r="D2944" s="38" t="n">
        <f aca="false">Q!$E$46</f>
        <v>128.32</v>
      </c>
      <c r="E2944" s="38" t="n">
        <f aca="false">Q!$P$46</f>
        <v>96.31</v>
      </c>
      <c r="F2944" s="38" t="n">
        <f aca="false">Sens!$F$2941+Sens!$F$2942+Sens!$F$2943</f>
        <v>123.69</v>
      </c>
      <c r="G2944" s="38" t="n">
        <f aca="false">Sens!$E$2944+Sens!$F$2944</f>
        <v>220</v>
      </c>
      <c r="H2944" s="38" t="n">
        <f aca="false">Sens!$H$2941+Sens!$H$2942+Sens!$H$2943</f>
        <v>273.372679834898</v>
      </c>
      <c r="I2944" s="38" t="n">
        <f aca="false">Sens!$I$2941+Sens!$I$2942+Sens!$I$2943</f>
        <v>286.981812228425</v>
      </c>
      <c r="J2944" s="38" t="n">
        <f aca="false">Sens!$J$2941+Sens!$J$2942+Sens!$J$2943</f>
        <v>299.316513378366</v>
      </c>
      <c r="K2944" s="38" t="n">
        <f aca="false">Sens!$K$2941+Sens!$K$2942+Sens!$K$2943</f>
        <v>251.057145512292</v>
      </c>
      <c r="L2944" s="38" t="n">
        <f aca="false">Sens!$L$2941+Sens!$L$2942+Sens!$L$2943</f>
        <v>234.696330860396</v>
      </c>
      <c r="M2944" s="38" t="n">
        <f aca="false">Sens!$M$2941+Sens!$M$2942+Sens!$M$2943</f>
        <v>242.291696043352</v>
      </c>
    </row>
    <row r="2945" customFormat="false" ht="17.15" hidden="false" customHeight="false" outlineLevel="0" collapsed="false">
      <c r="A2945" s="5" t="s">
        <v>570</v>
      </c>
      <c r="B2945" s="0" t="s">
        <v>86</v>
      </c>
      <c r="C2945" s="38" t="n">
        <f aca="false">Q!$D$50</f>
        <v>2.043</v>
      </c>
      <c r="D2945" s="38" t="n">
        <f aca="false">Q!$E$50</f>
        <v>1.557</v>
      </c>
      <c r="E2945" s="38" t="n">
        <f aca="false">lease_pr/2</f>
        <v>0.8</v>
      </c>
      <c r="F2945" s="38" t="n">
        <f aca="false">lease_pr/2</f>
        <v>0.8</v>
      </c>
      <c r="G2945" s="38" t="n">
        <f aca="false">Sens!$E$2945+Sens!$F$2945</f>
        <v>1.6</v>
      </c>
      <c r="H2945" s="38" t="n">
        <f aca="false">lease_pr</f>
        <v>1.6</v>
      </c>
      <c r="I2945" s="38" t="n">
        <f aca="false">lease_pr</f>
        <v>1.6</v>
      </c>
      <c r="J2945" s="38" t="n">
        <f aca="false">lease_pr</f>
        <v>1.6</v>
      </c>
      <c r="K2945" s="38" t="n">
        <f aca="false">lease_pr</f>
        <v>1.6</v>
      </c>
      <c r="L2945" s="38" t="n">
        <f aca="false">lease_pr</f>
        <v>1.6</v>
      </c>
      <c r="M2945" s="38" t="n">
        <f aca="false">lease_pr</f>
        <v>1.6</v>
      </c>
      <c r="P2945" s="8" t="s">
        <v>803</v>
      </c>
    </row>
    <row r="2946" customFormat="false" ht="15" hidden="false" customHeight="false" outlineLevel="0" collapsed="false">
      <c r="A2946" s="47" t="s">
        <v>804</v>
      </c>
      <c r="B2946" s="14" t="s">
        <v>86</v>
      </c>
      <c r="C2946" s="48" t="n">
        <f aca="false">Sens!$C$2940-Sens!$C$2944-Sens!$C$2945</f>
        <v>36.176</v>
      </c>
      <c r="D2946" s="48" t="n">
        <f aca="false">Sens!$D$2940-Sens!$D$2944-Sens!$D$2945</f>
        <v>9.63700000000002</v>
      </c>
      <c r="E2946" s="48" t="n">
        <f aca="false">Sens!$E$2940-Sens!$E$2944-Sens!$E$2945</f>
        <v>-25.691</v>
      </c>
      <c r="F2946" s="48" t="n">
        <f aca="false">Sens!$F$2940-Sens!$F$2944-Sens!$F$2945</f>
        <v>-33.9041188565947</v>
      </c>
      <c r="G2946" s="48" t="n">
        <f aca="false">Sens!$G$2940-Sens!$G$2944-Sens!$G$2945</f>
        <v>-59.5951188565947</v>
      </c>
      <c r="H2946" s="48" t="n">
        <f aca="false">Sens!$H$2940-Sens!$H$2944-Sens!$H$2945</f>
        <v>-55.9358649747451</v>
      </c>
      <c r="I2946" s="48" t="n">
        <f aca="false">Sens!$I$2940-Sens!$I$2944-Sens!$I$2945</f>
        <v>-17.1066968188298</v>
      </c>
      <c r="J2946" s="48" t="n">
        <f aca="false">Sens!$J$2940-Sens!$J$2944-Sens!$J$2945</f>
        <v>23.7691198028684</v>
      </c>
      <c r="K2946" s="48" t="n">
        <f aca="false">Sens!$K$2940-Sens!$K$2944-Sens!$K$2945</f>
        <v>120.266430415454</v>
      </c>
      <c r="L2946" s="48" t="n">
        <f aca="false">Sens!$L$2940-Sens!$L$2944-Sens!$L$2945</f>
        <v>178.929828572702</v>
      </c>
      <c r="M2946" s="48" t="n">
        <f aca="false">Sens!$M$2940-Sens!$M$2944-Sens!$M$2945</f>
        <v>208.058010208338</v>
      </c>
      <c r="N2946" s="14"/>
      <c r="O2946" s="14"/>
    </row>
    <row r="2947" customFormat="false" ht="17.15" hidden="false" customHeight="false" outlineLevel="0" collapsed="false">
      <c r="A2947" s="5" t="s">
        <v>805</v>
      </c>
      <c r="B2947" s="0" t="s">
        <v>86</v>
      </c>
      <c r="C2947" s="38" t="n">
        <f aca="false">dps*Sens!$C$2926</f>
        <v>0</v>
      </c>
      <c r="D2947" s="38" t="n">
        <f aca="false">dps*Sens!$D$2926</f>
        <v>0</v>
      </c>
      <c r="E2947" s="38" t="n">
        <f aca="false">dps*Sens!$E$2926</f>
        <v>0</v>
      </c>
      <c r="F2947" s="38" t="n">
        <f aca="false">0</f>
        <v>0</v>
      </c>
      <c r="G2947" s="38" t="n">
        <f aca="false">dps*Sens!$G$2926</f>
        <v>0</v>
      </c>
      <c r="H2947" s="38" t="n">
        <f aca="false">dps*Sens!$H$2926</f>
        <v>0</v>
      </c>
      <c r="I2947" s="38" t="n">
        <f aca="false">dps*Sens!$I$2926</f>
        <v>0</v>
      </c>
      <c r="J2947" s="38" t="n">
        <f aca="false">dps*Sens!$J$2926</f>
        <v>0</v>
      </c>
      <c r="K2947" s="38" t="n">
        <f aca="false">dps*Sens!$K$2926</f>
        <v>0</v>
      </c>
      <c r="L2947" s="38" t="n">
        <f aca="false">dps*Sens!$L$2926</f>
        <v>0</v>
      </c>
      <c r="M2947" s="38" t="n">
        <f aca="false">dps*Sens!$M$2926</f>
        <v>0</v>
      </c>
      <c r="P2947" s="8" t="s">
        <v>806</v>
      </c>
    </row>
    <row r="2948" customFormat="false" ht="17.15" hidden="false" customHeight="false" outlineLevel="0" collapsed="false">
      <c r="A2948" s="5" t="s">
        <v>807</v>
      </c>
      <c r="B2948" s="0" t="s">
        <v>86</v>
      </c>
      <c r="C2948" s="38" t="n">
        <f aca="false">0</f>
        <v>0</v>
      </c>
      <c r="D2948" s="38" t="n">
        <f aca="false">0</f>
        <v>0</v>
      </c>
      <c r="E2948" s="38" t="n">
        <f aca="false">0</f>
        <v>0</v>
      </c>
      <c r="F2948" s="38" t="n">
        <f aca="false">0</f>
        <v>0</v>
      </c>
      <c r="G2948" s="38" t="n">
        <f aca="false">0</f>
        <v>0</v>
      </c>
      <c r="H2948" s="38" t="n">
        <f aca="false">0</f>
        <v>0</v>
      </c>
      <c r="I2948" s="38" t="n">
        <f aca="false">0</f>
        <v>0</v>
      </c>
      <c r="J2948" s="38" t="n">
        <f aca="false">0</f>
        <v>0</v>
      </c>
      <c r="K2948" s="38" t="n">
        <f aca="false">0</f>
        <v>0</v>
      </c>
      <c r="L2948" s="38" t="n">
        <f aca="false">0</f>
        <v>0</v>
      </c>
      <c r="M2948" s="38" t="n">
        <f aca="false">0</f>
        <v>0</v>
      </c>
      <c r="P2948" s="8" t="s">
        <v>808</v>
      </c>
    </row>
    <row r="2949" customFormat="false" ht="15" hidden="false" customHeight="false" outlineLevel="0" collapsed="false">
      <c r="A2949" s="3" t="s">
        <v>809</v>
      </c>
      <c r="B2949" s="8" t="s">
        <v>86</v>
      </c>
      <c r="C2949" s="38" t="n">
        <f aca="false">Sens!$C$2946-Sens!$C$2947</f>
        <v>36.176</v>
      </c>
      <c r="D2949" s="38" t="n">
        <f aca="false">Sens!$D$2946-Sens!$D$2947</f>
        <v>9.63700000000002</v>
      </c>
      <c r="E2949" s="38" t="n">
        <f aca="false">Sens!$E$2946-Sens!$E$2947</f>
        <v>-25.691</v>
      </c>
      <c r="F2949" s="38" t="n">
        <f aca="false">Sens!$F$2946-Sens!$F$2947</f>
        <v>-33.9041188565947</v>
      </c>
      <c r="G2949" s="38" t="n">
        <f aca="false">Sens!$G$2946-Sens!$G$2947</f>
        <v>-59.5951188565947</v>
      </c>
      <c r="H2949" s="38" t="n">
        <f aca="false">Sens!$H$2946-Sens!$H$2947</f>
        <v>-55.9358649747451</v>
      </c>
      <c r="I2949" s="38" t="n">
        <f aca="false">Sens!$I$2946-Sens!$I$2947</f>
        <v>-17.1066968188298</v>
      </c>
      <c r="J2949" s="38" t="n">
        <f aca="false">Sens!$J$2946-Sens!$J$2947</f>
        <v>23.7691198028684</v>
      </c>
      <c r="K2949" s="38" t="n">
        <f aca="false">Sens!$K$2946-Sens!$K$2947</f>
        <v>120.266430415454</v>
      </c>
      <c r="L2949" s="38" t="n">
        <f aca="false">Sens!$L$2946-Sens!$L$2947</f>
        <v>178.929828572702</v>
      </c>
      <c r="M2949" s="38" t="n">
        <f aca="false">Sens!$M$2946-Sens!$M$2947</f>
        <v>208.058010208338</v>
      </c>
    </row>
    <row r="2950" customFormat="false" ht="17.15" hidden="false" customHeight="false" outlineLevel="0" collapsed="false">
      <c r="A2950" s="5" t="s">
        <v>810</v>
      </c>
      <c r="B2950" s="0" t="s">
        <v>86</v>
      </c>
      <c r="E2950" s="38" t="n">
        <f aca="false">Q!$P$53</f>
        <v>39.767</v>
      </c>
      <c r="F2950" s="38" t="n">
        <f aca="false">inv_2h26</f>
        <v>21.3</v>
      </c>
      <c r="G2950" s="38" t="n">
        <f aca="false">Sens!$E$2950+Sens!$F$2950</f>
        <v>61.067</v>
      </c>
      <c r="H2950" s="39" t="n">
        <v>0</v>
      </c>
      <c r="I2950" s="39" t="n">
        <v>0</v>
      </c>
      <c r="J2950" s="39" t="n">
        <v>0</v>
      </c>
      <c r="K2950" s="39" t="n">
        <v>0</v>
      </c>
      <c r="L2950" s="39" t="n">
        <v>0</v>
      </c>
      <c r="M2950" s="39" t="n">
        <v>0</v>
      </c>
    </row>
    <row r="2951" customFormat="false" ht="17.15" hidden="false" customHeight="false" outlineLevel="0" collapsed="false">
      <c r="A2951" s="5" t="s">
        <v>811</v>
      </c>
      <c r="B2951" s="0" t="s">
        <v>86</v>
      </c>
      <c r="F2951" s="38" t="n">
        <f aca="false">iss_2h26</f>
        <v>29.249999</v>
      </c>
      <c r="G2951" s="38" t="n">
        <f aca="false">Sens!$F$2951</f>
        <v>29.249999</v>
      </c>
      <c r="H2951" s="39" t="n">
        <v>0</v>
      </c>
      <c r="I2951" s="39" t="n">
        <v>0</v>
      </c>
      <c r="J2951" s="39" t="n">
        <v>0</v>
      </c>
      <c r="K2951" s="39" t="n">
        <v>0</v>
      </c>
      <c r="L2951" s="39" t="n">
        <v>0</v>
      </c>
      <c r="M2951" s="39" t="n">
        <v>0</v>
      </c>
    </row>
    <row r="2952" customFormat="false" ht="17.15" hidden="false" customHeight="false" outlineLevel="0" collapsed="false">
      <c r="A2952" s="5" t="s">
        <v>812</v>
      </c>
      <c r="B2952" s="0" t="s">
        <v>86</v>
      </c>
      <c r="F2952" s="38" t="n">
        <f aca="false">cash_q2</f>
        <v>122.988</v>
      </c>
      <c r="G2952" s="38" t="n">
        <f aca="false">cash_q2</f>
        <v>122.988</v>
      </c>
      <c r="H2952" s="38" t="n">
        <f aca="false">Sens!$G$2955</f>
        <v>97.0338801434053</v>
      </c>
      <c r="I2952" s="38" t="n">
        <f aca="false">Sens!$H$2955</f>
        <v>50</v>
      </c>
      <c r="J2952" s="38" t="n">
        <f aca="false">Sens!$I$2955</f>
        <v>50</v>
      </c>
      <c r="K2952" s="38" t="n">
        <f aca="false">Sens!$J$2955</f>
        <v>73.7691198028684</v>
      </c>
      <c r="L2952" s="38" t="n">
        <f aca="false">Sens!$K$2955</f>
        <v>194.035550218322</v>
      </c>
      <c r="M2952" s="38" t="n">
        <f aca="false">Sens!$L$2955</f>
        <v>372.965378791024</v>
      </c>
    </row>
    <row r="2953" customFormat="false" ht="15" hidden="false" customHeight="false" outlineLevel="0" collapsed="false">
      <c r="A2953" s="5" t="s">
        <v>813</v>
      </c>
      <c r="B2953" s="0" t="s">
        <v>86</v>
      </c>
      <c r="F2953" s="38" t="n">
        <f aca="false">Sens!$F$2952+Sens!$F$2949-Sens!$F$2948-Sens!$F$2950+Sens!$F$2951</f>
        <v>97.0338801434053</v>
      </c>
      <c r="H2953" s="38" t="n">
        <f aca="false">Sens!$H$2952+Sens!$H$2949-Sens!$H$2948-Sens!$H$2950+Sens!$H$2951</f>
        <v>41.0980151686603</v>
      </c>
      <c r="I2953" s="38" t="n">
        <f aca="false">Sens!$I$2952+Sens!$I$2949-Sens!$I$2948-Sens!$I$2950+Sens!$I$2951</f>
        <v>32.8933031811702</v>
      </c>
      <c r="J2953" s="38" t="n">
        <f aca="false">Sens!$J$2952+Sens!$J$2949-Sens!$J$2948-Sens!$J$2950+Sens!$J$2951</f>
        <v>73.7691198028684</v>
      </c>
      <c r="K2953" s="38" t="n">
        <f aca="false">Sens!$K$2952+Sens!$K$2949-Sens!$K$2948-Sens!$K$2950+Sens!$K$2951</f>
        <v>194.035550218322</v>
      </c>
      <c r="L2953" s="38" t="n">
        <f aca="false">Sens!$L$2952+Sens!$L$2949-Sens!$L$2948-Sens!$L$2950+Sens!$L$2951</f>
        <v>372.965378791024</v>
      </c>
      <c r="M2953" s="38" t="n">
        <f aca="false">Sens!$M$2952+Sens!$M$2949-Sens!$M$2948-Sens!$M$2950+Sens!$M$2951</f>
        <v>581.023388999362</v>
      </c>
    </row>
    <row r="2954" customFormat="false" ht="17.15" hidden="false" customHeight="false" outlineLevel="0" collapsed="false">
      <c r="A2954" s="5" t="s">
        <v>814</v>
      </c>
      <c r="B2954" s="0" t="s">
        <v>86</v>
      </c>
      <c r="F2954" s="38" t="n">
        <f aca="false">MAX(0,min_cash-Sens!$F$2953)</f>
        <v>0</v>
      </c>
      <c r="G2954" s="38" t="n">
        <f aca="false">Sens!$F$2954</f>
        <v>0</v>
      </c>
      <c r="H2954" s="38" t="n">
        <f aca="false">MAX(0,min_cash-Sens!$H$2953)</f>
        <v>8.90198483133974</v>
      </c>
      <c r="I2954" s="38" t="n">
        <f aca="false">MAX(0,min_cash-Sens!$I$2953)</f>
        <v>17.1066968188298</v>
      </c>
      <c r="J2954" s="38" t="n">
        <f aca="false">MAX(0,min_cash-Sens!$J$2953)</f>
        <v>0</v>
      </c>
      <c r="K2954" s="38" t="n">
        <f aca="false">MAX(0,min_cash-Sens!$K$2953)</f>
        <v>0</v>
      </c>
      <c r="L2954" s="38" t="n">
        <f aca="false">MAX(0,min_cash-Sens!$L$2953)</f>
        <v>0</v>
      </c>
      <c r="M2954" s="38" t="n">
        <f aca="false">MAX(0,min_cash-Sens!$M$2953)</f>
        <v>0</v>
      </c>
      <c r="P2954" s="5" t="s">
        <v>815</v>
      </c>
    </row>
    <row r="2955" customFormat="false" ht="15" hidden="false" customHeight="false" outlineLevel="0" collapsed="false">
      <c r="A2955" s="5" t="s">
        <v>816</v>
      </c>
      <c r="B2955" s="0" t="s">
        <v>86</v>
      </c>
      <c r="D2955" s="38" t="n">
        <f aca="false">Q!$E$61</f>
        <v>123.029</v>
      </c>
      <c r="E2955" s="38" t="n">
        <f aca="false">Q!$M$61</f>
        <v>122.988</v>
      </c>
      <c r="F2955" s="38" t="n">
        <f aca="false">Sens!$F$2953+Sens!$F$2954</f>
        <v>97.0338801434053</v>
      </c>
      <c r="G2955" s="38" t="n">
        <f aca="false">Sens!$F$2955</f>
        <v>97.0338801434053</v>
      </c>
      <c r="H2955" s="38" t="n">
        <f aca="false">Sens!$H$2953+Sens!$H$2954</f>
        <v>50</v>
      </c>
      <c r="I2955" s="38" t="n">
        <f aca="false">Sens!$I$2953+Sens!$I$2954</f>
        <v>50</v>
      </c>
      <c r="J2955" s="38" t="n">
        <f aca="false">Sens!$J$2953+Sens!$J$2954</f>
        <v>73.7691198028684</v>
      </c>
      <c r="K2955" s="38" t="n">
        <f aca="false">Sens!$K$2953+Sens!$K$2954</f>
        <v>194.035550218322</v>
      </c>
      <c r="L2955" s="38" t="n">
        <f aca="false">Sens!$L$2953+Sens!$L$2954</f>
        <v>372.965378791024</v>
      </c>
      <c r="M2955" s="38" t="n">
        <f aca="false">Sens!$M$2953+Sens!$M$2954</f>
        <v>581.023388999362</v>
      </c>
    </row>
    <row r="2956" customFormat="false" ht="15" hidden="false" customHeight="false" outlineLevel="0" collapsed="false">
      <c r="A2956" s="5" t="s">
        <v>817</v>
      </c>
      <c r="B2956" s="0" t="s">
        <v>86</v>
      </c>
      <c r="D2956" s="38" t="n">
        <f aca="false">Q!$E$62</f>
        <v>68.836</v>
      </c>
      <c r="E2956" s="38" t="n">
        <f aca="false">Q!$M$62</f>
        <v>132.995</v>
      </c>
      <c r="F2956" s="38" t="n">
        <f aca="false">debt_q2+Sens!$F$2951+Sens!$F$2954</f>
        <v>162.244999</v>
      </c>
      <c r="G2956" s="38" t="n">
        <f aca="false">Sens!$F$2956</f>
        <v>162.244999</v>
      </c>
      <c r="H2956" s="38" t="n">
        <f aca="false">Sens!$G$2956+Sens!$H$2954</f>
        <v>171.14698383134</v>
      </c>
      <c r="I2956" s="38" t="n">
        <f aca="false">Sens!$H$2956+Sens!$I$2954</f>
        <v>188.25368065017</v>
      </c>
      <c r="J2956" s="38" t="n">
        <f aca="false">Sens!$I$2956+Sens!$J$2954</f>
        <v>188.25368065017</v>
      </c>
      <c r="K2956" s="38" t="n">
        <f aca="false">Sens!$J$2956+Sens!$K$2954</f>
        <v>188.25368065017</v>
      </c>
      <c r="L2956" s="38" t="n">
        <f aca="false">Sens!$K$2956+Sens!$L$2954</f>
        <v>188.25368065017</v>
      </c>
      <c r="M2956" s="38" t="n">
        <f aca="false">Sens!$L$2956+Sens!$M$2954</f>
        <v>188.25368065017</v>
      </c>
    </row>
    <row r="2957" customFormat="false" ht="15" hidden="false" customHeight="false" outlineLevel="0" collapsed="false">
      <c r="A2957" s="5" t="s">
        <v>818</v>
      </c>
      <c r="B2957" s="0" t="s">
        <v>86</v>
      </c>
      <c r="D2957" s="38" t="n">
        <f aca="false">Sens!$D$2956-Sens!$D$2955</f>
        <v>-54.193</v>
      </c>
      <c r="E2957" s="38" t="n">
        <f aca="false">Sens!$E$2956-Sens!$E$2955</f>
        <v>10.007</v>
      </c>
      <c r="F2957" s="38" t="n">
        <f aca="false">Sens!$F$2956-Sens!$F$2955</f>
        <v>65.2111188565947</v>
      </c>
      <c r="G2957" s="38" t="n">
        <f aca="false">Sens!$G$2956-Sens!$G$2955</f>
        <v>65.2111188565947</v>
      </c>
      <c r="H2957" s="38" t="n">
        <f aca="false">Sens!$H$2956-Sens!$H$2955</f>
        <v>121.14698383134</v>
      </c>
      <c r="I2957" s="38" t="n">
        <f aca="false">Sens!$I$2956-Sens!$I$2955</f>
        <v>138.25368065017</v>
      </c>
      <c r="J2957" s="38" t="n">
        <f aca="false">Sens!$J$2956-Sens!$J$2955</f>
        <v>114.484560847301</v>
      </c>
      <c r="K2957" s="38" t="n">
        <f aca="false">Sens!$K$2956-Sens!$K$2955</f>
        <v>-5.78186956815276</v>
      </c>
      <c r="L2957" s="38" t="n">
        <f aca="false">Sens!$L$2956-Sens!$L$2955</f>
        <v>-184.711698140854</v>
      </c>
      <c r="M2957" s="38" t="n">
        <f aca="false">Sens!$M$2956-Sens!$M$2955</f>
        <v>-392.769708349192</v>
      </c>
    </row>
    <row r="2958" customFormat="false" ht="17.15" hidden="false" customHeight="false" outlineLevel="0" collapsed="false">
      <c r="A2958" s="5" t="s">
        <v>819</v>
      </c>
      <c r="B2958" s="0" t="s">
        <v>86</v>
      </c>
      <c r="F2958" s="38" t="n">
        <f aca="false">debt_q2*kd_book*0.5+iss_2h26*kd_new*iss_t</f>
        <v>3.24888962733561</v>
      </c>
      <c r="H2958" s="38" t="n">
        <f aca="false">debt_q2*kd_book+(Sens!$G$2956-debt_q2)*kd_new</f>
        <v>7.42354172302123</v>
      </c>
      <c r="I2958" s="38" t="n">
        <f aca="false">debt_q2*kd_book+(Sens!$H$2956-debt_q2)*kd_new</f>
        <v>7.98703736284503</v>
      </c>
      <c r="J2958" s="38" t="n">
        <f aca="false">debt_q2*kd_book+(Sens!$I$2956-debt_q2)*kd_new</f>
        <v>9.06989127147696</v>
      </c>
      <c r="K2958" s="38" t="n">
        <f aca="false">debt_q2*kd_book+(Sens!$J$2956-debt_q2)*kd_new</f>
        <v>9.06989127147696</v>
      </c>
      <c r="L2958" s="38" t="n">
        <f aca="false">debt_q2*kd_book+(Sens!$K$2956-debt_q2)*kd_new</f>
        <v>9.06989127147696</v>
      </c>
      <c r="M2958" s="38" t="n">
        <f aca="false">debt_q2*kd_book+(Sens!$L$2956-debt_q2)*kd_new</f>
        <v>9.06989127147696</v>
      </c>
    </row>
    <row r="2959" customFormat="false" ht="17.15" hidden="false" customHeight="false" outlineLevel="0" collapsed="false">
      <c r="A2959" s="5" t="s">
        <v>820</v>
      </c>
      <c r="B2959" s="0" t="s">
        <v>86</v>
      </c>
      <c r="F2959" s="38" t="n">
        <f aca="false">cash_q2*y_cash*0.5</f>
        <v>2.59</v>
      </c>
      <c r="H2959" s="38" t="n">
        <f aca="false">Sens!$G$2955*y_cash</f>
        <v>4.08686619135883</v>
      </c>
      <c r="I2959" s="38" t="n">
        <f aca="false">Sens!$H$2955*y_cash</f>
        <v>2.10589651022864</v>
      </c>
      <c r="J2959" s="38" t="n">
        <f aca="false">Sens!$I$2955*y_cash</f>
        <v>2.10589651022864</v>
      </c>
      <c r="K2959" s="38" t="n">
        <f aca="false">Sens!$J$2955*y_cash</f>
        <v>3.10700263910998</v>
      </c>
      <c r="L2959" s="38" t="n">
        <f aca="false">Sens!$K$2955*y_cash</f>
        <v>8.17237576130118</v>
      </c>
      <c r="M2959" s="38" t="n">
        <f aca="false">Sens!$L$2955*y_cash</f>
        <v>15.7085297926424</v>
      </c>
    </row>
    <row r="2960" customFormat="false" ht="17.15" hidden="false" customHeight="false" outlineLevel="0" collapsed="false">
      <c r="A2960" s="47" t="s">
        <v>821</v>
      </c>
      <c r="B2960" s="14" t="s">
        <v>86</v>
      </c>
      <c r="C2960" s="14"/>
      <c r="D2960" s="14"/>
      <c r="E2960" s="14"/>
      <c r="F2960" s="14"/>
      <c r="G2960" s="48" t="n">
        <f aca="false">SUM(Sens!$G$2949:$K$2949)</f>
        <v>11.3978695681528</v>
      </c>
      <c r="H2960" s="14"/>
      <c r="I2960" s="14"/>
      <c r="J2960" s="14"/>
      <c r="K2960" s="14"/>
      <c r="L2960" s="14"/>
      <c r="M2960" s="14"/>
      <c r="N2960" s="14"/>
      <c r="O2960" s="14"/>
    </row>
    <row r="2961" customFormat="false" ht="17.15" hidden="false" customHeight="false" outlineLevel="0" collapsed="false">
      <c r="A2961" s="0" t="s">
        <v>787</v>
      </c>
      <c r="B2961" s="0" t="s">
        <v>86</v>
      </c>
      <c r="G2961" s="38" t="n">
        <f aca="false">SUM(Sens!$G$2954:$K$2954)</f>
        <v>26.0086816501696</v>
      </c>
    </row>
    <row r="2962" customFormat="false" ht="17.15" hidden="false" customHeight="false" outlineLevel="0" collapsed="false">
      <c r="A2962" s="24" t="s">
        <v>824</v>
      </c>
      <c r="B2962" s="25" t="s">
        <v>86</v>
      </c>
      <c r="C2962" s="25"/>
      <c r="D2962" s="25"/>
      <c r="E2962" s="25"/>
      <c r="F2962" s="25"/>
      <c r="G2962" s="41" t="n">
        <f aca="false">Sens!$G$2960-(Sens!$G$2949+Sens!$H$2949+Sens!$I$2949+Sens!$J$2949+Sens!$K$2949)</f>
        <v>0</v>
      </c>
      <c r="H2962" s="25"/>
      <c r="I2962" s="25"/>
      <c r="J2962" s="25"/>
      <c r="K2962" s="25"/>
      <c r="L2962" s="25"/>
      <c r="M2962" s="25"/>
      <c r="N2962" s="25"/>
      <c r="O2962" s="25"/>
    </row>
    <row r="2965" customFormat="false" ht="19.4" hidden="false" customHeight="false" outlineLevel="0" collapsed="false">
      <c r="A2965" s="31" t="s">
        <v>1211</v>
      </c>
    </row>
    <row r="2966" customFormat="false" ht="17.15" hidden="false" customHeight="false" outlineLevel="0" collapsed="false">
      <c r="A2966" s="6" t="s">
        <v>16</v>
      </c>
      <c r="B2966" s="6" t="s">
        <v>17</v>
      </c>
      <c r="C2966" s="20" t="s">
        <v>504</v>
      </c>
      <c r="D2966" s="20" t="s">
        <v>505</v>
      </c>
      <c r="E2966" s="20" t="s">
        <v>587</v>
      </c>
      <c r="F2966" s="20" t="s">
        <v>588</v>
      </c>
      <c r="G2966" s="20" t="s">
        <v>589</v>
      </c>
      <c r="H2966" s="20" t="s">
        <v>590</v>
      </c>
      <c r="I2966" s="20" t="s">
        <v>591</v>
      </c>
      <c r="J2966" s="20" t="s">
        <v>592</v>
      </c>
      <c r="K2966" s="20" t="s">
        <v>593</v>
      </c>
      <c r="L2966" s="20" t="s">
        <v>594</v>
      </c>
      <c r="M2966" s="20" t="s">
        <v>595</v>
      </c>
      <c r="N2966" s="20" t="s">
        <v>596</v>
      </c>
      <c r="O2966" s="20" t="s">
        <v>597</v>
      </c>
      <c r="P2966" s="6" t="s">
        <v>23</v>
      </c>
      <c r="R2966" s="20" t="n">
        <v>2023</v>
      </c>
      <c r="S2966" s="20" t="n">
        <v>2024</v>
      </c>
      <c r="T2966" s="20" t="n">
        <v>2025</v>
      </c>
      <c r="U2966" s="20" t="n">
        <v>2026</v>
      </c>
      <c r="V2966" s="20" t="n">
        <v>2027</v>
      </c>
      <c r="W2966" s="20" t="n">
        <v>2028</v>
      </c>
      <c r="X2966" s="20" t="n">
        <v>2029</v>
      </c>
      <c r="Y2966" s="20" t="n">
        <v>2030</v>
      </c>
      <c r="Z2966" s="20" t="n">
        <v>2031</v>
      </c>
      <c r="AA2966" s="20" t="n">
        <v>2032</v>
      </c>
    </row>
    <row r="2967" customFormat="false" ht="17.15" hidden="false" customHeight="false" outlineLevel="0" collapsed="false">
      <c r="A2967" s="1" t="s">
        <v>926</v>
      </c>
    </row>
    <row r="2968" customFormat="false" ht="17.15" hidden="false" customHeight="false" outlineLevel="0" collapsed="false">
      <c r="A2968" s="0" t="s">
        <v>927</v>
      </c>
      <c r="B2968" s="0" t="s">
        <v>86</v>
      </c>
      <c r="H2968" s="38" t="n">
        <f aca="false">Sens!$H$2902*(1-tax)</f>
        <v>120.544316157875</v>
      </c>
      <c r="I2968" s="38" t="n">
        <f aca="false">Sens!$I$2902*(1-tax)</f>
        <v>143.501886672301</v>
      </c>
      <c r="J2968" s="38" t="n">
        <f aca="false">Sens!$J$2902*(1-tax)</f>
        <v>163.872088288354</v>
      </c>
      <c r="K2968" s="38" t="n">
        <f aca="false">Sens!$K$2902*(1-tax)</f>
        <v>180.82321429626</v>
      </c>
      <c r="L2968" s="38" t="n">
        <f aca="false">Sens!$L$2902*(1-tax)</f>
        <v>194.597911024187</v>
      </c>
      <c r="M2968" s="38" t="n">
        <f aca="false">Sens!$M$2902*(1-tax)</f>
        <v>205.20846621944</v>
      </c>
    </row>
    <row r="2969" customFormat="false" ht="15" hidden="false" customHeight="false" outlineLevel="0" collapsed="false">
      <c r="A2969" s="5" t="s">
        <v>928</v>
      </c>
      <c r="B2969" s="0" t="s">
        <v>86</v>
      </c>
      <c r="H2969" s="38" t="n">
        <f aca="false">Sens!$H$2913</f>
        <v>79.0263017568438</v>
      </c>
      <c r="I2969" s="38" t="n">
        <f aca="false">Sens!$I$2913</f>
        <v>114.553009291212</v>
      </c>
      <c r="J2969" s="38" t="n">
        <f aca="false">Sens!$J$2913</f>
        <v>152.469489406791</v>
      </c>
      <c r="K2969" s="38" t="n">
        <f aca="false">Sens!$K$2913</f>
        <v>186.391502623819</v>
      </c>
      <c r="L2969" s="38" t="n">
        <f aca="false">Sens!$L$2913</f>
        <v>211.926422215482</v>
      </c>
      <c r="M2969" s="38" t="n">
        <f aca="false">Sens!$M$2913</f>
        <v>230.715661181206</v>
      </c>
    </row>
    <row r="2970" customFormat="false" ht="15" hidden="false" customHeight="false" outlineLevel="0" collapsed="false">
      <c r="A2970" s="5" t="s">
        <v>929</v>
      </c>
      <c r="B2970" s="0" t="s">
        <v>86</v>
      </c>
      <c r="H2970" s="38" t="n">
        <f aca="false">Sens!$H$2944</f>
        <v>273.372679834898</v>
      </c>
      <c r="I2970" s="38" t="n">
        <f aca="false">Sens!$I$2944</f>
        <v>286.981812228425</v>
      </c>
      <c r="J2970" s="38" t="n">
        <f aca="false">Sens!$J$2944</f>
        <v>299.316513378366</v>
      </c>
      <c r="K2970" s="38" t="n">
        <f aca="false">Sens!$K$2944</f>
        <v>251.057145512292</v>
      </c>
      <c r="L2970" s="38" t="n">
        <f aca="false">Sens!$L$2944</f>
        <v>234.696330860396</v>
      </c>
      <c r="M2970" s="38" t="n">
        <f aca="false">Sens!$M$2944</f>
        <v>242.291696043352</v>
      </c>
    </row>
    <row r="2971" customFormat="false" ht="15" hidden="false" customHeight="false" outlineLevel="0" collapsed="false">
      <c r="A2971" s="5" t="s">
        <v>930</v>
      </c>
      <c r="B2971" s="0" t="s">
        <v>86</v>
      </c>
      <c r="H2971" s="38" t="n">
        <f aca="false">Sens!$H$2945</f>
        <v>1.6</v>
      </c>
      <c r="I2971" s="38" t="n">
        <f aca="false">Sens!$I$2945</f>
        <v>1.6</v>
      </c>
      <c r="J2971" s="38" t="n">
        <f aca="false">Sens!$J$2945</f>
        <v>1.6</v>
      </c>
      <c r="K2971" s="38" t="n">
        <f aca="false">Sens!$K$2945</f>
        <v>1.6</v>
      </c>
      <c r="L2971" s="38" t="n">
        <f aca="false">Sens!$L$2945</f>
        <v>1.6</v>
      </c>
      <c r="M2971" s="38" t="n">
        <f aca="false">Sens!$M$2945</f>
        <v>1.6</v>
      </c>
    </row>
    <row r="2972" customFormat="false" ht="15" hidden="false" customHeight="false" outlineLevel="0" collapsed="false">
      <c r="A2972" s="5" t="s">
        <v>931</v>
      </c>
      <c r="B2972" s="0" t="s">
        <v>86</v>
      </c>
      <c r="H2972" s="38" t="n">
        <f aca="false">Sens!$H$2939</f>
        <v>11.2928295263397</v>
      </c>
      <c r="I2972" s="38" t="n">
        <f aca="false">Sens!$I$2939</f>
        <v>12.8091546115766</v>
      </c>
      <c r="J2972" s="38" t="n">
        <f aca="false">Sens!$J$2939</f>
        <v>14.2605653162668</v>
      </c>
      <c r="K2972" s="38" t="n">
        <f aca="false">Sens!$K$2939</f>
        <v>15.5327622460396</v>
      </c>
      <c r="L2972" s="38" t="n">
        <f aca="false">Sens!$L$2939</f>
        <v>16.720573737517</v>
      </c>
      <c r="M2972" s="38" t="n">
        <f aca="false">Sens!$M$2939</f>
        <v>17.8283127551536</v>
      </c>
    </row>
    <row r="2973" customFormat="false" ht="17.15" hidden="false" customHeight="false" outlineLevel="0" collapsed="false">
      <c r="A2973" s="1" t="s">
        <v>932</v>
      </c>
      <c r="B2973" s="8" t="s">
        <v>86</v>
      </c>
      <c r="H2973" s="38" t="n">
        <f aca="false">Sens!$H$2968+Sens!$H$2969-Sens!$H$2970-Sens!$H$2971+Sens!$H$2972</f>
        <v>-64.1092323938395</v>
      </c>
      <c r="I2973" s="38" t="n">
        <f aca="false">Sens!$I$2968+Sens!$I$2969-Sens!$I$2970-Sens!$I$2971+Sens!$I$2972</f>
        <v>-17.7177616533347</v>
      </c>
      <c r="J2973" s="38" t="n">
        <f aca="false">Sens!$J$2968+Sens!$J$2969-Sens!$J$2970-Sens!$J$2971+Sens!$J$2972</f>
        <v>29.6856296330454</v>
      </c>
      <c r="K2973" s="38" t="n">
        <f aca="false">Sens!$K$2968+Sens!$K$2969-Sens!$K$2970-Sens!$K$2971+Sens!$K$2972</f>
        <v>130.090333653826</v>
      </c>
      <c r="L2973" s="38" t="n">
        <f aca="false">Sens!$L$2968+Sens!$L$2969-Sens!$L$2970-Sens!$L$2971+Sens!$L$2972</f>
        <v>186.94857611679</v>
      </c>
      <c r="M2973" s="38" t="n">
        <f aca="false">Sens!$M$2968+Sens!$M$2969-Sens!$M$2970-Sens!$M$2971+Sens!$M$2972</f>
        <v>209.860744112448</v>
      </c>
    </row>
    <row r="2974" customFormat="false" ht="15" hidden="false" customHeight="false" outlineLevel="0" collapsed="false">
      <c r="A2974" s="5" t="s">
        <v>933</v>
      </c>
      <c r="B2974" s="0" t="s">
        <v>57</v>
      </c>
      <c r="H2974" s="40" t="n">
        <f aca="false">1/(1+wacc)^(2027-2026-0.5)</f>
        <v>0.947751320380232</v>
      </c>
      <c r="I2974" s="40" t="n">
        <f aca="false">1/(1+wacc)^(2028-2026-0.5)</f>
        <v>0.851301099754987</v>
      </c>
      <c r="J2974" s="40" t="n">
        <f aca="false">1/(1+wacc)^(2029-2026-0.5)</f>
        <v>0.764666370660713</v>
      </c>
      <c r="K2974" s="40" t="n">
        <f aca="false">1/(1+wacc)^(2030-2026-0.5)</f>
        <v>0.686848235703811</v>
      </c>
      <c r="L2974" s="40" t="n">
        <f aca="false">1/(1+wacc)^(2031-2026-0.5)</f>
        <v>0.616949452715975</v>
      </c>
      <c r="M2974" s="40" t="n">
        <f aca="false">1/(1+wacc)^(2032-2026-0.5)</f>
        <v>0.554164089562688</v>
      </c>
    </row>
    <row r="2975" customFormat="false" ht="15" hidden="false" customHeight="false" outlineLevel="0" collapsed="false">
      <c r="A2975" s="5" t="s">
        <v>934</v>
      </c>
      <c r="B2975" s="0" t="s">
        <v>86</v>
      </c>
      <c r="H2975" s="38" t="n">
        <f aca="false">Sens!$H$2973*Sens!$H$2974</f>
        <v>-60.7596096498245</v>
      </c>
      <c r="I2975" s="38" t="n">
        <f aca="false">Sens!$I$2973*Sens!$I$2974</f>
        <v>-15.0831499806806</v>
      </c>
      <c r="J2975" s="38" t="n">
        <f aca="false">Sens!$J$2973*Sens!$J$2974</f>
        <v>22.6996026722789</v>
      </c>
      <c r="K2975" s="38" t="n">
        <f aca="false">Sens!$K$2973*Sens!$K$2974</f>
        <v>89.3523161522505</v>
      </c>
      <c r="L2975" s="38" t="n">
        <f aca="false">Sens!$L$2973*Sens!$L$2974</f>
        <v>115.337821721284</v>
      </c>
      <c r="M2975" s="38" t="n">
        <f aca="false">Sens!$M$2973*Sens!$M$2974</f>
        <v>116.297288196023</v>
      </c>
    </row>
    <row r="2976" customFormat="false" ht="15" hidden="false" customHeight="false" outlineLevel="0" collapsed="false">
      <c r="A2976" s="5" t="s">
        <v>935</v>
      </c>
      <c r="B2976" s="0" t="s">
        <v>86</v>
      </c>
      <c r="C2976" s="38" t="n">
        <f aca="false">SUM(Sens!$H$2975:$M$2975)</f>
        <v>267.844269111332</v>
      </c>
    </row>
    <row r="2977" customFormat="false" ht="17.15" hidden="false" customHeight="false" outlineLevel="0" collapsed="false">
      <c r="A2977" s="5" t="s">
        <v>936</v>
      </c>
      <c r="B2977" s="0" t="s">
        <v>86</v>
      </c>
      <c r="C2977" s="38" t="n">
        <f aca="false">Sens!$M$2968*(1+tg)*(1-tg/ronic)/(wacc-tg)</f>
        <v>1865.57394679196</v>
      </c>
    </row>
    <row r="2978" customFormat="false" ht="15" hidden="false" customHeight="false" outlineLevel="0" collapsed="false">
      <c r="A2978" s="5" t="s">
        <v>937</v>
      </c>
      <c r="B2978" s="0" t="s">
        <v>86</v>
      </c>
      <c r="C2978" s="38" t="n">
        <f aca="false">Sens!$C$2977/(1+wacc)^6</f>
        <v>979.817621705731</v>
      </c>
    </row>
    <row r="2979" customFormat="false" ht="17.15" hidden="false" customHeight="false" outlineLevel="0" collapsed="false">
      <c r="A2979" s="5" t="s">
        <v>938</v>
      </c>
      <c r="B2979" s="0" t="s">
        <v>86</v>
      </c>
      <c r="C2979" s="38" t="n">
        <f aca="false">Sens!$C$2976+Sens!$C$2978</f>
        <v>1247.66189081706</v>
      </c>
    </row>
    <row r="2980" customFormat="false" ht="17.15" hidden="false" customHeight="false" outlineLevel="0" collapsed="false">
      <c r="A2980" s="5" t="s">
        <v>939</v>
      </c>
      <c r="B2980" s="0" t="s">
        <v>52</v>
      </c>
      <c r="C2980" s="13" t="n">
        <f aca="false">Sens!$C$2978/Sens!$C$2979</f>
        <v>0.785323034162783</v>
      </c>
    </row>
    <row r="2981" customFormat="false" ht="17.15" hidden="false" customHeight="false" outlineLevel="0" collapsed="false">
      <c r="A2981" s="5" t="s">
        <v>940</v>
      </c>
      <c r="B2981" s="0" t="s">
        <v>86</v>
      </c>
      <c r="C2981" s="38" t="n">
        <f aca="false">Sens!$G$2957+fin_debt</f>
        <v>89.7321188565947</v>
      </c>
    </row>
    <row r="2982" customFormat="false" ht="17.15" hidden="false" customHeight="false" outlineLevel="0" collapsed="false">
      <c r="A2982" s="5" t="s">
        <v>941</v>
      </c>
      <c r="B2982" s="0" t="s">
        <v>86</v>
      </c>
      <c r="C2982" s="38" t="n">
        <f aca="false">(ant_val*ant_sh+oai_val*oai_sh)*(1-liq_disc)</f>
        <v>178.944</v>
      </c>
    </row>
    <row r="2983" customFormat="false" ht="15" hidden="false" customHeight="false" outlineLevel="0" collapsed="false">
      <c r="A2983" s="5" t="s">
        <v>942</v>
      </c>
      <c r="B2983" s="0" t="s">
        <v>86</v>
      </c>
      <c r="C2983" s="38" t="n">
        <f aca="false">Sens!$C$2979-Sens!$C$2981+Sens!$C$2982</f>
        <v>1336.87377196047</v>
      </c>
    </row>
    <row r="2984" customFormat="false" ht="17.15" hidden="false" customHeight="false" outlineLevel="0" collapsed="false">
      <c r="A2984" s="5" t="s">
        <v>943</v>
      </c>
      <c r="B2984" s="0" t="s">
        <v>27</v>
      </c>
      <c r="C2984" s="30" t="n">
        <f aca="false">Sens!$C$2983/sh_out</f>
        <v>123.941670153536</v>
      </c>
    </row>
    <row r="2985" customFormat="false" ht="17.15" hidden="false" customHeight="false" outlineLevel="0" collapsed="false">
      <c r="A2985" s="1" t="s">
        <v>944</v>
      </c>
      <c r="B2985" s="8" t="s">
        <v>27</v>
      </c>
      <c r="C2985" s="30" t="n">
        <f aca="false">Sens!$C$2984*(1+ke)^tp_yf-dps*tp_yf</f>
        <v>135.761844266218</v>
      </c>
    </row>
    <row r="2986" customFormat="false" ht="17.15" hidden="false" customHeight="false" outlineLevel="0" collapsed="false">
      <c r="A2986" s="3" t="s">
        <v>945</v>
      </c>
    </row>
    <row r="2987" customFormat="false" ht="17.15" hidden="false" customHeight="false" outlineLevel="0" collapsed="false">
      <c r="A2987" s="5" t="s">
        <v>946</v>
      </c>
      <c r="B2987" s="0" t="s">
        <v>86</v>
      </c>
      <c r="C2987" s="38" t="n">
        <f aca="false">(1-tp_yf)*(Sens!$H$2914+sbc_ab*Sens!$H$2938*Sens!$H$2775/Sens!$H$2855)+tp_yf*(Sens!$I$2914+sbc_ab*Sens!$I$2938*Sens!$I$2775/Sens!$I$2855)</f>
        <v>59.634664536349</v>
      </c>
    </row>
    <row r="2988" customFormat="false" ht="15" hidden="false" customHeight="false" outlineLevel="0" collapsed="false">
      <c r="A2988" s="5" t="s">
        <v>947</v>
      </c>
      <c r="B2988" s="0" t="s">
        <v>57</v>
      </c>
      <c r="C2988" s="30" t="n">
        <f aca="false">m_ads*m_x</f>
        <v>9.11</v>
      </c>
    </row>
    <row r="2989" customFormat="false" ht="17.15" hidden="false" customHeight="false" outlineLevel="0" collapsed="false">
      <c r="A2989" s="5" t="s">
        <v>948</v>
      </c>
      <c r="B2989" s="0" t="s">
        <v>86</v>
      </c>
      <c r="C2989" s="38" t="n">
        <f aca="false">Sens!$C$2987*Sens!$C$2988</f>
        <v>543.271793926139</v>
      </c>
    </row>
    <row r="2990" customFormat="false" ht="17.15" hidden="false" customHeight="false" outlineLevel="0" collapsed="false">
      <c r="A2990" s="5" t="s">
        <v>949</v>
      </c>
      <c r="B2990" s="0" t="s">
        <v>86</v>
      </c>
      <c r="C2990" s="38" t="n">
        <f aca="false">(1-tp_yf)*(Sens!$H$2915+sbc_ab*Sens!$H$2938*(Sens!$H$2782-Sens!$H$2775)/Sens!$H$2855+IF(internal_ai_reading=2,1,0)*(1-ext_sh)*Sens!$H$2812)+tp_yf*(Sens!$I$2915+sbc_ab*Sens!$I$2938*(Sens!$I$2782-Sens!$I$2775)/Sens!$I$2855+IF(internal_ai_reading=2,1,0)*(1-ext_sh)*Sens!$I$2812)</f>
        <v>51.2224827206816</v>
      </c>
    </row>
    <row r="2991" customFormat="false" ht="17.15" hidden="false" customHeight="false" outlineLevel="0" collapsed="false">
      <c r="A2991" s="5" t="s">
        <v>950</v>
      </c>
      <c r="B2991" s="0" t="s">
        <v>57</v>
      </c>
      <c r="C2991" s="30" t="n">
        <f aca="false">m_retail*m_x</f>
        <v>17.72</v>
      </c>
    </row>
    <row r="2992" customFormat="false" ht="17.15" hidden="false" customHeight="false" outlineLevel="0" collapsed="false">
      <c r="A2992" s="5" t="s">
        <v>951</v>
      </c>
      <c r="B2992" s="0" t="s">
        <v>86</v>
      </c>
      <c r="C2992" s="38" t="n">
        <f aca="false">Sens!$C$2990*Sens!$C$2991</f>
        <v>907.662393810477</v>
      </c>
    </row>
    <row r="2993" customFormat="false" ht="17.15" hidden="false" customHeight="false" outlineLevel="0" collapsed="false">
      <c r="A2993" s="0" t="s">
        <v>952</v>
      </c>
      <c r="B2993" s="0" t="s">
        <v>86</v>
      </c>
      <c r="C2993" s="38" t="n">
        <f aca="false">(1-tp_yf)*(Sens!$H$2916+sbc_ab*Sens!$H$2938*Sens!$H$2853/Sens!$H$2855)+tp_yf*(Sens!$I$2916+sbc_ab*Sens!$I$2938*Sens!$I$2853/Sens!$I$2855)</f>
        <v>96.2439586897193</v>
      </c>
    </row>
    <row r="2994" customFormat="false" ht="17.15" hidden="false" customHeight="false" outlineLevel="0" collapsed="false">
      <c r="A2994" s="0" t="s">
        <v>953</v>
      </c>
      <c r="B2994" s="0" t="s">
        <v>57</v>
      </c>
      <c r="C2994" s="30" t="n">
        <f aca="false">m_cloud*m_x</f>
        <v>13.82</v>
      </c>
    </row>
    <row r="2995" customFormat="false" ht="17.15" hidden="false" customHeight="false" outlineLevel="0" collapsed="false">
      <c r="A2995" s="0" t="s">
        <v>954</v>
      </c>
      <c r="B2995" s="0" t="s">
        <v>86</v>
      </c>
      <c r="C2995" s="38" t="n">
        <f aca="false">Sens!$C$2993*Sens!$C$2994</f>
        <v>1330.09150909192</v>
      </c>
    </row>
    <row r="2996" customFormat="false" ht="17.15" hidden="false" customHeight="false" outlineLevel="0" collapsed="false">
      <c r="A2996" s="0" t="s">
        <v>955</v>
      </c>
      <c r="B2996" s="0" t="s">
        <v>86</v>
      </c>
      <c r="H2996" s="38" t="n">
        <f aca="false">Sens!$H$2834-tax*Sens!$H$2835-ext_sh*Sens!$H$2819</f>
        <v>-115.767861934358</v>
      </c>
      <c r="I2996" s="38" t="n">
        <f aca="false">Sens!$I$2834-tax*Sens!$I$2835-ext_sh*Sens!$I$2819</f>
        <v>-89.1238795776337</v>
      </c>
      <c r="J2996" s="38" t="n">
        <f aca="false">Sens!$J$2834-tax*Sens!$J$2835-ext_sh*Sens!$J$2819</f>
        <v>-61.2977422866746</v>
      </c>
      <c r="K2996" s="38" t="n">
        <f aca="false">Sens!$K$2834-tax*Sens!$K$2835-ext_sh*Sens!$K$2819</f>
        <v>9.91264760007891</v>
      </c>
      <c r="L2996" s="38" t="n">
        <f aca="false">Sens!$L$2834-tax*Sens!$L$2835-ext_sh*Sens!$L$2819</f>
        <v>46.750156871371</v>
      </c>
      <c r="M2996" s="38" t="n">
        <f aca="false">Sens!$M$2834-tax*Sens!$M$2835-ext_sh*Sens!$M$2819</f>
        <v>55.7999913350961</v>
      </c>
    </row>
    <row r="2997" customFormat="false" ht="17.15" hidden="false" customHeight="false" outlineLevel="0" collapsed="false">
      <c r="A2997" s="5" t="s">
        <v>956</v>
      </c>
      <c r="B2997" s="0" t="s">
        <v>86</v>
      </c>
      <c r="H2997" s="38" t="n">
        <f aca="false">Sens!$H$2996*Sens!$H$2974</f>
        <v>-109.719144005885</v>
      </c>
      <c r="I2997" s="38" t="n">
        <f aca="false">Sens!$I$2996*Sens!$I$2974</f>
        <v>-75.8712566988706</v>
      </c>
      <c r="J2997" s="38" t="n">
        <f aca="false">Sens!$J$2996*Sens!$J$2974</f>
        <v>-46.8723221240472</v>
      </c>
      <c r="K2997" s="38" t="n">
        <f aca="false">Sens!$K$2996*Sens!$K$2974</f>
        <v>6.80848451526782</v>
      </c>
      <c r="L2997" s="38" t="n">
        <f aca="false">Sens!$L$2996*Sens!$L$2974</f>
        <v>28.8424836961783</v>
      </c>
      <c r="M2997" s="38" t="n">
        <f aca="false">Sens!$M$2996*Sens!$M$2974</f>
        <v>30.9223513958194</v>
      </c>
    </row>
    <row r="2998" customFormat="false" ht="17.15" hidden="false" customHeight="false" outlineLevel="0" collapsed="false">
      <c r="A2998" s="5" t="s">
        <v>957</v>
      </c>
      <c r="B2998" s="0" t="s">
        <v>86</v>
      </c>
      <c r="C2998" s="38" t="n">
        <f aca="false">Sens!$M$2835*(1-tax)*(1+tg)*(1-tg/ronic)/(wacc-tg)</f>
        <v>345.943541010288</v>
      </c>
    </row>
    <row r="2999" customFormat="false" ht="17.15" hidden="false" customHeight="false" outlineLevel="0" collapsed="false">
      <c r="A2999" s="0" t="s">
        <v>958</v>
      </c>
      <c r="B2999" s="0" t="s">
        <v>86</v>
      </c>
      <c r="C2999" s="38" t="n">
        <f aca="false">(SUM(Sens!$I$2997:$M$2997)+Sens!$C$2998/(1+wacc)^6)*(1+wacc)^tp_yf</f>
        <v>137.098503598695</v>
      </c>
    </row>
    <row r="3000" customFormat="false" ht="17.15" hidden="false" customHeight="false" outlineLevel="0" collapsed="false">
      <c r="A3000" s="5" t="s">
        <v>959</v>
      </c>
      <c r="B3000" s="0" t="s">
        <v>86</v>
      </c>
      <c r="C3000" s="38" t="n">
        <f aca="false">(1-tp_yf)*(Sens!$H$2917)+tp_yf*(Sens!$I$2917)</f>
        <v>74.6707041238437</v>
      </c>
    </row>
    <row r="3001" customFormat="false" ht="17.15" hidden="false" customHeight="false" outlineLevel="0" collapsed="false">
      <c r="A3001" s="5" t="s">
        <v>960</v>
      </c>
      <c r="B3001" s="0" t="s">
        <v>86</v>
      </c>
      <c r="C3001" s="38" t="n">
        <f aca="false">Sens!$C$3000*m_ai</f>
        <v>448.024224743062</v>
      </c>
    </row>
    <row r="3002" customFormat="false" ht="17.15" hidden="false" customHeight="false" outlineLevel="0" collapsed="false">
      <c r="A3002" s="0" t="s">
        <v>961</v>
      </c>
      <c r="B3002" s="0" t="s">
        <v>86</v>
      </c>
      <c r="C3002" s="38" t="n">
        <f aca="false">IF(ai_leg=1,Sens!$C$2999,Sens!$C$3001)</f>
        <v>137.098503598695</v>
      </c>
    </row>
    <row r="3003" customFormat="false" ht="17.15" hidden="false" customHeight="false" outlineLevel="0" collapsed="false">
      <c r="A3003" s="5" t="s">
        <v>962</v>
      </c>
      <c r="B3003" s="0" t="s">
        <v>86</v>
      </c>
      <c r="C3003" s="38" t="n">
        <f aca="false">Sens!$C$2989+Sens!$C$2992+Sens!$C$2995+Sens!$C$3002</f>
        <v>2918.12420042723</v>
      </c>
    </row>
    <row r="3004" customFormat="false" ht="17.15" hidden="false" customHeight="false" outlineLevel="0" collapsed="false">
      <c r="A3004" s="5" t="s">
        <v>963</v>
      </c>
      <c r="B3004" s="0" t="s">
        <v>86</v>
      </c>
      <c r="C3004" s="38" t="n">
        <f aca="false">Sens!$H$2957+fin_debt</f>
        <v>145.66798383134</v>
      </c>
    </row>
    <row r="3005" customFormat="false" ht="15" hidden="false" customHeight="false" outlineLevel="0" collapsed="false">
      <c r="A3005" s="5" t="s">
        <v>964</v>
      </c>
      <c r="B3005" s="0" t="s">
        <v>86</v>
      </c>
      <c r="C3005" s="38" t="n">
        <f aca="false">Sens!$C$3003-Sens!$C$3004+Sens!$C$2982</f>
        <v>2951.40021659589</v>
      </c>
    </row>
    <row r="3006" customFormat="false" ht="15" hidden="false" customHeight="false" outlineLevel="0" collapsed="false">
      <c r="A3006" s="3" t="s">
        <v>965</v>
      </c>
      <c r="B3006" s="8" t="s">
        <v>27</v>
      </c>
      <c r="C3006" s="30" t="n">
        <f aca="false">Sens!$C$3005/sh_val</f>
        <v>267.571731556862</v>
      </c>
    </row>
    <row r="3007" customFormat="false" ht="17.15" hidden="false" customHeight="false" outlineLevel="0" collapsed="false">
      <c r="A3007" s="47" t="s">
        <v>966</v>
      </c>
      <c r="B3007" s="14" t="s">
        <v>27</v>
      </c>
      <c r="C3007" s="44" t="n">
        <f aca="false">w_dcf*Sens!$C$2985+(1-w_dcf)*Sens!$C$3006</f>
        <v>201.66678791154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</row>
    <row r="3008" customFormat="false" ht="17.15" hidden="false" customHeight="false" outlineLevel="0" collapsed="false">
      <c r="A3008" s="5" t="s">
        <v>967</v>
      </c>
      <c r="B3008" s="0" t="s">
        <v>27</v>
      </c>
      <c r="C3008" s="30" t="n">
        <f aca="false">v022_wdcf*Sens!$C$2985+(1-v022_wdcf)*Sens!$C$3006</f>
        <v>208.257282276072</v>
      </c>
    </row>
    <row r="3009" customFormat="false" ht="17.15" hidden="false" customHeight="false" outlineLevel="0" collapsed="false">
      <c r="A3009" s="5" t="s">
        <v>968</v>
      </c>
      <c r="B3009" s="0" t="s">
        <v>27</v>
      </c>
      <c r="C3009" s="30" t="n">
        <f aca="false">(Sens!$C$3005-Sens!$C$3002+Sens!$C$3001)/sh_val</f>
        <v>295.760024396428</v>
      </c>
    </row>
    <row r="3012" customFormat="false" ht="19.4" hidden="false" customHeight="false" outlineLevel="0" collapsed="false">
      <c r="A3012" s="31" t="s">
        <v>1212</v>
      </c>
    </row>
    <row r="3013" customFormat="false" ht="17.15" hidden="false" customHeight="false" outlineLevel="0" collapsed="false">
      <c r="A3013" s="6" t="s">
        <v>16</v>
      </c>
      <c r="B3013" s="6" t="s">
        <v>17</v>
      </c>
      <c r="C3013" s="20" t="s">
        <v>504</v>
      </c>
      <c r="D3013" s="20" t="s">
        <v>505</v>
      </c>
      <c r="E3013" s="20" t="s">
        <v>587</v>
      </c>
      <c r="F3013" s="20" t="s">
        <v>588</v>
      </c>
      <c r="G3013" s="20" t="s">
        <v>589</v>
      </c>
      <c r="H3013" s="20" t="s">
        <v>590</v>
      </c>
      <c r="I3013" s="20" t="s">
        <v>591</v>
      </c>
      <c r="J3013" s="20" t="s">
        <v>592</v>
      </c>
      <c r="K3013" s="20" t="s">
        <v>593</v>
      </c>
      <c r="L3013" s="20" t="s">
        <v>594</v>
      </c>
      <c r="M3013" s="20" t="s">
        <v>595</v>
      </c>
      <c r="N3013" s="20" t="s">
        <v>596</v>
      </c>
      <c r="O3013" s="20" t="s">
        <v>597</v>
      </c>
      <c r="P3013" s="6" t="s">
        <v>23</v>
      </c>
      <c r="R3013" s="20" t="n">
        <v>2023</v>
      </c>
      <c r="S3013" s="20" t="n">
        <v>2024</v>
      </c>
      <c r="T3013" s="20" t="n">
        <v>2025</v>
      </c>
      <c r="U3013" s="20" t="n">
        <v>2026</v>
      </c>
      <c r="V3013" s="20" t="n">
        <v>2027</v>
      </c>
      <c r="W3013" s="20" t="n">
        <v>2028</v>
      </c>
      <c r="X3013" s="20" t="n">
        <v>2029</v>
      </c>
      <c r="Y3013" s="20" t="n">
        <v>2030</v>
      </c>
      <c r="Z3013" s="20" t="n">
        <v>2031</v>
      </c>
      <c r="AA3013" s="20" t="n">
        <v>2032</v>
      </c>
    </row>
    <row r="3014" customFormat="false" ht="17.15" hidden="false" customHeight="false" outlineLevel="0" collapsed="false">
      <c r="A3014" s="1" t="s">
        <v>677</v>
      </c>
    </row>
    <row r="3015" customFormat="false" ht="17.15" hidden="false" customHeight="false" outlineLevel="0" collapsed="false">
      <c r="A3015" s="0" t="s">
        <v>526</v>
      </c>
      <c r="B3015" s="0" t="s">
        <v>86</v>
      </c>
      <c r="C3015" s="38" t="n">
        <f aca="false">Q!$D$10</f>
        <v>247.029</v>
      </c>
      <c r="D3015" s="38" t="n">
        <f aca="false">Q!$E$10</f>
        <v>269.287</v>
      </c>
      <c r="E3015" s="38" t="n">
        <f aca="false">Q!$P$10</f>
        <v>134.686</v>
      </c>
      <c r="F3015" s="38" t="n">
        <f aca="false">Sens!$O$3015*(1+Sens!$F$3016)*Sens!$F$3027</f>
        <v>158.293876822267</v>
      </c>
      <c r="G3015" s="38" t="n">
        <f aca="false">Sens!$E$3015+Sens!$F$3015</f>
        <v>292.979876822267</v>
      </c>
      <c r="H3015" s="38" t="n">
        <f aca="false">Sens!$G$3015*(1+Sens!$H$3016)</f>
        <v>318.184543087396</v>
      </c>
      <c r="I3015" s="38" t="n">
        <f aca="false">Sens!$H$3015*(1+Sens!$I$3016)</f>
        <v>341.736278761793</v>
      </c>
      <c r="J3015" s="38" t="n">
        <f aca="false">Sens!$I$3015*(1+Sens!$J$3016)</f>
        <v>362.927192787048</v>
      </c>
      <c r="K3015" s="38" t="n">
        <f aca="false">Sens!$J$3015*(1+Sens!$K$3016)</f>
        <v>381.0735524264</v>
      </c>
      <c r="L3015" s="38" t="n">
        <f aca="false">Sens!$K$3015*(1+Sens!$L$3016)</f>
        <v>400.12723004772</v>
      </c>
      <c r="M3015" s="38" t="n">
        <f aca="false">Sens!$L$3015*(1+Sens!$M$3016)</f>
        <v>420.133591550106</v>
      </c>
      <c r="N3015" s="38" t="n">
        <f aca="false">Q!$N$10</f>
        <v>118.892</v>
      </c>
      <c r="O3015" s="38" t="n">
        <f aca="false">Q!$O$10</f>
        <v>150.395</v>
      </c>
      <c r="P3015" s="8" t="s">
        <v>678</v>
      </c>
    </row>
    <row r="3016" customFormat="false" ht="17.15" hidden="false" customHeight="false" outlineLevel="0" collapsed="false">
      <c r="A3016" s="0" t="s">
        <v>679</v>
      </c>
      <c r="B3016" s="0" t="s">
        <v>52</v>
      </c>
      <c r="E3016" s="13" t="n">
        <f aca="false">Sens!$E$3015/Sens!$N$3015-1</f>
        <v>0.132843252699929</v>
      </c>
      <c r="F3016" s="13" t="n">
        <f aca="false">Sens!$O$3015/(Q!$F$10+Q!$G$10)-1</f>
        <v>0.0980382135842941</v>
      </c>
      <c r="G3016" s="13" t="n">
        <f aca="false">Sens!$G$3015/Sens!$D$3015-1</f>
        <v>0.0879837378791657</v>
      </c>
      <c r="H3016" s="13" t="n">
        <f aca="false">Sens!$F$3016+(g_os-Sens!$F$3016)*1/4</f>
        <v>0.0860286601882206</v>
      </c>
      <c r="I3016" s="13" t="n">
        <f aca="false">Sens!$F$3016+(g_os-Sens!$F$3016)*2/4</f>
        <v>0.074019106792147</v>
      </c>
      <c r="J3016" s="13" t="n">
        <f aca="false">Sens!$F$3016+(g_os-Sens!$F$3016)*3/4</f>
        <v>0.0620095533960735</v>
      </c>
      <c r="K3016" s="13" t="n">
        <f aca="false">Sens!$F$3016+(g_os-Sens!$F$3016)*4/4</f>
        <v>0.05</v>
      </c>
      <c r="L3016" s="13" t="n">
        <f aca="false">g_os</f>
        <v>0.05</v>
      </c>
      <c r="M3016" s="13" t="n">
        <f aca="false">g_os</f>
        <v>0.05</v>
      </c>
      <c r="P3016" s="8" t="s">
        <v>680</v>
      </c>
    </row>
    <row r="3017" customFormat="false" ht="17.15" hidden="false" customHeight="false" outlineLevel="0" collapsed="false">
      <c r="A3017" s="0" t="s">
        <v>527</v>
      </c>
      <c r="B3017" s="0" t="s">
        <v>86</v>
      </c>
      <c r="C3017" s="38" t="n">
        <f aca="false">Q!$D$11</f>
        <v>21.215</v>
      </c>
      <c r="D3017" s="38" t="n">
        <f aca="false">Q!$E$11</f>
        <v>22.561</v>
      </c>
      <c r="E3017" s="38" t="n">
        <f aca="false">Q!$P$11</f>
        <v>11.579</v>
      </c>
      <c r="F3017" s="38" t="n">
        <f aca="false">Sens!$O$3017*(1+Sens!$F$3018)*Sens!$F$3027</f>
        <v>11.5938724610325</v>
      </c>
      <c r="G3017" s="38" t="n">
        <f aca="false">Sens!$E$3017+Sens!$F$3017</f>
        <v>23.1728724610325</v>
      </c>
      <c r="H3017" s="38" t="n">
        <f aca="false">Sens!$G$3017*(1+Sens!$H$3018)</f>
        <v>24.353392759506</v>
      </c>
      <c r="I3017" s="38" t="n">
        <f aca="false">Sens!$H$3017*(1+Sens!$I$3018)</f>
        <v>25.4240338872015</v>
      </c>
      <c r="J3017" s="38" t="n">
        <f aca="false">Sens!$I$3017*(1+Sens!$J$3018)</f>
        <v>26.3642491017174</v>
      </c>
      <c r="K3017" s="38" t="n">
        <f aca="false">Sens!$J$3017*(1+Sens!$K$3018)</f>
        <v>27.155176574769</v>
      </c>
      <c r="L3017" s="38" t="n">
        <f aca="false">Sens!$K$3017*(1+Sens!$L$3018)</f>
        <v>27.969831872012</v>
      </c>
      <c r="M3017" s="38" t="n">
        <f aca="false">Sens!$L$3017*(1+Sens!$M$3018)</f>
        <v>28.8089268281724</v>
      </c>
      <c r="N3017" s="38" t="n">
        <f aca="false">Q!$N$11</f>
        <v>11.128</v>
      </c>
      <c r="O3017" s="38" t="n">
        <f aca="false">Q!$O$11</f>
        <v>11.433</v>
      </c>
      <c r="P3017" s="8" t="s">
        <v>678</v>
      </c>
    </row>
    <row r="3018" customFormat="false" ht="17.15" hidden="false" customHeight="false" outlineLevel="0" collapsed="false">
      <c r="A3018" s="0" t="s">
        <v>681</v>
      </c>
      <c r="B3018" s="0" t="s">
        <v>52</v>
      </c>
      <c r="E3018" s="13" t="n">
        <f aca="false">Sens!$E$3017/Sens!$N$3017-1</f>
        <v>0.0405283968368082</v>
      </c>
      <c r="F3018" s="13" t="n">
        <f aca="false">Sens!$O$3017/(Q!$F$11+Q!$G$11)-1</f>
        <v>0.0579254187100955</v>
      </c>
      <c r="G3018" s="13" t="n">
        <f aca="false">Sens!$G$3017/Sens!$D$3017-1</f>
        <v>0.0271208040881397</v>
      </c>
      <c r="H3018" s="13" t="n">
        <f aca="false">Sens!$F$3018+(g_ps-Sens!$F$3018)*1/4</f>
        <v>0.0509440640325716</v>
      </c>
      <c r="I3018" s="13" t="n">
        <f aca="false">Sens!$F$3018+(g_ps-Sens!$F$3018)*2/4</f>
        <v>0.0439627093550477</v>
      </c>
      <c r="J3018" s="13" t="n">
        <f aca="false">Sens!$F$3018+(g_ps-Sens!$F$3018)*3/4</f>
        <v>0.0369813546775239</v>
      </c>
      <c r="K3018" s="13" t="n">
        <f aca="false">Sens!$F$3018+(g_ps-Sens!$F$3018)*4/4</f>
        <v>0.03</v>
      </c>
      <c r="L3018" s="13" t="n">
        <f aca="false">g_ps</f>
        <v>0.03</v>
      </c>
      <c r="M3018" s="13" t="n">
        <f aca="false">g_ps</f>
        <v>0.03</v>
      </c>
      <c r="P3018" s="8" t="s">
        <v>682</v>
      </c>
    </row>
    <row r="3019" customFormat="false" ht="17.15" hidden="false" customHeight="false" outlineLevel="0" collapsed="false">
      <c r="A3019" s="0" t="s">
        <v>528</v>
      </c>
      <c r="B3019" s="0" t="s">
        <v>86</v>
      </c>
      <c r="C3019" s="38" t="n">
        <f aca="false">Q!$D$12</f>
        <v>156.146</v>
      </c>
      <c r="D3019" s="38" t="n">
        <f aca="false">Q!$E$12</f>
        <v>172.162</v>
      </c>
      <c r="E3019" s="38" t="n">
        <f aca="false">Q!$P$12</f>
        <v>88.358</v>
      </c>
      <c r="F3019" s="38" t="n">
        <f aca="false">Sens!$O$3019*(1+Sens!$F$3020)*Sens!$F$3027</f>
        <v>102.004388260171</v>
      </c>
      <c r="G3019" s="38" t="n">
        <f aca="false">Sens!$E$3019+Sens!$F$3019</f>
        <v>190.362388260171</v>
      </c>
      <c r="H3019" s="38" t="n">
        <f aca="false">Sens!$G$3019*(1+Sens!$H$3020)</f>
        <v>210.343106588311</v>
      </c>
      <c r="I3019" s="38" t="n">
        <f aca="false">Sens!$H$3019*(1+Sens!$I$3020)</f>
        <v>229.969728494648</v>
      </c>
      <c r="J3019" s="38" t="n">
        <f aca="false">Sens!$I$3019*(1+Sens!$J$3020)</f>
        <v>248.747636972598</v>
      </c>
      <c r="K3019" s="38" t="n">
        <f aca="false">Sens!$J$3019*(1+Sens!$K$3020)</f>
        <v>266.15997156068</v>
      </c>
      <c r="L3019" s="38" t="n">
        <f aca="false">Sens!$K$3019*(1+Sens!$L$3020)</f>
        <v>284.791169569927</v>
      </c>
      <c r="M3019" s="38" t="n">
        <f aca="false">Sens!$L$3019*(1+Sens!$M$3020)</f>
        <v>304.726551439822</v>
      </c>
      <c r="N3019" s="38" t="n">
        <f aca="false">Q!$N$12</f>
        <v>76.86</v>
      </c>
      <c r="O3019" s="38" t="n">
        <f aca="false">Q!$O$12</f>
        <v>95.302</v>
      </c>
      <c r="P3019" s="8" t="s">
        <v>678</v>
      </c>
    </row>
    <row r="3020" customFormat="false" ht="17.15" hidden="false" customHeight="false" outlineLevel="0" collapsed="false">
      <c r="A3020" s="0" t="s">
        <v>683</v>
      </c>
      <c r="B3020" s="0" t="s">
        <v>52</v>
      </c>
      <c r="E3020" s="13" t="n">
        <f aca="false">Sens!$E$3019/Sens!$N$3019-1</f>
        <v>0.1495966692688</v>
      </c>
      <c r="F3020" s="13" t="n">
        <f aca="false">Sens!$O$3019/(Q!$F$12+Q!$G$12)-1</f>
        <v>0.11661530890813</v>
      </c>
      <c r="G3020" s="13" t="n">
        <f aca="false">Sens!$G$3019/Sens!$D$3019-1</f>
        <v>0.105716640490767</v>
      </c>
      <c r="H3020" s="13" t="n">
        <f aca="false">Sens!$F$3020+(g_sp-Sens!$F$3020)*1/4</f>
        <v>0.104961481681098</v>
      </c>
      <c r="I3020" s="13" t="n">
        <f aca="false">Sens!$F$3020+(g_sp-Sens!$F$3020)*2/4</f>
        <v>0.0933076544540651</v>
      </c>
      <c r="J3020" s="13" t="n">
        <f aca="false">Sens!$F$3020+(g_sp-Sens!$F$3020)*3/4</f>
        <v>0.0816538272270325</v>
      </c>
      <c r="K3020" s="13" t="n">
        <f aca="false">Sens!$F$3020+(g_sp-Sens!$F$3020)*4/4</f>
        <v>0.07</v>
      </c>
      <c r="L3020" s="13" t="n">
        <f aca="false">g_sp</f>
        <v>0.07</v>
      </c>
      <c r="M3020" s="13" t="n">
        <f aca="false">g_sp</f>
        <v>0.07</v>
      </c>
      <c r="P3020" s="8" t="s">
        <v>684</v>
      </c>
    </row>
    <row r="3021" customFormat="false" ht="17.15" hidden="false" customHeight="false" outlineLevel="0" collapsed="false">
      <c r="A3021" s="0" t="s">
        <v>529</v>
      </c>
      <c r="B3021" s="0" t="s">
        <v>86</v>
      </c>
      <c r="C3021" s="38" t="n">
        <f aca="false">Q!$D$13</f>
        <v>56.214</v>
      </c>
      <c r="D3021" s="38" t="n">
        <f aca="false">Q!$E$13</f>
        <v>68.635</v>
      </c>
      <c r="E3021" s="38" t="n">
        <f aca="false">Q!$P$13</f>
        <v>37.052</v>
      </c>
      <c r="F3021" s="38" t="n">
        <f aca="false">Sens!$O$3021*(1+Sens!$F$3022)*Sens!$F$3027</f>
        <v>46.1572219944148</v>
      </c>
      <c r="G3021" s="38" t="n">
        <f aca="false">Sens!$E$3021+Sens!$F$3021</f>
        <v>83.2092219944148</v>
      </c>
      <c r="H3021" s="38" t="n">
        <f aca="false">Sens!$G$3021*(1+Sens!$H$3022)</f>
        <v>99.8969223878976</v>
      </c>
      <c r="I3021" s="38" t="n">
        <f aca="false">Sens!$H$3021*(1+Sens!$I$3022)</f>
        <v>116.583111095496</v>
      </c>
      <c r="J3021" s="38" t="n">
        <f aca="false">Sens!$I$3021*(1+Sens!$J$3022)</f>
        <v>132.148941941952</v>
      </c>
      <c r="K3021" s="38" t="n">
        <f aca="false">Sens!$J$3021*(1+Sens!$K$3022)</f>
        <v>145.363836136147</v>
      </c>
      <c r="L3021" s="38" t="n">
        <f aca="false">Sens!$K$3021*(1+Sens!$L$3022)</f>
        <v>159.900219749762</v>
      </c>
      <c r="M3021" s="38" t="n">
        <f aca="false">Sens!$L$3021*(1+Sens!$M$3022)</f>
        <v>175.890241724738</v>
      </c>
      <c r="N3021" s="38" t="n">
        <f aca="false">Q!$N$13</f>
        <v>29.615</v>
      </c>
      <c r="O3021" s="38" t="n">
        <f aca="false">Q!$O$13</f>
        <v>39.02</v>
      </c>
      <c r="P3021" s="8" t="s">
        <v>678</v>
      </c>
    </row>
    <row r="3022" customFormat="false" ht="17.15" hidden="false" customHeight="false" outlineLevel="0" collapsed="false">
      <c r="A3022" s="0" t="s">
        <v>685</v>
      </c>
      <c r="B3022" s="0" t="s">
        <v>52</v>
      </c>
      <c r="E3022" s="13" t="n">
        <f aca="false">Sens!$E$3021/Sens!$N$3021-1</f>
        <v>0.25112274185379</v>
      </c>
      <c r="F3022" s="13" t="n">
        <f aca="false">Sens!$O$3021/(Q!$F$13+Q!$G$13)-1</f>
        <v>0.234068123596572</v>
      </c>
      <c r="G3022" s="13" t="n">
        <f aca="false">Sens!$G$3021/Sens!$D$3021-1</f>
        <v>0.212343876949294</v>
      </c>
      <c r="H3022" s="13" t="n">
        <f aca="false">Sens!$F$3022+(g_ad-Sens!$F$3022)*1/4</f>
        <v>0.200551092697429</v>
      </c>
      <c r="I3022" s="13" t="n">
        <f aca="false">Sens!$F$3022+(g_ad-Sens!$F$3022)*2/4</f>
        <v>0.167034061798286</v>
      </c>
      <c r="J3022" s="13" t="n">
        <f aca="false">Sens!$F$3022+(g_ad-Sens!$F$3022)*3/4</f>
        <v>0.133517030899143</v>
      </c>
      <c r="K3022" s="13" t="n">
        <f aca="false">Sens!$F$3022+(g_ad-Sens!$F$3022)*4/4</f>
        <v>0.1</v>
      </c>
      <c r="L3022" s="13" t="n">
        <f aca="false">g_ad</f>
        <v>0.1</v>
      </c>
      <c r="M3022" s="13" t="n">
        <f aca="false">g_ad</f>
        <v>0.1</v>
      </c>
      <c r="P3022" s="8" t="s">
        <v>686</v>
      </c>
    </row>
    <row r="3023" customFormat="false" ht="17.15" hidden="false" customHeight="false" outlineLevel="0" collapsed="false">
      <c r="A3023" s="0" t="s">
        <v>530</v>
      </c>
      <c r="B3023" s="0" t="s">
        <v>86</v>
      </c>
      <c r="C3023" s="38" t="n">
        <f aca="false">Q!$D$14</f>
        <v>44.374</v>
      </c>
      <c r="D3023" s="38" t="n">
        <f aca="false">Q!$E$14</f>
        <v>49.619</v>
      </c>
      <c r="E3023" s="38" t="n">
        <f aca="false">Q!$P$14</f>
        <v>27.157</v>
      </c>
      <c r="F3023" s="38" t="n">
        <f aca="false">Sens!$O$3023*(1+Sens!$F$3024)*Sens!$F$3027</f>
        <v>27.7764165988154</v>
      </c>
      <c r="G3023" s="38" t="n">
        <f aca="false">Sens!$E$3023+Sens!$F$3023</f>
        <v>54.9334165988154</v>
      </c>
      <c r="H3023" s="38" t="n">
        <f aca="false">Sens!$G$3023*(1+Sens!$H$3024)</f>
        <v>61.1564112561829</v>
      </c>
      <c r="I3023" s="38" t="n">
        <f aca="false">Sens!$H$3023*(1+Sens!$I$3024)</f>
        <v>67.2020282103945</v>
      </c>
      <c r="J3023" s="38" t="n">
        <f aca="false">Sens!$I$3023*(1+Sens!$J$3024)</f>
        <v>72.8757274028885</v>
      </c>
      <c r="K3023" s="38" t="n">
        <f aca="false">Sens!$J$3023*(1+Sens!$K$3024)</f>
        <v>77.9770283210907</v>
      </c>
      <c r="L3023" s="38" t="n">
        <f aca="false">Sens!$K$3023*(1+Sens!$L$3024)</f>
        <v>83.4354203035671</v>
      </c>
      <c r="M3023" s="38" t="n">
        <f aca="false">Sens!$L$3023*(1+Sens!$M$3024)</f>
        <v>89.2758997248168</v>
      </c>
      <c r="N3023" s="38" t="n">
        <f aca="false">Q!$N$14</f>
        <v>23.923</v>
      </c>
      <c r="O3023" s="38" t="n">
        <f aca="false">Q!$O$14</f>
        <v>25.696</v>
      </c>
      <c r="P3023" s="8" t="s">
        <v>678</v>
      </c>
    </row>
    <row r="3024" customFormat="false" ht="17.15" hidden="false" customHeight="false" outlineLevel="0" collapsed="false">
      <c r="A3024" s="0" t="s">
        <v>687</v>
      </c>
      <c r="B3024" s="0" t="s">
        <v>52</v>
      </c>
      <c r="E3024" s="13" t="n">
        <f aca="false">Sens!$E$3023/Sens!$N$3023-1</f>
        <v>0.135183714417088</v>
      </c>
      <c r="F3024" s="13" t="n">
        <f aca="false">Sens!$O$3023/(Q!$F$14+Q!$G$14)-1</f>
        <v>0.127709997366804</v>
      </c>
      <c r="G3024" s="13" t="n">
        <f aca="false">Sens!$G$3023/Sens!$D$3023-1</f>
        <v>0.107104468022641</v>
      </c>
      <c r="H3024" s="13" t="n">
        <f aca="false">Sens!$F$3024+(g_sub-Sens!$F$3024)*1/4</f>
        <v>0.113282498025103</v>
      </c>
      <c r="I3024" s="13" t="n">
        <f aca="false">Sens!$F$3024+(g_sub-Sens!$F$3024)*2/4</f>
        <v>0.0988549986834021</v>
      </c>
      <c r="J3024" s="13" t="n">
        <f aca="false">Sens!$F$3024+(g_sub-Sens!$F$3024)*3/4</f>
        <v>0.084427499341701</v>
      </c>
      <c r="K3024" s="13" t="n">
        <f aca="false">Sens!$F$3024+(g_sub-Sens!$F$3024)*4/4</f>
        <v>0.07</v>
      </c>
      <c r="L3024" s="13" t="n">
        <f aca="false">g_sub</f>
        <v>0.07</v>
      </c>
      <c r="M3024" s="13" t="n">
        <f aca="false">g_sub</f>
        <v>0.07</v>
      </c>
      <c r="P3024" s="8" t="s">
        <v>688</v>
      </c>
    </row>
    <row r="3025" customFormat="false" ht="17.15" hidden="false" customHeight="false" outlineLevel="0" collapsed="false">
      <c r="A3025" s="0" t="s">
        <v>531</v>
      </c>
      <c r="B3025" s="0" t="s">
        <v>86</v>
      </c>
      <c r="C3025" s="38" t="n">
        <f aca="false">Q!$D$15</f>
        <v>5.425</v>
      </c>
      <c r="D3025" s="38" t="n">
        <f aca="false">Q!$E$15</f>
        <v>5.935</v>
      </c>
      <c r="E3025" s="38" t="n">
        <f aca="false">Q!$P$15</f>
        <v>3.474</v>
      </c>
      <c r="F3025" s="38" t="n">
        <f aca="false">Sens!$O$3025*(1+Sens!$F$3026)*Sens!$F$3027</f>
        <v>3.22246550883619</v>
      </c>
      <c r="G3025" s="38" t="n">
        <f aca="false">Sens!$E$3025+Sens!$F$3025</f>
        <v>6.69646550883619</v>
      </c>
      <c r="H3025" s="38" t="n">
        <f aca="false">Sens!$G$3025*(1+Sens!$H$3026)</f>
        <v>7.16251344209196</v>
      </c>
      <c r="I3025" s="38" t="n">
        <f aca="false">Sens!$H$3025*(1+Sens!$I$3026)</f>
        <v>7.61421070299826</v>
      </c>
      <c r="J3025" s="38" t="n">
        <f aca="false">Sens!$I$3025*(1+Sens!$J$3026)</f>
        <v>8.04465753523932</v>
      </c>
      <c r="K3025" s="38" t="n">
        <f aca="false">Sens!$J$3025*(1+Sens!$K$3026)</f>
        <v>8.44689041200128</v>
      </c>
      <c r="L3025" s="38" t="n">
        <f aca="false">Sens!$K$3025*(1+Sens!$L$3026)</f>
        <v>8.86923493260135</v>
      </c>
      <c r="M3025" s="38" t="n">
        <f aca="false">Sens!$L$3025*(1+Sens!$M$3026)</f>
        <v>9.31269667923142</v>
      </c>
      <c r="N3025" s="38" t="n">
        <f aca="false">Q!$N$15</f>
        <v>2.811</v>
      </c>
      <c r="O3025" s="38" t="n">
        <f aca="false">Q!$O$15</f>
        <v>3.124</v>
      </c>
      <c r="P3025" s="8" t="s">
        <v>678</v>
      </c>
    </row>
    <row r="3026" customFormat="false" ht="17.15" hidden="false" customHeight="false" outlineLevel="0" collapsed="false">
      <c r="A3026" s="0" t="s">
        <v>689</v>
      </c>
      <c r="B3026" s="0" t="s">
        <v>52</v>
      </c>
      <c r="E3026" s="13" t="n">
        <f aca="false">Sens!$E$3025/Sens!$N$3025-1</f>
        <v>0.235859124866596</v>
      </c>
      <c r="F3026" s="13" t="n">
        <f aca="false">Sens!$O$3025/(Q!$F$15+Q!$G$15)-1</f>
        <v>0.0761281433000345</v>
      </c>
      <c r="G3026" s="13" t="n">
        <f aca="false">Sens!$G$3025/Sens!$D$3025-1</f>
        <v>0.128300843948811</v>
      </c>
      <c r="H3026" s="13" t="n">
        <f aca="false">Sens!$F$3026+(g_ot-Sens!$F$3026)*1/4</f>
        <v>0.0695961074750259</v>
      </c>
      <c r="I3026" s="13" t="n">
        <f aca="false">Sens!$F$3026+(g_ot-Sens!$F$3026)*2/4</f>
        <v>0.0630640716500172</v>
      </c>
      <c r="J3026" s="13" t="n">
        <f aca="false">Sens!$F$3026+(g_ot-Sens!$F$3026)*3/4</f>
        <v>0.0565320358250086</v>
      </c>
      <c r="K3026" s="13" t="n">
        <f aca="false">Sens!$F$3026+(g_ot-Sens!$F$3026)*4/4</f>
        <v>0.05</v>
      </c>
      <c r="L3026" s="13" t="n">
        <f aca="false">g_ot</f>
        <v>0.05</v>
      </c>
      <c r="M3026" s="13" t="n">
        <f aca="false">g_ot</f>
        <v>0.05</v>
      </c>
      <c r="P3026" s="8" t="s">
        <v>690</v>
      </c>
    </row>
    <row r="3027" customFormat="false" ht="17.15" hidden="false" customHeight="false" outlineLevel="0" collapsed="false">
      <c r="A3027" s="0" t="s">
        <v>691</v>
      </c>
      <c r="B3027" s="0" t="s">
        <v>57</v>
      </c>
      <c r="F3027" s="40" t="n">
        <f aca="false">(g26q3_mid*Q!$O$8/Q!$J$8-Thesis!$F$89-Thesis!$F$93)/(Sens!$O$3015*(1+Sens!$F$3016)+Sens!$O$3017*(1+Sens!$F$3018)+Sens!$O$3019*(1+Sens!$F$3020)+Sens!$O$3021*(1+Sens!$F$3022)+Sens!$O$3023*(1+Sens!$F$3024)+Sens!$O$3025*(1+Sens!$F$3026))</f>
        <v>0.958546670622329</v>
      </c>
      <c r="P3027" s="8" t="s">
        <v>692</v>
      </c>
    </row>
    <row r="3028" customFormat="false" ht="17.15" hidden="false" customHeight="false" outlineLevel="0" collapsed="false">
      <c r="A3028" s="3" t="s">
        <v>693</v>
      </c>
      <c r="B3028" s="8" t="s">
        <v>86</v>
      </c>
      <c r="C3028" s="38" t="n">
        <f aca="false">Sens!$C$3015+Sens!$C$3017+Sens!$C$3019+Sens!$C$3021+Sens!$C$3023+Sens!$C$3025</f>
        <v>530.403</v>
      </c>
      <c r="D3028" s="38" t="n">
        <f aca="false">Sens!$D$3015+Sens!$D$3017+Sens!$D$3019+Sens!$D$3021+Sens!$D$3023+Sens!$D$3025</f>
        <v>588.199</v>
      </c>
      <c r="E3028" s="38" t="n">
        <f aca="false">Sens!$E$3015+Sens!$E$3017+Sens!$E$3019+Sens!$E$3021+Sens!$E$3023+Sens!$E$3025</f>
        <v>302.306</v>
      </c>
      <c r="F3028" s="38" t="n">
        <f aca="false">Sens!$F$3015+Sens!$F$3017+Sens!$F$3019+Sens!$F$3021+Sens!$F$3023+Sens!$F$3025</f>
        <v>349.048241645537</v>
      </c>
      <c r="G3028" s="38" t="n">
        <f aca="false">Sens!$G$3015+Sens!$G$3017+Sens!$G$3019+Sens!$G$3021+Sens!$G$3023+Sens!$G$3025</f>
        <v>651.354241645537</v>
      </c>
      <c r="H3028" s="38" t="n">
        <f aca="false">Sens!$H$3015+Sens!$H$3017+Sens!$H$3019+Sens!$H$3021+Sens!$H$3023+Sens!$H$3025</f>
        <v>721.096889521386</v>
      </c>
      <c r="I3028" s="38" t="n">
        <f aca="false">Sens!$I$3015+Sens!$I$3017+Sens!$I$3019+Sens!$I$3021+Sens!$I$3023+Sens!$I$3025</f>
        <v>788.529391152531</v>
      </c>
      <c r="J3028" s="38" t="n">
        <f aca="false">Sens!$J$3015+Sens!$J$3017+Sens!$J$3019+Sens!$J$3021+Sens!$J$3023+Sens!$J$3025</f>
        <v>851.108405741443</v>
      </c>
      <c r="K3028" s="38" t="n">
        <f aca="false">Sens!$K$3015+Sens!$K$3017+Sens!$K$3019+Sens!$K$3021+Sens!$K$3023+Sens!$K$3025</f>
        <v>906.176455431088</v>
      </c>
      <c r="L3028" s="38" t="n">
        <f aca="false">Sens!$L$3015+Sens!$L$3017+Sens!$L$3019+Sens!$L$3021+Sens!$L$3023+Sens!$L$3025</f>
        <v>965.093106475589</v>
      </c>
      <c r="M3028" s="38" t="n">
        <f aca="false">Sens!$M$3015+Sens!$M$3017+Sens!$M$3019+Sens!$M$3021+Sens!$M$3023+Sens!$M$3025</f>
        <v>1028.14790794689</v>
      </c>
      <c r="N3028" s="38" t="n">
        <f aca="false">Sens!$N$3015+Sens!$N$3017+Sens!$N$3019+Sens!$N$3021+Sens!$N$3023+Sens!$N$3025</f>
        <v>263.229</v>
      </c>
      <c r="O3028" s="38" t="n">
        <f aca="false">Sens!$O$3015+Sens!$O$3017+Sens!$O$3019+Sens!$O$3021+Sens!$O$3023+Sens!$O$3025</f>
        <v>324.97</v>
      </c>
    </row>
    <row r="3029" customFormat="false" ht="17.15" hidden="false" customHeight="false" outlineLevel="0" collapsed="false">
      <c r="A3029" s="5" t="s">
        <v>694</v>
      </c>
      <c r="B3029" s="0" t="s">
        <v>52</v>
      </c>
      <c r="C3029" s="13" t="n">
        <f aca="false">Q!$D$5/(Q!$D$5+Q!$D$6)</f>
        <v>0.730570905519011</v>
      </c>
      <c r="D3029" s="13" t="n">
        <f aca="false">Q!$E$5/(Q!$E$5+Q!$E$6)</f>
        <v>0.724763217890544</v>
      </c>
      <c r="E3029" s="13" t="n">
        <f aca="false">Q!$P$5/(Q!$P$5+Q!$P$6)</f>
        <v>0.728797972914861</v>
      </c>
      <c r="F3029" s="13" t="n">
        <f aca="false">Sens!$O$3029</f>
        <v>0.718066283041511</v>
      </c>
      <c r="G3029" s="13" t="n">
        <f aca="false">Sens!$G$3030/Sens!$G$3028</f>
        <v>0.723047066202847</v>
      </c>
      <c r="H3029" s="13" t="n">
        <f aca="false">Sens!$G$3029</f>
        <v>0.723047066202847</v>
      </c>
      <c r="I3029" s="13" t="n">
        <f aca="false">Sens!$G$3029</f>
        <v>0.723047066202847</v>
      </c>
      <c r="J3029" s="13" t="n">
        <f aca="false">Sens!$G$3029</f>
        <v>0.723047066202847</v>
      </c>
      <c r="K3029" s="13" t="n">
        <f aca="false">Sens!$G$3029</f>
        <v>0.723047066202847</v>
      </c>
      <c r="L3029" s="13" t="n">
        <f aca="false">Sens!$G$3029</f>
        <v>0.723047066202847</v>
      </c>
      <c r="M3029" s="13" t="n">
        <f aca="false">Sens!$G$3029</f>
        <v>0.723047066202847</v>
      </c>
      <c r="N3029" s="13" t="n">
        <f aca="false">Q!$N$5/(Q!$N$5+Q!$N$6)</f>
        <v>0.733030935041352</v>
      </c>
      <c r="O3029" s="13" t="n">
        <f aca="false">Q!$O$5/(Q!$O$5+Q!$O$6)</f>
        <v>0.718066283041511</v>
      </c>
      <c r="P3029" s="8" t="s">
        <v>695</v>
      </c>
    </row>
    <row r="3030" customFormat="false" ht="17.15" hidden="false" customHeight="false" outlineLevel="0" collapsed="false">
      <c r="A3030" s="1" t="s">
        <v>519</v>
      </c>
      <c r="B3030" s="8" t="s">
        <v>86</v>
      </c>
      <c r="C3030" s="38" t="n">
        <f aca="false">Q!$D$5</f>
        <v>387.497</v>
      </c>
      <c r="D3030" s="38" t="n">
        <f aca="false">Q!$E$5</f>
        <v>426.305</v>
      </c>
      <c r="E3030" s="38" t="n">
        <f aca="false">Q!$P$5</f>
        <v>220.32</v>
      </c>
      <c r="F3030" s="38" t="n">
        <f aca="false">Sens!$F$3028*Sens!$F$3029</f>
        <v>250.639773480586</v>
      </c>
      <c r="G3030" s="38" t="n">
        <f aca="false">Sens!$E$3030+Sens!$F$3030</f>
        <v>470.959773480586</v>
      </c>
      <c r="H3030" s="38" t="n">
        <f aca="false">Sens!$H$3028*Sens!$H$3029</f>
        <v>521.386990416437</v>
      </c>
      <c r="I3030" s="38" t="n">
        <f aca="false">Sens!$I$3028*Sens!$I$3029</f>
        <v>570.143862887555</v>
      </c>
      <c r="J3030" s="38" t="n">
        <f aca="false">Sens!$J$3028*Sens!$J$3029</f>
        <v>615.391435791933</v>
      </c>
      <c r="K3030" s="38" t="n">
        <f aca="false">Sens!$K$3028*Sens!$K$3029</f>
        <v>655.208227561543</v>
      </c>
      <c r="L3030" s="38" t="n">
        <f aca="false">Sens!$L$3028*Sens!$L$3029</f>
        <v>697.807739249767</v>
      </c>
      <c r="M3030" s="38" t="n">
        <f aca="false">Sens!$M$3028*Sens!$M$3029</f>
        <v>743.399328463592</v>
      </c>
      <c r="N3030" s="38" t="n">
        <f aca="false">Q!$N$5</f>
        <v>192.955</v>
      </c>
      <c r="O3030" s="38" t="n">
        <f aca="false">Q!$O$5</f>
        <v>233.35</v>
      </c>
      <c r="P3030" s="5" t="s">
        <v>696</v>
      </c>
    </row>
    <row r="3031" customFormat="false" ht="17.15" hidden="false" customHeight="false" outlineLevel="0" collapsed="false">
      <c r="A3031" s="1" t="s">
        <v>522</v>
      </c>
      <c r="B3031" s="8" t="s">
        <v>86</v>
      </c>
      <c r="C3031" s="38" t="n">
        <f aca="false">Q!$D$6</f>
        <v>142.906</v>
      </c>
      <c r="D3031" s="38" t="n">
        <f aca="false">Q!$E$6</f>
        <v>161.894</v>
      </c>
      <c r="E3031" s="38" t="n">
        <f aca="false">Q!$P$6</f>
        <v>81.986</v>
      </c>
      <c r="F3031" s="38" t="n">
        <f aca="false">Sens!$F$3028*(1-Sens!$F$3029)</f>
        <v>98.408468164951</v>
      </c>
      <c r="G3031" s="38" t="n">
        <f aca="false">Sens!$E$3031+Sens!$F$3031</f>
        <v>180.394468164951</v>
      </c>
      <c r="H3031" s="38" t="n">
        <f aca="false">Sens!$H$3028*(1-Sens!$H$3029)</f>
        <v>199.709899104949</v>
      </c>
      <c r="I3031" s="38" t="n">
        <f aca="false">Sens!$I$3028*(1-Sens!$I$3029)</f>
        <v>218.385528264976</v>
      </c>
      <c r="J3031" s="38" t="n">
        <f aca="false">Sens!$J$3028*(1-Sens!$J$3029)</f>
        <v>235.71696994951</v>
      </c>
      <c r="K3031" s="38" t="n">
        <f aca="false">Sens!$K$3028*(1-Sens!$K$3029)</f>
        <v>250.968227869545</v>
      </c>
      <c r="L3031" s="38" t="n">
        <f aca="false">Sens!$L$3028*(1-Sens!$L$3029)</f>
        <v>267.285367225822</v>
      </c>
      <c r="M3031" s="38" t="n">
        <f aca="false">Sens!$M$3028*(1-Sens!$M$3029)</f>
        <v>284.748579483295</v>
      </c>
      <c r="N3031" s="38" t="n">
        <f aca="false">Q!$N$6</f>
        <v>70.274</v>
      </c>
      <c r="O3031" s="38" t="n">
        <f aca="false">Q!$O$6</f>
        <v>91.62</v>
      </c>
      <c r="P3031" s="5" t="s">
        <v>697</v>
      </c>
    </row>
    <row r="3032" customFormat="false" ht="17.15" hidden="false" customHeight="false" outlineLevel="0" collapsed="false">
      <c r="A3032" s="5" t="s">
        <v>698</v>
      </c>
      <c r="B3032" s="0" t="s">
        <v>86</v>
      </c>
      <c r="C3032" s="38" t="n">
        <f aca="false">Sens!$C$3021*Sens!$C$3029</f>
        <v>41.0683128828457</v>
      </c>
      <c r="D3032" s="38" t="n">
        <f aca="false">Sens!$D$3021*Sens!$D$3029</f>
        <v>49.7441234599175</v>
      </c>
      <c r="E3032" s="38" t="n">
        <f aca="false">Sens!$E$3021*Sens!$E$3029</f>
        <v>27.0034224924414</v>
      </c>
      <c r="F3032" s="38" t="n">
        <f aca="false">Sens!$F$3021*Sens!$F$3029</f>
        <v>33.1439448330513</v>
      </c>
      <c r="G3032" s="38" t="n">
        <f aca="false">Sens!$G$3021*Sens!$G$3029</f>
        <v>60.164183844083</v>
      </c>
      <c r="H3032" s="38" t="n">
        <f aca="false">Sens!$H$3021*Sens!$H$3029</f>
        <v>72.2301766552629</v>
      </c>
      <c r="I3032" s="38" t="n">
        <f aca="false">Sens!$I$3021*Sens!$I$3029</f>
        <v>84.2950764463991</v>
      </c>
      <c r="J3032" s="38" t="n">
        <f aca="false">Sens!$J$3021*Sens!$J$3029</f>
        <v>95.5499047729386</v>
      </c>
      <c r="K3032" s="38" t="n">
        <f aca="false">Sens!$K$3021*Sens!$K$3029</f>
        <v>105.104895250232</v>
      </c>
      <c r="L3032" s="38" t="n">
        <f aca="false">Sens!$L$3021*Sens!$L$3029</f>
        <v>115.615384775256</v>
      </c>
      <c r="M3032" s="38" t="n">
        <f aca="false">Sens!$M$3021*Sens!$M$3029</f>
        <v>127.176923252781</v>
      </c>
      <c r="N3032" s="38" t="n">
        <f aca="false">Sens!$N$3021*Sens!$N$3029</f>
        <v>21.7087111412496</v>
      </c>
      <c r="O3032" s="38" t="n">
        <f aca="false">Sens!$O$3021*Sens!$O$3029</f>
        <v>28.0189463642798</v>
      </c>
      <c r="P3032" s="5" t="s">
        <v>699</v>
      </c>
    </row>
    <row r="3033" customFormat="false" ht="15" hidden="false" customHeight="false" outlineLevel="0" collapsed="false">
      <c r="A3033" s="5" t="s">
        <v>700</v>
      </c>
      <c r="B3033" s="0" t="s">
        <v>86</v>
      </c>
      <c r="C3033" s="38" t="n">
        <f aca="false">Sens!$C$3021-Sens!$C$3032</f>
        <v>15.1456871171543</v>
      </c>
      <c r="D3033" s="38" t="n">
        <f aca="false">Sens!$D$3021-Sens!$D$3032</f>
        <v>18.8908765400825</v>
      </c>
      <c r="E3033" s="38" t="n">
        <f aca="false">Sens!$E$3021-Sens!$E$3032</f>
        <v>10.0485775075586</v>
      </c>
      <c r="F3033" s="38" t="n">
        <f aca="false">Sens!$F$3021-Sens!$F$3032</f>
        <v>13.0132771613635</v>
      </c>
      <c r="G3033" s="38" t="n">
        <f aca="false">Sens!$G$3021-Sens!$G$3032</f>
        <v>23.0450381503318</v>
      </c>
      <c r="H3033" s="38" t="n">
        <f aca="false">Sens!$H$3021-Sens!$H$3032</f>
        <v>27.6667457326347</v>
      </c>
      <c r="I3033" s="38" t="n">
        <f aca="false">Sens!$I$3021-Sens!$I$3032</f>
        <v>32.2880346490971</v>
      </c>
      <c r="J3033" s="38" t="n">
        <f aca="false">Sens!$J$3021-Sens!$J$3032</f>
        <v>36.5990371690132</v>
      </c>
      <c r="K3033" s="38" t="n">
        <f aca="false">Sens!$K$3021-Sens!$K$3032</f>
        <v>40.2589408859145</v>
      </c>
      <c r="L3033" s="38" t="n">
        <f aca="false">Sens!$L$3021-Sens!$L$3032</f>
        <v>44.2848349745059</v>
      </c>
      <c r="M3033" s="38" t="n">
        <f aca="false">Sens!$M$3021-Sens!$M$3032</f>
        <v>48.7133184719565</v>
      </c>
      <c r="N3033" s="38" t="n">
        <f aca="false">Sens!$N$3021-Sens!$N$3032</f>
        <v>7.90628885875037</v>
      </c>
      <c r="O3033" s="38" t="n">
        <f aca="false">Sens!$O$3021-Sens!$O$3032</f>
        <v>11.0010536357202</v>
      </c>
    </row>
    <row r="3034" customFormat="false" ht="19.4" hidden="false" customHeight="false" outlineLevel="0" collapsed="false">
      <c r="A3034" s="31" t="s">
        <v>1213</v>
      </c>
    </row>
    <row r="3035" customFormat="false" ht="17.15" hidden="false" customHeight="false" outlineLevel="0" collapsed="false">
      <c r="A3035" s="6" t="s">
        <v>16</v>
      </c>
      <c r="B3035" s="6" t="s">
        <v>17</v>
      </c>
      <c r="C3035" s="20" t="s">
        <v>504</v>
      </c>
      <c r="D3035" s="20" t="s">
        <v>505</v>
      </c>
      <c r="E3035" s="20" t="s">
        <v>587</v>
      </c>
      <c r="F3035" s="20" t="s">
        <v>588</v>
      </c>
      <c r="G3035" s="20" t="s">
        <v>589</v>
      </c>
      <c r="H3035" s="20" t="s">
        <v>590</v>
      </c>
      <c r="I3035" s="20" t="s">
        <v>591</v>
      </c>
      <c r="J3035" s="20" t="s">
        <v>592</v>
      </c>
      <c r="K3035" s="20" t="s">
        <v>593</v>
      </c>
      <c r="L3035" s="20" t="s">
        <v>594</v>
      </c>
      <c r="M3035" s="20" t="s">
        <v>595</v>
      </c>
      <c r="N3035" s="20" t="s">
        <v>596</v>
      </c>
      <c r="O3035" s="20" t="s">
        <v>597</v>
      </c>
      <c r="P3035" s="6" t="s">
        <v>23</v>
      </c>
      <c r="R3035" s="20" t="n">
        <v>2023</v>
      </c>
      <c r="S3035" s="20" t="n">
        <v>2024</v>
      </c>
      <c r="T3035" s="20" t="n">
        <v>2025</v>
      </c>
      <c r="U3035" s="20" t="n">
        <v>2026</v>
      </c>
      <c r="V3035" s="20" t="n">
        <v>2027</v>
      </c>
      <c r="W3035" s="20" t="n">
        <v>2028</v>
      </c>
      <c r="X3035" s="20" t="n">
        <v>2029</v>
      </c>
      <c r="Y3035" s="20" t="n">
        <v>2030</v>
      </c>
      <c r="Z3035" s="20" t="n">
        <v>2031</v>
      </c>
      <c r="AA3035" s="20" t="n">
        <v>2032</v>
      </c>
    </row>
    <row r="3036" customFormat="false" ht="17.15" hidden="false" customHeight="false" outlineLevel="0" collapsed="false">
      <c r="A3036" s="1" t="s">
        <v>598</v>
      </c>
    </row>
    <row r="3037" customFormat="false" ht="17.15" hidden="false" customHeight="false" outlineLevel="0" collapsed="false">
      <c r="A3037" s="5" t="s">
        <v>599</v>
      </c>
      <c r="B3037" s="0" t="s">
        <v>144</v>
      </c>
      <c r="H3037" s="32" t="n">
        <f aca="false">pace_B</f>
        <v>3634.3</v>
      </c>
      <c r="I3037" s="32" t="n">
        <f aca="false">pace_B</f>
        <v>3634.3</v>
      </c>
      <c r="J3037" s="32" t="n">
        <f aca="false">pace_B</f>
        <v>3634.3</v>
      </c>
      <c r="K3037" s="32" t="n">
        <f aca="false">pace_B+(Sens!$J$3038*tg-pace_B)*1/3</f>
        <v>2570.86716666667</v>
      </c>
      <c r="L3037" s="32" t="n">
        <f aca="false">pace_B+(Sens!$J$3038*tg-pace_B)*2/3</f>
        <v>1507.43433333333</v>
      </c>
      <c r="M3037" s="32" t="n">
        <f aca="false">pace_B+(Sens!$J$3038*tg-pace_B)*3/3</f>
        <v>444.0015</v>
      </c>
      <c r="P3037" s="5" t="s">
        <v>600</v>
      </c>
    </row>
    <row r="3038" customFormat="false" ht="17.15" hidden="false" customHeight="false" outlineLevel="0" collapsed="false">
      <c r="A3038" s="15" t="s">
        <v>601</v>
      </c>
      <c r="B3038" s="14" t="s">
        <v>129</v>
      </c>
      <c r="C3038" s="33" t="n">
        <f aca="false">mw_ye24</f>
        <v>360</v>
      </c>
      <c r="D3038" s="33" t="n">
        <f aca="false">mw_ye25</f>
        <v>1440</v>
      </c>
      <c r="E3038" s="33" t="n">
        <f aca="false">mw_open</f>
        <v>2080</v>
      </c>
      <c r="F3038" s="33" t="n">
        <f aca="false">Sens!$E$3038+pace_B*0.5</f>
        <v>3897.15</v>
      </c>
      <c r="G3038" s="33" t="n">
        <f aca="false">Sens!$F$3038</f>
        <v>3897.15</v>
      </c>
      <c r="H3038" s="33" t="n">
        <f aca="false">Sens!$G$3038+Sens!$H$3037</f>
        <v>7531.45</v>
      </c>
      <c r="I3038" s="33" t="n">
        <f aca="false">Sens!$H$3038+Sens!$I$3037</f>
        <v>11165.75</v>
      </c>
      <c r="J3038" s="33" t="n">
        <f aca="false">Sens!$I$3038+Sens!$J$3037</f>
        <v>14800.05</v>
      </c>
      <c r="K3038" s="33" t="n">
        <f aca="false">Sens!$J$3038+Sens!$K$3037</f>
        <v>17370.9171666667</v>
      </c>
      <c r="L3038" s="33" t="n">
        <f aca="false">Sens!$K$3038+Sens!$L$3037</f>
        <v>18878.3515</v>
      </c>
      <c r="M3038" s="33" t="n">
        <f aca="false">Sens!$L$3038+Sens!$M$3037</f>
        <v>19322.353</v>
      </c>
      <c r="N3038" s="33" t="n">
        <f aca="false">(mw_ye24+mw_ye25)/2</f>
        <v>900</v>
      </c>
      <c r="O3038" s="33" t="n">
        <f aca="false">mw_ye25</f>
        <v>1440</v>
      </c>
      <c r="P3038" s="5" t="s">
        <v>602</v>
      </c>
    </row>
    <row r="3039" customFormat="false" ht="17.15" hidden="false" customHeight="false" outlineLevel="0" collapsed="false">
      <c r="A3039" s="5" t="s">
        <v>603</v>
      </c>
      <c r="B3039" s="0" t="s">
        <v>129</v>
      </c>
      <c r="C3039" s="32" t="n">
        <f aca="false">(mw_ye23+mw_ye24)/2</f>
        <v>240</v>
      </c>
      <c r="D3039" s="32" t="n">
        <f aca="false">(Sens!$C$3038+Sens!$D$3038)/2</f>
        <v>900</v>
      </c>
      <c r="E3039" s="32" t="n">
        <f aca="false">(Sens!$D$3038+Sens!$E$3038)/2</f>
        <v>1760</v>
      </c>
      <c r="F3039" s="32" t="n">
        <f aca="false">(Sens!$E$3038+Sens!$F$3038)/2</f>
        <v>2988.575</v>
      </c>
      <c r="G3039" s="32" t="n">
        <f aca="false">(Sens!$E$3039+Sens!$F$3039)/2</f>
        <v>2374.2875</v>
      </c>
      <c r="H3039" s="32" t="n">
        <f aca="false">(Sens!$G$3038+Sens!$H$3038)/2</f>
        <v>5714.3</v>
      </c>
      <c r="I3039" s="32" t="n">
        <f aca="false">(Sens!$H$3038+Sens!$I$3038)/2</f>
        <v>9348.6</v>
      </c>
      <c r="J3039" s="32" t="n">
        <f aca="false">(Sens!$I$3038+Sens!$J$3038)/2</f>
        <v>12982.9</v>
      </c>
      <c r="K3039" s="32" t="n">
        <f aca="false">(Sens!$J$3038+Sens!$K$3038)/2</f>
        <v>16085.4835833333</v>
      </c>
      <c r="L3039" s="32" t="n">
        <f aca="false">(Sens!$K$3038+Sens!$L$3038)/2</f>
        <v>18124.6343333333</v>
      </c>
      <c r="M3039" s="32" t="n">
        <f aca="false">(Sens!$L$3038+Sens!$M$3038)/2</f>
        <v>19100.35225</v>
      </c>
      <c r="N3039" s="32" t="n">
        <f aca="false">(Sens!$C$3038+Sens!$N$3038)/2</f>
        <v>630</v>
      </c>
      <c r="O3039" s="32" t="n">
        <f aca="false">(Sens!$N$3038+Sens!$O$3038)/2</f>
        <v>1170</v>
      </c>
    </row>
    <row r="3040" customFormat="false" ht="15" hidden="false" customHeight="false" outlineLevel="0" collapsed="false">
      <c r="A3040" s="5" t="s">
        <v>604</v>
      </c>
      <c r="B3040" s="5" t="s">
        <v>123</v>
      </c>
      <c r="C3040" s="34" t="n">
        <v>1</v>
      </c>
      <c r="D3040" s="34" t="n">
        <v>1</v>
      </c>
      <c r="E3040" s="34" t="n">
        <v>0.5</v>
      </c>
      <c r="F3040" s="34" t="n">
        <v>0.5</v>
      </c>
      <c r="G3040" s="34" t="n">
        <v>1</v>
      </c>
      <c r="H3040" s="34" t="n">
        <v>1</v>
      </c>
      <c r="I3040" s="34" t="n">
        <v>1</v>
      </c>
      <c r="J3040" s="34" t="n">
        <v>1</v>
      </c>
      <c r="K3040" s="34" t="n">
        <v>1</v>
      </c>
      <c r="L3040" s="34" t="n">
        <v>1</v>
      </c>
      <c r="M3040" s="34" t="n">
        <v>1</v>
      </c>
      <c r="N3040" s="34" t="n">
        <v>0.5</v>
      </c>
      <c r="O3040" s="34" t="n">
        <v>0.5</v>
      </c>
    </row>
    <row r="3041" customFormat="false" ht="17.15" hidden="false" customHeight="false" outlineLevel="0" collapsed="false">
      <c r="A3041" s="5" t="s">
        <v>605</v>
      </c>
      <c r="B3041" s="0" t="s">
        <v>129</v>
      </c>
      <c r="C3041" s="32" t="n">
        <f aca="false">Sens!$C$3038-mw_ye23</f>
        <v>240</v>
      </c>
      <c r="D3041" s="32" t="n">
        <f aca="false">Sens!$D$3038-Sens!$C$3038</f>
        <v>1080</v>
      </c>
      <c r="E3041" s="32" t="n">
        <f aca="false">Sens!$E$3038-Sens!$D$3038</f>
        <v>640</v>
      </c>
      <c r="F3041" s="32" t="n">
        <f aca="false">Sens!$F$3038-Sens!$E$3038</f>
        <v>1817.15</v>
      </c>
      <c r="G3041" s="32" t="n">
        <f aca="false">Sens!$E$3041+Sens!$F$3041</f>
        <v>2457.15</v>
      </c>
      <c r="H3041" s="32" t="n">
        <f aca="false">Sens!$H$3038-Sens!$G$3038</f>
        <v>3634.3</v>
      </c>
      <c r="I3041" s="32" t="n">
        <f aca="false">Sens!$I$3038-Sens!$H$3038</f>
        <v>3634.3</v>
      </c>
      <c r="J3041" s="32" t="n">
        <f aca="false">Sens!$J$3038-Sens!$I$3038</f>
        <v>3634.3</v>
      </c>
      <c r="K3041" s="32" t="n">
        <f aca="false">Sens!$K$3038-Sens!$J$3038</f>
        <v>2570.86716666667</v>
      </c>
      <c r="L3041" s="32" t="n">
        <f aca="false">Sens!$L$3038-Sens!$K$3038</f>
        <v>1507.43433333333</v>
      </c>
      <c r="M3041" s="32" t="n">
        <f aca="false">Sens!$M$3038-Sens!$L$3038</f>
        <v>444.001499999999</v>
      </c>
      <c r="N3041" s="32" t="n">
        <f aca="false">Sens!$N$3038-Sens!$C$3038</f>
        <v>540</v>
      </c>
      <c r="O3041" s="32" t="n">
        <f aca="false">Sens!$O$3038-Sens!$N$3038</f>
        <v>540</v>
      </c>
    </row>
    <row r="3042" customFormat="false" ht="17.15" hidden="false" customHeight="false" outlineLevel="0" collapsed="false">
      <c r="A3042" s="5" t="s">
        <v>606</v>
      </c>
      <c r="B3042" s="0" t="s">
        <v>129</v>
      </c>
      <c r="C3042" s="32" t="n">
        <f aca="false">Sens!$C$3041/ext_sh</f>
        <v>300</v>
      </c>
      <c r="D3042" s="32" t="n">
        <f aca="false">Sens!$D$3041/ext_sh</f>
        <v>1350</v>
      </c>
      <c r="E3042" s="32" t="n">
        <f aca="false">Sens!$E$3041/ext_sh</f>
        <v>800</v>
      </c>
      <c r="F3042" s="32" t="n">
        <f aca="false">Sens!$F$3041/ext_sh</f>
        <v>2271.4375</v>
      </c>
      <c r="G3042" s="32" t="n">
        <f aca="false">Sens!$G$3041/ext_sh</f>
        <v>3071.4375</v>
      </c>
      <c r="H3042" s="32" t="n">
        <f aca="false">Sens!$H$3041/ext_sh</f>
        <v>4542.875</v>
      </c>
      <c r="I3042" s="32" t="n">
        <f aca="false">Sens!$I$3041/ext_sh</f>
        <v>4542.875</v>
      </c>
      <c r="J3042" s="32" t="n">
        <f aca="false">Sens!$J$3041/ext_sh</f>
        <v>4542.875</v>
      </c>
      <c r="K3042" s="32" t="n">
        <f aca="false">Sens!$K$3041/ext_sh</f>
        <v>3213.58395833333</v>
      </c>
      <c r="L3042" s="32" t="n">
        <f aca="false">Sens!$L$3041/ext_sh</f>
        <v>1884.29291666667</v>
      </c>
      <c r="M3042" s="32" t="n">
        <f aca="false">Sens!$M$3041/ext_sh</f>
        <v>555.001874999998</v>
      </c>
      <c r="N3042" s="32" t="n">
        <f aca="false">Sens!$N$3041/ext_sh</f>
        <v>675</v>
      </c>
      <c r="O3042" s="32" t="n">
        <f aca="false">Sens!$O$3041/ext_sh</f>
        <v>675</v>
      </c>
      <c r="P3042" s="8" t="s">
        <v>607</v>
      </c>
      <c r="R3042" s="32" t="n">
        <f aca="false">mw_ye23/ext_sh</f>
        <v>150</v>
      </c>
      <c r="S3042" s="32" t="n">
        <f aca="false">Sens!$C$3042</f>
        <v>300</v>
      </c>
      <c r="T3042" s="32" t="n">
        <f aca="false">Sens!$D$3042</f>
        <v>1350</v>
      </c>
      <c r="U3042" s="32" t="n">
        <f aca="false">Sens!$G$3042</f>
        <v>3071.4375</v>
      </c>
      <c r="V3042" s="32" t="n">
        <f aca="false">Sens!$H$3042</f>
        <v>4542.875</v>
      </c>
      <c r="W3042" s="32" t="n">
        <f aca="false">Sens!$I$3042</f>
        <v>4542.875</v>
      </c>
      <c r="X3042" s="32" t="n">
        <f aca="false">Sens!$J$3042</f>
        <v>4542.875</v>
      </c>
      <c r="Y3042" s="32" t="n">
        <f aca="false">Sens!$K$3042</f>
        <v>3213.58395833333</v>
      </c>
      <c r="Z3042" s="32" t="n">
        <f aca="false">Sens!$L$3042</f>
        <v>1884.29291666667</v>
      </c>
      <c r="AA3042" s="32" t="n">
        <f aca="false">Sens!$M$3042</f>
        <v>555.001874999998</v>
      </c>
    </row>
    <row r="3043" customFormat="false" ht="17.15" hidden="false" customHeight="false" outlineLevel="0" collapsed="false">
      <c r="A3043" s="1" t="s">
        <v>608</v>
      </c>
    </row>
    <row r="3044" customFormat="false" ht="17.15" hidden="false" customHeight="false" outlineLevel="0" collapsed="false">
      <c r="A3044" s="0" t="s">
        <v>609</v>
      </c>
      <c r="B3044" s="0" t="s">
        <v>52</v>
      </c>
      <c r="F3044" s="35" t="n">
        <f aca="false">na_vr26</f>
        <v>0</v>
      </c>
      <c r="G3044" s="35" t="n">
        <f aca="false">na_vr26</f>
        <v>0</v>
      </c>
      <c r="H3044" s="35" t="n">
        <f aca="false">na_vr27</f>
        <v>0.5</v>
      </c>
      <c r="I3044" s="35" t="n">
        <f aca="false">na_vr28</f>
        <v>1</v>
      </c>
      <c r="J3044" s="35" t="n">
        <f aca="false">na_vr28</f>
        <v>1</v>
      </c>
      <c r="K3044" s="35" t="n">
        <f aca="false">na_vr28</f>
        <v>1</v>
      </c>
      <c r="L3044" s="35" t="n">
        <f aca="false">na_vr28</f>
        <v>1</v>
      </c>
      <c r="M3044" s="35" t="n">
        <f aca="false">na_vr28</f>
        <v>1</v>
      </c>
    </row>
    <row r="3045" customFormat="false" ht="17.15" hidden="false" customHeight="false" outlineLevel="0" collapsed="false">
      <c r="A3045" s="5" t="s">
        <v>610</v>
      </c>
      <c r="B3045" s="0" t="s">
        <v>173</v>
      </c>
      <c r="F3045" s="36" t="n">
        <f aca="false">cust_sh*tk_he_gb300*cf_chip+(1-cust_sh)*((1-Sens!$F$3044)*tk_he_gb300+Sens!$F$3044*tk_he_vr200)</f>
        <v>10.8864110021101</v>
      </c>
      <c r="G3045" s="36" t="n">
        <f aca="false">cust_sh*tk_he_gb300*cf_chip+(1-cust_sh)*((1-Sens!$G$3044)*tk_he_gb300+Sens!$G$3044*tk_he_vr200)</f>
        <v>10.8864110021101</v>
      </c>
      <c r="H3045" s="36" t="n">
        <f aca="false">cust_sh*tk_he_gb300*cf_chip+(1-cust_sh)*((1-Sens!$H$3044)*tk_he_gb300+Sens!$H$3044*tk_he_vr200)</f>
        <v>11.2211760027286</v>
      </c>
      <c r="I3045" s="36" t="n">
        <f aca="false">cust_sh*tk_he_gb300*cf_chip+(1-cust_sh)*((1-Sens!$I$3044)*tk_he_gb300+Sens!$I$3044*tk_he_vr200)</f>
        <v>11.5559410033471</v>
      </c>
      <c r="J3045" s="36" t="n">
        <f aca="false">cust_sh*tk_he_gb300*cf_chip+(1-cust_sh)*((1-Sens!$J$3044)*tk_he_gb300+Sens!$J$3044*tk_he_vr200)</f>
        <v>11.5559410033471</v>
      </c>
      <c r="K3045" s="36" t="n">
        <f aca="false">cust_sh*tk_he_gb300*cf_chip+(1-cust_sh)*((1-Sens!$K$3044)*tk_he_gb300+Sens!$K$3044*tk_he_vr200)</f>
        <v>11.5559410033471</v>
      </c>
      <c r="L3045" s="36" t="n">
        <f aca="false">cust_sh*tk_he_gb300*cf_chip+(1-cust_sh)*((1-Sens!$L$3044)*tk_he_gb300+Sens!$L$3044*tk_he_vr200)</f>
        <v>11.5559410033471</v>
      </c>
      <c r="M3045" s="36" t="n">
        <f aca="false">cust_sh*tk_he_gb300*cf_chip+(1-cust_sh)*((1-Sens!$M$3044)*tk_he_gb300+Sens!$M$3044*tk_he_vr200)</f>
        <v>11.5559410033471</v>
      </c>
    </row>
    <row r="3046" customFormat="false" ht="17.15" hidden="false" customHeight="false" outlineLevel="0" collapsed="false">
      <c r="A3046" s="5" t="s">
        <v>611</v>
      </c>
      <c r="B3046" s="0" t="s">
        <v>173</v>
      </c>
      <c r="F3046" s="36" t="n">
        <f aca="false">cust_sh*tk_ox_gb300+(1-cust_sh)*((1-Sens!$F$3044)*tk_ox_gb300+Sens!$F$3044*tk_ox_vr200)</f>
        <v>1.98263481314457</v>
      </c>
      <c r="G3046" s="36" t="n">
        <f aca="false">cust_sh*tk_ox_gb300+(1-cust_sh)*((1-Sens!$G$3044)*tk_ox_gb300+Sens!$G$3044*tk_ox_vr200)</f>
        <v>1.98263481314457</v>
      </c>
      <c r="H3046" s="36" t="n">
        <f aca="false">cust_sh*tk_ox_gb300+(1-cust_sh)*((1-Sens!$H$3044)*tk_ox_gb300+Sens!$H$3044*tk_ox_vr200)</f>
        <v>2.01034999693694</v>
      </c>
      <c r="I3046" s="36" t="n">
        <f aca="false">cust_sh*tk_ox_gb300+(1-cust_sh)*((1-Sens!$I$3044)*tk_ox_gb300+Sens!$I$3044*tk_ox_vr200)</f>
        <v>2.0380651807293</v>
      </c>
      <c r="J3046" s="36" t="n">
        <f aca="false">cust_sh*tk_ox_gb300+(1-cust_sh)*((1-Sens!$J$3044)*tk_ox_gb300+Sens!$J$3044*tk_ox_vr200)</f>
        <v>2.0380651807293</v>
      </c>
      <c r="K3046" s="36" t="n">
        <f aca="false">cust_sh*tk_ox_gb300+(1-cust_sh)*((1-Sens!$K$3044)*tk_ox_gb300+Sens!$K$3044*tk_ox_vr200)</f>
        <v>2.0380651807293</v>
      </c>
      <c r="L3046" s="36" t="n">
        <f aca="false">cust_sh*tk_ox_gb300+(1-cust_sh)*((1-Sens!$L$3044)*tk_ox_gb300+Sens!$L$3044*tk_ox_vr200)</f>
        <v>2.0380651807293</v>
      </c>
      <c r="M3046" s="36" t="n">
        <f aca="false">cust_sh*tk_ox_gb300+(1-cust_sh)*((1-Sens!$M$3044)*tk_ox_gb300+Sens!$M$3044*tk_ox_vr200)</f>
        <v>2.0380651807293</v>
      </c>
    </row>
    <row r="3047" customFormat="false" ht="17.15" hidden="false" customHeight="false" outlineLevel="0" collapsed="false">
      <c r="A3047" s="5" t="s">
        <v>612</v>
      </c>
      <c r="B3047" s="0" t="s">
        <v>192</v>
      </c>
      <c r="F3047" s="36" t="n">
        <f aca="false">cust_sh*tk_cx_gb300*cf_cx+(1-cust_sh)*((1-Sens!$F$3044)*tk_cx_gb300+Sens!$F$3044*tk_cx_vr200)</f>
        <v>32.237224</v>
      </c>
      <c r="G3047" s="36" t="n">
        <f aca="false">cust_sh*tk_cx_gb300*cf_cx+(1-cust_sh)*((1-Sens!$G$3044)*tk_cx_gb300+Sens!$G$3044*tk_cx_vr200)</f>
        <v>32.237224</v>
      </c>
      <c r="H3047" s="36" t="n">
        <f aca="false">cust_sh*tk_cx_gb300*cf_cx+(1-cust_sh)*((1-Sens!$H$3044)*tk_cx_gb300+Sens!$H$3044*tk_cx_vr200)</f>
        <v>33.574506</v>
      </c>
      <c r="I3047" s="36" t="n">
        <f aca="false">cust_sh*tk_cx_gb300*cf_cx+(1-cust_sh)*((1-Sens!$I$3044)*tk_cx_gb300+Sens!$I$3044*tk_cx_vr200)</f>
        <v>34.911788</v>
      </c>
      <c r="J3047" s="36" t="n">
        <f aca="false">cust_sh*tk_cx_gb300*cf_cx+(1-cust_sh)*((1-Sens!$J$3044)*tk_cx_gb300+Sens!$J$3044*tk_cx_vr200)</f>
        <v>34.911788</v>
      </c>
      <c r="K3047" s="36" t="n">
        <f aca="false">cust_sh*tk_cx_gb300*cf_cx+(1-cust_sh)*((1-Sens!$K$3044)*tk_cx_gb300+Sens!$K$3044*tk_cx_vr200)</f>
        <v>34.911788</v>
      </c>
      <c r="L3047" s="36" t="n">
        <f aca="false">cust_sh*tk_cx_gb300*cf_cx+(1-cust_sh)*((1-Sens!$L$3044)*tk_cx_gb300+Sens!$L$3044*tk_cx_vr200)</f>
        <v>34.911788</v>
      </c>
      <c r="M3047" s="36" t="n">
        <f aca="false">cust_sh*tk_cx_gb300*cf_cx+(1-cust_sh)*((1-Sens!$M$3044)*tk_cx_gb300+Sens!$M$3044*tk_cx_vr200)</f>
        <v>34.911788</v>
      </c>
    </row>
    <row r="3048" customFormat="false" ht="17.15" hidden="false" customHeight="false" outlineLevel="0" collapsed="false">
      <c r="A3048" s="5" t="s">
        <v>613</v>
      </c>
      <c r="B3048" s="0" t="s">
        <v>129</v>
      </c>
      <c r="F3048" s="32" t="n">
        <f aca="false">Sens!$F$3038-mw_open</f>
        <v>1817.15</v>
      </c>
      <c r="G3048" s="32" t="n">
        <f aca="false">Sens!$F$3048</f>
        <v>1817.15</v>
      </c>
      <c r="H3048" s="32" t="n">
        <f aca="false">Sens!$H$3038-mw_open</f>
        <v>5451.45</v>
      </c>
      <c r="I3048" s="32" t="n">
        <f aca="false">Sens!$I$3038-mw_open</f>
        <v>9085.75</v>
      </c>
      <c r="J3048" s="32" t="n">
        <f aca="false">Sens!$J$3038-mw_open</f>
        <v>12720.05</v>
      </c>
      <c r="K3048" s="32" t="n">
        <f aca="false">Sens!$K$3038-mw_open</f>
        <v>15290.9171666667</v>
      </c>
      <c r="L3048" s="32" t="n">
        <f aca="false">Sens!$L$3038-mw_open</f>
        <v>16798.3515</v>
      </c>
      <c r="M3048" s="32" t="n">
        <f aca="false">Sens!$M$3038-mw_open</f>
        <v>17242.353</v>
      </c>
    </row>
    <row r="3049" customFormat="false" ht="17.15" hidden="false" customHeight="false" outlineLevel="0" collapsed="false">
      <c r="A3049" s="0" t="s">
        <v>614</v>
      </c>
      <c r="B3049" s="0" t="s">
        <v>615</v>
      </c>
      <c r="F3049" s="32" t="n">
        <f aca="false">Sens!$F$3041*Sens!$F$3045</f>
        <v>19782.2417524844</v>
      </c>
      <c r="G3049" s="32" t="n">
        <f aca="false">Sens!$F$3049</f>
        <v>19782.2417524844</v>
      </c>
      <c r="H3049" s="32" t="n">
        <f aca="false">Sens!$G$3049+Sens!$H$3041*Sens!$H$3045</f>
        <v>60563.3616992009</v>
      </c>
      <c r="I3049" s="32" t="n">
        <f aca="false">Sens!$H$3049+Sens!$I$3041*Sens!$I$3045</f>
        <v>102561.118087665</v>
      </c>
      <c r="J3049" s="32" t="n">
        <f aca="false">Sens!$I$3049+Sens!$J$3041*Sens!$J$3045</f>
        <v>144558.87447613</v>
      </c>
      <c r="K3049" s="32" t="n">
        <f aca="false">Sens!$J$3049+Sens!$K$3041*Sens!$K$3045</f>
        <v>174267.663781572</v>
      </c>
      <c r="L3049" s="32" t="n">
        <f aca="false">Sens!$K$3049+Sens!$L$3041*Sens!$L$3045</f>
        <v>191687.486003992</v>
      </c>
      <c r="M3049" s="32" t="n">
        <f aca="false">Sens!$L$3049+Sens!$M$3041*Sens!$M$3045</f>
        <v>196818.341143389</v>
      </c>
    </row>
    <row r="3050" customFormat="false" ht="17.15" hidden="false" customHeight="false" outlineLevel="0" collapsed="false">
      <c r="A3050" s="0" t="s">
        <v>616</v>
      </c>
      <c r="B3050" s="0" t="s">
        <v>615</v>
      </c>
      <c r="F3050" s="32" t="n">
        <f aca="false">Sens!$F$3041*Sens!$F$3046</f>
        <v>3602.74485070566</v>
      </c>
      <c r="G3050" s="32" t="n">
        <f aca="false">Sens!$F$3050</f>
        <v>3602.74485070566</v>
      </c>
      <c r="H3050" s="32" t="n">
        <f aca="false">Sens!$G$3050+Sens!$H$3041*Sens!$H$3046</f>
        <v>10908.9598445736</v>
      </c>
      <c r="I3050" s="32" t="n">
        <f aca="false">Sens!$H$3050+Sens!$I$3041*Sens!$I$3046</f>
        <v>18315.9001308981</v>
      </c>
      <c r="J3050" s="32" t="n">
        <f aca="false">Sens!$I$3050+Sens!$J$3041*Sens!$J$3046</f>
        <v>25722.8404172225</v>
      </c>
      <c r="K3050" s="32" t="n">
        <f aca="false">Sens!$J$3050+Sens!$K$3041*Sens!$K$3046</f>
        <v>30962.4352738861</v>
      </c>
      <c r="L3050" s="32" t="n">
        <f aca="false">Sens!$K$3050+Sens!$L$3041*Sens!$L$3046</f>
        <v>34034.6847008886</v>
      </c>
      <c r="M3050" s="32" t="n">
        <f aca="false">Sens!$L$3050+Sens!$M$3041*Sens!$M$3046</f>
        <v>34939.5886982302</v>
      </c>
    </row>
    <row r="3051" customFormat="false" ht="17.15" hidden="false" customHeight="false" outlineLevel="0" collapsed="false">
      <c r="A3051" s="5" t="s">
        <v>617</v>
      </c>
      <c r="B3051" s="0" t="s">
        <v>173</v>
      </c>
      <c r="F3051" s="36" t="n">
        <f aca="false">IF(Sens!$F$3048&gt;0,Sens!$F$3049/Sens!$F$3048,Sens!$F$3045)</f>
        <v>10.8864110021101</v>
      </c>
      <c r="G3051" s="36" t="n">
        <f aca="false">IF(Sens!$G$3048&gt;0,Sens!$G$3049/Sens!$G$3048,Sens!$G$3045)</f>
        <v>10.8864110021101</v>
      </c>
      <c r="H3051" s="36" t="n">
        <f aca="false">IF(Sens!$H$3048&gt;0,Sens!$H$3049/Sens!$H$3048,Sens!$H$3045)</f>
        <v>11.1095876691891</v>
      </c>
      <c r="I3051" s="36" t="n">
        <f aca="false">IF(Sens!$I$3048&gt;0,Sens!$I$3049/Sens!$I$3048,Sens!$I$3045)</f>
        <v>11.2881290028523</v>
      </c>
      <c r="J3051" s="36" t="n">
        <f aca="false">IF(Sens!$J$3048&gt;0,Sens!$J$3049/Sens!$J$3048,Sens!$J$3045)</f>
        <v>11.3646467172794</v>
      </c>
      <c r="K3051" s="36" t="n">
        <f aca="false">IF(Sens!$K$3048&gt;0,Sens!$K$3049/Sens!$K$3048,Sens!$K$3045)</f>
        <v>11.3968090914432</v>
      </c>
      <c r="L3051" s="36" t="n">
        <f aca="false">IF(Sens!$L$3048&gt;0,Sens!$L$3049/Sens!$L$3048,Sens!$L$3045)</f>
        <v>11.4110891181192</v>
      </c>
      <c r="M3051" s="36" t="n">
        <f aca="false">IF(Sens!$M$3048&gt;0,Sens!$M$3049/Sens!$M$3048,Sens!$M$3045)</f>
        <v>11.4148191458201</v>
      </c>
    </row>
    <row r="3052" customFormat="false" ht="17.15" hidden="false" customHeight="false" outlineLevel="0" collapsed="false">
      <c r="A3052" s="5" t="s">
        <v>618</v>
      </c>
      <c r="B3052" s="0" t="s">
        <v>173</v>
      </c>
      <c r="F3052" s="36" t="n">
        <f aca="false">IF(Sens!$F$3048&gt;0,Sens!$F$3050/Sens!$F$3048,Sens!$F$3046)</f>
        <v>1.98263481314457</v>
      </c>
      <c r="G3052" s="36" t="n">
        <f aca="false">IF(Sens!$G$3048&gt;0,Sens!$G$3050/Sens!$G$3048,Sens!$G$3046)</f>
        <v>1.98263481314457</v>
      </c>
      <c r="H3052" s="36" t="n">
        <f aca="false">IF(Sens!$H$3048&gt;0,Sens!$H$3050/Sens!$H$3048,Sens!$H$3046)</f>
        <v>2.00111160233948</v>
      </c>
      <c r="I3052" s="36" t="n">
        <f aca="false">IF(Sens!$I$3048&gt;0,Sens!$I$3050/Sens!$I$3048,Sens!$I$3046)</f>
        <v>2.01589303369541</v>
      </c>
      <c r="J3052" s="36" t="n">
        <f aca="false">IF(Sens!$J$3048&gt;0,Sens!$J$3050/Sens!$J$3048,Sens!$J$3046)</f>
        <v>2.02222793284795</v>
      </c>
      <c r="K3052" s="36" t="n">
        <f aca="false">IF(Sens!$K$3048&gt;0,Sens!$K$3050/Sens!$K$3048,Sens!$K$3046)</f>
        <v>2.02489065478573</v>
      </c>
      <c r="L3052" s="36" t="n">
        <f aca="false">IF(Sens!$L$3048&gt;0,Sens!$L$3050/Sens!$L$3048,Sens!$L$3046)</f>
        <v>2.0260728977417</v>
      </c>
      <c r="M3052" s="36" t="n">
        <f aca="false">IF(Sens!$M$3048&gt;0,Sens!$M$3050/Sens!$M$3048,Sens!$M$3046)</f>
        <v>2.02638170661685</v>
      </c>
    </row>
    <row r="3053" customFormat="false" ht="17.15" hidden="false" customHeight="false" outlineLevel="0" collapsed="false">
      <c r="A3053" s="15" t="s">
        <v>619</v>
      </c>
      <c r="B3053" s="14" t="s">
        <v>173</v>
      </c>
      <c r="C3053" s="14"/>
      <c r="D3053" s="14"/>
      <c r="E3053" s="14"/>
      <c r="F3053" s="37" t="n">
        <f aca="false">Sens!$F$3051*k_B</f>
        <v>10.7987645808025</v>
      </c>
      <c r="G3053" s="37" t="n">
        <f aca="false">Sens!$G$3051*k_B</f>
        <v>10.7987645808025</v>
      </c>
      <c r="H3053" s="37" t="n">
        <f aca="false">Sens!$H$3051*k_B</f>
        <v>11.0201444540452</v>
      </c>
      <c r="I3053" s="37" t="n">
        <f aca="false">Sens!$I$3051*k_B</f>
        <v>11.1972483526393</v>
      </c>
      <c r="J3053" s="37" t="n">
        <f aca="false">Sens!$J$3051*k_B</f>
        <v>11.2731500234653</v>
      </c>
      <c r="K3053" s="37" t="n">
        <f aca="false">Sens!$K$3051*k_B</f>
        <v>11.3050534585724</v>
      </c>
      <c r="L3053" s="37" t="n">
        <f aca="false">Sens!$L$3051*k_B</f>
        <v>11.3192185168503</v>
      </c>
      <c r="M3053" s="37" t="n">
        <f aca="false">Sens!$M$3051*k_B</f>
        <v>11.3229185141234</v>
      </c>
      <c r="N3053" s="14"/>
      <c r="O3053" s="14"/>
      <c r="P3053" s="5" t="s">
        <v>620</v>
      </c>
    </row>
    <row r="3054" customFormat="false" ht="17.15" hidden="false" customHeight="false" outlineLevel="0" collapsed="false">
      <c r="A3054" s="5" t="s">
        <v>621</v>
      </c>
      <c r="B3054" s="0" t="s">
        <v>129</v>
      </c>
      <c r="F3054" s="32" t="n">
        <f aca="false">Sens!$F$3048/2</f>
        <v>908.575</v>
      </c>
      <c r="H3054" s="32" t="n">
        <f aca="false">(Sens!$G$3048+Sens!$H$3048)/2</f>
        <v>3634.3</v>
      </c>
      <c r="I3054" s="32" t="n">
        <f aca="false">(Sens!$H$3048+Sens!$I$3048)/2</f>
        <v>7268.6</v>
      </c>
      <c r="J3054" s="32" t="n">
        <f aca="false">(Sens!$I$3048+Sens!$J$3048)/2</f>
        <v>10902.9</v>
      </c>
      <c r="K3054" s="32" t="n">
        <f aca="false">(Sens!$J$3048+Sens!$K$3048)/2</f>
        <v>14005.4835833333</v>
      </c>
      <c r="L3054" s="32" t="n">
        <f aca="false">(Sens!$K$3048+Sens!$L$3048)/2</f>
        <v>16044.6343333333</v>
      </c>
      <c r="M3054" s="32" t="n">
        <f aca="false">(Sens!$L$3048+Sens!$M$3048)/2</f>
        <v>17020.35225</v>
      </c>
    </row>
    <row r="3055" customFormat="false" ht="17.15" hidden="false" customHeight="false" outlineLevel="0" collapsed="false">
      <c r="A3055" s="1" t="s">
        <v>622</v>
      </c>
    </row>
    <row r="3056" customFormat="false" ht="17.15" hidden="false" customHeight="false" outlineLevel="0" collapsed="false">
      <c r="A3056" s="1" t="s">
        <v>623</v>
      </c>
      <c r="B3056" s="8" t="s">
        <v>86</v>
      </c>
      <c r="C3056" s="38" t="n">
        <f aca="false">Sens!$C$3039*(ai_rr*1000/mw_open)*Sens!$C$3040/1000</f>
        <v>2.88461538461538</v>
      </c>
      <c r="D3056" s="38" t="n">
        <f aca="false">Sens!$D$3039*(ai_rr*1000/mw_open)*Sens!$D$3040/1000</f>
        <v>10.8173076923077</v>
      </c>
      <c r="E3056" s="38" t="n">
        <f aca="false">Sens!$E$3039*(ai_rr*1000/mw_open)*Sens!$E$3040/1000</f>
        <v>10.5769230769231</v>
      </c>
      <c r="F3056" s="38" t="n">
        <f aca="false">(mw_open*(ai_rr*1000/mw_open)+Sens!$F$3054*Sens!$F$3053)*Sens!$F$3040/1000</f>
        <v>17.4057437645013</v>
      </c>
      <c r="G3056" s="38" t="n">
        <f aca="false">Sens!$E$3056+Sens!$F$3056</f>
        <v>27.9826668414244</v>
      </c>
      <c r="H3056" s="38" t="n">
        <f aca="false">(mw_open*(ai_rr*1000/mw_open)+Sens!$H$3054*Sens!$H$3053)/1000</f>
        <v>65.0505109893364</v>
      </c>
      <c r="I3056" s="38" t="n">
        <f aca="false">(mw_open*(ai_rr*1000/mw_open)+Sens!$I$3054*Sens!$I$3053)/1000</f>
        <v>106.388319375994</v>
      </c>
      <c r="J3056" s="38" t="n">
        <f aca="false">(mw_open*(ai_rr*1000/mw_open)+Sens!$J$3054*Sens!$J$3053)/1000</f>
        <v>147.91002739084</v>
      </c>
      <c r="K3056" s="38" t="n">
        <f aca="false">(mw_open*(ai_rr*1000/mw_open)+Sens!$K$3054*Sens!$K$3053)/1000</f>
        <v>183.332740622741</v>
      </c>
      <c r="L3056" s="38" t="n">
        <f aca="false">(mw_open*(ai_rr*1000/mw_open)+Sens!$L$3054*Sens!$L$3053)/1000</f>
        <v>206.612722041958</v>
      </c>
      <c r="M3056" s="38" t="n">
        <f aca="false">(mw_open*(ai_rr*1000/mw_open)+Sens!$M$3054*Sens!$M$3053)/1000</f>
        <v>217.720061608427</v>
      </c>
      <c r="N3056" s="38" t="n">
        <f aca="false">Sens!$N$3039*(ai_rr*1000/mw_open)*Sens!$N$3040/1000</f>
        <v>3.78605769230769</v>
      </c>
      <c r="O3056" s="38" t="n">
        <f aca="false">Sens!$O$3039*(ai_rr*1000/mw_open)*Sens!$O$3040/1000</f>
        <v>7.03125</v>
      </c>
      <c r="P3056" s="5" t="s">
        <v>624</v>
      </c>
    </row>
    <row r="3057" customFormat="false" ht="17.15" hidden="false" customHeight="false" outlineLevel="0" collapsed="false">
      <c r="A3057" s="5" t="s">
        <v>625</v>
      </c>
      <c r="B3057" s="0" t="s">
        <v>173</v>
      </c>
      <c r="C3057" s="36" t="n">
        <f aca="false">Sens!$C$3056*1000/(Sens!$C$3039*Sens!$C$3040)</f>
        <v>12.0192307692308</v>
      </c>
      <c r="D3057" s="36" t="n">
        <f aca="false">Sens!$D$3056*1000/(Sens!$D$3039*Sens!$D$3040)</f>
        <v>12.0192307692308</v>
      </c>
      <c r="E3057" s="36" t="n">
        <f aca="false">Sens!$E$3056*1000/(Sens!$E$3039*Sens!$E$3040)</f>
        <v>12.0192307692308</v>
      </c>
      <c r="F3057" s="36" t="n">
        <f aca="false">Sens!$F$3056*1000/(Sens!$F$3039*Sens!$F$3040)</f>
        <v>11.6481893641627</v>
      </c>
      <c r="G3057" s="36" t="n">
        <f aca="false">Sens!$G$3056*1000/(Sens!$G$3039*Sens!$G$3040)</f>
        <v>11.7857112255464</v>
      </c>
      <c r="H3057" s="36" t="n">
        <f aca="false">Sens!$H$3056*1000/(Sens!$H$3039*Sens!$H$3040)</f>
        <v>11.3838109636065</v>
      </c>
      <c r="I3057" s="36" t="n">
        <f aca="false">Sens!$I$3056*1000/(Sens!$I$3039*Sens!$I$3040)</f>
        <v>11.3801338570474</v>
      </c>
      <c r="J3057" s="36" t="n">
        <f aca="false">Sens!$J$3056*1000/(Sens!$J$3039*Sens!$J$3040)</f>
        <v>11.3926801709048</v>
      </c>
      <c r="K3057" s="36" t="n">
        <f aca="false">Sens!$K$3056*1000/(Sens!$K$3039*Sens!$K$3040)</f>
        <v>11.3974031102614</v>
      </c>
      <c r="L3057" s="36" t="n">
        <f aca="false">Sens!$L$3056*1000/(Sens!$L$3039*Sens!$L$3040)</f>
        <v>11.3995525781159</v>
      </c>
      <c r="M3057" s="36" t="n">
        <f aca="false">Sens!$M$3056*1000/(Sens!$M$3039*Sens!$M$3040)</f>
        <v>11.3987458848267</v>
      </c>
      <c r="N3057" s="36" t="n">
        <f aca="false">Sens!$N$3056*1000/(Sens!$N$3039*Sens!$N$3040)</f>
        <v>12.0192307692308</v>
      </c>
      <c r="O3057" s="36" t="n">
        <f aca="false">Sens!$O$3056*1000/(Sens!$O$3039*Sens!$O$3040)</f>
        <v>12.0192307692308</v>
      </c>
    </row>
    <row r="3058" customFormat="false" ht="17.15" hidden="false" customHeight="false" outlineLevel="0" collapsed="false">
      <c r="A3058" s="0" t="s">
        <v>626</v>
      </c>
      <c r="B3058" s="0" t="s">
        <v>86</v>
      </c>
      <c r="C3058" s="38" t="n">
        <f aca="false">Sens!$C$3039/ext_sh*(ox_open+rent_mw)*Sens!$C$3040/1000</f>
        <v>0.642569210675032</v>
      </c>
      <c r="D3058" s="38" t="n">
        <f aca="false">Sens!$D$3039/ext_sh*(ox_open+rent_mw)*Sens!$D$3040/1000</f>
        <v>2.40963454003137</v>
      </c>
      <c r="E3058" s="38" t="n">
        <f aca="false">Sens!$E$3039/ext_sh*(ox_open+rent_mw)*Sens!$E$3040/1000</f>
        <v>2.35608710580845</v>
      </c>
      <c r="F3058" s="38" t="n">
        <f aca="false">((mw_open*ox_open+Sens!$F$3054*Sens!$F$3052)/ext_sh+Sens!$F$3039/ext_sh*rent_mw)*Sens!$F$3040/1000</f>
        <v>4.05421991106232</v>
      </c>
      <c r="G3058" s="38" t="n">
        <f aca="false">Sens!$E$3058+Sens!$F$3058</f>
        <v>6.41030701687077</v>
      </c>
      <c r="H3058" s="38" t="n">
        <f aca="false">((mw_open*ox_open+Sens!$H$3054*Sens!$H$3052)/ext_sh+Sens!$H$3039/ext_sh*rent_mw)*Sens!$H$3040/1000</f>
        <v>15.8108975546616</v>
      </c>
      <c r="I3058" s="38" t="n">
        <f aca="false">((mw_open*ox_open+Sens!$I$3054*Sens!$I$3052)/ext_sh+Sens!$I$3039/ext_sh*rent_mw)*Sens!$I$3040/1000</f>
        <v>26.1871623400817</v>
      </c>
      <c r="J3058" s="38" t="n">
        <f aca="false">((mw_open*ox_open+Sens!$J$3054*Sens!$J$3052)/ext_sh+Sens!$J$3039/ext_sh*rent_mw)*Sens!$J$3040/1000</f>
        <v>36.5826128954935</v>
      </c>
      <c r="K3058" s="38" t="n">
        <f aca="false">((mw_open*ox_open+Sens!$K$3054*Sens!$K$3052)/ext_sh+Sens!$K$3039/ext_sh*rent_mw)*Sens!$K$3040/1000</f>
        <v>45.4546361137628</v>
      </c>
      <c r="L3058" s="38" t="n">
        <f aca="false">((mw_open*ox_open+Sens!$L$3054*Sens!$L$3052)/ext_sh+Sens!$L$3039/ext_sh*rent_mw)*Sens!$L$3040/1000</f>
        <v>51.2855695554452</v>
      </c>
      <c r="M3058" s="38" t="n">
        <f aca="false">((mw_open*ox_open+Sens!$M$3054*Sens!$M$3052)/ext_sh+Sens!$M$3039/ext_sh*rent_mw)*Sens!$M$3040/1000</f>
        <v>54.0722927838398</v>
      </c>
      <c r="N3058" s="38" t="n">
        <f aca="false">Sens!$N$3039/ext_sh*(ox_open+rent_mw)*Sens!$N$3040/1000</f>
        <v>0.84337208901098</v>
      </c>
      <c r="O3058" s="38" t="n">
        <f aca="false">Sens!$O$3039/ext_sh*(ox_open+rent_mw)*Sens!$O$3040/1000</f>
        <v>1.56626245102039</v>
      </c>
    </row>
    <row r="3059" customFormat="false" ht="17.15" hidden="false" customHeight="false" outlineLevel="0" collapsed="false">
      <c r="A3059" s="0" t="s">
        <v>627</v>
      </c>
      <c r="B3059" s="0" t="s">
        <v>86</v>
      </c>
      <c r="C3059" s="38" t="n">
        <f aca="false">Q!$D$7</f>
        <v>107.556</v>
      </c>
      <c r="D3059" s="38" t="n">
        <f aca="false">Q!$E$7</f>
        <v>128.725</v>
      </c>
      <c r="E3059" s="38" t="n">
        <f aca="false">Q!$P$7</f>
        <v>79.819</v>
      </c>
      <c r="N3059" s="38" t="n">
        <f aca="false">Q!$N$7</f>
        <v>60.14</v>
      </c>
      <c r="O3059" s="38" t="n">
        <f aca="false">Q!$O$7</f>
        <v>68.585</v>
      </c>
    </row>
    <row r="3060" customFormat="false" ht="17.15" hidden="false" customHeight="false" outlineLevel="0" collapsed="false">
      <c r="A3060" s="1" t="s">
        <v>628</v>
      </c>
      <c r="B3060" s="8" t="s">
        <v>86</v>
      </c>
      <c r="C3060" s="38" t="n">
        <f aca="false">Sens!$C$3059-Sens!$C$3056</f>
        <v>104.671384615385</v>
      </c>
      <c r="D3060" s="38" t="n">
        <f aca="false">Sens!$D$3059-Sens!$D$3056</f>
        <v>117.907692307692</v>
      </c>
      <c r="E3060" s="38" t="n">
        <f aca="false">Sens!$E$3059-Sens!$E$3056</f>
        <v>69.2420769230769</v>
      </c>
      <c r="F3060" s="38" t="n">
        <f aca="false">Sens!$O$3060*(1+Sens!$F$3061)</f>
        <v>69.3375810595505</v>
      </c>
      <c r="G3060" s="38" t="n">
        <f aca="false">Sens!$E$3060+Sens!$F$3060</f>
        <v>138.579657982627</v>
      </c>
      <c r="H3060" s="38" t="n">
        <f aca="false">Sens!$G$3060*(1+Sens!$H$3061)</f>
        <v>154.494406263134</v>
      </c>
      <c r="I3060" s="38" t="n">
        <f aca="false">Sens!$H$3060*(1+Sens!$I$3061)</f>
        <v>170.442542345496</v>
      </c>
      <c r="J3060" s="38" t="n">
        <f aca="false">Sens!$I$3060*(1+Sens!$J$3061)</f>
        <v>186.057458531729</v>
      </c>
      <c r="K3060" s="38" t="n">
        <f aca="false">Sens!$J$3060*(1+Sens!$K$3061)</f>
        <v>200.942055214268</v>
      </c>
      <c r="L3060" s="38" t="n">
        <f aca="false">Sens!$K$3060*(1+Sens!$L$3061)</f>
        <v>217.017419631409</v>
      </c>
      <c r="M3060" s="38" t="n">
        <f aca="false">Sens!$L$3060*(1+Sens!$M$3061)</f>
        <v>234.378813201922</v>
      </c>
      <c r="N3060" s="38" t="n">
        <f aca="false">Sens!$N$3059-Sens!$N$3056</f>
        <v>56.3539423076923</v>
      </c>
      <c r="O3060" s="38" t="n">
        <f aca="false">Sens!$O$3059-Sens!$O$3056</f>
        <v>61.55375</v>
      </c>
      <c r="P3060" s="5" t="s">
        <v>629</v>
      </c>
    </row>
    <row r="3061" customFormat="false" ht="17.15" hidden="false" customHeight="false" outlineLevel="0" collapsed="false">
      <c r="A3061" s="0" t="s">
        <v>630</v>
      </c>
      <c r="B3061" s="0" t="s">
        <v>52</v>
      </c>
      <c r="D3061" s="13" t="n">
        <f aca="false">Sens!$D$3060/Sens!$C$3060-1</f>
        <v>0.126455838345356</v>
      </c>
      <c r="E3061" s="13" t="n">
        <f aca="false">Sens!$E$3060/Sens!$N$3060-1</f>
        <v>0.228699787230775</v>
      </c>
      <c r="F3061" s="13" t="n">
        <f aca="false">Sens!$D$3061</f>
        <v>0.126455838345356</v>
      </c>
      <c r="G3061" s="13" t="n">
        <f aca="false">Sens!$G$3060/Sens!$D$3060-1</f>
        <v>0.175323299696083</v>
      </c>
      <c r="H3061" s="13" t="n">
        <f aca="false">Sens!$F$3061+(g_awso_lt-Sens!$F$3061)*1/4</f>
        <v>0.114841878759017</v>
      </c>
      <c r="I3061" s="13" t="n">
        <f aca="false">Sens!$F$3061+(g_awso_lt-Sens!$F$3061)*2/4</f>
        <v>0.103227919172678</v>
      </c>
      <c r="J3061" s="13" t="n">
        <f aca="false">Sens!$F$3061+(g_awso_lt-Sens!$F$3061)*3/4</f>
        <v>0.0916139595863391</v>
      </c>
      <c r="K3061" s="13" t="n">
        <f aca="false">Sens!$F$3061+(g_awso_lt-Sens!$F$3061)*4/4</f>
        <v>0.08</v>
      </c>
      <c r="L3061" s="13" t="n">
        <f aca="false">g_awso_lt</f>
        <v>0.08</v>
      </c>
      <c r="M3061" s="13" t="n">
        <f aca="false">g_awso_lt</f>
        <v>0.08</v>
      </c>
      <c r="P3061" s="5" t="s">
        <v>631</v>
      </c>
    </row>
    <row r="3062" customFormat="false" ht="17.15" hidden="false" customHeight="false" outlineLevel="0" collapsed="false">
      <c r="A3062" s="1" t="s">
        <v>632</v>
      </c>
    </row>
    <row r="3063" customFormat="false" ht="17.15" hidden="false" customHeight="false" outlineLevel="0" collapsed="false">
      <c r="A3063" s="0" t="s">
        <v>633</v>
      </c>
      <c r="B3063" s="0" t="s">
        <v>86</v>
      </c>
      <c r="F3063" s="38" t="n">
        <f aca="false">cx_rt*Sens!$F$3028+cx_awso*Sens!$F$3060</f>
        <v>34.4871057918474</v>
      </c>
    </row>
    <row r="3064" customFormat="false" ht="17.15" hidden="false" customHeight="false" outlineLevel="0" collapsed="false">
      <c r="A3064" s="0" t="s">
        <v>634</v>
      </c>
      <c r="B3064" s="0" t="s">
        <v>52</v>
      </c>
      <c r="C3064" s="13" t="n">
        <f aca="false">tk_cx_h100/(tk_cx_h100+tk_fac*(1-colo_sh))</f>
        <v>0.730756458006641</v>
      </c>
      <c r="D3064" s="13" t="n">
        <f aca="false">tk_cx_h100/(tk_cx_h100+tk_fac*(1-colo_sh))</f>
        <v>0.730756458006641</v>
      </c>
      <c r="E3064" s="13" t="n">
        <f aca="false">Sens!$F$3064</f>
        <v>0.760792334328868</v>
      </c>
      <c r="F3064" s="13" t="n">
        <f aca="false">Sens!$F$3047/(Sens!$F$3047+tk_fac*(1-colo_sh))</f>
        <v>0.760792334328868</v>
      </c>
      <c r="G3064" s="13" t="n">
        <f aca="false">Sens!$G$3047/(Sens!$G$3047+tk_fac*(1-colo_sh))</f>
        <v>0.760792334328868</v>
      </c>
      <c r="H3064" s="13" t="n">
        <f aca="false">Sens!$H$3047/(Sens!$H$3047+tk_fac*(1-colo_sh))</f>
        <v>0.768110668862996</v>
      </c>
      <c r="I3064" s="13" t="n">
        <f aca="false">Sens!$I$3047/(Sens!$I$3047+tk_fac*(1-colo_sh))</f>
        <v>0.77499450139483</v>
      </c>
      <c r="J3064" s="13" t="n">
        <f aca="false">Sens!$J$3047/(Sens!$J$3047+tk_fac*(1-colo_sh))</f>
        <v>0.77499450139483</v>
      </c>
      <c r="K3064" s="13" t="n">
        <f aca="false">Sens!$K$3047/(Sens!$K$3047+tk_fac*(1-colo_sh))</f>
        <v>0.77499450139483</v>
      </c>
      <c r="L3064" s="13" t="n">
        <f aca="false">Sens!$L$3047/(Sens!$L$3047+tk_fac*(1-colo_sh))</f>
        <v>0.77499450139483</v>
      </c>
      <c r="M3064" s="13" t="n">
        <f aca="false">Sens!$M$3047/(Sens!$M$3047+tk_fac*(1-colo_sh))</f>
        <v>0.77499450139483</v>
      </c>
    </row>
    <row r="3065" customFormat="false" ht="17.15" hidden="false" customHeight="false" outlineLevel="0" collapsed="false">
      <c r="A3065" s="1" t="s">
        <v>635</v>
      </c>
      <c r="B3065" s="8" t="s">
        <v>86</v>
      </c>
      <c r="C3065" s="38" t="n">
        <f aca="false">Q!$D$46-cx_rt*Q!$D$16-cx_awso*Sens!$C$3060</f>
        <v>25.3908273132658</v>
      </c>
      <c r="D3065" s="38" t="n">
        <f aca="false">Q!$E$46-cx_rt*Q!$E$16-cx_awso*Sens!$D$3060</f>
        <v>69.9913391517339</v>
      </c>
      <c r="E3065" s="38" t="n">
        <f aca="false">Q!$P$46-cx_rt*Q!$P$16-cx_awso*Sens!$E$3060</f>
        <v>64.6032346687814</v>
      </c>
      <c r="F3065" s="38" t="n">
        <f aca="false">capex_g26-Q!$P$46-Sens!$F$3063</f>
        <v>89.2028942081526</v>
      </c>
      <c r="G3065" s="38" t="n">
        <f aca="false">Sens!$E$3065+Sens!$F$3065</f>
        <v>153.806128876934</v>
      </c>
      <c r="H3065" s="38" t="n">
        <f aca="false">Sens!$H$3042*(Sens!$H$3047+tk_fac*(1-colo_sh))/1000+Sens!$H$3066</f>
        <v>198.57136494475</v>
      </c>
      <c r="I3065" s="38" t="n">
        <f aca="false">Sens!$I$3042*(Sens!$I$3047+tk_fac*(1-colo_sh))/1000+Sens!$I$3066</f>
        <v>204.6464699105</v>
      </c>
      <c r="J3065" s="38" t="n">
        <f aca="false">Sens!$J$3042*(Sens!$J$3047+tk_fac*(1-colo_sh))/1000+Sens!$J$3066</f>
        <v>209.8832381105</v>
      </c>
      <c r="K3065" s="38" t="n">
        <f aca="false">Sens!$K$3042*(Sens!$K$3047+tk_fac*(1-colo_sh))/1000+Sens!$K$3066</f>
        <v>155.238385275201</v>
      </c>
      <c r="L3065" s="38" t="n">
        <f aca="false">Sens!$L$3042*(Sens!$L$3047+tk_fac*(1-colo_sh))/1000+Sens!$L$3066</f>
        <v>132.014141639902</v>
      </c>
      <c r="M3065" s="38" t="n">
        <f aca="false">Sens!$M$3042*(Sens!$M$3047+tk_fac*(1-colo_sh))/1000+Sens!$M$3066</f>
        <v>132.230981659852</v>
      </c>
      <c r="P3065" s="5" t="s">
        <v>636</v>
      </c>
      <c r="R3065" s="38" t="n">
        <f aca="false">Q!$C$46-cx_rt*Q!$C$16-cx_awso*(Q!$C$7-mw_ye23/2*(ai_rr*1000/mw_open)/1000)</f>
        <v>1.53248029668154</v>
      </c>
      <c r="S3065" s="38" t="n">
        <f aca="false">Sens!$C$3065</f>
        <v>25.3908273132658</v>
      </c>
      <c r="T3065" s="38" t="n">
        <f aca="false">Sens!$D$3065</f>
        <v>69.9913391517339</v>
      </c>
      <c r="U3065" s="38" t="n">
        <f aca="false">Sens!$G$3065</f>
        <v>153.806128876934</v>
      </c>
      <c r="V3065" s="38" t="n">
        <f aca="false">Sens!$H$3065</f>
        <v>198.57136494475</v>
      </c>
      <c r="W3065" s="38" t="n">
        <f aca="false">Sens!$I$3065</f>
        <v>204.6464699105</v>
      </c>
      <c r="X3065" s="38" t="n">
        <f aca="false">Sens!$J$3065</f>
        <v>209.8832381105</v>
      </c>
      <c r="Y3065" s="38" t="n">
        <f aca="false">Sens!$K$3065</f>
        <v>155.238385275201</v>
      </c>
      <c r="Z3065" s="38" t="n">
        <f aca="false">Sens!$L$3065</f>
        <v>132.014141639902</v>
      </c>
      <c r="AA3065" s="38" t="n">
        <f aca="false">Sens!$M$3065</f>
        <v>132.230981659852</v>
      </c>
    </row>
    <row r="3066" customFormat="false" ht="17.15" hidden="false" customHeight="false" outlineLevel="0" collapsed="false">
      <c r="A3066" s="0" t="s">
        <v>637</v>
      </c>
      <c r="B3066" s="0" t="s">
        <v>86</v>
      </c>
      <c r="H3066" s="38" t="n">
        <f aca="false">SUMPRODUCT(--(Sens!$R$3035:$AA$3035=2027-tk_life),Sens!$R$3042:$AA$3042)*Sens!$H$3047/1000</f>
        <v>0</v>
      </c>
      <c r="I3066" s="38" t="n">
        <f aca="false">SUMPRODUCT(--(Sens!$R$3035:$AA$3035=2028-tk_life),Sens!$R$3042:$AA$3042)*Sens!$I$3047/1000</f>
        <v>0</v>
      </c>
      <c r="J3066" s="38" t="n">
        <f aca="false">SUMPRODUCT(--(Sens!$R$3035:$AA$3035=2029-tk_life),Sens!$R$3042:$AA$3042)*Sens!$J$3047/1000</f>
        <v>5.2367682</v>
      </c>
      <c r="K3066" s="38" t="n">
        <f aca="false">SUMPRODUCT(--(Sens!$R$3035:$AA$3035=2030-tk_life),Sens!$R$3042:$AA$3042)*Sens!$K$3047/1000</f>
        <v>10.4735364</v>
      </c>
      <c r="L3066" s="38" t="n">
        <f aca="false">SUMPRODUCT(--(Sens!$R$3035:$AA$3035=2031-tk_life),Sens!$R$3042:$AA$3042)*Sens!$L$3047/1000</f>
        <v>47.1309138</v>
      </c>
      <c r="M3066" s="38" t="n">
        <f aca="false">SUMPRODUCT(--(Sens!$R$3035:$AA$3035=2032-tk_life),Sens!$R$3042:$AA$3042)*Sens!$M$3047/1000</f>
        <v>107.22937485525</v>
      </c>
    </row>
    <row r="3067" customFormat="false" ht="17.15" hidden="false" customHeight="false" outlineLevel="0" collapsed="false">
      <c r="A3067" s="0" t="s">
        <v>638</v>
      </c>
      <c r="B3067" s="0" t="s">
        <v>86</v>
      </c>
      <c r="C3067" s="38" t="n">
        <f aca="false">MIN(Sens!$C$3065,Sens!$C$3042*(tk_cx_h100+tk_fac*(1-colo_sh))/1000)</f>
        <v>11.2938642</v>
      </c>
      <c r="D3067" s="38" t="n">
        <f aca="false">MIN(Sens!$D$3065,Sens!$D$3042*(tk_cx_h100+tk_fac*(1-colo_sh))/1000)</f>
        <v>50.8223889</v>
      </c>
      <c r="E3067" s="38" t="n">
        <f aca="false">MIN(Sens!$E$3065,Sens!$E$3042*(Sens!$F$3047+tk_fac*(1-colo_sh))/1000)</f>
        <v>33.8985792</v>
      </c>
      <c r="F3067" s="38" t="n">
        <f aca="false">Sens!$F$3065</f>
        <v>89.2028942081526</v>
      </c>
      <c r="G3067" s="38" t="n">
        <f aca="false">Sens!$E$3067+Sens!$F$3067</f>
        <v>123.101473408153</v>
      </c>
      <c r="H3067" s="38" t="n">
        <f aca="false">Sens!$H$3065</f>
        <v>198.57136494475</v>
      </c>
      <c r="I3067" s="38" t="n">
        <f aca="false">Sens!$I$3065</f>
        <v>204.6464699105</v>
      </c>
      <c r="J3067" s="38" t="n">
        <f aca="false">Sens!$J$3065</f>
        <v>209.8832381105</v>
      </c>
      <c r="K3067" s="38" t="n">
        <f aca="false">Sens!$K$3065</f>
        <v>155.238385275201</v>
      </c>
      <c r="L3067" s="38" t="n">
        <f aca="false">Sens!$L$3065</f>
        <v>132.014141639902</v>
      </c>
      <c r="M3067" s="38" t="n">
        <f aca="false">Sens!$M$3065</f>
        <v>132.230981659852</v>
      </c>
      <c r="P3067" s="5" t="s">
        <v>639</v>
      </c>
      <c r="R3067" s="38" t="n">
        <f aca="false">MIN(Sens!$R$3065,Sens!$R$3042*(tk_cx_h100+tk_fac*(1-colo_sh))/1000)</f>
        <v>1.53248029668154</v>
      </c>
      <c r="S3067" s="38" t="n">
        <f aca="false">Sens!$C$3067</f>
        <v>11.2938642</v>
      </c>
      <c r="T3067" s="38" t="n">
        <f aca="false">Sens!$D$3067</f>
        <v>50.8223889</v>
      </c>
      <c r="U3067" s="38" t="n">
        <f aca="false">Sens!$G$3067</f>
        <v>123.101473408153</v>
      </c>
      <c r="V3067" s="38" t="n">
        <f aca="false">Sens!$H$3067</f>
        <v>198.57136494475</v>
      </c>
      <c r="W3067" s="38" t="n">
        <f aca="false">Sens!$I$3067</f>
        <v>204.6464699105</v>
      </c>
      <c r="X3067" s="38" t="n">
        <f aca="false">Sens!$J$3067</f>
        <v>209.8832381105</v>
      </c>
      <c r="Y3067" s="38" t="n">
        <f aca="false">Sens!$K$3067</f>
        <v>155.238385275201</v>
      </c>
      <c r="Z3067" s="38" t="n">
        <f aca="false">Sens!$L$3067</f>
        <v>132.014141639902</v>
      </c>
      <c r="AA3067" s="38" t="n">
        <f aca="false">Sens!$M$3067</f>
        <v>132.230981659852</v>
      </c>
    </row>
    <row r="3068" customFormat="false" ht="17.15" hidden="false" customHeight="false" outlineLevel="0" collapsed="false">
      <c r="A3068" s="5" t="s">
        <v>640</v>
      </c>
      <c r="B3068" s="0" t="s">
        <v>86</v>
      </c>
      <c r="C3068" s="38" t="n">
        <f aca="false">Sens!$C$3065-Sens!$C$3067</f>
        <v>14.0969631132658</v>
      </c>
      <c r="D3068" s="38" t="n">
        <f aca="false">Sens!$D$3065-Sens!$D$3067</f>
        <v>19.1689502517339</v>
      </c>
      <c r="E3068" s="38" t="n">
        <f aca="false">Sens!$E$3065-Sens!$E$3067</f>
        <v>30.7046554687814</v>
      </c>
      <c r="F3068" s="38" t="n">
        <f aca="false">Sens!$F$3065-Sens!$F$3067</f>
        <v>0</v>
      </c>
      <c r="G3068" s="38" t="n">
        <f aca="false">Sens!$G$3065-Sens!$G$3067</f>
        <v>30.7046554687814</v>
      </c>
      <c r="H3068" s="38" t="n">
        <f aca="false">Sens!$H$3065-Sens!$H$3067</f>
        <v>0</v>
      </c>
      <c r="I3068" s="38" t="n">
        <f aca="false">Sens!$I$3065-Sens!$I$3067</f>
        <v>0</v>
      </c>
      <c r="J3068" s="38" t="n">
        <f aca="false">Sens!$J$3065-Sens!$J$3067</f>
        <v>0</v>
      </c>
      <c r="K3068" s="38" t="n">
        <f aca="false">Sens!$K$3065-Sens!$K$3067</f>
        <v>0</v>
      </c>
      <c r="L3068" s="38" t="n">
        <f aca="false">Sens!$L$3065-Sens!$L$3067</f>
        <v>0</v>
      </c>
      <c r="M3068" s="38" t="n">
        <f aca="false">Sens!$M$3065-Sens!$M$3067</f>
        <v>0</v>
      </c>
      <c r="P3068" s="5" t="s">
        <v>641</v>
      </c>
      <c r="R3068" s="38" t="n">
        <f aca="false">Sens!$R$3065-Sens!$R$3067</f>
        <v>0</v>
      </c>
      <c r="S3068" s="38" t="n">
        <f aca="false">Sens!$S$3065-Sens!$S$3067</f>
        <v>14.0969631132658</v>
      </c>
      <c r="T3068" s="38" t="n">
        <f aca="false">Sens!$T$3065-Sens!$T$3067</f>
        <v>19.1689502517339</v>
      </c>
      <c r="U3068" s="38" t="n">
        <f aca="false">Sens!$U$3065-Sens!$U$3067</f>
        <v>30.7046554687814</v>
      </c>
      <c r="V3068" s="38" t="n">
        <f aca="false">Sens!$V$3065-Sens!$V$3067</f>
        <v>0</v>
      </c>
      <c r="W3068" s="38" t="n">
        <f aca="false">Sens!$W$3065-Sens!$W$3067</f>
        <v>0</v>
      </c>
      <c r="X3068" s="38" t="n">
        <f aca="false">Sens!$X$3065-Sens!$X$3067</f>
        <v>0</v>
      </c>
      <c r="Y3068" s="38" t="n">
        <f aca="false">Sens!$Y$3065-Sens!$Y$3067</f>
        <v>0</v>
      </c>
      <c r="Z3068" s="38" t="n">
        <f aca="false">Sens!$Z$3065-Sens!$Z$3067</f>
        <v>0</v>
      </c>
      <c r="AA3068" s="38" t="n">
        <f aca="false">Sens!$AA$3065-Sens!$AA$3067</f>
        <v>0</v>
      </c>
    </row>
    <row r="3069" customFormat="false" ht="17.15" hidden="false" customHeight="false" outlineLevel="0" collapsed="false">
      <c r="A3069" s="5" t="s">
        <v>642</v>
      </c>
      <c r="B3069" s="0" t="s">
        <v>86</v>
      </c>
      <c r="R3069" s="38" t="n">
        <f aca="false">Sens!$R$3068*Sens!$C$3064</f>
        <v>0</v>
      </c>
      <c r="S3069" s="38" t="n">
        <f aca="false">Sens!$S$3068*Sens!$C$3064</f>
        <v>10.3014468333004</v>
      </c>
      <c r="T3069" s="38" t="n">
        <f aca="false">Sens!$T$3068*Sens!$C$3064</f>
        <v>14.0078341896626</v>
      </c>
      <c r="U3069" s="38" t="n">
        <f aca="false">Sens!$U$3068*Sens!$E$3064</f>
        <v>23.3598665088578</v>
      </c>
      <c r="V3069" s="38" t="n">
        <f aca="false">Sens!$V$3068*Sens!$E$3064</f>
        <v>0</v>
      </c>
      <c r="W3069" s="38" t="n">
        <f aca="false">Sens!$W$3068*Sens!$E$3064</f>
        <v>0</v>
      </c>
      <c r="X3069" s="38" t="n">
        <f aca="false">Sens!$X$3068*Sens!$E$3064</f>
        <v>0</v>
      </c>
      <c r="Y3069" s="38" t="n">
        <f aca="false">Sens!$Y$3068*Sens!$E$3064</f>
        <v>0</v>
      </c>
      <c r="Z3069" s="38" t="n">
        <f aca="false">Sens!$Z$3068*Sens!$E$3064</f>
        <v>0</v>
      </c>
      <c r="AA3069" s="38" t="n">
        <f aca="false">Sens!$AA$3068*Sens!$E$3064</f>
        <v>0</v>
      </c>
    </row>
    <row r="3070" customFormat="false" ht="17.15" hidden="false" customHeight="false" outlineLevel="0" collapsed="false">
      <c r="A3070" s="5" t="s">
        <v>643</v>
      </c>
      <c r="B3070" s="0" t="s">
        <v>86</v>
      </c>
      <c r="R3070" s="38" t="n">
        <f aca="false">SUMPRODUCT(--(Sens!$R$3035:$AA$3035=2023-cip_lag),Sens!$R$3069:$AA$3069)</f>
        <v>0</v>
      </c>
      <c r="S3070" s="38" t="n">
        <f aca="false">SUMPRODUCT(--(Sens!$R$3035:$AA$3035=2024-cip_lag),Sens!$R$3069:$AA$3069)</f>
        <v>0</v>
      </c>
      <c r="T3070" s="38" t="n">
        <f aca="false">SUMPRODUCT(--(Sens!$R$3035:$AA$3035=2025-cip_lag),Sens!$R$3069:$AA$3069)</f>
        <v>10.3014468333004</v>
      </c>
      <c r="U3070" s="38" t="n">
        <f aca="false">SUMPRODUCT(--(Sens!$R$3035:$AA$3035=2026-cip_lag),Sens!$R$3069:$AA$3069)</f>
        <v>14.0078341896626</v>
      </c>
      <c r="V3070" s="38" t="n">
        <f aca="false">SUMPRODUCT(--(Sens!$R$3035:$AA$3035=2027-cip_lag),Sens!$R$3069:$AA$3069)</f>
        <v>23.3598665088578</v>
      </c>
      <c r="W3070" s="38" t="n">
        <f aca="false">SUMPRODUCT(--(Sens!$R$3035:$AA$3035=2028-cip_lag),Sens!$R$3069:$AA$3069)</f>
        <v>0</v>
      </c>
      <c r="X3070" s="38" t="n">
        <f aca="false">SUMPRODUCT(--(Sens!$R$3035:$AA$3035=2029-cip_lag),Sens!$R$3069:$AA$3069)</f>
        <v>0</v>
      </c>
      <c r="Y3070" s="38" t="n">
        <f aca="false">SUMPRODUCT(--(Sens!$R$3035:$AA$3035=2030-cip_lag),Sens!$R$3069:$AA$3069)</f>
        <v>0</v>
      </c>
      <c r="Z3070" s="38" t="n">
        <f aca="false">SUMPRODUCT(--(Sens!$R$3035:$AA$3035=2031-cip_lag),Sens!$R$3069:$AA$3069)</f>
        <v>0</v>
      </c>
      <c r="AA3070" s="38" t="n">
        <f aca="false">SUMPRODUCT(--(Sens!$R$3035:$AA$3035=2032-cip_lag),Sens!$R$3069:$AA$3069)</f>
        <v>0</v>
      </c>
    </row>
    <row r="3071" customFormat="false" ht="15" hidden="false" customHeight="false" outlineLevel="0" collapsed="false">
      <c r="A3071" s="5" t="s">
        <v>644</v>
      </c>
      <c r="B3071" s="0" t="s">
        <v>86</v>
      </c>
      <c r="R3071" s="38" t="n">
        <f aca="false">SUMPRODUCT(--(Sens!$R$3035:$AA$3035=2023-cip_lag),Sens!$R$3068:$AA$3068)-Sens!$R$3070</f>
        <v>0</v>
      </c>
      <c r="S3071" s="38" t="n">
        <f aca="false">SUMPRODUCT(--(Sens!$R$3035:$AA$3035=2024-cip_lag),Sens!$R$3068:$AA$3068)-Sens!$S$3070</f>
        <v>0</v>
      </c>
      <c r="T3071" s="38" t="n">
        <f aca="false">SUMPRODUCT(--(Sens!$R$3035:$AA$3035=2025-cip_lag),Sens!$R$3068:$AA$3068)-Sens!$T$3070</f>
        <v>3.79551627996541</v>
      </c>
      <c r="U3071" s="38" t="n">
        <f aca="false">SUMPRODUCT(--(Sens!$R$3035:$AA$3035=2026-cip_lag),Sens!$R$3068:$AA$3068)-Sens!$U$3070</f>
        <v>5.16111606207135</v>
      </c>
      <c r="V3071" s="38" t="n">
        <f aca="false">SUMPRODUCT(--(Sens!$R$3035:$AA$3035=2027-cip_lag),Sens!$R$3068:$AA$3068)-Sens!$V$3070</f>
        <v>7.34478895992357</v>
      </c>
      <c r="W3071" s="38" t="n">
        <f aca="false">SUMPRODUCT(--(Sens!$R$3035:$AA$3035=2028-cip_lag),Sens!$R$3068:$AA$3068)-Sens!$W$3070</f>
        <v>0</v>
      </c>
      <c r="X3071" s="38" t="n">
        <f aca="false">SUMPRODUCT(--(Sens!$R$3035:$AA$3035=2029-cip_lag),Sens!$R$3068:$AA$3068)-Sens!$X$3070</f>
        <v>0</v>
      </c>
      <c r="Y3071" s="38" t="n">
        <f aca="false">SUMPRODUCT(--(Sens!$R$3035:$AA$3035=2030-cip_lag),Sens!$R$3068:$AA$3068)-Sens!$Y$3070</f>
        <v>0</v>
      </c>
      <c r="Z3071" s="38" t="n">
        <f aca="false">SUMPRODUCT(--(Sens!$R$3035:$AA$3035=2031-cip_lag),Sens!$R$3068:$AA$3068)-Sens!$Z$3070</f>
        <v>0</v>
      </c>
      <c r="AA3071" s="38" t="n">
        <f aca="false">SUMPRODUCT(--(Sens!$R$3035:$AA$3035=2032-cip_lag),Sens!$R$3068:$AA$3068)-Sens!$AA$3070</f>
        <v>0</v>
      </c>
    </row>
    <row r="3072" customFormat="false" ht="17.15" hidden="false" customHeight="false" outlineLevel="0" collapsed="false">
      <c r="A3072" s="5" t="s">
        <v>645</v>
      </c>
      <c r="B3072" s="0" t="s">
        <v>86</v>
      </c>
      <c r="C3072" s="38" t="n">
        <f aca="false">Sens!$C$3067*Sens!$C$3064</f>
        <v>8.2530642</v>
      </c>
      <c r="D3072" s="38" t="n">
        <f aca="false">Sens!$D$3067*Sens!$D$3064</f>
        <v>37.1387889</v>
      </c>
      <c r="E3072" s="38" t="n">
        <f aca="false">Sens!$E$3067*Sens!$E$3064</f>
        <v>25.7897792</v>
      </c>
      <c r="F3072" s="38" t="n">
        <f aca="false">Sens!$F$3067*Sens!$F$3064</f>
        <v>67.8648781135114</v>
      </c>
      <c r="G3072" s="38" t="n">
        <f aca="false">Sens!$E$3072+Sens!$F$3072</f>
        <v>93.6546573135114</v>
      </c>
      <c r="H3072" s="38" t="n">
        <f aca="false">(Sens!$H$3067-Sens!$H$3066)*Sens!$H$3064+Sens!$H$3066</f>
        <v>152.52478394475</v>
      </c>
      <c r="I3072" s="38" t="n">
        <f aca="false">(Sens!$I$3067-Sens!$I$3066)*Sens!$I$3064+Sens!$I$3066</f>
        <v>158.5998889105</v>
      </c>
      <c r="J3072" s="38" t="n">
        <f aca="false">(Sens!$J$3067-Sens!$J$3066)*Sens!$J$3064+Sens!$J$3066</f>
        <v>163.8366571105</v>
      </c>
      <c r="K3072" s="38" t="n">
        <f aca="false">(Sens!$K$3067-Sens!$K$3066)*Sens!$K$3064+Sens!$K$3066</f>
        <v>122.665498273534</v>
      </c>
      <c r="L3072" s="38" t="n">
        <f aca="false">(Sens!$L$3067-Sens!$L$3066)*Sens!$L$3064+Sens!$L$3066</f>
        <v>112.914948636568</v>
      </c>
      <c r="M3072" s="38" t="n">
        <f aca="false">(Sens!$M$3067-Sens!$M$3066)*Sens!$M$3064+Sens!$M$3066</f>
        <v>126.605482654852</v>
      </c>
      <c r="R3072" s="38" t="n">
        <f aca="false">Sens!$R$3067*Sens!$C$3064</f>
        <v>1.11986987356797</v>
      </c>
      <c r="S3072" s="38" t="n">
        <f aca="false">Sens!$C$3072</f>
        <v>8.2530642</v>
      </c>
      <c r="T3072" s="38" t="n">
        <f aca="false">Sens!$D$3072</f>
        <v>37.1387889</v>
      </c>
      <c r="U3072" s="38" t="n">
        <f aca="false">Sens!$G$3072</f>
        <v>93.6546573135114</v>
      </c>
      <c r="V3072" s="38" t="n">
        <f aca="false">Sens!$H$3072</f>
        <v>152.52478394475</v>
      </c>
      <c r="W3072" s="38" t="n">
        <f aca="false">Sens!$I$3072</f>
        <v>158.5998889105</v>
      </c>
      <c r="X3072" s="38" t="n">
        <f aca="false">Sens!$J$3072</f>
        <v>163.8366571105</v>
      </c>
      <c r="Y3072" s="38" t="n">
        <f aca="false">Sens!$K$3072</f>
        <v>122.665498273534</v>
      </c>
      <c r="Z3072" s="38" t="n">
        <f aca="false">Sens!$L$3072</f>
        <v>112.914948636568</v>
      </c>
      <c r="AA3072" s="38" t="n">
        <f aca="false">Sens!$M$3072</f>
        <v>126.605482654852</v>
      </c>
    </row>
    <row r="3073" customFormat="false" ht="15" hidden="false" customHeight="false" outlineLevel="0" collapsed="false">
      <c r="A3073" s="5" t="s">
        <v>646</v>
      </c>
      <c r="B3073" s="0" t="s">
        <v>86</v>
      </c>
      <c r="C3073" s="38" t="n">
        <f aca="false">Sens!$C$3067-Sens!$C$3072</f>
        <v>3.0408</v>
      </c>
      <c r="D3073" s="38" t="n">
        <f aca="false">Sens!$D$3067-Sens!$D$3072</f>
        <v>13.6836</v>
      </c>
      <c r="E3073" s="38" t="n">
        <f aca="false">Sens!$E$3067-Sens!$E$3072</f>
        <v>8.1088</v>
      </c>
      <c r="F3073" s="38" t="n">
        <f aca="false">Sens!$F$3067-Sens!$F$3072</f>
        <v>21.3380160946412</v>
      </c>
      <c r="G3073" s="38" t="n">
        <f aca="false">Sens!$G$3067-Sens!$G$3072</f>
        <v>29.4468160946412</v>
      </c>
      <c r="H3073" s="38" t="n">
        <f aca="false">Sens!$H$3067-Sens!$H$3072</f>
        <v>46.046581</v>
      </c>
      <c r="I3073" s="38" t="n">
        <f aca="false">Sens!$I$3067-Sens!$I$3072</f>
        <v>46.046581</v>
      </c>
      <c r="J3073" s="38" t="n">
        <f aca="false">Sens!$J$3067-Sens!$J$3072</f>
        <v>46.046581</v>
      </c>
      <c r="K3073" s="38" t="n">
        <f aca="false">Sens!$K$3067-Sens!$K$3072</f>
        <v>32.5728870016667</v>
      </c>
      <c r="L3073" s="38" t="n">
        <f aca="false">Sens!$L$3067-Sens!$L$3072</f>
        <v>19.0991930033334</v>
      </c>
      <c r="M3073" s="38" t="n">
        <f aca="false">Sens!$M$3067-Sens!$M$3072</f>
        <v>5.62549900499998</v>
      </c>
      <c r="R3073" s="38" t="n">
        <f aca="false">Sens!$R$3067-Sens!$R$3072</f>
        <v>0.412610423113572</v>
      </c>
      <c r="S3073" s="38" t="n">
        <f aca="false">Sens!$S$3067-Sens!$S$3072</f>
        <v>3.0408</v>
      </c>
      <c r="T3073" s="38" t="n">
        <f aca="false">Sens!$T$3067-Sens!$T$3072</f>
        <v>13.6836</v>
      </c>
      <c r="U3073" s="38" t="n">
        <f aca="false">Sens!$U$3067-Sens!$U$3072</f>
        <v>29.4468160946412</v>
      </c>
      <c r="V3073" s="38" t="n">
        <f aca="false">Sens!$V$3067-Sens!$V$3072</f>
        <v>46.046581</v>
      </c>
      <c r="W3073" s="38" t="n">
        <f aca="false">Sens!$W$3067-Sens!$W$3072</f>
        <v>46.046581</v>
      </c>
      <c r="X3073" s="38" t="n">
        <f aca="false">Sens!$X$3067-Sens!$X$3072</f>
        <v>46.046581</v>
      </c>
      <c r="Y3073" s="38" t="n">
        <f aca="false">Sens!$Y$3067-Sens!$Y$3072</f>
        <v>32.5728870016667</v>
      </c>
      <c r="Z3073" s="38" t="n">
        <f aca="false">Sens!$Z$3067-Sens!$Z$3072</f>
        <v>19.0991930033334</v>
      </c>
      <c r="AA3073" s="38" t="n">
        <f aca="false">Sens!$AA$3067-Sens!$AA$3072</f>
        <v>5.62549900499998</v>
      </c>
    </row>
    <row r="3074" customFormat="false" ht="17.15" hidden="false" customHeight="false" outlineLevel="0" collapsed="false">
      <c r="A3074" s="0" t="s">
        <v>647</v>
      </c>
      <c r="B3074" s="0" t="s">
        <v>52</v>
      </c>
      <c r="C3074" s="13" t="n">
        <f aca="false">Sens!$C$3065/Sens!$C$3190</f>
        <v>0.326957007819745</v>
      </c>
      <c r="D3074" s="13" t="n">
        <f aca="false">Sens!$D$3065/Sens!$D$3190</f>
        <v>0.545443727803413</v>
      </c>
      <c r="E3074" s="13" t="n">
        <f aca="false">Sens!$E$3065/Sens!$E$3190</f>
        <v>0.670784286873444</v>
      </c>
      <c r="F3074" s="13" t="n">
        <f aca="false">Sens!$F$3065/Sens!$F$3190</f>
        <v>0.721181131927824</v>
      </c>
      <c r="G3074" s="13" t="n">
        <f aca="false">Sens!$G$3065/Sens!$G$3190</f>
        <v>0.699118767622427</v>
      </c>
      <c r="H3074" s="13" t="n">
        <f aca="false">Sens!$H$3065/Sens!$H$3190</f>
        <v>0.729858927271751</v>
      </c>
      <c r="I3074" s="13" t="n">
        <f aca="false">Sens!$I$3065/Sens!$I$3190</f>
        <v>0.71726158150711</v>
      </c>
      <c r="J3074" s="13" t="n">
        <f aca="false">Sens!$J$3065/Sens!$J$3190</f>
        <v>0.705791415062533</v>
      </c>
      <c r="K3074" s="13" t="n">
        <f aca="false">Sens!$K$3065/Sens!$K$3190</f>
        <v>0.623552406923353</v>
      </c>
      <c r="L3074" s="13" t="n">
        <f aca="false">Sens!$L$3065/Sens!$L$3190</f>
        <v>0.567975479811368</v>
      </c>
      <c r="M3074" s="13" t="n">
        <f aca="false">Sens!$M$3065/Sens!$M$3190</f>
        <v>0.551322391695839</v>
      </c>
    </row>
    <row r="3075" customFormat="false" ht="17.15" hidden="false" customHeight="false" outlineLevel="0" collapsed="false">
      <c r="A3075" s="0" t="s">
        <v>648</v>
      </c>
      <c r="B3075" s="0" t="s">
        <v>86</v>
      </c>
      <c r="C3075" s="38" t="n">
        <f aca="false">Sens!$S$3075</f>
        <v>0.186644978927994</v>
      </c>
      <c r="D3075" s="38" t="n">
        <f aca="false">Sens!$T$3075</f>
        <v>1.56215567892799</v>
      </c>
      <c r="E3075" s="38" t="n">
        <f aca="false">Sens!$G$3075/2</f>
        <v>4.73443081723903</v>
      </c>
      <c r="F3075" s="38" t="n">
        <f aca="false">Sens!$G$3075/2</f>
        <v>4.73443081723903</v>
      </c>
      <c r="G3075" s="38" t="n">
        <f aca="false">Sens!$U$3075</f>
        <v>9.46886163447805</v>
      </c>
      <c r="H3075" s="38" t="n">
        <f aca="false">Sens!$V$3075</f>
        <v>27.4126102183404</v>
      </c>
      <c r="I3075" s="38" t="n">
        <f aca="false">Sens!$W$3075</f>
        <v>56.726718627275</v>
      </c>
      <c r="J3075" s="38" t="n">
        <f aca="false">Sens!$X$3075</f>
        <v>83.1600334456917</v>
      </c>
      <c r="K3075" s="38" t="n">
        <f aca="false">Sens!$Y$3075</f>
        <v>110.27949798518</v>
      </c>
      <c r="L3075" s="38" t="n">
        <f aca="false">Sens!$Z$3075</f>
        <v>129.348236997436</v>
      </c>
      <c r="M3075" s="38" t="n">
        <f aca="false">Sens!$AA$3075</f>
        <v>140.260689147981</v>
      </c>
      <c r="N3075" s="38" t="n">
        <f aca="false">Sens!$D$3075/2</f>
        <v>0.781077839463997</v>
      </c>
      <c r="O3075" s="38" t="n">
        <f aca="false">Sens!$D$3075/2</f>
        <v>0.781077839463997</v>
      </c>
      <c r="R3075" s="38" t="n">
        <f aca="false">(SUMPRODUCT(--(Sens!$R$3035:$AA$3035&lt;Sens!R$3035),--(Sens!$R$3035:$AA$3035&gt;=Sens!R$3035-tk_life),Sens!$R$3072:$AA$3072)+SUMPRODUCT(--(Sens!$R$3035:$AA$3035&lt;Sens!R$3035),--(Sens!$R$3035:$AA$3035&gt;=Sens!R$3035-tk_life),Sens!$R$3070:$AA$3070))/tk_life</f>
        <v>0</v>
      </c>
      <c r="S3075" s="38" t="n">
        <f aca="false">(SUMPRODUCT(--(Sens!$R$3035:$AA$3035&lt;Sens!S$3035),--(Sens!$R$3035:$AA$3035&gt;=Sens!S$3035-tk_life),Sens!$R$3072:$AA$3072)+SUMPRODUCT(--(Sens!$R$3035:$AA$3035&lt;Sens!S$3035),--(Sens!$R$3035:$AA$3035&gt;=Sens!S$3035-tk_life),Sens!$R$3070:$AA$3070))/tk_life</f>
        <v>0.186644978927994</v>
      </c>
      <c r="T3075" s="38" t="n">
        <f aca="false">(SUMPRODUCT(--(Sens!$R$3035:$AA$3035&lt;Sens!T$3035),--(Sens!$R$3035:$AA$3035&gt;=Sens!T$3035-tk_life),Sens!$R$3072:$AA$3072)+SUMPRODUCT(--(Sens!$R$3035:$AA$3035&lt;Sens!T$3035),--(Sens!$R$3035:$AA$3035&gt;=Sens!T$3035-tk_life),Sens!$R$3070:$AA$3070))/tk_life</f>
        <v>1.56215567892799</v>
      </c>
      <c r="U3075" s="38" t="n">
        <f aca="false">(SUMPRODUCT(--(Sens!$R$3035:$AA$3035&lt;Sens!U$3035),--(Sens!$R$3035:$AA$3035&gt;=Sens!U$3035-tk_life),Sens!$R$3072:$AA$3072)+SUMPRODUCT(--(Sens!$R$3035:$AA$3035&lt;Sens!U$3035),--(Sens!$R$3035:$AA$3035&gt;=Sens!U$3035-tk_life),Sens!$R$3070:$AA$3070))/tk_life</f>
        <v>9.46886163447805</v>
      </c>
      <c r="V3075" s="38" t="n">
        <f aca="false">(SUMPRODUCT(--(Sens!$R$3035:$AA$3035&lt;Sens!V$3035),--(Sens!$R$3035:$AA$3035&gt;=Sens!V$3035-tk_life),Sens!$R$3072:$AA$3072)+SUMPRODUCT(--(Sens!$R$3035:$AA$3035&lt;Sens!V$3035),--(Sens!$R$3035:$AA$3035&gt;=Sens!V$3035-tk_life),Sens!$R$3070:$AA$3070))/tk_life</f>
        <v>27.4126102183404</v>
      </c>
      <c r="W3075" s="38" t="n">
        <f aca="false">(SUMPRODUCT(--(Sens!$R$3035:$AA$3035&lt;Sens!W$3035),--(Sens!$R$3035:$AA$3035&gt;=Sens!W$3035-tk_life),Sens!$R$3072:$AA$3072)+SUMPRODUCT(--(Sens!$R$3035:$AA$3035&lt;Sens!W$3035),--(Sens!$R$3035:$AA$3035&gt;=Sens!W$3035-tk_life),Sens!$R$3070:$AA$3070))/tk_life</f>
        <v>56.726718627275</v>
      </c>
      <c r="X3075" s="38" t="n">
        <f aca="false">(SUMPRODUCT(--(Sens!$R$3035:$AA$3035&lt;Sens!X$3035),--(Sens!$R$3035:$AA$3035&gt;=Sens!X$3035-tk_life),Sens!$R$3072:$AA$3072)+SUMPRODUCT(--(Sens!$R$3035:$AA$3035&lt;Sens!X$3035),--(Sens!$R$3035:$AA$3035&gt;=Sens!X$3035-tk_life),Sens!$R$3070:$AA$3070))/tk_life</f>
        <v>83.1600334456917</v>
      </c>
      <c r="Y3075" s="38" t="n">
        <f aca="false">(SUMPRODUCT(--(Sens!$R$3035:$AA$3035&lt;Sens!Y$3035),--(Sens!$R$3035:$AA$3035&gt;=Sens!Y$3035-tk_life),Sens!$R$3072:$AA$3072)+SUMPRODUCT(--(Sens!$R$3035:$AA$3035&lt;Sens!Y$3035),--(Sens!$R$3035:$AA$3035&gt;=Sens!Y$3035-tk_life),Sens!$R$3070:$AA$3070))/tk_life</f>
        <v>110.27949798518</v>
      </c>
      <c r="Z3075" s="38" t="n">
        <f aca="false">(SUMPRODUCT(--(Sens!$R$3035:$AA$3035&lt;Sens!Z$3035),--(Sens!$R$3035:$AA$3035&gt;=Sens!Z$3035-tk_life),Sens!$R$3072:$AA$3072)+SUMPRODUCT(--(Sens!$R$3035:$AA$3035&lt;Sens!Z$3035),--(Sens!$R$3035:$AA$3035&gt;=Sens!Z$3035-tk_life),Sens!$R$3070:$AA$3070))/tk_life</f>
        <v>129.348236997436</v>
      </c>
      <c r="AA3075" s="38" t="n">
        <f aca="false">(SUMPRODUCT(--(Sens!$R$3035:$AA$3035&lt;Sens!AA$3035),--(Sens!$R$3035:$AA$3035&gt;=Sens!AA$3035-tk_life),Sens!$R$3072:$AA$3072)+SUMPRODUCT(--(Sens!$R$3035:$AA$3035&lt;Sens!AA$3035),--(Sens!$R$3035:$AA$3035&gt;=Sens!AA$3035-tk_life),Sens!$R$3070:$AA$3070))/tk_life</f>
        <v>140.260689147981</v>
      </c>
    </row>
    <row r="3076" customFormat="false" ht="17.15" hidden="false" customHeight="false" outlineLevel="0" collapsed="false">
      <c r="A3076" s="0" t="s">
        <v>649</v>
      </c>
      <c r="B3076" s="0" t="s">
        <v>86</v>
      </c>
      <c r="C3076" s="38" t="n">
        <f aca="false">Sens!$S$3076</f>
        <v>0.0206305211556786</v>
      </c>
      <c r="D3076" s="38" t="n">
        <f aca="false">Sens!$T$3076</f>
        <v>0.172670521155679</v>
      </c>
      <c r="E3076" s="38" t="n">
        <f aca="false">Sens!$G$3076/2</f>
        <v>0.523313167576974</v>
      </c>
      <c r="F3076" s="38" t="n">
        <f aca="false">Sens!$G$3076/2</f>
        <v>0.523313167576974</v>
      </c>
      <c r="G3076" s="38" t="n">
        <f aca="false">Sens!$U$3076</f>
        <v>1.04662633515395</v>
      </c>
      <c r="H3076" s="38" t="n">
        <f aca="false">Sens!$V$3076</f>
        <v>2.77702294298957</v>
      </c>
      <c r="I3076" s="38" t="n">
        <f aca="false">Sens!$W$3076</f>
        <v>5.44659144098575</v>
      </c>
      <c r="J3076" s="38" t="n">
        <f aca="false">Sens!$X$3076</f>
        <v>7.74892049098576</v>
      </c>
      <c r="K3076" s="38" t="n">
        <f aca="false">Sens!$Y$3076</f>
        <v>10.0512495409858</v>
      </c>
      <c r="L3076" s="38" t="n">
        <f aca="false">Sens!$Z$3076</f>
        <v>11.6798938910691</v>
      </c>
      <c r="M3076" s="38" t="n">
        <f aca="false">Sens!$AA$3076</f>
        <v>12.6348535412358</v>
      </c>
      <c r="N3076" s="38" t="n">
        <f aca="false">Sens!$D$3076/2</f>
        <v>0.0863352605778393</v>
      </c>
      <c r="O3076" s="38" t="n">
        <f aca="false">Sens!$D$3076/2</f>
        <v>0.0863352605778393</v>
      </c>
      <c r="R3076" s="38" t="n">
        <f aca="false">(SUMPRODUCT(--(Sens!$R$3035:$AA$3035&lt;Sens!R$3035),Sens!$R$3073:$AA$3073)+SUMPRODUCT(--(Sens!$R$3035:$AA$3035&lt;Sens!R$3035),Sens!$R$3071:$AA$3071))/fac_life</f>
        <v>0</v>
      </c>
      <c r="S3076" s="38" t="n">
        <f aca="false">(SUMPRODUCT(--(Sens!$R$3035:$AA$3035&lt;Sens!S$3035),Sens!$R$3073:$AA$3073)+SUMPRODUCT(--(Sens!$R$3035:$AA$3035&lt;Sens!S$3035),Sens!$R$3071:$AA$3071))/fac_life</f>
        <v>0.0206305211556786</v>
      </c>
      <c r="T3076" s="38" t="n">
        <f aca="false">(SUMPRODUCT(--(Sens!$R$3035:$AA$3035&lt;Sens!T$3035),Sens!$R$3073:$AA$3073)+SUMPRODUCT(--(Sens!$R$3035:$AA$3035&lt;Sens!T$3035),Sens!$R$3071:$AA$3071))/fac_life</f>
        <v>0.172670521155679</v>
      </c>
      <c r="U3076" s="38" t="n">
        <f aca="false">(SUMPRODUCT(--(Sens!$R$3035:$AA$3035&lt;Sens!U$3035),Sens!$R$3073:$AA$3073)+SUMPRODUCT(--(Sens!$R$3035:$AA$3035&lt;Sens!U$3035),Sens!$R$3071:$AA$3071))/fac_life</f>
        <v>1.04662633515395</v>
      </c>
      <c r="V3076" s="38" t="n">
        <f aca="false">(SUMPRODUCT(--(Sens!$R$3035:$AA$3035&lt;Sens!V$3035),Sens!$R$3073:$AA$3073)+SUMPRODUCT(--(Sens!$R$3035:$AA$3035&lt;Sens!V$3035),Sens!$R$3071:$AA$3071))/fac_life</f>
        <v>2.77702294298957</v>
      </c>
      <c r="W3076" s="38" t="n">
        <f aca="false">(SUMPRODUCT(--(Sens!$R$3035:$AA$3035&lt;Sens!W$3035),Sens!$R$3073:$AA$3073)+SUMPRODUCT(--(Sens!$R$3035:$AA$3035&lt;Sens!W$3035),Sens!$R$3071:$AA$3071))/fac_life</f>
        <v>5.44659144098575</v>
      </c>
      <c r="X3076" s="38" t="n">
        <f aca="false">(SUMPRODUCT(--(Sens!$R$3035:$AA$3035&lt;Sens!X$3035),Sens!$R$3073:$AA$3073)+SUMPRODUCT(--(Sens!$R$3035:$AA$3035&lt;Sens!X$3035),Sens!$R$3071:$AA$3071))/fac_life</f>
        <v>7.74892049098576</v>
      </c>
      <c r="Y3076" s="38" t="n">
        <f aca="false">(SUMPRODUCT(--(Sens!$R$3035:$AA$3035&lt;Sens!Y$3035),Sens!$R$3073:$AA$3073)+SUMPRODUCT(--(Sens!$R$3035:$AA$3035&lt;Sens!Y$3035),Sens!$R$3071:$AA$3071))/fac_life</f>
        <v>10.0512495409858</v>
      </c>
      <c r="Z3076" s="38" t="n">
        <f aca="false">(SUMPRODUCT(--(Sens!$R$3035:$AA$3035&lt;Sens!Z$3035),Sens!$R$3073:$AA$3073)+SUMPRODUCT(--(Sens!$R$3035:$AA$3035&lt;Sens!Z$3035),Sens!$R$3071:$AA$3071))/fac_life</f>
        <v>11.6798938910691</v>
      </c>
      <c r="AA3076" s="38" t="n">
        <f aca="false">(SUMPRODUCT(--(Sens!$R$3035:$AA$3035&lt;Sens!AA$3035),Sens!$R$3073:$AA$3073)+SUMPRODUCT(--(Sens!$R$3035:$AA$3035&lt;Sens!AA$3035),Sens!$R$3071:$AA$3071))/fac_life</f>
        <v>12.6348535412358</v>
      </c>
    </row>
    <row r="3077" customFormat="false" ht="17.15" hidden="false" customHeight="false" outlineLevel="0" collapsed="false">
      <c r="A3077" s="1" t="s">
        <v>650</v>
      </c>
      <c r="B3077" s="8" t="s">
        <v>86</v>
      </c>
      <c r="C3077" s="38" t="n">
        <f aca="false">Sens!$C$3075+Sens!$C$3076</f>
        <v>0.207275500083673</v>
      </c>
      <c r="D3077" s="38" t="n">
        <f aca="false">Sens!$D$3075+Sens!$D$3076</f>
        <v>1.73482620008367</v>
      </c>
      <c r="E3077" s="38" t="n">
        <f aca="false">Sens!$E$3075+Sens!$E$3076</f>
        <v>5.257743984816</v>
      </c>
      <c r="F3077" s="38" t="n">
        <f aca="false">Sens!$F$3075+Sens!$F$3076</f>
        <v>5.257743984816</v>
      </c>
      <c r="G3077" s="38" t="n">
        <f aca="false">Sens!$G$3075+Sens!$G$3076</f>
        <v>10.515487969632</v>
      </c>
      <c r="H3077" s="38" t="n">
        <f aca="false">Sens!$H$3075+Sens!$H$3076</f>
        <v>30.18963316133</v>
      </c>
      <c r="I3077" s="38" t="n">
        <f aca="false">Sens!$I$3075+Sens!$I$3076</f>
        <v>62.1733100682608</v>
      </c>
      <c r="J3077" s="38" t="n">
        <f aca="false">Sens!$J$3075+Sens!$J$3076</f>
        <v>90.9089539366775</v>
      </c>
      <c r="K3077" s="38" t="n">
        <f aca="false">Sens!$K$3075+Sens!$K$3076</f>
        <v>120.330747526166</v>
      </c>
      <c r="L3077" s="38" t="n">
        <f aca="false">Sens!$L$3075+Sens!$L$3076</f>
        <v>141.028130888505</v>
      </c>
      <c r="M3077" s="38" t="n">
        <f aca="false">Sens!$M$3075+Sens!$M$3076</f>
        <v>152.895542689216</v>
      </c>
      <c r="N3077" s="38" t="n">
        <f aca="false">Sens!$N$3075+Sens!$N$3076</f>
        <v>0.867413100041837</v>
      </c>
      <c r="O3077" s="38" t="n">
        <f aca="false">Sens!$O$3075+Sens!$O$3076</f>
        <v>0.867413100041837</v>
      </c>
      <c r="R3077" s="38" t="n">
        <f aca="false">Sens!$R$3075+Sens!$R$3076</f>
        <v>0</v>
      </c>
      <c r="S3077" s="38" t="n">
        <f aca="false">Sens!$S$3075+Sens!$S$3076</f>
        <v>0.207275500083673</v>
      </c>
      <c r="T3077" s="38" t="n">
        <f aca="false">Sens!$T$3075+Sens!$T$3076</f>
        <v>1.73482620008367</v>
      </c>
      <c r="U3077" s="38" t="n">
        <f aca="false">Sens!$U$3075+Sens!$U$3076</f>
        <v>10.515487969632</v>
      </c>
      <c r="V3077" s="38" t="n">
        <f aca="false">Sens!$V$3075+Sens!$V$3076</f>
        <v>30.18963316133</v>
      </c>
      <c r="W3077" s="38" t="n">
        <f aca="false">Sens!$W$3075+Sens!$W$3076</f>
        <v>62.1733100682608</v>
      </c>
      <c r="X3077" s="38" t="n">
        <f aca="false">Sens!$X$3075+Sens!$X$3076</f>
        <v>90.9089539366775</v>
      </c>
      <c r="Y3077" s="38" t="n">
        <f aca="false">Sens!$Y$3075+Sens!$Y$3076</f>
        <v>120.330747526166</v>
      </c>
      <c r="Z3077" s="38" t="n">
        <f aca="false">Sens!$Z$3075+Sens!$Z$3076</f>
        <v>141.028130888505</v>
      </c>
      <c r="AA3077" s="38" t="n">
        <f aca="false">Sens!$AA$3075+Sens!$AA$3076</f>
        <v>152.895542689216</v>
      </c>
    </row>
    <row r="3078" customFormat="false" ht="17.15" hidden="false" customHeight="false" outlineLevel="0" collapsed="false">
      <c r="A3078" s="0" t="s">
        <v>651</v>
      </c>
      <c r="B3078" s="0" t="s">
        <v>86</v>
      </c>
      <c r="C3078" s="38" t="n">
        <f aca="false">Sens!$S$3078</f>
        <v>26.7160321098636</v>
      </c>
      <c r="D3078" s="38" t="n">
        <f aca="false">Sens!$T$3078</f>
        <v>94.9725450615139</v>
      </c>
      <c r="G3078" s="38" t="n">
        <f aca="false">Sens!$U$3078</f>
        <v>238.263185968816</v>
      </c>
      <c r="H3078" s="38" t="n">
        <f aca="false">Sens!$V$3078</f>
        <v>406.644917752236</v>
      </c>
      <c r="I3078" s="38" t="n">
        <f aca="false">Sens!$W$3078</f>
        <v>549.118077594475</v>
      </c>
      <c r="J3078" s="38" t="n">
        <f aca="false">Sens!$X$3078</f>
        <v>668.092361768298</v>
      </c>
      <c r="K3078" s="38" t="n">
        <f aca="false">Sens!$Y$3078</f>
        <v>702.999999517332</v>
      </c>
      <c r="L3078" s="38" t="n">
        <f aca="false">Sens!$Z$3078</f>
        <v>693.986010268729</v>
      </c>
      <c r="M3078" s="38" t="n">
        <f aca="false">Sens!$AA$3078</f>
        <v>673.321449239365</v>
      </c>
      <c r="R3078" s="38" t="n">
        <f aca="false">SUM(Sens!$R$3065:$R$3065)-SUM(Sens!$R$3077:$R$3077)</f>
        <v>1.53248029668154</v>
      </c>
      <c r="S3078" s="38" t="n">
        <f aca="false">SUM(Sens!$R$3065:$S$3065)-SUM(Sens!$R$3077:$S$3077)</f>
        <v>26.7160321098636</v>
      </c>
      <c r="T3078" s="38" t="n">
        <f aca="false">SUM(Sens!$R$3065:$T$3065)-SUM(Sens!$R$3077:$T$3077)</f>
        <v>94.9725450615139</v>
      </c>
      <c r="U3078" s="38" t="n">
        <f aca="false">SUM(Sens!$R$3065:$U$3065)-SUM(Sens!$R$3077:$U$3077)</f>
        <v>238.263185968816</v>
      </c>
      <c r="V3078" s="38" t="n">
        <f aca="false">SUM(Sens!$R$3065:$V$3065)-SUM(Sens!$R$3077:$V$3077)</f>
        <v>406.644917752236</v>
      </c>
      <c r="W3078" s="38" t="n">
        <f aca="false">SUM(Sens!$R$3065:$W$3065)-SUM(Sens!$R$3077:$W$3077)</f>
        <v>549.118077594475</v>
      </c>
      <c r="X3078" s="38" t="n">
        <f aca="false">SUM(Sens!$R$3065:$X$3065)-SUM(Sens!$R$3077:$X$3077)</f>
        <v>668.092361768298</v>
      </c>
      <c r="Y3078" s="38" t="n">
        <f aca="false">SUM(Sens!$R$3065:$Y$3065)-SUM(Sens!$R$3077:$Y$3077)</f>
        <v>702.999999517332</v>
      </c>
      <c r="Z3078" s="38" t="n">
        <f aca="false">SUM(Sens!$R$3065:$Z$3065)-SUM(Sens!$R$3077:$Z$3077)</f>
        <v>693.986010268729</v>
      </c>
      <c r="AA3078" s="38" t="n">
        <f aca="false">SUM(Sens!$R$3065:$AA$3065)-SUM(Sens!$R$3077:$AA$3077)</f>
        <v>673.321449239365</v>
      </c>
    </row>
    <row r="3079" customFormat="false" ht="17.15" hidden="false" customHeight="false" outlineLevel="0" collapsed="false">
      <c r="A3079" s="1" t="s">
        <v>652</v>
      </c>
    </row>
    <row r="3080" customFormat="false" ht="17.15" hidden="false" customHeight="false" outlineLevel="0" collapsed="false">
      <c r="A3080" s="0" t="s">
        <v>653</v>
      </c>
      <c r="B3080" s="0" t="s">
        <v>86</v>
      </c>
      <c r="C3080" s="38" t="n">
        <f aca="false">Sens!$C$3056-ext_sh*Sens!$C$3058</f>
        <v>2.37056001607536</v>
      </c>
      <c r="D3080" s="38" t="n">
        <f aca="false">Sens!$D$3056-ext_sh*Sens!$D$3058</f>
        <v>8.8896000602826</v>
      </c>
      <c r="E3080" s="38" t="n">
        <f aca="false">Sens!$E$3056-ext_sh*Sens!$E$3058</f>
        <v>8.69205339227632</v>
      </c>
      <c r="F3080" s="38" t="n">
        <f aca="false">Sens!$F$3056-ext_sh*Sens!$F$3058</f>
        <v>14.1623678356515</v>
      </c>
      <c r="G3080" s="38" t="n">
        <f aca="false">Sens!$G$3056-ext_sh*Sens!$G$3058</f>
        <v>22.8544212279278</v>
      </c>
      <c r="H3080" s="38" t="n">
        <f aca="false">Sens!$H$3056-ext_sh*Sens!$H$3058</f>
        <v>52.4017929456071</v>
      </c>
      <c r="I3080" s="38" t="n">
        <f aca="false">Sens!$I$3056-ext_sh*Sens!$I$3058</f>
        <v>85.4385895039285</v>
      </c>
      <c r="J3080" s="38" t="n">
        <f aca="false">Sens!$J$3056-ext_sh*Sens!$J$3058</f>
        <v>118.643937074445</v>
      </c>
      <c r="K3080" s="38" t="n">
        <f aca="false">Sens!$K$3056-ext_sh*Sens!$K$3058</f>
        <v>146.969031731731</v>
      </c>
      <c r="L3080" s="38" t="n">
        <f aca="false">Sens!$L$3056-ext_sh*Sens!$L$3058</f>
        <v>165.584266397602</v>
      </c>
      <c r="M3080" s="38" t="n">
        <f aca="false">Sens!$M$3056-ext_sh*Sens!$M$3058</f>
        <v>174.462227381355</v>
      </c>
      <c r="N3080" s="38" t="n">
        <f aca="false">Sens!$N$3056-ext_sh*Sens!$N$3058</f>
        <v>3.11136002109891</v>
      </c>
      <c r="O3080" s="38" t="n">
        <f aca="false">Sens!$O$3056-ext_sh*Sens!$O$3058</f>
        <v>5.77824003918369</v>
      </c>
    </row>
    <row r="3081" customFormat="false" ht="17.15" hidden="false" customHeight="false" outlineLevel="0" collapsed="false">
      <c r="A3081" s="1" t="s">
        <v>654</v>
      </c>
      <c r="B3081" s="8" t="s">
        <v>86</v>
      </c>
      <c r="C3081" s="38" t="n">
        <f aca="false">Sens!$C$3080-ext_sh*Sens!$C$3077</f>
        <v>2.20473961600842</v>
      </c>
      <c r="D3081" s="38" t="n">
        <f aca="false">Sens!$D$3080-ext_sh*Sens!$D$3077</f>
        <v>7.50173910021566</v>
      </c>
      <c r="E3081" s="38" t="n">
        <f aca="false">Sens!$E$3080-ext_sh*Sens!$E$3077</f>
        <v>4.48585820442352</v>
      </c>
      <c r="F3081" s="38" t="n">
        <f aca="false">Sens!$F$3080-ext_sh*Sens!$F$3077</f>
        <v>9.95617264779868</v>
      </c>
      <c r="G3081" s="38" t="n">
        <f aca="false">Sens!$G$3080-ext_sh*Sens!$G$3077</f>
        <v>14.4420308522222</v>
      </c>
      <c r="H3081" s="38" t="n">
        <f aca="false">Sens!$H$3080-ext_sh*Sens!$H$3077</f>
        <v>28.2500864165431</v>
      </c>
      <c r="I3081" s="38" t="n">
        <f aca="false">Sens!$I$3080-ext_sh*Sens!$I$3077</f>
        <v>35.6999414493198</v>
      </c>
      <c r="J3081" s="38" t="n">
        <f aca="false">Sens!$J$3080-ext_sh*Sens!$J$3077</f>
        <v>45.9167739251032</v>
      </c>
      <c r="K3081" s="38" t="n">
        <f aca="false">Sens!$K$3080-ext_sh*Sens!$K$3077</f>
        <v>50.7044337107983</v>
      </c>
      <c r="L3081" s="38" t="n">
        <f aca="false">Sens!$L$3080-ext_sh*Sens!$L$3077</f>
        <v>52.7617616867979</v>
      </c>
      <c r="M3081" s="38" t="n">
        <f aca="false">Sens!$M$3080-ext_sh*Sens!$M$3077</f>
        <v>52.1457932299819</v>
      </c>
      <c r="N3081" s="38" t="n">
        <f aca="false">Sens!$N$3080-ext_sh*Sens!$N$3077</f>
        <v>2.41742954106544</v>
      </c>
      <c r="O3081" s="38" t="n">
        <f aca="false">Sens!$O$3080-ext_sh*Sens!$O$3077</f>
        <v>5.08430955915022</v>
      </c>
    </row>
    <row r="3082" customFormat="false" ht="17.15" hidden="false" customHeight="false" outlineLevel="0" collapsed="false">
      <c r="A3082" s="0" t="s">
        <v>655</v>
      </c>
      <c r="B3082" s="0" t="s">
        <v>52</v>
      </c>
      <c r="C3082" s="13" t="n">
        <f aca="false">Sens!$C$3081/Sens!$C$3056</f>
        <v>0.764309733549586</v>
      </c>
      <c r="D3082" s="13" t="n">
        <f aca="false">Sens!$D$3081/Sens!$D$3056</f>
        <v>0.693494103486603</v>
      </c>
      <c r="E3082" s="13" t="n">
        <f aca="false">Sens!$E$3081/Sens!$E$3056</f>
        <v>0.424117502963678</v>
      </c>
      <c r="F3082" s="13" t="n">
        <f aca="false">Sens!$F$3081/Sens!$F$3056</f>
        <v>0.572005010673781</v>
      </c>
      <c r="G3082" s="13" t="n">
        <f aca="false">Sens!$G$3081/Sens!$G$3056</f>
        <v>0.516106307310309</v>
      </c>
      <c r="H3082" s="13" t="n">
        <f aca="false">Sens!$H$3081/Sens!$H$3056</f>
        <v>0.434279239115802</v>
      </c>
      <c r="I3082" s="13" t="n">
        <f aca="false">Sens!$I$3081/Sens!$I$3056</f>
        <v>0.335562603664697</v>
      </c>
      <c r="J3082" s="13" t="n">
        <f aca="false">Sens!$J$3081/Sens!$J$3056</f>
        <v>0.310437194388261</v>
      </c>
      <c r="K3082" s="13" t="n">
        <f aca="false">Sens!$K$3081/Sens!$K$3056</f>
        <v>0.276570532565904</v>
      </c>
      <c r="L3082" s="13" t="n">
        <f aca="false">Sens!$L$3081/Sens!$L$3056</f>
        <v>0.255365502982354</v>
      </c>
      <c r="M3082" s="13" t="n">
        <f aca="false">Sens!$M$3081/Sens!$M$3056</f>
        <v>0.239508444213868</v>
      </c>
      <c r="N3082" s="13" t="n">
        <f aca="false">Sens!$N$3081/Sens!$N$3056</f>
        <v>0.638508374021094</v>
      </c>
      <c r="O3082" s="13" t="n">
        <f aca="false">Sens!$O$3081/Sens!$O$3056</f>
        <v>0.723101803968031</v>
      </c>
    </row>
    <row r="3083" customFormat="false" ht="17.15" hidden="false" customHeight="false" outlineLevel="0" collapsed="false">
      <c r="A3083" s="5" t="s">
        <v>656</v>
      </c>
      <c r="B3083" s="0" t="s">
        <v>86</v>
      </c>
      <c r="C3083" s="39" t="n">
        <v>0</v>
      </c>
      <c r="D3083" s="39" t="n">
        <v>0</v>
      </c>
      <c r="E3083" s="39" t="n">
        <v>0</v>
      </c>
      <c r="F3083" s="38" t="n">
        <f aca="false">IF(internal_ai_reading=2,1,0)*(1-ext_sh)/ext_sh*(mw_open*he_open+Sens!$F$3054*Sens!$F$3051)*Sens!$F$3040/1000</f>
        <v>3.77122048175818</v>
      </c>
      <c r="G3083" s="38" t="n">
        <f aca="false">Sens!$E$3083+Sens!$F$3083</f>
        <v>3.77122048175818</v>
      </c>
      <c r="H3083" s="38" t="n">
        <f aca="false">IF(internal_ai_reading=2,1,0)*(1-ext_sh)/ext_sh*(mw_open*he_open+Sens!$H$3054*Sens!$H$3051)*Sens!$H$3040/1000</f>
        <v>15.1635543609893</v>
      </c>
      <c r="I3083" s="38" t="n">
        <f aca="false">IF(internal_ai_reading=2,1,0)*(1-ext_sh)/ext_sh*(mw_open*he_open+Sens!$I$3054*Sens!$I$3051)*Sens!$I$3040/1000</f>
        <v>25.5818843619889</v>
      </c>
      <c r="J3083" s="38" t="n">
        <f aca="false">IF(internal_ai_reading=2,1,0)*(1-ext_sh)/ext_sh*(mw_open*he_open+Sens!$J$3054*Sens!$J$3051)*Sens!$J$3040/1000</f>
        <v>36.0465624179122</v>
      </c>
      <c r="K3083" s="38" t="n">
        <f aca="false">IF(internal_ai_reading=2,1,0)*(1-ext_sh)/ext_sh*(mw_open*he_open+Sens!$K$3054*Sens!$K$3051)*Sens!$K$3040/1000</f>
        <v>44.9741164026038</v>
      </c>
      <c r="L3083" s="38" t="n">
        <f aca="false">IF(internal_ai_reading=2,1,0)*(1-ext_sh)/ext_sh*(mw_open*he_open+Sens!$L$3054*Sens!$L$3051)*Sens!$L$3040/1000</f>
        <v>50.8413488057813</v>
      </c>
      <c r="M3083" s="38" t="n">
        <f aca="false">IF(internal_ai_reading=2,1,0)*(1-ext_sh)/ext_sh*(mw_open*he_open+Sens!$M$3054*Sens!$M$3051)*Sens!$M$3040/1000</f>
        <v>53.6407214274315</v>
      </c>
      <c r="N3083" s="39" t="n">
        <v>0</v>
      </c>
      <c r="O3083" s="39" t="n">
        <v>0</v>
      </c>
      <c r="P3083" s="8" t="s">
        <v>657</v>
      </c>
    </row>
    <row r="3084" customFormat="false" ht="17.15" hidden="false" customHeight="false" outlineLevel="0" collapsed="false">
      <c r="A3084" s="5" t="s">
        <v>658</v>
      </c>
      <c r="B3084" s="0" t="s">
        <v>86</v>
      </c>
      <c r="C3084" s="38" t="n">
        <f aca="false">(1-ext_sh)*(Sens!$C$3058+Sens!$C$3077)</f>
        <v>0.169968942151741</v>
      </c>
      <c r="D3084" s="38" t="n">
        <f aca="false">(1-ext_sh)*(Sens!$D$3058+Sens!$D$3077)</f>
        <v>0.828892148023009</v>
      </c>
      <c r="E3084" s="38" t="n">
        <f aca="false">(1-ext_sh)*(Sens!$E$3058+Sens!$E$3077)</f>
        <v>1.52276621812489</v>
      </c>
      <c r="F3084" s="38" t="n">
        <f aca="false">(1-ext_sh)*(Sens!$F$3058+Sens!$F$3077)</f>
        <v>1.86239277917566</v>
      </c>
      <c r="G3084" s="38" t="n">
        <f aca="false">(1-ext_sh)*(Sens!$G$3058+Sens!$G$3077)</f>
        <v>3.38515899730055</v>
      </c>
      <c r="H3084" s="38" t="n">
        <f aca="false">(1-ext_sh)*(Sens!$H$3058+Sens!$H$3077)</f>
        <v>9.20010614319831</v>
      </c>
      <c r="I3084" s="38" t="n">
        <f aca="false">(1-ext_sh)*(Sens!$I$3058+Sens!$I$3077)</f>
        <v>17.6720944816685</v>
      </c>
      <c r="J3084" s="38" t="n">
        <f aca="false">(1-ext_sh)*(Sens!$J$3058+Sens!$J$3077)</f>
        <v>25.4983133664342</v>
      </c>
      <c r="K3084" s="38" t="n">
        <f aca="false">(1-ext_sh)*(Sens!$K$3058+Sens!$K$3077)</f>
        <v>33.1570767279858</v>
      </c>
      <c r="L3084" s="38" t="n">
        <f aca="false">(1-ext_sh)*(Sens!$L$3058+Sens!$L$3077)</f>
        <v>38.4627400887901</v>
      </c>
      <c r="M3084" s="38" t="n">
        <f aca="false">(1-ext_sh)*(Sens!$M$3058+Sens!$M$3077)</f>
        <v>41.3935670946113</v>
      </c>
      <c r="N3084" s="38" t="n">
        <f aca="false">(1-ext_sh)*(Sens!$N$3058+Sens!$N$3077)</f>
        <v>0.342157037810563</v>
      </c>
      <c r="O3084" s="38" t="n">
        <f aca="false">(1-ext_sh)*(Sens!$O$3058+Sens!$O$3077)</f>
        <v>0.486735110212445</v>
      </c>
    </row>
    <row r="3085" customFormat="false" ht="17.15" hidden="false" customHeight="false" outlineLevel="0" collapsed="false">
      <c r="A3085" s="0" t="s">
        <v>659</v>
      </c>
      <c r="B3085" s="0" t="s">
        <v>86</v>
      </c>
      <c r="C3085" s="38" t="n">
        <f aca="false">Q!$D$24</f>
        <v>39.834</v>
      </c>
      <c r="D3085" s="38" t="n">
        <f aca="false">Q!$E$24</f>
        <v>45.606</v>
      </c>
      <c r="E3085" s="38" t="n">
        <f aca="false">Q!$P$24</f>
        <v>30.782</v>
      </c>
      <c r="N3085" s="38" t="n">
        <f aca="false">Q!$N$24</f>
        <v>21.707</v>
      </c>
      <c r="O3085" s="38" t="n">
        <f aca="false">Q!$O$24</f>
        <v>23.899</v>
      </c>
    </row>
    <row r="3086" customFormat="false" ht="17.15" hidden="false" customHeight="false" outlineLevel="0" collapsed="false">
      <c r="A3086" s="0" t="s">
        <v>660</v>
      </c>
      <c r="B3086" s="0" t="s">
        <v>86</v>
      </c>
      <c r="C3086" s="38" t="n">
        <f aca="false">Sens!$C$3085-Sens!$C$3081</f>
        <v>37.6292603839916</v>
      </c>
      <c r="D3086" s="38" t="n">
        <f aca="false">Sens!$D$3085-Sens!$D$3081</f>
        <v>38.1042608997843</v>
      </c>
      <c r="E3086" s="38" t="n">
        <f aca="false">Sens!$E$3085-Sens!$E$3081</f>
        <v>26.2961417955765</v>
      </c>
      <c r="F3086" s="38" t="n">
        <f aca="false">Sens!$F$3060*Sens!$F$3087</f>
        <v>23.9141879403885</v>
      </c>
      <c r="G3086" s="38" t="n">
        <f aca="false">Sens!$E$3086+Sens!$F$3086</f>
        <v>50.210329735965</v>
      </c>
      <c r="H3086" s="38" t="n">
        <f aca="false">Sens!$H$3060*Sens!$H$3087</f>
        <v>53.2843547562212</v>
      </c>
      <c r="I3086" s="38" t="n">
        <f aca="false">Sens!$I$3060*Sens!$I$3087</f>
        <v>58.7847878221647</v>
      </c>
      <c r="J3086" s="38" t="n">
        <f aca="false">Sens!$J$3060*Sens!$J$3087</f>
        <v>64.170294997996</v>
      </c>
      <c r="K3086" s="38" t="n">
        <f aca="false">Sens!$K$3060*Sens!$K$3087</f>
        <v>69.3039185978357</v>
      </c>
      <c r="L3086" s="38" t="n">
        <f aca="false">Sens!$L$3060*Sens!$L$3087</f>
        <v>74.8482320856625</v>
      </c>
      <c r="M3086" s="38" t="n">
        <f aca="false">Sens!$M$3060*Sens!$M$3087</f>
        <v>80.8360906525156</v>
      </c>
      <c r="N3086" s="38" t="n">
        <f aca="false">Sens!$N$3085-Sens!$N$3081</f>
        <v>19.2895704589346</v>
      </c>
      <c r="O3086" s="38" t="n">
        <f aca="false">Sens!$O$3085-Sens!$O$3081</f>
        <v>18.8146904408498</v>
      </c>
      <c r="P3086" s="5" t="s">
        <v>661</v>
      </c>
    </row>
    <row r="3087" customFormat="false" ht="17.15" hidden="false" customHeight="false" outlineLevel="0" collapsed="false">
      <c r="A3087" s="0" t="s">
        <v>662</v>
      </c>
      <c r="B3087" s="0" t="s">
        <v>52</v>
      </c>
      <c r="C3087" s="13" t="n">
        <f aca="false">Sens!$C$3086/Sens!$C$3060</f>
        <v>0.359499021841169</v>
      </c>
      <c r="D3087" s="13" t="n">
        <f aca="false">Sens!$D$3086/Sens!$D$3060</f>
        <v>0.323170271201198</v>
      </c>
      <c r="E3087" s="13" t="n">
        <f aca="false">Sens!$E$3086/Sens!$E$3060</f>
        <v>0.379771129984874</v>
      </c>
      <c r="F3087" s="13" t="n">
        <f aca="false">(Sens!$O$3086+Sens!$E$3086)/(Sens!$O$3060+Sens!$E$3060)</f>
        <v>0.344895042125133</v>
      </c>
      <c r="G3087" s="13" t="n">
        <f aca="false">Sens!$G$3086/Sens!$G$3060</f>
        <v>0.362321068379743</v>
      </c>
      <c r="H3087" s="13" t="n">
        <f aca="false">Sens!$F$3087</f>
        <v>0.344895042125133</v>
      </c>
      <c r="I3087" s="13" t="n">
        <f aca="false">Sens!$F$3087</f>
        <v>0.344895042125133</v>
      </c>
      <c r="J3087" s="13" t="n">
        <f aca="false">Sens!$F$3087</f>
        <v>0.344895042125133</v>
      </c>
      <c r="K3087" s="13" t="n">
        <f aca="false">Sens!$F$3087</f>
        <v>0.344895042125133</v>
      </c>
      <c r="L3087" s="13" t="n">
        <f aca="false">Sens!$F$3087</f>
        <v>0.344895042125133</v>
      </c>
      <c r="M3087" s="13" t="n">
        <f aca="false">Sens!$F$3087</f>
        <v>0.344895042125133</v>
      </c>
      <c r="N3087" s="13" t="n">
        <f aca="false">Sens!$N$3086/Sens!$N$3060</f>
        <v>0.342293186049231</v>
      </c>
      <c r="O3087" s="13" t="n">
        <f aca="false">Sens!$O$3086/Sens!$O$3060</f>
        <v>0.305662781566513</v>
      </c>
      <c r="P3087" s="8" t="s">
        <v>663</v>
      </c>
    </row>
    <row r="3088" customFormat="false" ht="17.15" hidden="false" customHeight="false" outlineLevel="0" collapsed="false">
      <c r="A3088" s="0" t="s">
        <v>664</v>
      </c>
      <c r="B3088" s="0" t="s">
        <v>52</v>
      </c>
      <c r="D3088" s="13" t="n">
        <f aca="false">(Q!$E$31-ext_sh*Sens!$D$3077)/Sens!$D$3060</f>
        <v>0.170151231419057</v>
      </c>
    </row>
    <row r="3089" customFormat="false" ht="17.15" hidden="false" customHeight="false" outlineLevel="0" collapsed="false">
      <c r="A3089" s="0" t="s">
        <v>665</v>
      </c>
      <c r="B3089" s="0" t="s">
        <v>86</v>
      </c>
      <c r="C3089" s="38" t="n">
        <f aca="false">Q!$D$31</f>
        <v>13.32</v>
      </c>
      <c r="D3089" s="38" t="n">
        <f aca="false">Q!$E$31</f>
        <v>21.45</v>
      </c>
      <c r="E3089" s="38" t="n">
        <f aca="false">Q!$P$31</f>
        <v>15.353</v>
      </c>
      <c r="F3089" s="38" t="n">
        <f aca="false">ext_sh*Sens!$F$3077+Sens!$D$3088*Sens!$F$3060</f>
        <v>16.004069988754</v>
      </c>
      <c r="G3089" s="38" t="n">
        <f aca="false">Sens!$E$3089+Sens!$F$3089</f>
        <v>31.357069988754</v>
      </c>
      <c r="H3089" s="38" t="n">
        <f aca="false">ext_sh*Sens!$H$3077+Sens!$D$3088*Sens!$H$3060</f>
        <v>50.4391200020923</v>
      </c>
      <c r="I3089" s="38" t="n">
        <f aca="false">ext_sh*Sens!$I$3077+Sens!$D$3088*Sens!$I$3060</f>
        <v>78.7396565208895</v>
      </c>
      <c r="J3089" s="38" t="n">
        <f aca="false">ext_sh*Sens!$J$3077+Sens!$D$3088*Sens!$J$3060</f>
        <v>104.385068833216</v>
      </c>
      <c r="K3089" s="38" t="n">
        <f aca="false">ext_sh*Sens!$K$3077+Sens!$D$3088*Sens!$K$3060</f>
        <v>130.455136159517</v>
      </c>
      <c r="L3089" s="38" t="n">
        <f aca="false">ext_sh*Sens!$L$3077+Sens!$D$3088*Sens!$L$3060</f>
        <v>149.748285900475</v>
      </c>
      <c r="M3089" s="38" t="n">
        <f aca="false">ext_sh*Sens!$M$3077+Sens!$D$3088*Sens!$M$3060</f>
        <v>162.196277836217</v>
      </c>
      <c r="N3089" s="38" t="n">
        <f aca="false">Q!$N$31</f>
        <v>9.234</v>
      </c>
      <c r="O3089" s="38" t="n">
        <f aca="false">Q!$O$31</f>
        <v>12.216</v>
      </c>
    </row>
    <row r="3090" customFormat="false" ht="17.15" hidden="false" customHeight="false" outlineLevel="0" collapsed="false">
      <c r="A3090" s="1" t="s">
        <v>666</v>
      </c>
    </row>
    <row r="3091" customFormat="false" ht="17.15" hidden="false" customHeight="false" outlineLevel="0" collapsed="false">
      <c r="A3091" s="15" t="s">
        <v>667</v>
      </c>
      <c r="B3091" s="14" t="s">
        <v>52</v>
      </c>
      <c r="C3091" s="14"/>
      <c r="D3091" s="14"/>
      <c r="E3091" s="14"/>
      <c r="F3091" s="14"/>
      <c r="G3091" s="17" t="n">
        <f aca="false">Sens!$G$3081*(1-tax)/(ext_sh*(Sens!$D$3078+Sens!$G$3078)/2)</f>
        <v>0.0895396010385112</v>
      </c>
      <c r="H3091" s="17" t="n">
        <f aca="false">Sens!$H$3081*(1-tax)/(ext_sh*(Sens!$G$3078+Sens!$H$3078)/2)</f>
        <v>0.0905024623051667</v>
      </c>
      <c r="I3091" s="17" t="n">
        <f aca="false">Sens!$I$3081*(1-tax)/(ext_sh*(Sens!$H$3078+Sens!$I$3078)/2)</f>
        <v>0.0771712865953207</v>
      </c>
      <c r="J3091" s="17" t="n">
        <f aca="false">Sens!$J$3081*(1-tax)/(ext_sh*(Sens!$I$3078+Sens!$J$3078)/2)</f>
        <v>0.0779370830881448</v>
      </c>
      <c r="K3091" s="17" t="n">
        <f aca="false">Sens!$K$3081*(1-tax)/(ext_sh*(Sens!$J$3078+Sens!$K$3078)/2)</f>
        <v>0.0764042776597324</v>
      </c>
      <c r="L3091" s="17" t="n">
        <f aca="false">Sens!$L$3081*(1-tax)/(ext_sh*(Sens!$K$3078+Sens!$L$3078)/2)</f>
        <v>0.0780307317955554</v>
      </c>
      <c r="M3091" s="17" t="n">
        <f aca="false">Sens!$M$3081*(1-tax)/(ext_sh*(Sens!$L$3078+Sens!$M$3078)/2)</f>
        <v>0.0787937089372372</v>
      </c>
      <c r="N3091" s="14"/>
      <c r="O3091" s="14"/>
      <c r="P3091" s="8" t="s">
        <v>668</v>
      </c>
    </row>
    <row r="3092" customFormat="false" ht="17.15" hidden="false" customHeight="false" outlineLevel="0" collapsed="false">
      <c r="A3092" s="5" t="s">
        <v>669</v>
      </c>
      <c r="B3092" s="0" t="s">
        <v>57</v>
      </c>
      <c r="H3092" s="36" t="n">
        <f aca="false">Sens!$H$3056*1000/(mw_open*he_open+Sens!$H$3054*Sens!$H$3051)</f>
        <v>1.07248125077932</v>
      </c>
      <c r="I3092" s="36" t="n">
        <f aca="false">Sens!$I$3056*1000/(mw_open*he_open+Sens!$I$3054*Sens!$I$3051)</f>
        <v>1.03968415569566</v>
      </c>
      <c r="J3092" s="36" t="n">
        <f aca="false">Sens!$J$3056*1000/(mw_open*he_open+Sens!$J$3054*Sens!$J$3051)</f>
        <v>1.02582616392112</v>
      </c>
      <c r="K3092" s="36" t="n">
        <f aca="false">Sens!$K$3056*1000/(mw_open*he_open+Sens!$K$3054*Sens!$K$3051)</f>
        <v>1.01910140369165</v>
      </c>
      <c r="L3092" s="36" t="n">
        <f aca="false">Sens!$L$3056*1000/(mw_open*he_open+Sens!$L$3054*Sens!$L$3051)</f>
        <v>1.01596794191691</v>
      </c>
      <c r="M3092" s="36" t="n">
        <f aca="false">Sens!$M$3056*1000/(mw_open*he_open+Sens!$M$3054*Sens!$M$3051)</f>
        <v>1.01471445487069</v>
      </c>
    </row>
    <row r="3093" customFormat="false" ht="17.15" hidden="false" customHeight="false" outlineLevel="0" collapsed="false">
      <c r="A3093" s="5" t="s">
        <v>670</v>
      </c>
      <c r="B3093" s="0" t="s">
        <v>57</v>
      </c>
      <c r="H3093" s="36" t="n">
        <f aca="false">Sens!$H$3092*(Sens!$H$3056+wacc*ext_sh*(Sens!$G$3078+Sens!$H$3078)/2/(1-tax)-Sens!$H$3081)/Sens!$H$3056</f>
        <v>1.18979184248535</v>
      </c>
      <c r="I3093" s="36" t="n">
        <f aca="false">Sens!$I$3092*(Sens!$I$3056+wacc*ext_sh*(Sens!$H$3078+Sens!$I$3078)/2/(1-tax)-Sens!$I$3081)/Sens!$I$3056</f>
        <v>1.20300467612161</v>
      </c>
      <c r="J3093" s="36" t="n">
        <f aca="false">Sens!$J$3092*(Sens!$J$3056+wacc*ext_sh*(Sens!$I$3078+Sens!$J$3078)/2/(1-tax)-Sens!$J$3081)/Sens!$J$3056</f>
        <v>1.17031017921738</v>
      </c>
      <c r="K3093" s="36" t="n">
        <f aca="false">Sens!$K$3092*(Sens!$K$3056+wacc*ext_sh*(Sens!$J$3078+Sens!$K$3078)/2/(1-tax)-Sens!$K$3081)/Sens!$K$3056</f>
        <v>1.15519926855262</v>
      </c>
      <c r="L3093" s="36" t="n">
        <f aca="false">Sens!$L$3092*(Sens!$L$3056+wacc*ext_sh*(Sens!$K$3078+Sens!$L$3078)/2/(1-tax)-Sens!$L$3081)/Sens!$L$3056</f>
        <v>1.13322561340084</v>
      </c>
      <c r="M3093" s="36" t="n">
        <f aca="false">Sens!$M$3092*(Sens!$M$3056+wacc*ext_sh*(Sens!$L$3078+Sens!$M$3078)/2/(1-tax)-Sens!$M$3081)/Sens!$M$3056</f>
        <v>1.12113830743577</v>
      </c>
    </row>
    <row r="3094" customFormat="false" ht="17.15" hidden="false" customHeight="false" outlineLevel="0" collapsed="false">
      <c r="A3094" s="5" t="s">
        <v>671</v>
      </c>
      <c r="B3094" s="0" t="s">
        <v>52</v>
      </c>
      <c r="C3094" s="13" t="n">
        <f aca="false">Sens!$C$3057/tk_pq</f>
        <v>0.242745146693097</v>
      </c>
      <c r="D3094" s="13" t="n">
        <f aca="false">Sens!$D$3057/tk_pq</f>
        <v>0.242745146693097</v>
      </c>
      <c r="E3094" s="13" t="n">
        <f aca="false">Sens!$E$3057/tk_pq</f>
        <v>0.242745146693097</v>
      </c>
      <c r="F3094" s="13" t="n">
        <f aca="false">Sens!$F$3057/tk_pq</f>
        <v>0.235251447467933</v>
      </c>
      <c r="G3094" s="13" t="n">
        <f aca="false">Sens!$G$3057/tk_pq</f>
        <v>0.238028893467268</v>
      </c>
      <c r="H3094" s="13" t="n">
        <f aca="false">Sens!$H$3057/tk_pq</f>
        <v>0.22991195654229</v>
      </c>
      <c r="I3094" s="13" t="n">
        <f aca="false">Sens!$I$3057/tk_pq</f>
        <v>0.229837692241337</v>
      </c>
      <c r="J3094" s="13" t="n">
        <f aca="false">Sens!$J$3057/tk_pq</f>
        <v>0.23009108256691</v>
      </c>
      <c r="K3094" s="13" t="n">
        <f aca="false">Sens!$K$3057/tk_pq</f>
        <v>0.230186468921407</v>
      </c>
      <c r="L3094" s="13" t="n">
        <f aca="false">Sens!$L$3057/tk_pq</f>
        <v>0.230229880425827</v>
      </c>
      <c r="M3094" s="13" t="n">
        <f aca="false">Sens!$M$3057/tk_pq</f>
        <v>0.230213588128541</v>
      </c>
      <c r="N3094" s="13" t="n">
        <f aca="false">Sens!$N$3057/tk_pq</f>
        <v>0.242745146693097</v>
      </c>
      <c r="O3094" s="13" t="n">
        <f aca="false">Sens!$O$3057/tk_pq</f>
        <v>0.242745146693097</v>
      </c>
      <c r="P3094" s="5" t="s">
        <v>672</v>
      </c>
    </row>
    <row r="3097" customFormat="false" ht="17.15" hidden="false" customHeight="false" outlineLevel="0" collapsed="false">
      <c r="A3097" s="1" t="s">
        <v>701</v>
      </c>
    </row>
    <row r="3098" customFormat="false" ht="17.15" hidden="false" customHeight="false" outlineLevel="0" collapsed="false">
      <c r="A3098" s="0" t="s">
        <v>702</v>
      </c>
      <c r="B3098" s="0" t="s">
        <v>86</v>
      </c>
      <c r="C3098" s="38" t="n">
        <f aca="false">Sens!$C$3056</f>
        <v>2.88461538461538</v>
      </c>
      <c r="D3098" s="38" t="n">
        <f aca="false">Sens!$D$3056</f>
        <v>10.8173076923077</v>
      </c>
      <c r="E3098" s="38" t="n">
        <f aca="false">Sens!$E$3056</f>
        <v>10.5769230769231</v>
      </c>
      <c r="F3098" s="38" t="n">
        <f aca="false">Sens!$F$3056</f>
        <v>17.4057437645013</v>
      </c>
      <c r="G3098" s="38" t="n">
        <f aca="false">Sens!$G$3056</f>
        <v>27.9826668414244</v>
      </c>
      <c r="H3098" s="38" t="n">
        <f aca="false">Sens!$H$3056</f>
        <v>65.0505109893364</v>
      </c>
      <c r="I3098" s="38" t="n">
        <f aca="false">Sens!$I$3056</f>
        <v>106.388319375994</v>
      </c>
      <c r="J3098" s="38" t="n">
        <f aca="false">Sens!$J$3056</f>
        <v>147.91002739084</v>
      </c>
      <c r="K3098" s="38" t="n">
        <f aca="false">Sens!$K$3056</f>
        <v>183.332740622741</v>
      </c>
      <c r="L3098" s="38" t="n">
        <f aca="false">Sens!$L$3056</f>
        <v>206.612722041958</v>
      </c>
      <c r="M3098" s="38" t="n">
        <f aca="false">Sens!$M$3056</f>
        <v>217.720061608427</v>
      </c>
      <c r="N3098" s="38" t="n">
        <f aca="false">Sens!$N$3056</f>
        <v>3.78605769230769</v>
      </c>
      <c r="O3098" s="38" t="n">
        <f aca="false">Sens!$O$3056</f>
        <v>7.03125</v>
      </c>
      <c r="P3098" s="8" t="s">
        <v>703</v>
      </c>
    </row>
    <row r="3099" customFormat="false" ht="17.15" hidden="false" customHeight="false" outlineLevel="0" collapsed="false">
      <c r="A3099" s="0" t="s">
        <v>704</v>
      </c>
      <c r="B3099" s="0" t="s">
        <v>86</v>
      </c>
      <c r="C3099" s="38" t="n">
        <f aca="false">Sens!$C$3060</f>
        <v>104.671384615385</v>
      </c>
      <c r="D3099" s="38" t="n">
        <f aca="false">Sens!$D$3060</f>
        <v>117.907692307692</v>
      </c>
      <c r="E3099" s="38" t="n">
        <f aca="false">Sens!$E$3060</f>
        <v>69.2420769230769</v>
      </c>
      <c r="F3099" s="38" t="n">
        <f aca="false">Sens!$F$3060</f>
        <v>69.3375810595505</v>
      </c>
      <c r="G3099" s="38" t="n">
        <f aca="false">Sens!$G$3060</f>
        <v>138.579657982627</v>
      </c>
      <c r="H3099" s="38" t="n">
        <f aca="false">Sens!$H$3060</f>
        <v>154.494406263134</v>
      </c>
      <c r="I3099" s="38" t="n">
        <f aca="false">Sens!$I$3060</f>
        <v>170.442542345496</v>
      </c>
      <c r="J3099" s="38" t="n">
        <f aca="false">Sens!$J$3060</f>
        <v>186.057458531729</v>
      </c>
      <c r="K3099" s="38" t="n">
        <f aca="false">Sens!$K$3060</f>
        <v>200.942055214268</v>
      </c>
      <c r="L3099" s="38" t="n">
        <f aca="false">Sens!$L$3060</f>
        <v>217.017419631409</v>
      </c>
      <c r="M3099" s="38" t="n">
        <f aca="false">Sens!$M$3060</f>
        <v>234.378813201922</v>
      </c>
      <c r="N3099" s="38" t="n">
        <f aca="false">Sens!$N$3060</f>
        <v>56.3539423076923</v>
      </c>
      <c r="O3099" s="38" t="n">
        <f aca="false">Sens!$O$3060</f>
        <v>61.55375</v>
      </c>
      <c r="P3099" s="8" t="s">
        <v>703</v>
      </c>
    </row>
    <row r="3100" customFormat="false" ht="17.15" hidden="false" customHeight="false" outlineLevel="0" collapsed="false">
      <c r="A3100" s="1" t="s">
        <v>523</v>
      </c>
      <c r="B3100" s="8" t="s">
        <v>86</v>
      </c>
      <c r="C3100" s="38" t="n">
        <f aca="false">Q!$D$7</f>
        <v>107.556</v>
      </c>
      <c r="D3100" s="38" t="n">
        <f aca="false">Q!$E$7</f>
        <v>128.725</v>
      </c>
      <c r="E3100" s="38" t="n">
        <f aca="false">Q!$P$7</f>
        <v>79.819</v>
      </c>
      <c r="F3100" s="38" t="n">
        <f aca="false">Sens!$F$3098+Sens!$F$3099</f>
        <v>86.7433248240518</v>
      </c>
      <c r="G3100" s="38" t="n">
        <f aca="false">Sens!$G$3098+Sens!$G$3099</f>
        <v>166.562324824052</v>
      </c>
      <c r="H3100" s="38" t="n">
        <f aca="false">Sens!$H$3098+Sens!$H$3099</f>
        <v>219.544917252471</v>
      </c>
      <c r="I3100" s="38" t="n">
        <f aca="false">Sens!$I$3098+Sens!$I$3099</f>
        <v>276.83086172149</v>
      </c>
      <c r="J3100" s="38" t="n">
        <f aca="false">Sens!$J$3098+Sens!$J$3099</f>
        <v>333.967485922569</v>
      </c>
      <c r="K3100" s="38" t="n">
        <f aca="false">Sens!$K$3098+Sens!$K$3099</f>
        <v>384.274795837009</v>
      </c>
      <c r="L3100" s="38" t="n">
        <f aca="false">Sens!$L$3098+Sens!$L$3099</f>
        <v>423.630141673367</v>
      </c>
      <c r="M3100" s="38" t="n">
        <f aca="false">Sens!$M$3098+Sens!$M$3099</f>
        <v>452.098874810349</v>
      </c>
      <c r="N3100" s="38" t="n">
        <f aca="false">Q!$N$7</f>
        <v>60.14</v>
      </c>
      <c r="O3100" s="38" t="n">
        <f aca="false">Q!$O$7</f>
        <v>68.585</v>
      </c>
      <c r="P3100" s="5" t="s">
        <v>705</v>
      </c>
    </row>
    <row r="3101" customFormat="false" ht="15" hidden="false" customHeight="false" outlineLevel="0" collapsed="false">
      <c r="A3101" s="3" t="s">
        <v>706</v>
      </c>
      <c r="B3101" s="8" t="s">
        <v>86</v>
      </c>
      <c r="C3101" s="38" t="n">
        <f aca="false">Q!$D$8</f>
        <v>637.959</v>
      </c>
      <c r="D3101" s="38" t="n">
        <f aca="false">Q!$E$8</f>
        <v>716.924</v>
      </c>
      <c r="E3101" s="38" t="n">
        <f aca="false">Q!$P$8</f>
        <v>382.125</v>
      </c>
      <c r="F3101" s="38" t="n">
        <f aca="false">Sens!$F$3028+Sens!$F$3100</f>
        <v>435.791566469589</v>
      </c>
      <c r="G3101" s="38" t="n">
        <f aca="false">Sens!$G$3028+Sens!$G$3100</f>
        <v>817.916566469589</v>
      </c>
      <c r="H3101" s="38" t="n">
        <f aca="false">Sens!$H$3028+Sens!$H$3100</f>
        <v>940.641806773857</v>
      </c>
      <c r="I3101" s="38" t="n">
        <f aca="false">Sens!$I$3028+Sens!$I$3100</f>
        <v>1065.36025287402</v>
      </c>
      <c r="J3101" s="38" t="n">
        <f aca="false">Sens!$J$3028+Sens!$J$3100</f>
        <v>1185.07589166401</v>
      </c>
      <c r="K3101" s="38" t="n">
        <f aca="false">Sens!$K$3028+Sens!$K$3100</f>
        <v>1290.4512512681</v>
      </c>
      <c r="L3101" s="38" t="n">
        <f aca="false">Sens!$L$3028+Sens!$L$3100</f>
        <v>1388.72324814896</v>
      </c>
      <c r="M3101" s="38" t="n">
        <f aca="false">Sens!$M$3028+Sens!$M$3100</f>
        <v>1480.24678275724</v>
      </c>
      <c r="N3101" s="38" t="n">
        <f aca="false">Q!$N$8</f>
        <v>323.369</v>
      </c>
      <c r="O3101" s="38" t="n">
        <f aca="false">Q!$O$8</f>
        <v>393.555</v>
      </c>
    </row>
    <row r="3102" customFormat="false" ht="17.15" hidden="false" customHeight="false" outlineLevel="0" collapsed="false">
      <c r="A3102" s="24" t="s">
        <v>714</v>
      </c>
      <c r="B3102" s="25" t="s">
        <v>86</v>
      </c>
      <c r="C3102" s="41" t="n">
        <f aca="false">Sens!$C$3028-(Sens!$C$3030+Sens!$C$3031)</f>
        <v>0</v>
      </c>
      <c r="D3102" s="41" t="n">
        <f aca="false">Sens!$D$3028-(Sens!$D$3030+Sens!$D$3031)</f>
        <v>0</v>
      </c>
      <c r="E3102" s="41" t="n">
        <f aca="false">Sens!$E$3028-(Sens!$E$3030+Sens!$E$3031)</f>
        <v>0</v>
      </c>
      <c r="F3102" s="41" t="n">
        <f aca="false">Sens!$F$3028-(Sens!$F$3030+Sens!$F$3031)</f>
        <v>0</v>
      </c>
      <c r="G3102" s="41" t="n">
        <f aca="false">Sens!$G$3028-(Sens!$G$3030+Sens!$G$3031)</f>
        <v>0</v>
      </c>
      <c r="H3102" s="41" t="n">
        <f aca="false">Sens!$H$3028-(Sens!$H$3030+Sens!$H$3031)</f>
        <v>0</v>
      </c>
      <c r="I3102" s="41" t="n">
        <f aca="false">Sens!$I$3028-(Sens!$I$3030+Sens!$I$3031)</f>
        <v>0</v>
      </c>
      <c r="J3102" s="41" t="n">
        <f aca="false">Sens!$J$3028-(Sens!$J$3030+Sens!$J$3031)</f>
        <v>0</v>
      </c>
      <c r="K3102" s="41" t="n">
        <f aca="false">Sens!$K$3028-(Sens!$K$3030+Sens!$K$3031)</f>
        <v>0</v>
      </c>
      <c r="L3102" s="41" t="n">
        <f aca="false">Sens!$L$3028-(Sens!$L$3030+Sens!$L$3031)</f>
        <v>0</v>
      </c>
      <c r="M3102" s="41" t="n">
        <f aca="false">Sens!$M$3028-(Sens!$M$3030+Sens!$M$3031)</f>
        <v>0</v>
      </c>
      <c r="N3102" s="41" t="n">
        <f aca="false">Sens!$N$3028-(Sens!$N$3030+Sens!$N$3031)</f>
        <v>0</v>
      </c>
      <c r="O3102" s="41" t="n">
        <f aca="false">Sens!$O$3028-(Sens!$O$3030+Sens!$O$3031)</f>
        <v>0</v>
      </c>
    </row>
    <row r="3103" customFormat="false" ht="17.15" hidden="false" customHeight="false" outlineLevel="0" collapsed="false">
      <c r="A3103" s="24" t="s">
        <v>715</v>
      </c>
      <c r="B3103" s="25" t="s">
        <v>86</v>
      </c>
      <c r="C3103" s="41" t="n">
        <f aca="false">Sens!$C$3098+Sens!$C$3099-Sens!$C$3100</f>
        <v>0</v>
      </c>
      <c r="D3103" s="41" t="n">
        <f aca="false">Sens!$D$3098+Sens!$D$3099-Sens!$D$3100</f>
        <v>0</v>
      </c>
      <c r="E3103" s="41" t="n">
        <f aca="false">Sens!$E$3098+Sens!$E$3099-Sens!$E$3100</f>
        <v>0</v>
      </c>
      <c r="F3103" s="41" t="n">
        <f aca="false">Sens!$F$3098+Sens!$F$3099-Sens!$F$3100</f>
        <v>0</v>
      </c>
      <c r="G3103" s="41" t="n">
        <f aca="false">Sens!$G$3098+Sens!$G$3099-Sens!$G$3100</f>
        <v>0</v>
      </c>
      <c r="H3103" s="41" t="n">
        <f aca="false">Sens!$H$3098+Sens!$H$3099-Sens!$H$3100</f>
        <v>0</v>
      </c>
      <c r="I3103" s="41" t="n">
        <f aca="false">Sens!$I$3098+Sens!$I$3099-Sens!$I$3100</f>
        <v>0</v>
      </c>
      <c r="J3103" s="41" t="n">
        <f aca="false">Sens!$J$3098+Sens!$J$3099-Sens!$J$3100</f>
        <v>0</v>
      </c>
      <c r="K3103" s="41" t="n">
        <f aca="false">Sens!$K$3098+Sens!$K$3099-Sens!$K$3100</f>
        <v>0</v>
      </c>
      <c r="L3103" s="41" t="n">
        <f aca="false">Sens!$L$3098+Sens!$L$3099-Sens!$L$3100</f>
        <v>0</v>
      </c>
      <c r="M3103" s="41" t="n">
        <f aca="false">Sens!$M$3098+Sens!$M$3099-Sens!$M$3100</f>
        <v>0</v>
      </c>
      <c r="N3103" s="41" t="n">
        <f aca="false">Sens!$N$3098+Sens!$N$3099-Sens!$N$3100</f>
        <v>0</v>
      </c>
      <c r="O3103" s="41" t="n">
        <f aca="false">Sens!$O$3098+Sens!$O$3099-Sens!$O$3100</f>
        <v>0</v>
      </c>
    </row>
    <row r="3104" customFormat="false" ht="17.15" hidden="false" customHeight="false" outlineLevel="0" collapsed="false">
      <c r="A3104" s="24" t="s">
        <v>716</v>
      </c>
      <c r="B3104" s="25" t="s">
        <v>86</v>
      </c>
      <c r="C3104" s="41" t="n">
        <f aca="false">Sens!$C$3030+Sens!$C$3031+Sens!$C$3100-Sens!$C$3101</f>
        <v>0</v>
      </c>
      <c r="D3104" s="41" t="n">
        <f aca="false">Sens!$D$3030+Sens!$D$3031+Sens!$D$3100-Sens!$D$3101</f>
        <v>0</v>
      </c>
      <c r="E3104" s="41" t="n">
        <f aca="false">Sens!$E$3030+Sens!$E$3031+Sens!$E$3100-Sens!$E$3101</f>
        <v>0</v>
      </c>
      <c r="F3104" s="41" t="n">
        <f aca="false">Sens!$F$3030+Sens!$F$3031+Sens!$F$3100-Sens!$F$3101</f>
        <v>0</v>
      </c>
      <c r="G3104" s="41" t="n">
        <f aca="false">Sens!$G$3030+Sens!$G$3031+Sens!$G$3100-Sens!$G$3101</f>
        <v>0</v>
      </c>
      <c r="H3104" s="41" t="n">
        <f aca="false">Sens!$H$3030+Sens!$H$3031+Sens!$H$3100-Sens!$H$3101</f>
        <v>0</v>
      </c>
      <c r="I3104" s="41" t="n">
        <f aca="false">Sens!$I$3030+Sens!$I$3031+Sens!$I$3100-Sens!$I$3101</f>
        <v>0</v>
      </c>
      <c r="J3104" s="41" t="n">
        <f aca="false">Sens!$J$3030+Sens!$J$3031+Sens!$J$3100-Sens!$J$3101</f>
        <v>0</v>
      </c>
      <c r="K3104" s="41" t="n">
        <f aca="false">Sens!$K$3030+Sens!$K$3031+Sens!$K$3100-Sens!$K$3101</f>
        <v>0</v>
      </c>
      <c r="L3104" s="41" t="n">
        <f aca="false">Sens!$L$3030+Sens!$L$3031+Sens!$L$3100-Sens!$L$3101</f>
        <v>0</v>
      </c>
      <c r="M3104" s="41" t="n">
        <f aca="false">Sens!$M$3030+Sens!$M$3031+Sens!$M$3100-Sens!$M$3101</f>
        <v>0</v>
      </c>
      <c r="N3104" s="41" t="n">
        <f aca="false">Sens!$N$3030+Sens!$N$3031+Sens!$N$3100-Sens!$N$3101</f>
        <v>0</v>
      </c>
      <c r="O3104" s="41" t="n">
        <f aca="false">Sens!$O$3030+Sens!$O$3031+Sens!$O$3100-Sens!$O$3101</f>
        <v>0</v>
      </c>
    </row>
    <row r="3105" customFormat="false" ht="15" hidden="false" customHeight="false" outlineLevel="0" collapsed="false">
      <c r="A3105" s="5" t="s">
        <v>710</v>
      </c>
      <c r="B3105" s="0" t="s">
        <v>52</v>
      </c>
      <c r="G3105" s="13" t="n">
        <f aca="false">Sens!$G$3101/Sens!$D$3101-1</f>
        <v>0.140869278291129</v>
      </c>
      <c r="H3105" s="13" t="n">
        <f aca="false">Sens!$H$3101/Sens!$G$3101-1</f>
        <v>0.150046160373047</v>
      </c>
      <c r="I3105" s="13" t="n">
        <f aca="false">Sens!$I$3101/Sens!$H$3101-1</f>
        <v>0.132588669993219</v>
      </c>
      <c r="J3105" s="13" t="n">
        <f aca="false">Sens!$J$3101/Sens!$I$3101-1</f>
        <v>0.112371039248962</v>
      </c>
      <c r="K3105" s="13" t="n">
        <f aca="false">Sens!$K$3101/Sens!$J$3101-1</f>
        <v>0.0889186594253668</v>
      </c>
      <c r="L3105" s="13" t="n">
        <f aca="false">Sens!$L$3101/Sens!$K$3101-1</f>
        <v>0.076153203605553</v>
      </c>
      <c r="M3105" s="13" t="n">
        <f aca="false">Sens!$M$3101/Sens!$L$3101-1</f>
        <v>0.0659048048128175</v>
      </c>
    </row>
    <row r="3106" customFormat="false" ht="17.15" hidden="false" customHeight="false" outlineLevel="0" collapsed="false">
      <c r="A3106" s="0" t="s">
        <v>711</v>
      </c>
      <c r="B3106" s="0" t="s">
        <v>52</v>
      </c>
      <c r="C3106" s="13" t="n">
        <f aca="false">Sens!$C$3100/Sens!$C$3101</f>
        <v>0.168593906504964</v>
      </c>
      <c r="D3106" s="13" t="n">
        <f aca="false">Sens!$D$3100/Sens!$D$3101</f>
        <v>0.179551807444025</v>
      </c>
      <c r="E3106" s="13" t="n">
        <f aca="false">Sens!$E$3100/Sens!$E$3101</f>
        <v>0.208881910369643</v>
      </c>
      <c r="F3106" s="13" t="n">
        <f aca="false">Sens!$F$3100/Sens!$F$3101</f>
        <v>0.199047736345088</v>
      </c>
      <c r="G3106" s="13" t="n">
        <f aca="false">Sens!$G$3100/Sens!$G$3101</f>
        <v>0.203642194879354</v>
      </c>
      <c r="H3106" s="13" t="n">
        <f aca="false">Sens!$H$3100/Sens!$H$3101</f>
        <v>0.23339906399169</v>
      </c>
      <c r="I3106" s="13" t="n">
        <f aca="false">Sens!$I$3100/Sens!$I$3101</f>
        <v>0.259847184062559</v>
      </c>
      <c r="J3106" s="13" t="n">
        <f aca="false">Sens!$J$3100/Sens!$J$3101</f>
        <v>0.281811053850427</v>
      </c>
      <c r="K3106" s="13" t="n">
        <f aca="false">Sens!$K$3100/Sens!$K$3101</f>
        <v>0.297783271905383</v>
      </c>
      <c r="L3106" s="13" t="n">
        <f aca="false">Sens!$L$3100/Sens!$L$3101</f>
        <v>0.305050082684241</v>
      </c>
      <c r="M3106" s="13" t="n">
        <f aca="false">Sens!$M$3100/Sens!$M$3101</f>
        <v>0.305421285205046</v>
      </c>
      <c r="N3106" s="13" t="n">
        <f aca="false">Sens!$N$3100/Sens!$N$3101</f>
        <v>0.185979484737251</v>
      </c>
      <c r="O3106" s="13" t="n">
        <f aca="false">Sens!$O$3100/Sens!$O$3101</f>
        <v>0.174270432341096</v>
      </c>
    </row>
    <row r="3107" customFormat="false" ht="17.15" hidden="false" customHeight="false" outlineLevel="0" collapsed="false">
      <c r="A3107" s="0" t="s">
        <v>712</v>
      </c>
      <c r="B3107" s="0" t="s">
        <v>52</v>
      </c>
      <c r="C3107" s="13" t="n">
        <f aca="false">Sens!$C$3098/Sens!$C$3100</f>
        <v>0.0268196603129103</v>
      </c>
      <c r="D3107" s="13" t="n">
        <f aca="false">Sens!$D$3098/Sens!$D$3100</f>
        <v>0.0840342411521281</v>
      </c>
      <c r="E3107" s="13" t="n">
        <f aca="false">Sens!$E$3098/Sens!$E$3100</f>
        <v>0.132511345380462</v>
      </c>
      <c r="F3107" s="13" t="n">
        <f aca="false">Sens!$F$3098/Sens!$F$3100</f>
        <v>0.200658019505325</v>
      </c>
      <c r="G3107" s="13" t="n">
        <f aca="false">Sens!$G$3098/Sens!$G$3100</f>
        <v>0.168001178363618</v>
      </c>
      <c r="H3107" s="13" t="n">
        <f aca="false">Sens!$H$3098/Sens!$H$3100</f>
        <v>0.296297048473821</v>
      </c>
      <c r="I3107" s="13" t="n">
        <f aca="false">Sens!$I$3098/Sens!$I$3100</f>
        <v>0.384308016506583</v>
      </c>
      <c r="J3107" s="13" t="n">
        <f aca="false">Sens!$J$3098/Sens!$J$3100</f>
        <v>0.442887507393858</v>
      </c>
      <c r="K3107" s="13" t="n">
        <f aca="false">Sens!$K$3098/Sens!$K$3100</f>
        <v>0.477087601395805</v>
      </c>
      <c r="L3107" s="13" t="n">
        <f aca="false">Sens!$L$3098/Sens!$L$3100</f>
        <v>0.487719597160448</v>
      </c>
      <c r="M3107" s="13" t="n">
        <f aca="false">Sens!$M$3098/Sens!$M$3100</f>
        <v>0.481576207637673</v>
      </c>
      <c r="N3107" s="13" t="n">
        <f aca="false">Sens!$N$3098/Sens!$N$3100</f>
        <v>0.0629540687114681</v>
      </c>
      <c r="O3107" s="13" t="n">
        <f aca="false">Sens!$O$3098/Sens!$O$3100</f>
        <v>0.10251877232631</v>
      </c>
    </row>
    <row r="3110" customFormat="false" ht="19.4" hidden="false" customHeight="false" outlineLevel="0" collapsed="false">
      <c r="A3110" s="31" t="s">
        <v>1214</v>
      </c>
    </row>
    <row r="3111" customFormat="false" ht="17.15" hidden="false" customHeight="false" outlineLevel="0" collapsed="false">
      <c r="A3111" s="6" t="s">
        <v>16</v>
      </c>
      <c r="B3111" s="6" t="s">
        <v>17</v>
      </c>
      <c r="C3111" s="20" t="s">
        <v>504</v>
      </c>
      <c r="D3111" s="20" t="s">
        <v>505</v>
      </c>
      <c r="E3111" s="20" t="s">
        <v>587</v>
      </c>
      <c r="F3111" s="20" t="s">
        <v>588</v>
      </c>
      <c r="G3111" s="20" t="s">
        <v>589</v>
      </c>
      <c r="H3111" s="20" t="s">
        <v>590</v>
      </c>
      <c r="I3111" s="20" t="s">
        <v>591</v>
      </c>
      <c r="J3111" s="20" t="s">
        <v>592</v>
      </c>
      <c r="K3111" s="20" t="s">
        <v>593</v>
      </c>
      <c r="L3111" s="20" t="s">
        <v>594</v>
      </c>
      <c r="M3111" s="20" t="s">
        <v>595</v>
      </c>
      <c r="N3111" s="20" t="s">
        <v>596</v>
      </c>
      <c r="O3111" s="20" t="s">
        <v>597</v>
      </c>
      <c r="P3111" s="6" t="s">
        <v>23</v>
      </c>
      <c r="R3111" s="20" t="n">
        <v>2023</v>
      </c>
      <c r="S3111" s="20" t="n">
        <v>2024</v>
      </c>
      <c r="T3111" s="20" t="n">
        <v>2025</v>
      </c>
      <c r="U3111" s="20" t="n">
        <v>2026</v>
      </c>
      <c r="V3111" s="20" t="n">
        <v>2027</v>
      </c>
      <c r="W3111" s="20" t="n">
        <v>2028</v>
      </c>
      <c r="X3111" s="20" t="n">
        <v>2029</v>
      </c>
      <c r="Y3111" s="20" t="n">
        <v>2030</v>
      </c>
      <c r="Z3111" s="20" t="n">
        <v>2031</v>
      </c>
      <c r="AA3111" s="20" t="n">
        <v>2032</v>
      </c>
    </row>
    <row r="3112" customFormat="false" ht="17.15" hidden="false" customHeight="false" outlineLevel="0" collapsed="false">
      <c r="A3112" s="1" t="s">
        <v>727</v>
      </c>
    </row>
    <row r="3113" customFormat="false" ht="15" hidden="false" customHeight="false" outlineLevel="0" collapsed="false">
      <c r="A3113" s="0" t="s">
        <v>526</v>
      </c>
      <c r="B3113" s="0" t="s">
        <v>86</v>
      </c>
      <c r="C3113" s="38" t="n">
        <f aca="false">Sens!$C$3015</f>
        <v>247.029</v>
      </c>
      <c r="D3113" s="38" t="n">
        <f aca="false">Sens!$D$3015</f>
        <v>269.287</v>
      </c>
      <c r="E3113" s="38" t="n">
        <f aca="false">Sens!$E$3015</f>
        <v>134.686</v>
      </c>
      <c r="F3113" s="38" t="n">
        <f aca="false">Sens!$F$3015</f>
        <v>158.293876822267</v>
      </c>
      <c r="G3113" s="38" t="n">
        <f aca="false">Sens!$G$3015</f>
        <v>292.979876822267</v>
      </c>
      <c r="H3113" s="38" t="n">
        <f aca="false">Sens!$H$3015</f>
        <v>318.184543087396</v>
      </c>
      <c r="I3113" s="38" t="n">
        <f aca="false">Sens!$I$3015</f>
        <v>341.736278761793</v>
      </c>
      <c r="J3113" s="38" t="n">
        <f aca="false">Sens!$J$3015</f>
        <v>362.927192787048</v>
      </c>
      <c r="K3113" s="38" t="n">
        <f aca="false">Sens!$K$3015</f>
        <v>381.0735524264</v>
      </c>
      <c r="L3113" s="38" t="n">
        <f aca="false">Sens!$L$3015</f>
        <v>400.12723004772</v>
      </c>
      <c r="M3113" s="38" t="n">
        <f aca="false">Sens!$M$3015</f>
        <v>420.133591550106</v>
      </c>
      <c r="N3113" s="38" t="n">
        <f aca="false">Sens!$N$3015</f>
        <v>118.892</v>
      </c>
      <c r="O3113" s="38" t="n">
        <f aca="false">Sens!$O$3015</f>
        <v>150.395</v>
      </c>
    </row>
    <row r="3114" customFormat="false" ht="15" hidden="false" customHeight="false" outlineLevel="0" collapsed="false">
      <c r="A3114" s="0" t="s">
        <v>527</v>
      </c>
      <c r="B3114" s="0" t="s">
        <v>86</v>
      </c>
      <c r="C3114" s="38" t="n">
        <f aca="false">Sens!$C$3017</f>
        <v>21.215</v>
      </c>
      <c r="D3114" s="38" t="n">
        <f aca="false">Sens!$D$3017</f>
        <v>22.561</v>
      </c>
      <c r="E3114" s="38" t="n">
        <f aca="false">Sens!$E$3017</f>
        <v>11.579</v>
      </c>
      <c r="F3114" s="38" t="n">
        <f aca="false">Sens!$F$3017</f>
        <v>11.5938724610325</v>
      </c>
      <c r="G3114" s="38" t="n">
        <f aca="false">Sens!$G$3017</f>
        <v>23.1728724610325</v>
      </c>
      <c r="H3114" s="38" t="n">
        <f aca="false">Sens!$H$3017</f>
        <v>24.353392759506</v>
      </c>
      <c r="I3114" s="38" t="n">
        <f aca="false">Sens!$I$3017</f>
        <v>25.4240338872015</v>
      </c>
      <c r="J3114" s="38" t="n">
        <f aca="false">Sens!$J$3017</f>
        <v>26.3642491017174</v>
      </c>
      <c r="K3114" s="38" t="n">
        <f aca="false">Sens!$K$3017</f>
        <v>27.155176574769</v>
      </c>
      <c r="L3114" s="38" t="n">
        <f aca="false">Sens!$L$3017</f>
        <v>27.969831872012</v>
      </c>
      <c r="M3114" s="38" t="n">
        <f aca="false">Sens!$M$3017</f>
        <v>28.8089268281724</v>
      </c>
      <c r="N3114" s="38" t="n">
        <f aca="false">Sens!$N$3017</f>
        <v>11.128</v>
      </c>
      <c r="O3114" s="38" t="n">
        <f aca="false">Sens!$O$3017</f>
        <v>11.433</v>
      </c>
    </row>
    <row r="3115" customFormat="false" ht="15" hidden="false" customHeight="false" outlineLevel="0" collapsed="false">
      <c r="A3115" s="0" t="s">
        <v>528</v>
      </c>
      <c r="B3115" s="0" t="s">
        <v>86</v>
      </c>
      <c r="C3115" s="38" t="n">
        <f aca="false">Sens!$C$3019</f>
        <v>156.146</v>
      </c>
      <c r="D3115" s="38" t="n">
        <f aca="false">Sens!$D$3019</f>
        <v>172.162</v>
      </c>
      <c r="E3115" s="38" t="n">
        <f aca="false">Sens!$E$3019</f>
        <v>88.358</v>
      </c>
      <c r="F3115" s="38" t="n">
        <f aca="false">Sens!$F$3019</f>
        <v>102.004388260171</v>
      </c>
      <c r="G3115" s="38" t="n">
        <f aca="false">Sens!$G$3019</f>
        <v>190.362388260171</v>
      </c>
      <c r="H3115" s="38" t="n">
        <f aca="false">Sens!$H$3019</f>
        <v>210.343106588311</v>
      </c>
      <c r="I3115" s="38" t="n">
        <f aca="false">Sens!$I$3019</f>
        <v>229.969728494648</v>
      </c>
      <c r="J3115" s="38" t="n">
        <f aca="false">Sens!$J$3019</f>
        <v>248.747636972598</v>
      </c>
      <c r="K3115" s="38" t="n">
        <f aca="false">Sens!$K$3019</f>
        <v>266.15997156068</v>
      </c>
      <c r="L3115" s="38" t="n">
        <f aca="false">Sens!$L$3019</f>
        <v>284.791169569927</v>
      </c>
      <c r="M3115" s="38" t="n">
        <f aca="false">Sens!$M$3019</f>
        <v>304.726551439822</v>
      </c>
      <c r="N3115" s="38" t="n">
        <f aca="false">Sens!$N$3019</f>
        <v>76.86</v>
      </c>
      <c r="O3115" s="38" t="n">
        <f aca="false">Sens!$O$3019</f>
        <v>95.302</v>
      </c>
    </row>
    <row r="3116" customFormat="false" ht="15" hidden="false" customHeight="false" outlineLevel="0" collapsed="false">
      <c r="A3116" s="0" t="s">
        <v>529</v>
      </c>
      <c r="B3116" s="0" t="s">
        <v>86</v>
      </c>
      <c r="C3116" s="38" t="n">
        <f aca="false">Sens!$C$3021</f>
        <v>56.214</v>
      </c>
      <c r="D3116" s="38" t="n">
        <f aca="false">Sens!$D$3021</f>
        <v>68.635</v>
      </c>
      <c r="E3116" s="38" t="n">
        <f aca="false">Sens!$E$3021</f>
        <v>37.052</v>
      </c>
      <c r="F3116" s="38" t="n">
        <f aca="false">Sens!$F$3021</f>
        <v>46.1572219944148</v>
      </c>
      <c r="G3116" s="38" t="n">
        <f aca="false">Sens!$G$3021</f>
        <v>83.2092219944148</v>
      </c>
      <c r="H3116" s="38" t="n">
        <f aca="false">Sens!$H$3021</f>
        <v>99.8969223878976</v>
      </c>
      <c r="I3116" s="38" t="n">
        <f aca="false">Sens!$I$3021</f>
        <v>116.583111095496</v>
      </c>
      <c r="J3116" s="38" t="n">
        <f aca="false">Sens!$J$3021</f>
        <v>132.148941941952</v>
      </c>
      <c r="K3116" s="38" t="n">
        <f aca="false">Sens!$K$3021</f>
        <v>145.363836136147</v>
      </c>
      <c r="L3116" s="38" t="n">
        <f aca="false">Sens!$L$3021</f>
        <v>159.900219749762</v>
      </c>
      <c r="M3116" s="38" t="n">
        <f aca="false">Sens!$M$3021</f>
        <v>175.890241724738</v>
      </c>
      <c r="N3116" s="38" t="n">
        <f aca="false">Sens!$N$3021</f>
        <v>29.615</v>
      </c>
      <c r="O3116" s="38" t="n">
        <f aca="false">Sens!$O$3021</f>
        <v>39.02</v>
      </c>
    </row>
    <row r="3117" customFormat="false" ht="15" hidden="false" customHeight="false" outlineLevel="0" collapsed="false">
      <c r="A3117" s="0" t="s">
        <v>530</v>
      </c>
      <c r="B3117" s="0" t="s">
        <v>86</v>
      </c>
      <c r="C3117" s="38" t="n">
        <f aca="false">Sens!$C$3023</f>
        <v>44.374</v>
      </c>
      <c r="D3117" s="38" t="n">
        <f aca="false">Sens!$D$3023</f>
        <v>49.619</v>
      </c>
      <c r="E3117" s="38" t="n">
        <f aca="false">Sens!$E$3023</f>
        <v>27.157</v>
      </c>
      <c r="F3117" s="38" t="n">
        <f aca="false">Sens!$F$3023</f>
        <v>27.7764165988154</v>
      </c>
      <c r="G3117" s="38" t="n">
        <f aca="false">Sens!$G$3023</f>
        <v>54.9334165988154</v>
      </c>
      <c r="H3117" s="38" t="n">
        <f aca="false">Sens!$H$3023</f>
        <v>61.1564112561829</v>
      </c>
      <c r="I3117" s="38" t="n">
        <f aca="false">Sens!$I$3023</f>
        <v>67.2020282103945</v>
      </c>
      <c r="J3117" s="38" t="n">
        <f aca="false">Sens!$J$3023</f>
        <v>72.8757274028885</v>
      </c>
      <c r="K3117" s="38" t="n">
        <f aca="false">Sens!$K$3023</f>
        <v>77.9770283210907</v>
      </c>
      <c r="L3117" s="38" t="n">
        <f aca="false">Sens!$L$3023</f>
        <v>83.4354203035671</v>
      </c>
      <c r="M3117" s="38" t="n">
        <f aca="false">Sens!$M$3023</f>
        <v>89.2758997248168</v>
      </c>
      <c r="N3117" s="38" t="n">
        <f aca="false">Sens!$N$3023</f>
        <v>23.923</v>
      </c>
      <c r="O3117" s="38" t="n">
        <f aca="false">Sens!$O$3023</f>
        <v>25.696</v>
      </c>
    </row>
    <row r="3118" customFormat="false" ht="15" hidden="false" customHeight="false" outlineLevel="0" collapsed="false">
      <c r="A3118" s="0" t="s">
        <v>531</v>
      </c>
      <c r="B3118" s="0" t="s">
        <v>86</v>
      </c>
      <c r="C3118" s="38" t="n">
        <f aca="false">Sens!$C$3025</f>
        <v>5.425</v>
      </c>
      <c r="D3118" s="38" t="n">
        <f aca="false">Sens!$D$3025</f>
        <v>5.935</v>
      </c>
      <c r="E3118" s="38" t="n">
        <f aca="false">Sens!$E$3025</f>
        <v>3.474</v>
      </c>
      <c r="F3118" s="38" t="n">
        <f aca="false">Sens!$F$3025</f>
        <v>3.22246550883619</v>
      </c>
      <c r="G3118" s="38" t="n">
        <f aca="false">Sens!$G$3025</f>
        <v>6.69646550883619</v>
      </c>
      <c r="H3118" s="38" t="n">
        <f aca="false">Sens!$H$3025</f>
        <v>7.16251344209196</v>
      </c>
      <c r="I3118" s="38" t="n">
        <f aca="false">Sens!$I$3025</f>
        <v>7.61421070299826</v>
      </c>
      <c r="J3118" s="38" t="n">
        <f aca="false">Sens!$J$3025</f>
        <v>8.04465753523932</v>
      </c>
      <c r="K3118" s="38" t="n">
        <f aca="false">Sens!$K$3025</f>
        <v>8.44689041200128</v>
      </c>
      <c r="L3118" s="38" t="n">
        <f aca="false">Sens!$L$3025</f>
        <v>8.86923493260135</v>
      </c>
      <c r="M3118" s="38" t="n">
        <f aca="false">Sens!$M$3025</f>
        <v>9.31269667923142</v>
      </c>
      <c r="N3118" s="38" t="n">
        <f aca="false">Sens!$N$3025</f>
        <v>2.811</v>
      </c>
      <c r="O3118" s="38" t="n">
        <f aca="false">Sens!$O$3025</f>
        <v>3.124</v>
      </c>
    </row>
    <row r="3119" customFormat="false" ht="17.15" hidden="false" customHeight="false" outlineLevel="0" collapsed="false">
      <c r="A3119" s="0" t="s">
        <v>728</v>
      </c>
      <c r="B3119" s="0" t="s">
        <v>86</v>
      </c>
      <c r="C3119" s="38" t="n">
        <f aca="false">Sens!$C$3100</f>
        <v>107.556</v>
      </c>
      <c r="D3119" s="38" t="n">
        <f aca="false">Sens!$D$3100</f>
        <v>128.725</v>
      </c>
      <c r="E3119" s="38" t="n">
        <f aca="false">Sens!$E$3100</f>
        <v>79.819</v>
      </c>
      <c r="F3119" s="38" t="n">
        <f aca="false">Sens!$F$3100</f>
        <v>86.7433248240518</v>
      </c>
      <c r="G3119" s="38" t="n">
        <f aca="false">Sens!$G$3100</f>
        <v>166.562324824052</v>
      </c>
      <c r="H3119" s="38" t="n">
        <f aca="false">Sens!$H$3100</f>
        <v>219.544917252471</v>
      </c>
      <c r="I3119" s="38" t="n">
        <f aca="false">Sens!$I$3100</f>
        <v>276.83086172149</v>
      </c>
      <c r="J3119" s="38" t="n">
        <f aca="false">Sens!$J$3100</f>
        <v>333.967485922569</v>
      </c>
      <c r="K3119" s="38" t="n">
        <f aca="false">Sens!$K$3100</f>
        <v>384.274795837009</v>
      </c>
      <c r="L3119" s="38" t="n">
        <f aca="false">Sens!$L$3100</f>
        <v>423.630141673367</v>
      </c>
      <c r="M3119" s="38" t="n">
        <f aca="false">Sens!$M$3100</f>
        <v>452.098874810349</v>
      </c>
      <c r="N3119" s="38" t="n">
        <f aca="false">Sens!$N$3100</f>
        <v>60.14</v>
      </c>
      <c r="O3119" s="38" t="n">
        <f aca="false">Sens!$O$3100</f>
        <v>68.585</v>
      </c>
    </row>
    <row r="3120" customFormat="false" ht="15" hidden="false" customHeight="false" outlineLevel="0" collapsed="false">
      <c r="A3120" s="1" t="s">
        <v>519</v>
      </c>
      <c r="B3120" s="8" t="s">
        <v>86</v>
      </c>
      <c r="C3120" s="38" t="n">
        <f aca="false">Sens!$C$3030</f>
        <v>387.497</v>
      </c>
      <c r="D3120" s="38" t="n">
        <f aca="false">Sens!$D$3030</f>
        <v>426.305</v>
      </c>
      <c r="E3120" s="38" t="n">
        <f aca="false">Sens!$E$3030</f>
        <v>220.32</v>
      </c>
      <c r="F3120" s="38" t="n">
        <f aca="false">Sens!$F$3030</f>
        <v>250.639773480586</v>
      </c>
      <c r="G3120" s="38" t="n">
        <f aca="false">Sens!$G$3030</f>
        <v>470.959773480586</v>
      </c>
      <c r="H3120" s="38" t="n">
        <f aca="false">Sens!$H$3030</f>
        <v>521.386990416437</v>
      </c>
      <c r="I3120" s="38" t="n">
        <f aca="false">Sens!$I$3030</f>
        <v>570.143862887555</v>
      </c>
      <c r="J3120" s="38" t="n">
        <f aca="false">Sens!$J$3030</f>
        <v>615.391435791933</v>
      </c>
      <c r="K3120" s="38" t="n">
        <f aca="false">Sens!$K$3030</f>
        <v>655.208227561543</v>
      </c>
      <c r="L3120" s="38" t="n">
        <f aca="false">Sens!$L$3030</f>
        <v>697.807739249767</v>
      </c>
      <c r="M3120" s="38" t="n">
        <f aca="false">Sens!$M$3030</f>
        <v>743.399328463592</v>
      </c>
      <c r="N3120" s="38" t="n">
        <f aca="false">Sens!$N$3030</f>
        <v>192.955</v>
      </c>
      <c r="O3120" s="38" t="n">
        <f aca="false">Sens!$O$3030</f>
        <v>233.35</v>
      </c>
    </row>
    <row r="3121" customFormat="false" ht="15" hidden="false" customHeight="false" outlineLevel="0" collapsed="false">
      <c r="A3121" s="1" t="s">
        <v>522</v>
      </c>
      <c r="B3121" s="8" t="s">
        <v>86</v>
      </c>
      <c r="C3121" s="38" t="n">
        <f aca="false">Sens!$C$3031</f>
        <v>142.906</v>
      </c>
      <c r="D3121" s="38" t="n">
        <f aca="false">Sens!$D$3031</f>
        <v>161.894</v>
      </c>
      <c r="E3121" s="38" t="n">
        <f aca="false">Sens!$E$3031</f>
        <v>81.986</v>
      </c>
      <c r="F3121" s="38" t="n">
        <f aca="false">Sens!$F$3031</f>
        <v>98.408468164951</v>
      </c>
      <c r="G3121" s="38" t="n">
        <f aca="false">Sens!$G$3031</f>
        <v>180.394468164951</v>
      </c>
      <c r="H3121" s="38" t="n">
        <f aca="false">Sens!$H$3031</f>
        <v>199.709899104949</v>
      </c>
      <c r="I3121" s="38" t="n">
        <f aca="false">Sens!$I$3031</f>
        <v>218.385528264976</v>
      </c>
      <c r="J3121" s="38" t="n">
        <f aca="false">Sens!$J$3031</f>
        <v>235.71696994951</v>
      </c>
      <c r="K3121" s="38" t="n">
        <f aca="false">Sens!$K$3031</f>
        <v>250.968227869545</v>
      </c>
      <c r="L3121" s="38" t="n">
        <f aca="false">Sens!$L$3031</f>
        <v>267.285367225822</v>
      </c>
      <c r="M3121" s="38" t="n">
        <f aca="false">Sens!$M$3031</f>
        <v>284.748579483295</v>
      </c>
      <c r="N3121" s="38" t="n">
        <f aca="false">Sens!$N$3031</f>
        <v>70.274</v>
      </c>
      <c r="O3121" s="38" t="n">
        <f aca="false">Sens!$O$3031</f>
        <v>91.62</v>
      </c>
    </row>
    <row r="3122" customFormat="false" ht="15" hidden="false" customHeight="false" outlineLevel="0" collapsed="false">
      <c r="A3122" s="1" t="s">
        <v>523</v>
      </c>
      <c r="B3122" s="8" t="s">
        <v>86</v>
      </c>
      <c r="C3122" s="38" t="n">
        <f aca="false">Sens!$C$3100</f>
        <v>107.556</v>
      </c>
      <c r="D3122" s="38" t="n">
        <f aca="false">Sens!$D$3100</f>
        <v>128.725</v>
      </c>
      <c r="E3122" s="38" t="n">
        <f aca="false">Sens!$E$3100</f>
        <v>79.819</v>
      </c>
      <c r="F3122" s="38" t="n">
        <f aca="false">Sens!$F$3100</f>
        <v>86.7433248240518</v>
      </c>
      <c r="G3122" s="38" t="n">
        <f aca="false">Sens!$G$3100</f>
        <v>166.562324824052</v>
      </c>
      <c r="H3122" s="38" t="n">
        <f aca="false">Sens!$H$3100</f>
        <v>219.544917252471</v>
      </c>
      <c r="I3122" s="38" t="n">
        <f aca="false">Sens!$I$3100</f>
        <v>276.83086172149</v>
      </c>
      <c r="J3122" s="38" t="n">
        <f aca="false">Sens!$J$3100</f>
        <v>333.967485922569</v>
      </c>
      <c r="K3122" s="38" t="n">
        <f aca="false">Sens!$K$3100</f>
        <v>384.274795837009</v>
      </c>
      <c r="L3122" s="38" t="n">
        <f aca="false">Sens!$L$3100</f>
        <v>423.630141673367</v>
      </c>
      <c r="M3122" s="38" t="n">
        <f aca="false">Sens!$M$3100</f>
        <v>452.098874810349</v>
      </c>
      <c r="N3122" s="38" t="n">
        <f aca="false">Sens!$N$3100</f>
        <v>60.14</v>
      </c>
      <c r="O3122" s="38" t="n">
        <f aca="false">Sens!$O$3100</f>
        <v>68.585</v>
      </c>
    </row>
    <row r="3123" customFormat="false" ht="17.15" hidden="false" customHeight="false" outlineLevel="0" collapsed="false">
      <c r="A3123" s="0" t="s">
        <v>702</v>
      </c>
      <c r="B3123" s="0" t="s">
        <v>86</v>
      </c>
      <c r="C3123" s="38" t="n">
        <f aca="false">Sens!$C$3098</f>
        <v>2.88461538461538</v>
      </c>
      <c r="D3123" s="38" t="n">
        <f aca="false">Sens!$D$3098</f>
        <v>10.8173076923077</v>
      </c>
      <c r="E3123" s="38" t="n">
        <f aca="false">Sens!$E$3098</f>
        <v>10.5769230769231</v>
      </c>
      <c r="F3123" s="38" t="n">
        <f aca="false">Sens!$F$3098</f>
        <v>17.4057437645013</v>
      </c>
      <c r="G3123" s="38" t="n">
        <f aca="false">Sens!$G$3098</f>
        <v>27.9826668414244</v>
      </c>
      <c r="H3123" s="38" t="n">
        <f aca="false">Sens!$H$3098</f>
        <v>65.0505109893364</v>
      </c>
      <c r="I3123" s="38" t="n">
        <f aca="false">Sens!$I$3098</f>
        <v>106.388319375994</v>
      </c>
      <c r="J3123" s="38" t="n">
        <f aca="false">Sens!$J$3098</f>
        <v>147.91002739084</v>
      </c>
      <c r="K3123" s="38" t="n">
        <f aca="false">Sens!$K$3098</f>
        <v>183.332740622741</v>
      </c>
      <c r="L3123" s="38" t="n">
        <f aca="false">Sens!$L$3098</f>
        <v>206.612722041958</v>
      </c>
      <c r="M3123" s="38" t="n">
        <f aca="false">Sens!$M$3098</f>
        <v>217.720061608427</v>
      </c>
      <c r="N3123" s="38" t="n">
        <f aca="false">Sens!$N$3098</f>
        <v>3.78605769230769</v>
      </c>
      <c r="O3123" s="38" t="n">
        <f aca="false">Sens!$O$3098</f>
        <v>7.03125</v>
      </c>
    </row>
    <row r="3124" customFormat="false" ht="17.15" hidden="false" customHeight="false" outlineLevel="0" collapsed="false">
      <c r="A3124" s="0" t="s">
        <v>704</v>
      </c>
      <c r="B3124" s="0" t="s">
        <v>86</v>
      </c>
      <c r="C3124" s="38" t="n">
        <f aca="false">Sens!$C$3099</f>
        <v>104.671384615385</v>
      </c>
      <c r="D3124" s="38" t="n">
        <f aca="false">Sens!$D$3099</f>
        <v>117.907692307692</v>
      </c>
      <c r="E3124" s="38" t="n">
        <f aca="false">Sens!$E$3099</f>
        <v>69.2420769230769</v>
      </c>
      <c r="F3124" s="38" t="n">
        <f aca="false">Sens!$F$3099</f>
        <v>69.3375810595505</v>
      </c>
      <c r="G3124" s="38" t="n">
        <f aca="false">Sens!$G$3099</f>
        <v>138.579657982627</v>
      </c>
      <c r="H3124" s="38" t="n">
        <f aca="false">Sens!$H$3099</f>
        <v>154.494406263134</v>
      </c>
      <c r="I3124" s="38" t="n">
        <f aca="false">Sens!$I$3099</f>
        <v>170.442542345496</v>
      </c>
      <c r="J3124" s="38" t="n">
        <f aca="false">Sens!$J$3099</f>
        <v>186.057458531729</v>
      </c>
      <c r="K3124" s="38" t="n">
        <f aca="false">Sens!$K$3099</f>
        <v>200.942055214268</v>
      </c>
      <c r="L3124" s="38" t="n">
        <f aca="false">Sens!$L$3099</f>
        <v>217.017419631409</v>
      </c>
      <c r="M3124" s="38" t="n">
        <f aca="false">Sens!$M$3099</f>
        <v>234.378813201922</v>
      </c>
      <c r="N3124" s="38" t="n">
        <f aca="false">Sens!$N$3099</f>
        <v>56.3539423076923</v>
      </c>
      <c r="O3124" s="38" t="n">
        <f aca="false">Sens!$O$3099</f>
        <v>61.55375</v>
      </c>
    </row>
    <row r="3125" customFormat="false" ht="15" hidden="false" customHeight="false" outlineLevel="0" collapsed="false">
      <c r="A3125" s="3" t="s">
        <v>524</v>
      </c>
      <c r="B3125" s="8" t="s">
        <v>86</v>
      </c>
      <c r="C3125" s="38" t="n">
        <f aca="false">Sens!$C$3101</f>
        <v>637.959</v>
      </c>
      <c r="D3125" s="38" t="n">
        <f aca="false">Sens!$D$3101</f>
        <v>716.924</v>
      </c>
      <c r="E3125" s="38" t="n">
        <f aca="false">Sens!$E$3101</f>
        <v>382.125</v>
      </c>
      <c r="F3125" s="38" t="n">
        <f aca="false">Sens!$F$3101</f>
        <v>435.791566469589</v>
      </c>
      <c r="G3125" s="38" t="n">
        <f aca="false">Sens!$G$3101</f>
        <v>817.916566469589</v>
      </c>
      <c r="H3125" s="38" t="n">
        <f aca="false">Sens!$H$3101</f>
        <v>940.641806773857</v>
      </c>
      <c r="I3125" s="38" t="n">
        <f aca="false">Sens!$I$3101</f>
        <v>1065.36025287402</v>
      </c>
      <c r="J3125" s="38" t="n">
        <f aca="false">Sens!$J$3101</f>
        <v>1185.07589166401</v>
      </c>
      <c r="K3125" s="38" t="n">
        <f aca="false">Sens!$K$3101</f>
        <v>1290.4512512681</v>
      </c>
      <c r="L3125" s="38" t="n">
        <f aca="false">Sens!$L$3101</f>
        <v>1388.72324814896</v>
      </c>
      <c r="M3125" s="38" t="n">
        <f aca="false">Sens!$M$3101</f>
        <v>1480.24678275724</v>
      </c>
      <c r="N3125" s="38" t="n">
        <f aca="false">Sens!$N$3101</f>
        <v>323.369</v>
      </c>
      <c r="O3125" s="38" t="n">
        <f aca="false">Sens!$O$3101</f>
        <v>393.555</v>
      </c>
    </row>
    <row r="3126" customFormat="false" ht="17.15" hidden="false" customHeight="false" outlineLevel="0" collapsed="false">
      <c r="A3126" s="24" t="s">
        <v>714</v>
      </c>
      <c r="B3126" s="25" t="s">
        <v>86</v>
      </c>
      <c r="C3126" s="41" t="n">
        <f aca="false">Sens!$C$3113+Sens!$C$3114+Sens!$C$3115+Sens!$C$3116+Sens!$C$3117+Sens!$C$3118-(Sens!$C$3120+Sens!$C$3121)</f>
        <v>0</v>
      </c>
      <c r="D3126" s="41" t="n">
        <f aca="false">Sens!$D$3113+Sens!$D$3114+Sens!$D$3115+Sens!$D$3116+Sens!$D$3117+Sens!$D$3118-(Sens!$D$3120+Sens!$D$3121)</f>
        <v>0</v>
      </c>
      <c r="E3126" s="41" t="n">
        <f aca="false">Sens!$E$3113+Sens!$E$3114+Sens!$E$3115+Sens!$E$3116+Sens!$E$3117+Sens!$E$3118-(Sens!$E$3120+Sens!$E$3121)</f>
        <v>0</v>
      </c>
      <c r="F3126" s="41" t="n">
        <f aca="false">Sens!$F$3113+Sens!$F$3114+Sens!$F$3115+Sens!$F$3116+Sens!$F$3117+Sens!$F$3118-(Sens!$F$3120+Sens!$F$3121)</f>
        <v>0</v>
      </c>
      <c r="G3126" s="41" t="n">
        <f aca="false">Sens!$G$3113+Sens!$G$3114+Sens!$G$3115+Sens!$G$3116+Sens!$G$3117+Sens!$G$3118-(Sens!$G$3120+Sens!$G$3121)</f>
        <v>0</v>
      </c>
      <c r="H3126" s="41" t="n">
        <f aca="false">Sens!$H$3113+Sens!$H$3114+Sens!$H$3115+Sens!$H$3116+Sens!$H$3117+Sens!$H$3118-(Sens!$H$3120+Sens!$H$3121)</f>
        <v>0</v>
      </c>
      <c r="I3126" s="41" t="n">
        <f aca="false">Sens!$I$3113+Sens!$I$3114+Sens!$I$3115+Sens!$I$3116+Sens!$I$3117+Sens!$I$3118-(Sens!$I$3120+Sens!$I$3121)</f>
        <v>0</v>
      </c>
      <c r="J3126" s="41" t="n">
        <f aca="false">Sens!$J$3113+Sens!$J$3114+Sens!$J$3115+Sens!$J$3116+Sens!$J$3117+Sens!$J$3118-(Sens!$J$3120+Sens!$J$3121)</f>
        <v>0</v>
      </c>
      <c r="K3126" s="41" t="n">
        <f aca="false">Sens!$K$3113+Sens!$K$3114+Sens!$K$3115+Sens!$K$3116+Sens!$K$3117+Sens!$K$3118-(Sens!$K$3120+Sens!$K$3121)</f>
        <v>0</v>
      </c>
      <c r="L3126" s="41" t="n">
        <f aca="false">Sens!$L$3113+Sens!$L$3114+Sens!$L$3115+Sens!$L$3116+Sens!$L$3117+Sens!$L$3118-(Sens!$L$3120+Sens!$L$3121)</f>
        <v>0</v>
      </c>
      <c r="M3126" s="41" t="n">
        <f aca="false">Sens!$M$3113+Sens!$M$3114+Sens!$M$3115+Sens!$M$3116+Sens!$M$3117+Sens!$M$3118-(Sens!$M$3120+Sens!$M$3121)</f>
        <v>0</v>
      </c>
      <c r="N3126" s="41" t="n">
        <f aca="false">Sens!$N$3113+Sens!$N$3114+Sens!$N$3115+Sens!$N$3116+Sens!$N$3117+Sens!$N$3118-(Sens!$N$3120+Sens!$N$3121)</f>
        <v>0</v>
      </c>
      <c r="O3126" s="41" t="n">
        <f aca="false">Sens!$O$3113+Sens!$O$3114+Sens!$O$3115+Sens!$O$3116+Sens!$O$3117+Sens!$O$3118-(Sens!$O$3120+Sens!$O$3121)</f>
        <v>0</v>
      </c>
    </row>
    <row r="3127" customFormat="false" ht="17.15" hidden="false" customHeight="false" outlineLevel="0" collapsed="false">
      <c r="A3127" s="24" t="s">
        <v>715</v>
      </c>
      <c r="B3127" s="25" t="s">
        <v>86</v>
      </c>
      <c r="C3127" s="41" t="n">
        <f aca="false">Sens!$C$3123+Sens!$C$3124-Sens!$C$3122</f>
        <v>0</v>
      </c>
      <c r="D3127" s="41" t="n">
        <f aca="false">Sens!$D$3123+Sens!$D$3124-Sens!$D$3122</f>
        <v>0</v>
      </c>
      <c r="E3127" s="41" t="n">
        <f aca="false">Sens!$E$3123+Sens!$E$3124-Sens!$E$3122</f>
        <v>0</v>
      </c>
      <c r="F3127" s="41" t="n">
        <f aca="false">Sens!$F$3123+Sens!$F$3124-Sens!$F$3122</f>
        <v>0</v>
      </c>
      <c r="G3127" s="41" t="n">
        <f aca="false">Sens!$G$3123+Sens!$G$3124-Sens!$G$3122</f>
        <v>0</v>
      </c>
      <c r="H3127" s="41" t="n">
        <f aca="false">Sens!$H$3123+Sens!$H$3124-Sens!$H$3122</f>
        <v>0</v>
      </c>
      <c r="I3127" s="41" t="n">
        <f aca="false">Sens!$I$3123+Sens!$I$3124-Sens!$I$3122</f>
        <v>0</v>
      </c>
      <c r="J3127" s="41" t="n">
        <f aca="false">Sens!$J$3123+Sens!$J$3124-Sens!$J$3122</f>
        <v>0</v>
      </c>
      <c r="K3127" s="41" t="n">
        <f aca="false">Sens!$K$3123+Sens!$K$3124-Sens!$K$3122</f>
        <v>0</v>
      </c>
      <c r="L3127" s="41" t="n">
        <f aca="false">Sens!$L$3123+Sens!$L$3124-Sens!$L$3122</f>
        <v>0</v>
      </c>
      <c r="M3127" s="41" t="n">
        <f aca="false">Sens!$M$3123+Sens!$M$3124-Sens!$M$3122</f>
        <v>0</v>
      </c>
      <c r="N3127" s="41" t="n">
        <f aca="false">Sens!$N$3123+Sens!$N$3124-Sens!$N$3122</f>
        <v>0</v>
      </c>
      <c r="O3127" s="41" t="n">
        <f aca="false">Sens!$O$3123+Sens!$O$3124-Sens!$O$3122</f>
        <v>0</v>
      </c>
    </row>
    <row r="3128" customFormat="false" ht="17.15" hidden="false" customHeight="false" outlineLevel="0" collapsed="false">
      <c r="A3128" s="24" t="s">
        <v>774</v>
      </c>
      <c r="B3128" s="25" t="s">
        <v>86</v>
      </c>
      <c r="C3128" s="41" t="n">
        <f aca="false">Sens!$C$3113+Sens!$C$3114+Sens!$C$3115+Sens!$C$3116+Sens!$C$3117+Sens!$C$3118+Sens!$C$3119-Sens!$C$3125</f>
        <v>0</v>
      </c>
      <c r="D3128" s="41" t="n">
        <f aca="false">Sens!$D$3113+Sens!$D$3114+Sens!$D$3115+Sens!$D$3116+Sens!$D$3117+Sens!$D$3118+Sens!$D$3119-Sens!$D$3125</f>
        <v>0</v>
      </c>
      <c r="E3128" s="41" t="n">
        <f aca="false">Sens!$E$3113+Sens!$E$3114+Sens!$E$3115+Sens!$E$3116+Sens!$E$3117+Sens!$E$3118+Sens!$E$3119-Sens!$E$3125</f>
        <v>0</v>
      </c>
      <c r="F3128" s="41" t="n">
        <f aca="false">Sens!$F$3113+Sens!$F$3114+Sens!$F$3115+Sens!$F$3116+Sens!$F$3117+Sens!$F$3118+Sens!$F$3119-Sens!$F$3125</f>
        <v>0</v>
      </c>
      <c r="G3128" s="41" t="n">
        <f aca="false">Sens!$G$3113+Sens!$G$3114+Sens!$G$3115+Sens!$G$3116+Sens!$G$3117+Sens!$G$3118+Sens!$G$3119-Sens!$G$3125</f>
        <v>0</v>
      </c>
      <c r="H3128" s="41" t="n">
        <f aca="false">Sens!$H$3113+Sens!$H$3114+Sens!$H$3115+Sens!$H$3116+Sens!$H$3117+Sens!$H$3118+Sens!$H$3119-Sens!$H$3125</f>
        <v>0</v>
      </c>
      <c r="I3128" s="41" t="n">
        <f aca="false">Sens!$I$3113+Sens!$I$3114+Sens!$I$3115+Sens!$I$3116+Sens!$I$3117+Sens!$I$3118+Sens!$I$3119-Sens!$I$3125</f>
        <v>0</v>
      </c>
      <c r="J3128" s="41" t="n">
        <f aca="false">Sens!$J$3113+Sens!$J$3114+Sens!$J$3115+Sens!$J$3116+Sens!$J$3117+Sens!$J$3118+Sens!$J$3119-Sens!$J$3125</f>
        <v>0</v>
      </c>
      <c r="K3128" s="41" t="n">
        <f aca="false">Sens!$K$3113+Sens!$K$3114+Sens!$K$3115+Sens!$K$3116+Sens!$K$3117+Sens!$K$3118+Sens!$K$3119-Sens!$K$3125</f>
        <v>0</v>
      </c>
      <c r="L3128" s="41" t="n">
        <f aca="false">Sens!$L$3113+Sens!$L$3114+Sens!$L$3115+Sens!$L$3116+Sens!$L$3117+Sens!$L$3118+Sens!$L$3119-Sens!$L$3125</f>
        <v>0</v>
      </c>
      <c r="M3128" s="41" t="n">
        <f aca="false">Sens!$M$3113+Sens!$M$3114+Sens!$M$3115+Sens!$M$3116+Sens!$M$3117+Sens!$M$3118+Sens!$M$3119-Sens!$M$3125</f>
        <v>0</v>
      </c>
      <c r="N3128" s="41" t="n">
        <f aca="false">Sens!$N$3113+Sens!$N$3114+Sens!$N$3115+Sens!$N$3116+Sens!$N$3117+Sens!$N$3118+Sens!$N$3119-Sens!$N$3125</f>
        <v>0</v>
      </c>
      <c r="O3128" s="41" t="n">
        <f aca="false">Sens!$O$3113+Sens!$O$3114+Sens!$O$3115+Sens!$O$3116+Sens!$O$3117+Sens!$O$3118+Sens!$O$3119-Sens!$O$3125</f>
        <v>0</v>
      </c>
    </row>
    <row r="3129" customFormat="false" ht="17.15" hidden="false" customHeight="false" outlineLevel="0" collapsed="false">
      <c r="A3129" s="24" t="s">
        <v>716</v>
      </c>
      <c r="B3129" s="25" t="s">
        <v>86</v>
      </c>
      <c r="C3129" s="41" t="n">
        <f aca="false">Sens!$C$3120+Sens!$C$3121+Sens!$C$3122-Sens!$C$3125</f>
        <v>0</v>
      </c>
      <c r="D3129" s="41" t="n">
        <f aca="false">Sens!$D$3120+Sens!$D$3121+Sens!$D$3122-Sens!$D$3125</f>
        <v>0</v>
      </c>
      <c r="E3129" s="41" t="n">
        <f aca="false">Sens!$E$3120+Sens!$E$3121+Sens!$E$3122-Sens!$E$3125</f>
        <v>0</v>
      </c>
      <c r="F3129" s="41" t="n">
        <f aca="false">Sens!$F$3120+Sens!$F$3121+Sens!$F$3122-Sens!$F$3125</f>
        <v>0</v>
      </c>
      <c r="G3129" s="41" t="n">
        <f aca="false">Sens!$G$3120+Sens!$G$3121+Sens!$G$3122-Sens!$G$3125</f>
        <v>0</v>
      </c>
      <c r="H3129" s="41" t="n">
        <f aca="false">Sens!$H$3120+Sens!$H$3121+Sens!$H$3122-Sens!$H$3125</f>
        <v>0</v>
      </c>
      <c r="I3129" s="41" t="n">
        <f aca="false">Sens!$I$3120+Sens!$I$3121+Sens!$I$3122-Sens!$I$3125</f>
        <v>0</v>
      </c>
      <c r="J3129" s="41" t="n">
        <f aca="false">Sens!$J$3120+Sens!$J$3121+Sens!$J$3122-Sens!$J$3125</f>
        <v>0</v>
      </c>
      <c r="K3129" s="41" t="n">
        <f aca="false">Sens!$K$3120+Sens!$K$3121+Sens!$K$3122-Sens!$K$3125</f>
        <v>0</v>
      </c>
      <c r="L3129" s="41" t="n">
        <f aca="false">Sens!$L$3120+Sens!$L$3121+Sens!$L$3122-Sens!$L$3125</f>
        <v>0</v>
      </c>
      <c r="M3129" s="41" t="n">
        <f aca="false">Sens!$M$3120+Sens!$M$3121+Sens!$M$3122-Sens!$M$3125</f>
        <v>0</v>
      </c>
      <c r="N3129" s="41" t="n">
        <f aca="false">Sens!$N$3120+Sens!$N$3121+Sens!$N$3122-Sens!$N$3125</f>
        <v>0</v>
      </c>
      <c r="O3129" s="41" t="n">
        <f aca="false">Sens!$O$3120+Sens!$O$3121+Sens!$O$3122-Sens!$O$3125</f>
        <v>0</v>
      </c>
    </row>
    <row r="3130" customFormat="false" ht="17.15" hidden="false" customHeight="false" outlineLevel="0" collapsed="false">
      <c r="A3130" s="1" t="s">
        <v>730</v>
      </c>
    </row>
    <row r="3131" customFormat="false" ht="17.15" hidden="false" customHeight="false" outlineLevel="0" collapsed="false">
      <c r="A3131" s="0" t="s">
        <v>731</v>
      </c>
      <c r="B3131" s="0" t="s">
        <v>86</v>
      </c>
      <c r="C3131" s="38" t="n">
        <f aca="false">Sens!$C$3032*m_ad</f>
        <v>20.5341564414228</v>
      </c>
      <c r="D3131" s="38" t="n">
        <f aca="false">Sens!$D$3032*m_ad</f>
        <v>24.8720617299587</v>
      </c>
      <c r="E3131" s="38" t="n">
        <f aca="false">Sens!$E$3032*m_ad</f>
        <v>13.5017112462207</v>
      </c>
      <c r="F3131" s="38" t="n">
        <f aca="false">Sens!$F$3032*m_ad</f>
        <v>16.5719724165257</v>
      </c>
      <c r="G3131" s="38" t="n">
        <f aca="false">Sens!$G$3032*m_ad</f>
        <v>30.0820919220415</v>
      </c>
      <c r="H3131" s="38" t="n">
        <f aca="false">Sens!$H$3032*m_ad</f>
        <v>36.1150883276314</v>
      </c>
      <c r="I3131" s="38" t="n">
        <f aca="false">Sens!$I$3032*m_ad</f>
        <v>42.1475382231996</v>
      </c>
      <c r="J3131" s="38" t="n">
        <f aca="false">Sens!$J$3032*m_ad</f>
        <v>47.7749523864693</v>
      </c>
      <c r="K3131" s="38" t="n">
        <f aca="false">Sens!$K$3032*m_ad</f>
        <v>52.5524476251162</v>
      </c>
      <c r="L3131" s="38" t="n">
        <f aca="false">Sens!$L$3032*m_ad</f>
        <v>57.8076923876279</v>
      </c>
      <c r="M3131" s="38" t="n">
        <f aca="false">Sens!$M$3032*m_ad</f>
        <v>63.5884616263907</v>
      </c>
      <c r="N3131" s="38" t="n">
        <f aca="false">Sens!$N$3032*m_ad</f>
        <v>10.8543555706248</v>
      </c>
      <c r="O3131" s="38" t="n">
        <f aca="false">Sens!$O$3032*m_ad</f>
        <v>14.0094731821399</v>
      </c>
    </row>
    <row r="3132" customFormat="false" ht="17.15" hidden="false" customHeight="false" outlineLevel="0" collapsed="false">
      <c r="A3132" s="0" t="s">
        <v>732</v>
      </c>
      <c r="B3132" s="0" t="s">
        <v>86</v>
      </c>
      <c r="C3132" s="38" t="n">
        <f aca="false">Sens!$C$3030-Sens!$C$3032</f>
        <v>346.428687117154</v>
      </c>
      <c r="D3132" s="38" t="n">
        <f aca="false">Sens!$D$3030-Sens!$D$3032</f>
        <v>376.560876540083</v>
      </c>
      <c r="E3132" s="38" t="n">
        <f aca="false">Sens!$E$3030-Sens!$E$3032</f>
        <v>193.316577507559</v>
      </c>
      <c r="F3132" s="38" t="n">
        <f aca="false">Sens!$F$3030-Sens!$F$3032</f>
        <v>217.495828647535</v>
      </c>
      <c r="G3132" s="38" t="n">
        <f aca="false">Sens!$G$3030-Sens!$G$3032</f>
        <v>410.795589636503</v>
      </c>
      <c r="H3132" s="38" t="n">
        <f aca="false">Sens!$H$3030-Sens!$H$3032</f>
        <v>449.156813761174</v>
      </c>
      <c r="I3132" s="38" t="n">
        <f aca="false">Sens!$I$3030-Sens!$I$3032</f>
        <v>485.848786441156</v>
      </c>
      <c r="J3132" s="38" t="n">
        <f aca="false">Sens!$J$3030-Sens!$J$3032</f>
        <v>519.841531018994</v>
      </c>
      <c r="K3132" s="38" t="n">
        <f aca="false">Sens!$K$3030-Sens!$K$3032</f>
        <v>550.103332311311</v>
      </c>
      <c r="L3132" s="38" t="n">
        <f aca="false">Sens!$L$3030-Sens!$L$3032</f>
        <v>582.192354474511</v>
      </c>
      <c r="M3132" s="38" t="n">
        <f aca="false">Sens!$M$3030-Sens!$M$3032</f>
        <v>616.22240521081</v>
      </c>
      <c r="N3132" s="38" t="n">
        <f aca="false">Sens!$N$3030-Sens!$N$3032</f>
        <v>171.24628885875</v>
      </c>
      <c r="O3132" s="38" t="n">
        <f aca="false">Sens!$O$3030-Sens!$O$3032</f>
        <v>205.33105363572</v>
      </c>
    </row>
    <row r="3133" customFormat="false" ht="17.15" hidden="false" customHeight="false" outlineLevel="0" collapsed="false">
      <c r="A3133" s="0" t="s">
        <v>733</v>
      </c>
      <c r="B3133" s="0" t="s">
        <v>86</v>
      </c>
      <c r="C3133" s="38" t="n">
        <f aca="false">Sens!$C$3084*Sens!$C$3029</f>
        <v>0.124174363977906</v>
      </c>
      <c r="D3133" s="38" t="n">
        <f aca="false">Sens!$D$3084*Sens!$D$3029</f>
        <v>0.600750540485361</v>
      </c>
      <c r="E3133" s="38" t="n">
        <f aca="false">Sens!$E$3084*Sens!$E$3029</f>
        <v>1.10978893299265</v>
      </c>
      <c r="F3133" s="38" t="n">
        <f aca="false">Sens!$F$3084*Sens!$F$3029</f>
        <v>1.33732146050602</v>
      </c>
      <c r="G3133" s="38" t="n">
        <f aca="false">Sens!$G$3084*Sens!$G$3029</f>
        <v>2.44762928162834</v>
      </c>
      <c r="H3133" s="38" t="n">
        <f aca="false">Sens!$H$3084*Sens!$H$3029</f>
        <v>6.65210975559433</v>
      </c>
      <c r="I3133" s="38" t="n">
        <f aca="false">Sens!$I$3084*Sens!$I$3029</f>
        <v>12.7777560686299</v>
      </c>
      <c r="J3133" s="38" t="n">
        <f aca="false">Sens!$J$3084*Sens!$J$3029</f>
        <v>18.4364806727211</v>
      </c>
      <c r="K3133" s="38" t="n">
        <f aca="false">Sens!$K$3084*Sens!$K$3029</f>
        <v>23.9741270520328</v>
      </c>
      <c r="L3133" s="38" t="n">
        <f aca="false">Sens!$L$3084*Sens!$L$3029</f>
        <v>27.8103713793223</v>
      </c>
      <c r="M3133" s="38" t="n">
        <f aca="false">Sens!$M$3084*Sens!$M$3029</f>
        <v>29.9294972474294</v>
      </c>
      <c r="N3133" s="38" t="n">
        <f aca="false">Sens!$N$3084*Sens!$N$3029</f>
        <v>0.250811693357256</v>
      </c>
      <c r="O3133" s="38" t="n">
        <f aca="false">Sens!$O$3084*Sens!$O$3029</f>
        <v>0.349508071416051</v>
      </c>
    </row>
    <row r="3134" customFormat="false" ht="17.15" hidden="false" customHeight="false" outlineLevel="0" collapsed="false">
      <c r="A3134" s="0" t="s">
        <v>734</v>
      </c>
      <c r="B3134" s="0" t="s">
        <v>52</v>
      </c>
      <c r="C3134" s="28" t="n">
        <f aca="false">(Sens!$C$3135-Sens!$C$3131+Sens!$C$3133)/Sens!$C$3132</f>
        <v>0.0131542741465114</v>
      </c>
      <c r="D3134" s="28" t="n">
        <f aca="false">(Sens!$D$3135-Sens!$D$3131+Sens!$D$3133)/Sens!$D$3132</f>
        <v>0.0142013925070025</v>
      </c>
      <c r="E3134" s="28" t="n">
        <f aca="false">(Sens!$E$3135-Sens!$E$3131+Sens!$E$3133)/Sens!$E$3132</f>
        <v>0.0258543667139799</v>
      </c>
      <c r="F3134" s="28" t="n">
        <f aca="false">Sens!$O$3134+(Sens!$E$3134-Sens!$N$3134)</f>
        <v>0.0224371211751459</v>
      </c>
      <c r="G3134" s="28" t="n">
        <f aca="false">(Sens!$G$3135-Sens!$G$3131+Sens!$G$3133)/Sens!$G$3132</f>
        <v>0.0240269584851037</v>
      </c>
      <c r="H3134" s="28" t="n">
        <f aca="false">Sens!$G$3134+step_na</f>
        <v>0.0270269584851037</v>
      </c>
      <c r="I3134" s="28" t="n">
        <f aca="false">Sens!$H$3134+step_na</f>
        <v>0.0300269584851037</v>
      </c>
      <c r="J3134" s="28" t="n">
        <f aca="false">Sens!$I$3134+step_na</f>
        <v>0.0330269584851037</v>
      </c>
      <c r="K3134" s="28" t="n">
        <f aca="false">Sens!$J$3134+step_na</f>
        <v>0.0360269584851038</v>
      </c>
      <c r="L3134" s="28" t="n">
        <f aca="false">Sens!$K$3134</f>
        <v>0.0360269584851038</v>
      </c>
      <c r="M3134" s="28" t="n">
        <f aca="false">Sens!$L$3134</f>
        <v>0.0360269584851038</v>
      </c>
      <c r="N3134" s="28" t="n">
        <f aca="false">(Sens!$N$3135-Sens!$N$3131+Sens!$N$3133)/Sens!$N$3132</f>
        <v>0.0160847638865004</v>
      </c>
      <c r="O3134" s="28" t="n">
        <f aca="false">(Sens!$O$3135-Sens!$O$3131+Sens!$O$3133)/Sens!$O$3132</f>
        <v>0.0126675183476664</v>
      </c>
      <c r="P3134" s="8" t="s">
        <v>735</v>
      </c>
    </row>
    <row r="3135" customFormat="false" ht="17.15" hidden="false" customHeight="false" outlineLevel="0" collapsed="false">
      <c r="A3135" s="1" t="s">
        <v>736</v>
      </c>
      <c r="B3135" s="8" t="s">
        <v>86</v>
      </c>
      <c r="C3135" s="38" t="n">
        <f aca="false">Q!$D$22</f>
        <v>24.967</v>
      </c>
      <c r="D3135" s="38" t="n">
        <f aca="false">Q!$E$22</f>
        <v>29.619</v>
      </c>
      <c r="E3135" s="38" t="n">
        <f aca="false">Q!$P$22</f>
        <v>17.39</v>
      </c>
      <c r="F3135" s="38" t="n">
        <f aca="false">Sens!$F$3131+Sens!$F$3132*Sens!$F$3134-Sens!$F$3133</f>
        <v>20.1146312184732</v>
      </c>
      <c r="G3135" s="38" t="n">
        <f aca="false">Sens!$E$3135+Sens!$F$3135</f>
        <v>37.5046312184732</v>
      </c>
      <c r="H3135" s="38" t="n">
        <f aca="false">Sens!$H$3131+Sens!$H$3132*Sens!$H$3134-Sens!$H$3133</f>
        <v>41.6023211308618</v>
      </c>
      <c r="I3135" s="38" t="n">
        <f aca="false">Sens!$I$3131+Sens!$I$3132*Sens!$I$3134-Sens!$I$3133</f>
        <v>43.9583434950763</v>
      </c>
      <c r="J3135" s="38" t="n">
        <f aca="false">Sens!$J$3131+Sens!$J$3132*Sens!$J$3134-Sens!$J$3133</f>
        <v>46.5072563775453</v>
      </c>
      <c r="K3135" s="38" t="n">
        <f aca="false">Sens!$K$3131+Sens!$K$3132*Sens!$K$3134-Sens!$K$3133</f>
        <v>48.3968704887803</v>
      </c>
      <c r="L3135" s="38" t="n">
        <f aca="false">Sens!$L$3131+Sens!$L$3132*Sens!$L$3134-Sens!$L$3133</f>
        <v>50.9719407933036</v>
      </c>
      <c r="M3135" s="38" t="n">
        <f aca="false">Sens!$M$3131+Sens!$M$3132*Sens!$M$3134-Sens!$M$3133</f>
        <v>55.8595833890819</v>
      </c>
      <c r="N3135" s="38" t="n">
        <f aca="false">Q!$N$22</f>
        <v>13.358</v>
      </c>
      <c r="O3135" s="38" t="n">
        <f aca="false">Q!$O$22</f>
        <v>16.261</v>
      </c>
    </row>
    <row r="3136" customFormat="false" ht="17.15" hidden="false" customHeight="false" outlineLevel="0" collapsed="false">
      <c r="A3136" s="0" t="s">
        <v>737</v>
      </c>
      <c r="B3136" s="0" t="s">
        <v>86</v>
      </c>
      <c r="C3136" s="38" t="n">
        <f aca="false">Sens!$C$3033*m_ad</f>
        <v>7.57284355857716</v>
      </c>
      <c r="D3136" s="38" t="n">
        <f aca="false">Sens!$D$3033*m_ad</f>
        <v>9.44543827004127</v>
      </c>
      <c r="E3136" s="38" t="n">
        <f aca="false">Sens!$E$3033*m_ad</f>
        <v>5.02428875377928</v>
      </c>
      <c r="F3136" s="38" t="n">
        <f aca="false">Sens!$F$3033*m_ad</f>
        <v>6.50663858068173</v>
      </c>
      <c r="G3136" s="38" t="n">
        <f aca="false">Sens!$G$3033*m_ad</f>
        <v>11.5225190751659</v>
      </c>
      <c r="H3136" s="38" t="n">
        <f aca="false">Sens!$H$3033*m_ad</f>
        <v>13.8333728663174</v>
      </c>
      <c r="I3136" s="38" t="n">
        <f aca="false">Sens!$I$3033*m_ad</f>
        <v>16.1440173245485</v>
      </c>
      <c r="J3136" s="38" t="n">
        <f aca="false">Sens!$J$3033*m_ad</f>
        <v>18.2995185845066</v>
      </c>
      <c r="K3136" s="38" t="n">
        <f aca="false">Sens!$K$3033*m_ad</f>
        <v>20.1294704429572</v>
      </c>
      <c r="L3136" s="38" t="n">
        <f aca="false">Sens!$L$3033*m_ad</f>
        <v>22.142417487253</v>
      </c>
      <c r="M3136" s="38" t="n">
        <f aca="false">Sens!$M$3033*m_ad</f>
        <v>24.3566592359783</v>
      </c>
      <c r="N3136" s="38" t="n">
        <f aca="false">Sens!$N$3033*m_ad</f>
        <v>3.95314442937518</v>
      </c>
      <c r="O3136" s="38" t="n">
        <f aca="false">Sens!$O$3033*m_ad</f>
        <v>5.50052681786011</v>
      </c>
    </row>
    <row r="3137" customFormat="false" ht="17.15" hidden="false" customHeight="false" outlineLevel="0" collapsed="false">
      <c r="A3137" s="0" t="s">
        <v>738</v>
      </c>
      <c r="B3137" s="0" t="s">
        <v>86</v>
      </c>
      <c r="C3137" s="38" t="n">
        <f aca="false">Sens!$C$3031-Sens!$C$3033</f>
        <v>127.760312882846</v>
      </c>
      <c r="D3137" s="38" t="n">
        <f aca="false">Sens!$D$3031-Sens!$D$3033</f>
        <v>143.003123459917</v>
      </c>
      <c r="E3137" s="38" t="n">
        <f aca="false">Sens!$E$3031-Sens!$E$3033</f>
        <v>71.9374224924414</v>
      </c>
      <c r="F3137" s="38" t="n">
        <f aca="false">Sens!$F$3031-Sens!$F$3033</f>
        <v>85.3951910035875</v>
      </c>
      <c r="G3137" s="38" t="n">
        <f aca="false">Sens!$G$3031-Sens!$G$3033</f>
        <v>157.349430014619</v>
      </c>
      <c r="H3137" s="38" t="n">
        <f aca="false">Sens!$H$3031-Sens!$H$3033</f>
        <v>172.043153372315</v>
      </c>
      <c r="I3137" s="38" t="n">
        <f aca="false">Sens!$I$3031-Sens!$I$3033</f>
        <v>186.097493615879</v>
      </c>
      <c r="J3137" s="38" t="n">
        <f aca="false">Sens!$J$3031-Sens!$J$3033</f>
        <v>199.117932780497</v>
      </c>
      <c r="K3137" s="38" t="n">
        <f aca="false">Sens!$K$3031-Sens!$K$3033</f>
        <v>210.70928698363</v>
      </c>
      <c r="L3137" s="38" t="n">
        <f aca="false">Sens!$L$3031-Sens!$L$3033</f>
        <v>223.000532251316</v>
      </c>
      <c r="M3137" s="38" t="n">
        <f aca="false">Sens!$M$3031-Sens!$M$3033</f>
        <v>236.035261011339</v>
      </c>
      <c r="N3137" s="38" t="n">
        <f aca="false">Sens!$N$3031-Sens!$N$3033</f>
        <v>62.3677111412496</v>
      </c>
      <c r="O3137" s="38" t="n">
        <f aca="false">Sens!$O$3031-Sens!$O$3033</f>
        <v>80.6189463642798</v>
      </c>
    </row>
    <row r="3138" customFormat="false" ht="17.15" hidden="false" customHeight="false" outlineLevel="0" collapsed="false">
      <c r="A3138" s="0" t="s">
        <v>739</v>
      </c>
      <c r="B3138" s="0" t="s">
        <v>86</v>
      </c>
      <c r="C3138" s="38" t="n">
        <f aca="false">Sens!$C$3084*(1-Sens!$C$3029)</f>
        <v>0.0457945781738352</v>
      </c>
      <c r="D3138" s="38" t="n">
        <f aca="false">Sens!$D$3084*(1-Sens!$D$3029)</f>
        <v>0.228141607537648</v>
      </c>
      <c r="E3138" s="38" t="n">
        <f aca="false">Sens!$E$3084*(1-Sens!$E$3029)</f>
        <v>0.412977285132241</v>
      </c>
      <c r="F3138" s="38" t="n">
        <f aca="false">Sens!$F$3084*(1-Sens!$F$3029)</f>
        <v>0.525071318669645</v>
      </c>
      <c r="G3138" s="38" t="n">
        <f aca="false">Sens!$G$3084*(1-Sens!$G$3029)</f>
        <v>0.937529715672217</v>
      </c>
      <c r="H3138" s="38" t="n">
        <f aca="false">Sens!$H$3084*(1-Sens!$H$3029)</f>
        <v>2.54799638760398</v>
      </c>
      <c r="I3138" s="38" t="n">
        <f aca="false">Sens!$I$3084*(1-Sens!$I$3029)</f>
        <v>4.89433841303856</v>
      </c>
      <c r="J3138" s="38" t="n">
        <f aca="false">Sens!$J$3084*(1-Sens!$J$3029)</f>
        <v>7.0618326937131</v>
      </c>
      <c r="K3138" s="38" t="n">
        <f aca="false">Sens!$K$3084*(1-Sens!$K$3029)</f>
        <v>9.18294967595296</v>
      </c>
      <c r="L3138" s="38" t="n">
        <f aca="false">Sens!$L$3084*(1-Sens!$L$3029)</f>
        <v>10.6523687094678</v>
      </c>
      <c r="M3138" s="38" t="n">
        <f aca="false">Sens!$M$3084*(1-Sens!$M$3029)</f>
        <v>11.4640698471819</v>
      </c>
      <c r="N3138" s="38" t="n">
        <f aca="false">Sens!$N$3084*(1-Sens!$N$3029)</f>
        <v>0.0913453444533069</v>
      </c>
      <c r="O3138" s="38" t="n">
        <f aca="false">Sens!$O$3084*(1-Sens!$O$3029)</f>
        <v>0.137227038796394</v>
      </c>
    </row>
    <row r="3139" customFormat="false" ht="17.15" hidden="false" customHeight="false" outlineLevel="0" collapsed="false">
      <c r="A3139" s="0" t="s">
        <v>740</v>
      </c>
      <c r="B3139" s="0" t="s">
        <v>52</v>
      </c>
      <c r="C3139" s="28" t="n">
        <f aca="false">(Sens!$C$3140-Sens!$C$3136+Sens!$C$3138)/Sens!$C$3137</f>
        <v>-0.029234813974104</v>
      </c>
      <c r="D3139" s="28" t="n">
        <f aca="false">(Sens!$D$3140-Sens!$D$3136+Sens!$D$3138)/Sens!$D$3137</f>
        <v>-0.0312391544633342</v>
      </c>
      <c r="E3139" s="28" t="n">
        <f aca="false">(Sens!$E$3140-Sens!$E$3136+Sens!$E$3138)/Sens!$E$3137</f>
        <v>-0.020438756598508</v>
      </c>
      <c r="F3139" s="28" t="n">
        <f aca="false">Sens!$O$3139+(Sens!$E$3139-Sens!$N$3139)</f>
        <v>-0.0375340429207729</v>
      </c>
      <c r="G3139" s="28" t="n">
        <f aca="false">(Sens!$G$3140-Sens!$G$3136+Sens!$G$3138)/Sens!$G$3137</f>
        <v>-0.0296642247855881</v>
      </c>
      <c r="H3139" s="28" t="n">
        <f aca="false">Sens!$G$3139+step_in</f>
        <v>-0.0296642247855881</v>
      </c>
      <c r="I3139" s="28" t="n">
        <f aca="false">Sens!$H$3139+step_in</f>
        <v>-0.0296642247855881</v>
      </c>
      <c r="J3139" s="28" t="n">
        <f aca="false">Sens!$I$3139+step_in</f>
        <v>-0.0296642247855881</v>
      </c>
      <c r="K3139" s="28" t="n">
        <f aca="false">Sens!$J$3139+step_in</f>
        <v>-0.0296642247855881</v>
      </c>
      <c r="L3139" s="28" t="n">
        <f aca="false">Sens!$K$3139</f>
        <v>-0.0296642247855881</v>
      </c>
      <c r="M3139" s="28" t="n">
        <f aca="false">Sens!$L$3139</f>
        <v>-0.0296642247855881</v>
      </c>
      <c r="N3139" s="28" t="n">
        <f aca="false">(Sens!$N$3140-Sens!$N$3136+Sens!$N$3138)/Sens!$N$3137</f>
        <v>-0.0216586284826551</v>
      </c>
      <c r="O3139" s="28" t="n">
        <f aca="false">(Sens!$O$3140-Sens!$O$3136+Sens!$O$3138)/Sens!$O$3137</f>
        <v>-0.03875391480492</v>
      </c>
      <c r="P3139" s="8" t="s">
        <v>735</v>
      </c>
    </row>
    <row r="3140" customFormat="false" ht="17.15" hidden="false" customHeight="false" outlineLevel="0" collapsed="false">
      <c r="A3140" s="1" t="s">
        <v>741</v>
      </c>
      <c r="B3140" s="8" t="s">
        <v>86</v>
      </c>
      <c r="C3140" s="38" t="n">
        <f aca="false">Q!$D$23</f>
        <v>3.792</v>
      </c>
      <c r="D3140" s="38" t="n">
        <f aca="false">Q!$E$23</f>
        <v>4.75</v>
      </c>
      <c r="E3140" s="38" t="n">
        <f aca="false">Q!$P$23</f>
        <v>3.141</v>
      </c>
      <c r="F3140" s="38" t="n">
        <f aca="false">Sens!$F$3136+Sens!$F$3137*Sens!$F$3139-Sens!$F$3138</f>
        <v>2.77634049765583</v>
      </c>
      <c r="G3140" s="38" t="n">
        <f aca="false">Sens!$E$3140+Sens!$F$3140</f>
        <v>5.91734049765583</v>
      </c>
      <c r="H3140" s="38" t="n">
        <f aca="false">Sens!$H$3136+Sens!$H$3137*Sens!$H$3139-Sens!$H$3138</f>
        <v>6.18184970425563</v>
      </c>
      <c r="I3140" s="38" t="n">
        <f aca="false">Sens!$I$3136+Sens!$I$3137*Sens!$I$3139-Sens!$I$3138</f>
        <v>5.729241028854</v>
      </c>
      <c r="J3140" s="38" t="n">
        <f aca="false">Sens!$J$3136+Sens!$J$3137*Sens!$J$3139-Sens!$J$3138</f>
        <v>5.3310067739512</v>
      </c>
      <c r="K3140" s="38" t="n">
        <f aca="false">Sens!$K$3136+Sens!$K$3137*Sens!$K$3139-Sens!$K$3138</f>
        <v>4.69599311351089</v>
      </c>
      <c r="L3140" s="38" t="n">
        <f aca="false">Sens!$L$3136+Sens!$L$3137*Sens!$L$3139-Sens!$L$3138</f>
        <v>4.87491086177636</v>
      </c>
      <c r="M3140" s="38" t="n">
        <f aca="false">Sens!$M$3136+Sens!$M$3137*Sens!$M$3139-Sens!$M$3138</f>
        <v>5.89078634883108</v>
      </c>
      <c r="N3140" s="38" t="n">
        <f aca="false">Q!$N$23</f>
        <v>2.511</v>
      </c>
      <c r="O3140" s="38" t="n">
        <f aca="false">Q!$O$23</f>
        <v>2.239</v>
      </c>
    </row>
    <row r="3141" customFormat="false" ht="17.15" hidden="false" customHeight="false" outlineLevel="0" collapsed="false">
      <c r="A3141" s="0" t="s">
        <v>742</v>
      </c>
      <c r="B3141" s="0" t="s">
        <v>86</v>
      </c>
      <c r="C3141" s="38" t="n">
        <f aca="false">Sens!$C$3081</f>
        <v>2.20473961600842</v>
      </c>
      <c r="D3141" s="38" t="n">
        <f aca="false">Sens!$D$3081</f>
        <v>7.50173910021566</v>
      </c>
      <c r="E3141" s="38" t="n">
        <f aca="false">Sens!$E$3081</f>
        <v>4.48585820442352</v>
      </c>
      <c r="F3141" s="38" t="n">
        <f aca="false">Sens!$F$3081</f>
        <v>9.95617264779868</v>
      </c>
      <c r="G3141" s="38" t="n">
        <f aca="false">Sens!$G$3081</f>
        <v>14.4420308522222</v>
      </c>
      <c r="H3141" s="38" t="n">
        <f aca="false">Sens!$H$3081</f>
        <v>28.2500864165431</v>
      </c>
      <c r="I3141" s="38" t="n">
        <f aca="false">Sens!$I$3081</f>
        <v>35.6999414493198</v>
      </c>
      <c r="J3141" s="38" t="n">
        <f aca="false">Sens!$J$3081</f>
        <v>45.9167739251032</v>
      </c>
      <c r="K3141" s="38" t="n">
        <f aca="false">Sens!$K$3081</f>
        <v>50.7044337107983</v>
      </c>
      <c r="L3141" s="38" t="n">
        <f aca="false">Sens!$L$3081</f>
        <v>52.7617616867979</v>
      </c>
      <c r="M3141" s="38" t="n">
        <f aca="false">Sens!$M$3081</f>
        <v>52.1457932299819</v>
      </c>
      <c r="N3141" s="38" t="n">
        <f aca="false">Sens!$N$3081</f>
        <v>2.41742954106544</v>
      </c>
      <c r="O3141" s="38" t="n">
        <f aca="false">Sens!$O$3081</f>
        <v>5.08430955915022</v>
      </c>
    </row>
    <row r="3142" customFormat="false" ht="17.15" hidden="false" customHeight="false" outlineLevel="0" collapsed="false">
      <c r="A3142" s="0" t="s">
        <v>660</v>
      </c>
      <c r="B3142" s="0" t="s">
        <v>86</v>
      </c>
      <c r="C3142" s="38" t="n">
        <f aca="false">Sens!$C$3086</f>
        <v>37.6292603839916</v>
      </c>
      <c r="D3142" s="38" t="n">
        <f aca="false">Sens!$D$3086</f>
        <v>38.1042608997843</v>
      </c>
      <c r="E3142" s="38" t="n">
        <f aca="false">Sens!$E$3086</f>
        <v>26.2961417955765</v>
      </c>
      <c r="F3142" s="38" t="n">
        <f aca="false">Sens!$F$3086</f>
        <v>23.9141879403885</v>
      </c>
      <c r="G3142" s="38" t="n">
        <f aca="false">Sens!$G$3086</f>
        <v>50.210329735965</v>
      </c>
      <c r="H3142" s="38" t="n">
        <f aca="false">Sens!$H$3086</f>
        <v>53.2843547562212</v>
      </c>
      <c r="I3142" s="38" t="n">
        <f aca="false">Sens!$I$3086</f>
        <v>58.7847878221647</v>
      </c>
      <c r="J3142" s="38" t="n">
        <f aca="false">Sens!$J$3086</f>
        <v>64.170294997996</v>
      </c>
      <c r="K3142" s="38" t="n">
        <f aca="false">Sens!$K$3086</f>
        <v>69.3039185978357</v>
      </c>
      <c r="L3142" s="38" t="n">
        <f aca="false">Sens!$L$3086</f>
        <v>74.8482320856625</v>
      </c>
      <c r="M3142" s="38" t="n">
        <f aca="false">Sens!$M$3086</f>
        <v>80.8360906525156</v>
      </c>
      <c r="N3142" s="38" t="n">
        <f aca="false">Sens!$N$3086</f>
        <v>19.2895704589346</v>
      </c>
      <c r="O3142" s="38" t="n">
        <f aca="false">Sens!$O$3086</f>
        <v>18.8146904408498</v>
      </c>
    </row>
    <row r="3143" customFormat="false" ht="17.15" hidden="false" customHeight="false" outlineLevel="0" collapsed="false">
      <c r="A3143" s="1" t="s">
        <v>743</v>
      </c>
      <c r="B3143" s="8" t="s">
        <v>86</v>
      </c>
      <c r="C3143" s="38" t="n">
        <f aca="false">Q!$D$24</f>
        <v>39.834</v>
      </c>
      <c r="D3143" s="38" t="n">
        <f aca="false">Q!$E$24</f>
        <v>45.606</v>
      </c>
      <c r="E3143" s="38" t="n">
        <f aca="false">Q!$P$24</f>
        <v>30.782</v>
      </c>
      <c r="F3143" s="38" t="n">
        <f aca="false">Sens!$F$3141+Sens!$F$3142</f>
        <v>33.8703605881872</v>
      </c>
      <c r="G3143" s="38" t="n">
        <f aca="false">Sens!$G$3141+Sens!$G$3142</f>
        <v>64.6523605881872</v>
      </c>
      <c r="H3143" s="38" t="n">
        <f aca="false">Sens!$H$3141+Sens!$H$3142</f>
        <v>81.5344411727643</v>
      </c>
      <c r="I3143" s="38" t="n">
        <f aca="false">Sens!$I$3141+Sens!$I$3142</f>
        <v>94.4847292714845</v>
      </c>
      <c r="J3143" s="38" t="n">
        <f aca="false">Sens!$J$3141+Sens!$J$3142</f>
        <v>110.087068923099</v>
      </c>
      <c r="K3143" s="38" t="n">
        <f aca="false">Sens!$K$3141+Sens!$K$3142</f>
        <v>120.008352308634</v>
      </c>
      <c r="L3143" s="38" t="n">
        <f aca="false">Sens!$L$3141+Sens!$L$3142</f>
        <v>127.60999377246</v>
      </c>
      <c r="M3143" s="38" t="n">
        <f aca="false">Sens!$M$3141+Sens!$M$3142</f>
        <v>132.981883882497</v>
      </c>
      <c r="N3143" s="38" t="n">
        <f aca="false">Q!$N$24</f>
        <v>21.707</v>
      </c>
      <c r="O3143" s="38" t="n">
        <f aca="false">Q!$O$24</f>
        <v>23.899</v>
      </c>
    </row>
    <row r="3144" customFormat="false" ht="17.15" hidden="false" customHeight="false" outlineLevel="0" collapsed="false">
      <c r="A3144" s="5" t="s">
        <v>744</v>
      </c>
      <c r="B3144" s="0" t="s">
        <v>86</v>
      </c>
      <c r="C3144" s="38" t="n">
        <f aca="false">Q!$D$26</f>
        <v>0</v>
      </c>
      <c r="D3144" s="38" t="n">
        <f aca="false">Q!$E$26</f>
        <v>0</v>
      </c>
      <c r="E3144" s="38" t="n">
        <f aca="false">Q!$P$26</f>
        <v>0</v>
      </c>
      <c r="F3144" s="39" t="n">
        <v>0</v>
      </c>
      <c r="G3144" s="38" t="n">
        <f aca="false">Sens!$E$3144+Sens!$F$3144</f>
        <v>0</v>
      </c>
      <c r="H3144" s="39" t="n">
        <v>0</v>
      </c>
      <c r="I3144" s="39" t="n">
        <v>0</v>
      </c>
      <c r="J3144" s="39" t="n">
        <v>0</v>
      </c>
      <c r="K3144" s="39" t="n">
        <v>0</v>
      </c>
      <c r="L3144" s="39" t="n">
        <v>0</v>
      </c>
      <c r="M3144" s="39" t="n">
        <v>0</v>
      </c>
      <c r="N3144" s="38" t="n">
        <f aca="false">Q!$N$26</f>
        <v>0</v>
      </c>
      <c r="O3144" s="38" t="n">
        <f aca="false">Q!$O$26</f>
        <v>0</v>
      </c>
    </row>
    <row r="3145" customFormat="false" ht="15" hidden="false" customHeight="false" outlineLevel="0" collapsed="false">
      <c r="A3145" s="3" t="s">
        <v>541</v>
      </c>
      <c r="B3145" s="8" t="s">
        <v>86</v>
      </c>
      <c r="C3145" s="38" t="n">
        <f aca="false">Q!$D$25</f>
        <v>68.593</v>
      </c>
      <c r="D3145" s="38" t="n">
        <f aca="false">Q!$E$25</f>
        <v>79.975</v>
      </c>
      <c r="E3145" s="38" t="n">
        <f aca="false">Q!$P$25</f>
        <v>51.313</v>
      </c>
      <c r="F3145" s="38" t="n">
        <f aca="false">Sens!$F$3135+Sens!$F$3140+Sens!$F$3143+Sens!$F$3144</f>
        <v>56.7613323043162</v>
      </c>
      <c r="G3145" s="38" t="n">
        <f aca="false">Sens!$G$3135+Sens!$G$3140+Sens!$G$3143+Sens!$G$3144</f>
        <v>108.074332304316</v>
      </c>
      <c r="H3145" s="38" t="n">
        <f aca="false">Sens!$H$3135+Sens!$H$3140+Sens!$H$3143+Sens!$H$3144</f>
        <v>129.318612007882</v>
      </c>
      <c r="I3145" s="38" t="n">
        <f aca="false">Sens!$I$3135+Sens!$I$3140+Sens!$I$3143+Sens!$I$3144</f>
        <v>144.172313795415</v>
      </c>
      <c r="J3145" s="38" t="n">
        <f aca="false">Sens!$J$3135+Sens!$J$3140+Sens!$J$3143+Sens!$J$3144</f>
        <v>161.925332074596</v>
      </c>
      <c r="K3145" s="38" t="n">
        <f aca="false">Sens!$K$3135+Sens!$K$3140+Sens!$K$3143+Sens!$K$3144</f>
        <v>173.101215910925</v>
      </c>
      <c r="L3145" s="38" t="n">
        <f aca="false">Sens!$L$3135+Sens!$L$3140+Sens!$L$3143+Sens!$L$3144</f>
        <v>183.45684542754</v>
      </c>
      <c r="M3145" s="38" t="n">
        <f aca="false">Sens!$M$3135+Sens!$M$3140+Sens!$M$3143+Sens!$M$3144</f>
        <v>194.73225362041</v>
      </c>
      <c r="N3145" s="38" t="n">
        <f aca="false">Q!$N$25</f>
        <v>37.576</v>
      </c>
      <c r="O3145" s="38" t="n">
        <f aca="false">Q!$O$25</f>
        <v>42.399</v>
      </c>
    </row>
    <row r="3146" customFormat="false" ht="17.15" hidden="false" customHeight="false" outlineLevel="0" collapsed="false">
      <c r="A3146" s="24" t="s">
        <v>775</v>
      </c>
      <c r="B3146" s="25" t="s">
        <v>86</v>
      </c>
      <c r="C3146" s="41" t="n">
        <f aca="false">Sens!$C$3135+Sens!$C$3140+Sens!$C$3143+Sens!$C$3144-Sens!$C$3145</f>
        <v>0</v>
      </c>
      <c r="D3146" s="41" t="n">
        <f aca="false">Sens!$D$3135+Sens!$D$3140+Sens!$D$3143+Sens!$D$3144-Sens!$D$3145</f>
        <v>0</v>
      </c>
      <c r="E3146" s="41" t="n">
        <f aca="false">Sens!$E$3135+Sens!$E$3140+Sens!$E$3143+Sens!$E$3144-Sens!$E$3145</f>
        <v>0</v>
      </c>
      <c r="F3146" s="41" t="n">
        <f aca="false">Sens!$F$3135+Sens!$F$3140+Sens!$F$3143+Sens!$F$3144-Sens!$F$3145</f>
        <v>0</v>
      </c>
      <c r="G3146" s="41" t="n">
        <f aca="false">Sens!$G$3135+Sens!$G$3140+Sens!$G$3143+Sens!$G$3144-Sens!$G$3145</f>
        <v>0</v>
      </c>
      <c r="H3146" s="41" t="n">
        <f aca="false">Sens!$H$3135+Sens!$H$3140+Sens!$H$3143+Sens!$H$3144-Sens!$H$3145</f>
        <v>0</v>
      </c>
      <c r="I3146" s="41" t="n">
        <f aca="false">Sens!$I$3135+Sens!$I$3140+Sens!$I$3143+Sens!$I$3144-Sens!$I$3145</f>
        <v>0</v>
      </c>
      <c r="J3146" s="41" t="n">
        <f aca="false">Sens!$J$3135+Sens!$J$3140+Sens!$J$3143+Sens!$J$3144-Sens!$J$3145</f>
        <v>0</v>
      </c>
      <c r="K3146" s="41" t="n">
        <f aca="false">Sens!$K$3135+Sens!$K$3140+Sens!$K$3143+Sens!$K$3144-Sens!$K$3145</f>
        <v>0</v>
      </c>
      <c r="L3146" s="41" t="n">
        <f aca="false">Sens!$L$3135+Sens!$L$3140+Sens!$L$3143+Sens!$L$3144-Sens!$L$3145</f>
        <v>0</v>
      </c>
      <c r="M3146" s="41" t="n">
        <f aca="false">Sens!$M$3135+Sens!$M$3140+Sens!$M$3143+Sens!$M$3144-Sens!$M$3145</f>
        <v>0</v>
      </c>
      <c r="N3146" s="41" t="n">
        <f aca="false">Sens!$N$3135+Sens!$N$3140+Sens!$N$3143+Sens!$N$3144-Sens!$N$3145</f>
        <v>0</v>
      </c>
      <c r="O3146" s="41" t="n">
        <f aca="false">Sens!$O$3135+Sens!$O$3140+Sens!$O$3143+Sens!$O$3144-Sens!$O$3145</f>
        <v>0</v>
      </c>
    </row>
    <row r="3147" customFormat="false" ht="17.15" hidden="false" customHeight="false" outlineLevel="0" collapsed="false">
      <c r="A3147" s="5" t="s">
        <v>746</v>
      </c>
      <c r="B3147" s="0" t="s">
        <v>86</v>
      </c>
      <c r="C3147" s="38" t="n">
        <f aca="false">Sens!$C$3083</f>
        <v>0</v>
      </c>
      <c r="D3147" s="38" t="n">
        <f aca="false">Sens!$D$3083</f>
        <v>0</v>
      </c>
      <c r="E3147" s="38" t="n">
        <f aca="false">Sens!$E$3083</f>
        <v>0</v>
      </c>
      <c r="F3147" s="38" t="n">
        <f aca="false">Sens!$F$3083</f>
        <v>3.77122048175818</v>
      </c>
      <c r="G3147" s="38" t="n">
        <f aca="false">Sens!$G$3083</f>
        <v>3.77122048175818</v>
      </c>
      <c r="H3147" s="38" t="n">
        <f aca="false">Sens!$H$3083</f>
        <v>15.1635543609893</v>
      </c>
      <c r="I3147" s="38" t="n">
        <f aca="false">Sens!$I$3083</f>
        <v>25.5818843619889</v>
      </c>
      <c r="J3147" s="38" t="n">
        <f aca="false">Sens!$J$3083</f>
        <v>36.0465624179122</v>
      </c>
      <c r="K3147" s="38" t="n">
        <f aca="false">Sens!$K$3083</f>
        <v>44.9741164026038</v>
      </c>
      <c r="L3147" s="38" t="n">
        <f aca="false">Sens!$L$3083</f>
        <v>50.8413488057813</v>
      </c>
      <c r="M3147" s="38" t="n">
        <f aca="false">Sens!$M$3083</f>
        <v>53.6407214274315</v>
      </c>
      <c r="N3147" s="38" t="n">
        <f aca="false">Sens!$N$3083</f>
        <v>0</v>
      </c>
      <c r="O3147" s="38" t="n">
        <f aca="false">Sens!$O$3083</f>
        <v>0</v>
      </c>
      <c r="P3147" s="5" t="s">
        <v>747</v>
      </c>
    </row>
    <row r="3148" customFormat="false" ht="17.15" hidden="false" customHeight="false" outlineLevel="0" collapsed="false">
      <c r="A3148" s="5" t="s">
        <v>748</v>
      </c>
      <c r="B3148" s="0" t="s">
        <v>86</v>
      </c>
      <c r="C3148" s="38" t="n">
        <f aca="false">Sens!$C$3145+Sens!$C$3147</f>
        <v>68.593</v>
      </c>
      <c r="D3148" s="38" t="n">
        <f aca="false">Sens!$D$3145+Sens!$D$3147</f>
        <v>79.975</v>
      </c>
      <c r="E3148" s="38" t="n">
        <f aca="false">Sens!$E$3145+Sens!$E$3147</f>
        <v>51.313</v>
      </c>
      <c r="F3148" s="38" t="n">
        <f aca="false">Sens!$F$3145+Sens!$F$3147</f>
        <v>60.5325527860744</v>
      </c>
      <c r="G3148" s="38" t="n">
        <f aca="false">Sens!$G$3145+Sens!$G$3147</f>
        <v>111.845552786074</v>
      </c>
      <c r="H3148" s="38" t="n">
        <f aca="false">Sens!$H$3145+Sens!$H$3147</f>
        <v>144.482166368871</v>
      </c>
      <c r="I3148" s="38" t="n">
        <f aca="false">Sens!$I$3145+Sens!$I$3147</f>
        <v>169.754198157404</v>
      </c>
      <c r="J3148" s="38" t="n">
        <f aca="false">Sens!$J$3145+Sens!$J$3147</f>
        <v>197.971894492508</v>
      </c>
      <c r="K3148" s="38" t="n">
        <f aca="false">Sens!$K$3145+Sens!$K$3147</f>
        <v>218.075332313529</v>
      </c>
      <c r="L3148" s="38" t="n">
        <f aca="false">Sens!$L$3145+Sens!$L$3147</f>
        <v>234.298194233322</v>
      </c>
      <c r="M3148" s="38" t="n">
        <f aca="false">Sens!$M$3145+Sens!$M$3147</f>
        <v>248.372975047842</v>
      </c>
      <c r="N3148" s="38" t="n">
        <f aca="false">Sens!$N$3145+Sens!$N$3147</f>
        <v>37.576</v>
      </c>
      <c r="O3148" s="38" t="n">
        <f aca="false">Sens!$O$3145+Sens!$O$3147</f>
        <v>42.399</v>
      </c>
    </row>
    <row r="3149" customFormat="false" ht="17.15" hidden="false" customHeight="false" outlineLevel="0" collapsed="false">
      <c r="A3149" s="0" t="s">
        <v>749</v>
      </c>
      <c r="B3149" s="0" t="s">
        <v>52</v>
      </c>
      <c r="C3149" s="13" t="n">
        <f aca="false">Sens!$C$3135/Sens!$C$3120</f>
        <v>0.0644314665661928</v>
      </c>
      <c r="D3149" s="13" t="n">
        <f aca="false">Sens!$D$3135/Sens!$D$3120</f>
        <v>0.0694784250712518</v>
      </c>
      <c r="E3149" s="13" t="n">
        <f aca="false">Sens!$E$3135/Sens!$E$3120</f>
        <v>0.0789306463326071</v>
      </c>
      <c r="F3149" s="13" t="n">
        <f aca="false">Sens!$F$3135/Sens!$F$3120</f>
        <v>0.0802531495266898</v>
      </c>
      <c r="G3149" s="13" t="n">
        <f aca="false">Sens!$G$3135/Sens!$G$3120</f>
        <v>0.079634468441537</v>
      </c>
      <c r="H3149" s="13" t="n">
        <f aca="false">Sens!$H$3135/Sens!$H$3120</f>
        <v>0.0797916363383629</v>
      </c>
      <c r="I3149" s="13" t="n">
        <f aca="false">Sens!$I$3135/Sens!$I$3120</f>
        <v>0.0771004414086727</v>
      </c>
      <c r="J3149" s="13" t="n">
        <f aca="false">Sens!$J$3135/Sens!$J$3120</f>
        <v>0.0755734540206857</v>
      </c>
      <c r="K3149" s="13" t="n">
        <f aca="false">Sens!$K$3135/Sens!$K$3120</f>
        <v>0.0738648699038725</v>
      </c>
      <c r="L3149" s="13" t="n">
        <f aca="false">Sens!$L$3135/Sens!$L$3120</f>
        <v>0.0730458232637331</v>
      </c>
      <c r="M3149" s="13" t="n">
        <f aca="false">Sens!$M$3135/Sens!$M$3120</f>
        <v>0.0751407504019795</v>
      </c>
      <c r="N3149" s="13" t="n">
        <f aca="false">Sens!$N$3135/Sens!$N$3120</f>
        <v>0.069228576611127</v>
      </c>
      <c r="O3149" s="13" t="n">
        <f aca="false">Sens!$O$3135/Sens!$O$3120</f>
        <v>0.069685022498393</v>
      </c>
    </row>
    <row r="3150" customFormat="false" ht="17.15" hidden="false" customHeight="false" outlineLevel="0" collapsed="false">
      <c r="A3150" s="0" t="s">
        <v>750</v>
      </c>
      <c r="B3150" s="0" t="s">
        <v>52</v>
      </c>
      <c r="C3150" s="13" t="n">
        <f aca="false">Sens!$C$3140/Sens!$C$3121</f>
        <v>0.026534925055631</v>
      </c>
      <c r="D3150" s="13" t="n">
        <f aca="false">Sens!$D$3140/Sens!$D$3121</f>
        <v>0.0293401855535103</v>
      </c>
      <c r="E3150" s="13" t="n">
        <f aca="false">Sens!$E$3140/Sens!$E$3121</f>
        <v>0.03831141902276</v>
      </c>
      <c r="F3150" s="13" t="n">
        <f aca="false">Sens!$F$3140/Sens!$F$3121</f>
        <v>0.028212414535324</v>
      </c>
      <c r="G3150" s="13" t="n">
        <f aca="false">Sens!$G$3140/Sens!$G$3121</f>
        <v>0.0328022281273341</v>
      </c>
      <c r="H3150" s="13" t="n">
        <f aca="false">Sens!$H$3140/Sens!$H$3121</f>
        <v>0.0309541476509736</v>
      </c>
      <c r="I3150" s="13" t="n">
        <f aca="false">Sens!$I$3140/Sens!$I$3121</f>
        <v>0.0262345269596</v>
      </c>
      <c r="J3150" s="13" t="n">
        <f aca="false">Sens!$J$3140/Sens!$J$3121</f>
        <v>0.0226161348293807</v>
      </c>
      <c r="K3150" s="13" t="n">
        <f aca="false">Sens!$K$3140/Sens!$K$3121</f>
        <v>0.018711504453671</v>
      </c>
      <c r="L3150" s="13" t="n">
        <f aca="false">Sens!$L$3140/Sens!$L$3121</f>
        <v>0.0182385998619134</v>
      </c>
      <c r="M3150" s="13" t="n">
        <f aca="false">Sens!$M$3140/Sens!$M$3121</f>
        <v>0.0206876759825124</v>
      </c>
      <c r="N3150" s="13" t="n">
        <f aca="false">Sens!$N$3140/Sens!$N$3121</f>
        <v>0.0357315650169337</v>
      </c>
      <c r="O3150" s="13" t="n">
        <f aca="false">Sens!$O$3140/Sens!$O$3121</f>
        <v>0.0244378956559703</v>
      </c>
    </row>
    <row r="3151" customFormat="false" ht="17.15" hidden="false" customHeight="false" outlineLevel="0" collapsed="false">
      <c r="A3151" s="14" t="s">
        <v>751</v>
      </c>
      <c r="B3151" s="14" t="s">
        <v>52</v>
      </c>
      <c r="C3151" s="17" t="n">
        <f aca="false">Sens!$C$3143/Sens!$C$3122</f>
        <v>0.370355907620217</v>
      </c>
      <c r="D3151" s="17" t="n">
        <f aca="false">Sens!$D$3143/Sens!$D$3122</f>
        <v>0.35429015342785</v>
      </c>
      <c r="E3151" s="17" t="n">
        <f aca="false">Sens!$E$3143/Sens!$E$3122</f>
        <v>0.385647527531039</v>
      </c>
      <c r="F3151" s="17" t="n">
        <f aca="false">Sens!$F$3143/Sens!$F$3122</f>
        <v>0.390466478624022</v>
      </c>
      <c r="G3151" s="17" t="n">
        <f aca="false">Sens!$G$3143/Sens!$G$3122</f>
        <v>0.388157169735009</v>
      </c>
      <c r="H3151" s="17" t="n">
        <f aca="false">Sens!$H$3143/Sens!$H$3122</f>
        <v>0.371379315873671</v>
      </c>
      <c r="I3151" s="17" t="n">
        <f aca="false">Sens!$I$3143/Sens!$I$3122</f>
        <v>0.341308511211233</v>
      </c>
      <c r="J3151" s="17" t="n">
        <f aca="false">Sens!$J$3143/Sens!$J$3122</f>
        <v>0.329634091830793</v>
      </c>
      <c r="K3151" s="17" t="n">
        <f aca="false">Sens!$K$3143/Sens!$K$3122</f>
        <v>0.312298265742976</v>
      </c>
      <c r="L3151" s="17" t="n">
        <f aca="false">Sens!$L$3143/Sens!$L$3122</f>
        <v>0.301229731360456</v>
      </c>
      <c r="M3151" s="17" t="n">
        <f aca="false">Sens!$M$3143/Sens!$M$3122</f>
        <v>0.29414336396719</v>
      </c>
      <c r="N3151" s="17" t="n">
        <f aca="false">Sens!$N$3143/Sens!$N$3122</f>
        <v>0.360941137346192</v>
      </c>
      <c r="O3151" s="17" t="n">
        <f aca="false">Sens!$O$3143/Sens!$O$3122</f>
        <v>0.348458117664212</v>
      </c>
    </row>
    <row r="3152" customFormat="false" ht="17.15" hidden="false" customHeight="false" outlineLevel="0" collapsed="false">
      <c r="A3152" s="0" t="s">
        <v>752</v>
      </c>
      <c r="B3152" s="0" t="s">
        <v>52</v>
      </c>
      <c r="C3152" s="13" t="n">
        <f aca="false">Sens!$C$3141/Sens!$C$3123</f>
        <v>0.764309733549586</v>
      </c>
      <c r="D3152" s="13" t="n">
        <f aca="false">Sens!$D$3141/Sens!$D$3123</f>
        <v>0.693494103486603</v>
      </c>
      <c r="E3152" s="13" t="n">
        <f aca="false">Sens!$E$3141/Sens!$E$3123</f>
        <v>0.424117502963678</v>
      </c>
      <c r="F3152" s="13" t="n">
        <f aca="false">Sens!$F$3141/Sens!$F$3123</f>
        <v>0.572005010673781</v>
      </c>
      <c r="G3152" s="13" t="n">
        <f aca="false">Sens!$G$3141/Sens!$G$3123</f>
        <v>0.516106307310309</v>
      </c>
      <c r="H3152" s="13" t="n">
        <f aca="false">Sens!$H$3141/Sens!$H$3123</f>
        <v>0.434279239115802</v>
      </c>
      <c r="I3152" s="13" t="n">
        <f aca="false">Sens!$I$3141/Sens!$I$3123</f>
        <v>0.335562603664697</v>
      </c>
      <c r="J3152" s="13" t="n">
        <f aca="false">Sens!$J$3141/Sens!$J$3123</f>
        <v>0.310437194388261</v>
      </c>
      <c r="K3152" s="13" t="n">
        <f aca="false">Sens!$K$3141/Sens!$K$3123</f>
        <v>0.276570532565904</v>
      </c>
      <c r="L3152" s="13" t="n">
        <f aca="false">Sens!$L$3141/Sens!$L$3123</f>
        <v>0.255365502982354</v>
      </c>
      <c r="M3152" s="13" t="n">
        <f aca="false">Sens!$M$3141/Sens!$M$3123</f>
        <v>0.239508444213868</v>
      </c>
      <c r="N3152" s="13" t="n">
        <f aca="false">Sens!$N$3141/Sens!$N$3123</f>
        <v>0.638508374021094</v>
      </c>
      <c r="O3152" s="13" t="n">
        <f aca="false">Sens!$O$3141/Sens!$O$3123</f>
        <v>0.723101803968031</v>
      </c>
    </row>
    <row r="3153" customFormat="false" ht="15" hidden="false" customHeight="false" outlineLevel="0" collapsed="false">
      <c r="A3153" s="5" t="s">
        <v>753</v>
      </c>
      <c r="B3153" s="0" t="s">
        <v>52</v>
      </c>
      <c r="C3153" s="13" t="n">
        <f aca="false">Sens!$C$3145/Sens!$C$3125</f>
        <v>0.107519448742004</v>
      </c>
      <c r="D3153" s="13" t="n">
        <f aca="false">Sens!$D$3145/Sens!$D$3125</f>
        <v>0.111552967957552</v>
      </c>
      <c r="E3153" s="13" t="n">
        <f aca="false">Sens!$E$3145/Sens!$E$3125</f>
        <v>0.13428328426562</v>
      </c>
      <c r="F3153" s="13" t="n">
        <f aca="false">Sens!$F$3145/Sens!$F$3125</f>
        <v>0.130248808539706</v>
      </c>
      <c r="G3153" s="13" t="n">
        <f aca="false">Sens!$G$3145/Sens!$G$3125</f>
        <v>0.132133687878218</v>
      </c>
      <c r="H3153" s="13" t="n">
        <f aca="false">Sens!$H$3145/Sens!$H$3125</f>
        <v>0.137479124441012</v>
      </c>
      <c r="I3153" s="13" t="n">
        <f aca="false">Sens!$I$3145/Sens!$I$3125</f>
        <v>0.135327288029079</v>
      </c>
      <c r="J3153" s="13" t="n">
        <f aca="false">Sens!$J$3145/Sens!$J$3125</f>
        <v>0.136637099120488</v>
      </c>
      <c r="K3153" s="13" t="n">
        <f aca="false">Sens!$K$3145/Sens!$K$3125</f>
        <v>0.134140065919439</v>
      </c>
      <c r="L3153" s="13" t="n">
        <f aca="false">Sens!$L$3145/Sens!$L$3125</f>
        <v>0.132104683688468</v>
      </c>
      <c r="M3153" s="13" t="n">
        <f aca="false">Sens!$M$3145/Sens!$M$3125</f>
        <v>0.13155391106994</v>
      </c>
      <c r="N3153" s="13" t="n">
        <f aca="false">Sens!$N$3145/Sens!$N$3125</f>
        <v>0.116201614873411</v>
      </c>
      <c r="O3153" s="13" t="n">
        <f aca="false">Sens!$O$3145/Sens!$O$3125</f>
        <v>0.107733353660861</v>
      </c>
    </row>
    <row r="3154" customFormat="false" ht="17.15" hidden="false" customHeight="false" outlineLevel="0" collapsed="false">
      <c r="A3154" s="1" t="s">
        <v>754</v>
      </c>
    </row>
    <row r="3155" customFormat="false" ht="17.15" hidden="false" customHeight="false" outlineLevel="0" collapsed="false">
      <c r="A3155" s="5" t="s">
        <v>755</v>
      </c>
      <c r="B3155" s="0" t="s">
        <v>52</v>
      </c>
      <c r="D3155" s="28" t="n">
        <f aca="false">(Q!$E$29+Q!$E$30-(1-ext_sh)*Sens!$D$3077)/Sens!$D$3028</f>
        <v>0.0341092636335377</v>
      </c>
    </row>
    <row r="3156" customFormat="false" ht="17.15" hidden="false" customHeight="false" outlineLevel="0" collapsed="false">
      <c r="A3156" s="0" t="s">
        <v>545</v>
      </c>
      <c r="B3156" s="0" t="s">
        <v>86</v>
      </c>
      <c r="C3156" s="38" t="n">
        <f aca="false">Q!$D$29</f>
        <v>14.285</v>
      </c>
      <c r="D3156" s="38" t="n">
        <f aca="false">Q!$E$29</f>
        <v>15.503</v>
      </c>
      <c r="E3156" s="38" t="n">
        <f aca="false">Q!$P$29</f>
        <v>8.78</v>
      </c>
      <c r="F3156" s="38" t="n">
        <f aca="false">(Sens!$D$3155*Sens!$F$3028+(1-ext_sh)*Sens!$F$3077)*Sens!$F$3029</f>
        <v>9.30421984677163</v>
      </c>
      <c r="G3156" s="38" t="n">
        <f aca="false">Sens!$E$3156+Sens!$F$3156</f>
        <v>18.0842198467716</v>
      </c>
      <c r="H3156" s="38" t="n">
        <f aca="false">(Sens!$D$3155*Sens!$H$3028+(1-ext_sh)*Sens!$H$3077)*Sens!$H$3029</f>
        <v>22.149831448619</v>
      </c>
      <c r="I3156" s="38" t="n">
        <f aca="false">(Sens!$D$3155*Sens!$I$3028+(1-ext_sh)*Sens!$I$3077)*Sens!$I$3029</f>
        <v>28.4380332164704</v>
      </c>
      <c r="J3156" s="38" t="n">
        <f aca="false">(Sens!$D$3155*Sens!$J$3028+(1-ext_sh)*Sens!$J$3077)*Sens!$J$3029</f>
        <v>34.1368392083452</v>
      </c>
      <c r="K3156" s="38" t="n">
        <f aca="false">(Sens!$D$3155*Sens!$K$3028+(1-ext_sh)*Sens!$K$3077)*Sens!$K$3029</f>
        <v>39.7496289633176</v>
      </c>
      <c r="L3156" s="38" t="n">
        <f aca="false">(Sens!$D$3155*Sens!$L$3028+(1-ext_sh)*Sens!$L$3077)*Sens!$L$3029</f>
        <v>44.1957034017942</v>
      </c>
      <c r="M3156" s="38" t="n">
        <f aca="false">(Sens!$D$3155*Sens!$M$3028+(1-ext_sh)*Sens!$M$3077)*Sens!$M$3029</f>
        <v>47.4669383949456</v>
      </c>
      <c r="N3156" s="38" t="n">
        <f aca="false">Q!$N$29</f>
        <v>7.272</v>
      </c>
      <c r="O3156" s="38" t="n">
        <f aca="false">Q!$O$29</f>
        <v>8.231</v>
      </c>
    </row>
    <row r="3157" customFormat="false" ht="17.15" hidden="false" customHeight="false" outlineLevel="0" collapsed="false">
      <c r="A3157" s="0" t="s">
        <v>547</v>
      </c>
      <c r="B3157" s="0" t="s">
        <v>86</v>
      </c>
      <c r="C3157" s="38" t="n">
        <f aca="false">Q!$D$30</f>
        <v>4.462</v>
      </c>
      <c r="D3157" s="38" t="n">
        <f aca="false">Q!$E$30</f>
        <v>4.907</v>
      </c>
      <c r="E3157" s="38" t="n">
        <f aca="false">Q!$P$30</f>
        <v>2.57</v>
      </c>
      <c r="F3157" s="38" t="n">
        <f aca="false">(Sens!$D$3155*Sens!$F$3028+(1-ext_sh)*Sens!$F$3077)*(1-Sens!$F$3029)</f>
        <v>3.65310744530198</v>
      </c>
      <c r="G3157" s="38" t="n">
        <f aca="false">Sens!$E$3157+Sens!$F$3157</f>
        <v>6.22310744530198</v>
      </c>
      <c r="H3157" s="38" t="n">
        <f aca="false">(Sens!$D$3155*Sens!$H$3028+(1-ext_sh)*Sens!$H$3077)*(1-Sens!$H$3029)</f>
        <v>8.48417909365597</v>
      </c>
      <c r="I3157" s="38" t="n">
        <f aca="false">(Sens!$D$3155*Sens!$I$3028+(1-ext_sh)*Sens!$I$3077)*(1-Sens!$I$3029)</f>
        <v>10.8927856827965</v>
      </c>
      <c r="J3157" s="38" t="n">
        <f aca="false">(Sens!$D$3155*Sens!$J$3028+(1-ext_sh)*Sens!$J$3077)*(1-Sens!$J$3029)</f>
        <v>13.0756325711451</v>
      </c>
      <c r="K3157" s="38" t="n">
        <f aca="false">(Sens!$D$3155*Sens!$K$3028+(1-ext_sh)*Sens!$K$3077)*(1-Sens!$K$3029)</f>
        <v>15.2255321587193</v>
      </c>
      <c r="L3157" s="38" t="n">
        <f aca="false">(Sens!$D$3155*Sens!$L$3028+(1-ext_sh)*Sens!$L$3077)*(1-Sens!$L$3029)</f>
        <v>16.9285379755926</v>
      </c>
      <c r="M3157" s="38" t="n">
        <f aca="false">(Sens!$D$3155*Sens!$M$3028+(1-ext_sh)*Sens!$M$3077)*(1-Sens!$M$3029)</f>
        <v>18.1815381893284</v>
      </c>
      <c r="N3157" s="38" t="n">
        <f aca="false">Q!$N$30</f>
        <v>2.316</v>
      </c>
      <c r="O3157" s="38" t="n">
        <f aca="false">Q!$O$30</f>
        <v>2.591</v>
      </c>
    </row>
    <row r="3158" customFormat="false" ht="17.15" hidden="false" customHeight="false" outlineLevel="0" collapsed="false">
      <c r="A3158" s="0" t="s">
        <v>548</v>
      </c>
      <c r="B3158" s="0" t="s">
        <v>86</v>
      </c>
      <c r="C3158" s="38" t="n">
        <f aca="false">Sens!$C$3089</f>
        <v>13.32</v>
      </c>
      <c r="D3158" s="38" t="n">
        <f aca="false">Sens!$D$3089</f>
        <v>21.45</v>
      </c>
      <c r="E3158" s="38" t="n">
        <f aca="false">Sens!$E$3089</f>
        <v>15.353</v>
      </c>
      <c r="F3158" s="38" t="n">
        <f aca="false">Sens!$F$3089</f>
        <v>16.004069988754</v>
      </c>
      <c r="G3158" s="38" t="n">
        <f aca="false">Sens!$G$3089</f>
        <v>31.357069988754</v>
      </c>
      <c r="H3158" s="38" t="n">
        <f aca="false">Sens!$H$3089</f>
        <v>50.4391200020923</v>
      </c>
      <c r="I3158" s="38" t="n">
        <f aca="false">Sens!$I$3089</f>
        <v>78.7396565208895</v>
      </c>
      <c r="J3158" s="38" t="n">
        <f aca="false">Sens!$J$3089</f>
        <v>104.385068833216</v>
      </c>
      <c r="K3158" s="38" t="n">
        <f aca="false">Sens!$K$3089</f>
        <v>130.455136159517</v>
      </c>
      <c r="L3158" s="38" t="n">
        <f aca="false">Sens!$L$3089</f>
        <v>149.748285900475</v>
      </c>
      <c r="M3158" s="38" t="n">
        <f aca="false">Sens!$M$3089</f>
        <v>162.196277836217</v>
      </c>
      <c r="N3158" s="38" t="n">
        <f aca="false">Sens!$N$3089</f>
        <v>9.234</v>
      </c>
      <c r="O3158" s="38" t="n">
        <f aca="false">Sens!$O$3089</f>
        <v>12.216</v>
      </c>
    </row>
    <row r="3159" customFormat="false" ht="17.15" hidden="false" customHeight="false" outlineLevel="0" collapsed="false">
      <c r="A3159" s="5" t="s">
        <v>756</v>
      </c>
      <c r="B3159" s="0" t="s">
        <v>86</v>
      </c>
      <c r="C3159" s="38" t="n">
        <f aca="false">Sens!$C$3156+Sens!$C$3157+Sens!$C$3158</f>
        <v>32.067</v>
      </c>
      <c r="D3159" s="38" t="n">
        <f aca="false">Sens!$D$3156+Sens!$D$3157+Sens!$D$3158</f>
        <v>41.86</v>
      </c>
      <c r="E3159" s="38" t="n">
        <f aca="false">Sens!$E$3156+Sens!$E$3157+Sens!$E$3158</f>
        <v>26.703</v>
      </c>
      <c r="F3159" s="38" t="n">
        <f aca="false">Sens!$F$3156+Sens!$F$3157+Sens!$F$3158</f>
        <v>28.9613972808276</v>
      </c>
      <c r="G3159" s="38" t="n">
        <f aca="false">Sens!$G$3156+Sens!$G$3157+Sens!$G$3158</f>
        <v>55.6643972808276</v>
      </c>
      <c r="H3159" s="38" t="n">
        <f aca="false">Sens!$H$3156+Sens!$H$3157+Sens!$H$3158</f>
        <v>81.0731305443673</v>
      </c>
      <c r="I3159" s="38" t="n">
        <f aca="false">Sens!$I$3156+Sens!$I$3157+Sens!$I$3158</f>
        <v>118.070475420156</v>
      </c>
      <c r="J3159" s="38" t="n">
        <f aca="false">Sens!$J$3156+Sens!$J$3157+Sens!$J$3158</f>
        <v>151.597540612706</v>
      </c>
      <c r="K3159" s="38" t="n">
        <f aca="false">Sens!$K$3156+Sens!$K$3157+Sens!$K$3158</f>
        <v>185.430297281554</v>
      </c>
      <c r="L3159" s="38" t="n">
        <f aca="false">Sens!$L$3156+Sens!$L$3157+Sens!$L$3158</f>
        <v>210.872527277861</v>
      </c>
      <c r="M3159" s="38" t="n">
        <f aca="false">Sens!$M$3156+Sens!$M$3157+Sens!$M$3158</f>
        <v>227.844754420491</v>
      </c>
      <c r="N3159" s="38" t="n">
        <f aca="false">Sens!$N$3156+Sens!$N$3157+Sens!$N$3158</f>
        <v>18.822</v>
      </c>
      <c r="O3159" s="38" t="n">
        <f aca="false">Sens!$O$3156+Sens!$O$3157+Sens!$O$3158</f>
        <v>23.038</v>
      </c>
    </row>
    <row r="3160" customFormat="false" ht="17.15" hidden="false" customHeight="false" outlineLevel="0" collapsed="false">
      <c r="A3160" s="0" t="s">
        <v>757</v>
      </c>
      <c r="B3160" s="0" t="s">
        <v>86</v>
      </c>
      <c r="C3160" s="38" t="n">
        <f aca="false">Sens!$C$3131+Sens!$C$3136</f>
        <v>28.107</v>
      </c>
      <c r="D3160" s="38" t="n">
        <f aca="false">Sens!$D$3131+Sens!$D$3136</f>
        <v>34.3175</v>
      </c>
      <c r="E3160" s="38" t="n">
        <f aca="false">Sens!$E$3131+Sens!$E$3136</f>
        <v>18.526</v>
      </c>
      <c r="F3160" s="38" t="n">
        <f aca="false">Sens!$F$3131+Sens!$F$3136</f>
        <v>23.0786109972074</v>
      </c>
      <c r="G3160" s="38" t="n">
        <f aca="false">Sens!$G$3131+Sens!$G$3136</f>
        <v>41.6046109972074</v>
      </c>
      <c r="H3160" s="38" t="n">
        <f aca="false">Sens!$H$3131+Sens!$H$3136</f>
        <v>49.9484611939488</v>
      </c>
      <c r="I3160" s="38" t="n">
        <f aca="false">Sens!$I$3131+Sens!$I$3136</f>
        <v>58.2915555477481</v>
      </c>
      <c r="J3160" s="38" t="n">
        <f aca="false">Sens!$J$3131+Sens!$J$3136</f>
        <v>66.0744709709759</v>
      </c>
      <c r="K3160" s="38" t="n">
        <f aca="false">Sens!$K$3131+Sens!$K$3136</f>
        <v>72.6819180680735</v>
      </c>
      <c r="L3160" s="38" t="n">
        <f aca="false">Sens!$L$3131+Sens!$L$3136</f>
        <v>79.9501098748808</v>
      </c>
      <c r="M3160" s="38" t="n">
        <f aca="false">Sens!$M$3131+Sens!$M$3136</f>
        <v>87.9451208623689</v>
      </c>
      <c r="N3160" s="38" t="n">
        <f aca="false">Sens!$N$3131+Sens!$N$3136</f>
        <v>14.8075</v>
      </c>
      <c r="O3160" s="38" t="n">
        <f aca="false">Sens!$O$3131+Sens!$O$3136</f>
        <v>19.51</v>
      </c>
    </row>
    <row r="3161" customFormat="false" ht="17.15" hidden="false" customHeight="false" outlineLevel="0" collapsed="false">
      <c r="A3161" s="0" t="s">
        <v>758</v>
      </c>
      <c r="B3161" s="0" t="s">
        <v>86</v>
      </c>
      <c r="C3161" s="38" t="n">
        <f aca="false">Sens!$C$3135+Sens!$C$3140+Sens!$C$3156+Sens!$C$3157-Sens!$C$3160</f>
        <v>19.399</v>
      </c>
      <c r="D3161" s="38" t="n">
        <f aca="false">Sens!$D$3135+Sens!$D$3140+Sens!$D$3156+Sens!$D$3157-Sens!$D$3160</f>
        <v>20.4615</v>
      </c>
      <c r="E3161" s="38" t="n">
        <f aca="false">Sens!$E$3135+Sens!$E$3140+Sens!$E$3156+Sens!$E$3157-Sens!$E$3160</f>
        <v>13.355</v>
      </c>
      <c r="F3161" s="38" t="n">
        <f aca="false">Sens!$F$3135+Sens!$F$3140+Sens!$F$3156+Sens!$F$3157-Sens!$F$3160</f>
        <v>12.7696880109952</v>
      </c>
      <c r="G3161" s="38" t="n">
        <f aca="false">Sens!$G$3135+Sens!$G$3140+Sens!$G$3156+Sens!$G$3157-Sens!$G$3160</f>
        <v>26.1246880109952</v>
      </c>
      <c r="H3161" s="38" t="n">
        <f aca="false">Sens!$H$3135+Sens!$H$3140+Sens!$H$3156+Sens!$H$3157-Sens!$H$3160</f>
        <v>28.4697201834437</v>
      </c>
      <c r="I3161" s="38" t="n">
        <f aca="false">Sens!$I$3135+Sens!$I$3140+Sens!$I$3156+Sens!$I$3157-Sens!$I$3160</f>
        <v>30.726847875449</v>
      </c>
      <c r="J3161" s="38" t="n">
        <f aca="false">Sens!$J$3135+Sens!$J$3140+Sens!$J$3156+Sens!$J$3157-Sens!$J$3160</f>
        <v>32.976263960011</v>
      </c>
      <c r="K3161" s="38" t="n">
        <f aca="false">Sens!$K$3135+Sens!$K$3140+Sens!$K$3156+Sens!$K$3157-Sens!$K$3160</f>
        <v>35.3861066562546</v>
      </c>
      <c r="L3161" s="38" t="n">
        <f aca="false">Sens!$L$3135+Sens!$L$3140+Sens!$L$3156+Sens!$L$3157-Sens!$L$3160</f>
        <v>37.0209831575859</v>
      </c>
      <c r="M3161" s="38" t="n">
        <f aca="false">Sens!$M$3135+Sens!$M$3140+Sens!$M$3156+Sens!$M$3157-Sens!$M$3160</f>
        <v>39.453725459818</v>
      </c>
      <c r="N3161" s="38" t="n">
        <f aca="false">Sens!$N$3135+Sens!$N$3140+Sens!$N$3156+Sens!$N$3157-Sens!$N$3160</f>
        <v>10.6495</v>
      </c>
      <c r="O3161" s="38" t="n">
        <f aca="false">Sens!$O$3135+Sens!$O$3140+Sens!$O$3156+Sens!$O$3157-Sens!$O$3160</f>
        <v>9.81200000000001</v>
      </c>
    </row>
    <row r="3162" customFormat="false" ht="17.15" hidden="false" customHeight="false" outlineLevel="0" collapsed="false">
      <c r="A3162" s="0" t="s">
        <v>759</v>
      </c>
      <c r="B3162" s="0" t="s">
        <v>86</v>
      </c>
      <c r="C3162" s="38" t="n">
        <f aca="false">Sens!$C$3142+Sens!$C$3158-ext_sh*Sens!$C$3077</f>
        <v>50.7834399839246</v>
      </c>
      <c r="D3162" s="38" t="n">
        <f aca="false">Sens!$D$3142+Sens!$D$3158-ext_sh*Sens!$D$3077</f>
        <v>58.1663999397174</v>
      </c>
      <c r="E3162" s="38" t="n">
        <f aca="false">Sens!$E$3142+Sens!$E$3158-ext_sh*Sens!$E$3077</f>
        <v>37.4429466077237</v>
      </c>
      <c r="F3162" s="38" t="n">
        <f aca="false">Sens!$F$3142+Sens!$F$3158-ext_sh*Sens!$F$3077</f>
        <v>35.7120627412897</v>
      </c>
      <c r="G3162" s="38" t="n">
        <f aca="false">Sens!$G$3142+Sens!$G$3158-ext_sh*Sens!$G$3077</f>
        <v>73.1550093490134</v>
      </c>
      <c r="H3162" s="38" t="n">
        <f aca="false">Sens!$H$3142+Sens!$H$3158-ext_sh*Sens!$H$3077</f>
        <v>79.5717682292495</v>
      </c>
      <c r="I3162" s="38" t="n">
        <f aca="false">Sens!$I$3142+Sens!$I$3158-ext_sh*Sens!$I$3077</f>
        <v>87.7857962884455</v>
      </c>
      <c r="J3162" s="38" t="n">
        <f aca="false">Sens!$J$3142+Sens!$J$3158-ext_sh*Sens!$J$3077</f>
        <v>95.8282006818698</v>
      </c>
      <c r="K3162" s="38" t="n">
        <f aca="false">Sens!$K$3142+Sens!$K$3158-ext_sh*Sens!$K$3077</f>
        <v>103.494456736419</v>
      </c>
      <c r="L3162" s="38" t="n">
        <f aca="false">Sens!$L$3142+Sens!$L$3158-ext_sh*Sens!$L$3077</f>
        <v>111.774013275333</v>
      </c>
      <c r="M3162" s="38" t="n">
        <f aca="false">Sens!$M$3142+Sens!$M$3158-ext_sh*Sens!$M$3077</f>
        <v>120.71593433736</v>
      </c>
      <c r="N3162" s="38" t="n">
        <f aca="false">Sens!$N$3142+Sens!$N$3158-ext_sh*Sens!$N$3077</f>
        <v>27.8296399789011</v>
      </c>
      <c r="O3162" s="38" t="n">
        <f aca="false">Sens!$O$3142+Sens!$O$3158-ext_sh*Sens!$O$3077</f>
        <v>30.3367599608163</v>
      </c>
    </row>
    <row r="3163" customFormat="false" ht="17.15" hidden="false" customHeight="false" outlineLevel="0" collapsed="false">
      <c r="A3163" s="0" t="s">
        <v>760</v>
      </c>
      <c r="B3163" s="0" t="s">
        <v>86</v>
      </c>
      <c r="C3163" s="38" t="n">
        <f aca="false">Sens!$C$3080</f>
        <v>2.37056001607536</v>
      </c>
      <c r="D3163" s="38" t="n">
        <f aca="false">Sens!$D$3080</f>
        <v>8.8896000602826</v>
      </c>
      <c r="E3163" s="38" t="n">
        <f aca="false">Sens!$E$3080</f>
        <v>8.69205339227632</v>
      </c>
      <c r="F3163" s="38" t="n">
        <f aca="false">Sens!$F$3080</f>
        <v>14.1623678356515</v>
      </c>
      <c r="G3163" s="38" t="n">
        <f aca="false">Sens!$G$3080</f>
        <v>22.8544212279278</v>
      </c>
      <c r="H3163" s="38" t="n">
        <f aca="false">Sens!$H$3080</f>
        <v>52.4017929456071</v>
      </c>
      <c r="I3163" s="38" t="n">
        <f aca="false">Sens!$I$3080</f>
        <v>85.4385895039285</v>
      </c>
      <c r="J3163" s="38" t="n">
        <f aca="false">Sens!$J$3080</f>
        <v>118.643937074445</v>
      </c>
      <c r="K3163" s="38" t="n">
        <f aca="false">Sens!$K$3080</f>
        <v>146.969031731731</v>
      </c>
      <c r="L3163" s="38" t="n">
        <f aca="false">Sens!$L$3080</f>
        <v>165.584266397602</v>
      </c>
      <c r="M3163" s="38" t="n">
        <f aca="false">Sens!$M$3080</f>
        <v>174.462227381355</v>
      </c>
      <c r="N3163" s="38" t="n">
        <f aca="false">Sens!$N$3080</f>
        <v>3.11136002109891</v>
      </c>
      <c r="O3163" s="38" t="n">
        <f aca="false">Sens!$O$3080</f>
        <v>5.77824003918369</v>
      </c>
    </row>
    <row r="3164" customFormat="false" ht="17.15" hidden="false" customHeight="false" outlineLevel="0" collapsed="false">
      <c r="A3164" s="0" t="s">
        <v>761</v>
      </c>
      <c r="B3164" s="0" t="s">
        <v>86</v>
      </c>
      <c r="C3164" s="38" t="n">
        <f aca="false">Sens!$C$3145+Sens!$C$3159</f>
        <v>100.66</v>
      </c>
      <c r="D3164" s="38" t="n">
        <f aca="false">Sens!$D$3145+Sens!$D$3159</f>
        <v>121.835</v>
      </c>
      <c r="E3164" s="38" t="n">
        <f aca="false">Sens!$E$3145+Sens!$E$3159</f>
        <v>78.016</v>
      </c>
      <c r="F3164" s="38" t="n">
        <f aca="false">Sens!$F$3145+Sens!$F$3159</f>
        <v>85.7227295851438</v>
      </c>
      <c r="G3164" s="38" t="n">
        <f aca="false">Sens!$G$3145+Sens!$G$3159</f>
        <v>163.738729585144</v>
      </c>
      <c r="H3164" s="38" t="n">
        <f aca="false">Sens!$H$3145+Sens!$H$3159</f>
        <v>210.391742552249</v>
      </c>
      <c r="I3164" s="38" t="n">
        <f aca="false">Sens!$I$3145+Sens!$I$3159</f>
        <v>262.242789215571</v>
      </c>
      <c r="J3164" s="38" t="n">
        <f aca="false">Sens!$J$3145+Sens!$J$3159</f>
        <v>313.522872687302</v>
      </c>
      <c r="K3164" s="38" t="n">
        <f aca="false">Sens!$K$3145+Sens!$K$3159</f>
        <v>358.531513192479</v>
      </c>
      <c r="L3164" s="38" t="n">
        <f aca="false">Sens!$L$3145+Sens!$L$3159</f>
        <v>394.329372705402</v>
      </c>
      <c r="M3164" s="38" t="n">
        <f aca="false">Sens!$M$3145+Sens!$M$3159</f>
        <v>422.577008040902</v>
      </c>
      <c r="N3164" s="38" t="n">
        <f aca="false">Sens!$N$3145+Sens!$N$3159</f>
        <v>56.398</v>
      </c>
      <c r="O3164" s="38" t="n">
        <f aca="false">Sens!$O$3145+Sens!$O$3159</f>
        <v>65.437</v>
      </c>
    </row>
    <row r="3165" customFormat="false" ht="17.15" hidden="false" customHeight="false" outlineLevel="0" collapsed="false">
      <c r="A3165" s="1" t="s">
        <v>762</v>
      </c>
    </row>
    <row r="3166" customFormat="false" ht="15" hidden="false" customHeight="false" outlineLevel="0" collapsed="false">
      <c r="A3166" s="5" t="s">
        <v>551</v>
      </c>
      <c r="B3166" s="0" t="s">
        <v>86</v>
      </c>
      <c r="C3166" s="38" t="n">
        <f aca="false">Q!$D$34</f>
        <v>2.406</v>
      </c>
      <c r="D3166" s="38" t="n">
        <f aca="false">Q!$E$34</f>
        <v>2.274</v>
      </c>
      <c r="E3166" s="38" t="n">
        <f aca="false">Q!$P$34</f>
        <v>2.114</v>
      </c>
      <c r="F3166" s="38" t="n">
        <f aca="false">Sens!$F$3204</f>
        <v>3.24888962733561</v>
      </c>
      <c r="G3166" s="38" t="n">
        <f aca="false">Sens!$E$3166+Sens!$F$3166</f>
        <v>5.36288962733561</v>
      </c>
      <c r="H3166" s="38" t="n">
        <f aca="false">Sens!$H$3204</f>
        <v>7.42354172302123</v>
      </c>
      <c r="I3166" s="38" t="n">
        <f aca="false">Sens!$I$3204</f>
        <v>7.79774371165308</v>
      </c>
      <c r="J3166" s="38" t="n">
        <f aca="false">Sens!$J$3204</f>
        <v>8.7541256576172</v>
      </c>
      <c r="K3166" s="38" t="n">
        <f aca="false">Sens!$K$3204</f>
        <v>8.7541256576172</v>
      </c>
      <c r="L3166" s="38" t="n">
        <f aca="false">Sens!$L$3204</f>
        <v>8.7541256576172</v>
      </c>
      <c r="M3166" s="38" t="n">
        <f aca="false">Sens!$M$3204</f>
        <v>8.7541256576172</v>
      </c>
      <c r="N3166" s="38" t="n">
        <f aca="false">Q!$N$34</f>
        <v>1.057</v>
      </c>
      <c r="O3166" s="38" t="n">
        <f aca="false">Q!$O$34</f>
        <v>1.217</v>
      </c>
    </row>
    <row r="3167" customFormat="false" ht="15" hidden="false" customHeight="false" outlineLevel="0" collapsed="false">
      <c r="A3167" s="5" t="s">
        <v>763</v>
      </c>
      <c r="B3167" s="0" t="s">
        <v>86</v>
      </c>
      <c r="F3167" s="38" t="n">
        <f aca="false">Sens!$F$3205</f>
        <v>2.59</v>
      </c>
      <c r="H3167" s="38" t="n">
        <f aca="false">Sens!$H$3205</f>
        <v>4.12111605430543</v>
      </c>
      <c r="I3167" s="38" t="n">
        <f aca="false">Sens!$I$3205</f>
        <v>2.10589651022864</v>
      </c>
      <c r="J3167" s="38" t="n">
        <f aca="false">Sens!$J$3205</f>
        <v>2.10589651022864</v>
      </c>
      <c r="K3167" s="38" t="n">
        <f aca="false">Sens!$K$3205</f>
        <v>3.14445777256539</v>
      </c>
      <c r="L3167" s="38" t="n">
        <f aca="false">Sens!$L$3205</f>
        <v>8.23596375779199</v>
      </c>
      <c r="M3167" s="38" t="n">
        <f aca="false">Sens!$M$3205</f>
        <v>15.7855307604293</v>
      </c>
    </row>
    <row r="3168" customFormat="false" ht="17.15" hidden="false" customHeight="false" outlineLevel="0" collapsed="false">
      <c r="A3168" s="5" t="s">
        <v>764</v>
      </c>
      <c r="B3168" s="0" t="s">
        <v>86</v>
      </c>
      <c r="C3168" s="38" t="n">
        <f aca="false">Q!$D$39</f>
        <v>2.427</v>
      </c>
      <c r="D3168" s="38" t="n">
        <f aca="false">Q!$E$39</f>
        <v>19.61</v>
      </c>
      <c r="E3168" s="38" t="n">
        <f aca="false">Q!$P$39</f>
        <v>71.492</v>
      </c>
      <c r="F3168" s="39" t="n">
        <v>0</v>
      </c>
      <c r="G3168" s="38" t="n">
        <f aca="false">Sens!$E$3168+Sens!$F$3168</f>
        <v>71.492</v>
      </c>
      <c r="H3168" s="39" t="n">
        <v>0</v>
      </c>
      <c r="I3168" s="39" t="n">
        <v>0</v>
      </c>
      <c r="J3168" s="39" t="n">
        <v>0</v>
      </c>
      <c r="K3168" s="39" t="n">
        <v>0</v>
      </c>
      <c r="L3168" s="39" t="n">
        <v>0</v>
      </c>
      <c r="M3168" s="39" t="n">
        <v>0</v>
      </c>
      <c r="N3168" s="38" t="n">
        <f aca="false">Q!$N$39</f>
        <v>6.017</v>
      </c>
      <c r="O3168" s="38" t="n">
        <f aca="false">Q!$O$39</f>
        <v>13.593</v>
      </c>
      <c r="P3168" s="5" t="s">
        <v>765</v>
      </c>
    </row>
    <row r="3169" customFormat="false" ht="15" hidden="false" customHeight="false" outlineLevel="0" collapsed="false">
      <c r="A3169" s="5" t="s">
        <v>554</v>
      </c>
      <c r="B3169" s="0" t="s">
        <v>86</v>
      </c>
      <c r="C3169" s="38" t="n">
        <f aca="false">Q!$D$36</f>
        <v>68.614</v>
      </c>
      <c r="D3169" s="38" t="n">
        <f aca="false">Q!$E$36</f>
        <v>97.311</v>
      </c>
      <c r="E3169" s="38" t="n">
        <f aca="false">Q!$P$36</f>
        <v>120.691</v>
      </c>
      <c r="F3169" s="38" t="n">
        <f aca="false">Sens!$F$3145-Sens!$F$3166+Sens!$F$3167+Sens!$F$3168</f>
        <v>56.1024426769806</v>
      </c>
      <c r="G3169" s="38" t="n">
        <f aca="false">Sens!$E$3169+Sens!$F$3169</f>
        <v>176.793442676981</v>
      </c>
      <c r="H3169" s="38" t="n">
        <f aca="false">Sens!$H$3145-Sens!$H$3166+Sens!$H$3167+Sens!$H$3168</f>
        <v>126.016186339166</v>
      </c>
      <c r="I3169" s="38" t="n">
        <f aca="false">Sens!$I$3145-Sens!$I$3166+Sens!$I$3167+Sens!$I$3168</f>
        <v>138.48046659399</v>
      </c>
      <c r="J3169" s="38" t="n">
        <f aca="false">Sens!$J$3145-Sens!$J$3166+Sens!$J$3167+Sens!$J$3168</f>
        <v>155.277102927207</v>
      </c>
      <c r="K3169" s="38" t="n">
        <f aca="false">Sens!$K$3145-Sens!$K$3166+Sens!$K$3167+Sens!$K$3168</f>
        <v>167.491548025873</v>
      </c>
      <c r="L3169" s="38" t="n">
        <f aca="false">Sens!$L$3145-Sens!$L$3166+Sens!$L$3167+Sens!$L$3168</f>
        <v>182.938683527715</v>
      </c>
      <c r="M3169" s="38" t="n">
        <f aca="false">Sens!$M$3145-Sens!$M$3166+Sens!$M$3167+Sens!$M$3168</f>
        <v>201.763658723223</v>
      </c>
      <c r="N3169" s="38" t="n">
        <f aca="false">Q!$N$36</f>
        <v>42.536</v>
      </c>
      <c r="O3169" s="38" t="n">
        <f aca="false">Q!$O$36</f>
        <v>54.775</v>
      </c>
    </row>
    <row r="3170" customFormat="false" ht="15" hidden="false" customHeight="false" outlineLevel="0" collapsed="false">
      <c r="A3170" s="5" t="s">
        <v>555</v>
      </c>
      <c r="B3170" s="0" t="s">
        <v>86</v>
      </c>
      <c r="C3170" s="38" t="n">
        <f aca="false">Q!$D$37</f>
        <v>9.265</v>
      </c>
      <c r="D3170" s="38" t="n">
        <f aca="false">Q!$E$37</f>
        <v>19.087</v>
      </c>
      <c r="E3170" s="38" t="n">
        <f aca="false">Q!$P$37</f>
        <v>27.759</v>
      </c>
      <c r="F3170" s="38" t="n">
        <f aca="false">Sens!$F$3169*tax</f>
        <v>9.73851595436691</v>
      </c>
      <c r="G3170" s="38" t="n">
        <f aca="false">Sens!$E$3170+Sens!$F$3170</f>
        <v>37.4975159543669</v>
      </c>
      <c r="H3170" s="38" t="n">
        <f aca="false">Sens!$H$3169*tax</f>
        <v>21.8744600522711</v>
      </c>
      <c r="I3170" s="38" t="n">
        <f aca="false">Sens!$I$3169*tax</f>
        <v>24.0380662399766</v>
      </c>
      <c r="J3170" s="38" t="n">
        <f aca="false">Sens!$J$3169*tax</f>
        <v>26.9537024067036</v>
      </c>
      <c r="K3170" s="38" t="n">
        <f aca="false">Sens!$K$3169*tax</f>
        <v>29.073941077094</v>
      </c>
      <c r="L3170" s="38" t="n">
        <f aca="false">Sens!$L$3169*tax</f>
        <v>31.7553247808321</v>
      </c>
      <c r="M3170" s="38" t="n">
        <f aca="false">Sens!$M$3169*tax</f>
        <v>35.0230491887968</v>
      </c>
      <c r="N3170" s="38" t="n">
        <f aca="false">Q!$N$37</f>
        <v>7.231</v>
      </c>
      <c r="O3170" s="38" t="n">
        <f aca="false">Q!$O$37</f>
        <v>11.856</v>
      </c>
    </row>
    <row r="3171" customFormat="false" ht="15" hidden="false" customHeight="false" outlineLevel="0" collapsed="false">
      <c r="A3171" s="3" t="s">
        <v>556</v>
      </c>
      <c r="B3171" s="8" t="s">
        <v>86</v>
      </c>
      <c r="C3171" s="38" t="n">
        <f aca="false">Q!$D$38</f>
        <v>59.248</v>
      </c>
      <c r="D3171" s="38" t="n">
        <f aca="false">Q!$E$38</f>
        <v>77.67</v>
      </c>
      <c r="E3171" s="38" t="n">
        <f aca="false">Q!$P$38</f>
        <v>92.902</v>
      </c>
      <c r="F3171" s="38" t="n">
        <f aca="false">Sens!$F$3169-Sens!$F$3170</f>
        <v>46.3639267226137</v>
      </c>
      <c r="G3171" s="38" t="n">
        <f aca="false">Sens!$E$3171+Sens!$F$3171</f>
        <v>139.265926722614</v>
      </c>
      <c r="H3171" s="38" t="n">
        <f aca="false">Sens!$H$3169-Sens!$H$3170</f>
        <v>104.141726286895</v>
      </c>
      <c r="I3171" s="38" t="n">
        <f aca="false">Sens!$I$3169-Sens!$I$3170</f>
        <v>114.442400354014</v>
      </c>
      <c r="J3171" s="38" t="n">
        <f aca="false">Sens!$J$3169-Sens!$J$3170</f>
        <v>128.323400520504</v>
      </c>
      <c r="K3171" s="38" t="n">
        <f aca="false">Sens!$K$3169-Sens!$K$3170</f>
        <v>138.417606948779</v>
      </c>
      <c r="L3171" s="38" t="n">
        <f aca="false">Sens!$L$3169-Sens!$L$3170</f>
        <v>151.183358746883</v>
      </c>
      <c r="M3171" s="38" t="n">
        <f aca="false">Sens!$M$3169-Sens!$M$3170</f>
        <v>166.740609534426</v>
      </c>
      <c r="N3171" s="38" t="n">
        <f aca="false">Q!$N$38</f>
        <v>35.291</v>
      </c>
      <c r="O3171" s="38" t="n">
        <f aca="false">Q!$O$38</f>
        <v>42.379</v>
      </c>
    </row>
    <row r="3172" customFormat="false" ht="17.15" hidden="false" customHeight="false" outlineLevel="0" collapsed="false">
      <c r="A3172" s="5" t="s">
        <v>559</v>
      </c>
      <c r="B3172" s="5" t="s">
        <v>33</v>
      </c>
      <c r="C3172" s="22" t="n">
        <f aca="false">Q!$D$41</f>
        <v>10.721</v>
      </c>
      <c r="D3172" s="22" t="n">
        <f aca="false">Q!$E$41</f>
        <v>10.827</v>
      </c>
      <c r="E3172" s="22" t="n">
        <f aca="false">(Q!$L$41+Q!$M$41)/2</f>
        <v>10.8885</v>
      </c>
      <c r="F3172" s="22" t="n">
        <f aca="false">Sens!$G$3172</f>
        <v>10.924806</v>
      </c>
      <c r="G3172" s="22" t="n">
        <f aca="false">Q!$M$41*(1+sh_g*0.25)</f>
        <v>10.924806</v>
      </c>
      <c r="H3172" s="22" t="n">
        <f aca="false">Sens!$G$3172*(1+sh_g)</f>
        <v>11.012204448</v>
      </c>
      <c r="I3172" s="22" t="n">
        <f aca="false">Sens!$H$3172*(1+sh_g)</f>
        <v>11.100302083584</v>
      </c>
      <c r="J3172" s="22" t="n">
        <f aca="false">Sens!$I$3172*(1+sh_g)</f>
        <v>11.1891045002527</v>
      </c>
      <c r="K3172" s="22" t="n">
        <f aca="false">Sens!$J$3172*(1+sh_g)</f>
        <v>11.2786173362547</v>
      </c>
      <c r="L3172" s="22" t="n">
        <f aca="false">Sens!$K$3172*(1+sh_g)</f>
        <v>11.3688462749447</v>
      </c>
      <c r="M3172" s="22" t="n">
        <f aca="false">Sens!$L$3172*(1+sh_g)</f>
        <v>11.4597970451443</v>
      </c>
      <c r="P3172" s="5" t="s">
        <v>766</v>
      </c>
    </row>
    <row r="3173" customFormat="false" ht="17.15" hidden="false" customHeight="false" outlineLevel="0" collapsed="false">
      <c r="A3173" s="5" t="s">
        <v>767</v>
      </c>
      <c r="B3173" s="0" t="s">
        <v>86</v>
      </c>
      <c r="C3173" s="38" t="n">
        <f aca="false">Sens!$C$3171+Sens!$C$3147*(1-tax)</f>
        <v>59.248</v>
      </c>
      <c r="D3173" s="38" t="n">
        <f aca="false">Sens!$D$3171+Sens!$D$3147*(1-tax)</f>
        <v>77.67</v>
      </c>
      <c r="E3173" s="38" t="n">
        <f aca="false">Sens!$E$3171+Sens!$E$3147*(1-tax)</f>
        <v>92.902</v>
      </c>
      <c r="F3173" s="38" t="n">
        <f aca="false">Sens!$F$3171+Sens!$F$3147*(1-tax)</f>
        <v>49.4805216822623</v>
      </c>
      <c r="G3173" s="38" t="n">
        <f aca="false">Sens!$G$3171+Sens!$G$3147*(1-tax)</f>
        <v>142.382521682262</v>
      </c>
      <c r="H3173" s="38" t="n">
        <f aca="false">Sens!$H$3171+Sens!$H$3147*(1-tax)</f>
        <v>116.67312224224</v>
      </c>
      <c r="I3173" s="38" t="n">
        <f aca="false">Sens!$I$3171+Sens!$I$3147*(1-tax)</f>
        <v>135.583665428953</v>
      </c>
      <c r="J3173" s="38" t="n">
        <f aca="false">Sens!$J$3171+Sens!$J$3147*(1-tax)</f>
        <v>158.112837464787</v>
      </c>
      <c r="K3173" s="38" t="n">
        <f aca="false">Sens!$K$3171+Sens!$K$3147*(1-tax)</f>
        <v>175.584912645438</v>
      </c>
      <c r="L3173" s="38" t="n">
        <f aca="false">Sens!$L$3171+Sens!$L$3147*(1-tax)</f>
        <v>193.199436087438</v>
      </c>
      <c r="M3173" s="38" t="n">
        <f aca="false">Sens!$M$3171+Sens!$M$3147*(1-tax)</f>
        <v>211.070131725266</v>
      </c>
      <c r="N3173" s="38" t="n">
        <f aca="false">Sens!$N$3171+Sens!$N$3147*(1-tax)</f>
        <v>35.291</v>
      </c>
      <c r="O3173" s="38" t="n">
        <f aca="false">Sens!$O$3171+Sens!$O$3147*(1-tax)</f>
        <v>42.379</v>
      </c>
    </row>
    <row r="3174" customFormat="false" ht="17.15" hidden="false" customHeight="false" outlineLevel="0" collapsed="false">
      <c r="A3174" s="43" t="s">
        <v>768</v>
      </c>
      <c r="B3174" s="14" t="s">
        <v>27</v>
      </c>
      <c r="C3174" s="44" t="n">
        <f aca="false">Sens!$C$3173/Sens!$C$3172</f>
        <v>5.52635015390355</v>
      </c>
      <c r="D3174" s="44" t="n">
        <f aca="false">Sens!$D$3173/Sens!$D$3172</f>
        <v>7.1737323358271</v>
      </c>
      <c r="E3174" s="44" t="n">
        <f aca="false">Sens!$E$3173/Sens!$E$3172</f>
        <v>8.53212104513937</v>
      </c>
      <c r="F3174" s="14"/>
      <c r="G3174" s="44" t="n">
        <f aca="false">Sens!$G$3173/Sens!$G$3172</f>
        <v>13.03295652868</v>
      </c>
      <c r="H3174" s="44" t="n">
        <f aca="false">Sens!$H$3173/Sens!$H$3172</f>
        <v>10.5948924934307</v>
      </c>
      <c r="I3174" s="44" t="n">
        <f aca="false">Sens!$I$3173/Sens!$I$3172</f>
        <v>12.2144122212192</v>
      </c>
      <c r="J3174" s="44" t="n">
        <f aca="false">Sens!$J$3173/Sens!$J$3172</f>
        <v>14.1309644092802</v>
      </c>
      <c r="K3174" s="44" t="n">
        <f aca="false">Sens!$K$3173/Sens!$K$3172</f>
        <v>15.56794662064</v>
      </c>
      <c r="L3174" s="44" t="n">
        <f aca="false">Sens!$L$3173/Sens!$L$3172</f>
        <v>16.9937592096061</v>
      </c>
      <c r="M3174" s="44" t="n">
        <f aca="false">Sens!$M$3173/Sens!$M$3172</f>
        <v>18.4183132470658</v>
      </c>
      <c r="N3174" s="14"/>
      <c r="O3174" s="14"/>
    </row>
    <row r="3175" customFormat="false" ht="17.15" hidden="false" customHeight="false" outlineLevel="0" collapsed="false">
      <c r="A3175" s="0" t="s">
        <v>769</v>
      </c>
      <c r="B3175" s="0" t="s">
        <v>27</v>
      </c>
      <c r="C3175" s="30" t="n">
        <f aca="false">Sens!$C$3171/Sens!$C$3172</f>
        <v>5.52635015390355</v>
      </c>
      <c r="D3175" s="30" t="n">
        <f aca="false">Sens!$D$3171/Sens!$D$3172</f>
        <v>7.1737323358271</v>
      </c>
      <c r="E3175" s="30" t="n">
        <f aca="false">Sens!$E$3171/Sens!$E$3172</f>
        <v>8.53212104513937</v>
      </c>
      <c r="G3175" s="30" t="n">
        <f aca="false">Sens!$G$3171/Sens!$G$3172</f>
        <v>12.7476796130397</v>
      </c>
      <c r="H3175" s="30" t="n">
        <f aca="false">Sens!$H$3171/Sens!$H$3172</f>
        <v>9.45693723528796</v>
      </c>
      <c r="I3175" s="30" t="n">
        <f aca="false">Sens!$I$3171/Sens!$I$3172</f>
        <v>10.3098455782803</v>
      </c>
      <c r="J3175" s="30" t="n">
        <f aca="false">Sens!$J$3171/Sens!$J$3172</f>
        <v>11.4686032754101</v>
      </c>
      <c r="K3175" s="30" t="n">
        <f aca="false">Sens!$K$3171/Sens!$K$3172</f>
        <v>12.2725687752382</v>
      </c>
      <c r="L3175" s="30" t="n">
        <f aca="false">Sens!$L$3171/Sens!$L$3172</f>
        <v>13.2980387886913</v>
      </c>
      <c r="M3175" s="30" t="n">
        <f aca="false">Sens!$M$3171/Sens!$M$3172</f>
        <v>14.5500490870453</v>
      </c>
    </row>
    <row r="3176" customFormat="false" ht="17.15" hidden="false" customHeight="false" outlineLevel="0" collapsed="false">
      <c r="A3176" s="0" t="s">
        <v>770</v>
      </c>
      <c r="B3176" s="0" t="s">
        <v>27</v>
      </c>
      <c r="C3176" s="30" t="n">
        <f aca="false">(Sens!$C$3171-Sens!$C$3168*(1-tax))/Sens!$C$3172</f>
        <v>5.33926775917445</v>
      </c>
      <c r="D3176" s="30" t="n">
        <f aca="false">(Sens!$D$3171-Sens!$D$3168*(1-tax))/Sens!$D$3172</f>
        <v>5.67691812755503</v>
      </c>
      <c r="E3176" s="30" t="n">
        <f aca="false">(Sens!$E$3171-Sens!$E$3168*(1-tax))/Sens!$E$3172</f>
        <v>3.10602057006846</v>
      </c>
      <c r="G3176" s="30" t="n">
        <f aca="false">(Sens!$G$3171-Sens!$G$3168*(1-tax))/Sens!$G$3172</f>
        <v>7.33961149514271</v>
      </c>
      <c r="H3176" s="30" t="n">
        <f aca="false">(Sens!$H$3171-Sens!$H$3168*(1-tax))/Sens!$H$3172</f>
        <v>9.45693723528796</v>
      </c>
      <c r="I3176" s="30" t="n">
        <f aca="false">(Sens!$I$3171-Sens!$I$3168*(1-tax))/Sens!$I$3172</f>
        <v>10.3098455782803</v>
      </c>
      <c r="J3176" s="30" t="n">
        <f aca="false">(Sens!$J$3171-Sens!$J$3168*(1-tax))/Sens!$J$3172</f>
        <v>11.4686032754101</v>
      </c>
      <c r="K3176" s="30" t="n">
        <f aca="false">(Sens!$K$3171-Sens!$K$3168*(1-tax))/Sens!$K$3172</f>
        <v>12.2725687752382</v>
      </c>
      <c r="L3176" s="30" t="n">
        <f aca="false">(Sens!$L$3171-Sens!$L$3168*(1-tax))/Sens!$L$3172</f>
        <v>13.2980387886913</v>
      </c>
      <c r="M3176" s="30" t="n">
        <f aca="false">(Sens!$M$3171-Sens!$M$3168*(1-tax))/Sens!$M$3172</f>
        <v>14.5500490870453</v>
      </c>
      <c r="P3176" s="5" t="s">
        <v>771</v>
      </c>
    </row>
    <row r="3177" customFormat="false" ht="17.15" hidden="false" customHeight="false" outlineLevel="0" collapsed="false">
      <c r="A3177" s="0" t="s">
        <v>772</v>
      </c>
      <c r="B3177" s="0" t="s">
        <v>52</v>
      </c>
      <c r="H3177" s="13" t="n">
        <f aca="false">Sens!$H$3174/Sens!$G$3174-1</f>
        <v>-0.187069145046569</v>
      </c>
      <c r="I3177" s="13" t="n">
        <f aca="false">Sens!$I$3174/Sens!$H$3174-1</f>
        <v>0.152858533372812</v>
      </c>
      <c r="J3177" s="13" t="n">
        <f aca="false">Sens!$J$3174/Sens!$I$3174-1</f>
        <v>0.156909080302001</v>
      </c>
      <c r="K3177" s="13" t="n">
        <f aca="false">Sens!$K$3174/Sens!$J$3174-1</f>
        <v>0.101690314244662</v>
      </c>
      <c r="L3177" s="13" t="n">
        <f aca="false">Sens!$L$3174/Sens!$K$3174-1</f>
        <v>0.0915864258601558</v>
      </c>
      <c r="M3177" s="13" t="n">
        <f aca="false">Sens!$M$3174/Sens!$L$3174-1</f>
        <v>0.0838280700514094</v>
      </c>
    </row>
    <row r="3180" customFormat="false" ht="19.4" hidden="false" customHeight="false" outlineLevel="0" collapsed="false">
      <c r="A3180" s="31" t="s">
        <v>1215</v>
      </c>
    </row>
    <row r="3181" customFormat="false" ht="17.15" hidden="false" customHeight="false" outlineLevel="0" collapsed="false">
      <c r="A3181" s="6" t="s">
        <v>16</v>
      </c>
      <c r="B3181" s="6" t="s">
        <v>17</v>
      </c>
      <c r="C3181" s="20" t="s">
        <v>504</v>
      </c>
      <c r="D3181" s="20" t="s">
        <v>505</v>
      </c>
      <c r="E3181" s="20" t="s">
        <v>587</v>
      </c>
      <c r="F3181" s="20" t="s">
        <v>588</v>
      </c>
      <c r="G3181" s="20" t="s">
        <v>589</v>
      </c>
      <c r="H3181" s="20" t="s">
        <v>590</v>
      </c>
      <c r="I3181" s="20" t="s">
        <v>591</v>
      </c>
      <c r="J3181" s="20" t="s">
        <v>592</v>
      </c>
      <c r="K3181" s="20" t="s">
        <v>593</v>
      </c>
      <c r="L3181" s="20" t="s">
        <v>594</v>
      </c>
      <c r="M3181" s="20" t="s">
        <v>595</v>
      </c>
      <c r="N3181" s="20" t="s">
        <v>596</v>
      </c>
      <c r="O3181" s="20" t="s">
        <v>597</v>
      </c>
      <c r="P3181" s="6" t="s">
        <v>23</v>
      </c>
      <c r="R3181" s="20" t="n">
        <v>2023</v>
      </c>
      <c r="S3181" s="20" t="n">
        <v>2024</v>
      </c>
      <c r="T3181" s="20" t="n">
        <v>2025</v>
      </c>
      <c r="U3181" s="20" t="n">
        <v>2026</v>
      </c>
      <c r="V3181" s="20" t="n">
        <v>2027</v>
      </c>
      <c r="W3181" s="20" t="n">
        <v>2028</v>
      </c>
      <c r="X3181" s="20" t="n">
        <v>2029</v>
      </c>
      <c r="Y3181" s="20" t="n">
        <v>2030</v>
      </c>
      <c r="Z3181" s="20" t="n">
        <v>2031</v>
      </c>
      <c r="AA3181" s="20" t="n">
        <v>2032</v>
      </c>
    </row>
    <row r="3182" customFormat="false" ht="15" hidden="false" customHeight="false" outlineLevel="0" collapsed="false">
      <c r="A3182" s="5" t="s">
        <v>556</v>
      </c>
      <c r="B3182" s="0" t="s">
        <v>86</v>
      </c>
      <c r="C3182" s="38" t="n">
        <f aca="false">Sens!$C$3171</f>
        <v>59.248</v>
      </c>
      <c r="D3182" s="38" t="n">
        <f aca="false">Sens!$D$3171</f>
        <v>77.67</v>
      </c>
      <c r="E3182" s="38" t="n">
        <f aca="false">Sens!$E$3171</f>
        <v>92.902</v>
      </c>
      <c r="F3182" s="38" t="n">
        <f aca="false">Sens!$F$3171</f>
        <v>46.3639267226137</v>
      </c>
      <c r="G3182" s="38" t="n">
        <f aca="false">Sens!$G$3171</f>
        <v>139.265926722614</v>
      </c>
      <c r="H3182" s="38" t="n">
        <f aca="false">Sens!$H$3171</f>
        <v>104.141726286895</v>
      </c>
      <c r="I3182" s="38" t="n">
        <f aca="false">Sens!$I$3171</f>
        <v>114.442400354014</v>
      </c>
      <c r="J3182" s="38" t="n">
        <f aca="false">Sens!$J$3171</f>
        <v>128.323400520504</v>
      </c>
      <c r="K3182" s="38" t="n">
        <f aca="false">Sens!$K$3171</f>
        <v>138.417606948779</v>
      </c>
      <c r="L3182" s="38" t="n">
        <f aca="false">Sens!$L$3171</f>
        <v>151.183358746883</v>
      </c>
      <c r="M3182" s="38" t="n">
        <f aca="false">Sens!$M$3171</f>
        <v>166.740609534426</v>
      </c>
    </row>
    <row r="3183" customFormat="false" ht="17.15" hidden="false" customHeight="false" outlineLevel="0" collapsed="false">
      <c r="A3183" s="5" t="s">
        <v>795</v>
      </c>
      <c r="B3183" s="0" t="s">
        <v>86</v>
      </c>
      <c r="C3183" s="38" t="n">
        <f aca="false">Sens!$C$3159</f>
        <v>32.067</v>
      </c>
      <c r="D3183" s="38" t="n">
        <f aca="false">Sens!$D$3159</f>
        <v>41.86</v>
      </c>
      <c r="E3183" s="38" t="n">
        <f aca="false">Sens!$E$3159</f>
        <v>26.703</v>
      </c>
      <c r="F3183" s="38" t="n">
        <f aca="false">Sens!$F$3159</f>
        <v>28.9613972808276</v>
      </c>
      <c r="G3183" s="38" t="n">
        <f aca="false">Sens!$G$3159</f>
        <v>55.6643972808276</v>
      </c>
      <c r="H3183" s="38" t="n">
        <f aca="false">Sens!$H$3159</f>
        <v>81.0731305443673</v>
      </c>
      <c r="I3183" s="38" t="n">
        <f aca="false">Sens!$I$3159</f>
        <v>118.070475420156</v>
      </c>
      <c r="J3183" s="38" t="n">
        <f aca="false">Sens!$J$3159</f>
        <v>151.597540612706</v>
      </c>
      <c r="K3183" s="38" t="n">
        <f aca="false">Sens!$K$3159</f>
        <v>185.430297281554</v>
      </c>
      <c r="L3183" s="38" t="n">
        <f aca="false">Sens!$L$3159</f>
        <v>210.872527277861</v>
      </c>
      <c r="M3183" s="38" t="n">
        <f aca="false">Sens!$M$3159</f>
        <v>227.844754420491</v>
      </c>
    </row>
    <row r="3184" customFormat="false" ht="15" hidden="false" customHeight="false" outlineLevel="0" collapsed="false">
      <c r="A3184" s="5" t="s">
        <v>796</v>
      </c>
      <c r="B3184" s="0" t="s">
        <v>86</v>
      </c>
      <c r="C3184" s="38" t="n">
        <f aca="false">Q!$D$48</f>
        <v>22.011</v>
      </c>
      <c r="D3184" s="38" t="n">
        <f aca="false">Q!$E$48</f>
        <v>19.467</v>
      </c>
      <c r="E3184" s="38" t="n">
        <f aca="false">Q!$P$48</f>
        <v>10.07</v>
      </c>
      <c r="F3184" s="38" t="n">
        <f aca="false">sbc_r*Sens!$F$3101</f>
        <v>10.8509672993936</v>
      </c>
      <c r="G3184" s="38" t="n">
        <f aca="false">Sens!$E$3184+Sens!$F$3184</f>
        <v>20.9209672993936</v>
      </c>
      <c r="H3184" s="38" t="n">
        <f aca="false">sbc_r*Sens!$H$3101</f>
        <v>23.4214571163757</v>
      </c>
      <c r="I3184" s="38" t="n">
        <f aca="false">sbc_r*Sens!$I$3101</f>
        <v>26.5268769647391</v>
      </c>
      <c r="J3184" s="38" t="n">
        <f aca="false">sbc_r*Sens!$J$3101</f>
        <v>29.5077296972962</v>
      </c>
      <c r="K3184" s="38" t="n">
        <f aca="false">sbc_r*Sens!$K$3101</f>
        <v>32.1315174646659</v>
      </c>
      <c r="L3184" s="38" t="n">
        <f aca="false">sbc_r*Sens!$L$3101</f>
        <v>34.5784354563079</v>
      </c>
      <c r="M3184" s="38" t="n">
        <f aca="false">sbc_r*Sens!$M$3101</f>
        <v>36.8573204957885</v>
      </c>
    </row>
    <row r="3185" customFormat="false" ht="17.15" hidden="false" customHeight="false" outlineLevel="0" collapsed="false">
      <c r="A3185" s="5" t="s">
        <v>797</v>
      </c>
      <c r="B3185" s="0" t="s">
        <v>86</v>
      </c>
      <c r="C3185" s="38" t="n">
        <f aca="false">Q!$D$44-Sens!$C$3182-Sens!$C$3183-Sens!$C$3184</f>
        <v>2.551</v>
      </c>
      <c r="D3185" s="38" t="n">
        <f aca="false">Q!$E$44-Sens!$D$3182-Sens!$D$3183-Sens!$D$3184</f>
        <v>0.51700000000001</v>
      </c>
      <c r="E3185" s="38" t="n">
        <f aca="false">Q!$P$44-Sens!$E$3182-Sens!$E$3183-Sens!$E$3184</f>
        <v>-58.256</v>
      </c>
      <c r="F3185" s="38" t="n">
        <f aca="false">oth_r*Sens!$F$3101</f>
        <v>5.22277944367406</v>
      </c>
      <c r="G3185" s="38" t="n">
        <f aca="false">Sens!$E$3185+Sens!$F$3185</f>
        <v>-53.033220556326</v>
      </c>
      <c r="H3185" s="38" t="n">
        <f aca="false">oth_r*Sens!$H$3101</f>
        <v>11.2731981760867</v>
      </c>
      <c r="I3185" s="38" t="n">
        <f aca="false">oth_r*Sens!$I$3101</f>
        <v>12.767896528824</v>
      </c>
      <c r="J3185" s="38" t="n">
        <f aca="false">oth_r*Sens!$J$3101</f>
        <v>14.2026383307912</v>
      </c>
      <c r="K3185" s="38" t="n">
        <f aca="false">oth_r*Sens!$K$3101</f>
        <v>15.4655178914684</v>
      </c>
      <c r="L3185" s="38" t="n">
        <f aca="false">oth_r*Sens!$L$3101</f>
        <v>16.6432666243228</v>
      </c>
      <c r="M3185" s="38" t="n">
        <f aca="false">oth_r*Sens!$M$3101</f>
        <v>17.7401378626464</v>
      </c>
      <c r="P3185" s="8" t="s">
        <v>798</v>
      </c>
    </row>
    <row r="3186" customFormat="false" ht="15" hidden="false" customHeight="false" outlineLevel="0" collapsed="false">
      <c r="A3186" s="3" t="s">
        <v>562</v>
      </c>
      <c r="B3186" s="8" t="s">
        <v>86</v>
      </c>
      <c r="C3186" s="38" t="n">
        <f aca="false">Q!$D$44</f>
        <v>115.877</v>
      </c>
      <c r="D3186" s="38" t="n">
        <f aca="false">Q!$E$44</f>
        <v>139.514</v>
      </c>
      <c r="E3186" s="38" t="n">
        <f aca="false">Q!$P$44</f>
        <v>71.419</v>
      </c>
      <c r="F3186" s="38" t="n">
        <f aca="false">Sens!$F$3182+Sens!$F$3183+Sens!$F$3184+Sens!$F$3185</f>
        <v>91.3990707465089</v>
      </c>
      <c r="G3186" s="38" t="n">
        <f aca="false">Sens!$E$3186+Sens!$F$3186</f>
        <v>162.818070746509</v>
      </c>
      <c r="H3186" s="38" t="n">
        <f aca="false">Sens!$H$3182+Sens!$H$3183+Sens!$H$3184+Sens!$H$3185</f>
        <v>219.909512123724</v>
      </c>
      <c r="I3186" s="38" t="n">
        <f aca="false">Sens!$I$3182+Sens!$I$3183+Sens!$I$3184+Sens!$I$3185</f>
        <v>271.807649267733</v>
      </c>
      <c r="J3186" s="38" t="n">
        <f aca="false">Sens!$J$3182+Sens!$J$3183+Sens!$J$3184+Sens!$J$3185</f>
        <v>323.631309161297</v>
      </c>
      <c r="K3186" s="38" t="n">
        <f aca="false">Sens!$K$3182+Sens!$K$3183+Sens!$K$3184+Sens!$K$3185</f>
        <v>371.444939586467</v>
      </c>
      <c r="L3186" s="38" t="n">
        <f aca="false">Sens!$L$3182+Sens!$L$3183+Sens!$L$3184+Sens!$L$3185</f>
        <v>413.277588105375</v>
      </c>
      <c r="M3186" s="38" t="n">
        <f aca="false">Sens!$M$3182+Sens!$M$3183+Sens!$M$3184+Sens!$M$3185</f>
        <v>449.182822313352</v>
      </c>
    </row>
    <row r="3187" customFormat="false" ht="17.15" hidden="false" customHeight="false" outlineLevel="0" collapsed="false">
      <c r="A3187" s="5" t="s">
        <v>799</v>
      </c>
      <c r="B3187" s="0" t="s">
        <v>86</v>
      </c>
      <c r="C3187" s="38" t="n">
        <f aca="false">Sens!$C$3065</f>
        <v>25.3908273132658</v>
      </c>
      <c r="D3187" s="38" t="n">
        <f aca="false">Sens!$D$3065</f>
        <v>69.9913391517339</v>
      </c>
      <c r="E3187" s="38" t="n">
        <f aca="false">Sens!$E$3065</f>
        <v>64.6032346687814</v>
      </c>
      <c r="F3187" s="38" t="n">
        <f aca="false">Sens!$F$3065</f>
        <v>89.2028942081526</v>
      </c>
      <c r="G3187" s="38" t="n">
        <f aca="false">Sens!$G$3065</f>
        <v>153.806128876934</v>
      </c>
      <c r="H3187" s="38" t="n">
        <f aca="false">Sens!$H$3065</f>
        <v>198.57136494475</v>
      </c>
      <c r="I3187" s="38" t="n">
        <f aca="false">Sens!$I$3065</f>
        <v>204.6464699105</v>
      </c>
      <c r="J3187" s="38" t="n">
        <f aca="false">Sens!$J$3065</f>
        <v>209.8832381105</v>
      </c>
      <c r="K3187" s="38" t="n">
        <f aca="false">Sens!$K$3065</f>
        <v>155.238385275201</v>
      </c>
      <c r="L3187" s="38" t="n">
        <f aca="false">Sens!$L$3065</f>
        <v>132.014141639902</v>
      </c>
      <c r="M3187" s="38" t="n">
        <f aca="false">Sens!$M$3065</f>
        <v>132.230981659852</v>
      </c>
    </row>
    <row r="3188" customFormat="false" ht="17.15" hidden="false" customHeight="false" outlineLevel="0" collapsed="false">
      <c r="A3188" s="5" t="s">
        <v>800</v>
      </c>
      <c r="B3188" s="0" t="s">
        <v>86</v>
      </c>
      <c r="C3188" s="38" t="n">
        <f aca="false">cx_awso*Sens!$C$3099</f>
        <v>20.9342769230769</v>
      </c>
      <c r="D3188" s="38" t="n">
        <f aca="false">cx_awso*Sens!$D$3099</f>
        <v>23.5815384615385</v>
      </c>
      <c r="E3188" s="38" t="n">
        <f aca="false">cx_awso*Sens!$E$3099</f>
        <v>13.8484153846154</v>
      </c>
      <c r="F3188" s="38" t="n">
        <f aca="false">cx_awso*Sens!$F$3099</f>
        <v>13.8675162119101</v>
      </c>
      <c r="G3188" s="38" t="n">
        <f aca="false">Sens!$E$3188+Sens!$F$3188</f>
        <v>27.7159315965255</v>
      </c>
      <c r="H3188" s="38" t="n">
        <f aca="false">cx_awso*Sens!$H$3099</f>
        <v>30.8988812526269</v>
      </c>
      <c r="I3188" s="38" t="n">
        <f aca="false">cx_awso*Sens!$I$3099</f>
        <v>34.0885084690992</v>
      </c>
      <c r="J3188" s="38" t="n">
        <f aca="false">cx_awso*Sens!$J$3099</f>
        <v>37.2114917063459</v>
      </c>
      <c r="K3188" s="38" t="n">
        <f aca="false">cx_awso*Sens!$K$3099</f>
        <v>40.1884110428535</v>
      </c>
      <c r="L3188" s="38" t="n">
        <f aca="false">cx_awso*Sens!$L$3099</f>
        <v>43.4034839262818</v>
      </c>
      <c r="M3188" s="38" t="n">
        <f aca="false">cx_awso*Sens!$M$3099</f>
        <v>46.8757626403844</v>
      </c>
    </row>
    <row r="3189" customFormat="false" ht="17.15" hidden="false" customHeight="false" outlineLevel="0" collapsed="false">
      <c r="A3189" s="5" t="s">
        <v>801</v>
      </c>
      <c r="B3189" s="0" t="s">
        <v>86</v>
      </c>
      <c r="C3189" s="38" t="n">
        <f aca="false">Q!$D$46-Sens!$C$3187-Sens!$C$3188</f>
        <v>31.3328957636573</v>
      </c>
      <c r="D3189" s="38" t="n">
        <f aca="false">Q!$E$46-Sens!$D$3187-Sens!$D$3188</f>
        <v>34.7471223867276</v>
      </c>
      <c r="E3189" s="38" t="n">
        <f aca="false">Q!$P$46-Sens!$E$3187-Sens!$E$3188</f>
        <v>17.8583499466032</v>
      </c>
      <c r="F3189" s="38" t="n">
        <f aca="false">cx_rt*Sens!$F$3028</f>
        <v>20.6195895799373</v>
      </c>
      <c r="G3189" s="38" t="n">
        <f aca="false">Sens!$E$3189+Sens!$F$3189</f>
        <v>38.4779395265405</v>
      </c>
      <c r="H3189" s="38" t="n">
        <f aca="false">cx_rt*Sens!$H$3028</f>
        <v>42.5978994743075</v>
      </c>
      <c r="I3189" s="38" t="n">
        <f aca="false">cx_rt*Sens!$I$3028</f>
        <v>46.5813904136335</v>
      </c>
      <c r="J3189" s="38" t="n">
        <f aca="false">cx_rt*Sens!$J$3028</f>
        <v>50.2781676586844</v>
      </c>
      <c r="K3189" s="38" t="n">
        <f aca="false">cx_rt*Sens!$K$3028</f>
        <v>53.5312440191755</v>
      </c>
      <c r="L3189" s="38" t="n">
        <f aca="false">cx_rt*Sens!$L$3028</f>
        <v>57.0116717051447</v>
      </c>
      <c r="M3189" s="38" t="n">
        <f aca="false">cx_rt*Sens!$M$3028</f>
        <v>60.7365554669226</v>
      </c>
    </row>
    <row r="3190" customFormat="false" ht="15" hidden="false" customHeight="false" outlineLevel="0" collapsed="false">
      <c r="A3190" s="3" t="s">
        <v>802</v>
      </c>
      <c r="B3190" s="8" t="s">
        <v>86</v>
      </c>
      <c r="C3190" s="38" t="n">
        <f aca="false">Q!$D$46</f>
        <v>77.658</v>
      </c>
      <c r="D3190" s="38" t="n">
        <f aca="false">Q!$E$46</f>
        <v>128.32</v>
      </c>
      <c r="E3190" s="38" t="n">
        <f aca="false">Q!$P$46</f>
        <v>96.31</v>
      </c>
      <c r="F3190" s="38" t="n">
        <f aca="false">Sens!$F$3187+Sens!$F$3188+Sens!$F$3189</f>
        <v>123.69</v>
      </c>
      <c r="G3190" s="38" t="n">
        <f aca="false">Sens!$E$3190+Sens!$F$3190</f>
        <v>220</v>
      </c>
      <c r="H3190" s="38" t="n">
        <f aca="false">Sens!$H$3187+Sens!$H$3188+Sens!$H$3189</f>
        <v>272.068145671684</v>
      </c>
      <c r="I3190" s="38" t="n">
        <f aca="false">Sens!$I$3187+Sens!$I$3188+Sens!$I$3189</f>
        <v>285.316368793233</v>
      </c>
      <c r="J3190" s="38" t="n">
        <f aca="false">Sens!$J$3187+Sens!$J$3188+Sens!$J$3189</f>
        <v>297.37289747553</v>
      </c>
      <c r="K3190" s="38" t="n">
        <f aca="false">Sens!$K$3187+Sens!$K$3188+Sens!$K$3189</f>
        <v>248.95804033723</v>
      </c>
      <c r="L3190" s="38" t="n">
        <f aca="false">Sens!$L$3187+Sens!$L$3188+Sens!$L$3189</f>
        <v>232.429297271328</v>
      </c>
      <c r="M3190" s="38" t="n">
        <f aca="false">Sens!$M$3187+Sens!$M$3188+Sens!$M$3189</f>
        <v>239.843299767159</v>
      </c>
    </row>
    <row r="3191" customFormat="false" ht="17.15" hidden="false" customHeight="false" outlineLevel="0" collapsed="false">
      <c r="A3191" s="5" t="s">
        <v>570</v>
      </c>
      <c r="B3191" s="0" t="s">
        <v>86</v>
      </c>
      <c r="C3191" s="38" t="n">
        <f aca="false">Q!$D$50</f>
        <v>2.043</v>
      </c>
      <c r="D3191" s="38" t="n">
        <f aca="false">Q!$E$50</f>
        <v>1.557</v>
      </c>
      <c r="E3191" s="38" t="n">
        <f aca="false">lease_pr/2</f>
        <v>0.8</v>
      </c>
      <c r="F3191" s="38" t="n">
        <f aca="false">lease_pr/2</f>
        <v>0.8</v>
      </c>
      <c r="G3191" s="38" t="n">
        <f aca="false">Sens!$E$3191+Sens!$F$3191</f>
        <v>1.6</v>
      </c>
      <c r="H3191" s="38" t="n">
        <f aca="false">lease_pr</f>
        <v>1.6</v>
      </c>
      <c r="I3191" s="38" t="n">
        <f aca="false">lease_pr</f>
        <v>1.6</v>
      </c>
      <c r="J3191" s="38" t="n">
        <f aca="false">lease_pr</f>
        <v>1.6</v>
      </c>
      <c r="K3191" s="38" t="n">
        <f aca="false">lease_pr</f>
        <v>1.6</v>
      </c>
      <c r="L3191" s="38" t="n">
        <f aca="false">lease_pr</f>
        <v>1.6</v>
      </c>
      <c r="M3191" s="38" t="n">
        <f aca="false">lease_pr</f>
        <v>1.6</v>
      </c>
      <c r="P3191" s="8" t="s">
        <v>803</v>
      </c>
    </row>
    <row r="3192" customFormat="false" ht="15" hidden="false" customHeight="false" outlineLevel="0" collapsed="false">
      <c r="A3192" s="47" t="s">
        <v>804</v>
      </c>
      <c r="B3192" s="14" t="s">
        <v>86</v>
      </c>
      <c r="C3192" s="48" t="n">
        <f aca="false">Sens!$C$3186-Sens!$C$3190-Sens!$C$3191</f>
        <v>36.176</v>
      </c>
      <c r="D3192" s="48" t="n">
        <f aca="false">Sens!$D$3186-Sens!$D$3190-Sens!$D$3191</f>
        <v>9.63700000000002</v>
      </c>
      <c r="E3192" s="48" t="n">
        <f aca="false">Sens!$E$3186-Sens!$E$3190-Sens!$E$3191</f>
        <v>-25.691</v>
      </c>
      <c r="F3192" s="48" t="n">
        <f aca="false">Sens!$F$3186-Sens!$F$3190-Sens!$F$3191</f>
        <v>-33.0909292534911</v>
      </c>
      <c r="G3192" s="48" t="n">
        <f aca="false">Sens!$G$3186-Sens!$G$3190-Sens!$G$3191</f>
        <v>-58.7819292534911</v>
      </c>
      <c r="H3192" s="48" t="n">
        <f aca="false">Sens!$H$3186-Sens!$H$3190-Sens!$H$3191</f>
        <v>-53.75863354796</v>
      </c>
      <c r="I3192" s="48" t="n">
        <f aca="false">Sens!$I$3186-Sens!$I$3190-Sens!$I$3191</f>
        <v>-15.1087195254995</v>
      </c>
      <c r="J3192" s="48" t="n">
        <f aca="false">Sens!$J$3186-Sens!$J$3190-Sens!$J$3191</f>
        <v>24.6584116857668</v>
      </c>
      <c r="K3192" s="48" t="n">
        <f aca="false">Sens!$K$3186-Sens!$K$3190-Sens!$K$3191</f>
        <v>120.886899249237</v>
      </c>
      <c r="L3192" s="48" t="n">
        <f aca="false">Sens!$L$3186-Sens!$L$3190-Sens!$L$3191</f>
        <v>179.248290834047</v>
      </c>
      <c r="M3192" s="48" t="n">
        <f aca="false">Sens!$M$3186-Sens!$M$3190-Sens!$M$3191</f>
        <v>207.739522546193</v>
      </c>
      <c r="N3192" s="14"/>
      <c r="O3192" s="14"/>
    </row>
    <row r="3193" customFormat="false" ht="17.15" hidden="false" customHeight="false" outlineLevel="0" collapsed="false">
      <c r="A3193" s="5" t="s">
        <v>805</v>
      </c>
      <c r="B3193" s="0" t="s">
        <v>86</v>
      </c>
      <c r="C3193" s="38" t="n">
        <f aca="false">dps*Sens!$C$3172</f>
        <v>0</v>
      </c>
      <c r="D3193" s="38" t="n">
        <f aca="false">dps*Sens!$D$3172</f>
        <v>0</v>
      </c>
      <c r="E3193" s="38" t="n">
        <f aca="false">dps*Sens!$E$3172</f>
        <v>0</v>
      </c>
      <c r="F3193" s="38" t="n">
        <f aca="false">0</f>
        <v>0</v>
      </c>
      <c r="G3193" s="38" t="n">
        <f aca="false">dps*Sens!$G$3172</f>
        <v>0</v>
      </c>
      <c r="H3193" s="38" t="n">
        <f aca="false">dps*Sens!$H$3172</f>
        <v>0</v>
      </c>
      <c r="I3193" s="38" t="n">
        <f aca="false">dps*Sens!$I$3172</f>
        <v>0</v>
      </c>
      <c r="J3193" s="38" t="n">
        <f aca="false">dps*Sens!$J$3172</f>
        <v>0</v>
      </c>
      <c r="K3193" s="38" t="n">
        <f aca="false">dps*Sens!$K$3172</f>
        <v>0</v>
      </c>
      <c r="L3193" s="38" t="n">
        <f aca="false">dps*Sens!$L$3172</f>
        <v>0</v>
      </c>
      <c r="M3193" s="38" t="n">
        <f aca="false">dps*Sens!$M$3172</f>
        <v>0</v>
      </c>
      <c r="P3193" s="8" t="s">
        <v>806</v>
      </c>
    </row>
    <row r="3194" customFormat="false" ht="17.15" hidden="false" customHeight="false" outlineLevel="0" collapsed="false">
      <c r="A3194" s="5" t="s">
        <v>807</v>
      </c>
      <c r="B3194" s="0" t="s">
        <v>86</v>
      </c>
      <c r="C3194" s="38" t="n">
        <f aca="false">0</f>
        <v>0</v>
      </c>
      <c r="D3194" s="38" t="n">
        <f aca="false">0</f>
        <v>0</v>
      </c>
      <c r="E3194" s="38" t="n">
        <f aca="false">0</f>
        <v>0</v>
      </c>
      <c r="F3194" s="38" t="n">
        <f aca="false">0</f>
        <v>0</v>
      </c>
      <c r="G3194" s="38" t="n">
        <f aca="false">0</f>
        <v>0</v>
      </c>
      <c r="H3194" s="38" t="n">
        <f aca="false">0</f>
        <v>0</v>
      </c>
      <c r="I3194" s="38" t="n">
        <f aca="false">0</f>
        <v>0</v>
      </c>
      <c r="J3194" s="38" t="n">
        <f aca="false">0</f>
        <v>0</v>
      </c>
      <c r="K3194" s="38" t="n">
        <f aca="false">0</f>
        <v>0</v>
      </c>
      <c r="L3194" s="38" t="n">
        <f aca="false">0</f>
        <v>0</v>
      </c>
      <c r="M3194" s="38" t="n">
        <f aca="false">0</f>
        <v>0</v>
      </c>
      <c r="P3194" s="8" t="s">
        <v>808</v>
      </c>
    </row>
    <row r="3195" customFormat="false" ht="15" hidden="false" customHeight="false" outlineLevel="0" collapsed="false">
      <c r="A3195" s="3" t="s">
        <v>809</v>
      </c>
      <c r="B3195" s="8" t="s">
        <v>86</v>
      </c>
      <c r="C3195" s="38" t="n">
        <f aca="false">Sens!$C$3192-Sens!$C$3193</f>
        <v>36.176</v>
      </c>
      <c r="D3195" s="38" t="n">
        <f aca="false">Sens!$D$3192-Sens!$D$3193</f>
        <v>9.63700000000002</v>
      </c>
      <c r="E3195" s="38" t="n">
        <f aca="false">Sens!$E$3192-Sens!$E$3193</f>
        <v>-25.691</v>
      </c>
      <c r="F3195" s="38" t="n">
        <f aca="false">Sens!$F$3192-Sens!$F$3193</f>
        <v>-33.0909292534911</v>
      </c>
      <c r="G3195" s="38" t="n">
        <f aca="false">Sens!$G$3192-Sens!$G$3193</f>
        <v>-58.7819292534911</v>
      </c>
      <c r="H3195" s="38" t="n">
        <f aca="false">Sens!$H$3192-Sens!$H$3193</f>
        <v>-53.75863354796</v>
      </c>
      <c r="I3195" s="38" t="n">
        <f aca="false">Sens!$I$3192-Sens!$I$3193</f>
        <v>-15.1087195254995</v>
      </c>
      <c r="J3195" s="38" t="n">
        <f aca="false">Sens!$J$3192-Sens!$J$3193</f>
        <v>24.6584116857668</v>
      </c>
      <c r="K3195" s="38" t="n">
        <f aca="false">Sens!$K$3192-Sens!$K$3193</f>
        <v>120.886899249237</v>
      </c>
      <c r="L3195" s="38" t="n">
        <f aca="false">Sens!$L$3192-Sens!$L$3193</f>
        <v>179.248290834047</v>
      </c>
      <c r="M3195" s="38" t="n">
        <f aca="false">Sens!$M$3192-Sens!$M$3193</f>
        <v>207.739522546193</v>
      </c>
    </row>
    <row r="3196" customFormat="false" ht="17.15" hidden="false" customHeight="false" outlineLevel="0" collapsed="false">
      <c r="A3196" s="5" t="s">
        <v>810</v>
      </c>
      <c r="B3196" s="0" t="s">
        <v>86</v>
      </c>
      <c r="E3196" s="38" t="n">
        <f aca="false">Q!$P$53</f>
        <v>39.767</v>
      </c>
      <c r="F3196" s="38" t="n">
        <f aca="false">inv_2h26</f>
        <v>21.3</v>
      </c>
      <c r="G3196" s="38" t="n">
        <f aca="false">Sens!$E$3196+Sens!$F$3196</f>
        <v>61.067</v>
      </c>
      <c r="H3196" s="39" t="n">
        <v>0</v>
      </c>
      <c r="I3196" s="39" t="n">
        <v>0</v>
      </c>
      <c r="J3196" s="39" t="n">
        <v>0</v>
      </c>
      <c r="K3196" s="39" t="n">
        <v>0</v>
      </c>
      <c r="L3196" s="39" t="n">
        <v>0</v>
      </c>
      <c r="M3196" s="39" t="n">
        <v>0</v>
      </c>
    </row>
    <row r="3197" customFormat="false" ht="17.15" hidden="false" customHeight="false" outlineLevel="0" collapsed="false">
      <c r="A3197" s="5" t="s">
        <v>811</v>
      </c>
      <c r="B3197" s="0" t="s">
        <v>86</v>
      </c>
      <c r="F3197" s="38" t="n">
        <f aca="false">iss_2h26</f>
        <v>29.249999</v>
      </c>
      <c r="G3197" s="38" t="n">
        <f aca="false">Sens!$F$3197</f>
        <v>29.249999</v>
      </c>
      <c r="H3197" s="39" t="n">
        <v>0</v>
      </c>
      <c r="I3197" s="39" t="n">
        <v>0</v>
      </c>
      <c r="J3197" s="39" t="n">
        <v>0</v>
      </c>
      <c r="K3197" s="39" t="n">
        <v>0</v>
      </c>
      <c r="L3197" s="39" t="n">
        <v>0</v>
      </c>
      <c r="M3197" s="39" t="n">
        <v>0</v>
      </c>
    </row>
    <row r="3198" customFormat="false" ht="17.15" hidden="false" customHeight="false" outlineLevel="0" collapsed="false">
      <c r="A3198" s="5" t="s">
        <v>812</v>
      </c>
      <c r="B3198" s="0" t="s">
        <v>86</v>
      </c>
      <c r="F3198" s="38" t="n">
        <f aca="false">cash_q2</f>
        <v>122.988</v>
      </c>
      <c r="G3198" s="38" t="n">
        <f aca="false">cash_q2</f>
        <v>122.988</v>
      </c>
      <c r="H3198" s="38" t="n">
        <f aca="false">Sens!$G$3201</f>
        <v>97.8470697465089</v>
      </c>
      <c r="I3198" s="38" t="n">
        <f aca="false">Sens!$H$3201</f>
        <v>50</v>
      </c>
      <c r="J3198" s="38" t="n">
        <f aca="false">Sens!$I$3201</f>
        <v>50</v>
      </c>
      <c r="K3198" s="38" t="n">
        <f aca="false">Sens!$J$3201</f>
        <v>74.6584116857668</v>
      </c>
      <c r="L3198" s="38" t="n">
        <f aca="false">Sens!$K$3201</f>
        <v>195.545310935004</v>
      </c>
      <c r="M3198" s="38" t="n">
        <f aca="false">Sens!$L$3201</f>
        <v>374.793601769051</v>
      </c>
    </row>
    <row r="3199" customFormat="false" ht="15" hidden="false" customHeight="false" outlineLevel="0" collapsed="false">
      <c r="A3199" s="5" t="s">
        <v>813</v>
      </c>
      <c r="B3199" s="0" t="s">
        <v>86</v>
      </c>
      <c r="F3199" s="38" t="n">
        <f aca="false">Sens!$F$3198+Sens!$F$3195-Sens!$F$3194-Sens!$F$3196+Sens!$F$3197</f>
        <v>97.8470697465089</v>
      </c>
      <c r="H3199" s="38" t="n">
        <f aca="false">Sens!$H$3198+Sens!$H$3195-Sens!$H$3194-Sens!$H$3196+Sens!$H$3197</f>
        <v>44.0884361985489</v>
      </c>
      <c r="I3199" s="38" t="n">
        <f aca="false">Sens!$I$3198+Sens!$I$3195-Sens!$I$3194-Sens!$I$3196+Sens!$I$3197</f>
        <v>34.8912804745005</v>
      </c>
      <c r="J3199" s="38" t="n">
        <f aca="false">Sens!$J$3198+Sens!$J$3195-Sens!$J$3194-Sens!$J$3196+Sens!$J$3197</f>
        <v>74.6584116857668</v>
      </c>
      <c r="K3199" s="38" t="n">
        <f aca="false">Sens!$K$3198+Sens!$K$3195-Sens!$K$3194-Sens!$K$3196+Sens!$K$3197</f>
        <v>195.545310935004</v>
      </c>
      <c r="L3199" s="38" t="n">
        <f aca="false">Sens!$L$3198+Sens!$L$3195-Sens!$L$3194-Sens!$L$3196+Sens!$L$3197</f>
        <v>374.793601769051</v>
      </c>
      <c r="M3199" s="38" t="n">
        <f aca="false">Sens!$M$3198+Sens!$M$3195-Sens!$M$3194-Sens!$M$3196+Sens!$M$3197</f>
        <v>582.533124315243</v>
      </c>
    </row>
    <row r="3200" customFormat="false" ht="17.15" hidden="false" customHeight="false" outlineLevel="0" collapsed="false">
      <c r="A3200" s="5" t="s">
        <v>814</v>
      </c>
      <c r="B3200" s="0" t="s">
        <v>86</v>
      </c>
      <c r="F3200" s="38" t="n">
        <f aca="false">MAX(0,min_cash-Sens!$F$3199)</f>
        <v>0</v>
      </c>
      <c r="G3200" s="38" t="n">
        <f aca="false">Sens!$F$3200</f>
        <v>0</v>
      </c>
      <c r="H3200" s="38" t="n">
        <f aca="false">MAX(0,min_cash-Sens!$H$3199)</f>
        <v>5.91156380145106</v>
      </c>
      <c r="I3200" s="38" t="n">
        <f aca="false">MAX(0,min_cash-Sens!$I$3199)</f>
        <v>15.1087195254995</v>
      </c>
      <c r="J3200" s="38" t="n">
        <f aca="false">MAX(0,min_cash-Sens!$J$3199)</f>
        <v>0</v>
      </c>
      <c r="K3200" s="38" t="n">
        <f aca="false">MAX(0,min_cash-Sens!$K$3199)</f>
        <v>0</v>
      </c>
      <c r="L3200" s="38" t="n">
        <f aca="false">MAX(0,min_cash-Sens!$L$3199)</f>
        <v>0</v>
      </c>
      <c r="M3200" s="38" t="n">
        <f aca="false">MAX(0,min_cash-Sens!$M$3199)</f>
        <v>0</v>
      </c>
      <c r="P3200" s="5" t="s">
        <v>815</v>
      </c>
    </row>
    <row r="3201" customFormat="false" ht="15" hidden="false" customHeight="false" outlineLevel="0" collapsed="false">
      <c r="A3201" s="5" t="s">
        <v>816</v>
      </c>
      <c r="B3201" s="0" t="s">
        <v>86</v>
      </c>
      <c r="D3201" s="38" t="n">
        <f aca="false">Q!$E$61</f>
        <v>123.029</v>
      </c>
      <c r="E3201" s="38" t="n">
        <f aca="false">Q!$M$61</f>
        <v>122.988</v>
      </c>
      <c r="F3201" s="38" t="n">
        <f aca="false">Sens!$F$3199+Sens!$F$3200</f>
        <v>97.8470697465089</v>
      </c>
      <c r="G3201" s="38" t="n">
        <f aca="false">Sens!$F$3201</f>
        <v>97.8470697465089</v>
      </c>
      <c r="H3201" s="38" t="n">
        <f aca="false">Sens!$H$3199+Sens!$H$3200</f>
        <v>50</v>
      </c>
      <c r="I3201" s="38" t="n">
        <f aca="false">Sens!$I$3199+Sens!$I$3200</f>
        <v>50</v>
      </c>
      <c r="J3201" s="38" t="n">
        <f aca="false">Sens!$J$3199+Sens!$J$3200</f>
        <v>74.6584116857668</v>
      </c>
      <c r="K3201" s="38" t="n">
        <f aca="false">Sens!$K$3199+Sens!$K$3200</f>
        <v>195.545310935004</v>
      </c>
      <c r="L3201" s="38" t="n">
        <f aca="false">Sens!$L$3199+Sens!$L$3200</f>
        <v>374.793601769051</v>
      </c>
      <c r="M3201" s="38" t="n">
        <f aca="false">Sens!$M$3199+Sens!$M$3200</f>
        <v>582.533124315243</v>
      </c>
    </row>
    <row r="3202" customFormat="false" ht="15" hidden="false" customHeight="false" outlineLevel="0" collapsed="false">
      <c r="A3202" s="5" t="s">
        <v>817</v>
      </c>
      <c r="B3202" s="0" t="s">
        <v>86</v>
      </c>
      <c r="D3202" s="38" t="n">
        <f aca="false">Q!$E$62</f>
        <v>68.836</v>
      </c>
      <c r="E3202" s="38" t="n">
        <f aca="false">Q!$M$62</f>
        <v>132.995</v>
      </c>
      <c r="F3202" s="38" t="n">
        <f aca="false">debt_q2+Sens!$F$3197+Sens!$F$3200</f>
        <v>162.244999</v>
      </c>
      <c r="G3202" s="38" t="n">
        <f aca="false">Sens!$F$3202</f>
        <v>162.244999</v>
      </c>
      <c r="H3202" s="38" t="n">
        <f aca="false">Sens!$G$3202+Sens!$H$3200</f>
        <v>168.156562801451</v>
      </c>
      <c r="I3202" s="38" t="n">
        <f aca="false">Sens!$H$3202+Sens!$I$3200</f>
        <v>183.265282326951</v>
      </c>
      <c r="J3202" s="38" t="n">
        <f aca="false">Sens!$I$3202+Sens!$J$3200</f>
        <v>183.265282326951</v>
      </c>
      <c r="K3202" s="38" t="n">
        <f aca="false">Sens!$J$3202+Sens!$K$3200</f>
        <v>183.265282326951</v>
      </c>
      <c r="L3202" s="38" t="n">
        <f aca="false">Sens!$K$3202+Sens!$L$3200</f>
        <v>183.265282326951</v>
      </c>
      <c r="M3202" s="38" t="n">
        <f aca="false">Sens!$L$3202+Sens!$M$3200</f>
        <v>183.265282326951</v>
      </c>
    </row>
    <row r="3203" customFormat="false" ht="15" hidden="false" customHeight="false" outlineLevel="0" collapsed="false">
      <c r="A3203" s="5" t="s">
        <v>818</v>
      </c>
      <c r="B3203" s="0" t="s">
        <v>86</v>
      </c>
      <c r="D3203" s="38" t="n">
        <f aca="false">Sens!$D$3202-Sens!$D$3201</f>
        <v>-54.193</v>
      </c>
      <c r="E3203" s="38" t="n">
        <f aca="false">Sens!$E$3202-Sens!$E$3201</f>
        <v>10.007</v>
      </c>
      <c r="F3203" s="38" t="n">
        <f aca="false">Sens!$F$3202-Sens!$F$3201</f>
        <v>64.3979292534911</v>
      </c>
      <c r="G3203" s="38" t="n">
        <f aca="false">Sens!$G$3202-Sens!$G$3201</f>
        <v>64.3979292534911</v>
      </c>
      <c r="H3203" s="38" t="n">
        <f aca="false">Sens!$H$3202-Sens!$H$3201</f>
        <v>118.156562801451</v>
      </c>
      <c r="I3203" s="38" t="n">
        <f aca="false">Sens!$I$3202-Sens!$I$3201</f>
        <v>133.265282326951</v>
      </c>
      <c r="J3203" s="38" t="n">
        <f aca="false">Sens!$J$3202-Sens!$J$3201</f>
        <v>108.606870641184</v>
      </c>
      <c r="K3203" s="38" t="n">
        <f aca="false">Sens!$K$3202-Sens!$K$3201</f>
        <v>-12.2800286080534</v>
      </c>
      <c r="L3203" s="38" t="n">
        <f aca="false">Sens!$L$3202-Sens!$L$3201</f>
        <v>-191.5283194421</v>
      </c>
      <c r="M3203" s="38" t="n">
        <f aca="false">Sens!$M$3202-Sens!$M$3201</f>
        <v>-399.267841988293</v>
      </c>
    </row>
    <row r="3204" customFormat="false" ht="17.15" hidden="false" customHeight="false" outlineLevel="0" collapsed="false">
      <c r="A3204" s="5" t="s">
        <v>819</v>
      </c>
      <c r="B3204" s="0" t="s">
        <v>86</v>
      </c>
      <c r="F3204" s="38" t="n">
        <f aca="false">debt_q2*kd_book*0.5+iss_2h26*kd_new*iss_t</f>
        <v>3.24888962733561</v>
      </c>
      <c r="H3204" s="38" t="n">
        <f aca="false">debt_q2*kd_book+(Sens!$G$3202-debt_q2)*kd_new</f>
        <v>7.42354172302123</v>
      </c>
      <c r="I3204" s="38" t="n">
        <f aca="false">debt_q2*kd_book+(Sens!$H$3202-debt_q2)*kd_new</f>
        <v>7.79774371165308</v>
      </c>
      <c r="J3204" s="38" t="n">
        <f aca="false">debt_q2*kd_book+(Sens!$I$3202-debt_q2)*kd_new</f>
        <v>8.7541256576172</v>
      </c>
      <c r="K3204" s="38" t="n">
        <f aca="false">debt_q2*kd_book+(Sens!$J$3202-debt_q2)*kd_new</f>
        <v>8.7541256576172</v>
      </c>
      <c r="L3204" s="38" t="n">
        <f aca="false">debt_q2*kd_book+(Sens!$K$3202-debt_q2)*kd_new</f>
        <v>8.7541256576172</v>
      </c>
      <c r="M3204" s="38" t="n">
        <f aca="false">debt_q2*kd_book+(Sens!$L$3202-debt_q2)*kd_new</f>
        <v>8.7541256576172</v>
      </c>
    </row>
    <row r="3205" customFormat="false" ht="17.15" hidden="false" customHeight="false" outlineLevel="0" collapsed="false">
      <c r="A3205" s="5" t="s">
        <v>820</v>
      </c>
      <c r="B3205" s="0" t="s">
        <v>86</v>
      </c>
      <c r="F3205" s="38" t="n">
        <f aca="false">cash_q2*y_cash*0.5</f>
        <v>2.59</v>
      </c>
      <c r="H3205" s="38" t="n">
        <f aca="false">Sens!$G$3201*y_cash</f>
        <v>4.12111605430543</v>
      </c>
      <c r="I3205" s="38" t="n">
        <f aca="false">Sens!$H$3201*y_cash</f>
        <v>2.10589651022864</v>
      </c>
      <c r="J3205" s="38" t="n">
        <f aca="false">Sens!$I$3201*y_cash</f>
        <v>2.10589651022864</v>
      </c>
      <c r="K3205" s="38" t="n">
        <f aca="false">Sens!$J$3201*y_cash</f>
        <v>3.14445777256539</v>
      </c>
      <c r="L3205" s="38" t="n">
        <f aca="false">Sens!$K$3201*y_cash</f>
        <v>8.23596375779199</v>
      </c>
      <c r="M3205" s="38" t="n">
        <f aca="false">Sens!$L$3201*y_cash</f>
        <v>15.7855307604293</v>
      </c>
    </row>
    <row r="3206" customFormat="false" ht="17.15" hidden="false" customHeight="false" outlineLevel="0" collapsed="false">
      <c r="A3206" s="47" t="s">
        <v>821</v>
      </c>
      <c r="B3206" s="14" t="s">
        <v>86</v>
      </c>
      <c r="C3206" s="14"/>
      <c r="D3206" s="14"/>
      <c r="E3206" s="14"/>
      <c r="F3206" s="14"/>
      <c r="G3206" s="48" t="n">
        <f aca="false">SUM(Sens!$G$3195:$K$3195)</f>
        <v>17.8960286080534</v>
      </c>
      <c r="H3206" s="14"/>
      <c r="I3206" s="14"/>
      <c r="J3206" s="14"/>
      <c r="K3206" s="14"/>
      <c r="L3206" s="14"/>
      <c r="M3206" s="14"/>
      <c r="N3206" s="14"/>
      <c r="O3206" s="14"/>
    </row>
    <row r="3207" customFormat="false" ht="17.15" hidden="false" customHeight="false" outlineLevel="0" collapsed="false">
      <c r="A3207" s="0" t="s">
        <v>787</v>
      </c>
      <c r="B3207" s="0" t="s">
        <v>86</v>
      </c>
      <c r="G3207" s="38" t="n">
        <f aca="false">SUM(Sens!$G$3200:$K$3200)</f>
        <v>21.0202833269506</v>
      </c>
    </row>
    <row r="3208" customFormat="false" ht="17.15" hidden="false" customHeight="false" outlineLevel="0" collapsed="false">
      <c r="A3208" s="24" t="s">
        <v>824</v>
      </c>
      <c r="B3208" s="25" t="s">
        <v>86</v>
      </c>
      <c r="C3208" s="25"/>
      <c r="D3208" s="25"/>
      <c r="E3208" s="25"/>
      <c r="F3208" s="25"/>
      <c r="G3208" s="41" t="n">
        <f aca="false">Sens!$G$3206-(Sens!$G$3195+Sens!$H$3195+Sens!$I$3195+Sens!$J$3195+Sens!$K$3195)</f>
        <v>0</v>
      </c>
      <c r="H3208" s="25"/>
      <c r="I3208" s="25"/>
      <c r="J3208" s="25"/>
      <c r="K3208" s="25"/>
      <c r="L3208" s="25"/>
      <c r="M3208" s="25"/>
      <c r="N3208" s="25"/>
      <c r="O3208" s="25"/>
    </row>
    <row r="3211" customFormat="false" ht="19.4" hidden="false" customHeight="false" outlineLevel="0" collapsed="false">
      <c r="A3211" s="31" t="s">
        <v>1216</v>
      </c>
    </row>
    <row r="3212" customFormat="false" ht="17.15" hidden="false" customHeight="false" outlineLevel="0" collapsed="false">
      <c r="A3212" s="6" t="s">
        <v>16</v>
      </c>
      <c r="B3212" s="6" t="s">
        <v>17</v>
      </c>
      <c r="C3212" s="20" t="s">
        <v>504</v>
      </c>
      <c r="D3212" s="20" t="s">
        <v>505</v>
      </c>
      <c r="E3212" s="20" t="s">
        <v>587</v>
      </c>
      <c r="F3212" s="20" t="s">
        <v>588</v>
      </c>
      <c r="G3212" s="20" t="s">
        <v>589</v>
      </c>
      <c r="H3212" s="20" t="s">
        <v>590</v>
      </c>
      <c r="I3212" s="20" t="s">
        <v>591</v>
      </c>
      <c r="J3212" s="20" t="s">
        <v>592</v>
      </c>
      <c r="K3212" s="20" t="s">
        <v>593</v>
      </c>
      <c r="L3212" s="20" t="s">
        <v>594</v>
      </c>
      <c r="M3212" s="20" t="s">
        <v>595</v>
      </c>
      <c r="N3212" s="20" t="s">
        <v>596</v>
      </c>
      <c r="O3212" s="20" t="s">
        <v>597</v>
      </c>
      <c r="P3212" s="6" t="s">
        <v>23</v>
      </c>
      <c r="R3212" s="20" t="n">
        <v>2023</v>
      </c>
      <c r="S3212" s="20" t="n">
        <v>2024</v>
      </c>
      <c r="T3212" s="20" t="n">
        <v>2025</v>
      </c>
      <c r="U3212" s="20" t="n">
        <v>2026</v>
      </c>
      <c r="V3212" s="20" t="n">
        <v>2027</v>
      </c>
      <c r="W3212" s="20" t="n">
        <v>2028</v>
      </c>
      <c r="X3212" s="20" t="n">
        <v>2029</v>
      </c>
      <c r="Y3212" s="20" t="n">
        <v>2030</v>
      </c>
      <c r="Z3212" s="20" t="n">
        <v>2031</v>
      </c>
      <c r="AA3212" s="20" t="n">
        <v>2032</v>
      </c>
    </row>
    <row r="3213" customFormat="false" ht="17.15" hidden="false" customHeight="false" outlineLevel="0" collapsed="false">
      <c r="A3213" s="1" t="s">
        <v>926</v>
      </c>
    </row>
    <row r="3214" customFormat="false" ht="17.15" hidden="false" customHeight="false" outlineLevel="0" collapsed="false">
      <c r="A3214" s="0" t="s">
        <v>927</v>
      </c>
      <c r="B3214" s="0" t="s">
        <v>86</v>
      </c>
      <c r="H3214" s="38" t="n">
        <f aca="false">Sens!$H$3148*(1-tax)</f>
        <v>119.40229791455</v>
      </c>
      <c r="I3214" s="38" t="n">
        <f aca="false">Sens!$I$3148*(1-tax)</f>
        <v>140.287496028319</v>
      </c>
      <c r="J3214" s="38" t="n">
        <f aca="false">Sens!$J$3148*(1-tax)</f>
        <v>163.607036902758</v>
      </c>
      <c r="K3214" s="38" t="n">
        <f aca="false">Sens!$K$3148*(1-tax)</f>
        <v>180.220828986162</v>
      </c>
      <c r="L3214" s="38" t="n">
        <f aca="false">Sens!$L$3148*(1-tax)</f>
        <v>193.627653099169</v>
      </c>
      <c r="M3214" s="38" t="n">
        <f aca="false">Sens!$M$3148*(1-tax)</f>
        <v>205.259269748706</v>
      </c>
    </row>
    <row r="3215" customFormat="false" ht="15" hidden="false" customHeight="false" outlineLevel="0" collapsed="false">
      <c r="A3215" s="5" t="s">
        <v>928</v>
      </c>
      <c r="B3215" s="0" t="s">
        <v>86</v>
      </c>
      <c r="H3215" s="38" t="n">
        <f aca="false">Sens!$H$3159</f>
        <v>81.0731305443673</v>
      </c>
      <c r="I3215" s="38" t="n">
        <f aca="false">Sens!$I$3159</f>
        <v>118.070475420156</v>
      </c>
      <c r="J3215" s="38" t="n">
        <f aca="false">Sens!$J$3159</f>
        <v>151.597540612706</v>
      </c>
      <c r="K3215" s="38" t="n">
        <f aca="false">Sens!$K$3159</f>
        <v>185.430297281554</v>
      </c>
      <c r="L3215" s="38" t="n">
        <f aca="false">Sens!$L$3159</f>
        <v>210.872527277861</v>
      </c>
      <c r="M3215" s="38" t="n">
        <f aca="false">Sens!$M$3159</f>
        <v>227.844754420491</v>
      </c>
    </row>
    <row r="3216" customFormat="false" ht="15" hidden="false" customHeight="false" outlineLevel="0" collapsed="false">
      <c r="A3216" s="5" t="s">
        <v>929</v>
      </c>
      <c r="B3216" s="0" t="s">
        <v>86</v>
      </c>
      <c r="H3216" s="38" t="n">
        <f aca="false">Sens!$H$3190</f>
        <v>272.068145671684</v>
      </c>
      <c r="I3216" s="38" t="n">
        <f aca="false">Sens!$I$3190</f>
        <v>285.316368793233</v>
      </c>
      <c r="J3216" s="38" t="n">
        <f aca="false">Sens!$J$3190</f>
        <v>297.37289747553</v>
      </c>
      <c r="K3216" s="38" t="n">
        <f aca="false">Sens!$K$3190</f>
        <v>248.95804033723</v>
      </c>
      <c r="L3216" s="38" t="n">
        <f aca="false">Sens!$L$3190</f>
        <v>232.429297271328</v>
      </c>
      <c r="M3216" s="38" t="n">
        <f aca="false">Sens!$M$3190</f>
        <v>239.843299767159</v>
      </c>
    </row>
    <row r="3217" customFormat="false" ht="15" hidden="false" customHeight="false" outlineLevel="0" collapsed="false">
      <c r="A3217" s="5" t="s">
        <v>930</v>
      </c>
      <c r="B3217" s="0" t="s">
        <v>86</v>
      </c>
      <c r="H3217" s="38" t="n">
        <f aca="false">Sens!$H$3191</f>
        <v>1.6</v>
      </c>
      <c r="I3217" s="38" t="n">
        <f aca="false">Sens!$I$3191</f>
        <v>1.6</v>
      </c>
      <c r="J3217" s="38" t="n">
        <f aca="false">Sens!$J$3191</f>
        <v>1.6</v>
      </c>
      <c r="K3217" s="38" t="n">
        <f aca="false">Sens!$K$3191</f>
        <v>1.6</v>
      </c>
      <c r="L3217" s="38" t="n">
        <f aca="false">Sens!$L$3191</f>
        <v>1.6</v>
      </c>
      <c r="M3217" s="38" t="n">
        <f aca="false">Sens!$M$3191</f>
        <v>1.6</v>
      </c>
    </row>
    <row r="3218" customFormat="false" ht="15" hidden="false" customHeight="false" outlineLevel="0" collapsed="false">
      <c r="A3218" s="5" t="s">
        <v>931</v>
      </c>
      <c r="B3218" s="0" t="s">
        <v>86</v>
      </c>
      <c r="H3218" s="38" t="n">
        <f aca="false">Sens!$H$3185</f>
        <v>11.2731981760867</v>
      </c>
      <c r="I3218" s="38" t="n">
        <f aca="false">Sens!$I$3185</f>
        <v>12.767896528824</v>
      </c>
      <c r="J3218" s="38" t="n">
        <f aca="false">Sens!$J$3185</f>
        <v>14.2026383307912</v>
      </c>
      <c r="K3218" s="38" t="n">
        <f aca="false">Sens!$K$3185</f>
        <v>15.4655178914684</v>
      </c>
      <c r="L3218" s="38" t="n">
        <f aca="false">Sens!$L$3185</f>
        <v>16.6432666243228</v>
      </c>
      <c r="M3218" s="38" t="n">
        <f aca="false">Sens!$M$3185</f>
        <v>17.7401378626464</v>
      </c>
    </row>
    <row r="3219" customFormat="false" ht="17.15" hidden="false" customHeight="false" outlineLevel="0" collapsed="false">
      <c r="A3219" s="1" t="s">
        <v>932</v>
      </c>
      <c r="B3219" s="8" t="s">
        <v>86</v>
      </c>
      <c r="H3219" s="38" t="n">
        <f aca="false">Sens!$H$3214+Sens!$H$3215-Sens!$H$3216-Sens!$H$3217+Sens!$H$3218</f>
        <v>-61.9195190366802</v>
      </c>
      <c r="I3219" s="38" t="n">
        <f aca="false">Sens!$I$3214+Sens!$I$3215-Sens!$I$3216-Sens!$I$3217+Sens!$I$3218</f>
        <v>-15.7905008159335</v>
      </c>
      <c r="J3219" s="38" t="n">
        <f aca="false">Sens!$J$3214+Sens!$J$3215-Sens!$J$3216-Sens!$J$3217+Sens!$J$3218</f>
        <v>30.4343183707251</v>
      </c>
      <c r="K3219" s="38" t="n">
        <f aca="false">Sens!$K$3214+Sens!$K$3215-Sens!$K$3216-Sens!$K$3217+Sens!$K$3218</f>
        <v>130.558603821954</v>
      </c>
      <c r="L3219" s="38" t="n">
        <f aca="false">Sens!$L$3214+Sens!$L$3215-Sens!$L$3216-Sens!$L$3217+Sens!$L$3218</f>
        <v>187.114149730025</v>
      </c>
      <c r="M3219" s="38" t="n">
        <f aca="false">Sens!$M$3214+Sens!$M$3215-Sens!$M$3216-Sens!$M$3217+Sens!$M$3218</f>
        <v>209.400862264685</v>
      </c>
    </row>
    <row r="3220" customFormat="false" ht="15" hidden="false" customHeight="false" outlineLevel="0" collapsed="false">
      <c r="A3220" s="5" t="s">
        <v>933</v>
      </c>
      <c r="B3220" s="0" t="s">
        <v>57</v>
      </c>
      <c r="H3220" s="40" t="n">
        <f aca="false">1/(1+wacc)^(2027-2026-0.5)</f>
        <v>0.947751320380232</v>
      </c>
      <c r="I3220" s="40" t="n">
        <f aca="false">1/(1+wacc)^(2028-2026-0.5)</f>
        <v>0.851301099754987</v>
      </c>
      <c r="J3220" s="40" t="n">
        <f aca="false">1/(1+wacc)^(2029-2026-0.5)</f>
        <v>0.764666370660713</v>
      </c>
      <c r="K3220" s="40" t="n">
        <f aca="false">1/(1+wacc)^(2030-2026-0.5)</f>
        <v>0.686848235703811</v>
      </c>
      <c r="L3220" s="40" t="n">
        <f aca="false">1/(1+wacc)^(2031-2026-0.5)</f>
        <v>0.616949452715975</v>
      </c>
      <c r="M3220" s="40" t="n">
        <f aca="false">1/(1+wacc)^(2032-2026-0.5)</f>
        <v>0.554164089562688</v>
      </c>
    </row>
    <row r="3221" customFormat="false" ht="15" hidden="false" customHeight="false" outlineLevel="0" collapsed="false">
      <c r="A3221" s="5" t="s">
        <v>934</v>
      </c>
      <c r="B3221" s="0" t="s">
        <v>86</v>
      </c>
      <c r="H3221" s="38" t="n">
        <f aca="false">Sens!$H$3219*Sens!$H$3220</f>
        <v>-58.6843059243226</v>
      </c>
      <c r="I3221" s="38" t="n">
        <f aca="false">Sens!$I$3219*Sens!$I$3220</f>
        <v>-13.4424707102862</v>
      </c>
      <c r="J3221" s="38" t="n">
        <f aca="false">Sens!$J$3219*Sens!$J$3220</f>
        <v>23.2720997720751</v>
      </c>
      <c r="K3221" s="38" t="n">
        <f aca="false">Sens!$K$3219*Sens!$K$3220</f>
        <v>89.6739466910621</v>
      </c>
      <c r="L3221" s="38" t="n">
        <f aca="false">Sens!$L$3219*Sens!$L$3220</f>
        <v>115.439972271354</v>
      </c>
      <c r="M3221" s="38" t="n">
        <f aca="false">Sens!$M$3219*Sens!$M$3220</f>
        <v>116.042438190551</v>
      </c>
    </row>
    <row r="3222" customFormat="false" ht="15" hidden="false" customHeight="false" outlineLevel="0" collapsed="false">
      <c r="A3222" s="5" t="s">
        <v>935</v>
      </c>
      <c r="B3222" s="0" t="s">
        <v>86</v>
      </c>
      <c r="C3222" s="38" t="n">
        <f aca="false">SUM(Sens!$H$3221:$M$3221)</f>
        <v>272.301680290433</v>
      </c>
    </row>
    <row r="3223" customFormat="false" ht="17.15" hidden="false" customHeight="false" outlineLevel="0" collapsed="false">
      <c r="A3223" s="5" t="s">
        <v>936</v>
      </c>
      <c r="B3223" s="0" t="s">
        <v>86</v>
      </c>
      <c r="C3223" s="38" t="n">
        <f aca="false">Sens!$M$3214*(1+tg)*(1-tg/ronic)/(wacc-tg)</f>
        <v>1866.03580756383</v>
      </c>
    </row>
    <row r="3224" customFormat="false" ht="15" hidden="false" customHeight="false" outlineLevel="0" collapsed="false">
      <c r="A3224" s="5" t="s">
        <v>937</v>
      </c>
      <c r="B3224" s="0" t="s">
        <v>86</v>
      </c>
      <c r="C3224" s="38" t="n">
        <f aca="false">Sens!$C$3223/(1+wacc)^6</f>
        <v>980.06019548515</v>
      </c>
    </row>
    <row r="3225" customFormat="false" ht="17.15" hidden="false" customHeight="false" outlineLevel="0" collapsed="false">
      <c r="A3225" s="5" t="s">
        <v>938</v>
      </c>
      <c r="B3225" s="0" t="s">
        <v>86</v>
      </c>
      <c r="C3225" s="38" t="n">
        <f aca="false">Sens!$C$3222+Sens!$C$3224</f>
        <v>1252.36187577558</v>
      </c>
    </row>
    <row r="3226" customFormat="false" ht="17.15" hidden="false" customHeight="false" outlineLevel="0" collapsed="false">
      <c r="A3226" s="5" t="s">
        <v>939</v>
      </c>
      <c r="B3226" s="0" t="s">
        <v>52</v>
      </c>
      <c r="C3226" s="13" t="n">
        <f aca="false">Sens!$C$3224/Sens!$C$3225</f>
        <v>0.782569490849601</v>
      </c>
    </row>
    <row r="3227" customFormat="false" ht="17.15" hidden="false" customHeight="false" outlineLevel="0" collapsed="false">
      <c r="A3227" s="5" t="s">
        <v>940</v>
      </c>
      <c r="B3227" s="0" t="s">
        <v>86</v>
      </c>
      <c r="C3227" s="38" t="n">
        <f aca="false">Sens!$G$3203+fin_debt</f>
        <v>88.9189292534911</v>
      </c>
    </row>
    <row r="3228" customFormat="false" ht="17.15" hidden="false" customHeight="false" outlineLevel="0" collapsed="false">
      <c r="A3228" s="5" t="s">
        <v>941</v>
      </c>
      <c r="B3228" s="0" t="s">
        <v>86</v>
      </c>
      <c r="C3228" s="38" t="n">
        <f aca="false">(ant_val*ant_sh+oai_val*oai_sh)*(1-liq_disc)</f>
        <v>178.944</v>
      </c>
    </row>
    <row r="3229" customFormat="false" ht="15" hidden="false" customHeight="false" outlineLevel="0" collapsed="false">
      <c r="A3229" s="5" t="s">
        <v>942</v>
      </c>
      <c r="B3229" s="0" t="s">
        <v>86</v>
      </c>
      <c r="C3229" s="38" t="n">
        <f aca="false">Sens!$C$3225-Sens!$C$3227+Sens!$C$3228</f>
        <v>1342.38694652209</v>
      </c>
    </row>
    <row r="3230" customFormat="false" ht="17.15" hidden="false" customHeight="false" outlineLevel="0" collapsed="false">
      <c r="A3230" s="5" t="s">
        <v>943</v>
      </c>
      <c r="B3230" s="0" t="s">
        <v>27</v>
      </c>
      <c r="C3230" s="30" t="n">
        <f aca="false">Sens!$C$3229/sh_out</f>
        <v>124.452796990899</v>
      </c>
    </row>
    <row r="3231" customFormat="false" ht="17.15" hidden="false" customHeight="false" outlineLevel="0" collapsed="false">
      <c r="A3231" s="1" t="s">
        <v>944</v>
      </c>
      <c r="B3231" s="8" t="s">
        <v>27</v>
      </c>
      <c r="C3231" s="30" t="n">
        <f aca="false">Sens!$C$3230*(1+ke)^tp_yf-dps*tp_yf</f>
        <v>136.321716680463</v>
      </c>
    </row>
    <row r="3232" customFormat="false" ht="17.15" hidden="false" customHeight="false" outlineLevel="0" collapsed="false">
      <c r="A3232" s="3" t="s">
        <v>945</v>
      </c>
    </row>
    <row r="3233" customFormat="false" ht="17.15" hidden="false" customHeight="false" outlineLevel="0" collapsed="false">
      <c r="A3233" s="5" t="s">
        <v>946</v>
      </c>
      <c r="B3233" s="0" t="s">
        <v>86</v>
      </c>
      <c r="C3233" s="38" t="n">
        <f aca="false">(1-tp_yf)*(Sens!$H$3160+sbc_ab*Sens!$H$3184*Sens!$H$3021/Sens!$H$3101)+tp_yf*(Sens!$I$3160+sbc_ab*Sens!$I$3184*Sens!$I$3021/Sens!$I$3101)</f>
        <v>59.634664536349</v>
      </c>
    </row>
    <row r="3234" customFormat="false" ht="15" hidden="false" customHeight="false" outlineLevel="0" collapsed="false">
      <c r="A3234" s="5" t="s">
        <v>947</v>
      </c>
      <c r="B3234" s="0" t="s">
        <v>57</v>
      </c>
      <c r="C3234" s="30" t="n">
        <f aca="false">m_ads*m_x</f>
        <v>9.11</v>
      </c>
    </row>
    <row r="3235" customFormat="false" ht="17.15" hidden="false" customHeight="false" outlineLevel="0" collapsed="false">
      <c r="A3235" s="5" t="s">
        <v>948</v>
      </c>
      <c r="B3235" s="0" t="s">
        <v>86</v>
      </c>
      <c r="C3235" s="38" t="n">
        <f aca="false">Sens!$C$3233*Sens!$C$3234</f>
        <v>543.271793926139</v>
      </c>
    </row>
    <row r="3236" customFormat="false" ht="17.15" hidden="false" customHeight="false" outlineLevel="0" collapsed="false">
      <c r="A3236" s="5" t="s">
        <v>949</v>
      </c>
      <c r="B3236" s="0" t="s">
        <v>86</v>
      </c>
      <c r="C3236" s="38" t="n">
        <f aca="false">(1-tp_yf)*(Sens!$H$3161+sbc_ab*Sens!$H$3184*(Sens!$H$3028-Sens!$H$3021)/Sens!$H$3101+IF(internal_ai_reading=2,1,0)*(1-ext_sh)*Sens!$H$3058)+tp_yf*(Sens!$I$3161+sbc_ab*Sens!$I$3184*(Sens!$I$3028-Sens!$I$3021)/Sens!$I$3101+IF(internal_ai_reading=2,1,0)*(1-ext_sh)*Sens!$I$3058)</f>
        <v>51.6988320164577</v>
      </c>
    </row>
    <row r="3237" customFormat="false" ht="17.15" hidden="false" customHeight="false" outlineLevel="0" collapsed="false">
      <c r="A3237" s="5" t="s">
        <v>950</v>
      </c>
      <c r="B3237" s="0" t="s">
        <v>57</v>
      </c>
      <c r="C3237" s="30" t="n">
        <f aca="false">m_retail*m_x</f>
        <v>17.72</v>
      </c>
    </row>
    <row r="3238" customFormat="false" ht="17.15" hidden="false" customHeight="false" outlineLevel="0" collapsed="false">
      <c r="A3238" s="5" t="s">
        <v>951</v>
      </c>
      <c r="B3238" s="0" t="s">
        <v>86</v>
      </c>
      <c r="C3238" s="38" t="n">
        <f aca="false">Sens!$C$3236*Sens!$C$3237</f>
        <v>916.103303331631</v>
      </c>
    </row>
    <row r="3239" customFormat="false" ht="17.15" hidden="false" customHeight="false" outlineLevel="0" collapsed="false">
      <c r="A3239" s="0" t="s">
        <v>952</v>
      </c>
      <c r="B3239" s="0" t="s">
        <v>86</v>
      </c>
      <c r="C3239" s="38" t="n">
        <f aca="false">(1-tp_yf)*(Sens!$H$3162+sbc_ab*Sens!$H$3184*Sens!$H$3099/Sens!$H$3101)+tp_yf*(Sens!$I$3162+sbc_ab*Sens!$I$3184*Sens!$I$3099/Sens!$I$3101)</f>
        <v>90.4962321619552</v>
      </c>
    </row>
    <row r="3240" customFormat="false" ht="17.15" hidden="false" customHeight="false" outlineLevel="0" collapsed="false">
      <c r="A3240" s="0" t="s">
        <v>953</v>
      </c>
      <c r="B3240" s="0" t="s">
        <v>57</v>
      </c>
      <c r="C3240" s="30" t="n">
        <f aca="false">m_cloud*m_x</f>
        <v>13.82</v>
      </c>
    </row>
    <row r="3241" customFormat="false" ht="17.15" hidden="false" customHeight="false" outlineLevel="0" collapsed="false">
      <c r="A3241" s="0" t="s">
        <v>954</v>
      </c>
      <c r="B3241" s="0" t="s">
        <v>86</v>
      </c>
      <c r="C3241" s="38" t="n">
        <f aca="false">Sens!$C$3239*Sens!$C$3240</f>
        <v>1250.65792847822</v>
      </c>
    </row>
    <row r="3242" customFormat="false" ht="17.15" hidden="false" customHeight="false" outlineLevel="0" collapsed="false">
      <c r="A3242" s="0" t="s">
        <v>955</v>
      </c>
      <c r="B3242" s="0" t="s">
        <v>86</v>
      </c>
      <c r="H3242" s="38" t="n">
        <f aca="false">Sens!$H$3080-tax*Sens!$H$3081-ext_sh*Sens!$H$3065</f>
        <v>-111.359076887812</v>
      </c>
      <c r="I3242" s="38" t="n">
        <f aca="false">Sens!$I$3080-tax*Sens!$I$3081-ext_sh*Sens!$I$3065</f>
        <v>-84.4755438613501</v>
      </c>
      <c r="J3242" s="38" t="n">
        <f aca="false">Sens!$J$3080-tax*Sens!$J$3081-ext_sh*Sens!$J$3065</f>
        <v>-57.2330948797086</v>
      </c>
      <c r="K3242" s="38" t="n">
        <f aca="false">Sens!$K$3080-tax*Sens!$K$3081-ext_sh*Sens!$K$3065</f>
        <v>13.9768183882944</v>
      </c>
      <c r="L3242" s="38" t="n">
        <f aca="false">Sens!$L$3080-tax*Sens!$L$3081-ext_sh*Sens!$L$3065</f>
        <v>50.8143276595865</v>
      </c>
      <c r="M3242" s="38" t="n">
        <f aca="false">Sens!$M$3080-tax*Sens!$M$3081-ext_sh*Sens!$M$3065</f>
        <v>59.6257392203688</v>
      </c>
    </row>
    <row r="3243" customFormat="false" ht="17.15" hidden="false" customHeight="false" outlineLevel="0" collapsed="false">
      <c r="A3243" s="5" t="s">
        <v>956</v>
      </c>
      <c r="B3243" s="0" t="s">
        <v>86</v>
      </c>
      <c r="H3243" s="38" t="n">
        <f aca="false">Sens!$H$3242*Sens!$H$3220</f>
        <v>-105.540712156747</v>
      </c>
      <c r="I3243" s="38" t="n">
        <f aca="false">Sens!$I$3242*Sens!$I$3220</f>
        <v>-71.914123391568</v>
      </c>
      <c r="J3243" s="38" t="n">
        <f aca="false">Sens!$J$3242*Sens!$J$3220</f>
        <v>-43.764222943347</v>
      </c>
      <c r="K3243" s="38" t="n">
        <f aca="false">Sens!$K$3242*Sens!$K$3220</f>
        <v>9.59995305075256</v>
      </c>
      <c r="L3243" s="38" t="n">
        <f aca="false">Sens!$L$3242*Sens!$L$3220</f>
        <v>31.3498716397121</v>
      </c>
      <c r="M3243" s="38" t="n">
        <f aca="false">Sens!$M$3242*Sens!$M$3220</f>
        <v>33.042443489558</v>
      </c>
    </row>
    <row r="3244" customFormat="false" ht="17.15" hidden="false" customHeight="false" outlineLevel="0" collapsed="false">
      <c r="A3244" s="5" t="s">
        <v>957</v>
      </c>
      <c r="B3244" s="0" t="s">
        <v>86</v>
      </c>
      <c r="C3244" s="38" t="n">
        <f aca="false">Sens!$M$3081*(1-tax)*(1+tg)*(1-tg/ronic)/(wacc-tg)</f>
        <v>391.773369716342</v>
      </c>
    </row>
    <row r="3245" customFormat="false" ht="17.15" hidden="false" customHeight="false" outlineLevel="0" collapsed="false">
      <c r="A3245" s="0" t="s">
        <v>958</v>
      </c>
      <c r="B3245" s="0" t="s">
        <v>86</v>
      </c>
      <c r="C3245" s="38" t="n">
        <f aca="false">(SUM(Sens!$I$3243:$M$3243)+Sens!$C$3244/(1+wacc)^6)*(1+wacc)^tp_yf</f>
        <v>179.208493141003</v>
      </c>
    </row>
    <row r="3246" customFormat="false" ht="17.15" hidden="false" customHeight="false" outlineLevel="0" collapsed="false">
      <c r="A3246" s="5" t="s">
        <v>959</v>
      </c>
      <c r="B3246" s="0" t="s">
        <v>86</v>
      </c>
      <c r="C3246" s="38" t="n">
        <f aca="false">(1-tp_yf)*(Sens!$H$3163)+tp_yf*(Sens!$I$3163)</f>
        <v>79.5553243634055</v>
      </c>
    </row>
    <row r="3247" customFormat="false" ht="17.15" hidden="false" customHeight="false" outlineLevel="0" collapsed="false">
      <c r="A3247" s="5" t="s">
        <v>960</v>
      </c>
      <c r="B3247" s="0" t="s">
        <v>86</v>
      </c>
      <c r="C3247" s="38" t="n">
        <f aca="false">Sens!$C$3246*m_ai</f>
        <v>477.331946180433</v>
      </c>
    </row>
    <row r="3248" customFormat="false" ht="17.15" hidden="false" customHeight="false" outlineLevel="0" collapsed="false">
      <c r="A3248" s="0" t="s">
        <v>961</v>
      </c>
      <c r="B3248" s="0" t="s">
        <v>86</v>
      </c>
      <c r="C3248" s="38" t="n">
        <f aca="false">IF(ai_leg=1,Sens!$C$3245,Sens!$C$3247)</f>
        <v>179.208493141003</v>
      </c>
    </row>
    <row r="3249" customFormat="false" ht="17.15" hidden="false" customHeight="false" outlineLevel="0" collapsed="false">
      <c r="A3249" s="5" t="s">
        <v>962</v>
      </c>
      <c r="B3249" s="0" t="s">
        <v>86</v>
      </c>
      <c r="C3249" s="38" t="n">
        <f aca="false">Sens!$C$3235+Sens!$C$3238+Sens!$C$3241+Sens!$C$3248</f>
        <v>2889.24151887699</v>
      </c>
    </row>
    <row r="3250" customFormat="false" ht="17.15" hidden="false" customHeight="false" outlineLevel="0" collapsed="false">
      <c r="A3250" s="5" t="s">
        <v>963</v>
      </c>
      <c r="B3250" s="0" t="s">
        <v>86</v>
      </c>
      <c r="C3250" s="38" t="n">
        <f aca="false">Sens!$H$3203+fin_debt</f>
        <v>142.677562801451</v>
      </c>
    </row>
    <row r="3251" customFormat="false" ht="15" hidden="false" customHeight="false" outlineLevel="0" collapsed="false">
      <c r="A3251" s="5" t="s">
        <v>964</v>
      </c>
      <c r="B3251" s="0" t="s">
        <v>86</v>
      </c>
      <c r="C3251" s="38" t="n">
        <f aca="false">Sens!$C$3249-Sens!$C$3250+Sens!$C$3228</f>
        <v>2925.50795607554</v>
      </c>
    </row>
    <row r="3252" customFormat="false" ht="15" hidden="false" customHeight="false" outlineLevel="0" collapsed="false">
      <c r="A3252" s="3" t="s">
        <v>965</v>
      </c>
      <c r="B3252" s="8" t="s">
        <v>27</v>
      </c>
      <c r="C3252" s="30" t="n">
        <f aca="false">Sens!$C$3251/sh_val</f>
        <v>265.224358624382</v>
      </c>
    </row>
    <row r="3253" customFormat="false" ht="17.15" hidden="false" customHeight="false" outlineLevel="0" collapsed="false">
      <c r="A3253" s="47" t="s">
        <v>966</v>
      </c>
      <c r="B3253" s="14" t="s">
        <v>27</v>
      </c>
      <c r="C3253" s="44" t="n">
        <f aca="false">w_dcf*Sens!$C$3231+(1-w_dcf)*Sens!$C$3252</f>
        <v>200.773037652423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</row>
    <row r="3254" customFormat="false" ht="17.15" hidden="false" customHeight="false" outlineLevel="0" collapsed="false">
      <c r="A3254" s="5" t="s">
        <v>967</v>
      </c>
      <c r="B3254" s="0" t="s">
        <v>27</v>
      </c>
      <c r="C3254" s="30" t="n">
        <f aca="false">v022_wdcf*Sens!$C$3231+(1-v022_wdcf)*Sens!$C$3252</f>
        <v>207.218169749618</v>
      </c>
    </row>
    <row r="3255" customFormat="false" ht="17.15" hidden="false" customHeight="false" outlineLevel="0" collapsed="false">
      <c r="A3255" s="5" t="s">
        <v>968</v>
      </c>
      <c r="B3255" s="0" t="s">
        <v>27</v>
      </c>
      <c r="C3255" s="30" t="n">
        <f aca="false">(Sens!$C$3251-Sens!$C$3248+Sens!$C$3247)/sh_val</f>
        <v>292.252007432877</v>
      </c>
    </row>
    <row r="3258" customFormat="false" ht="19.4" hidden="false" customHeight="false" outlineLevel="0" collapsed="false">
      <c r="A3258" s="31" t="s">
        <v>1217</v>
      </c>
    </row>
    <row r="3259" customFormat="false" ht="17.15" hidden="false" customHeight="false" outlineLevel="0" collapsed="false">
      <c r="A3259" s="6" t="s">
        <v>16</v>
      </c>
      <c r="B3259" s="6" t="s">
        <v>17</v>
      </c>
      <c r="C3259" s="20" t="s">
        <v>504</v>
      </c>
      <c r="D3259" s="20" t="s">
        <v>505</v>
      </c>
      <c r="E3259" s="20" t="s">
        <v>587</v>
      </c>
      <c r="F3259" s="20" t="s">
        <v>588</v>
      </c>
      <c r="G3259" s="20" t="s">
        <v>589</v>
      </c>
      <c r="H3259" s="20" t="s">
        <v>590</v>
      </c>
      <c r="I3259" s="20" t="s">
        <v>591</v>
      </c>
      <c r="J3259" s="20" t="s">
        <v>592</v>
      </c>
      <c r="K3259" s="20" t="s">
        <v>593</v>
      </c>
      <c r="L3259" s="20" t="s">
        <v>594</v>
      </c>
      <c r="M3259" s="20" t="s">
        <v>595</v>
      </c>
      <c r="N3259" s="20" t="s">
        <v>596</v>
      </c>
      <c r="O3259" s="20" t="s">
        <v>597</v>
      </c>
      <c r="P3259" s="6" t="s">
        <v>23</v>
      </c>
      <c r="R3259" s="20" t="n">
        <v>2023</v>
      </c>
      <c r="S3259" s="20" t="n">
        <v>2024</v>
      </c>
      <c r="T3259" s="20" t="n">
        <v>2025</v>
      </c>
      <c r="U3259" s="20" t="n">
        <v>2026</v>
      </c>
      <c r="V3259" s="20" t="n">
        <v>2027</v>
      </c>
      <c r="W3259" s="20" t="n">
        <v>2028</v>
      </c>
      <c r="X3259" s="20" t="n">
        <v>2029</v>
      </c>
      <c r="Y3259" s="20" t="n">
        <v>2030</v>
      </c>
      <c r="Z3259" s="20" t="n">
        <v>2031</v>
      </c>
      <c r="AA3259" s="20" t="n">
        <v>2032</v>
      </c>
    </row>
    <row r="3260" customFormat="false" ht="17.15" hidden="false" customHeight="false" outlineLevel="0" collapsed="false">
      <c r="A3260" s="1" t="s">
        <v>677</v>
      </c>
    </row>
    <row r="3261" customFormat="false" ht="17.15" hidden="false" customHeight="false" outlineLevel="0" collapsed="false">
      <c r="A3261" s="0" t="s">
        <v>526</v>
      </c>
      <c r="B3261" s="0" t="s">
        <v>86</v>
      </c>
      <c r="C3261" s="38" t="n">
        <f aca="false">Q!$D$10</f>
        <v>247.029</v>
      </c>
      <c r="D3261" s="38" t="n">
        <f aca="false">Q!$E$10</f>
        <v>269.287</v>
      </c>
      <c r="E3261" s="38" t="n">
        <f aca="false">Q!$P$10</f>
        <v>134.686</v>
      </c>
      <c r="F3261" s="38" t="n">
        <f aca="false">Sens!$O$3261*(1+Sens!$F$3262)*Sens!$F$3273</f>
        <v>158.293876822267</v>
      </c>
      <c r="G3261" s="38" t="n">
        <f aca="false">Sens!$E$3261+Sens!$F$3261</f>
        <v>292.979876822267</v>
      </c>
      <c r="H3261" s="38" t="n">
        <f aca="false">Sens!$G$3261*(1+Sens!$H$3262)</f>
        <v>318.184543087396</v>
      </c>
      <c r="I3261" s="38" t="n">
        <f aca="false">Sens!$H$3261*(1+Sens!$I$3262)</f>
        <v>341.736278761793</v>
      </c>
      <c r="J3261" s="38" t="n">
        <f aca="false">Sens!$I$3261*(1+Sens!$J$3262)</f>
        <v>362.927192787048</v>
      </c>
      <c r="K3261" s="38" t="n">
        <f aca="false">Sens!$J$3261*(1+Sens!$K$3262)</f>
        <v>381.0735524264</v>
      </c>
      <c r="L3261" s="38" t="n">
        <f aca="false">Sens!$K$3261*(1+Sens!$L$3262)</f>
        <v>400.12723004772</v>
      </c>
      <c r="M3261" s="38" t="n">
        <f aca="false">Sens!$L$3261*(1+Sens!$M$3262)</f>
        <v>420.133591550106</v>
      </c>
      <c r="N3261" s="38" t="n">
        <f aca="false">Q!$N$10</f>
        <v>118.892</v>
      </c>
      <c r="O3261" s="38" t="n">
        <f aca="false">Q!$O$10</f>
        <v>150.395</v>
      </c>
      <c r="P3261" s="8" t="s">
        <v>678</v>
      </c>
    </row>
    <row r="3262" customFormat="false" ht="17.15" hidden="false" customHeight="false" outlineLevel="0" collapsed="false">
      <c r="A3262" s="0" t="s">
        <v>679</v>
      </c>
      <c r="B3262" s="0" t="s">
        <v>52</v>
      </c>
      <c r="E3262" s="13" t="n">
        <f aca="false">Sens!$E$3261/Sens!$N$3261-1</f>
        <v>0.132843252699929</v>
      </c>
      <c r="F3262" s="13" t="n">
        <f aca="false">Sens!$O$3261/(Q!$F$10+Q!$G$10)-1</f>
        <v>0.0980382135842941</v>
      </c>
      <c r="G3262" s="13" t="n">
        <f aca="false">Sens!$G$3261/Sens!$D$3261-1</f>
        <v>0.0879837378791657</v>
      </c>
      <c r="H3262" s="13" t="n">
        <f aca="false">Sens!$F$3262+(g_os-Sens!$F$3262)*1/4</f>
        <v>0.0860286601882206</v>
      </c>
      <c r="I3262" s="13" t="n">
        <f aca="false">Sens!$F$3262+(g_os-Sens!$F$3262)*2/4</f>
        <v>0.074019106792147</v>
      </c>
      <c r="J3262" s="13" t="n">
        <f aca="false">Sens!$F$3262+(g_os-Sens!$F$3262)*3/4</f>
        <v>0.0620095533960735</v>
      </c>
      <c r="K3262" s="13" t="n">
        <f aca="false">Sens!$F$3262+(g_os-Sens!$F$3262)*4/4</f>
        <v>0.05</v>
      </c>
      <c r="L3262" s="13" t="n">
        <f aca="false">g_os</f>
        <v>0.05</v>
      </c>
      <c r="M3262" s="13" t="n">
        <f aca="false">g_os</f>
        <v>0.05</v>
      </c>
      <c r="P3262" s="8" t="s">
        <v>680</v>
      </c>
    </row>
    <row r="3263" customFormat="false" ht="17.15" hidden="false" customHeight="false" outlineLevel="0" collapsed="false">
      <c r="A3263" s="0" t="s">
        <v>527</v>
      </c>
      <c r="B3263" s="0" t="s">
        <v>86</v>
      </c>
      <c r="C3263" s="38" t="n">
        <f aca="false">Q!$D$11</f>
        <v>21.215</v>
      </c>
      <c r="D3263" s="38" t="n">
        <f aca="false">Q!$E$11</f>
        <v>22.561</v>
      </c>
      <c r="E3263" s="38" t="n">
        <f aca="false">Q!$P$11</f>
        <v>11.579</v>
      </c>
      <c r="F3263" s="38" t="n">
        <f aca="false">Sens!$O$3263*(1+Sens!$F$3264)*Sens!$F$3273</f>
        <v>11.5938724610325</v>
      </c>
      <c r="G3263" s="38" t="n">
        <f aca="false">Sens!$E$3263+Sens!$F$3263</f>
        <v>23.1728724610325</v>
      </c>
      <c r="H3263" s="38" t="n">
        <f aca="false">Sens!$G$3263*(1+Sens!$H$3264)</f>
        <v>24.353392759506</v>
      </c>
      <c r="I3263" s="38" t="n">
        <f aca="false">Sens!$H$3263*(1+Sens!$I$3264)</f>
        <v>25.4240338872015</v>
      </c>
      <c r="J3263" s="38" t="n">
        <f aca="false">Sens!$I$3263*(1+Sens!$J$3264)</f>
        <v>26.3642491017174</v>
      </c>
      <c r="K3263" s="38" t="n">
        <f aca="false">Sens!$J$3263*(1+Sens!$K$3264)</f>
        <v>27.155176574769</v>
      </c>
      <c r="L3263" s="38" t="n">
        <f aca="false">Sens!$K$3263*(1+Sens!$L$3264)</f>
        <v>27.969831872012</v>
      </c>
      <c r="M3263" s="38" t="n">
        <f aca="false">Sens!$L$3263*(1+Sens!$M$3264)</f>
        <v>28.8089268281724</v>
      </c>
      <c r="N3263" s="38" t="n">
        <f aca="false">Q!$N$11</f>
        <v>11.128</v>
      </c>
      <c r="O3263" s="38" t="n">
        <f aca="false">Q!$O$11</f>
        <v>11.433</v>
      </c>
      <c r="P3263" s="8" t="s">
        <v>678</v>
      </c>
    </row>
    <row r="3264" customFormat="false" ht="17.15" hidden="false" customHeight="false" outlineLevel="0" collapsed="false">
      <c r="A3264" s="0" t="s">
        <v>681</v>
      </c>
      <c r="B3264" s="0" t="s">
        <v>52</v>
      </c>
      <c r="E3264" s="13" t="n">
        <f aca="false">Sens!$E$3263/Sens!$N$3263-1</f>
        <v>0.0405283968368082</v>
      </c>
      <c r="F3264" s="13" t="n">
        <f aca="false">Sens!$O$3263/(Q!$F$11+Q!$G$11)-1</f>
        <v>0.0579254187100955</v>
      </c>
      <c r="G3264" s="13" t="n">
        <f aca="false">Sens!$G$3263/Sens!$D$3263-1</f>
        <v>0.0271208040881397</v>
      </c>
      <c r="H3264" s="13" t="n">
        <f aca="false">Sens!$F$3264+(g_ps-Sens!$F$3264)*1/4</f>
        <v>0.0509440640325716</v>
      </c>
      <c r="I3264" s="13" t="n">
        <f aca="false">Sens!$F$3264+(g_ps-Sens!$F$3264)*2/4</f>
        <v>0.0439627093550477</v>
      </c>
      <c r="J3264" s="13" t="n">
        <f aca="false">Sens!$F$3264+(g_ps-Sens!$F$3264)*3/4</f>
        <v>0.0369813546775239</v>
      </c>
      <c r="K3264" s="13" t="n">
        <f aca="false">Sens!$F$3264+(g_ps-Sens!$F$3264)*4/4</f>
        <v>0.03</v>
      </c>
      <c r="L3264" s="13" t="n">
        <f aca="false">g_ps</f>
        <v>0.03</v>
      </c>
      <c r="M3264" s="13" t="n">
        <f aca="false">g_ps</f>
        <v>0.03</v>
      </c>
      <c r="P3264" s="8" t="s">
        <v>682</v>
      </c>
    </row>
    <row r="3265" customFormat="false" ht="17.15" hidden="false" customHeight="false" outlineLevel="0" collapsed="false">
      <c r="A3265" s="0" t="s">
        <v>528</v>
      </c>
      <c r="B3265" s="0" t="s">
        <v>86</v>
      </c>
      <c r="C3265" s="38" t="n">
        <f aca="false">Q!$D$12</f>
        <v>156.146</v>
      </c>
      <c r="D3265" s="38" t="n">
        <f aca="false">Q!$E$12</f>
        <v>172.162</v>
      </c>
      <c r="E3265" s="38" t="n">
        <f aca="false">Q!$P$12</f>
        <v>88.358</v>
      </c>
      <c r="F3265" s="38" t="n">
        <f aca="false">Sens!$O$3265*(1+Sens!$F$3266)*Sens!$F$3273</f>
        <v>102.004388260171</v>
      </c>
      <c r="G3265" s="38" t="n">
        <f aca="false">Sens!$E$3265+Sens!$F$3265</f>
        <v>190.362388260171</v>
      </c>
      <c r="H3265" s="38" t="n">
        <f aca="false">Sens!$G$3265*(1+Sens!$H$3266)</f>
        <v>210.343106588311</v>
      </c>
      <c r="I3265" s="38" t="n">
        <f aca="false">Sens!$H$3265*(1+Sens!$I$3266)</f>
        <v>229.969728494648</v>
      </c>
      <c r="J3265" s="38" t="n">
        <f aca="false">Sens!$I$3265*(1+Sens!$J$3266)</f>
        <v>248.747636972598</v>
      </c>
      <c r="K3265" s="38" t="n">
        <f aca="false">Sens!$J$3265*(1+Sens!$K$3266)</f>
        <v>266.15997156068</v>
      </c>
      <c r="L3265" s="38" t="n">
        <f aca="false">Sens!$K$3265*(1+Sens!$L$3266)</f>
        <v>284.791169569927</v>
      </c>
      <c r="M3265" s="38" t="n">
        <f aca="false">Sens!$L$3265*(1+Sens!$M$3266)</f>
        <v>304.726551439822</v>
      </c>
      <c r="N3265" s="38" t="n">
        <f aca="false">Q!$N$12</f>
        <v>76.86</v>
      </c>
      <c r="O3265" s="38" t="n">
        <f aca="false">Q!$O$12</f>
        <v>95.302</v>
      </c>
      <c r="P3265" s="8" t="s">
        <v>678</v>
      </c>
    </row>
    <row r="3266" customFormat="false" ht="17.15" hidden="false" customHeight="false" outlineLevel="0" collapsed="false">
      <c r="A3266" s="0" t="s">
        <v>683</v>
      </c>
      <c r="B3266" s="0" t="s">
        <v>52</v>
      </c>
      <c r="E3266" s="13" t="n">
        <f aca="false">Sens!$E$3265/Sens!$N$3265-1</f>
        <v>0.1495966692688</v>
      </c>
      <c r="F3266" s="13" t="n">
        <f aca="false">Sens!$O$3265/(Q!$F$12+Q!$G$12)-1</f>
        <v>0.11661530890813</v>
      </c>
      <c r="G3266" s="13" t="n">
        <f aca="false">Sens!$G$3265/Sens!$D$3265-1</f>
        <v>0.105716640490767</v>
      </c>
      <c r="H3266" s="13" t="n">
        <f aca="false">Sens!$F$3266+(g_sp-Sens!$F$3266)*1/4</f>
        <v>0.104961481681098</v>
      </c>
      <c r="I3266" s="13" t="n">
        <f aca="false">Sens!$F$3266+(g_sp-Sens!$F$3266)*2/4</f>
        <v>0.0933076544540651</v>
      </c>
      <c r="J3266" s="13" t="n">
        <f aca="false">Sens!$F$3266+(g_sp-Sens!$F$3266)*3/4</f>
        <v>0.0816538272270325</v>
      </c>
      <c r="K3266" s="13" t="n">
        <f aca="false">Sens!$F$3266+(g_sp-Sens!$F$3266)*4/4</f>
        <v>0.07</v>
      </c>
      <c r="L3266" s="13" t="n">
        <f aca="false">g_sp</f>
        <v>0.07</v>
      </c>
      <c r="M3266" s="13" t="n">
        <f aca="false">g_sp</f>
        <v>0.07</v>
      </c>
      <c r="P3266" s="8" t="s">
        <v>684</v>
      </c>
    </row>
    <row r="3267" customFormat="false" ht="17.15" hidden="false" customHeight="false" outlineLevel="0" collapsed="false">
      <c r="A3267" s="0" t="s">
        <v>529</v>
      </c>
      <c r="B3267" s="0" t="s">
        <v>86</v>
      </c>
      <c r="C3267" s="38" t="n">
        <f aca="false">Q!$D$13</f>
        <v>56.214</v>
      </c>
      <c r="D3267" s="38" t="n">
        <f aca="false">Q!$E$13</f>
        <v>68.635</v>
      </c>
      <c r="E3267" s="38" t="n">
        <f aca="false">Q!$P$13</f>
        <v>37.052</v>
      </c>
      <c r="F3267" s="38" t="n">
        <f aca="false">Sens!$O$3267*(1+Sens!$F$3268)*Sens!$F$3273</f>
        <v>46.1572219944148</v>
      </c>
      <c r="G3267" s="38" t="n">
        <f aca="false">Sens!$E$3267+Sens!$F$3267</f>
        <v>83.2092219944148</v>
      </c>
      <c r="H3267" s="38" t="n">
        <f aca="false">Sens!$G$3267*(1+Sens!$H$3268)</f>
        <v>99.8969223878976</v>
      </c>
      <c r="I3267" s="38" t="n">
        <f aca="false">Sens!$H$3267*(1+Sens!$I$3268)</f>
        <v>116.583111095496</v>
      </c>
      <c r="J3267" s="38" t="n">
        <f aca="false">Sens!$I$3267*(1+Sens!$J$3268)</f>
        <v>132.148941941952</v>
      </c>
      <c r="K3267" s="38" t="n">
        <f aca="false">Sens!$J$3267*(1+Sens!$K$3268)</f>
        <v>145.363836136147</v>
      </c>
      <c r="L3267" s="38" t="n">
        <f aca="false">Sens!$K$3267*(1+Sens!$L$3268)</f>
        <v>159.900219749762</v>
      </c>
      <c r="M3267" s="38" t="n">
        <f aca="false">Sens!$L$3267*(1+Sens!$M$3268)</f>
        <v>175.890241724738</v>
      </c>
      <c r="N3267" s="38" t="n">
        <f aca="false">Q!$N$13</f>
        <v>29.615</v>
      </c>
      <c r="O3267" s="38" t="n">
        <f aca="false">Q!$O$13</f>
        <v>39.02</v>
      </c>
      <c r="P3267" s="8" t="s">
        <v>678</v>
      </c>
    </row>
    <row r="3268" customFormat="false" ht="17.15" hidden="false" customHeight="false" outlineLevel="0" collapsed="false">
      <c r="A3268" s="0" t="s">
        <v>685</v>
      </c>
      <c r="B3268" s="0" t="s">
        <v>52</v>
      </c>
      <c r="E3268" s="13" t="n">
        <f aca="false">Sens!$E$3267/Sens!$N$3267-1</f>
        <v>0.25112274185379</v>
      </c>
      <c r="F3268" s="13" t="n">
        <f aca="false">Sens!$O$3267/(Q!$F$13+Q!$G$13)-1</f>
        <v>0.234068123596572</v>
      </c>
      <c r="G3268" s="13" t="n">
        <f aca="false">Sens!$G$3267/Sens!$D$3267-1</f>
        <v>0.212343876949294</v>
      </c>
      <c r="H3268" s="13" t="n">
        <f aca="false">Sens!$F$3268+(g_ad-Sens!$F$3268)*1/4</f>
        <v>0.200551092697429</v>
      </c>
      <c r="I3268" s="13" t="n">
        <f aca="false">Sens!$F$3268+(g_ad-Sens!$F$3268)*2/4</f>
        <v>0.167034061798286</v>
      </c>
      <c r="J3268" s="13" t="n">
        <f aca="false">Sens!$F$3268+(g_ad-Sens!$F$3268)*3/4</f>
        <v>0.133517030899143</v>
      </c>
      <c r="K3268" s="13" t="n">
        <f aca="false">Sens!$F$3268+(g_ad-Sens!$F$3268)*4/4</f>
        <v>0.1</v>
      </c>
      <c r="L3268" s="13" t="n">
        <f aca="false">g_ad</f>
        <v>0.1</v>
      </c>
      <c r="M3268" s="13" t="n">
        <f aca="false">g_ad</f>
        <v>0.1</v>
      </c>
      <c r="P3268" s="8" t="s">
        <v>686</v>
      </c>
    </row>
    <row r="3269" customFormat="false" ht="17.15" hidden="false" customHeight="false" outlineLevel="0" collapsed="false">
      <c r="A3269" s="0" t="s">
        <v>530</v>
      </c>
      <c r="B3269" s="0" t="s">
        <v>86</v>
      </c>
      <c r="C3269" s="38" t="n">
        <f aca="false">Q!$D$14</f>
        <v>44.374</v>
      </c>
      <c r="D3269" s="38" t="n">
        <f aca="false">Q!$E$14</f>
        <v>49.619</v>
      </c>
      <c r="E3269" s="38" t="n">
        <f aca="false">Q!$P$14</f>
        <v>27.157</v>
      </c>
      <c r="F3269" s="38" t="n">
        <f aca="false">Sens!$O$3269*(1+Sens!$F$3270)*Sens!$F$3273</f>
        <v>27.7764165988154</v>
      </c>
      <c r="G3269" s="38" t="n">
        <f aca="false">Sens!$E$3269+Sens!$F$3269</f>
        <v>54.9334165988154</v>
      </c>
      <c r="H3269" s="38" t="n">
        <f aca="false">Sens!$G$3269*(1+Sens!$H$3270)</f>
        <v>61.1564112561829</v>
      </c>
      <c r="I3269" s="38" t="n">
        <f aca="false">Sens!$H$3269*(1+Sens!$I$3270)</f>
        <v>67.2020282103945</v>
      </c>
      <c r="J3269" s="38" t="n">
        <f aca="false">Sens!$I$3269*(1+Sens!$J$3270)</f>
        <v>72.8757274028885</v>
      </c>
      <c r="K3269" s="38" t="n">
        <f aca="false">Sens!$J$3269*(1+Sens!$K$3270)</f>
        <v>77.9770283210907</v>
      </c>
      <c r="L3269" s="38" t="n">
        <f aca="false">Sens!$K$3269*(1+Sens!$L$3270)</f>
        <v>83.4354203035671</v>
      </c>
      <c r="M3269" s="38" t="n">
        <f aca="false">Sens!$L$3269*(1+Sens!$M$3270)</f>
        <v>89.2758997248168</v>
      </c>
      <c r="N3269" s="38" t="n">
        <f aca="false">Q!$N$14</f>
        <v>23.923</v>
      </c>
      <c r="O3269" s="38" t="n">
        <f aca="false">Q!$O$14</f>
        <v>25.696</v>
      </c>
      <c r="P3269" s="8" t="s">
        <v>678</v>
      </c>
    </row>
    <row r="3270" customFormat="false" ht="17.15" hidden="false" customHeight="false" outlineLevel="0" collapsed="false">
      <c r="A3270" s="0" t="s">
        <v>687</v>
      </c>
      <c r="B3270" s="0" t="s">
        <v>52</v>
      </c>
      <c r="E3270" s="13" t="n">
        <f aca="false">Sens!$E$3269/Sens!$N$3269-1</f>
        <v>0.135183714417088</v>
      </c>
      <c r="F3270" s="13" t="n">
        <f aca="false">Sens!$O$3269/(Q!$F$14+Q!$G$14)-1</f>
        <v>0.127709997366804</v>
      </c>
      <c r="G3270" s="13" t="n">
        <f aca="false">Sens!$G$3269/Sens!$D$3269-1</f>
        <v>0.107104468022641</v>
      </c>
      <c r="H3270" s="13" t="n">
        <f aca="false">Sens!$F$3270+(g_sub-Sens!$F$3270)*1/4</f>
        <v>0.113282498025103</v>
      </c>
      <c r="I3270" s="13" t="n">
        <f aca="false">Sens!$F$3270+(g_sub-Sens!$F$3270)*2/4</f>
        <v>0.0988549986834021</v>
      </c>
      <c r="J3270" s="13" t="n">
        <f aca="false">Sens!$F$3270+(g_sub-Sens!$F$3270)*3/4</f>
        <v>0.084427499341701</v>
      </c>
      <c r="K3270" s="13" t="n">
        <f aca="false">Sens!$F$3270+(g_sub-Sens!$F$3270)*4/4</f>
        <v>0.07</v>
      </c>
      <c r="L3270" s="13" t="n">
        <f aca="false">g_sub</f>
        <v>0.07</v>
      </c>
      <c r="M3270" s="13" t="n">
        <f aca="false">g_sub</f>
        <v>0.07</v>
      </c>
      <c r="P3270" s="8" t="s">
        <v>688</v>
      </c>
    </row>
    <row r="3271" customFormat="false" ht="17.15" hidden="false" customHeight="false" outlineLevel="0" collapsed="false">
      <c r="A3271" s="0" t="s">
        <v>531</v>
      </c>
      <c r="B3271" s="0" t="s">
        <v>86</v>
      </c>
      <c r="C3271" s="38" t="n">
        <f aca="false">Q!$D$15</f>
        <v>5.425</v>
      </c>
      <c r="D3271" s="38" t="n">
        <f aca="false">Q!$E$15</f>
        <v>5.935</v>
      </c>
      <c r="E3271" s="38" t="n">
        <f aca="false">Q!$P$15</f>
        <v>3.474</v>
      </c>
      <c r="F3271" s="38" t="n">
        <f aca="false">Sens!$O$3271*(1+Sens!$F$3272)*Sens!$F$3273</f>
        <v>3.22246550883619</v>
      </c>
      <c r="G3271" s="38" t="n">
        <f aca="false">Sens!$E$3271+Sens!$F$3271</f>
        <v>6.69646550883619</v>
      </c>
      <c r="H3271" s="38" t="n">
        <f aca="false">Sens!$G$3271*(1+Sens!$H$3272)</f>
        <v>7.16251344209196</v>
      </c>
      <c r="I3271" s="38" t="n">
        <f aca="false">Sens!$H$3271*(1+Sens!$I$3272)</f>
        <v>7.61421070299826</v>
      </c>
      <c r="J3271" s="38" t="n">
        <f aca="false">Sens!$I$3271*(1+Sens!$J$3272)</f>
        <v>8.04465753523932</v>
      </c>
      <c r="K3271" s="38" t="n">
        <f aca="false">Sens!$J$3271*(1+Sens!$K$3272)</f>
        <v>8.44689041200128</v>
      </c>
      <c r="L3271" s="38" t="n">
        <f aca="false">Sens!$K$3271*(1+Sens!$L$3272)</f>
        <v>8.86923493260135</v>
      </c>
      <c r="M3271" s="38" t="n">
        <f aca="false">Sens!$L$3271*(1+Sens!$M$3272)</f>
        <v>9.31269667923142</v>
      </c>
      <c r="N3271" s="38" t="n">
        <f aca="false">Q!$N$15</f>
        <v>2.811</v>
      </c>
      <c r="O3271" s="38" t="n">
        <f aca="false">Q!$O$15</f>
        <v>3.124</v>
      </c>
      <c r="P3271" s="8" t="s">
        <v>678</v>
      </c>
    </row>
    <row r="3272" customFormat="false" ht="17.15" hidden="false" customHeight="false" outlineLevel="0" collapsed="false">
      <c r="A3272" s="0" t="s">
        <v>689</v>
      </c>
      <c r="B3272" s="0" t="s">
        <v>52</v>
      </c>
      <c r="E3272" s="13" t="n">
        <f aca="false">Sens!$E$3271/Sens!$N$3271-1</f>
        <v>0.235859124866596</v>
      </c>
      <c r="F3272" s="13" t="n">
        <f aca="false">Sens!$O$3271/(Q!$F$15+Q!$G$15)-1</f>
        <v>0.0761281433000345</v>
      </c>
      <c r="G3272" s="13" t="n">
        <f aca="false">Sens!$G$3271/Sens!$D$3271-1</f>
        <v>0.128300843948811</v>
      </c>
      <c r="H3272" s="13" t="n">
        <f aca="false">Sens!$F$3272+(g_ot-Sens!$F$3272)*1/4</f>
        <v>0.0695961074750259</v>
      </c>
      <c r="I3272" s="13" t="n">
        <f aca="false">Sens!$F$3272+(g_ot-Sens!$F$3272)*2/4</f>
        <v>0.0630640716500172</v>
      </c>
      <c r="J3272" s="13" t="n">
        <f aca="false">Sens!$F$3272+(g_ot-Sens!$F$3272)*3/4</f>
        <v>0.0565320358250086</v>
      </c>
      <c r="K3272" s="13" t="n">
        <f aca="false">Sens!$F$3272+(g_ot-Sens!$F$3272)*4/4</f>
        <v>0.05</v>
      </c>
      <c r="L3272" s="13" t="n">
        <f aca="false">g_ot</f>
        <v>0.05</v>
      </c>
      <c r="M3272" s="13" t="n">
        <f aca="false">g_ot</f>
        <v>0.05</v>
      </c>
      <c r="P3272" s="8" t="s">
        <v>690</v>
      </c>
    </row>
    <row r="3273" customFormat="false" ht="17.15" hidden="false" customHeight="false" outlineLevel="0" collapsed="false">
      <c r="A3273" s="0" t="s">
        <v>691</v>
      </c>
      <c r="B3273" s="0" t="s">
        <v>57</v>
      </c>
      <c r="F3273" s="40" t="n">
        <f aca="false">(g26q3_mid*Q!$O$8/Q!$J$8-Thesis!$F$89-Thesis!$F$93)/(Sens!$O$3261*(1+Sens!$F$3262)+Sens!$O$3263*(1+Sens!$F$3264)+Sens!$O$3265*(1+Sens!$F$3266)+Sens!$O$3267*(1+Sens!$F$3268)+Sens!$O$3269*(1+Sens!$F$3270)+Sens!$O$3271*(1+Sens!$F$3272))</f>
        <v>0.958546670622329</v>
      </c>
      <c r="P3273" s="8" t="s">
        <v>692</v>
      </c>
    </row>
    <row r="3274" customFormat="false" ht="17.15" hidden="false" customHeight="false" outlineLevel="0" collapsed="false">
      <c r="A3274" s="3" t="s">
        <v>693</v>
      </c>
      <c r="B3274" s="8" t="s">
        <v>86</v>
      </c>
      <c r="C3274" s="38" t="n">
        <f aca="false">Sens!$C$3261+Sens!$C$3263+Sens!$C$3265+Sens!$C$3267+Sens!$C$3269+Sens!$C$3271</f>
        <v>530.403</v>
      </c>
      <c r="D3274" s="38" t="n">
        <f aca="false">Sens!$D$3261+Sens!$D$3263+Sens!$D$3265+Sens!$D$3267+Sens!$D$3269+Sens!$D$3271</f>
        <v>588.199</v>
      </c>
      <c r="E3274" s="38" t="n">
        <f aca="false">Sens!$E$3261+Sens!$E$3263+Sens!$E$3265+Sens!$E$3267+Sens!$E$3269+Sens!$E$3271</f>
        <v>302.306</v>
      </c>
      <c r="F3274" s="38" t="n">
        <f aca="false">Sens!$F$3261+Sens!$F$3263+Sens!$F$3265+Sens!$F$3267+Sens!$F$3269+Sens!$F$3271</f>
        <v>349.048241645537</v>
      </c>
      <c r="G3274" s="38" t="n">
        <f aca="false">Sens!$G$3261+Sens!$G$3263+Sens!$G$3265+Sens!$G$3267+Sens!$G$3269+Sens!$G$3271</f>
        <v>651.354241645537</v>
      </c>
      <c r="H3274" s="38" t="n">
        <f aca="false">Sens!$H$3261+Sens!$H$3263+Sens!$H$3265+Sens!$H$3267+Sens!$H$3269+Sens!$H$3271</f>
        <v>721.096889521386</v>
      </c>
      <c r="I3274" s="38" t="n">
        <f aca="false">Sens!$I$3261+Sens!$I$3263+Sens!$I$3265+Sens!$I$3267+Sens!$I$3269+Sens!$I$3271</f>
        <v>788.529391152531</v>
      </c>
      <c r="J3274" s="38" t="n">
        <f aca="false">Sens!$J$3261+Sens!$J$3263+Sens!$J$3265+Sens!$J$3267+Sens!$J$3269+Sens!$J$3271</f>
        <v>851.108405741443</v>
      </c>
      <c r="K3274" s="38" t="n">
        <f aca="false">Sens!$K$3261+Sens!$K$3263+Sens!$K$3265+Sens!$K$3267+Sens!$K$3269+Sens!$K$3271</f>
        <v>906.176455431088</v>
      </c>
      <c r="L3274" s="38" t="n">
        <f aca="false">Sens!$L$3261+Sens!$L$3263+Sens!$L$3265+Sens!$L$3267+Sens!$L$3269+Sens!$L$3271</f>
        <v>965.093106475589</v>
      </c>
      <c r="M3274" s="38" t="n">
        <f aca="false">Sens!$M$3261+Sens!$M$3263+Sens!$M$3265+Sens!$M$3267+Sens!$M$3269+Sens!$M$3271</f>
        <v>1028.14790794689</v>
      </c>
      <c r="N3274" s="38" t="n">
        <f aca="false">Sens!$N$3261+Sens!$N$3263+Sens!$N$3265+Sens!$N$3267+Sens!$N$3269+Sens!$N$3271</f>
        <v>263.229</v>
      </c>
      <c r="O3274" s="38" t="n">
        <f aca="false">Sens!$O$3261+Sens!$O$3263+Sens!$O$3265+Sens!$O$3267+Sens!$O$3269+Sens!$O$3271</f>
        <v>324.97</v>
      </c>
    </row>
    <row r="3275" customFormat="false" ht="17.15" hidden="false" customHeight="false" outlineLevel="0" collapsed="false">
      <c r="A3275" s="5" t="s">
        <v>694</v>
      </c>
      <c r="B3275" s="0" t="s">
        <v>52</v>
      </c>
      <c r="C3275" s="13" t="n">
        <f aca="false">Q!$D$5/(Q!$D$5+Q!$D$6)</f>
        <v>0.730570905519011</v>
      </c>
      <c r="D3275" s="13" t="n">
        <f aca="false">Q!$E$5/(Q!$E$5+Q!$E$6)</f>
        <v>0.724763217890544</v>
      </c>
      <c r="E3275" s="13" t="n">
        <f aca="false">Q!$P$5/(Q!$P$5+Q!$P$6)</f>
        <v>0.728797972914861</v>
      </c>
      <c r="F3275" s="13" t="n">
        <f aca="false">Sens!$O$3275</f>
        <v>0.718066283041511</v>
      </c>
      <c r="G3275" s="13" t="n">
        <f aca="false">Sens!$G$3276/Sens!$G$3274</f>
        <v>0.723047066202847</v>
      </c>
      <c r="H3275" s="13" t="n">
        <f aca="false">Sens!$G$3275</f>
        <v>0.723047066202847</v>
      </c>
      <c r="I3275" s="13" t="n">
        <f aca="false">Sens!$G$3275</f>
        <v>0.723047066202847</v>
      </c>
      <c r="J3275" s="13" t="n">
        <f aca="false">Sens!$G$3275</f>
        <v>0.723047066202847</v>
      </c>
      <c r="K3275" s="13" t="n">
        <f aca="false">Sens!$G$3275</f>
        <v>0.723047066202847</v>
      </c>
      <c r="L3275" s="13" t="n">
        <f aca="false">Sens!$G$3275</f>
        <v>0.723047066202847</v>
      </c>
      <c r="M3275" s="13" t="n">
        <f aca="false">Sens!$G$3275</f>
        <v>0.723047066202847</v>
      </c>
      <c r="N3275" s="13" t="n">
        <f aca="false">Q!$N$5/(Q!$N$5+Q!$N$6)</f>
        <v>0.733030935041352</v>
      </c>
      <c r="O3275" s="13" t="n">
        <f aca="false">Q!$O$5/(Q!$O$5+Q!$O$6)</f>
        <v>0.718066283041511</v>
      </c>
      <c r="P3275" s="8" t="s">
        <v>695</v>
      </c>
    </row>
    <row r="3276" customFormat="false" ht="17.15" hidden="false" customHeight="false" outlineLevel="0" collapsed="false">
      <c r="A3276" s="1" t="s">
        <v>519</v>
      </c>
      <c r="B3276" s="8" t="s">
        <v>86</v>
      </c>
      <c r="C3276" s="38" t="n">
        <f aca="false">Q!$D$5</f>
        <v>387.497</v>
      </c>
      <c r="D3276" s="38" t="n">
        <f aca="false">Q!$E$5</f>
        <v>426.305</v>
      </c>
      <c r="E3276" s="38" t="n">
        <f aca="false">Q!$P$5</f>
        <v>220.32</v>
      </c>
      <c r="F3276" s="38" t="n">
        <f aca="false">Sens!$F$3274*Sens!$F$3275</f>
        <v>250.639773480586</v>
      </c>
      <c r="G3276" s="38" t="n">
        <f aca="false">Sens!$E$3276+Sens!$F$3276</f>
        <v>470.959773480586</v>
      </c>
      <c r="H3276" s="38" t="n">
        <f aca="false">Sens!$H$3274*Sens!$H$3275</f>
        <v>521.386990416437</v>
      </c>
      <c r="I3276" s="38" t="n">
        <f aca="false">Sens!$I$3274*Sens!$I$3275</f>
        <v>570.143862887555</v>
      </c>
      <c r="J3276" s="38" t="n">
        <f aca="false">Sens!$J$3274*Sens!$J$3275</f>
        <v>615.391435791933</v>
      </c>
      <c r="K3276" s="38" t="n">
        <f aca="false">Sens!$K$3274*Sens!$K$3275</f>
        <v>655.208227561543</v>
      </c>
      <c r="L3276" s="38" t="n">
        <f aca="false">Sens!$L$3274*Sens!$L$3275</f>
        <v>697.807739249767</v>
      </c>
      <c r="M3276" s="38" t="n">
        <f aca="false">Sens!$M$3274*Sens!$M$3275</f>
        <v>743.399328463592</v>
      </c>
      <c r="N3276" s="38" t="n">
        <f aca="false">Q!$N$5</f>
        <v>192.955</v>
      </c>
      <c r="O3276" s="38" t="n">
        <f aca="false">Q!$O$5</f>
        <v>233.35</v>
      </c>
      <c r="P3276" s="5" t="s">
        <v>696</v>
      </c>
    </row>
    <row r="3277" customFormat="false" ht="17.15" hidden="false" customHeight="false" outlineLevel="0" collapsed="false">
      <c r="A3277" s="1" t="s">
        <v>522</v>
      </c>
      <c r="B3277" s="8" t="s">
        <v>86</v>
      </c>
      <c r="C3277" s="38" t="n">
        <f aca="false">Q!$D$6</f>
        <v>142.906</v>
      </c>
      <c r="D3277" s="38" t="n">
        <f aca="false">Q!$E$6</f>
        <v>161.894</v>
      </c>
      <c r="E3277" s="38" t="n">
        <f aca="false">Q!$P$6</f>
        <v>81.986</v>
      </c>
      <c r="F3277" s="38" t="n">
        <f aca="false">Sens!$F$3274*(1-Sens!$F$3275)</f>
        <v>98.408468164951</v>
      </c>
      <c r="G3277" s="38" t="n">
        <f aca="false">Sens!$E$3277+Sens!$F$3277</f>
        <v>180.394468164951</v>
      </c>
      <c r="H3277" s="38" t="n">
        <f aca="false">Sens!$H$3274*(1-Sens!$H$3275)</f>
        <v>199.709899104949</v>
      </c>
      <c r="I3277" s="38" t="n">
        <f aca="false">Sens!$I$3274*(1-Sens!$I$3275)</f>
        <v>218.385528264976</v>
      </c>
      <c r="J3277" s="38" t="n">
        <f aca="false">Sens!$J$3274*(1-Sens!$J$3275)</f>
        <v>235.71696994951</v>
      </c>
      <c r="K3277" s="38" t="n">
        <f aca="false">Sens!$K$3274*(1-Sens!$K$3275)</f>
        <v>250.968227869545</v>
      </c>
      <c r="L3277" s="38" t="n">
        <f aca="false">Sens!$L$3274*(1-Sens!$L$3275)</f>
        <v>267.285367225822</v>
      </c>
      <c r="M3277" s="38" t="n">
        <f aca="false">Sens!$M$3274*(1-Sens!$M$3275)</f>
        <v>284.748579483295</v>
      </c>
      <c r="N3277" s="38" t="n">
        <f aca="false">Q!$N$6</f>
        <v>70.274</v>
      </c>
      <c r="O3277" s="38" t="n">
        <f aca="false">Q!$O$6</f>
        <v>91.62</v>
      </c>
      <c r="P3277" s="5" t="s">
        <v>697</v>
      </c>
    </row>
    <row r="3278" customFormat="false" ht="17.15" hidden="false" customHeight="false" outlineLevel="0" collapsed="false">
      <c r="A3278" s="5" t="s">
        <v>698</v>
      </c>
      <c r="B3278" s="0" t="s">
        <v>86</v>
      </c>
      <c r="C3278" s="38" t="n">
        <f aca="false">Sens!$C$3267*Sens!$C$3275</f>
        <v>41.0683128828457</v>
      </c>
      <c r="D3278" s="38" t="n">
        <f aca="false">Sens!$D$3267*Sens!$D$3275</f>
        <v>49.7441234599175</v>
      </c>
      <c r="E3278" s="38" t="n">
        <f aca="false">Sens!$E$3267*Sens!$E$3275</f>
        <v>27.0034224924414</v>
      </c>
      <c r="F3278" s="38" t="n">
        <f aca="false">Sens!$F$3267*Sens!$F$3275</f>
        <v>33.1439448330513</v>
      </c>
      <c r="G3278" s="38" t="n">
        <f aca="false">Sens!$G$3267*Sens!$G$3275</f>
        <v>60.164183844083</v>
      </c>
      <c r="H3278" s="38" t="n">
        <f aca="false">Sens!$H$3267*Sens!$H$3275</f>
        <v>72.2301766552629</v>
      </c>
      <c r="I3278" s="38" t="n">
        <f aca="false">Sens!$I$3267*Sens!$I$3275</f>
        <v>84.2950764463991</v>
      </c>
      <c r="J3278" s="38" t="n">
        <f aca="false">Sens!$J$3267*Sens!$J$3275</f>
        <v>95.5499047729386</v>
      </c>
      <c r="K3278" s="38" t="n">
        <f aca="false">Sens!$K$3267*Sens!$K$3275</f>
        <v>105.104895250232</v>
      </c>
      <c r="L3278" s="38" t="n">
        <f aca="false">Sens!$L$3267*Sens!$L$3275</f>
        <v>115.615384775256</v>
      </c>
      <c r="M3278" s="38" t="n">
        <f aca="false">Sens!$M$3267*Sens!$M$3275</f>
        <v>127.176923252781</v>
      </c>
      <c r="N3278" s="38" t="n">
        <f aca="false">Sens!$N$3267*Sens!$N$3275</f>
        <v>21.7087111412496</v>
      </c>
      <c r="O3278" s="38" t="n">
        <f aca="false">Sens!$O$3267*Sens!$O$3275</f>
        <v>28.0189463642798</v>
      </c>
      <c r="P3278" s="5" t="s">
        <v>699</v>
      </c>
    </row>
    <row r="3279" customFormat="false" ht="15" hidden="false" customHeight="false" outlineLevel="0" collapsed="false">
      <c r="A3279" s="5" t="s">
        <v>700</v>
      </c>
      <c r="B3279" s="0" t="s">
        <v>86</v>
      </c>
      <c r="C3279" s="38" t="n">
        <f aca="false">Sens!$C$3267-Sens!$C$3278</f>
        <v>15.1456871171543</v>
      </c>
      <c r="D3279" s="38" t="n">
        <f aca="false">Sens!$D$3267-Sens!$D$3278</f>
        <v>18.8908765400825</v>
      </c>
      <c r="E3279" s="38" t="n">
        <f aca="false">Sens!$E$3267-Sens!$E$3278</f>
        <v>10.0485775075586</v>
      </c>
      <c r="F3279" s="38" t="n">
        <f aca="false">Sens!$F$3267-Sens!$F$3278</f>
        <v>13.0132771613635</v>
      </c>
      <c r="G3279" s="38" t="n">
        <f aca="false">Sens!$G$3267-Sens!$G$3278</f>
        <v>23.0450381503318</v>
      </c>
      <c r="H3279" s="38" t="n">
        <f aca="false">Sens!$H$3267-Sens!$H$3278</f>
        <v>27.6667457326347</v>
      </c>
      <c r="I3279" s="38" t="n">
        <f aca="false">Sens!$I$3267-Sens!$I$3278</f>
        <v>32.2880346490971</v>
      </c>
      <c r="J3279" s="38" t="n">
        <f aca="false">Sens!$J$3267-Sens!$J$3278</f>
        <v>36.5990371690132</v>
      </c>
      <c r="K3279" s="38" t="n">
        <f aca="false">Sens!$K$3267-Sens!$K$3278</f>
        <v>40.2589408859145</v>
      </c>
      <c r="L3279" s="38" t="n">
        <f aca="false">Sens!$L$3267-Sens!$L$3278</f>
        <v>44.2848349745059</v>
      </c>
      <c r="M3279" s="38" t="n">
        <f aca="false">Sens!$M$3267-Sens!$M$3278</f>
        <v>48.7133184719565</v>
      </c>
      <c r="N3279" s="38" t="n">
        <f aca="false">Sens!$N$3267-Sens!$N$3278</f>
        <v>7.90628885875037</v>
      </c>
      <c r="O3279" s="38" t="n">
        <f aca="false">Sens!$O$3267-Sens!$O$3278</f>
        <v>11.0010536357202</v>
      </c>
    </row>
    <row r="3280" customFormat="false" ht="19.4" hidden="false" customHeight="false" outlineLevel="0" collapsed="false">
      <c r="A3280" s="31" t="s">
        <v>1218</v>
      </c>
    </row>
    <row r="3281" customFormat="false" ht="17.15" hidden="false" customHeight="false" outlineLevel="0" collapsed="false">
      <c r="A3281" s="6" t="s">
        <v>16</v>
      </c>
      <c r="B3281" s="6" t="s">
        <v>17</v>
      </c>
      <c r="C3281" s="20" t="s">
        <v>504</v>
      </c>
      <c r="D3281" s="20" t="s">
        <v>505</v>
      </c>
      <c r="E3281" s="20" t="s">
        <v>587</v>
      </c>
      <c r="F3281" s="20" t="s">
        <v>588</v>
      </c>
      <c r="G3281" s="20" t="s">
        <v>589</v>
      </c>
      <c r="H3281" s="20" t="s">
        <v>590</v>
      </c>
      <c r="I3281" s="20" t="s">
        <v>591</v>
      </c>
      <c r="J3281" s="20" t="s">
        <v>592</v>
      </c>
      <c r="K3281" s="20" t="s">
        <v>593</v>
      </c>
      <c r="L3281" s="20" t="s">
        <v>594</v>
      </c>
      <c r="M3281" s="20" t="s">
        <v>595</v>
      </c>
      <c r="N3281" s="20" t="s">
        <v>596</v>
      </c>
      <c r="O3281" s="20" t="s">
        <v>597</v>
      </c>
      <c r="P3281" s="6" t="s">
        <v>23</v>
      </c>
      <c r="R3281" s="20" t="n">
        <v>2023</v>
      </c>
      <c r="S3281" s="20" t="n">
        <v>2024</v>
      </c>
      <c r="T3281" s="20" t="n">
        <v>2025</v>
      </c>
      <c r="U3281" s="20" t="n">
        <v>2026</v>
      </c>
      <c r="V3281" s="20" t="n">
        <v>2027</v>
      </c>
      <c r="W3281" s="20" t="n">
        <v>2028</v>
      </c>
      <c r="X3281" s="20" t="n">
        <v>2029</v>
      </c>
      <c r="Y3281" s="20" t="n">
        <v>2030</v>
      </c>
      <c r="Z3281" s="20" t="n">
        <v>2031</v>
      </c>
      <c r="AA3281" s="20" t="n">
        <v>2032</v>
      </c>
    </row>
    <row r="3282" customFormat="false" ht="17.15" hidden="false" customHeight="false" outlineLevel="0" collapsed="false">
      <c r="A3282" s="1" t="s">
        <v>598</v>
      </c>
    </row>
    <row r="3283" customFormat="false" ht="17.15" hidden="false" customHeight="false" outlineLevel="0" collapsed="false">
      <c r="A3283" s="5" t="s">
        <v>599</v>
      </c>
      <c r="B3283" s="0" t="s">
        <v>144</v>
      </c>
      <c r="H3283" s="32" t="n">
        <f aca="false">pace_B</f>
        <v>3634.3</v>
      </c>
      <c r="I3283" s="32" t="n">
        <f aca="false">pace_B</f>
        <v>3634.3</v>
      </c>
      <c r="J3283" s="32" t="n">
        <f aca="false">pace_B</f>
        <v>3634.3</v>
      </c>
      <c r="K3283" s="32" t="n">
        <f aca="false">pace_B+(Sens!$J$3284*tg-pace_B)*1/3</f>
        <v>2570.86716666667</v>
      </c>
      <c r="L3283" s="32" t="n">
        <f aca="false">pace_B+(Sens!$J$3284*tg-pace_B)*2/3</f>
        <v>1507.43433333333</v>
      </c>
      <c r="M3283" s="32" t="n">
        <f aca="false">pace_B+(Sens!$J$3284*tg-pace_B)*3/3</f>
        <v>444.0015</v>
      </c>
      <c r="P3283" s="5" t="s">
        <v>600</v>
      </c>
    </row>
    <row r="3284" customFormat="false" ht="17.15" hidden="false" customHeight="false" outlineLevel="0" collapsed="false">
      <c r="A3284" s="15" t="s">
        <v>601</v>
      </c>
      <c r="B3284" s="14" t="s">
        <v>129</v>
      </c>
      <c r="C3284" s="33" t="n">
        <f aca="false">mw_ye24</f>
        <v>360</v>
      </c>
      <c r="D3284" s="33" t="n">
        <f aca="false">mw_ye25</f>
        <v>1440</v>
      </c>
      <c r="E3284" s="33" t="n">
        <f aca="false">mw_open</f>
        <v>2080</v>
      </c>
      <c r="F3284" s="33" t="n">
        <f aca="false">Sens!$E$3284+pace_B*0.5</f>
        <v>3897.15</v>
      </c>
      <c r="G3284" s="33" t="n">
        <f aca="false">Sens!$F$3284</f>
        <v>3897.15</v>
      </c>
      <c r="H3284" s="33" t="n">
        <f aca="false">Sens!$G$3284+Sens!$H$3283</f>
        <v>7531.45</v>
      </c>
      <c r="I3284" s="33" t="n">
        <f aca="false">Sens!$H$3284+Sens!$I$3283</f>
        <v>11165.75</v>
      </c>
      <c r="J3284" s="33" t="n">
        <f aca="false">Sens!$I$3284+Sens!$J$3283</f>
        <v>14800.05</v>
      </c>
      <c r="K3284" s="33" t="n">
        <f aca="false">Sens!$J$3284+Sens!$K$3283</f>
        <v>17370.9171666667</v>
      </c>
      <c r="L3284" s="33" t="n">
        <f aca="false">Sens!$K$3284+Sens!$L$3283</f>
        <v>18878.3515</v>
      </c>
      <c r="M3284" s="33" t="n">
        <f aca="false">Sens!$L$3284+Sens!$M$3283</f>
        <v>19322.353</v>
      </c>
      <c r="N3284" s="33" t="n">
        <f aca="false">(mw_ye24+mw_ye25)/2</f>
        <v>900</v>
      </c>
      <c r="O3284" s="33" t="n">
        <f aca="false">mw_ye25</f>
        <v>1440</v>
      </c>
      <c r="P3284" s="5" t="s">
        <v>602</v>
      </c>
    </row>
    <row r="3285" customFormat="false" ht="17.15" hidden="false" customHeight="false" outlineLevel="0" collapsed="false">
      <c r="A3285" s="5" t="s">
        <v>603</v>
      </c>
      <c r="B3285" s="0" t="s">
        <v>129</v>
      </c>
      <c r="C3285" s="32" t="n">
        <f aca="false">(mw_ye23+mw_ye24)/2</f>
        <v>240</v>
      </c>
      <c r="D3285" s="32" t="n">
        <f aca="false">(Sens!$C$3284+Sens!$D$3284)/2</f>
        <v>900</v>
      </c>
      <c r="E3285" s="32" t="n">
        <f aca="false">(Sens!$D$3284+Sens!$E$3284)/2</f>
        <v>1760</v>
      </c>
      <c r="F3285" s="32" t="n">
        <f aca="false">(Sens!$E$3284+Sens!$F$3284)/2</f>
        <v>2988.575</v>
      </c>
      <c r="G3285" s="32" t="n">
        <f aca="false">(Sens!$E$3285+Sens!$F$3285)/2</f>
        <v>2374.2875</v>
      </c>
      <c r="H3285" s="32" t="n">
        <f aca="false">(Sens!$G$3284+Sens!$H$3284)/2</f>
        <v>5714.3</v>
      </c>
      <c r="I3285" s="32" t="n">
        <f aca="false">(Sens!$H$3284+Sens!$I$3284)/2</f>
        <v>9348.6</v>
      </c>
      <c r="J3285" s="32" t="n">
        <f aca="false">(Sens!$I$3284+Sens!$J$3284)/2</f>
        <v>12982.9</v>
      </c>
      <c r="K3285" s="32" t="n">
        <f aca="false">(Sens!$J$3284+Sens!$K$3284)/2</f>
        <v>16085.4835833333</v>
      </c>
      <c r="L3285" s="32" t="n">
        <f aca="false">(Sens!$K$3284+Sens!$L$3284)/2</f>
        <v>18124.6343333333</v>
      </c>
      <c r="M3285" s="32" t="n">
        <f aca="false">(Sens!$L$3284+Sens!$M$3284)/2</f>
        <v>19100.35225</v>
      </c>
      <c r="N3285" s="32" t="n">
        <f aca="false">(Sens!$C$3284+Sens!$N$3284)/2</f>
        <v>630</v>
      </c>
      <c r="O3285" s="32" t="n">
        <f aca="false">(Sens!$N$3284+Sens!$O$3284)/2</f>
        <v>1170</v>
      </c>
    </row>
    <row r="3286" customFormat="false" ht="15" hidden="false" customHeight="false" outlineLevel="0" collapsed="false">
      <c r="A3286" s="5" t="s">
        <v>604</v>
      </c>
      <c r="B3286" s="5" t="s">
        <v>123</v>
      </c>
      <c r="C3286" s="34" t="n">
        <v>1</v>
      </c>
      <c r="D3286" s="34" t="n">
        <v>1</v>
      </c>
      <c r="E3286" s="34" t="n">
        <v>0.5</v>
      </c>
      <c r="F3286" s="34" t="n">
        <v>0.5</v>
      </c>
      <c r="G3286" s="34" t="n">
        <v>1</v>
      </c>
      <c r="H3286" s="34" t="n">
        <v>1</v>
      </c>
      <c r="I3286" s="34" t="n">
        <v>1</v>
      </c>
      <c r="J3286" s="34" t="n">
        <v>1</v>
      </c>
      <c r="K3286" s="34" t="n">
        <v>1</v>
      </c>
      <c r="L3286" s="34" t="n">
        <v>1</v>
      </c>
      <c r="M3286" s="34" t="n">
        <v>1</v>
      </c>
      <c r="N3286" s="34" t="n">
        <v>0.5</v>
      </c>
      <c r="O3286" s="34" t="n">
        <v>0.5</v>
      </c>
    </row>
    <row r="3287" customFormat="false" ht="17.15" hidden="false" customHeight="false" outlineLevel="0" collapsed="false">
      <c r="A3287" s="5" t="s">
        <v>605</v>
      </c>
      <c r="B3287" s="0" t="s">
        <v>129</v>
      </c>
      <c r="C3287" s="32" t="n">
        <f aca="false">Sens!$C$3284-mw_ye23</f>
        <v>240</v>
      </c>
      <c r="D3287" s="32" t="n">
        <f aca="false">Sens!$D$3284-Sens!$C$3284</f>
        <v>1080</v>
      </c>
      <c r="E3287" s="32" t="n">
        <f aca="false">Sens!$E$3284-Sens!$D$3284</f>
        <v>640</v>
      </c>
      <c r="F3287" s="32" t="n">
        <f aca="false">Sens!$F$3284-Sens!$E$3284</f>
        <v>1817.15</v>
      </c>
      <c r="G3287" s="32" t="n">
        <f aca="false">Sens!$E$3287+Sens!$F$3287</f>
        <v>2457.15</v>
      </c>
      <c r="H3287" s="32" t="n">
        <f aca="false">Sens!$H$3284-Sens!$G$3284</f>
        <v>3634.3</v>
      </c>
      <c r="I3287" s="32" t="n">
        <f aca="false">Sens!$I$3284-Sens!$H$3284</f>
        <v>3634.3</v>
      </c>
      <c r="J3287" s="32" t="n">
        <f aca="false">Sens!$J$3284-Sens!$I$3284</f>
        <v>3634.3</v>
      </c>
      <c r="K3287" s="32" t="n">
        <f aca="false">Sens!$K$3284-Sens!$J$3284</f>
        <v>2570.86716666667</v>
      </c>
      <c r="L3287" s="32" t="n">
        <f aca="false">Sens!$L$3284-Sens!$K$3284</f>
        <v>1507.43433333333</v>
      </c>
      <c r="M3287" s="32" t="n">
        <f aca="false">Sens!$M$3284-Sens!$L$3284</f>
        <v>444.001499999999</v>
      </c>
      <c r="N3287" s="32" t="n">
        <f aca="false">Sens!$N$3284-Sens!$C$3284</f>
        <v>540</v>
      </c>
      <c r="O3287" s="32" t="n">
        <f aca="false">Sens!$O$3284-Sens!$N$3284</f>
        <v>540</v>
      </c>
    </row>
    <row r="3288" customFormat="false" ht="17.15" hidden="false" customHeight="false" outlineLevel="0" collapsed="false">
      <c r="A3288" s="5" t="s">
        <v>606</v>
      </c>
      <c r="B3288" s="0" t="s">
        <v>129</v>
      </c>
      <c r="C3288" s="32" t="n">
        <f aca="false">Sens!$C$3287/ext_sh</f>
        <v>300</v>
      </c>
      <c r="D3288" s="32" t="n">
        <f aca="false">Sens!$D$3287/ext_sh</f>
        <v>1350</v>
      </c>
      <c r="E3288" s="32" t="n">
        <f aca="false">Sens!$E$3287/ext_sh</f>
        <v>800</v>
      </c>
      <c r="F3288" s="32" t="n">
        <f aca="false">Sens!$F$3287/ext_sh</f>
        <v>2271.4375</v>
      </c>
      <c r="G3288" s="32" t="n">
        <f aca="false">Sens!$G$3287/ext_sh</f>
        <v>3071.4375</v>
      </c>
      <c r="H3288" s="32" t="n">
        <f aca="false">Sens!$H$3287/ext_sh</f>
        <v>4542.875</v>
      </c>
      <c r="I3288" s="32" t="n">
        <f aca="false">Sens!$I$3287/ext_sh</f>
        <v>4542.875</v>
      </c>
      <c r="J3288" s="32" t="n">
        <f aca="false">Sens!$J$3287/ext_sh</f>
        <v>4542.875</v>
      </c>
      <c r="K3288" s="32" t="n">
        <f aca="false">Sens!$K$3287/ext_sh</f>
        <v>3213.58395833333</v>
      </c>
      <c r="L3288" s="32" t="n">
        <f aca="false">Sens!$L$3287/ext_sh</f>
        <v>1884.29291666667</v>
      </c>
      <c r="M3288" s="32" t="n">
        <f aca="false">Sens!$M$3287/ext_sh</f>
        <v>555.001874999998</v>
      </c>
      <c r="N3288" s="32" t="n">
        <f aca="false">Sens!$N$3287/ext_sh</f>
        <v>675</v>
      </c>
      <c r="O3288" s="32" t="n">
        <f aca="false">Sens!$O$3287/ext_sh</f>
        <v>675</v>
      </c>
      <c r="P3288" s="8" t="s">
        <v>607</v>
      </c>
      <c r="R3288" s="32" t="n">
        <f aca="false">mw_ye23/ext_sh</f>
        <v>150</v>
      </c>
      <c r="S3288" s="32" t="n">
        <f aca="false">Sens!$C$3288</f>
        <v>300</v>
      </c>
      <c r="T3288" s="32" t="n">
        <f aca="false">Sens!$D$3288</f>
        <v>1350</v>
      </c>
      <c r="U3288" s="32" t="n">
        <f aca="false">Sens!$G$3288</f>
        <v>3071.4375</v>
      </c>
      <c r="V3288" s="32" t="n">
        <f aca="false">Sens!$H$3288</f>
        <v>4542.875</v>
      </c>
      <c r="W3288" s="32" t="n">
        <f aca="false">Sens!$I$3288</f>
        <v>4542.875</v>
      </c>
      <c r="X3288" s="32" t="n">
        <f aca="false">Sens!$J$3288</f>
        <v>4542.875</v>
      </c>
      <c r="Y3288" s="32" t="n">
        <f aca="false">Sens!$K$3288</f>
        <v>3213.58395833333</v>
      </c>
      <c r="Z3288" s="32" t="n">
        <f aca="false">Sens!$L$3288</f>
        <v>1884.29291666667</v>
      </c>
      <c r="AA3288" s="32" t="n">
        <f aca="false">Sens!$M$3288</f>
        <v>555.001874999998</v>
      </c>
    </row>
    <row r="3289" customFormat="false" ht="17.15" hidden="false" customHeight="false" outlineLevel="0" collapsed="false">
      <c r="A3289" s="1" t="s">
        <v>608</v>
      </c>
    </row>
    <row r="3290" customFormat="false" ht="17.15" hidden="false" customHeight="false" outlineLevel="0" collapsed="false">
      <c r="A3290" s="0" t="s">
        <v>609</v>
      </c>
      <c r="B3290" s="0" t="s">
        <v>52</v>
      </c>
      <c r="F3290" s="35" t="n">
        <f aca="false">na_vr26</f>
        <v>0</v>
      </c>
      <c r="G3290" s="35" t="n">
        <f aca="false">na_vr26</f>
        <v>0</v>
      </c>
      <c r="H3290" s="35" t="n">
        <f aca="false">na_vr27</f>
        <v>0.5</v>
      </c>
      <c r="I3290" s="35" t="n">
        <f aca="false">na_vr28</f>
        <v>1</v>
      </c>
      <c r="J3290" s="35" t="n">
        <f aca="false">na_vr28</f>
        <v>1</v>
      </c>
      <c r="K3290" s="35" t="n">
        <f aca="false">na_vr28</f>
        <v>1</v>
      </c>
      <c r="L3290" s="35" t="n">
        <f aca="false">na_vr28</f>
        <v>1</v>
      </c>
      <c r="M3290" s="35" t="n">
        <f aca="false">na_vr28</f>
        <v>1</v>
      </c>
    </row>
    <row r="3291" customFormat="false" ht="17.15" hidden="false" customHeight="false" outlineLevel="0" collapsed="false">
      <c r="A3291" s="5" t="s">
        <v>610</v>
      </c>
      <c r="B3291" s="0" t="s">
        <v>173</v>
      </c>
      <c r="F3291" s="36" t="n">
        <f aca="false">cust_sh*tk_he_gb300*cf_chip+(1-cust_sh)*((1-Sens!$F$3290)*tk_he_gb300+Sens!$F$3290*tk_he_vr200)</f>
        <v>10.8864110021101</v>
      </c>
      <c r="G3291" s="36" t="n">
        <f aca="false">cust_sh*tk_he_gb300*cf_chip+(1-cust_sh)*((1-Sens!$G$3290)*tk_he_gb300+Sens!$G$3290*tk_he_vr200)</f>
        <v>10.8864110021101</v>
      </c>
      <c r="H3291" s="36" t="n">
        <f aca="false">cust_sh*tk_he_gb300*cf_chip+(1-cust_sh)*((1-Sens!$H$3290)*tk_he_gb300+Sens!$H$3290*tk_he_vr200)</f>
        <v>11.2211760027286</v>
      </c>
      <c r="I3291" s="36" t="n">
        <f aca="false">cust_sh*tk_he_gb300*cf_chip+(1-cust_sh)*((1-Sens!$I$3290)*tk_he_gb300+Sens!$I$3290*tk_he_vr200)</f>
        <v>11.5559410033471</v>
      </c>
      <c r="J3291" s="36" t="n">
        <f aca="false">cust_sh*tk_he_gb300*cf_chip+(1-cust_sh)*((1-Sens!$J$3290)*tk_he_gb300+Sens!$J$3290*tk_he_vr200)</f>
        <v>11.5559410033471</v>
      </c>
      <c r="K3291" s="36" t="n">
        <f aca="false">cust_sh*tk_he_gb300*cf_chip+(1-cust_sh)*((1-Sens!$K$3290)*tk_he_gb300+Sens!$K$3290*tk_he_vr200)</f>
        <v>11.5559410033471</v>
      </c>
      <c r="L3291" s="36" t="n">
        <f aca="false">cust_sh*tk_he_gb300*cf_chip+(1-cust_sh)*((1-Sens!$L$3290)*tk_he_gb300+Sens!$L$3290*tk_he_vr200)</f>
        <v>11.5559410033471</v>
      </c>
      <c r="M3291" s="36" t="n">
        <f aca="false">cust_sh*tk_he_gb300*cf_chip+(1-cust_sh)*((1-Sens!$M$3290)*tk_he_gb300+Sens!$M$3290*tk_he_vr200)</f>
        <v>11.5559410033471</v>
      </c>
    </row>
    <row r="3292" customFormat="false" ht="17.15" hidden="false" customHeight="false" outlineLevel="0" collapsed="false">
      <c r="A3292" s="5" t="s">
        <v>611</v>
      </c>
      <c r="B3292" s="0" t="s">
        <v>173</v>
      </c>
      <c r="F3292" s="36" t="n">
        <f aca="false">cust_sh*tk_ox_gb300+(1-cust_sh)*((1-Sens!$F$3290)*tk_ox_gb300+Sens!$F$3290*tk_ox_vr200)</f>
        <v>1.98263481314457</v>
      </c>
      <c r="G3292" s="36" t="n">
        <f aca="false">cust_sh*tk_ox_gb300+(1-cust_sh)*((1-Sens!$G$3290)*tk_ox_gb300+Sens!$G$3290*tk_ox_vr200)</f>
        <v>1.98263481314457</v>
      </c>
      <c r="H3292" s="36" t="n">
        <f aca="false">cust_sh*tk_ox_gb300+(1-cust_sh)*((1-Sens!$H$3290)*tk_ox_gb300+Sens!$H$3290*tk_ox_vr200)</f>
        <v>2.01034999693694</v>
      </c>
      <c r="I3292" s="36" t="n">
        <f aca="false">cust_sh*tk_ox_gb300+(1-cust_sh)*((1-Sens!$I$3290)*tk_ox_gb300+Sens!$I$3290*tk_ox_vr200)</f>
        <v>2.0380651807293</v>
      </c>
      <c r="J3292" s="36" t="n">
        <f aca="false">cust_sh*tk_ox_gb300+(1-cust_sh)*((1-Sens!$J$3290)*tk_ox_gb300+Sens!$J$3290*tk_ox_vr200)</f>
        <v>2.0380651807293</v>
      </c>
      <c r="K3292" s="36" t="n">
        <f aca="false">cust_sh*tk_ox_gb300+(1-cust_sh)*((1-Sens!$K$3290)*tk_ox_gb300+Sens!$K$3290*tk_ox_vr200)</f>
        <v>2.0380651807293</v>
      </c>
      <c r="L3292" s="36" t="n">
        <f aca="false">cust_sh*tk_ox_gb300+(1-cust_sh)*((1-Sens!$L$3290)*tk_ox_gb300+Sens!$L$3290*tk_ox_vr200)</f>
        <v>2.0380651807293</v>
      </c>
      <c r="M3292" s="36" t="n">
        <f aca="false">cust_sh*tk_ox_gb300+(1-cust_sh)*((1-Sens!$M$3290)*tk_ox_gb300+Sens!$M$3290*tk_ox_vr200)</f>
        <v>2.0380651807293</v>
      </c>
    </row>
    <row r="3293" customFormat="false" ht="17.15" hidden="false" customHeight="false" outlineLevel="0" collapsed="false">
      <c r="A3293" s="5" t="s">
        <v>612</v>
      </c>
      <c r="B3293" s="0" t="s">
        <v>192</v>
      </c>
      <c r="F3293" s="36" t="n">
        <f aca="false">cust_sh*tk_cx_gb300*cf_cx+(1-cust_sh)*((1-Sens!$F$3290)*tk_cx_gb300+Sens!$F$3290*tk_cx_vr200)</f>
        <v>32.237224</v>
      </c>
      <c r="G3293" s="36" t="n">
        <f aca="false">cust_sh*tk_cx_gb300*cf_cx+(1-cust_sh)*((1-Sens!$G$3290)*tk_cx_gb300+Sens!$G$3290*tk_cx_vr200)</f>
        <v>32.237224</v>
      </c>
      <c r="H3293" s="36" t="n">
        <f aca="false">cust_sh*tk_cx_gb300*cf_cx+(1-cust_sh)*((1-Sens!$H$3290)*tk_cx_gb300+Sens!$H$3290*tk_cx_vr200)</f>
        <v>33.574506</v>
      </c>
      <c r="I3293" s="36" t="n">
        <f aca="false">cust_sh*tk_cx_gb300*cf_cx+(1-cust_sh)*((1-Sens!$I$3290)*tk_cx_gb300+Sens!$I$3290*tk_cx_vr200)</f>
        <v>34.911788</v>
      </c>
      <c r="J3293" s="36" t="n">
        <f aca="false">cust_sh*tk_cx_gb300*cf_cx+(1-cust_sh)*((1-Sens!$J$3290)*tk_cx_gb300+Sens!$J$3290*tk_cx_vr200)</f>
        <v>34.911788</v>
      </c>
      <c r="K3293" s="36" t="n">
        <f aca="false">cust_sh*tk_cx_gb300*cf_cx+(1-cust_sh)*((1-Sens!$K$3290)*tk_cx_gb300+Sens!$K$3290*tk_cx_vr200)</f>
        <v>34.911788</v>
      </c>
      <c r="L3293" s="36" t="n">
        <f aca="false">cust_sh*tk_cx_gb300*cf_cx+(1-cust_sh)*((1-Sens!$L$3290)*tk_cx_gb300+Sens!$L$3290*tk_cx_vr200)</f>
        <v>34.911788</v>
      </c>
      <c r="M3293" s="36" t="n">
        <f aca="false">cust_sh*tk_cx_gb300*cf_cx+(1-cust_sh)*((1-Sens!$M$3290)*tk_cx_gb300+Sens!$M$3290*tk_cx_vr200)</f>
        <v>34.911788</v>
      </c>
    </row>
    <row r="3294" customFormat="false" ht="17.15" hidden="false" customHeight="false" outlineLevel="0" collapsed="false">
      <c r="A3294" s="5" t="s">
        <v>613</v>
      </c>
      <c r="B3294" s="0" t="s">
        <v>129</v>
      </c>
      <c r="F3294" s="32" t="n">
        <f aca="false">Sens!$F$3284-mw_open</f>
        <v>1817.15</v>
      </c>
      <c r="G3294" s="32" t="n">
        <f aca="false">Sens!$F$3294</f>
        <v>1817.15</v>
      </c>
      <c r="H3294" s="32" t="n">
        <f aca="false">Sens!$H$3284-mw_open</f>
        <v>5451.45</v>
      </c>
      <c r="I3294" s="32" t="n">
        <f aca="false">Sens!$I$3284-mw_open</f>
        <v>9085.75</v>
      </c>
      <c r="J3294" s="32" t="n">
        <f aca="false">Sens!$J$3284-mw_open</f>
        <v>12720.05</v>
      </c>
      <c r="K3294" s="32" t="n">
        <f aca="false">Sens!$K$3284-mw_open</f>
        <v>15290.9171666667</v>
      </c>
      <c r="L3294" s="32" t="n">
        <f aca="false">Sens!$L$3284-mw_open</f>
        <v>16798.3515</v>
      </c>
      <c r="M3294" s="32" t="n">
        <f aca="false">Sens!$M$3284-mw_open</f>
        <v>17242.353</v>
      </c>
    </row>
    <row r="3295" customFormat="false" ht="17.15" hidden="false" customHeight="false" outlineLevel="0" collapsed="false">
      <c r="A3295" s="0" t="s">
        <v>614</v>
      </c>
      <c r="B3295" s="0" t="s">
        <v>615</v>
      </c>
      <c r="F3295" s="32" t="n">
        <f aca="false">Sens!$F$3287*Sens!$F$3291</f>
        <v>19782.2417524844</v>
      </c>
      <c r="G3295" s="32" t="n">
        <f aca="false">Sens!$F$3295</f>
        <v>19782.2417524844</v>
      </c>
      <c r="H3295" s="32" t="n">
        <f aca="false">Sens!$G$3295+Sens!$H$3287*Sens!$H$3291</f>
        <v>60563.3616992009</v>
      </c>
      <c r="I3295" s="32" t="n">
        <f aca="false">Sens!$H$3295+Sens!$I$3287*Sens!$I$3291</f>
        <v>102561.118087665</v>
      </c>
      <c r="J3295" s="32" t="n">
        <f aca="false">Sens!$I$3295+Sens!$J$3287*Sens!$J$3291</f>
        <v>144558.87447613</v>
      </c>
      <c r="K3295" s="32" t="n">
        <f aca="false">Sens!$J$3295+Sens!$K$3287*Sens!$K$3291</f>
        <v>174267.663781572</v>
      </c>
      <c r="L3295" s="32" t="n">
        <f aca="false">Sens!$K$3295+Sens!$L$3287*Sens!$L$3291</f>
        <v>191687.486003992</v>
      </c>
      <c r="M3295" s="32" t="n">
        <f aca="false">Sens!$L$3295+Sens!$M$3287*Sens!$M$3291</f>
        <v>196818.341143389</v>
      </c>
    </row>
    <row r="3296" customFormat="false" ht="17.15" hidden="false" customHeight="false" outlineLevel="0" collapsed="false">
      <c r="A3296" s="0" t="s">
        <v>616</v>
      </c>
      <c r="B3296" s="0" t="s">
        <v>615</v>
      </c>
      <c r="F3296" s="32" t="n">
        <f aca="false">Sens!$F$3287*Sens!$F$3292</f>
        <v>3602.74485070566</v>
      </c>
      <c r="G3296" s="32" t="n">
        <f aca="false">Sens!$F$3296</f>
        <v>3602.74485070566</v>
      </c>
      <c r="H3296" s="32" t="n">
        <f aca="false">Sens!$G$3296+Sens!$H$3287*Sens!$H$3292</f>
        <v>10908.9598445736</v>
      </c>
      <c r="I3296" s="32" t="n">
        <f aca="false">Sens!$H$3296+Sens!$I$3287*Sens!$I$3292</f>
        <v>18315.9001308981</v>
      </c>
      <c r="J3296" s="32" t="n">
        <f aca="false">Sens!$I$3296+Sens!$J$3287*Sens!$J$3292</f>
        <v>25722.8404172225</v>
      </c>
      <c r="K3296" s="32" t="n">
        <f aca="false">Sens!$J$3296+Sens!$K$3287*Sens!$K$3292</f>
        <v>30962.4352738861</v>
      </c>
      <c r="L3296" s="32" t="n">
        <f aca="false">Sens!$K$3296+Sens!$L$3287*Sens!$L$3292</f>
        <v>34034.6847008886</v>
      </c>
      <c r="M3296" s="32" t="n">
        <f aca="false">Sens!$L$3296+Sens!$M$3287*Sens!$M$3292</f>
        <v>34939.5886982302</v>
      </c>
    </row>
    <row r="3297" customFormat="false" ht="17.15" hidden="false" customHeight="false" outlineLevel="0" collapsed="false">
      <c r="A3297" s="5" t="s">
        <v>617</v>
      </c>
      <c r="B3297" s="0" t="s">
        <v>173</v>
      </c>
      <c r="F3297" s="36" t="n">
        <f aca="false">IF(Sens!$F$3294&gt;0,Sens!$F$3295/Sens!$F$3294,Sens!$F$3291)</f>
        <v>10.8864110021101</v>
      </c>
      <c r="G3297" s="36" t="n">
        <f aca="false">IF(Sens!$G$3294&gt;0,Sens!$G$3295/Sens!$G$3294,Sens!$G$3291)</f>
        <v>10.8864110021101</v>
      </c>
      <c r="H3297" s="36" t="n">
        <f aca="false">IF(Sens!$H$3294&gt;0,Sens!$H$3295/Sens!$H$3294,Sens!$H$3291)</f>
        <v>11.1095876691891</v>
      </c>
      <c r="I3297" s="36" t="n">
        <f aca="false">IF(Sens!$I$3294&gt;0,Sens!$I$3295/Sens!$I$3294,Sens!$I$3291)</f>
        <v>11.2881290028523</v>
      </c>
      <c r="J3297" s="36" t="n">
        <f aca="false">IF(Sens!$J$3294&gt;0,Sens!$J$3295/Sens!$J$3294,Sens!$J$3291)</f>
        <v>11.3646467172794</v>
      </c>
      <c r="K3297" s="36" t="n">
        <f aca="false">IF(Sens!$K$3294&gt;0,Sens!$K$3295/Sens!$K$3294,Sens!$K$3291)</f>
        <v>11.3968090914432</v>
      </c>
      <c r="L3297" s="36" t="n">
        <f aca="false">IF(Sens!$L$3294&gt;0,Sens!$L$3295/Sens!$L$3294,Sens!$L$3291)</f>
        <v>11.4110891181192</v>
      </c>
      <c r="M3297" s="36" t="n">
        <f aca="false">IF(Sens!$M$3294&gt;0,Sens!$M$3295/Sens!$M$3294,Sens!$M$3291)</f>
        <v>11.4148191458201</v>
      </c>
    </row>
    <row r="3298" customFormat="false" ht="17.15" hidden="false" customHeight="false" outlineLevel="0" collapsed="false">
      <c r="A3298" s="5" t="s">
        <v>618</v>
      </c>
      <c r="B3298" s="0" t="s">
        <v>173</v>
      </c>
      <c r="F3298" s="36" t="n">
        <f aca="false">IF(Sens!$F$3294&gt;0,Sens!$F$3296/Sens!$F$3294,Sens!$F$3292)</f>
        <v>1.98263481314457</v>
      </c>
      <c r="G3298" s="36" t="n">
        <f aca="false">IF(Sens!$G$3294&gt;0,Sens!$G$3296/Sens!$G$3294,Sens!$G$3292)</f>
        <v>1.98263481314457</v>
      </c>
      <c r="H3298" s="36" t="n">
        <f aca="false">IF(Sens!$H$3294&gt;0,Sens!$H$3296/Sens!$H$3294,Sens!$H$3292)</f>
        <v>2.00111160233948</v>
      </c>
      <c r="I3298" s="36" t="n">
        <f aca="false">IF(Sens!$I$3294&gt;0,Sens!$I$3296/Sens!$I$3294,Sens!$I$3292)</f>
        <v>2.01589303369541</v>
      </c>
      <c r="J3298" s="36" t="n">
        <f aca="false">IF(Sens!$J$3294&gt;0,Sens!$J$3296/Sens!$J$3294,Sens!$J$3292)</f>
        <v>2.02222793284795</v>
      </c>
      <c r="K3298" s="36" t="n">
        <f aca="false">IF(Sens!$K$3294&gt;0,Sens!$K$3296/Sens!$K$3294,Sens!$K$3292)</f>
        <v>2.02489065478573</v>
      </c>
      <c r="L3298" s="36" t="n">
        <f aca="false">IF(Sens!$L$3294&gt;0,Sens!$L$3296/Sens!$L$3294,Sens!$L$3292)</f>
        <v>2.0260728977417</v>
      </c>
      <c r="M3298" s="36" t="n">
        <f aca="false">IF(Sens!$M$3294&gt;0,Sens!$M$3296/Sens!$M$3294,Sens!$M$3292)</f>
        <v>2.02638170661685</v>
      </c>
    </row>
    <row r="3299" customFormat="false" ht="17.15" hidden="false" customHeight="false" outlineLevel="0" collapsed="false">
      <c r="A3299" s="15" t="s">
        <v>619</v>
      </c>
      <c r="B3299" s="14" t="s">
        <v>173</v>
      </c>
      <c r="C3299" s="14"/>
      <c r="D3299" s="14"/>
      <c r="E3299" s="14"/>
      <c r="F3299" s="37" t="n">
        <f aca="false">Sens!$F$3297*k_B</f>
        <v>10.7987645808025</v>
      </c>
      <c r="G3299" s="37" t="n">
        <f aca="false">Sens!$G$3297*k_B</f>
        <v>10.7987645808025</v>
      </c>
      <c r="H3299" s="37" t="n">
        <f aca="false">Sens!$H$3297*k_B</f>
        <v>11.0201444540452</v>
      </c>
      <c r="I3299" s="37" t="n">
        <f aca="false">Sens!$I$3297*k_B</f>
        <v>11.1972483526393</v>
      </c>
      <c r="J3299" s="37" t="n">
        <f aca="false">Sens!$J$3297*k_B</f>
        <v>11.2731500234653</v>
      </c>
      <c r="K3299" s="37" t="n">
        <f aca="false">Sens!$K$3297*k_B</f>
        <v>11.3050534585724</v>
      </c>
      <c r="L3299" s="37" t="n">
        <f aca="false">Sens!$L$3297*k_B</f>
        <v>11.3192185168503</v>
      </c>
      <c r="M3299" s="37" t="n">
        <f aca="false">Sens!$M$3297*k_B</f>
        <v>11.3229185141234</v>
      </c>
      <c r="N3299" s="14"/>
      <c r="O3299" s="14"/>
      <c r="P3299" s="5" t="s">
        <v>620</v>
      </c>
    </row>
    <row r="3300" customFormat="false" ht="17.15" hidden="false" customHeight="false" outlineLevel="0" collapsed="false">
      <c r="A3300" s="5" t="s">
        <v>621</v>
      </c>
      <c r="B3300" s="0" t="s">
        <v>129</v>
      </c>
      <c r="F3300" s="32" t="n">
        <f aca="false">Sens!$F$3294/2</f>
        <v>908.575</v>
      </c>
      <c r="H3300" s="32" t="n">
        <f aca="false">(Sens!$G$3294+Sens!$H$3294)/2</f>
        <v>3634.3</v>
      </c>
      <c r="I3300" s="32" t="n">
        <f aca="false">(Sens!$H$3294+Sens!$I$3294)/2</f>
        <v>7268.6</v>
      </c>
      <c r="J3300" s="32" t="n">
        <f aca="false">(Sens!$I$3294+Sens!$J$3294)/2</f>
        <v>10902.9</v>
      </c>
      <c r="K3300" s="32" t="n">
        <f aca="false">(Sens!$J$3294+Sens!$K$3294)/2</f>
        <v>14005.4835833333</v>
      </c>
      <c r="L3300" s="32" t="n">
        <f aca="false">(Sens!$K$3294+Sens!$L$3294)/2</f>
        <v>16044.6343333333</v>
      </c>
      <c r="M3300" s="32" t="n">
        <f aca="false">(Sens!$L$3294+Sens!$M$3294)/2</f>
        <v>17020.35225</v>
      </c>
    </row>
    <row r="3301" customFormat="false" ht="17.15" hidden="false" customHeight="false" outlineLevel="0" collapsed="false">
      <c r="A3301" s="1" t="s">
        <v>622</v>
      </c>
    </row>
    <row r="3302" customFormat="false" ht="17.15" hidden="false" customHeight="false" outlineLevel="0" collapsed="false">
      <c r="A3302" s="1" t="s">
        <v>623</v>
      </c>
      <c r="B3302" s="8" t="s">
        <v>86</v>
      </c>
      <c r="C3302" s="38" t="n">
        <f aca="false">Sens!$C$3285*rpm_open*Sens!$C$3286/1000</f>
        <v>2.32100535697364</v>
      </c>
      <c r="D3302" s="38" t="n">
        <f aca="false">Sens!$D$3285*rpm_open*Sens!$D$3286/1000</f>
        <v>8.70377008865116</v>
      </c>
      <c r="E3302" s="38" t="n">
        <f aca="false">Sens!$E$3285*rpm_open*Sens!$E$3286/1000</f>
        <v>8.51035297557002</v>
      </c>
      <c r="F3302" s="38" t="n">
        <f aca="false">(mw_open*rpm_open+Sens!$F$3300*Sens!$F$3299)*Sens!$F$3286/1000</f>
        <v>14.9634336447205</v>
      </c>
      <c r="G3302" s="38" t="n">
        <f aca="false">Sens!$E$3302+Sens!$F$3302</f>
        <v>23.4737866202905</v>
      </c>
      <c r="H3302" s="38" t="n">
        <f aca="false">(mw_open*rpm_open+Sens!$H$3300*Sens!$H$3299)/1000</f>
        <v>60.1658907497746</v>
      </c>
      <c r="I3302" s="38" t="n">
        <f aca="false">(mw_open*rpm_open+Sens!$I$3300*Sens!$I$3299)/1000</f>
        <v>101.503699136432</v>
      </c>
      <c r="J3302" s="38" t="n">
        <f aca="false">(mw_open*rpm_open+Sens!$J$3300*Sens!$J$3299)/1000</f>
        <v>143.025407151278</v>
      </c>
      <c r="K3302" s="38" t="n">
        <f aca="false">(mw_open*rpm_open+Sens!$K$3300*Sens!$K$3299)/1000</f>
        <v>178.44812038318</v>
      </c>
      <c r="L3302" s="38" t="n">
        <f aca="false">(mw_open*rpm_open+Sens!$L$3300*Sens!$L$3299)/1000</f>
        <v>201.728101802396</v>
      </c>
      <c r="M3302" s="38" t="n">
        <f aca="false">(mw_open*rpm_open+Sens!$M$3300*Sens!$M$3299)/1000</f>
        <v>212.835441368865</v>
      </c>
      <c r="N3302" s="38" t="n">
        <f aca="false">Sens!$N$3285*rpm_open*Sens!$N$3286/1000</f>
        <v>3.04631953102791</v>
      </c>
      <c r="O3302" s="38" t="n">
        <f aca="false">Sens!$O$3285*rpm_open*Sens!$O$3286/1000</f>
        <v>5.65745055762326</v>
      </c>
      <c r="P3302" s="5" t="s">
        <v>624</v>
      </c>
    </row>
    <row r="3303" customFormat="false" ht="17.15" hidden="false" customHeight="false" outlineLevel="0" collapsed="false">
      <c r="A3303" s="5" t="s">
        <v>625</v>
      </c>
      <c r="B3303" s="0" t="s">
        <v>173</v>
      </c>
      <c r="C3303" s="36" t="n">
        <f aca="false">Sens!$C$3302*1000/(Sens!$C$3285*Sens!$C$3286)</f>
        <v>9.67085565405685</v>
      </c>
      <c r="D3303" s="36" t="n">
        <f aca="false">Sens!$D$3302*1000/(Sens!$D$3285*Sens!$D$3286)</f>
        <v>9.67085565405685</v>
      </c>
      <c r="E3303" s="36" t="n">
        <f aca="false">Sens!$E$3302*1000/(Sens!$E$3285*Sens!$E$3286)</f>
        <v>9.67085565405685</v>
      </c>
      <c r="F3303" s="36" t="n">
        <f aca="false">Sens!$F$3302*1000/(Sens!$F$3285*Sens!$F$3286)</f>
        <v>10.0137581588017</v>
      </c>
      <c r="G3303" s="36" t="n">
        <f aca="false">Sens!$G$3302*1000/(Sens!$G$3285*Sens!$G$3286)</f>
        <v>9.88666562928478</v>
      </c>
      <c r="H3303" s="36" t="n">
        <f aca="false">Sens!$H$3302*1000/(Sens!$H$3285*Sens!$H$3286)</f>
        <v>10.5290045586992</v>
      </c>
      <c r="I3303" s="36" t="n">
        <f aca="false">Sens!$I$3302*1000/(Sens!$I$3285*Sens!$I$3286)</f>
        <v>10.8576363451674</v>
      </c>
      <c r="J3303" s="36" t="n">
        <f aca="false">Sens!$J$3302*1000/(Sens!$J$3285*Sens!$J$3286)</f>
        <v>11.0164452588619</v>
      </c>
      <c r="K3303" s="36" t="n">
        <f aca="false">Sens!$K$3302*1000/(Sens!$K$3285*Sens!$K$3286)</f>
        <v>11.0937367508227</v>
      </c>
      <c r="L3303" s="36" t="n">
        <f aca="false">Sens!$L$3302*1000/(Sens!$L$3285*Sens!$L$3286)</f>
        <v>11.1300508519168</v>
      </c>
      <c r="M3303" s="36" t="n">
        <f aca="false">Sens!$M$3302*1000/(Sens!$M$3285*Sens!$M$3286)</f>
        <v>11.1430113216297</v>
      </c>
      <c r="N3303" s="36" t="n">
        <f aca="false">Sens!$N$3302*1000/(Sens!$N$3285*Sens!$N$3286)</f>
        <v>9.67085565405685</v>
      </c>
      <c r="O3303" s="36" t="n">
        <f aca="false">Sens!$O$3302*1000/(Sens!$O$3285*Sens!$O$3286)</f>
        <v>9.67085565405685</v>
      </c>
    </row>
    <row r="3304" customFormat="false" ht="17.15" hidden="false" customHeight="false" outlineLevel="0" collapsed="false">
      <c r="A3304" s="0" t="s">
        <v>626</v>
      </c>
      <c r="B3304" s="0" t="s">
        <v>86</v>
      </c>
      <c r="C3304" s="38" t="n">
        <f aca="false">Sens!$C$3285/ext_sh*(ox_open+rent_mw)*Sens!$C$3286/1000</f>
        <v>0.642569210675032</v>
      </c>
      <c r="D3304" s="38" t="n">
        <f aca="false">Sens!$D$3285/ext_sh*(ox_open+rent_mw)*Sens!$D$3286/1000</f>
        <v>2.40963454003137</v>
      </c>
      <c r="E3304" s="38" t="n">
        <f aca="false">Sens!$E$3285/ext_sh*(ox_open+rent_mw)*Sens!$E$3286/1000</f>
        <v>2.35608710580845</v>
      </c>
      <c r="F3304" s="38" t="n">
        <f aca="false">((mw_open*ox_open+Sens!$F$3300*Sens!$F$3298)/ext_sh+Sens!$F$3285/ext_sh*rent_mw)*Sens!$F$3286/1000</f>
        <v>4.05421991106232</v>
      </c>
      <c r="G3304" s="38" t="n">
        <f aca="false">Sens!$E$3304+Sens!$F$3304</f>
        <v>6.41030701687077</v>
      </c>
      <c r="H3304" s="38" t="n">
        <f aca="false">((mw_open*ox_open+Sens!$H$3300*Sens!$H$3298)/ext_sh+Sens!$H$3285/ext_sh*rent_mw)*Sens!$H$3286/1000</f>
        <v>15.8108975546616</v>
      </c>
      <c r="I3304" s="38" t="n">
        <f aca="false">((mw_open*ox_open+Sens!$I$3300*Sens!$I$3298)/ext_sh+Sens!$I$3285/ext_sh*rent_mw)*Sens!$I$3286/1000</f>
        <v>26.1871623400817</v>
      </c>
      <c r="J3304" s="38" t="n">
        <f aca="false">((mw_open*ox_open+Sens!$J$3300*Sens!$J$3298)/ext_sh+Sens!$J$3285/ext_sh*rent_mw)*Sens!$J$3286/1000</f>
        <v>36.5826128954935</v>
      </c>
      <c r="K3304" s="38" t="n">
        <f aca="false">((mw_open*ox_open+Sens!$K$3300*Sens!$K$3298)/ext_sh+Sens!$K$3285/ext_sh*rent_mw)*Sens!$K$3286/1000</f>
        <v>45.4546361137628</v>
      </c>
      <c r="L3304" s="38" t="n">
        <f aca="false">((mw_open*ox_open+Sens!$L$3300*Sens!$L$3298)/ext_sh+Sens!$L$3285/ext_sh*rent_mw)*Sens!$L$3286/1000</f>
        <v>51.2855695554452</v>
      </c>
      <c r="M3304" s="38" t="n">
        <f aca="false">((mw_open*ox_open+Sens!$M$3300*Sens!$M$3298)/ext_sh+Sens!$M$3285/ext_sh*rent_mw)*Sens!$M$3286/1000</f>
        <v>54.0722927838398</v>
      </c>
      <c r="N3304" s="38" t="n">
        <f aca="false">Sens!$N$3285/ext_sh*(ox_open+rent_mw)*Sens!$N$3286/1000</f>
        <v>0.84337208901098</v>
      </c>
      <c r="O3304" s="38" t="n">
        <f aca="false">Sens!$O$3285/ext_sh*(ox_open+rent_mw)*Sens!$O$3286/1000</f>
        <v>1.56626245102039</v>
      </c>
    </row>
    <row r="3305" customFormat="false" ht="17.15" hidden="false" customHeight="false" outlineLevel="0" collapsed="false">
      <c r="A3305" s="0" t="s">
        <v>627</v>
      </c>
      <c r="B3305" s="0" t="s">
        <v>86</v>
      </c>
      <c r="C3305" s="38" t="n">
        <f aca="false">Q!$D$7</f>
        <v>107.556</v>
      </c>
      <c r="D3305" s="38" t="n">
        <f aca="false">Q!$E$7</f>
        <v>128.725</v>
      </c>
      <c r="E3305" s="38" t="n">
        <f aca="false">Q!$P$7</f>
        <v>79.819</v>
      </c>
      <c r="N3305" s="38" t="n">
        <f aca="false">Q!$N$7</f>
        <v>60.14</v>
      </c>
      <c r="O3305" s="38" t="n">
        <f aca="false">Q!$O$7</f>
        <v>68.585</v>
      </c>
    </row>
    <row r="3306" customFormat="false" ht="17.15" hidden="false" customHeight="false" outlineLevel="0" collapsed="false">
      <c r="A3306" s="1" t="s">
        <v>628</v>
      </c>
      <c r="B3306" s="8" t="s">
        <v>86</v>
      </c>
      <c r="C3306" s="38" t="n">
        <f aca="false">Sens!$C$3305-Sens!$C$3302</f>
        <v>105.234994643026</v>
      </c>
      <c r="D3306" s="38" t="n">
        <f aca="false">Sens!$D$3305-Sens!$D$3302</f>
        <v>120.021229911349</v>
      </c>
      <c r="E3306" s="38" t="n">
        <f aca="false">Sens!$E$3305-Sens!$E$3302</f>
        <v>71.30864702443</v>
      </c>
      <c r="F3306" s="38" t="n">
        <f aca="false">Sens!$O$3306*(1+Sens!$F$3307)</f>
        <v>71.7692997942464</v>
      </c>
      <c r="G3306" s="38" t="n">
        <f aca="false">Sens!$E$3306+Sens!$F$3306</f>
        <v>143.077946818676</v>
      </c>
      <c r="H3306" s="38" t="n">
        <f aca="false">Sens!$G$3306*(1+Sens!$H$3307)</f>
        <v>159.943992478063</v>
      </c>
      <c r="I3306" s="38" t="n">
        <f aca="false">Sens!$H$3306*(1+Sens!$I$3307)</f>
        <v>175.17920379248</v>
      </c>
      <c r="J3306" s="38" t="n">
        <f aca="false">Sens!$I$3306*(1+Sens!$J$3307)</f>
        <v>187.901892489002</v>
      </c>
      <c r="K3306" s="38" t="n">
        <f aca="false">Sens!$J$3306*(1+Sens!$K$3307)</f>
        <v>197.296987113453</v>
      </c>
      <c r="L3306" s="38" t="n">
        <f aca="false">Sens!$K$3306*(1+Sens!$L$3307)</f>
        <v>207.161836469125</v>
      </c>
      <c r="M3306" s="38" t="n">
        <f aca="false">Sens!$L$3306*(1+Sens!$M$3307)</f>
        <v>217.519928292582</v>
      </c>
      <c r="N3306" s="38" t="n">
        <f aca="false">Sens!$N$3305-Sens!$N$3302</f>
        <v>57.0936804689721</v>
      </c>
      <c r="O3306" s="38" t="n">
        <f aca="false">Sens!$O$3305-Sens!$O$3302</f>
        <v>62.9275494423768</v>
      </c>
      <c r="P3306" s="5" t="s">
        <v>629</v>
      </c>
    </row>
    <row r="3307" customFormat="false" ht="17.15" hidden="false" customHeight="false" outlineLevel="0" collapsed="false">
      <c r="A3307" s="0" t="s">
        <v>630</v>
      </c>
      <c r="B3307" s="0" t="s">
        <v>52</v>
      </c>
      <c r="D3307" s="13" t="n">
        <f aca="false">Sens!$D$3306/Sens!$C$3306-1</f>
        <v>0.140506827776062</v>
      </c>
      <c r="E3307" s="13" t="n">
        <f aca="false">Sens!$E$3306/Sens!$N$3306-1</f>
        <v>0.248976181579029</v>
      </c>
      <c r="F3307" s="13" t="n">
        <f aca="false">Sens!$D$3307</f>
        <v>0.140506827776062</v>
      </c>
      <c r="G3307" s="13" t="n">
        <f aca="false">Sens!$G$3306/Sens!$D$3306-1</f>
        <v>0.19210532106993</v>
      </c>
      <c r="H3307" s="13" t="n">
        <f aca="false">Sens!$F$3307+(g_awso_lt_lo-Sens!$F$3307)*1/4</f>
        <v>0.117880120832046</v>
      </c>
      <c r="I3307" s="13" t="n">
        <f aca="false">Sens!$F$3307+(g_awso_lt_lo-Sens!$F$3307)*2/4</f>
        <v>0.0952534138880309</v>
      </c>
      <c r="J3307" s="13" t="n">
        <f aca="false">Sens!$F$3307+(g_awso_lt_lo-Sens!$F$3307)*3/4</f>
        <v>0.0726267069440154</v>
      </c>
      <c r="K3307" s="13" t="n">
        <f aca="false">Sens!$F$3307+(g_awso_lt_lo-Sens!$F$3307)*4/4</f>
        <v>0.05</v>
      </c>
      <c r="L3307" s="13" t="n">
        <f aca="false">g_awso_lt_lo</f>
        <v>0.05</v>
      </c>
      <c r="M3307" s="13" t="n">
        <f aca="false">g_awso_lt_lo</f>
        <v>0.05</v>
      </c>
      <c r="P3307" s="5" t="s">
        <v>631</v>
      </c>
    </row>
    <row r="3308" customFormat="false" ht="17.15" hidden="false" customHeight="false" outlineLevel="0" collapsed="false">
      <c r="A3308" s="1" t="s">
        <v>632</v>
      </c>
    </row>
    <row r="3309" customFormat="false" ht="17.15" hidden="false" customHeight="false" outlineLevel="0" collapsed="false">
      <c r="A3309" s="0" t="s">
        <v>633</v>
      </c>
      <c r="B3309" s="0" t="s">
        <v>86</v>
      </c>
      <c r="F3309" s="38" t="n">
        <f aca="false">cx_rt*Sens!$F$3274+cx_awso*Sens!$F$3306</f>
        <v>34.9734495387866</v>
      </c>
    </row>
    <row r="3310" customFormat="false" ht="17.15" hidden="false" customHeight="false" outlineLevel="0" collapsed="false">
      <c r="A3310" s="0" t="s">
        <v>634</v>
      </c>
      <c r="B3310" s="0" t="s">
        <v>52</v>
      </c>
      <c r="C3310" s="13" t="n">
        <f aca="false">tk_cx_h100/(tk_cx_h100+tk_fac*(1-colo_sh))</f>
        <v>0.730756458006641</v>
      </c>
      <c r="D3310" s="13" t="n">
        <f aca="false">tk_cx_h100/(tk_cx_h100+tk_fac*(1-colo_sh))</f>
        <v>0.730756458006641</v>
      </c>
      <c r="E3310" s="13" t="n">
        <f aca="false">Sens!$F$3310</f>
        <v>0.760792334328868</v>
      </c>
      <c r="F3310" s="13" t="n">
        <f aca="false">Sens!$F$3293/(Sens!$F$3293+tk_fac*(1-colo_sh))</f>
        <v>0.760792334328868</v>
      </c>
      <c r="G3310" s="13" t="n">
        <f aca="false">Sens!$G$3293/(Sens!$G$3293+tk_fac*(1-colo_sh))</f>
        <v>0.760792334328868</v>
      </c>
      <c r="H3310" s="13" t="n">
        <f aca="false">Sens!$H$3293/(Sens!$H$3293+tk_fac*(1-colo_sh))</f>
        <v>0.768110668862996</v>
      </c>
      <c r="I3310" s="13" t="n">
        <f aca="false">Sens!$I$3293/(Sens!$I$3293+tk_fac*(1-colo_sh))</f>
        <v>0.77499450139483</v>
      </c>
      <c r="J3310" s="13" t="n">
        <f aca="false">Sens!$J$3293/(Sens!$J$3293+tk_fac*(1-colo_sh))</f>
        <v>0.77499450139483</v>
      </c>
      <c r="K3310" s="13" t="n">
        <f aca="false">Sens!$K$3293/(Sens!$K$3293+tk_fac*(1-colo_sh))</f>
        <v>0.77499450139483</v>
      </c>
      <c r="L3310" s="13" t="n">
        <f aca="false">Sens!$L$3293/(Sens!$L$3293+tk_fac*(1-colo_sh))</f>
        <v>0.77499450139483</v>
      </c>
      <c r="M3310" s="13" t="n">
        <f aca="false">Sens!$M$3293/(Sens!$M$3293+tk_fac*(1-colo_sh))</f>
        <v>0.77499450139483</v>
      </c>
    </row>
    <row r="3311" customFormat="false" ht="17.15" hidden="false" customHeight="false" outlineLevel="0" collapsed="false">
      <c r="A3311" s="1" t="s">
        <v>635</v>
      </c>
      <c r="B3311" s="8" t="s">
        <v>86</v>
      </c>
      <c r="C3311" s="38" t="n">
        <f aca="false">Q!$D$46-cx_rt*Q!$D$16-cx_awso*Sens!$C$3306</f>
        <v>25.2781053077374</v>
      </c>
      <c r="D3311" s="38" t="n">
        <f aca="false">Q!$E$46-cx_rt*Q!$E$16-cx_awso*Sens!$D$3306</f>
        <v>69.5686316310026</v>
      </c>
      <c r="E3311" s="38" t="n">
        <f aca="false">Q!$P$46-cx_rt*Q!$P$16-cx_awso*Sens!$E$3306</f>
        <v>64.1899206485108</v>
      </c>
      <c r="F3311" s="38" t="n">
        <f aca="false">capex_g26-Q!$P$46-Sens!$F$3309</f>
        <v>88.7165504612134</v>
      </c>
      <c r="G3311" s="38" t="n">
        <f aca="false">Sens!$E$3311+Sens!$F$3311</f>
        <v>152.906471109724</v>
      </c>
      <c r="H3311" s="38" t="n">
        <f aca="false">Sens!$H$3288*(Sens!$H$3293+tk_fac*(1-colo_sh))/1000+Sens!$H$3312</f>
        <v>198.57136494475</v>
      </c>
      <c r="I3311" s="38" t="n">
        <f aca="false">Sens!$I$3288*(Sens!$I$3293+tk_fac*(1-colo_sh))/1000+Sens!$I$3312</f>
        <v>204.6464699105</v>
      </c>
      <c r="J3311" s="38" t="n">
        <f aca="false">Sens!$J$3288*(Sens!$J$3293+tk_fac*(1-colo_sh))/1000+Sens!$J$3312</f>
        <v>209.8832381105</v>
      </c>
      <c r="K3311" s="38" t="n">
        <f aca="false">Sens!$K$3288*(Sens!$K$3293+tk_fac*(1-colo_sh))/1000+Sens!$K$3312</f>
        <v>155.238385275201</v>
      </c>
      <c r="L3311" s="38" t="n">
        <f aca="false">Sens!$L$3288*(Sens!$L$3293+tk_fac*(1-colo_sh))/1000+Sens!$L$3312</f>
        <v>132.014141639902</v>
      </c>
      <c r="M3311" s="38" t="n">
        <f aca="false">Sens!$M$3288*(Sens!$M$3293+tk_fac*(1-colo_sh))/1000+Sens!$M$3312</f>
        <v>132.230981659852</v>
      </c>
      <c r="P3311" s="5" t="s">
        <v>636</v>
      </c>
      <c r="R3311" s="38" t="n">
        <f aca="false">Q!$C$46-cx_rt*Q!$C$16-cx_awso*(Q!$C$7-mw_ye23/2*rpm_open/1000)</f>
        <v>1.50429979529945</v>
      </c>
      <c r="S3311" s="38" t="n">
        <f aca="false">Sens!$C$3311</f>
        <v>25.2781053077374</v>
      </c>
      <c r="T3311" s="38" t="n">
        <f aca="false">Sens!$D$3311</f>
        <v>69.5686316310026</v>
      </c>
      <c r="U3311" s="38" t="n">
        <f aca="false">Sens!$G$3311</f>
        <v>152.906471109724</v>
      </c>
      <c r="V3311" s="38" t="n">
        <f aca="false">Sens!$H$3311</f>
        <v>198.57136494475</v>
      </c>
      <c r="W3311" s="38" t="n">
        <f aca="false">Sens!$I$3311</f>
        <v>204.6464699105</v>
      </c>
      <c r="X3311" s="38" t="n">
        <f aca="false">Sens!$J$3311</f>
        <v>209.8832381105</v>
      </c>
      <c r="Y3311" s="38" t="n">
        <f aca="false">Sens!$K$3311</f>
        <v>155.238385275201</v>
      </c>
      <c r="Z3311" s="38" t="n">
        <f aca="false">Sens!$L$3311</f>
        <v>132.014141639902</v>
      </c>
      <c r="AA3311" s="38" t="n">
        <f aca="false">Sens!$M$3311</f>
        <v>132.230981659852</v>
      </c>
    </row>
    <row r="3312" customFormat="false" ht="17.15" hidden="false" customHeight="false" outlineLevel="0" collapsed="false">
      <c r="A3312" s="0" t="s">
        <v>637</v>
      </c>
      <c r="B3312" s="0" t="s">
        <v>86</v>
      </c>
      <c r="H3312" s="38" t="n">
        <f aca="false">SUMPRODUCT(--(Sens!$R$3281:$AA$3281=2027-tk_life),Sens!$R$3288:$AA$3288)*Sens!$H$3293/1000</f>
        <v>0</v>
      </c>
      <c r="I3312" s="38" t="n">
        <f aca="false">SUMPRODUCT(--(Sens!$R$3281:$AA$3281=2028-tk_life),Sens!$R$3288:$AA$3288)*Sens!$I$3293/1000</f>
        <v>0</v>
      </c>
      <c r="J3312" s="38" t="n">
        <f aca="false">SUMPRODUCT(--(Sens!$R$3281:$AA$3281=2029-tk_life),Sens!$R$3288:$AA$3288)*Sens!$J$3293/1000</f>
        <v>5.2367682</v>
      </c>
      <c r="K3312" s="38" t="n">
        <f aca="false">SUMPRODUCT(--(Sens!$R$3281:$AA$3281=2030-tk_life),Sens!$R$3288:$AA$3288)*Sens!$K$3293/1000</f>
        <v>10.4735364</v>
      </c>
      <c r="L3312" s="38" t="n">
        <f aca="false">SUMPRODUCT(--(Sens!$R$3281:$AA$3281=2031-tk_life),Sens!$R$3288:$AA$3288)*Sens!$L$3293/1000</f>
        <v>47.1309138</v>
      </c>
      <c r="M3312" s="38" t="n">
        <f aca="false">SUMPRODUCT(--(Sens!$R$3281:$AA$3281=2032-tk_life),Sens!$R$3288:$AA$3288)*Sens!$M$3293/1000</f>
        <v>107.22937485525</v>
      </c>
    </row>
    <row r="3313" customFormat="false" ht="17.15" hidden="false" customHeight="false" outlineLevel="0" collapsed="false">
      <c r="A3313" s="0" t="s">
        <v>638</v>
      </c>
      <c r="B3313" s="0" t="s">
        <v>86</v>
      </c>
      <c r="C3313" s="38" t="n">
        <f aca="false">MIN(Sens!$C$3311,Sens!$C$3288*(tk_cx_h100+tk_fac*(1-colo_sh))/1000)</f>
        <v>11.2938642</v>
      </c>
      <c r="D3313" s="38" t="n">
        <f aca="false">MIN(Sens!$D$3311,Sens!$D$3288*(tk_cx_h100+tk_fac*(1-colo_sh))/1000)</f>
        <v>50.8223889</v>
      </c>
      <c r="E3313" s="38" t="n">
        <f aca="false">MIN(Sens!$E$3311,Sens!$E$3288*(Sens!$F$3293+tk_fac*(1-colo_sh))/1000)</f>
        <v>33.8985792</v>
      </c>
      <c r="F3313" s="38" t="n">
        <f aca="false">Sens!$F$3311</f>
        <v>88.7165504612134</v>
      </c>
      <c r="G3313" s="38" t="n">
        <f aca="false">Sens!$E$3313+Sens!$F$3313</f>
        <v>122.615129661213</v>
      </c>
      <c r="H3313" s="38" t="n">
        <f aca="false">Sens!$H$3311</f>
        <v>198.57136494475</v>
      </c>
      <c r="I3313" s="38" t="n">
        <f aca="false">Sens!$I$3311</f>
        <v>204.6464699105</v>
      </c>
      <c r="J3313" s="38" t="n">
        <f aca="false">Sens!$J$3311</f>
        <v>209.8832381105</v>
      </c>
      <c r="K3313" s="38" t="n">
        <f aca="false">Sens!$K$3311</f>
        <v>155.238385275201</v>
      </c>
      <c r="L3313" s="38" t="n">
        <f aca="false">Sens!$L$3311</f>
        <v>132.014141639902</v>
      </c>
      <c r="M3313" s="38" t="n">
        <f aca="false">Sens!$M$3311</f>
        <v>132.230981659852</v>
      </c>
      <c r="P3313" s="5" t="s">
        <v>639</v>
      </c>
      <c r="R3313" s="38" t="n">
        <f aca="false">MIN(Sens!$R$3311,Sens!$R$3288*(tk_cx_h100+tk_fac*(1-colo_sh))/1000)</f>
        <v>1.50429979529945</v>
      </c>
      <c r="S3313" s="38" t="n">
        <f aca="false">Sens!$C$3313</f>
        <v>11.2938642</v>
      </c>
      <c r="T3313" s="38" t="n">
        <f aca="false">Sens!$D$3313</f>
        <v>50.8223889</v>
      </c>
      <c r="U3313" s="38" t="n">
        <f aca="false">Sens!$G$3313</f>
        <v>122.615129661213</v>
      </c>
      <c r="V3313" s="38" t="n">
        <f aca="false">Sens!$H$3313</f>
        <v>198.57136494475</v>
      </c>
      <c r="W3313" s="38" t="n">
        <f aca="false">Sens!$I$3313</f>
        <v>204.6464699105</v>
      </c>
      <c r="X3313" s="38" t="n">
        <f aca="false">Sens!$J$3313</f>
        <v>209.8832381105</v>
      </c>
      <c r="Y3313" s="38" t="n">
        <f aca="false">Sens!$K$3313</f>
        <v>155.238385275201</v>
      </c>
      <c r="Z3313" s="38" t="n">
        <f aca="false">Sens!$L$3313</f>
        <v>132.014141639902</v>
      </c>
      <c r="AA3313" s="38" t="n">
        <f aca="false">Sens!$M$3313</f>
        <v>132.230981659852</v>
      </c>
    </row>
    <row r="3314" customFormat="false" ht="17.15" hidden="false" customHeight="false" outlineLevel="0" collapsed="false">
      <c r="A3314" s="5" t="s">
        <v>640</v>
      </c>
      <c r="B3314" s="0" t="s">
        <v>86</v>
      </c>
      <c r="C3314" s="38" t="n">
        <f aca="false">Sens!$C$3311-Sens!$C$3313</f>
        <v>13.9842411077374</v>
      </c>
      <c r="D3314" s="38" t="n">
        <f aca="false">Sens!$D$3311-Sens!$D$3313</f>
        <v>18.7462427310026</v>
      </c>
      <c r="E3314" s="38" t="n">
        <f aca="false">Sens!$E$3311-Sens!$E$3313</f>
        <v>30.2913414485108</v>
      </c>
      <c r="F3314" s="38" t="n">
        <f aca="false">Sens!$F$3311-Sens!$F$3313</f>
        <v>0</v>
      </c>
      <c r="G3314" s="38" t="n">
        <f aca="false">Sens!$G$3311-Sens!$G$3313</f>
        <v>30.2913414485108</v>
      </c>
      <c r="H3314" s="38" t="n">
        <f aca="false">Sens!$H$3311-Sens!$H$3313</f>
        <v>0</v>
      </c>
      <c r="I3314" s="38" t="n">
        <f aca="false">Sens!$I$3311-Sens!$I$3313</f>
        <v>0</v>
      </c>
      <c r="J3314" s="38" t="n">
        <f aca="false">Sens!$J$3311-Sens!$J$3313</f>
        <v>0</v>
      </c>
      <c r="K3314" s="38" t="n">
        <f aca="false">Sens!$K$3311-Sens!$K$3313</f>
        <v>0</v>
      </c>
      <c r="L3314" s="38" t="n">
        <f aca="false">Sens!$L$3311-Sens!$L$3313</f>
        <v>0</v>
      </c>
      <c r="M3314" s="38" t="n">
        <f aca="false">Sens!$M$3311-Sens!$M$3313</f>
        <v>0</v>
      </c>
      <c r="P3314" s="5" t="s">
        <v>641</v>
      </c>
      <c r="R3314" s="38" t="n">
        <f aca="false">Sens!$R$3311-Sens!$R$3313</f>
        <v>0</v>
      </c>
      <c r="S3314" s="38" t="n">
        <f aca="false">Sens!$S$3311-Sens!$S$3313</f>
        <v>13.9842411077374</v>
      </c>
      <c r="T3314" s="38" t="n">
        <f aca="false">Sens!$T$3311-Sens!$T$3313</f>
        <v>18.7462427310026</v>
      </c>
      <c r="U3314" s="38" t="n">
        <f aca="false">Sens!$U$3311-Sens!$U$3313</f>
        <v>30.2913414485108</v>
      </c>
      <c r="V3314" s="38" t="n">
        <f aca="false">Sens!$V$3311-Sens!$V$3313</f>
        <v>0</v>
      </c>
      <c r="W3314" s="38" t="n">
        <f aca="false">Sens!$W$3311-Sens!$W$3313</f>
        <v>0</v>
      </c>
      <c r="X3314" s="38" t="n">
        <f aca="false">Sens!$X$3311-Sens!$X$3313</f>
        <v>0</v>
      </c>
      <c r="Y3314" s="38" t="n">
        <f aca="false">Sens!$Y$3311-Sens!$Y$3313</f>
        <v>0</v>
      </c>
      <c r="Z3314" s="38" t="n">
        <f aca="false">Sens!$Z$3311-Sens!$Z$3313</f>
        <v>0</v>
      </c>
      <c r="AA3314" s="38" t="n">
        <f aca="false">Sens!$AA$3311-Sens!$AA$3313</f>
        <v>0</v>
      </c>
    </row>
    <row r="3315" customFormat="false" ht="17.15" hidden="false" customHeight="false" outlineLevel="0" collapsed="false">
      <c r="A3315" s="5" t="s">
        <v>642</v>
      </c>
      <c r="B3315" s="0" t="s">
        <v>86</v>
      </c>
      <c r="R3315" s="38" t="n">
        <f aca="false">Sens!$R$3314*Sens!$C$3310</f>
        <v>0</v>
      </c>
      <c r="S3315" s="38" t="n">
        <f aca="false">Sens!$S$3314*Sens!$C$3310</f>
        <v>10.219074499801</v>
      </c>
      <c r="T3315" s="38" t="n">
        <f aca="false">Sens!$T$3314*Sens!$C$3310</f>
        <v>13.6989379390402</v>
      </c>
      <c r="U3315" s="38" t="n">
        <f aca="false">Sens!$U$3314*Sens!$E$3310</f>
        <v>23.0454203705653</v>
      </c>
      <c r="V3315" s="38" t="n">
        <f aca="false">Sens!$V$3314*Sens!$E$3310</f>
        <v>0</v>
      </c>
      <c r="W3315" s="38" t="n">
        <f aca="false">Sens!$W$3314*Sens!$E$3310</f>
        <v>0</v>
      </c>
      <c r="X3315" s="38" t="n">
        <f aca="false">Sens!$X$3314*Sens!$E$3310</f>
        <v>0</v>
      </c>
      <c r="Y3315" s="38" t="n">
        <f aca="false">Sens!$Y$3314*Sens!$E$3310</f>
        <v>0</v>
      </c>
      <c r="Z3315" s="38" t="n">
        <f aca="false">Sens!$Z$3314*Sens!$E$3310</f>
        <v>0</v>
      </c>
      <c r="AA3315" s="38" t="n">
        <f aca="false">Sens!$AA$3314*Sens!$E$3310</f>
        <v>0</v>
      </c>
    </row>
    <row r="3316" customFormat="false" ht="17.15" hidden="false" customHeight="false" outlineLevel="0" collapsed="false">
      <c r="A3316" s="5" t="s">
        <v>643</v>
      </c>
      <c r="B3316" s="0" t="s">
        <v>86</v>
      </c>
      <c r="R3316" s="38" t="n">
        <f aca="false">SUMPRODUCT(--(Sens!$R$3281:$AA$3281=2023-cip_lag),Sens!$R$3315:$AA$3315)</f>
        <v>0</v>
      </c>
      <c r="S3316" s="38" t="n">
        <f aca="false">SUMPRODUCT(--(Sens!$R$3281:$AA$3281=2024-cip_lag),Sens!$R$3315:$AA$3315)</f>
        <v>0</v>
      </c>
      <c r="T3316" s="38" t="n">
        <f aca="false">SUMPRODUCT(--(Sens!$R$3281:$AA$3281=2025-cip_lag),Sens!$R$3315:$AA$3315)</f>
        <v>10.219074499801</v>
      </c>
      <c r="U3316" s="38" t="n">
        <f aca="false">SUMPRODUCT(--(Sens!$R$3281:$AA$3281=2026-cip_lag),Sens!$R$3315:$AA$3315)</f>
        <v>13.6989379390402</v>
      </c>
      <c r="V3316" s="38" t="n">
        <f aca="false">SUMPRODUCT(--(Sens!$R$3281:$AA$3281=2027-cip_lag),Sens!$R$3315:$AA$3315)</f>
        <v>23.0454203705653</v>
      </c>
      <c r="W3316" s="38" t="n">
        <f aca="false">SUMPRODUCT(--(Sens!$R$3281:$AA$3281=2028-cip_lag),Sens!$R$3315:$AA$3315)</f>
        <v>0</v>
      </c>
      <c r="X3316" s="38" t="n">
        <f aca="false">SUMPRODUCT(--(Sens!$R$3281:$AA$3281=2029-cip_lag),Sens!$R$3315:$AA$3315)</f>
        <v>0</v>
      </c>
      <c r="Y3316" s="38" t="n">
        <f aca="false">SUMPRODUCT(--(Sens!$R$3281:$AA$3281=2030-cip_lag),Sens!$R$3315:$AA$3315)</f>
        <v>0</v>
      </c>
      <c r="Z3316" s="38" t="n">
        <f aca="false">SUMPRODUCT(--(Sens!$R$3281:$AA$3281=2031-cip_lag),Sens!$R$3315:$AA$3315)</f>
        <v>0</v>
      </c>
      <c r="AA3316" s="38" t="n">
        <f aca="false">SUMPRODUCT(--(Sens!$R$3281:$AA$3281=2032-cip_lag),Sens!$R$3315:$AA$3315)</f>
        <v>0</v>
      </c>
    </row>
    <row r="3317" customFormat="false" ht="15" hidden="false" customHeight="false" outlineLevel="0" collapsed="false">
      <c r="A3317" s="5" t="s">
        <v>644</v>
      </c>
      <c r="B3317" s="0" t="s">
        <v>86</v>
      </c>
      <c r="R3317" s="38" t="n">
        <f aca="false">SUMPRODUCT(--(Sens!$R$3281:$AA$3281=2023-cip_lag),Sens!$R$3314:$AA$3314)-Sens!$R$3316</f>
        <v>0</v>
      </c>
      <c r="S3317" s="38" t="n">
        <f aca="false">SUMPRODUCT(--(Sens!$R$3281:$AA$3281=2024-cip_lag),Sens!$R$3314:$AA$3314)-Sens!$S$3316</f>
        <v>0</v>
      </c>
      <c r="T3317" s="38" t="n">
        <f aca="false">SUMPRODUCT(--(Sens!$R$3281:$AA$3281=2025-cip_lag),Sens!$R$3314:$AA$3314)-Sens!$T$3316</f>
        <v>3.76516660793636</v>
      </c>
      <c r="U3317" s="38" t="n">
        <f aca="false">SUMPRODUCT(--(Sens!$R$3281:$AA$3281=2026-cip_lag),Sens!$R$3314:$AA$3314)-Sens!$U$3316</f>
        <v>5.04730479196242</v>
      </c>
      <c r="V3317" s="38" t="n">
        <f aca="false">SUMPRODUCT(--(Sens!$R$3281:$AA$3281=2027-cip_lag),Sens!$R$3314:$AA$3314)-Sens!$V$3316</f>
        <v>7.24592107794548</v>
      </c>
      <c r="W3317" s="38" t="n">
        <f aca="false">SUMPRODUCT(--(Sens!$R$3281:$AA$3281=2028-cip_lag),Sens!$R$3314:$AA$3314)-Sens!$W$3316</f>
        <v>0</v>
      </c>
      <c r="X3317" s="38" t="n">
        <f aca="false">SUMPRODUCT(--(Sens!$R$3281:$AA$3281=2029-cip_lag),Sens!$R$3314:$AA$3314)-Sens!$X$3316</f>
        <v>0</v>
      </c>
      <c r="Y3317" s="38" t="n">
        <f aca="false">SUMPRODUCT(--(Sens!$R$3281:$AA$3281=2030-cip_lag),Sens!$R$3314:$AA$3314)-Sens!$Y$3316</f>
        <v>0</v>
      </c>
      <c r="Z3317" s="38" t="n">
        <f aca="false">SUMPRODUCT(--(Sens!$R$3281:$AA$3281=2031-cip_lag),Sens!$R$3314:$AA$3314)-Sens!$Z$3316</f>
        <v>0</v>
      </c>
      <c r="AA3317" s="38" t="n">
        <f aca="false">SUMPRODUCT(--(Sens!$R$3281:$AA$3281=2032-cip_lag),Sens!$R$3314:$AA$3314)-Sens!$AA$3316</f>
        <v>0</v>
      </c>
    </row>
    <row r="3318" customFormat="false" ht="17.15" hidden="false" customHeight="false" outlineLevel="0" collapsed="false">
      <c r="A3318" s="5" t="s">
        <v>645</v>
      </c>
      <c r="B3318" s="0" t="s">
        <v>86</v>
      </c>
      <c r="C3318" s="38" t="n">
        <f aca="false">Sens!$C$3313*Sens!$C$3310</f>
        <v>8.2530642</v>
      </c>
      <c r="D3318" s="38" t="n">
        <f aca="false">Sens!$D$3313*Sens!$D$3310</f>
        <v>37.1387889</v>
      </c>
      <c r="E3318" s="38" t="n">
        <f aca="false">Sens!$E$3313*Sens!$E$3310</f>
        <v>25.7897792</v>
      </c>
      <c r="F3318" s="38" t="n">
        <f aca="false">Sens!$F$3313*Sens!$F$3310</f>
        <v>67.4948715189913</v>
      </c>
      <c r="G3318" s="38" t="n">
        <f aca="false">Sens!$E$3318+Sens!$F$3318</f>
        <v>93.2846507189913</v>
      </c>
      <c r="H3318" s="38" t="n">
        <f aca="false">(Sens!$H$3313-Sens!$H$3312)*Sens!$H$3310+Sens!$H$3312</f>
        <v>152.52478394475</v>
      </c>
      <c r="I3318" s="38" t="n">
        <f aca="false">(Sens!$I$3313-Sens!$I$3312)*Sens!$I$3310+Sens!$I$3312</f>
        <v>158.5998889105</v>
      </c>
      <c r="J3318" s="38" t="n">
        <f aca="false">(Sens!$J$3313-Sens!$J$3312)*Sens!$J$3310+Sens!$J$3312</f>
        <v>163.8366571105</v>
      </c>
      <c r="K3318" s="38" t="n">
        <f aca="false">(Sens!$K$3313-Sens!$K$3312)*Sens!$K$3310+Sens!$K$3312</f>
        <v>122.665498273534</v>
      </c>
      <c r="L3318" s="38" t="n">
        <f aca="false">(Sens!$L$3313-Sens!$L$3312)*Sens!$L$3310+Sens!$L$3312</f>
        <v>112.914948636568</v>
      </c>
      <c r="M3318" s="38" t="n">
        <f aca="false">(Sens!$M$3313-Sens!$M$3312)*Sens!$M$3310+Sens!$M$3312</f>
        <v>126.605482654852</v>
      </c>
      <c r="R3318" s="38" t="n">
        <f aca="false">Sens!$R$3313*Sens!$C$3310</f>
        <v>1.09927679019314</v>
      </c>
      <c r="S3318" s="38" t="n">
        <f aca="false">Sens!$C$3318</f>
        <v>8.2530642</v>
      </c>
      <c r="T3318" s="38" t="n">
        <f aca="false">Sens!$D$3318</f>
        <v>37.1387889</v>
      </c>
      <c r="U3318" s="38" t="n">
        <f aca="false">Sens!$G$3318</f>
        <v>93.2846507189913</v>
      </c>
      <c r="V3318" s="38" t="n">
        <f aca="false">Sens!$H$3318</f>
        <v>152.52478394475</v>
      </c>
      <c r="W3318" s="38" t="n">
        <f aca="false">Sens!$I$3318</f>
        <v>158.5998889105</v>
      </c>
      <c r="X3318" s="38" t="n">
        <f aca="false">Sens!$J$3318</f>
        <v>163.8366571105</v>
      </c>
      <c r="Y3318" s="38" t="n">
        <f aca="false">Sens!$K$3318</f>
        <v>122.665498273534</v>
      </c>
      <c r="Z3318" s="38" t="n">
        <f aca="false">Sens!$L$3318</f>
        <v>112.914948636568</v>
      </c>
      <c r="AA3318" s="38" t="n">
        <f aca="false">Sens!$M$3318</f>
        <v>126.605482654852</v>
      </c>
    </row>
    <row r="3319" customFormat="false" ht="15" hidden="false" customHeight="false" outlineLevel="0" collapsed="false">
      <c r="A3319" s="5" t="s">
        <v>646</v>
      </c>
      <c r="B3319" s="0" t="s">
        <v>86</v>
      </c>
      <c r="C3319" s="38" t="n">
        <f aca="false">Sens!$C$3313-Sens!$C$3318</f>
        <v>3.0408</v>
      </c>
      <c r="D3319" s="38" t="n">
        <f aca="false">Sens!$D$3313-Sens!$D$3318</f>
        <v>13.6836</v>
      </c>
      <c r="E3319" s="38" t="n">
        <f aca="false">Sens!$E$3313-Sens!$E$3318</f>
        <v>8.1088</v>
      </c>
      <c r="F3319" s="38" t="n">
        <f aca="false">Sens!$F$3313-Sens!$F$3318</f>
        <v>21.2216789422221</v>
      </c>
      <c r="G3319" s="38" t="n">
        <f aca="false">Sens!$G$3313-Sens!$G$3318</f>
        <v>29.3304789422221</v>
      </c>
      <c r="H3319" s="38" t="n">
        <f aca="false">Sens!$H$3313-Sens!$H$3318</f>
        <v>46.046581</v>
      </c>
      <c r="I3319" s="38" t="n">
        <f aca="false">Sens!$I$3313-Sens!$I$3318</f>
        <v>46.046581</v>
      </c>
      <c r="J3319" s="38" t="n">
        <f aca="false">Sens!$J$3313-Sens!$J$3318</f>
        <v>46.046581</v>
      </c>
      <c r="K3319" s="38" t="n">
        <f aca="false">Sens!$K$3313-Sens!$K$3318</f>
        <v>32.5728870016667</v>
      </c>
      <c r="L3319" s="38" t="n">
        <f aca="false">Sens!$L$3313-Sens!$L$3318</f>
        <v>19.0991930033334</v>
      </c>
      <c r="M3319" s="38" t="n">
        <f aca="false">Sens!$M$3313-Sens!$M$3318</f>
        <v>5.62549900499998</v>
      </c>
      <c r="R3319" s="38" t="n">
        <f aca="false">Sens!$R$3313-Sens!$R$3318</f>
        <v>0.405023005106309</v>
      </c>
      <c r="S3319" s="38" t="n">
        <f aca="false">Sens!$S$3313-Sens!$S$3318</f>
        <v>3.0408</v>
      </c>
      <c r="T3319" s="38" t="n">
        <f aca="false">Sens!$T$3313-Sens!$T$3318</f>
        <v>13.6836</v>
      </c>
      <c r="U3319" s="38" t="n">
        <f aca="false">Sens!$U$3313-Sens!$U$3318</f>
        <v>29.3304789422221</v>
      </c>
      <c r="V3319" s="38" t="n">
        <f aca="false">Sens!$V$3313-Sens!$V$3318</f>
        <v>46.046581</v>
      </c>
      <c r="W3319" s="38" t="n">
        <f aca="false">Sens!$W$3313-Sens!$W$3318</f>
        <v>46.046581</v>
      </c>
      <c r="X3319" s="38" t="n">
        <f aca="false">Sens!$X$3313-Sens!$X$3318</f>
        <v>46.046581</v>
      </c>
      <c r="Y3319" s="38" t="n">
        <f aca="false">Sens!$Y$3313-Sens!$Y$3318</f>
        <v>32.5728870016667</v>
      </c>
      <c r="Z3319" s="38" t="n">
        <f aca="false">Sens!$Z$3313-Sens!$Z$3318</f>
        <v>19.0991930033334</v>
      </c>
      <c r="AA3319" s="38" t="n">
        <f aca="false">Sens!$AA$3313-Sens!$AA$3318</f>
        <v>5.62549900499998</v>
      </c>
    </row>
    <row r="3320" customFormat="false" ht="17.15" hidden="false" customHeight="false" outlineLevel="0" collapsed="false">
      <c r="A3320" s="0" t="s">
        <v>647</v>
      </c>
      <c r="B3320" s="0" t="s">
        <v>52</v>
      </c>
      <c r="C3320" s="13" t="n">
        <f aca="false">Sens!$C$3311/Sens!$C$3436</f>
        <v>0.325505489553393</v>
      </c>
      <c r="D3320" s="13" t="n">
        <f aca="false">Sens!$D$3311/Sens!$D$3436</f>
        <v>0.54214956071542</v>
      </c>
      <c r="E3320" s="13" t="n">
        <f aca="false">Sens!$E$3311/Sens!$E$3436</f>
        <v>0.666492790452817</v>
      </c>
      <c r="F3320" s="13" t="n">
        <f aca="false">Sens!$F$3311/Sens!$F$3436</f>
        <v>0.71724917504417</v>
      </c>
      <c r="G3320" s="13" t="n">
        <f aca="false">Sens!$G$3311/Sens!$G$3436</f>
        <v>0.69502941413511</v>
      </c>
      <c r="H3320" s="13" t="n">
        <f aca="false">Sens!$H$3311/Sens!$H$3436</f>
        <v>0.726946745872848</v>
      </c>
      <c r="I3320" s="13" t="n">
        <f aca="false">Sens!$I$3311/Sens!$I$3436</f>
        <v>0.714887948197907</v>
      </c>
      <c r="J3320" s="13" t="n">
        <f aca="false">Sens!$J$3311/Sens!$J$3436</f>
        <v>0.704916975718456</v>
      </c>
      <c r="K3320" s="13" t="n">
        <f aca="false">Sens!$K$3311/Sens!$K$3436</f>
        <v>0.625383692343695</v>
      </c>
      <c r="L3320" s="13" t="n">
        <f aca="false">Sens!$L$3311/Sens!$L$3436</f>
        <v>0.572833393346831</v>
      </c>
      <c r="M3320" s="13" t="n">
        <f aca="false">Sens!$M$3311/Sens!$M$3436</f>
        <v>0.559183533401246</v>
      </c>
    </row>
    <row r="3321" customFormat="false" ht="17.15" hidden="false" customHeight="false" outlineLevel="0" collapsed="false">
      <c r="A3321" s="0" t="s">
        <v>648</v>
      </c>
      <c r="B3321" s="0" t="s">
        <v>86</v>
      </c>
      <c r="C3321" s="38" t="n">
        <f aca="false">Sens!$S$3321</f>
        <v>0.183212798365523</v>
      </c>
      <c r="D3321" s="38" t="n">
        <f aca="false">Sens!$T$3321</f>
        <v>1.55872349836552</v>
      </c>
      <c r="E3321" s="38" t="n">
        <f aca="false">Sens!$G$3321/2</f>
        <v>4.72585036583285</v>
      </c>
      <c r="F3321" s="38" t="n">
        <f aca="false">Sens!$G$3321/2</f>
        <v>4.72585036583285</v>
      </c>
      <c r="G3321" s="38" t="n">
        <f aca="false">Sens!$U$3321</f>
        <v>9.4517007316657</v>
      </c>
      <c r="H3321" s="38" t="n">
        <f aca="false">Sens!$V$3321</f>
        <v>27.2822988413376</v>
      </c>
      <c r="I3321" s="38" t="n">
        <f aca="false">Sens!$W$3321</f>
        <v>56.5439995605568</v>
      </c>
      <c r="J3321" s="38" t="n">
        <f aca="false">Sens!$X$3321</f>
        <v>82.9773143789735</v>
      </c>
      <c r="K3321" s="38" t="n">
        <f aca="false">Sens!$Y$3321</f>
        <v>110.100211099025</v>
      </c>
      <c r="L3321" s="38" t="n">
        <f aca="false">Sens!$Z$3321</f>
        <v>129.16895011128</v>
      </c>
      <c r="M3321" s="38" t="n">
        <f aca="false">Sens!$AA$3321</f>
        <v>140.095130984075</v>
      </c>
      <c r="N3321" s="38" t="n">
        <f aca="false">Sens!$D$3321/2</f>
        <v>0.779361749182762</v>
      </c>
      <c r="O3321" s="38" t="n">
        <f aca="false">Sens!$D$3321/2</f>
        <v>0.779361749182762</v>
      </c>
      <c r="R3321" s="38" t="n">
        <f aca="false">(SUMPRODUCT(--(Sens!$R$3281:$AA$3281&lt;Sens!R$3281),--(Sens!$R$3281:$AA$3281&gt;=Sens!R$3281-tk_life),Sens!$R$3318:$AA$3318)+SUMPRODUCT(--(Sens!$R$3281:$AA$3281&lt;Sens!R$3281),--(Sens!$R$3281:$AA$3281&gt;=Sens!R$3281-tk_life),Sens!$R$3316:$AA$3316))/tk_life</f>
        <v>0</v>
      </c>
      <c r="S3321" s="38" t="n">
        <f aca="false">(SUMPRODUCT(--(Sens!$R$3281:$AA$3281&lt;Sens!S$3281),--(Sens!$R$3281:$AA$3281&gt;=Sens!S$3281-tk_life),Sens!$R$3318:$AA$3318)+SUMPRODUCT(--(Sens!$R$3281:$AA$3281&lt;Sens!S$3281),--(Sens!$R$3281:$AA$3281&gt;=Sens!S$3281-tk_life),Sens!$R$3316:$AA$3316))/tk_life</f>
        <v>0.183212798365523</v>
      </c>
      <c r="T3321" s="38" t="n">
        <f aca="false">(SUMPRODUCT(--(Sens!$R$3281:$AA$3281&lt;Sens!T$3281),--(Sens!$R$3281:$AA$3281&gt;=Sens!T$3281-tk_life),Sens!$R$3318:$AA$3318)+SUMPRODUCT(--(Sens!$R$3281:$AA$3281&lt;Sens!T$3281),--(Sens!$R$3281:$AA$3281&gt;=Sens!T$3281-tk_life),Sens!$R$3316:$AA$3316))/tk_life</f>
        <v>1.55872349836552</v>
      </c>
      <c r="U3321" s="38" t="n">
        <f aca="false">(SUMPRODUCT(--(Sens!$R$3281:$AA$3281&lt;Sens!U$3281),--(Sens!$R$3281:$AA$3281&gt;=Sens!U$3281-tk_life),Sens!$R$3318:$AA$3318)+SUMPRODUCT(--(Sens!$R$3281:$AA$3281&lt;Sens!U$3281),--(Sens!$R$3281:$AA$3281&gt;=Sens!U$3281-tk_life),Sens!$R$3316:$AA$3316))/tk_life</f>
        <v>9.4517007316657</v>
      </c>
      <c r="V3321" s="38" t="n">
        <f aca="false">(SUMPRODUCT(--(Sens!$R$3281:$AA$3281&lt;Sens!V$3281),--(Sens!$R$3281:$AA$3281&gt;=Sens!V$3281-tk_life),Sens!$R$3318:$AA$3318)+SUMPRODUCT(--(Sens!$R$3281:$AA$3281&lt;Sens!V$3281),--(Sens!$R$3281:$AA$3281&gt;=Sens!V$3281-tk_life),Sens!$R$3316:$AA$3316))/tk_life</f>
        <v>27.2822988413376</v>
      </c>
      <c r="W3321" s="38" t="n">
        <f aca="false">(SUMPRODUCT(--(Sens!$R$3281:$AA$3281&lt;Sens!W$3281),--(Sens!$R$3281:$AA$3281&gt;=Sens!W$3281-tk_life),Sens!$R$3318:$AA$3318)+SUMPRODUCT(--(Sens!$R$3281:$AA$3281&lt;Sens!W$3281),--(Sens!$R$3281:$AA$3281&gt;=Sens!W$3281-tk_life),Sens!$R$3316:$AA$3316))/tk_life</f>
        <v>56.5439995605568</v>
      </c>
      <c r="X3321" s="38" t="n">
        <f aca="false">(SUMPRODUCT(--(Sens!$R$3281:$AA$3281&lt;Sens!X$3281),--(Sens!$R$3281:$AA$3281&gt;=Sens!X$3281-tk_life),Sens!$R$3318:$AA$3318)+SUMPRODUCT(--(Sens!$R$3281:$AA$3281&lt;Sens!X$3281),--(Sens!$R$3281:$AA$3281&gt;=Sens!X$3281-tk_life),Sens!$R$3316:$AA$3316))/tk_life</f>
        <v>82.9773143789735</v>
      </c>
      <c r="Y3321" s="38" t="n">
        <f aca="false">(SUMPRODUCT(--(Sens!$R$3281:$AA$3281&lt;Sens!Y$3281),--(Sens!$R$3281:$AA$3281&gt;=Sens!Y$3281-tk_life),Sens!$R$3318:$AA$3318)+SUMPRODUCT(--(Sens!$R$3281:$AA$3281&lt;Sens!Y$3281),--(Sens!$R$3281:$AA$3281&gt;=Sens!Y$3281-tk_life),Sens!$R$3316:$AA$3316))/tk_life</f>
        <v>110.100211099025</v>
      </c>
      <c r="Z3321" s="38" t="n">
        <f aca="false">(SUMPRODUCT(--(Sens!$R$3281:$AA$3281&lt;Sens!Z$3281),--(Sens!$R$3281:$AA$3281&gt;=Sens!Z$3281-tk_life),Sens!$R$3318:$AA$3318)+SUMPRODUCT(--(Sens!$R$3281:$AA$3281&lt;Sens!Z$3281),--(Sens!$R$3281:$AA$3281&gt;=Sens!Z$3281-tk_life),Sens!$R$3316:$AA$3316))/tk_life</f>
        <v>129.16895011128</v>
      </c>
      <c r="AA3321" s="38" t="n">
        <f aca="false">(SUMPRODUCT(--(Sens!$R$3281:$AA$3281&lt;Sens!AA$3281),--(Sens!$R$3281:$AA$3281&gt;=Sens!AA$3281-tk_life),Sens!$R$3318:$AA$3318)+SUMPRODUCT(--(Sens!$R$3281:$AA$3281&lt;Sens!AA$3281),--(Sens!$R$3281:$AA$3281&gt;=Sens!AA$3281-tk_life),Sens!$R$3316:$AA$3316))/tk_life</f>
        <v>140.095130984075</v>
      </c>
    </row>
    <row r="3322" customFormat="false" ht="17.15" hidden="false" customHeight="false" outlineLevel="0" collapsed="false">
      <c r="A3322" s="0" t="s">
        <v>649</v>
      </c>
      <c r="B3322" s="0" t="s">
        <v>86</v>
      </c>
      <c r="C3322" s="38" t="n">
        <f aca="false">Sens!$S$3322</f>
        <v>0.0202511502553155</v>
      </c>
      <c r="D3322" s="38" t="n">
        <f aca="false">Sens!$T$3322</f>
        <v>0.172291150255315</v>
      </c>
      <c r="E3322" s="38" t="n">
        <f aca="false">Sens!$G$3322/2</f>
        <v>0.522364740326067</v>
      </c>
      <c r="F3322" s="38" t="n">
        <f aca="false">Sens!$G$3322/2</f>
        <v>0.522364740326067</v>
      </c>
      <c r="G3322" s="38" t="n">
        <f aca="false">Sens!$U$3322</f>
        <v>1.04472948065213</v>
      </c>
      <c r="H3322" s="38" t="n">
        <f aca="false">Sens!$V$3322</f>
        <v>2.76361866736136</v>
      </c>
      <c r="I3322" s="38" t="n">
        <f aca="false">Sens!$W$3322</f>
        <v>5.42824377125863</v>
      </c>
      <c r="J3322" s="38" t="n">
        <f aca="false">Sens!$X$3322</f>
        <v>7.73057282125864</v>
      </c>
      <c r="K3322" s="38" t="n">
        <f aca="false">Sens!$Y$3322</f>
        <v>10.0329018712586</v>
      </c>
      <c r="L3322" s="38" t="n">
        <f aca="false">Sens!$Z$3322</f>
        <v>11.661546221342</v>
      </c>
      <c r="M3322" s="38" t="n">
        <f aca="false">Sens!$AA$3322</f>
        <v>12.6165058715086</v>
      </c>
      <c r="N3322" s="38" t="n">
        <f aca="false">Sens!$D$3322/2</f>
        <v>0.0861455751276577</v>
      </c>
      <c r="O3322" s="38" t="n">
        <f aca="false">Sens!$D$3322/2</f>
        <v>0.0861455751276577</v>
      </c>
      <c r="R3322" s="38" t="n">
        <f aca="false">(SUMPRODUCT(--(Sens!$R$3281:$AA$3281&lt;Sens!R$3281),Sens!$R$3319:$AA$3319)+SUMPRODUCT(--(Sens!$R$3281:$AA$3281&lt;Sens!R$3281),Sens!$R$3317:$AA$3317))/fac_life</f>
        <v>0</v>
      </c>
      <c r="S3322" s="38" t="n">
        <f aca="false">(SUMPRODUCT(--(Sens!$R$3281:$AA$3281&lt;Sens!S$3281),Sens!$R$3319:$AA$3319)+SUMPRODUCT(--(Sens!$R$3281:$AA$3281&lt;Sens!S$3281),Sens!$R$3317:$AA$3317))/fac_life</f>
        <v>0.0202511502553155</v>
      </c>
      <c r="T3322" s="38" t="n">
        <f aca="false">(SUMPRODUCT(--(Sens!$R$3281:$AA$3281&lt;Sens!T$3281),Sens!$R$3319:$AA$3319)+SUMPRODUCT(--(Sens!$R$3281:$AA$3281&lt;Sens!T$3281),Sens!$R$3317:$AA$3317))/fac_life</f>
        <v>0.172291150255315</v>
      </c>
      <c r="U3322" s="38" t="n">
        <f aca="false">(SUMPRODUCT(--(Sens!$R$3281:$AA$3281&lt;Sens!U$3281),Sens!$R$3319:$AA$3319)+SUMPRODUCT(--(Sens!$R$3281:$AA$3281&lt;Sens!U$3281),Sens!$R$3317:$AA$3317))/fac_life</f>
        <v>1.04472948065213</v>
      </c>
      <c r="V3322" s="38" t="n">
        <f aca="false">(SUMPRODUCT(--(Sens!$R$3281:$AA$3281&lt;Sens!V$3281),Sens!$R$3319:$AA$3319)+SUMPRODUCT(--(Sens!$R$3281:$AA$3281&lt;Sens!V$3281),Sens!$R$3317:$AA$3317))/fac_life</f>
        <v>2.76361866736136</v>
      </c>
      <c r="W3322" s="38" t="n">
        <f aca="false">(SUMPRODUCT(--(Sens!$R$3281:$AA$3281&lt;Sens!W$3281),Sens!$R$3319:$AA$3319)+SUMPRODUCT(--(Sens!$R$3281:$AA$3281&lt;Sens!W$3281),Sens!$R$3317:$AA$3317))/fac_life</f>
        <v>5.42824377125863</v>
      </c>
      <c r="X3322" s="38" t="n">
        <f aca="false">(SUMPRODUCT(--(Sens!$R$3281:$AA$3281&lt;Sens!X$3281),Sens!$R$3319:$AA$3319)+SUMPRODUCT(--(Sens!$R$3281:$AA$3281&lt;Sens!X$3281),Sens!$R$3317:$AA$3317))/fac_life</f>
        <v>7.73057282125864</v>
      </c>
      <c r="Y3322" s="38" t="n">
        <f aca="false">(SUMPRODUCT(--(Sens!$R$3281:$AA$3281&lt;Sens!Y$3281),Sens!$R$3319:$AA$3319)+SUMPRODUCT(--(Sens!$R$3281:$AA$3281&lt;Sens!Y$3281),Sens!$R$3317:$AA$3317))/fac_life</f>
        <v>10.0329018712586</v>
      </c>
      <c r="Z3322" s="38" t="n">
        <f aca="false">(SUMPRODUCT(--(Sens!$R$3281:$AA$3281&lt;Sens!Z$3281),Sens!$R$3319:$AA$3319)+SUMPRODUCT(--(Sens!$R$3281:$AA$3281&lt;Sens!Z$3281),Sens!$R$3317:$AA$3317))/fac_life</f>
        <v>11.661546221342</v>
      </c>
      <c r="AA3322" s="38" t="n">
        <f aca="false">(SUMPRODUCT(--(Sens!$R$3281:$AA$3281&lt;Sens!AA$3281),Sens!$R$3319:$AA$3319)+SUMPRODUCT(--(Sens!$R$3281:$AA$3281&lt;Sens!AA$3281),Sens!$R$3317:$AA$3317))/fac_life</f>
        <v>12.6165058715086</v>
      </c>
    </row>
    <row r="3323" customFormat="false" ht="17.15" hidden="false" customHeight="false" outlineLevel="0" collapsed="false">
      <c r="A3323" s="1" t="s">
        <v>650</v>
      </c>
      <c r="B3323" s="8" t="s">
        <v>86</v>
      </c>
      <c r="C3323" s="38" t="n">
        <f aca="false">Sens!$C$3321+Sens!$C$3322</f>
        <v>0.203463948620839</v>
      </c>
      <c r="D3323" s="38" t="n">
        <f aca="false">Sens!$D$3321+Sens!$D$3322</f>
        <v>1.73101464862084</v>
      </c>
      <c r="E3323" s="38" t="n">
        <f aca="false">Sens!$E$3321+Sens!$E$3322</f>
        <v>5.24821510615892</v>
      </c>
      <c r="F3323" s="38" t="n">
        <f aca="false">Sens!$F$3321+Sens!$F$3322</f>
        <v>5.24821510615892</v>
      </c>
      <c r="G3323" s="38" t="n">
        <f aca="false">Sens!$G$3321+Sens!$G$3322</f>
        <v>10.4964302123178</v>
      </c>
      <c r="H3323" s="38" t="n">
        <f aca="false">Sens!$H$3321+Sens!$H$3322</f>
        <v>30.045917508699</v>
      </c>
      <c r="I3323" s="38" t="n">
        <f aca="false">Sens!$I$3321+Sens!$I$3322</f>
        <v>61.9722433318155</v>
      </c>
      <c r="J3323" s="38" t="n">
        <f aca="false">Sens!$J$3321+Sens!$J$3322</f>
        <v>90.7078872002321</v>
      </c>
      <c r="K3323" s="38" t="n">
        <f aca="false">Sens!$K$3321+Sens!$K$3322</f>
        <v>120.133112970283</v>
      </c>
      <c r="L3323" s="38" t="n">
        <f aca="false">Sens!$L$3321+Sens!$L$3322</f>
        <v>140.830496332622</v>
      </c>
      <c r="M3323" s="38" t="n">
        <f aca="false">Sens!$M$3321+Sens!$M$3322</f>
        <v>152.711636855584</v>
      </c>
      <c r="N3323" s="38" t="n">
        <f aca="false">Sens!$N$3321+Sens!$N$3322</f>
        <v>0.865507324310419</v>
      </c>
      <c r="O3323" s="38" t="n">
        <f aca="false">Sens!$O$3321+Sens!$O$3322</f>
        <v>0.865507324310419</v>
      </c>
      <c r="R3323" s="38" t="n">
        <f aca="false">Sens!$R$3321+Sens!$R$3322</f>
        <v>0</v>
      </c>
      <c r="S3323" s="38" t="n">
        <f aca="false">Sens!$S$3321+Sens!$S$3322</f>
        <v>0.203463948620839</v>
      </c>
      <c r="T3323" s="38" t="n">
        <f aca="false">Sens!$T$3321+Sens!$T$3322</f>
        <v>1.73101464862084</v>
      </c>
      <c r="U3323" s="38" t="n">
        <f aca="false">Sens!$U$3321+Sens!$U$3322</f>
        <v>10.4964302123178</v>
      </c>
      <c r="V3323" s="38" t="n">
        <f aca="false">Sens!$V$3321+Sens!$V$3322</f>
        <v>30.045917508699</v>
      </c>
      <c r="W3323" s="38" t="n">
        <f aca="false">Sens!$W$3321+Sens!$W$3322</f>
        <v>61.9722433318155</v>
      </c>
      <c r="X3323" s="38" t="n">
        <f aca="false">Sens!$X$3321+Sens!$X$3322</f>
        <v>90.7078872002321</v>
      </c>
      <c r="Y3323" s="38" t="n">
        <f aca="false">Sens!$Y$3321+Sens!$Y$3322</f>
        <v>120.133112970283</v>
      </c>
      <c r="Z3323" s="38" t="n">
        <f aca="false">Sens!$Z$3321+Sens!$Z$3322</f>
        <v>140.830496332622</v>
      </c>
      <c r="AA3323" s="38" t="n">
        <f aca="false">Sens!$AA$3321+Sens!$AA$3322</f>
        <v>152.711636855584</v>
      </c>
    </row>
    <row r="3324" customFormat="false" ht="17.15" hidden="false" customHeight="false" outlineLevel="0" collapsed="false">
      <c r="A3324" s="0" t="s">
        <v>651</v>
      </c>
      <c r="B3324" s="0" t="s">
        <v>86</v>
      </c>
      <c r="C3324" s="38" t="n">
        <f aca="false">Sens!$S$3324</f>
        <v>26.578941154416</v>
      </c>
      <c r="D3324" s="38" t="n">
        <f aca="false">Sens!$T$3324</f>
        <v>94.4165581367978</v>
      </c>
      <c r="G3324" s="38" t="n">
        <f aca="false">Sens!$U$3324</f>
        <v>236.826599034204</v>
      </c>
      <c r="H3324" s="38" t="n">
        <f aca="false">Sens!$V$3324</f>
        <v>405.352046470255</v>
      </c>
      <c r="I3324" s="38" t="n">
        <f aca="false">Sens!$W$3324</f>
        <v>548.02627304894</v>
      </c>
      <c r="J3324" s="38" t="n">
        <f aca="false">Sens!$X$3324</f>
        <v>667.201623959208</v>
      </c>
      <c r="K3324" s="38" t="n">
        <f aca="false">Sens!$Y$3324</f>
        <v>702.306896264125</v>
      </c>
      <c r="L3324" s="38" t="n">
        <f aca="false">Sens!$Z$3324</f>
        <v>693.490541571405</v>
      </c>
      <c r="M3324" s="38" t="n">
        <f aca="false">Sens!$AA$3324</f>
        <v>673.009886375674</v>
      </c>
      <c r="R3324" s="38" t="n">
        <f aca="false">SUM(Sens!$R$3311:$R$3311)-SUM(Sens!$R$3323:$R$3323)</f>
        <v>1.50429979529945</v>
      </c>
      <c r="S3324" s="38" t="n">
        <f aca="false">SUM(Sens!$R$3311:$S$3311)-SUM(Sens!$R$3323:$S$3323)</f>
        <v>26.578941154416</v>
      </c>
      <c r="T3324" s="38" t="n">
        <f aca="false">SUM(Sens!$R$3311:$T$3311)-SUM(Sens!$R$3323:$T$3323)</f>
        <v>94.4165581367978</v>
      </c>
      <c r="U3324" s="38" t="n">
        <f aca="false">SUM(Sens!$R$3311:$U$3311)-SUM(Sens!$R$3323:$U$3323)</f>
        <v>236.826599034204</v>
      </c>
      <c r="V3324" s="38" t="n">
        <f aca="false">SUM(Sens!$R$3311:$V$3311)-SUM(Sens!$R$3323:$V$3323)</f>
        <v>405.352046470255</v>
      </c>
      <c r="W3324" s="38" t="n">
        <f aca="false">SUM(Sens!$R$3311:$W$3311)-SUM(Sens!$R$3323:$W$3323)</f>
        <v>548.02627304894</v>
      </c>
      <c r="X3324" s="38" t="n">
        <f aca="false">SUM(Sens!$R$3311:$X$3311)-SUM(Sens!$R$3323:$X$3323)</f>
        <v>667.201623959208</v>
      </c>
      <c r="Y3324" s="38" t="n">
        <f aca="false">SUM(Sens!$R$3311:$Y$3311)-SUM(Sens!$R$3323:$Y$3323)</f>
        <v>702.306896264125</v>
      </c>
      <c r="Z3324" s="38" t="n">
        <f aca="false">SUM(Sens!$R$3311:$Z$3311)-SUM(Sens!$R$3323:$Z$3323)</f>
        <v>693.490541571405</v>
      </c>
      <c r="AA3324" s="38" t="n">
        <f aca="false">SUM(Sens!$R$3311:$AA$3311)-SUM(Sens!$R$3323:$AA$3323)</f>
        <v>673.009886375674</v>
      </c>
    </row>
    <row r="3325" customFormat="false" ht="17.15" hidden="false" customHeight="false" outlineLevel="0" collapsed="false">
      <c r="A3325" s="1" t="s">
        <v>652</v>
      </c>
    </row>
    <row r="3326" customFormat="false" ht="17.15" hidden="false" customHeight="false" outlineLevel="0" collapsed="false">
      <c r="A3326" s="0" t="s">
        <v>653</v>
      </c>
      <c r="B3326" s="0" t="s">
        <v>86</v>
      </c>
      <c r="C3326" s="38" t="n">
        <f aca="false">Sens!$C$3302-ext_sh*Sens!$C$3304</f>
        <v>1.80694998843362</v>
      </c>
      <c r="D3326" s="38" t="n">
        <f aca="false">Sens!$D$3302-ext_sh*Sens!$D$3304</f>
        <v>6.77606245662607</v>
      </c>
      <c r="E3326" s="38" t="n">
        <f aca="false">Sens!$E$3302-ext_sh*Sens!$E$3304</f>
        <v>6.62548329092326</v>
      </c>
      <c r="F3326" s="38" t="n">
        <f aca="false">Sens!$F$3302-ext_sh*Sens!$F$3304</f>
        <v>11.7200577158706</v>
      </c>
      <c r="G3326" s="38" t="n">
        <f aca="false">Sens!$G$3302-ext_sh*Sens!$G$3304</f>
        <v>18.3455410067939</v>
      </c>
      <c r="H3326" s="38" t="n">
        <f aca="false">Sens!$H$3302-ext_sh*Sens!$H$3304</f>
        <v>47.5171727060453</v>
      </c>
      <c r="I3326" s="38" t="n">
        <f aca="false">Sens!$I$3302-ext_sh*Sens!$I$3304</f>
        <v>80.5539692643667</v>
      </c>
      <c r="J3326" s="38" t="n">
        <f aca="false">Sens!$J$3302-ext_sh*Sens!$J$3304</f>
        <v>113.759316834883</v>
      </c>
      <c r="K3326" s="38" t="n">
        <f aca="false">Sens!$K$3302-ext_sh*Sens!$K$3304</f>
        <v>142.084411492169</v>
      </c>
      <c r="L3326" s="38" t="n">
        <f aca="false">Sens!$L$3302-ext_sh*Sens!$L$3304</f>
        <v>160.69964615804</v>
      </c>
      <c r="M3326" s="38" t="n">
        <f aca="false">Sens!$M$3302-ext_sh*Sens!$M$3304</f>
        <v>169.577607141793</v>
      </c>
      <c r="N3326" s="38" t="n">
        <f aca="false">Sens!$N$3302-ext_sh*Sens!$N$3304</f>
        <v>2.37162185981912</v>
      </c>
      <c r="O3326" s="38" t="n">
        <f aca="false">Sens!$O$3302-ext_sh*Sens!$O$3304</f>
        <v>4.40444059680694</v>
      </c>
    </row>
    <row r="3327" customFormat="false" ht="17.15" hidden="false" customHeight="false" outlineLevel="0" collapsed="false">
      <c r="A3327" s="1" t="s">
        <v>654</v>
      </c>
      <c r="B3327" s="8" t="s">
        <v>86</v>
      </c>
      <c r="C3327" s="38" t="n">
        <f aca="false">Sens!$C$3326-ext_sh*Sens!$C$3323</f>
        <v>1.64417882953695</v>
      </c>
      <c r="D3327" s="38" t="n">
        <f aca="false">Sens!$D$3326-ext_sh*Sens!$D$3323</f>
        <v>5.39125073772939</v>
      </c>
      <c r="E3327" s="38" t="n">
        <f aca="false">Sens!$E$3326-ext_sh*Sens!$E$3323</f>
        <v>2.42691120599613</v>
      </c>
      <c r="F3327" s="38" t="n">
        <f aca="false">Sens!$F$3326-ext_sh*Sens!$F$3323</f>
        <v>7.52148563094346</v>
      </c>
      <c r="G3327" s="38" t="n">
        <f aca="false">Sens!$G$3326-ext_sh*Sens!$G$3323</f>
        <v>9.94839683693959</v>
      </c>
      <c r="H3327" s="38" t="n">
        <f aca="false">Sens!$H$3326-ext_sh*Sens!$H$3323</f>
        <v>23.4804386990861</v>
      </c>
      <c r="I3327" s="38" t="n">
        <f aca="false">Sens!$I$3326-ext_sh*Sens!$I$3323</f>
        <v>30.9761745989143</v>
      </c>
      <c r="J3327" s="38" t="n">
        <f aca="false">Sens!$J$3326-ext_sh*Sens!$J$3323</f>
        <v>41.1930070746977</v>
      </c>
      <c r="K3327" s="38" t="n">
        <f aca="false">Sens!$K$3326-ext_sh*Sens!$K$3323</f>
        <v>45.9779211159428</v>
      </c>
      <c r="L3327" s="38" t="n">
        <f aca="false">Sens!$L$3326-ext_sh*Sens!$L$3323</f>
        <v>48.0352490919424</v>
      </c>
      <c r="M3327" s="38" t="n">
        <f aca="false">Sens!$M$3326-ext_sh*Sens!$M$3323</f>
        <v>47.4082976573265</v>
      </c>
      <c r="N3327" s="38" t="n">
        <f aca="false">Sens!$N$3326-ext_sh*Sens!$N$3323</f>
        <v>1.67921600037079</v>
      </c>
      <c r="O3327" s="38" t="n">
        <f aca="false">Sens!$O$3326-ext_sh*Sens!$O$3323</f>
        <v>3.71203473735861</v>
      </c>
    </row>
    <row r="3328" customFormat="false" ht="17.15" hidden="false" customHeight="false" outlineLevel="0" collapsed="false">
      <c r="A3328" s="0" t="s">
        <v>655</v>
      </c>
      <c r="B3328" s="0" t="s">
        <v>52</v>
      </c>
      <c r="C3328" s="13" t="n">
        <f aca="false">Sens!$C$3327/Sens!$C$3302</f>
        <v>0.708390794789371</v>
      </c>
      <c r="D3328" s="13" t="n">
        <f aca="false">Sens!$D$3327/Sens!$D$3302</f>
        <v>0.619415573115729</v>
      </c>
      <c r="E3328" s="13" t="n">
        <f aca="false">Sens!$E$3327/Sens!$E$3302</f>
        <v>0.285171627189009</v>
      </c>
      <c r="F3328" s="13" t="n">
        <f aca="false">Sens!$F$3327/Sens!$F$3302</f>
        <v>0.502657732812366</v>
      </c>
      <c r="G3328" s="13" t="n">
        <f aca="false">Sens!$G$3327/Sens!$G$3302</f>
        <v>0.423808778611812</v>
      </c>
      <c r="H3328" s="13" t="n">
        <f aca="false">Sens!$H$3327/Sens!$H$3302</f>
        <v>0.390261631739809</v>
      </c>
      <c r="I3328" s="13" t="n">
        <f aca="false">Sens!$I$3327/Sens!$I$3302</f>
        <v>0.305172864264572</v>
      </c>
      <c r="J3328" s="13" t="n">
        <f aca="false">Sens!$J$3327/Sens!$J$3302</f>
        <v>0.288011814789856</v>
      </c>
      <c r="K3328" s="13" t="n">
        <f aca="false">Sens!$K$3327/Sens!$K$3302</f>
        <v>0.25765427518774</v>
      </c>
      <c r="L3328" s="13" t="n">
        <f aca="false">Sens!$L$3327/Sens!$L$3302</f>
        <v>0.238118778012374</v>
      </c>
      <c r="M3328" s="13" t="n">
        <f aca="false">Sens!$M$3327/Sens!$M$3302</f>
        <v>0.222746255757109</v>
      </c>
      <c r="N3328" s="13" t="n">
        <f aca="false">Sens!$N$3327/Sens!$N$3302</f>
        <v>0.551227795793364</v>
      </c>
      <c r="O3328" s="13" t="n">
        <f aca="false">Sens!$O$3327/Sens!$O$3302</f>
        <v>0.656132068597002</v>
      </c>
    </row>
    <row r="3329" customFormat="false" ht="17.15" hidden="false" customHeight="false" outlineLevel="0" collapsed="false">
      <c r="A3329" s="5" t="s">
        <v>656</v>
      </c>
      <c r="B3329" s="0" t="s">
        <v>86</v>
      </c>
      <c r="C3329" s="39" t="n">
        <v>0</v>
      </c>
      <c r="D3329" s="39" t="n">
        <v>0</v>
      </c>
      <c r="E3329" s="39" t="n">
        <v>0</v>
      </c>
      <c r="F3329" s="38" t="n">
        <f aca="false">IF(internal_ai_reading=2,1,0)*(1-ext_sh)/ext_sh*(mw_open*he_open+Sens!$F$3300*Sens!$F$3297)*Sens!$F$3286/1000</f>
        <v>3.77122048175818</v>
      </c>
      <c r="G3329" s="38" t="n">
        <f aca="false">Sens!$E$3329+Sens!$F$3329</f>
        <v>3.77122048175818</v>
      </c>
      <c r="H3329" s="38" t="n">
        <f aca="false">IF(internal_ai_reading=2,1,0)*(1-ext_sh)/ext_sh*(mw_open*he_open+Sens!$H$3300*Sens!$H$3297)*Sens!$H$3286/1000</f>
        <v>15.1635543609893</v>
      </c>
      <c r="I3329" s="38" t="n">
        <f aca="false">IF(internal_ai_reading=2,1,0)*(1-ext_sh)/ext_sh*(mw_open*he_open+Sens!$I$3300*Sens!$I$3297)*Sens!$I$3286/1000</f>
        <v>25.5818843619889</v>
      </c>
      <c r="J3329" s="38" t="n">
        <f aca="false">IF(internal_ai_reading=2,1,0)*(1-ext_sh)/ext_sh*(mw_open*he_open+Sens!$J$3300*Sens!$J$3297)*Sens!$J$3286/1000</f>
        <v>36.0465624179122</v>
      </c>
      <c r="K3329" s="38" t="n">
        <f aca="false">IF(internal_ai_reading=2,1,0)*(1-ext_sh)/ext_sh*(mw_open*he_open+Sens!$K$3300*Sens!$K$3297)*Sens!$K$3286/1000</f>
        <v>44.9741164026038</v>
      </c>
      <c r="L3329" s="38" t="n">
        <f aca="false">IF(internal_ai_reading=2,1,0)*(1-ext_sh)/ext_sh*(mw_open*he_open+Sens!$L$3300*Sens!$L$3297)*Sens!$L$3286/1000</f>
        <v>50.8413488057813</v>
      </c>
      <c r="M3329" s="38" t="n">
        <f aca="false">IF(internal_ai_reading=2,1,0)*(1-ext_sh)/ext_sh*(mw_open*he_open+Sens!$M$3300*Sens!$M$3297)*Sens!$M$3286/1000</f>
        <v>53.6407214274315</v>
      </c>
      <c r="N3329" s="39" t="n">
        <v>0</v>
      </c>
      <c r="O3329" s="39" t="n">
        <v>0</v>
      </c>
      <c r="P3329" s="8" t="s">
        <v>657</v>
      </c>
    </row>
    <row r="3330" customFormat="false" ht="17.15" hidden="false" customHeight="false" outlineLevel="0" collapsed="false">
      <c r="A3330" s="5" t="s">
        <v>658</v>
      </c>
      <c r="B3330" s="0" t="s">
        <v>86</v>
      </c>
      <c r="C3330" s="38" t="n">
        <f aca="false">(1-ext_sh)*(Sens!$C$3304+Sens!$C$3323)</f>
        <v>0.169206631859174</v>
      </c>
      <c r="D3330" s="38" t="n">
        <f aca="false">(1-ext_sh)*(Sens!$D$3304+Sens!$D$3323)</f>
        <v>0.828129837730442</v>
      </c>
      <c r="E3330" s="38" t="n">
        <f aca="false">(1-ext_sh)*(Sens!$E$3304+Sens!$E$3323)</f>
        <v>1.52086044239347</v>
      </c>
      <c r="F3330" s="38" t="n">
        <f aca="false">(1-ext_sh)*(Sens!$F$3304+Sens!$F$3323)</f>
        <v>1.86048700344425</v>
      </c>
      <c r="G3330" s="38" t="n">
        <f aca="false">(1-ext_sh)*(Sens!$G$3304+Sens!$G$3323)</f>
        <v>3.38134744583772</v>
      </c>
      <c r="H3330" s="38" t="n">
        <f aca="false">(1-ext_sh)*(Sens!$H$3304+Sens!$H$3323)</f>
        <v>9.17136301267211</v>
      </c>
      <c r="I3330" s="38" t="n">
        <f aca="false">(1-ext_sh)*(Sens!$I$3304+Sens!$I$3323)</f>
        <v>17.6318811343794</v>
      </c>
      <c r="J3330" s="38" t="n">
        <f aca="false">(1-ext_sh)*(Sens!$J$3304+Sens!$J$3323)</f>
        <v>25.4581000191451</v>
      </c>
      <c r="K3330" s="38" t="n">
        <f aca="false">(1-ext_sh)*(Sens!$K$3304+Sens!$K$3323)</f>
        <v>33.1175498168092</v>
      </c>
      <c r="L3330" s="38" t="n">
        <f aca="false">(1-ext_sh)*(Sens!$L$3304+Sens!$L$3323)</f>
        <v>38.4232131776135</v>
      </c>
      <c r="M3330" s="38" t="n">
        <f aca="false">(1-ext_sh)*(Sens!$M$3304+Sens!$M$3323)</f>
        <v>41.3567859278847</v>
      </c>
      <c r="N3330" s="38" t="n">
        <f aca="false">(1-ext_sh)*(Sens!$N$3304+Sens!$N$3323)</f>
        <v>0.34177588266428</v>
      </c>
      <c r="O3330" s="38" t="n">
        <f aca="false">(1-ext_sh)*(Sens!$O$3304+Sens!$O$3323)</f>
        <v>0.486353955066162</v>
      </c>
    </row>
    <row r="3331" customFormat="false" ht="17.15" hidden="false" customHeight="false" outlineLevel="0" collapsed="false">
      <c r="A3331" s="0" t="s">
        <v>659</v>
      </c>
      <c r="B3331" s="0" t="s">
        <v>86</v>
      </c>
      <c r="C3331" s="38" t="n">
        <f aca="false">Q!$D$24</f>
        <v>39.834</v>
      </c>
      <c r="D3331" s="38" t="n">
        <f aca="false">Q!$E$24</f>
        <v>45.606</v>
      </c>
      <c r="E3331" s="38" t="n">
        <f aca="false">Q!$P$24</f>
        <v>30.782</v>
      </c>
      <c r="N3331" s="38" t="n">
        <f aca="false">Q!$N$24</f>
        <v>21.707</v>
      </c>
      <c r="O3331" s="38" t="n">
        <f aca="false">Q!$O$24</f>
        <v>23.899</v>
      </c>
    </row>
    <row r="3332" customFormat="false" ht="17.15" hidden="false" customHeight="false" outlineLevel="0" collapsed="false">
      <c r="A3332" s="0" t="s">
        <v>660</v>
      </c>
      <c r="B3332" s="0" t="s">
        <v>86</v>
      </c>
      <c r="C3332" s="38" t="n">
        <f aca="false">Sens!$C$3331-Sens!$C$3327</f>
        <v>38.1898211704631</v>
      </c>
      <c r="D3332" s="38" t="n">
        <f aca="false">Sens!$D$3331-Sens!$D$3327</f>
        <v>40.2147492622706</v>
      </c>
      <c r="E3332" s="38" t="n">
        <f aca="false">Sens!$E$3331-Sens!$E$3327</f>
        <v>28.3550887940039</v>
      </c>
      <c r="F3332" s="38" t="n">
        <f aca="false">Sens!$F$3306*Sens!$F$3333</f>
        <v>25.9529793149447</v>
      </c>
      <c r="G3332" s="38" t="n">
        <f aca="false">Sens!$E$3332+Sens!$F$3332</f>
        <v>54.3080681089486</v>
      </c>
      <c r="H3332" s="38" t="n">
        <f aca="false">Sens!$H$3306*Sens!$H$3333</f>
        <v>57.8384231173121</v>
      </c>
      <c r="I3332" s="38" t="n">
        <f aca="false">Sens!$I$3306*Sens!$I$3333</f>
        <v>63.3477303731365</v>
      </c>
      <c r="J3332" s="38" t="n">
        <f aca="false">Sens!$J$3306*Sens!$J$3333</f>
        <v>67.9484674225147</v>
      </c>
      <c r="K3332" s="38" t="n">
        <f aca="false">Sens!$K$3306*Sens!$K$3333</f>
        <v>71.3458907936405</v>
      </c>
      <c r="L3332" s="38" t="n">
        <f aca="false">Sens!$L$3306*Sens!$L$3333</f>
        <v>74.9131853333225</v>
      </c>
      <c r="M3332" s="38" t="n">
        <f aca="false">Sens!$M$3306*Sens!$M$3333</f>
        <v>78.6588445999886</v>
      </c>
      <c r="N3332" s="38" t="n">
        <f aca="false">Sens!$N$3331-Sens!$N$3327</f>
        <v>20.0277839996292</v>
      </c>
      <c r="O3332" s="38" t="n">
        <f aca="false">Sens!$O$3331-Sens!$O$3327</f>
        <v>20.1869652626414</v>
      </c>
      <c r="P3332" s="5" t="s">
        <v>661</v>
      </c>
    </row>
    <row r="3333" customFormat="false" ht="17.15" hidden="false" customHeight="false" outlineLevel="0" collapsed="false">
      <c r="A3333" s="0" t="s">
        <v>662</v>
      </c>
      <c r="B3333" s="0" t="s">
        <v>52</v>
      </c>
      <c r="C3333" s="13" t="n">
        <f aca="false">Sens!$C$3332/Sens!$C$3306</f>
        <v>0.362900395443635</v>
      </c>
      <c r="D3333" s="13" t="n">
        <f aca="false">Sens!$D$3332/Sens!$D$3306</f>
        <v>0.335063632425483</v>
      </c>
      <c r="E3333" s="13" t="n">
        <f aca="false">Sens!$E$3332/Sens!$E$3306</f>
        <v>0.397638855555478</v>
      </c>
      <c r="F3333" s="13" t="n">
        <f aca="false">(Sens!$O$3332+Sens!$E$3332)/(Sens!$O$3306+Sens!$E$3306)</f>
        <v>0.361616727338133</v>
      </c>
      <c r="G3333" s="13" t="n">
        <f aca="false">Sens!$G$3332/Sens!$G$3306</f>
        <v>0.379569803149143</v>
      </c>
      <c r="H3333" s="13" t="n">
        <f aca="false">Sens!$F$3333</f>
        <v>0.361616727338133</v>
      </c>
      <c r="I3333" s="13" t="n">
        <f aca="false">Sens!$F$3333</f>
        <v>0.361616727338133</v>
      </c>
      <c r="J3333" s="13" t="n">
        <f aca="false">Sens!$F$3333</f>
        <v>0.361616727338133</v>
      </c>
      <c r="K3333" s="13" t="n">
        <f aca="false">Sens!$F$3333</f>
        <v>0.361616727338133</v>
      </c>
      <c r="L3333" s="13" t="n">
        <f aca="false">Sens!$F$3333</f>
        <v>0.361616727338133</v>
      </c>
      <c r="M3333" s="13" t="n">
        <f aca="false">Sens!$F$3333</f>
        <v>0.361616727338133</v>
      </c>
      <c r="N3333" s="13" t="n">
        <f aca="false">Sens!$N$3332/Sens!$N$3306</f>
        <v>0.35078810535806</v>
      </c>
      <c r="O3333" s="13" t="n">
        <f aca="false">Sens!$O$3332/Sens!$O$3306</f>
        <v>0.320796939361619</v>
      </c>
      <c r="P3333" s="8" t="s">
        <v>663</v>
      </c>
    </row>
    <row r="3334" customFormat="false" ht="17.15" hidden="false" customHeight="false" outlineLevel="0" collapsed="false">
      <c r="A3334" s="0" t="s">
        <v>664</v>
      </c>
      <c r="B3334" s="0" t="s">
        <v>52</v>
      </c>
      <c r="D3334" s="13" t="n">
        <f aca="false">(Q!$E$31-ext_sh*Sens!$D$3323)/Sens!$D$3306</f>
        <v>0.167180325480118</v>
      </c>
    </row>
    <row r="3335" customFormat="false" ht="17.15" hidden="false" customHeight="false" outlineLevel="0" collapsed="false">
      <c r="A3335" s="0" t="s">
        <v>665</v>
      </c>
      <c r="B3335" s="0" t="s">
        <v>86</v>
      </c>
      <c r="C3335" s="38" t="n">
        <f aca="false">Q!$D$31</f>
        <v>13.32</v>
      </c>
      <c r="D3335" s="38" t="n">
        <f aca="false">Q!$E$31</f>
        <v>21.45</v>
      </c>
      <c r="E3335" s="38" t="n">
        <f aca="false">Q!$P$31</f>
        <v>15.353</v>
      </c>
      <c r="F3335" s="38" t="n">
        <f aca="false">ext_sh*Sens!$F$3323+Sens!$D$3334*Sens!$F$3306</f>
        <v>16.1969869840094</v>
      </c>
      <c r="G3335" s="38" t="n">
        <f aca="false">Sens!$E$3335+Sens!$F$3335</f>
        <v>31.5499869840094</v>
      </c>
      <c r="H3335" s="38" t="n">
        <f aca="false">ext_sh*Sens!$H$3323+Sens!$D$3334*Sens!$H$3306</f>
        <v>50.7762227280313</v>
      </c>
      <c r="I3335" s="38" t="n">
        <f aca="false">ext_sh*Sens!$I$3323+Sens!$D$3334*Sens!$I$3306</f>
        <v>78.8643109728271</v>
      </c>
      <c r="J3335" s="38" t="n">
        <f aca="false">ext_sh*Sens!$J$3323+Sens!$D$3334*Sens!$J$3306</f>
        <v>103.979809304827</v>
      </c>
      <c r="K3335" s="38" t="n">
        <f aca="false">ext_sh*Sens!$K$3323+Sens!$D$3334*Sens!$K$3306</f>
        <v>129.0906648981</v>
      </c>
      <c r="L3335" s="38" t="n">
        <f aca="false">ext_sh*Sens!$L$3323+Sens!$D$3334*Sens!$L$3306</f>
        <v>147.297780314065</v>
      </c>
      <c r="M3335" s="38" t="n">
        <f aca="false">ext_sh*Sens!$M$3323+Sens!$D$3334*Sens!$M$3306</f>
        <v>158.534361894833</v>
      </c>
      <c r="N3335" s="38" t="n">
        <f aca="false">Q!$N$31</f>
        <v>9.234</v>
      </c>
      <c r="O3335" s="38" t="n">
        <f aca="false">Q!$O$31</f>
        <v>12.216</v>
      </c>
    </row>
    <row r="3336" customFormat="false" ht="17.15" hidden="false" customHeight="false" outlineLevel="0" collapsed="false">
      <c r="A3336" s="1" t="s">
        <v>666</v>
      </c>
    </row>
    <row r="3337" customFormat="false" ht="17.15" hidden="false" customHeight="false" outlineLevel="0" collapsed="false">
      <c r="A3337" s="15" t="s">
        <v>667</v>
      </c>
      <c r="B3337" s="14" t="s">
        <v>52</v>
      </c>
      <c r="C3337" s="14"/>
      <c r="D3337" s="14"/>
      <c r="E3337" s="14"/>
      <c r="F3337" s="14"/>
      <c r="G3337" s="17" t="n">
        <f aca="false">Sens!$G$3327*(1-tax)/(ext_sh*(Sens!$D$3324+Sens!$G$3324)/2)</f>
        <v>0.0620504069546486</v>
      </c>
      <c r="H3337" s="17" t="n">
        <f aca="false">Sens!$H$3327*(1-tax)/(ext_sh*(Sens!$G$3324+Sens!$H$3324)/2)</f>
        <v>0.0755420551527686</v>
      </c>
      <c r="I3337" s="17" t="n">
        <f aca="false">Sens!$I$3327*(1-tax)/(ext_sh*(Sens!$H$3324+Sens!$I$3324)/2)</f>
        <v>0.067127575356291</v>
      </c>
      <c r="J3337" s="17" t="n">
        <f aca="false">Sens!$J$3327*(1-tax)/(ext_sh*(Sens!$I$3324+Sens!$J$3324)/2)</f>
        <v>0.0700332392906535</v>
      </c>
      <c r="K3337" s="17" t="n">
        <f aca="false">Sens!$K$3327*(1-tax)/(ext_sh*(Sens!$J$3324+Sens!$K$3324)/2)</f>
        <v>0.0693622290093833</v>
      </c>
      <c r="L3337" s="17" t="n">
        <f aca="false">Sens!$L$3327*(1-tax)/(ext_sh*(Sens!$K$3324+Sens!$L$3324)/2)</f>
        <v>0.0711010638813626</v>
      </c>
      <c r="M3337" s="17" t="n">
        <f aca="false">Sens!$M$3327*(1-tax)/(ext_sh*(Sens!$L$3324+Sens!$M$3324)/2)</f>
        <v>0.071677531066401</v>
      </c>
      <c r="N3337" s="14"/>
      <c r="O3337" s="14"/>
      <c r="P3337" s="8" t="s">
        <v>668</v>
      </c>
    </row>
    <row r="3338" customFormat="false" ht="17.15" hidden="false" customHeight="false" outlineLevel="0" collapsed="false">
      <c r="A3338" s="5" t="s">
        <v>669</v>
      </c>
      <c r="B3338" s="0" t="s">
        <v>57</v>
      </c>
      <c r="H3338" s="36" t="n">
        <f aca="false">Sens!$H$3302*1000/(mw_open*he_open+Sens!$H$3300*Sens!$H$3297)</f>
        <v>0.991949006767191</v>
      </c>
      <c r="I3338" s="36" t="n">
        <f aca="false">Sens!$I$3302*1000/(mw_open*he_open+Sens!$I$3300*Sens!$I$3297)</f>
        <v>0.991949006767191</v>
      </c>
      <c r="J3338" s="36" t="n">
        <f aca="false">Sens!$J$3302*1000/(mw_open*he_open+Sens!$J$3300*Sens!$J$3297)</f>
        <v>0.991949006767191</v>
      </c>
      <c r="K3338" s="36" t="n">
        <f aca="false">Sens!$K$3302*1000/(mw_open*he_open+Sens!$K$3300*Sens!$K$3297)</f>
        <v>0.991949006767191</v>
      </c>
      <c r="L3338" s="36" t="n">
        <f aca="false">Sens!$L$3302*1000/(mw_open*he_open+Sens!$L$3300*Sens!$L$3297)</f>
        <v>0.991949006767191</v>
      </c>
      <c r="M3338" s="36" t="n">
        <f aca="false">Sens!$M$3302*1000/(mw_open*he_open+Sens!$M$3300*Sens!$M$3297)</f>
        <v>0.991949006767191</v>
      </c>
    </row>
    <row r="3339" customFormat="false" ht="17.15" hidden="false" customHeight="false" outlineLevel="0" collapsed="false">
      <c r="A3339" s="5" t="s">
        <v>670</v>
      </c>
      <c r="B3339" s="0" t="s">
        <v>57</v>
      </c>
      <c r="H3339" s="36" t="n">
        <f aca="false">Sens!$H$3338*(Sens!$H$3302+wacc*ext_sh*(Sens!$G$3324+Sens!$H$3324)/2/(1-tax)-Sens!$H$3327)/Sens!$H$3302</f>
        <v>1.18542857552197</v>
      </c>
      <c r="I3339" s="36" t="n">
        <f aca="false">Sens!$I$3338*(Sens!$I$3302+wacc*ext_sh*(Sens!$H$3324+Sens!$I$3324)/2/(1-tax)-Sens!$I$3327)/Sens!$I$3302</f>
        <v>1.20015476648903</v>
      </c>
      <c r="J3339" s="36" t="n">
        <f aca="false">Sens!$J$3338*(Sens!$J$3302+wacc*ext_sh*(Sens!$I$3324+Sens!$J$3324)/2/(1-tax)-Sens!$J$3327)/Sens!$J$3302</f>
        <v>1.16844056931249</v>
      </c>
      <c r="K3339" s="36" t="n">
        <f aca="false">Sens!$K$3338*(Sens!$K$3302+wacc*ext_sh*(Sens!$J$3324+Sens!$K$3324)/2/(1-tax)-Sens!$K$3327)/Sens!$K$3302</f>
        <v>1.15383758356873</v>
      </c>
      <c r="L3339" s="36" t="n">
        <f aca="false">Sens!$L$3338*(Sens!$L$3302+wacc*ext_sh*(Sens!$K$3324+Sens!$L$3324)/2/(1-tax)-Sens!$L$3327)/Sens!$L$3302</f>
        <v>1.13212765595665</v>
      </c>
      <c r="M3339" s="36" t="n">
        <f aca="false">Sens!$M$3338*(Sens!$M$3302+wacc*ext_sh*(Sens!$L$3324+Sens!$M$3324)/2/(1-tax)-Sens!$M$3327)/Sens!$M$3302</f>
        <v>1.12024635139935</v>
      </c>
    </row>
    <row r="3340" customFormat="false" ht="17.15" hidden="false" customHeight="false" outlineLevel="0" collapsed="false">
      <c r="A3340" s="5" t="s">
        <v>671</v>
      </c>
      <c r="B3340" s="0" t="s">
        <v>52</v>
      </c>
      <c r="C3340" s="13" t="n">
        <f aca="false">Sens!$C$3303/tk_pq</f>
        <v>0.195316432429398</v>
      </c>
      <c r="D3340" s="13" t="n">
        <f aca="false">Sens!$D$3303/tk_pq</f>
        <v>0.195316432429398</v>
      </c>
      <c r="E3340" s="13" t="n">
        <f aca="false">Sens!$E$3303/tk_pq</f>
        <v>0.195316432429398</v>
      </c>
      <c r="F3340" s="13" t="n">
        <f aca="false">Sens!$F$3303/tk_pq</f>
        <v>0.202241827274866</v>
      </c>
      <c r="G3340" s="13" t="n">
        <f aca="false">Sens!$G$3303/tk_pq</f>
        <v>0.199675016194063</v>
      </c>
      <c r="H3340" s="13" t="n">
        <f aca="false">Sens!$H$3303/tk_pq</f>
        <v>0.212647947710325</v>
      </c>
      <c r="I3340" s="13" t="n">
        <f aca="false">Sens!$I$3303/tk_pq</f>
        <v>0.219285125475351</v>
      </c>
      <c r="J3340" s="13" t="n">
        <f aca="false">Sens!$J$3303/tk_pq</f>
        <v>0.222492493217189</v>
      </c>
      <c r="K3340" s="13" t="n">
        <f aca="false">Sens!$K$3303/tk_pq</f>
        <v>0.224053502812094</v>
      </c>
      <c r="L3340" s="13" t="n">
        <f aca="false">Sens!$L$3303/tk_pq</f>
        <v>0.224786916785614</v>
      </c>
      <c r="M3340" s="13" t="n">
        <f aca="false">Sens!$M$3303/tk_pq</f>
        <v>0.225048671566937</v>
      </c>
      <c r="N3340" s="13" t="n">
        <f aca="false">Sens!$N$3303/tk_pq</f>
        <v>0.195316432429398</v>
      </c>
      <c r="O3340" s="13" t="n">
        <f aca="false">Sens!$O$3303/tk_pq</f>
        <v>0.195316432429398</v>
      </c>
      <c r="P3340" s="5" t="s">
        <v>672</v>
      </c>
    </row>
    <row r="3343" customFormat="false" ht="17.15" hidden="false" customHeight="false" outlineLevel="0" collapsed="false">
      <c r="A3343" s="1" t="s">
        <v>701</v>
      </c>
    </row>
    <row r="3344" customFormat="false" ht="17.15" hidden="false" customHeight="false" outlineLevel="0" collapsed="false">
      <c r="A3344" s="0" t="s">
        <v>702</v>
      </c>
      <c r="B3344" s="0" t="s">
        <v>86</v>
      </c>
      <c r="C3344" s="38" t="n">
        <f aca="false">Sens!$C$3302</f>
        <v>2.32100535697364</v>
      </c>
      <c r="D3344" s="38" t="n">
        <f aca="false">Sens!$D$3302</f>
        <v>8.70377008865116</v>
      </c>
      <c r="E3344" s="38" t="n">
        <f aca="false">Sens!$E$3302</f>
        <v>8.51035297557002</v>
      </c>
      <c r="F3344" s="38" t="n">
        <f aca="false">Sens!$F$3302</f>
        <v>14.9634336447205</v>
      </c>
      <c r="G3344" s="38" t="n">
        <f aca="false">Sens!$G$3302</f>
        <v>23.4737866202905</v>
      </c>
      <c r="H3344" s="38" t="n">
        <f aca="false">Sens!$H$3302</f>
        <v>60.1658907497746</v>
      </c>
      <c r="I3344" s="38" t="n">
        <f aca="false">Sens!$I$3302</f>
        <v>101.503699136432</v>
      </c>
      <c r="J3344" s="38" t="n">
        <f aca="false">Sens!$J$3302</f>
        <v>143.025407151278</v>
      </c>
      <c r="K3344" s="38" t="n">
        <f aca="false">Sens!$K$3302</f>
        <v>178.44812038318</v>
      </c>
      <c r="L3344" s="38" t="n">
        <f aca="false">Sens!$L$3302</f>
        <v>201.728101802396</v>
      </c>
      <c r="M3344" s="38" t="n">
        <f aca="false">Sens!$M$3302</f>
        <v>212.835441368865</v>
      </c>
      <c r="N3344" s="38" t="n">
        <f aca="false">Sens!$N$3302</f>
        <v>3.04631953102791</v>
      </c>
      <c r="O3344" s="38" t="n">
        <f aca="false">Sens!$O$3302</f>
        <v>5.65745055762326</v>
      </c>
      <c r="P3344" s="8" t="s">
        <v>703</v>
      </c>
    </row>
    <row r="3345" customFormat="false" ht="17.15" hidden="false" customHeight="false" outlineLevel="0" collapsed="false">
      <c r="A3345" s="0" t="s">
        <v>704</v>
      </c>
      <c r="B3345" s="0" t="s">
        <v>86</v>
      </c>
      <c r="C3345" s="38" t="n">
        <f aca="false">Sens!$C$3306</f>
        <v>105.234994643026</v>
      </c>
      <c r="D3345" s="38" t="n">
        <f aca="false">Sens!$D$3306</f>
        <v>120.021229911349</v>
      </c>
      <c r="E3345" s="38" t="n">
        <f aca="false">Sens!$E$3306</f>
        <v>71.30864702443</v>
      </c>
      <c r="F3345" s="38" t="n">
        <f aca="false">Sens!$F$3306</f>
        <v>71.7692997942464</v>
      </c>
      <c r="G3345" s="38" t="n">
        <f aca="false">Sens!$G$3306</f>
        <v>143.077946818676</v>
      </c>
      <c r="H3345" s="38" t="n">
        <f aca="false">Sens!$H$3306</f>
        <v>159.943992478063</v>
      </c>
      <c r="I3345" s="38" t="n">
        <f aca="false">Sens!$I$3306</f>
        <v>175.17920379248</v>
      </c>
      <c r="J3345" s="38" t="n">
        <f aca="false">Sens!$J$3306</f>
        <v>187.901892489002</v>
      </c>
      <c r="K3345" s="38" t="n">
        <f aca="false">Sens!$K$3306</f>
        <v>197.296987113453</v>
      </c>
      <c r="L3345" s="38" t="n">
        <f aca="false">Sens!$L$3306</f>
        <v>207.161836469125</v>
      </c>
      <c r="M3345" s="38" t="n">
        <f aca="false">Sens!$M$3306</f>
        <v>217.519928292582</v>
      </c>
      <c r="N3345" s="38" t="n">
        <f aca="false">Sens!$N$3306</f>
        <v>57.0936804689721</v>
      </c>
      <c r="O3345" s="38" t="n">
        <f aca="false">Sens!$O$3306</f>
        <v>62.9275494423768</v>
      </c>
      <c r="P3345" s="8" t="s">
        <v>703</v>
      </c>
    </row>
    <row r="3346" customFormat="false" ht="17.15" hidden="false" customHeight="false" outlineLevel="0" collapsed="false">
      <c r="A3346" s="1" t="s">
        <v>523</v>
      </c>
      <c r="B3346" s="8" t="s">
        <v>86</v>
      </c>
      <c r="C3346" s="38" t="n">
        <f aca="false">Q!$D$7</f>
        <v>107.556</v>
      </c>
      <c r="D3346" s="38" t="n">
        <f aca="false">Q!$E$7</f>
        <v>128.725</v>
      </c>
      <c r="E3346" s="38" t="n">
        <f aca="false">Q!$P$7</f>
        <v>79.819</v>
      </c>
      <c r="F3346" s="38" t="n">
        <f aca="false">Sens!$F$3344+Sens!$F$3345</f>
        <v>86.7327334389669</v>
      </c>
      <c r="G3346" s="38" t="n">
        <f aca="false">Sens!$G$3344+Sens!$G$3345</f>
        <v>166.551733438967</v>
      </c>
      <c r="H3346" s="38" t="n">
        <f aca="false">Sens!$H$3344+Sens!$H$3345</f>
        <v>220.109883227838</v>
      </c>
      <c r="I3346" s="38" t="n">
        <f aca="false">Sens!$I$3344+Sens!$I$3345</f>
        <v>276.682902928912</v>
      </c>
      <c r="J3346" s="38" t="n">
        <f aca="false">Sens!$J$3344+Sens!$J$3345</f>
        <v>330.927299640281</v>
      </c>
      <c r="K3346" s="38" t="n">
        <f aca="false">Sens!$K$3344+Sens!$K$3345</f>
        <v>375.745107496632</v>
      </c>
      <c r="L3346" s="38" t="n">
        <f aca="false">Sens!$L$3344+Sens!$L$3345</f>
        <v>408.889938271522</v>
      </c>
      <c r="M3346" s="38" t="n">
        <f aca="false">Sens!$M$3344+Sens!$M$3345</f>
        <v>430.355369661447</v>
      </c>
      <c r="N3346" s="38" t="n">
        <f aca="false">Q!$N$7</f>
        <v>60.14</v>
      </c>
      <c r="O3346" s="38" t="n">
        <f aca="false">Q!$O$7</f>
        <v>68.585</v>
      </c>
      <c r="P3346" s="5" t="s">
        <v>705</v>
      </c>
    </row>
    <row r="3347" customFormat="false" ht="15" hidden="false" customHeight="false" outlineLevel="0" collapsed="false">
      <c r="A3347" s="3" t="s">
        <v>706</v>
      </c>
      <c r="B3347" s="8" t="s">
        <v>86</v>
      </c>
      <c r="C3347" s="38" t="n">
        <f aca="false">Q!$D$8</f>
        <v>637.959</v>
      </c>
      <c r="D3347" s="38" t="n">
        <f aca="false">Q!$E$8</f>
        <v>716.924</v>
      </c>
      <c r="E3347" s="38" t="n">
        <f aca="false">Q!$P$8</f>
        <v>382.125</v>
      </c>
      <c r="F3347" s="38" t="n">
        <f aca="false">Sens!$F$3274+Sens!$F$3346</f>
        <v>435.780975084504</v>
      </c>
      <c r="G3347" s="38" t="n">
        <f aca="false">Sens!$G$3274+Sens!$G$3346</f>
        <v>817.905975084504</v>
      </c>
      <c r="H3347" s="38" t="n">
        <f aca="false">Sens!$H$3274+Sens!$H$3346</f>
        <v>941.206772749224</v>
      </c>
      <c r="I3347" s="38" t="n">
        <f aca="false">Sens!$I$3274+Sens!$I$3346</f>
        <v>1065.21229408144</v>
      </c>
      <c r="J3347" s="38" t="n">
        <f aca="false">Sens!$J$3274+Sens!$J$3346</f>
        <v>1182.03570538172</v>
      </c>
      <c r="K3347" s="38" t="n">
        <f aca="false">Sens!$K$3274+Sens!$K$3346</f>
        <v>1281.92156292772</v>
      </c>
      <c r="L3347" s="38" t="n">
        <f aca="false">Sens!$L$3274+Sens!$L$3346</f>
        <v>1373.98304474711</v>
      </c>
      <c r="M3347" s="38" t="n">
        <f aca="false">Sens!$M$3274+Sens!$M$3346</f>
        <v>1458.50327760833</v>
      </c>
      <c r="N3347" s="38" t="n">
        <f aca="false">Q!$N$8</f>
        <v>323.369</v>
      </c>
      <c r="O3347" s="38" t="n">
        <f aca="false">Q!$O$8</f>
        <v>393.555</v>
      </c>
    </row>
    <row r="3348" customFormat="false" ht="17.15" hidden="false" customHeight="false" outlineLevel="0" collapsed="false">
      <c r="A3348" s="24" t="s">
        <v>714</v>
      </c>
      <c r="B3348" s="25" t="s">
        <v>86</v>
      </c>
      <c r="C3348" s="41" t="n">
        <f aca="false">Sens!$C$3274-(Sens!$C$3276+Sens!$C$3277)</f>
        <v>0</v>
      </c>
      <c r="D3348" s="41" t="n">
        <f aca="false">Sens!$D$3274-(Sens!$D$3276+Sens!$D$3277)</f>
        <v>0</v>
      </c>
      <c r="E3348" s="41" t="n">
        <f aca="false">Sens!$E$3274-(Sens!$E$3276+Sens!$E$3277)</f>
        <v>0</v>
      </c>
      <c r="F3348" s="41" t="n">
        <f aca="false">Sens!$F$3274-(Sens!$F$3276+Sens!$F$3277)</f>
        <v>0</v>
      </c>
      <c r="G3348" s="41" t="n">
        <f aca="false">Sens!$G$3274-(Sens!$G$3276+Sens!$G$3277)</f>
        <v>0</v>
      </c>
      <c r="H3348" s="41" t="n">
        <f aca="false">Sens!$H$3274-(Sens!$H$3276+Sens!$H$3277)</f>
        <v>0</v>
      </c>
      <c r="I3348" s="41" t="n">
        <f aca="false">Sens!$I$3274-(Sens!$I$3276+Sens!$I$3277)</f>
        <v>0</v>
      </c>
      <c r="J3348" s="41" t="n">
        <f aca="false">Sens!$J$3274-(Sens!$J$3276+Sens!$J$3277)</f>
        <v>0</v>
      </c>
      <c r="K3348" s="41" t="n">
        <f aca="false">Sens!$K$3274-(Sens!$K$3276+Sens!$K$3277)</f>
        <v>0</v>
      </c>
      <c r="L3348" s="41" t="n">
        <f aca="false">Sens!$L$3274-(Sens!$L$3276+Sens!$L$3277)</f>
        <v>0</v>
      </c>
      <c r="M3348" s="41" t="n">
        <f aca="false">Sens!$M$3274-(Sens!$M$3276+Sens!$M$3277)</f>
        <v>0</v>
      </c>
      <c r="N3348" s="41" t="n">
        <f aca="false">Sens!$N$3274-(Sens!$N$3276+Sens!$N$3277)</f>
        <v>0</v>
      </c>
      <c r="O3348" s="41" t="n">
        <f aca="false">Sens!$O$3274-(Sens!$O$3276+Sens!$O$3277)</f>
        <v>0</v>
      </c>
    </row>
    <row r="3349" customFormat="false" ht="17.15" hidden="false" customHeight="false" outlineLevel="0" collapsed="false">
      <c r="A3349" s="24" t="s">
        <v>715</v>
      </c>
      <c r="B3349" s="25" t="s">
        <v>86</v>
      </c>
      <c r="C3349" s="41" t="n">
        <f aca="false">Sens!$C$3344+Sens!$C$3345-Sens!$C$3346</f>
        <v>0</v>
      </c>
      <c r="D3349" s="41" t="n">
        <f aca="false">Sens!$D$3344+Sens!$D$3345-Sens!$D$3346</f>
        <v>0</v>
      </c>
      <c r="E3349" s="41" t="n">
        <f aca="false">Sens!$E$3344+Sens!$E$3345-Sens!$E$3346</f>
        <v>0</v>
      </c>
      <c r="F3349" s="41" t="n">
        <f aca="false">Sens!$F$3344+Sens!$F$3345-Sens!$F$3346</f>
        <v>0</v>
      </c>
      <c r="G3349" s="41" t="n">
        <f aca="false">Sens!$G$3344+Sens!$G$3345-Sens!$G$3346</f>
        <v>0</v>
      </c>
      <c r="H3349" s="41" t="n">
        <f aca="false">Sens!$H$3344+Sens!$H$3345-Sens!$H$3346</f>
        <v>0</v>
      </c>
      <c r="I3349" s="41" t="n">
        <f aca="false">Sens!$I$3344+Sens!$I$3345-Sens!$I$3346</f>
        <v>0</v>
      </c>
      <c r="J3349" s="41" t="n">
        <f aca="false">Sens!$J$3344+Sens!$J$3345-Sens!$J$3346</f>
        <v>0</v>
      </c>
      <c r="K3349" s="41" t="n">
        <f aca="false">Sens!$K$3344+Sens!$K$3345-Sens!$K$3346</f>
        <v>0</v>
      </c>
      <c r="L3349" s="41" t="n">
        <f aca="false">Sens!$L$3344+Sens!$L$3345-Sens!$L$3346</f>
        <v>0</v>
      </c>
      <c r="M3349" s="41" t="n">
        <f aca="false">Sens!$M$3344+Sens!$M$3345-Sens!$M$3346</f>
        <v>0</v>
      </c>
      <c r="N3349" s="41" t="n">
        <f aca="false">Sens!$N$3344+Sens!$N$3345-Sens!$N$3346</f>
        <v>0</v>
      </c>
      <c r="O3349" s="41" t="n">
        <f aca="false">Sens!$O$3344+Sens!$O$3345-Sens!$O$3346</f>
        <v>0</v>
      </c>
    </row>
    <row r="3350" customFormat="false" ht="17.15" hidden="false" customHeight="false" outlineLevel="0" collapsed="false">
      <c r="A3350" s="24" t="s">
        <v>716</v>
      </c>
      <c r="B3350" s="25" t="s">
        <v>86</v>
      </c>
      <c r="C3350" s="41" t="n">
        <f aca="false">Sens!$C$3276+Sens!$C$3277+Sens!$C$3346-Sens!$C$3347</f>
        <v>0</v>
      </c>
      <c r="D3350" s="41" t="n">
        <f aca="false">Sens!$D$3276+Sens!$D$3277+Sens!$D$3346-Sens!$D$3347</f>
        <v>0</v>
      </c>
      <c r="E3350" s="41" t="n">
        <f aca="false">Sens!$E$3276+Sens!$E$3277+Sens!$E$3346-Sens!$E$3347</f>
        <v>0</v>
      </c>
      <c r="F3350" s="41" t="n">
        <f aca="false">Sens!$F$3276+Sens!$F$3277+Sens!$F$3346-Sens!$F$3347</f>
        <v>0</v>
      </c>
      <c r="G3350" s="41" t="n">
        <f aca="false">Sens!$G$3276+Sens!$G$3277+Sens!$G$3346-Sens!$G$3347</f>
        <v>0</v>
      </c>
      <c r="H3350" s="41" t="n">
        <f aca="false">Sens!$H$3276+Sens!$H$3277+Sens!$H$3346-Sens!$H$3347</f>
        <v>0</v>
      </c>
      <c r="I3350" s="41" t="n">
        <f aca="false">Sens!$I$3276+Sens!$I$3277+Sens!$I$3346-Sens!$I$3347</f>
        <v>0</v>
      </c>
      <c r="J3350" s="41" t="n">
        <f aca="false">Sens!$J$3276+Sens!$J$3277+Sens!$J$3346-Sens!$J$3347</f>
        <v>0</v>
      </c>
      <c r="K3350" s="41" t="n">
        <f aca="false">Sens!$K$3276+Sens!$K$3277+Sens!$K$3346-Sens!$K$3347</f>
        <v>0</v>
      </c>
      <c r="L3350" s="41" t="n">
        <f aca="false">Sens!$L$3276+Sens!$L$3277+Sens!$L$3346-Sens!$L$3347</f>
        <v>0</v>
      </c>
      <c r="M3350" s="41" t="n">
        <f aca="false">Sens!$M$3276+Sens!$M$3277+Sens!$M$3346-Sens!$M$3347</f>
        <v>0</v>
      </c>
      <c r="N3350" s="41" t="n">
        <f aca="false">Sens!$N$3276+Sens!$N$3277+Sens!$N$3346-Sens!$N$3347</f>
        <v>0</v>
      </c>
      <c r="O3350" s="41" t="n">
        <f aca="false">Sens!$O$3276+Sens!$O$3277+Sens!$O$3346-Sens!$O$3347</f>
        <v>0</v>
      </c>
    </row>
    <row r="3351" customFormat="false" ht="15" hidden="false" customHeight="false" outlineLevel="0" collapsed="false">
      <c r="A3351" s="5" t="s">
        <v>710</v>
      </c>
      <c r="B3351" s="0" t="s">
        <v>52</v>
      </c>
      <c r="G3351" s="13" t="n">
        <f aca="false">Sens!$G$3347/Sens!$D$3347-1</f>
        <v>0.140854504918937</v>
      </c>
      <c r="H3351" s="13" t="n">
        <f aca="false">Sens!$H$3347/Sens!$G$3347-1</f>
        <v>0.150751799620953</v>
      </c>
      <c r="I3351" s="13" t="n">
        <f aca="false">Sens!$I$3347/Sens!$H$3347-1</f>
        <v>0.131751624534113</v>
      </c>
      <c r="J3351" s="13" t="n">
        <f aca="false">Sens!$J$3347/Sens!$I$3347-1</f>
        <v>0.109671482341479</v>
      </c>
      <c r="K3351" s="13" t="n">
        <f aca="false">Sens!$K$3347/Sens!$J$3347-1</f>
        <v>0.0845032490061204</v>
      </c>
      <c r="L3351" s="13" t="n">
        <f aca="false">Sens!$L$3347/Sens!$K$3347-1</f>
        <v>0.071815222149112</v>
      </c>
      <c r="M3351" s="13" t="n">
        <f aca="false">Sens!$M$3347/Sens!$L$3347-1</f>
        <v>0.061514756811849</v>
      </c>
    </row>
    <row r="3352" customFormat="false" ht="17.15" hidden="false" customHeight="false" outlineLevel="0" collapsed="false">
      <c r="A3352" s="0" t="s">
        <v>711</v>
      </c>
      <c r="B3352" s="0" t="s">
        <v>52</v>
      </c>
      <c r="C3352" s="13" t="n">
        <f aca="false">Sens!$C$3346/Sens!$C$3347</f>
        <v>0.168593906504964</v>
      </c>
      <c r="D3352" s="13" t="n">
        <f aca="false">Sens!$D$3346/Sens!$D$3347</f>
        <v>0.179551807444025</v>
      </c>
      <c r="E3352" s="13" t="n">
        <f aca="false">Sens!$E$3346/Sens!$E$3347</f>
        <v>0.208881910369643</v>
      </c>
      <c r="F3352" s="13" t="n">
        <f aca="false">Sens!$F$3346/Sens!$F$3347</f>
        <v>0.199028269699356</v>
      </c>
      <c r="G3352" s="13" t="n">
        <f aca="false">Sens!$G$3346/Sens!$G$3347</f>
        <v>0.203631882529968</v>
      </c>
      <c r="H3352" s="13" t="n">
        <f aca="false">Sens!$H$3346/Sens!$H$3347</f>
        <v>0.23385922158731</v>
      </c>
      <c r="I3352" s="13" t="n">
        <f aca="false">Sens!$I$3346/Sens!$I$3347</f>
        <v>0.259744376277127</v>
      </c>
      <c r="J3352" s="13" t="n">
        <f aca="false">Sens!$J$3346/Sens!$J$3347</f>
        <v>0.279963877684568</v>
      </c>
      <c r="K3352" s="13" t="n">
        <f aca="false">Sens!$K$3346/Sens!$K$3347</f>
        <v>0.293110841070873</v>
      </c>
      <c r="L3352" s="13" t="n">
        <f aca="false">Sens!$L$3346/Sens!$L$3347</f>
        <v>0.297594602666134</v>
      </c>
      <c r="M3352" s="13" t="n">
        <f aca="false">Sens!$M$3346/Sens!$M$3347</f>
        <v>0.295066439869197</v>
      </c>
      <c r="N3352" s="13" t="n">
        <f aca="false">Sens!$N$3346/Sens!$N$3347</f>
        <v>0.185979484737251</v>
      </c>
      <c r="O3352" s="13" t="n">
        <f aca="false">Sens!$O$3346/Sens!$O$3347</f>
        <v>0.174270432341096</v>
      </c>
    </row>
    <row r="3353" customFormat="false" ht="17.15" hidden="false" customHeight="false" outlineLevel="0" collapsed="false">
      <c r="A3353" s="0" t="s">
        <v>712</v>
      </c>
      <c r="B3353" s="0" t="s">
        <v>52</v>
      </c>
      <c r="C3353" s="13" t="n">
        <f aca="false">Sens!$C$3344/Sens!$C$3346</f>
        <v>0.0215795060896058</v>
      </c>
      <c r="D3353" s="13" t="n">
        <f aca="false">Sens!$D$3344/Sens!$D$3346</f>
        <v>0.0676152269462122</v>
      </c>
      <c r="E3353" s="13" t="n">
        <f aca="false">Sens!$E$3344/Sens!$E$3346</f>
        <v>0.106620641395783</v>
      </c>
      <c r="F3353" s="13" t="n">
        <f aca="false">Sens!$F$3344/Sens!$F$3346</f>
        <v>0.172523487401099</v>
      </c>
      <c r="G3353" s="13" t="n">
        <f aca="false">Sens!$G$3344/Sens!$G$3346</f>
        <v>0.140939911795589</v>
      </c>
      <c r="H3353" s="13" t="n">
        <f aca="false">Sens!$H$3344/Sens!$H$3346</f>
        <v>0.273344794279393</v>
      </c>
      <c r="I3353" s="13" t="n">
        <f aca="false">Sens!$I$3344/Sens!$I$3346</f>
        <v>0.36685931100886</v>
      </c>
      <c r="J3353" s="13" t="n">
        <f aca="false">Sens!$J$3344/Sens!$J$3346</f>
        <v>0.432195854819918</v>
      </c>
      <c r="K3353" s="13" t="n">
        <f aca="false">Sens!$K$3344/Sens!$K$3346</f>
        <v>0.474918014427584</v>
      </c>
      <c r="L3353" s="13" t="n">
        <f aca="false">Sens!$L$3344/Sens!$L$3346</f>
        <v>0.493355504552523</v>
      </c>
      <c r="M3353" s="13" t="n">
        <f aca="false">Sens!$M$3344/Sens!$M$3346</f>
        <v>0.494557420153254</v>
      </c>
      <c r="N3353" s="13" t="n">
        <f aca="false">Sens!$N$3344/Sens!$N$3346</f>
        <v>0.0506537999838362</v>
      </c>
      <c r="O3353" s="13" t="n">
        <f aca="false">Sens!$O$3344/Sens!$O$3346</f>
        <v>0.0824881615167056</v>
      </c>
    </row>
    <row r="3356" customFormat="false" ht="19.4" hidden="false" customHeight="false" outlineLevel="0" collapsed="false">
      <c r="A3356" s="31" t="s">
        <v>1219</v>
      </c>
    </row>
    <row r="3357" customFormat="false" ht="17.15" hidden="false" customHeight="false" outlineLevel="0" collapsed="false">
      <c r="A3357" s="6" t="s">
        <v>16</v>
      </c>
      <c r="B3357" s="6" t="s">
        <v>17</v>
      </c>
      <c r="C3357" s="20" t="s">
        <v>504</v>
      </c>
      <c r="D3357" s="20" t="s">
        <v>505</v>
      </c>
      <c r="E3357" s="20" t="s">
        <v>587</v>
      </c>
      <c r="F3357" s="20" t="s">
        <v>588</v>
      </c>
      <c r="G3357" s="20" t="s">
        <v>589</v>
      </c>
      <c r="H3357" s="20" t="s">
        <v>590</v>
      </c>
      <c r="I3357" s="20" t="s">
        <v>591</v>
      </c>
      <c r="J3357" s="20" t="s">
        <v>592</v>
      </c>
      <c r="K3357" s="20" t="s">
        <v>593</v>
      </c>
      <c r="L3357" s="20" t="s">
        <v>594</v>
      </c>
      <c r="M3357" s="20" t="s">
        <v>595</v>
      </c>
      <c r="N3357" s="20" t="s">
        <v>596</v>
      </c>
      <c r="O3357" s="20" t="s">
        <v>597</v>
      </c>
      <c r="P3357" s="6" t="s">
        <v>23</v>
      </c>
      <c r="R3357" s="20" t="n">
        <v>2023</v>
      </c>
      <c r="S3357" s="20" t="n">
        <v>2024</v>
      </c>
      <c r="T3357" s="20" t="n">
        <v>2025</v>
      </c>
      <c r="U3357" s="20" t="n">
        <v>2026</v>
      </c>
      <c r="V3357" s="20" t="n">
        <v>2027</v>
      </c>
      <c r="W3357" s="20" t="n">
        <v>2028</v>
      </c>
      <c r="X3357" s="20" t="n">
        <v>2029</v>
      </c>
      <c r="Y3357" s="20" t="n">
        <v>2030</v>
      </c>
      <c r="Z3357" s="20" t="n">
        <v>2031</v>
      </c>
      <c r="AA3357" s="20" t="n">
        <v>2032</v>
      </c>
    </row>
    <row r="3358" customFormat="false" ht="17.15" hidden="false" customHeight="false" outlineLevel="0" collapsed="false">
      <c r="A3358" s="1" t="s">
        <v>727</v>
      </c>
    </row>
    <row r="3359" customFormat="false" ht="15" hidden="false" customHeight="false" outlineLevel="0" collapsed="false">
      <c r="A3359" s="0" t="s">
        <v>526</v>
      </c>
      <c r="B3359" s="0" t="s">
        <v>86</v>
      </c>
      <c r="C3359" s="38" t="n">
        <f aca="false">Sens!$C$3261</f>
        <v>247.029</v>
      </c>
      <c r="D3359" s="38" t="n">
        <f aca="false">Sens!$D$3261</f>
        <v>269.287</v>
      </c>
      <c r="E3359" s="38" t="n">
        <f aca="false">Sens!$E$3261</f>
        <v>134.686</v>
      </c>
      <c r="F3359" s="38" t="n">
        <f aca="false">Sens!$F$3261</f>
        <v>158.293876822267</v>
      </c>
      <c r="G3359" s="38" t="n">
        <f aca="false">Sens!$G$3261</f>
        <v>292.979876822267</v>
      </c>
      <c r="H3359" s="38" t="n">
        <f aca="false">Sens!$H$3261</f>
        <v>318.184543087396</v>
      </c>
      <c r="I3359" s="38" t="n">
        <f aca="false">Sens!$I$3261</f>
        <v>341.736278761793</v>
      </c>
      <c r="J3359" s="38" t="n">
        <f aca="false">Sens!$J$3261</f>
        <v>362.927192787048</v>
      </c>
      <c r="K3359" s="38" t="n">
        <f aca="false">Sens!$K$3261</f>
        <v>381.0735524264</v>
      </c>
      <c r="L3359" s="38" t="n">
        <f aca="false">Sens!$L$3261</f>
        <v>400.12723004772</v>
      </c>
      <c r="M3359" s="38" t="n">
        <f aca="false">Sens!$M$3261</f>
        <v>420.133591550106</v>
      </c>
      <c r="N3359" s="38" t="n">
        <f aca="false">Sens!$N$3261</f>
        <v>118.892</v>
      </c>
      <c r="O3359" s="38" t="n">
        <f aca="false">Sens!$O$3261</f>
        <v>150.395</v>
      </c>
    </row>
    <row r="3360" customFormat="false" ht="15" hidden="false" customHeight="false" outlineLevel="0" collapsed="false">
      <c r="A3360" s="0" t="s">
        <v>527</v>
      </c>
      <c r="B3360" s="0" t="s">
        <v>86</v>
      </c>
      <c r="C3360" s="38" t="n">
        <f aca="false">Sens!$C$3263</f>
        <v>21.215</v>
      </c>
      <c r="D3360" s="38" t="n">
        <f aca="false">Sens!$D$3263</f>
        <v>22.561</v>
      </c>
      <c r="E3360" s="38" t="n">
        <f aca="false">Sens!$E$3263</f>
        <v>11.579</v>
      </c>
      <c r="F3360" s="38" t="n">
        <f aca="false">Sens!$F$3263</f>
        <v>11.5938724610325</v>
      </c>
      <c r="G3360" s="38" t="n">
        <f aca="false">Sens!$G$3263</f>
        <v>23.1728724610325</v>
      </c>
      <c r="H3360" s="38" t="n">
        <f aca="false">Sens!$H$3263</f>
        <v>24.353392759506</v>
      </c>
      <c r="I3360" s="38" t="n">
        <f aca="false">Sens!$I$3263</f>
        <v>25.4240338872015</v>
      </c>
      <c r="J3360" s="38" t="n">
        <f aca="false">Sens!$J$3263</f>
        <v>26.3642491017174</v>
      </c>
      <c r="K3360" s="38" t="n">
        <f aca="false">Sens!$K$3263</f>
        <v>27.155176574769</v>
      </c>
      <c r="L3360" s="38" t="n">
        <f aca="false">Sens!$L$3263</f>
        <v>27.969831872012</v>
      </c>
      <c r="M3360" s="38" t="n">
        <f aca="false">Sens!$M$3263</f>
        <v>28.8089268281724</v>
      </c>
      <c r="N3360" s="38" t="n">
        <f aca="false">Sens!$N$3263</f>
        <v>11.128</v>
      </c>
      <c r="O3360" s="38" t="n">
        <f aca="false">Sens!$O$3263</f>
        <v>11.433</v>
      </c>
    </row>
    <row r="3361" customFormat="false" ht="15" hidden="false" customHeight="false" outlineLevel="0" collapsed="false">
      <c r="A3361" s="0" t="s">
        <v>528</v>
      </c>
      <c r="B3361" s="0" t="s">
        <v>86</v>
      </c>
      <c r="C3361" s="38" t="n">
        <f aca="false">Sens!$C$3265</f>
        <v>156.146</v>
      </c>
      <c r="D3361" s="38" t="n">
        <f aca="false">Sens!$D$3265</f>
        <v>172.162</v>
      </c>
      <c r="E3361" s="38" t="n">
        <f aca="false">Sens!$E$3265</f>
        <v>88.358</v>
      </c>
      <c r="F3361" s="38" t="n">
        <f aca="false">Sens!$F$3265</f>
        <v>102.004388260171</v>
      </c>
      <c r="G3361" s="38" t="n">
        <f aca="false">Sens!$G$3265</f>
        <v>190.362388260171</v>
      </c>
      <c r="H3361" s="38" t="n">
        <f aca="false">Sens!$H$3265</f>
        <v>210.343106588311</v>
      </c>
      <c r="I3361" s="38" t="n">
        <f aca="false">Sens!$I$3265</f>
        <v>229.969728494648</v>
      </c>
      <c r="J3361" s="38" t="n">
        <f aca="false">Sens!$J$3265</f>
        <v>248.747636972598</v>
      </c>
      <c r="K3361" s="38" t="n">
        <f aca="false">Sens!$K$3265</f>
        <v>266.15997156068</v>
      </c>
      <c r="L3361" s="38" t="n">
        <f aca="false">Sens!$L$3265</f>
        <v>284.791169569927</v>
      </c>
      <c r="M3361" s="38" t="n">
        <f aca="false">Sens!$M$3265</f>
        <v>304.726551439822</v>
      </c>
      <c r="N3361" s="38" t="n">
        <f aca="false">Sens!$N$3265</f>
        <v>76.86</v>
      </c>
      <c r="O3361" s="38" t="n">
        <f aca="false">Sens!$O$3265</f>
        <v>95.302</v>
      </c>
    </row>
    <row r="3362" customFormat="false" ht="15" hidden="false" customHeight="false" outlineLevel="0" collapsed="false">
      <c r="A3362" s="0" t="s">
        <v>529</v>
      </c>
      <c r="B3362" s="0" t="s">
        <v>86</v>
      </c>
      <c r="C3362" s="38" t="n">
        <f aca="false">Sens!$C$3267</f>
        <v>56.214</v>
      </c>
      <c r="D3362" s="38" t="n">
        <f aca="false">Sens!$D$3267</f>
        <v>68.635</v>
      </c>
      <c r="E3362" s="38" t="n">
        <f aca="false">Sens!$E$3267</f>
        <v>37.052</v>
      </c>
      <c r="F3362" s="38" t="n">
        <f aca="false">Sens!$F$3267</f>
        <v>46.1572219944148</v>
      </c>
      <c r="G3362" s="38" t="n">
        <f aca="false">Sens!$G$3267</f>
        <v>83.2092219944148</v>
      </c>
      <c r="H3362" s="38" t="n">
        <f aca="false">Sens!$H$3267</f>
        <v>99.8969223878976</v>
      </c>
      <c r="I3362" s="38" t="n">
        <f aca="false">Sens!$I$3267</f>
        <v>116.583111095496</v>
      </c>
      <c r="J3362" s="38" t="n">
        <f aca="false">Sens!$J$3267</f>
        <v>132.148941941952</v>
      </c>
      <c r="K3362" s="38" t="n">
        <f aca="false">Sens!$K$3267</f>
        <v>145.363836136147</v>
      </c>
      <c r="L3362" s="38" t="n">
        <f aca="false">Sens!$L$3267</f>
        <v>159.900219749762</v>
      </c>
      <c r="M3362" s="38" t="n">
        <f aca="false">Sens!$M$3267</f>
        <v>175.890241724738</v>
      </c>
      <c r="N3362" s="38" t="n">
        <f aca="false">Sens!$N$3267</f>
        <v>29.615</v>
      </c>
      <c r="O3362" s="38" t="n">
        <f aca="false">Sens!$O$3267</f>
        <v>39.02</v>
      </c>
    </row>
    <row r="3363" customFormat="false" ht="15" hidden="false" customHeight="false" outlineLevel="0" collapsed="false">
      <c r="A3363" s="0" t="s">
        <v>530</v>
      </c>
      <c r="B3363" s="0" t="s">
        <v>86</v>
      </c>
      <c r="C3363" s="38" t="n">
        <f aca="false">Sens!$C$3269</f>
        <v>44.374</v>
      </c>
      <c r="D3363" s="38" t="n">
        <f aca="false">Sens!$D$3269</f>
        <v>49.619</v>
      </c>
      <c r="E3363" s="38" t="n">
        <f aca="false">Sens!$E$3269</f>
        <v>27.157</v>
      </c>
      <c r="F3363" s="38" t="n">
        <f aca="false">Sens!$F$3269</f>
        <v>27.7764165988154</v>
      </c>
      <c r="G3363" s="38" t="n">
        <f aca="false">Sens!$G$3269</f>
        <v>54.9334165988154</v>
      </c>
      <c r="H3363" s="38" t="n">
        <f aca="false">Sens!$H$3269</f>
        <v>61.1564112561829</v>
      </c>
      <c r="I3363" s="38" t="n">
        <f aca="false">Sens!$I$3269</f>
        <v>67.2020282103945</v>
      </c>
      <c r="J3363" s="38" t="n">
        <f aca="false">Sens!$J$3269</f>
        <v>72.8757274028885</v>
      </c>
      <c r="K3363" s="38" t="n">
        <f aca="false">Sens!$K$3269</f>
        <v>77.9770283210907</v>
      </c>
      <c r="L3363" s="38" t="n">
        <f aca="false">Sens!$L$3269</f>
        <v>83.4354203035671</v>
      </c>
      <c r="M3363" s="38" t="n">
        <f aca="false">Sens!$M$3269</f>
        <v>89.2758997248168</v>
      </c>
      <c r="N3363" s="38" t="n">
        <f aca="false">Sens!$N$3269</f>
        <v>23.923</v>
      </c>
      <c r="O3363" s="38" t="n">
        <f aca="false">Sens!$O$3269</f>
        <v>25.696</v>
      </c>
    </row>
    <row r="3364" customFormat="false" ht="15" hidden="false" customHeight="false" outlineLevel="0" collapsed="false">
      <c r="A3364" s="0" t="s">
        <v>531</v>
      </c>
      <c r="B3364" s="0" t="s">
        <v>86</v>
      </c>
      <c r="C3364" s="38" t="n">
        <f aca="false">Sens!$C$3271</f>
        <v>5.425</v>
      </c>
      <c r="D3364" s="38" t="n">
        <f aca="false">Sens!$D$3271</f>
        <v>5.935</v>
      </c>
      <c r="E3364" s="38" t="n">
        <f aca="false">Sens!$E$3271</f>
        <v>3.474</v>
      </c>
      <c r="F3364" s="38" t="n">
        <f aca="false">Sens!$F$3271</f>
        <v>3.22246550883619</v>
      </c>
      <c r="G3364" s="38" t="n">
        <f aca="false">Sens!$G$3271</f>
        <v>6.69646550883619</v>
      </c>
      <c r="H3364" s="38" t="n">
        <f aca="false">Sens!$H$3271</f>
        <v>7.16251344209196</v>
      </c>
      <c r="I3364" s="38" t="n">
        <f aca="false">Sens!$I$3271</f>
        <v>7.61421070299826</v>
      </c>
      <c r="J3364" s="38" t="n">
        <f aca="false">Sens!$J$3271</f>
        <v>8.04465753523932</v>
      </c>
      <c r="K3364" s="38" t="n">
        <f aca="false">Sens!$K$3271</f>
        <v>8.44689041200128</v>
      </c>
      <c r="L3364" s="38" t="n">
        <f aca="false">Sens!$L$3271</f>
        <v>8.86923493260135</v>
      </c>
      <c r="M3364" s="38" t="n">
        <f aca="false">Sens!$M$3271</f>
        <v>9.31269667923142</v>
      </c>
      <c r="N3364" s="38" t="n">
        <f aca="false">Sens!$N$3271</f>
        <v>2.811</v>
      </c>
      <c r="O3364" s="38" t="n">
        <f aca="false">Sens!$O$3271</f>
        <v>3.124</v>
      </c>
    </row>
    <row r="3365" customFormat="false" ht="17.15" hidden="false" customHeight="false" outlineLevel="0" collapsed="false">
      <c r="A3365" s="0" t="s">
        <v>728</v>
      </c>
      <c r="B3365" s="0" t="s">
        <v>86</v>
      </c>
      <c r="C3365" s="38" t="n">
        <f aca="false">Sens!$C$3346</f>
        <v>107.556</v>
      </c>
      <c r="D3365" s="38" t="n">
        <f aca="false">Sens!$D$3346</f>
        <v>128.725</v>
      </c>
      <c r="E3365" s="38" t="n">
        <f aca="false">Sens!$E$3346</f>
        <v>79.819</v>
      </c>
      <c r="F3365" s="38" t="n">
        <f aca="false">Sens!$F$3346</f>
        <v>86.7327334389669</v>
      </c>
      <c r="G3365" s="38" t="n">
        <f aca="false">Sens!$G$3346</f>
        <v>166.551733438967</v>
      </c>
      <c r="H3365" s="38" t="n">
        <f aca="false">Sens!$H$3346</f>
        <v>220.109883227838</v>
      </c>
      <c r="I3365" s="38" t="n">
        <f aca="false">Sens!$I$3346</f>
        <v>276.682902928912</v>
      </c>
      <c r="J3365" s="38" t="n">
        <f aca="false">Sens!$J$3346</f>
        <v>330.927299640281</v>
      </c>
      <c r="K3365" s="38" t="n">
        <f aca="false">Sens!$K$3346</f>
        <v>375.745107496632</v>
      </c>
      <c r="L3365" s="38" t="n">
        <f aca="false">Sens!$L$3346</f>
        <v>408.889938271522</v>
      </c>
      <c r="M3365" s="38" t="n">
        <f aca="false">Sens!$M$3346</f>
        <v>430.355369661447</v>
      </c>
      <c r="N3365" s="38" t="n">
        <f aca="false">Sens!$N$3346</f>
        <v>60.14</v>
      </c>
      <c r="O3365" s="38" t="n">
        <f aca="false">Sens!$O$3346</f>
        <v>68.585</v>
      </c>
    </row>
    <row r="3366" customFormat="false" ht="15" hidden="false" customHeight="false" outlineLevel="0" collapsed="false">
      <c r="A3366" s="1" t="s">
        <v>519</v>
      </c>
      <c r="B3366" s="8" t="s">
        <v>86</v>
      </c>
      <c r="C3366" s="38" t="n">
        <f aca="false">Sens!$C$3276</f>
        <v>387.497</v>
      </c>
      <c r="D3366" s="38" t="n">
        <f aca="false">Sens!$D$3276</f>
        <v>426.305</v>
      </c>
      <c r="E3366" s="38" t="n">
        <f aca="false">Sens!$E$3276</f>
        <v>220.32</v>
      </c>
      <c r="F3366" s="38" t="n">
        <f aca="false">Sens!$F$3276</f>
        <v>250.639773480586</v>
      </c>
      <c r="G3366" s="38" t="n">
        <f aca="false">Sens!$G$3276</f>
        <v>470.959773480586</v>
      </c>
      <c r="H3366" s="38" t="n">
        <f aca="false">Sens!$H$3276</f>
        <v>521.386990416437</v>
      </c>
      <c r="I3366" s="38" t="n">
        <f aca="false">Sens!$I$3276</f>
        <v>570.143862887555</v>
      </c>
      <c r="J3366" s="38" t="n">
        <f aca="false">Sens!$J$3276</f>
        <v>615.391435791933</v>
      </c>
      <c r="K3366" s="38" t="n">
        <f aca="false">Sens!$K$3276</f>
        <v>655.208227561543</v>
      </c>
      <c r="L3366" s="38" t="n">
        <f aca="false">Sens!$L$3276</f>
        <v>697.807739249767</v>
      </c>
      <c r="M3366" s="38" t="n">
        <f aca="false">Sens!$M$3276</f>
        <v>743.399328463592</v>
      </c>
      <c r="N3366" s="38" t="n">
        <f aca="false">Sens!$N$3276</f>
        <v>192.955</v>
      </c>
      <c r="O3366" s="38" t="n">
        <f aca="false">Sens!$O$3276</f>
        <v>233.35</v>
      </c>
    </row>
    <row r="3367" customFormat="false" ht="15" hidden="false" customHeight="false" outlineLevel="0" collapsed="false">
      <c r="A3367" s="1" t="s">
        <v>522</v>
      </c>
      <c r="B3367" s="8" t="s">
        <v>86</v>
      </c>
      <c r="C3367" s="38" t="n">
        <f aca="false">Sens!$C$3277</f>
        <v>142.906</v>
      </c>
      <c r="D3367" s="38" t="n">
        <f aca="false">Sens!$D$3277</f>
        <v>161.894</v>
      </c>
      <c r="E3367" s="38" t="n">
        <f aca="false">Sens!$E$3277</f>
        <v>81.986</v>
      </c>
      <c r="F3367" s="38" t="n">
        <f aca="false">Sens!$F$3277</f>
        <v>98.408468164951</v>
      </c>
      <c r="G3367" s="38" t="n">
        <f aca="false">Sens!$G$3277</f>
        <v>180.394468164951</v>
      </c>
      <c r="H3367" s="38" t="n">
        <f aca="false">Sens!$H$3277</f>
        <v>199.709899104949</v>
      </c>
      <c r="I3367" s="38" t="n">
        <f aca="false">Sens!$I$3277</f>
        <v>218.385528264976</v>
      </c>
      <c r="J3367" s="38" t="n">
        <f aca="false">Sens!$J$3277</f>
        <v>235.71696994951</v>
      </c>
      <c r="K3367" s="38" t="n">
        <f aca="false">Sens!$K$3277</f>
        <v>250.968227869545</v>
      </c>
      <c r="L3367" s="38" t="n">
        <f aca="false">Sens!$L$3277</f>
        <v>267.285367225822</v>
      </c>
      <c r="M3367" s="38" t="n">
        <f aca="false">Sens!$M$3277</f>
        <v>284.748579483295</v>
      </c>
      <c r="N3367" s="38" t="n">
        <f aca="false">Sens!$N$3277</f>
        <v>70.274</v>
      </c>
      <c r="O3367" s="38" t="n">
        <f aca="false">Sens!$O$3277</f>
        <v>91.62</v>
      </c>
    </row>
    <row r="3368" customFormat="false" ht="15" hidden="false" customHeight="false" outlineLevel="0" collapsed="false">
      <c r="A3368" s="1" t="s">
        <v>523</v>
      </c>
      <c r="B3368" s="8" t="s">
        <v>86</v>
      </c>
      <c r="C3368" s="38" t="n">
        <f aca="false">Sens!$C$3346</f>
        <v>107.556</v>
      </c>
      <c r="D3368" s="38" t="n">
        <f aca="false">Sens!$D$3346</f>
        <v>128.725</v>
      </c>
      <c r="E3368" s="38" t="n">
        <f aca="false">Sens!$E$3346</f>
        <v>79.819</v>
      </c>
      <c r="F3368" s="38" t="n">
        <f aca="false">Sens!$F$3346</f>
        <v>86.7327334389669</v>
      </c>
      <c r="G3368" s="38" t="n">
        <f aca="false">Sens!$G$3346</f>
        <v>166.551733438967</v>
      </c>
      <c r="H3368" s="38" t="n">
        <f aca="false">Sens!$H$3346</f>
        <v>220.109883227838</v>
      </c>
      <c r="I3368" s="38" t="n">
        <f aca="false">Sens!$I$3346</f>
        <v>276.682902928912</v>
      </c>
      <c r="J3368" s="38" t="n">
        <f aca="false">Sens!$J$3346</f>
        <v>330.927299640281</v>
      </c>
      <c r="K3368" s="38" t="n">
        <f aca="false">Sens!$K$3346</f>
        <v>375.745107496632</v>
      </c>
      <c r="L3368" s="38" t="n">
        <f aca="false">Sens!$L$3346</f>
        <v>408.889938271522</v>
      </c>
      <c r="M3368" s="38" t="n">
        <f aca="false">Sens!$M$3346</f>
        <v>430.355369661447</v>
      </c>
      <c r="N3368" s="38" t="n">
        <f aca="false">Sens!$N$3346</f>
        <v>60.14</v>
      </c>
      <c r="O3368" s="38" t="n">
        <f aca="false">Sens!$O$3346</f>
        <v>68.585</v>
      </c>
    </row>
    <row r="3369" customFormat="false" ht="17.15" hidden="false" customHeight="false" outlineLevel="0" collapsed="false">
      <c r="A3369" s="0" t="s">
        <v>702</v>
      </c>
      <c r="B3369" s="0" t="s">
        <v>86</v>
      </c>
      <c r="C3369" s="38" t="n">
        <f aca="false">Sens!$C$3344</f>
        <v>2.32100535697364</v>
      </c>
      <c r="D3369" s="38" t="n">
        <f aca="false">Sens!$D$3344</f>
        <v>8.70377008865116</v>
      </c>
      <c r="E3369" s="38" t="n">
        <f aca="false">Sens!$E$3344</f>
        <v>8.51035297557002</v>
      </c>
      <c r="F3369" s="38" t="n">
        <f aca="false">Sens!$F$3344</f>
        <v>14.9634336447205</v>
      </c>
      <c r="G3369" s="38" t="n">
        <f aca="false">Sens!$G$3344</f>
        <v>23.4737866202905</v>
      </c>
      <c r="H3369" s="38" t="n">
        <f aca="false">Sens!$H$3344</f>
        <v>60.1658907497746</v>
      </c>
      <c r="I3369" s="38" t="n">
        <f aca="false">Sens!$I$3344</f>
        <v>101.503699136432</v>
      </c>
      <c r="J3369" s="38" t="n">
        <f aca="false">Sens!$J$3344</f>
        <v>143.025407151278</v>
      </c>
      <c r="K3369" s="38" t="n">
        <f aca="false">Sens!$K$3344</f>
        <v>178.44812038318</v>
      </c>
      <c r="L3369" s="38" t="n">
        <f aca="false">Sens!$L$3344</f>
        <v>201.728101802396</v>
      </c>
      <c r="M3369" s="38" t="n">
        <f aca="false">Sens!$M$3344</f>
        <v>212.835441368865</v>
      </c>
      <c r="N3369" s="38" t="n">
        <f aca="false">Sens!$N$3344</f>
        <v>3.04631953102791</v>
      </c>
      <c r="O3369" s="38" t="n">
        <f aca="false">Sens!$O$3344</f>
        <v>5.65745055762326</v>
      </c>
    </row>
    <row r="3370" customFormat="false" ht="17.15" hidden="false" customHeight="false" outlineLevel="0" collapsed="false">
      <c r="A3370" s="0" t="s">
        <v>704</v>
      </c>
      <c r="B3370" s="0" t="s">
        <v>86</v>
      </c>
      <c r="C3370" s="38" t="n">
        <f aca="false">Sens!$C$3345</f>
        <v>105.234994643026</v>
      </c>
      <c r="D3370" s="38" t="n">
        <f aca="false">Sens!$D$3345</f>
        <v>120.021229911349</v>
      </c>
      <c r="E3370" s="38" t="n">
        <f aca="false">Sens!$E$3345</f>
        <v>71.30864702443</v>
      </c>
      <c r="F3370" s="38" t="n">
        <f aca="false">Sens!$F$3345</f>
        <v>71.7692997942464</v>
      </c>
      <c r="G3370" s="38" t="n">
        <f aca="false">Sens!$G$3345</f>
        <v>143.077946818676</v>
      </c>
      <c r="H3370" s="38" t="n">
        <f aca="false">Sens!$H$3345</f>
        <v>159.943992478063</v>
      </c>
      <c r="I3370" s="38" t="n">
        <f aca="false">Sens!$I$3345</f>
        <v>175.17920379248</v>
      </c>
      <c r="J3370" s="38" t="n">
        <f aca="false">Sens!$J$3345</f>
        <v>187.901892489002</v>
      </c>
      <c r="K3370" s="38" t="n">
        <f aca="false">Sens!$K$3345</f>
        <v>197.296987113453</v>
      </c>
      <c r="L3370" s="38" t="n">
        <f aca="false">Sens!$L$3345</f>
        <v>207.161836469125</v>
      </c>
      <c r="M3370" s="38" t="n">
        <f aca="false">Sens!$M$3345</f>
        <v>217.519928292582</v>
      </c>
      <c r="N3370" s="38" t="n">
        <f aca="false">Sens!$N$3345</f>
        <v>57.0936804689721</v>
      </c>
      <c r="O3370" s="38" t="n">
        <f aca="false">Sens!$O$3345</f>
        <v>62.9275494423768</v>
      </c>
    </row>
    <row r="3371" customFormat="false" ht="15" hidden="false" customHeight="false" outlineLevel="0" collapsed="false">
      <c r="A3371" s="3" t="s">
        <v>524</v>
      </c>
      <c r="B3371" s="8" t="s">
        <v>86</v>
      </c>
      <c r="C3371" s="38" t="n">
        <f aca="false">Sens!$C$3347</f>
        <v>637.959</v>
      </c>
      <c r="D3371" s="38" t="n">
        <f aca="false">Sens!$D$3347</f>
        <v>716.924</v>
      </c>
      <c r="E3371" s="38" t="n">
        <f aca="false">Sens!$E$3347</f>
        <v>382.125</v>
      </c>
      <c r="F3371" s="38" t="n">
        <f aca="false">Sens!$F$3347</f>
        <v>435.780975084504</v>
      </c>
      <c r="G3371" s="38" t="n">
        <f aca="false">Sens!$G$3347</f>
        <v>817.905975084504</v>
      </c>
      <c r="H3371" s="38" t="n">
        <f aca="false">Sens!$H$3347</f>
        <v>941.206772749224</v>
      </c>
      <c r="I3371" s="38" t="n">
        <f aca="false">Sens!$I$3347</f>
        <v>1065.21229408144</v>
      </c>
      <c r="J3371" s="38" t="n">
        <f aca="false">Sens!$J$3347</f>
        <v>1182.03570538172</v>
      </c>
      <c r="K3371" s="38" t="n">
        <f aca="false">Sens!$K$3347</f>
        <v>1281.92156292772</v>
      </c>
      <c r="L3371" s="38" t="n">
        <f aca="false">Sens!$L$3347</f>
        <v>1373.98304474711</v>
      </c>
      <c r="M3371" s="38" t="n">
        <f aca="false">Sens!$M$3347</f>
        <v>1458.50327760833</v>
      </c>
      <c r="N3371" s="38" t="n">
        <f aca="false">Sens!$N$3347</f>
        <v>323.369</v>
      </c>
      <c r="O3371" s="38" t="n">
        <f aca="false">Sens!$O$3347</f>
        <v>393.555</v>
      </c>
    </row>
    <row r="3372" customFormat="false" ht="17.15" hidden="false" customHeight="false" outlineLevel="0" collapsed="false">
      <c r="A3372" s="24" t="s">
        <v>714</v>
      </c>
      <c r="B3372" s="25" t="s">
        <v>86</v>
      </c>
      <c r="C3372" s="41" t="n">
        <f aca="false">Sens!$C$3359+Sens!$C$3360+Sens!$C$3361+Sens!$C$3362+Sens!$C$3363+Sens!$C$3364-(Sens!$C$3366+Sens!$C$3367)</f>
        <v>0</v>
      </c>
      <c r="D3372" s="41" t="n">
        <f aca="false">Sens!$D$3359+Sens!$D$3360+Sens!$D$3361+Sens!$D$3362+Sens!$D$3363+Sens!$D$3364-(Sens!$D$3366+Sens!$D$3367)</f>
        <v>0</v>
      </c>
      <c r="E3372" s="41" t="n">
        <f aca="false">Sens!$E$3359+Sens!$E$3360+Sens!$E$3361+Sens!$E$3362+Sens!$E$3363+Sens!$E$3364-(Sens!$E$3366+Sens!$E$3367)</f>
        <v>0</v>
      </c>
      <c r="F3372" s="41" t="n">
        <f aca="false">Sens!$F$3359+Sens!$F$3360+Sens!$F$3361+Sens!$F$3362+Sens!$F$3363+Sens!$F$3364-(Sens!$F$3366+Sens!$F$3367)</f>
        <v>0</v>
      </c>
      <c r="G3372" s="41" t="n">
        <f aca="false">Sens!$G$3359+Sens!$G$3360+Sens!$G$3361+Sens!$G$3362+Sens!$G$3363+Sens!$G$3364-(Sens!$G$3366+Sens!$G$3367)</f>
        <v>0</v>
      </c>
      <c r="H3372" s="41" t="n">
        <f aca="false">Sens!$H$3359+Sens!$H$3360+Sens!$H$3361+Sens!$H$3362+Sens!$H$3363+Sens!$H$3364-(Sens!$H$3366+Sens!$H$3367)</f>
        <v>0</v>
      </c>
      <c r="I3372" s="41" t="n">
        <f aca="false">Sens!$I$3359+Sens!$I$3360+Sens!$I$3361+Sens!$I$3362+Sens!$I$3363+Sens!$I$3364-(Sens!$I$3366+Sens!$I$3367)</f>
        <v>0</v>
      </c>
      <c r="J3372" s="41" t="n">
        <f aca="false">Sens!$J$3359+Sens!$J$3360+Sens!$J$3361+Sens!$J$3362+Sens!$J$3363+Sens!$J$3364-(Sens!$J$3366+Sens!$J$3367)</f>
        <v>0</v>
      </c>
      <c r="K3372" s="41" t="n">
        <f aca="false">Sens!$K$3359+Sens!$K$3360+Sens!$K$3361+Sens!$K$3362+Sens!$K$3363+Sens!$K$3364-(Sens!$K$3366+Sens!$K$3367)</f>
        <v>0</v>
      </c>
      <c r="L3372" s="41" t="n">
        <f aca="false">Sens!$L$3359+Sens!$L$3360+Sens!$L$3361+Sens!$L$3362+Sens!$L$3363+Sens!$L$3364-(Sens!$L$3366+Sens!$L$3367)</f>
        <v>0</v>
      </c>
      <c r="M3372" s="41" t="n">
        <f aca="false">Sens!$M$3359+Sens!$M$3360+Sens!$M$3361+Sens!$M$3362+Sens!$M$3363+Sens!$M$3364-(Sens!$M$3366+Sens!$M$3367)</f>
        <v>0</v>
      </c>
      <c r="N3372" s="41" t="n">
        <f aca="false">Sens!$N$3359+Sens!$N$3360+Sens!$N$3361+Sens!$N$3362+Sens!$N$3363+Sens!$N$3364-(Sens!$N$3366+Sens!$N$3367)</f>
        <v>0</v>
      </c>
      <c r="O3372" s="41" t="n">
        <f aca="false">Sens!$O$3359+Sens!$O$3360+Sens!$O$3361+Sens!$O$3362+Sens!$O$3363+Sens!$O$3364-(Sens!$O$3366+Sens!$O$3367)</f>
        <v>0</v>
      </c>
    </row>
    <row r="3373" customFormat="false" ht="17.15" hidden="false" customHeight="false" outlineLevel="0" collapsed="false">
      <c r="A3373" s="24" t="s">
        <v>715</v>
      </c>
      <c r="B3373" s="25" t="s">
        <v>86</v>
      </c>
      <c r="C3373" s="41" t="n">
        <f aca="false">Sens!$C$3369+Sens!$C$3370-Sens!$C$3368</f>
        <v>0</v>
      </c>
      <c r="D3373" s="41" t="n">
        <f aca="false">Sens!$D$3369+Sens!$D$3370-Sens!$D$3368</f>
        <v>0</v>
      </c>
      <c r="E3373" s="41" t="n">
        <f aca="false">Sens!$E$3369+Sens!$E$3370-Sens!$E$3368</f>
        <v>0</v>
      </c>
      <c r="F3373" s="41" t="n">
        <f aca="false">Sens!$F$3369+Sens!$F$3370-Sens!$F$3368</f>
        <v>0</v>
      </c>
      <c r="G3373" s="41" t="n">
        <f aca="false">Sens!$G$3369+Sens!$G$3370-Sens!$G$3368</f>
        <v>0</v>
      </c>
      <c r="H3373" s="41" t="n">
        <f aca="false">Sens!$H$3369+Sens!$H$3370-Sens!$H$3368</f>
        <v>0</v>
      </c>
      <c r="I3373" s="41" t="n">
        <f aca="false">Sens!$I$3369+Sens!$I$3370-Sens!$I$3368</f>
        <v>0</v>
      </c>
      <c r="J3373" s="41" t="n">
        <f aca="false">Sens!$J$3369+Sens!$J$3370-Sens!$J$3368</f>
        <v>0</v>
      </c>
      <c r="K3373" s="41" t="n">
        <f aca="false">Sens!$K$3369+Sens!$K$3370-Sens!$K$3368</f>
        <v>0</v>
      </c>
      <c r="L3373" s="41" t="n">
        <f aca="false">Sens!$L$3369+Sens!$L$3370-Sens!$L$3368</f>
        <v>0</v>
      </c>
      <c r="M3373" s="41" t="n">
        <f aca="false">Sens!$M$3369+Sens!$M$3370-Sens!$M$3368</f>
        <v>0</v>
      </c>
      <c r="N3373" s="41" t="n">
        <f aca="false">Sens!$N$3369+Sens!$N$3370-Sens!$N$3368</f>
        <v>0</v>
      </c>
      <c r="O3373" s="41" t="n">
        <f aca="false">Sens!$O$3369+Sens!$O$3370-Sens!$O$3368</f>
        <v>0</v>
      </c>
    </row>
    <row r="3374" customFormat="false" ht="17.15" hidden="false" customHeight="false" outlineLevel="0" collapsed="false">
      <c r="A3374" s="24" t="s">
        <v>774</v>
      </c>
      <c r="B3374" s="25" t="s">
        <v>86</v>
      </c>
      <c r="C3374" s="41" t="n">
        <f aca="false">Sens!$C$3359+Sens!$C$3360+Sens!$C$3361+Sens!$C$3362+Sens!$C$3363+Sens!$C$3364+Sens!$C$3365-Sens!$C$3371</f>
        <v>0</v>
      </c>
      <c r="D3374" s="41" t="n">
        <f aca="false">Sens!$D$3359+Sens!$D$3360+Sens!$D$3361+Sens!$D$3362+Sens!$D$3363+Sens!$D$3364+Sens!$D$3365-Sens!$D$3371</f>
        <v>0</v>
      </c>
      <c r="E3374" s="41" t="n">
        <f aca="false">Sens!$E$3359+Sens!$E$3360+Sens!$E$3361+Sens!$E$3362+Sens!$E$3363+Sens!$E$3364+Sens!$E$3365-Sens!$E$3371</f>
        <v>0</v>
      </c>
      <c r="F3374" s="41" t="n">
        <f aca="false">Sens!$F$3359+Sens!$F$3360+Sens!$F$3361+Sens!$F$3362+Sens!$F$3363+Sens!$F$3364+Sens!$F$3365-Sens!$F$3371</f>
        <v>0</v>
      </c>
      <c r="G3374" s="41" t="n">
        <f aca="false">Sens!$G$3359+Sens!$G$3360+Sens!$G$3361+Sens!$G$3362+Sens!$G$3363+Sens!$G$3364+Sens!$G$3365-Sens!$G$3371</f>
        <v>0</v>
      </c>
      <c r="H3374" s="41" t="n">
        <f aca="false">Sens!$H$3359+Sens!$H$3360+Sens!$H$3361+Sens!$H$3362+Sens!$H$3363+Sens!$H$3364+Sens!$H$3365-Sens!$H$3371</f>
        <v>0</v>
      </c>
      <c r="I3374" s="41" t="n">
        <f aca="false">Sens!$I$3359+Sens!$I$3360+Sens!$I$3361+Sens!$I$3362+Sens!$I$3363+Sens!$I$3364+Sens!$I$3365-Sens!$I$3371</f>
        <v>0</v>
      </c>
      <c r="J3374" s="41" t="n">
        <f aca="false">Sens!$J$3359+Sens!$J$3360+Sens!$J$3361+Sens!$J$3362+Sens!$J$3363+Sens!$J$3364+Sens!$J$3365-Sens!$J$3371</f>
        <v>0</v>
      </c>
      <c r="K3374" s="41" t="n">
        <f aca="false">Sens!$K$3359+Sens!$K$3360+Sens!$K$3361+Sens!$K$3362+Sens!$K$3363+Sens!$K$3364+Sens!$K$3365-Sens!$K$3371</f>
        <v>0</v>
      </c>
      <c r="L3374" s="41" t="n">
        <f aca="false">Sens!$L$3359+Sens!$L$3360+Sens!$L$3361+Sens!$L$3362+Sens!$L$3363+Sens!$L$3364+Sens!$L$3365-Sens!$L$3371</f>
        <v>0</v>
      </c>
      <c r="M3374" s="41" t="n">
        <f aca="false">Sens!$M$3359+Sens!$M$3360+Sens!$M$3361+Sens!$M$3362+Sens!$M$3363+Sens!$M$3364+Sens!$M$3365-Sens!$M$3371</f>
        <v>0</v>
      </c>
      <c r="N3374" s="41" t="n">
        <f aca="false">Sens!$N$3359+Sens!$N$3360+Sens!$N$3361+Sens!$N$3362+Sens!$N$3363+Sens!$N$3364+Sens!$N$3365-Sens!$N$3371</f>
        <v>0</v>
      </c>
      <c r="O3374" s="41" t="n">
        <f aca="false">Sens!$O$3359+Sens!$O$3360+Sens!$O$3361+Sens!$O$3362+Sens!$O$3363+Sens!$O$3364+Sens!$O$3365-Sens!$O$3371</f>
        <v>0</v>
      </c>
    </row>
    <row r="3375" customFormat="false" ht="17.15" hidden="false" customHeight="false" outlineLevel="0" collapsed="false">
      <c r="A3375" s="24" t="s">
        <v>716</v>
      </c>
      <c r="B3375" s="25" t="s">
        <v>86</v>
      </c>
      <c r="C3375" s="41" t="n">
        <f aca="false">Sens!$C$3366+Sens!$C$3367+Sens!$C$3368-Sens!$C$3371</f>
        <v>0</v>
      </c>
      <c r="D3375" s="41" t="n">
        <f aca="false">Sens!$D$3366+Sens!$D$3367+Sens!$D$3368-Sens!$D$3371</f>
        <v>0</v>
      </c>
      <c r="E3375" s="41" t="n">
        <f aca="false">Sens!$E$3366+Sens!$E$3367+Sens!$E$3368-Sens!$E$3371</f>
        <v>0</v>
      </c>
      <c r="F3375" s="41" t="n">
        <f aca="false">Sens!$F$3366+Sens!$F$3367+Sens!$F$3368-Sens!$F$3371</f>
        <v>0</v>
      </c>
      <c r="G3375" s="41" t="n">
        <f aca="false">Sens!$G$3366+Sens!$G$3367+Sens!$G$3368-Sens!$G$3371</f>
        <v>0</v>
      </c>
      <c r="H3375" s="41" t="n">
        <f aca="false">Sens!$H$3366+Sens!$H$3367+Sens!$H$3368-Sens!$H$3371</f>
        <v>0</v>
      </c>
      <c r="I3375" s="41" t="n">
        <f aca="false">Sens!$I$3366+Sens!$I$3367+Sens!$I$3368-Sens!$I$3371</f>
        <v>0</v>
      </c>
      <c r="J3375" s="41" t="n">
        <f aca="false">Sens!$J$3366+Sens!$J$3367+Sens!$J$3368-Sens!$J$3371</f>
        <v>0</v>
      </c>
      <c r="K3375" s="41" t="n">
        <f aca="false">Sens!$K$3366+Sens!$K$3367+Sens!$K$3368-Sens!$K$3371</f>
        <v>0</v>
      </c>
      <c r="L3375" s="41" t="n">
        <f aca="false">Sens!$L$3366+Sens!$L$3367+Sens!$L$3368-Sens!$L$3371</f>
        <v>0</v>
      </c>
      <c r="M3375" s="41" t="n">
        <f aca="false">Sens!$M$3366+Sens!$M$3367+Sens!$M$3368-Sens!$M$3371</f>
        <v>0</v>
      </c>
      <c r="N3375" s="41" t="n">
        <f aca="false">Sens!$N$3366+Sens!$N$3367+Sens!$N$3368-Sens!$N$3371</f>
        <v>0</v>
      </c>
      <c r="O3375" s="41" t="n">
        <f aca="false">Sens!$O$3366+Sens!$O$3367+Sens!$O$3368-Sens!$O$3371</f>
        <v>0</v>
      </c>
    </row>
    <row r="3376" customFormat="false" ht="17.15" hidden="false" customHeight="false" outlineLevel="0" collapsed="false">
      <c r="A3376" s="1" t="s">
        <v>730</v>
      </c>
    </row>
    <row r="3377" customFormat="false" ht="17.15" hidden="false" customHeight="false" outlineLevel="0" collapsed="false">
      <c r="A3377" s="0" t="s">
        <v>731</v>
      </c>
      <c r="B3377" s="0" t="s">
        <v>86</v>
      </c>
      <c r="C3377" s="38" t="n">
        <f aca="false">Sens!$C$3278*m_ad</f>
        <v>20.5341564414228</v>
      </c>
      <c r="D3377" s="38" t="n">
        <f aca="false">Sens!$D$3278*m_ad</f>
        <v>24.8720617299587</v>
      </c>
      <c r="E3377" s="38" t="n">
        <f aca="false">Sens!$E$3278*m_ad</f>
        <v>13.5017112462207</v>
      </c>
      <c r="F3377" s="38" t="n">
        <f aca="false">Sens!$F$3278*m_ad</f>
        <v>16.5719724165257</v>
      </c>
      <c r="G3377" s="38" t="n">
        <f aca="false">Sens!$G$3278*m_ad</f>
        <v>30.0820919220415</v>
      </c>
      <c r="H3377" s="38" t="n">
        <f aca="false">Sens!$H$3278*m_ad</f>
        <v>36.1150883276314</v>
      </c>
      <c r="I3377" s="38" t="n">
        <f aca="false">Sens!$I$3278*m_ad</f>
        <v>42.1475382231996</v>
      </c>
      <c r="J3377" s="38" t="n">
        <f aca="false">Sens!$J$3278*m_ad</f>
        <v>47.7749523864693</v>
      </c>
      <c r="K3377" s="38" t="n">
        <f aca="false">Sens!$K$3278*m_ad</f>
        <v>52.5524476251162</v>
      </c>
      <c r="L3377" s="38" t="n">
        <f aca="false">Sens!$L$3278*m_ad</f>
        <v>57.8076923876279</v>
      </c>
      <c r="M3377" s="38" t="n">
        <f aca="false">Sens!$M$3278*m_ad</f>
        <v>63.5884616263907</v>
      </c>
      <c r="N3377" s="38" t="n">
        <f aca="false">Sens!$N$3278*m_ad</f>
        <v>10.8543555706248</v>
      </c>
      <c r="O3377" s="38" t="n">
        <f aca="false">Sens!$O$3278*m_ad</f>
        <v>14.0094731821399</v>
      </c>
    </row>
    <row r="3378" customFormat="false" ht="17.15" hidden="false" customHeight="false" outlineLevel="0" collapsed="false">
      <c r="A3378" s="0" t="s">
        <v>732</v>
      </c>
      <c r="B3378" s="0" t="s">
        <v>86</v>
      </c>
      <c r="C3378" s="38" t="n">
        <f aca="false">Sens!$C$3276-Sens!$C$3278</f>
        <v>346.428687117154</v>
      </c>
      <c r="D3378" s="38" t="n">
        <f aca="false">Sens!$D$3276-Sens!$D$3278</f>
        <v>376.560876540083</v>
      </c>
      <c r="E3378" s="38" t="n">
        <f aca="false">Sens!$E$3276-Sens!$E$3278</f>
        <v>193.316577507559</v>
      </c>
      <c r="F3378" s="38" t="n">
        <f aca="false">Sens!$F$3276-Sens!$F$3278</f>
        <v>217.495828647535</v>
      </c>
      <c r="G3378" s="38" t="n">
        <f aca="false">Sens!$G$3276-Sens!$G$3278</f>
        <v>410.795589636503</v>
      </c>
      <c r="H3378" s="38" t="n">
        <f aca="false">Sens!$H$3276-Sens!$H$3278</f>
        <v>449.156813761174</v>
      </c>
      <c r="I3378" s="38" t="n">
        <f aca="false">Sens!$I$3276-Sens!$I$3278</f>
        <v>485.848786441156</v>
      </c>
      <c r="J3378" s="38" t="n">
        <f aca="false">Sens!$J$3276-Sens!$J$3278</f>
        <v>519.841531018994</v>
      </c>
      <c r="K3378" s="38" t="n">
        <f aca="false">Sens!$K$3276-Sens!$K$3278</f>
        <v>550.103332311311</v>
      </c>
      <c r="L3378" s="38" t="n">
        <f aca="false">Sens!$L$3276-Sens!$L$3278</f>
        <v>582.192354474511</v>
      </c>
      <c r="M3378" s="38" t="n">
        <f aca="false">Sens!$M$3276-Sens!$M$3278</f>
        <v>616.22240521081</v>
      </c>
      <c r="N3378" s="38" t="n">
        <f aca="false">Sens!$N$3276-Sens!$N$3278</f>
        <v>171.24628885875</v>
      </c>
      <c r="O3378" s="38" t="n">
        <f aca="false">Sens!$O$3276-Sens!$O$3278</f>
        <v>205.33105363572</v>
      </c>
    </row>
    <row r="3379" customFormat="false" ht="17.15" hidden="false" customHeight="false" outlineLevel="0" collapsed="false">
      <c r="A3379" s="0" t="s">
        <v>733</v>
      </c>
      <c r="B3379" s="0" t="s">
        <v>86</v>
      </c>
      <c r="C3379" s="38" t="n">
        <f aca="false">Sens!$C$3330*Sens!$C$3275</f>
        <v>0.123617442257179</v>
      </c>
      <c r="D3379" s="38" t="n">
        <f aca="false">Sens!$D$3330*Sens!$D$3275</f>
        <v>0.600198046024689</v>
      </c>
      <c r="E3379" s="38" t="n">
        <f aca="false">Sens!$E$3330*Sens!$E$3275</f>
        <v>1.10840000750276</v>
      </c>
      <c r="F3379" s="38" t="n">
        <f aca="false">Sens!$F$3330*Sens!$F$3275</f>
        <v>1.33595298721025</v>
      </c>
      <c r="G3379" s="38" t="n">
        <f aca="false">Sens!$G$3330*Sens!$G$3275</f>
        <v>2.44487335052545</v>
      </c>
      <c r="H3379" s="38" t="n">
        <f aca="false">Sens!$H$3330*Sens!$H$3275</f>
        <v>6.63132711939388</v>
      </c>
      <c r="I3379" s="38" t="n">
        <f aca="false">Sens!$I$3330*Sens!$I$3275</f>
        <v>12.7486799258504</v>
      </c>
      <c r="J3379" s="38" t="n">
        <f aca="false">Sens!$J$3330*Sens!$J$3275</f>
        <v>18.4074045299415</v>
      </c>
      <c r="K3379" s="38" t="n">
        <f aca="false">Sens!$K$3330*Sens!$K$3275</f>
        <v>23.9455472348705</v>
      </c>
      <c r="L3379" s="38" t="n">
        <f aca="false">Sens!$L$3330*Sens!$L$3275</f>
        <v>27.78179156216</v>
      </c>
      <c r="M3379" s="38" t="n">
        <f aca="false">Sens!$M$3330*Sens!$M$3275</f>
        <v>29.9029027327362</v>
      </c>
      <c r="N3379" s="38" t="n">
        <f aca="false">Sens!$N$3330*Sens!$N$3275</f>
        <v>0.25053229484398</v>
      </c>
      <c r="O3379" s="38" t="n">
        <f aca="false">Sens!$O$3330*Sens!$O$3275</f>
        <v>0.349234376756897</v>
      </c>
    </row>
    <row r="3380" customFormat="false" ht="17.15" hidden="false" customHeight="false" outlineLevel="0" collapsed="false">
      <c r="A3380" s="0" t="s">
        <v>734</v>
      </c>
      <c r="B3380" s="0" t="s">
        <v>52</v>
      </c>
      <c r="C3380" s="28" t="n">
        <f aca="false">(Sens!$C$3381-Sens!$C$3377+Sens!$C$3379)/Sens!$C$3378</f>
        <v>0.0131526665379575</v>
      </c>
      <c r="D3380" s="28" t="n">
        <f aca="false">(Sens!$D$3381-Sens!$D$3377+Sens!$D$3379)/Sens!$D$3378</f>
        <v>0.0141999252954702</v>
      </c>
      <c r="E3380" s="28" t="n">
        <f aca="false">(Sens!$E$3381-Sens!$E$3377+Sens!$E$3379)/Sens!$E$3378</f>
        <v>0.0258471819939326</v>
      </c>
      <c r="F3380" s="28" t="n">
        <f aca="false">Sens!$O$3380+(Sens!$E$3380-Sens!$N$3380)</f>
        <v>0.0224302350712874</v>
      </c>
      <c r="G3380" s="28" t="n">
        <f aca="false">(Sens!$G$3381-Sens!$G$3377+Sens!$G$3379)/Sens!$G$3378</f>
        <v>0.0240199351461372</v>
      </c>
      <c r="H3380" s="28" t="n">
        <f aca="false">Sens!$G$3380+step_na</f>
        <v>0.0270199351461372</v>
      </c>
      <c r="I3380" s="28" t="n">
        <f aca="false">Sens!$H$3380+step_na</f>
        <v>0.0300199351461372</v>
      </c>
      <c r="J3380" s="28" t="n">
        <f aca="false">Sens!$I$3380+step_na</f>
        <v>0.0330199351461372</v>
      </c>
      <c r="K3380" s="28" t="n">
        <f aca="false">Sens!$J$3380+step_na</f>
        <v>0.0360199351461372</v>
      </c>
      <c r="L3380" s="28" t="n">
        <f aca="false">Sens!$K$3380</f>
        <v>0.0360199351461372</v>
      </c>
      <c r="M3380" s="28" t="n">
        <f aca="false">Sens!$L$3380</f>
        <v>0.0360199351461372</v>
      </c>
      <c r="N3380" s="28" t="n">
        <f aca="false">(Sens!$N$3381-Sens!$N$3377+Sens!$N$3379)/Sens!$N$3378</f>
        <v>0.0160831323269779</v>
      </c>
      <c r="O3380" s="28" t="n">
        <f aca="false">(Sens!$O$3381-Sens!$O$3377+Sens!$O$3379)/Sens!$O$3378</f>
        <v>0.0126661854043327</v>
      </c>
      <c r="P3380" s="8" t="s">
        <v>735</v>
      </c>
    </row>
    <row r="3381" customFormat="false" ht="17.15" hidden="false" customHeight="false" outlineLevel="0" collapsed="false">
      <c r="A3381" s="1" t="s">
        <v>736</v>
      </c>
      <c r="B3381" s="8" t="s">
        <v>86</v>
      </c>
      <c r="C3381" s="38" t="n">
        <f aca="false">Q!$D$22</f>
        <v>24.967</v>
      </c>
      <c r="D3381" s="38" t="n">
        <f aca="false">Q!$E$22</f>
        <v>29.619</v>
      </c>
      <c r="E3381" s="38" t="n">
        <f aca="false">Q!$P$22</f>
        <v>17.39</v>
      </c>
      <c r="F3381" s="38" t="n">
        <f aca="false">Sens!$F$3377+Sens!$F$3378*Sens!$F$3380-Sens!$F$3379</f>
        <v>20.1145019929041</v>
      </c>
      <c r="G3381" s="38" t="n">
        <f aca="false">Sens!$E$3381+Sens!$F$3381</f>
        <v>37.5045019929041</v>
      </c>
      <c r="H3381" s="38" t="n">
        <f aca="false">Sens!$H$3377+Sens!$H$3378*Sens!$H$3380-Sens!$H$3379</f>
        <v>41.6199491865101</v>
      </c>
      <c r="I3381" s="38" t="n">
        <f aca="false">Sens!$I$3377+Sens!$I$3378*Sens!$I$3380-Sens!$I$3379</f>
        <v>43.9840073571422</v>
      </c>
      <c r="J3381" s="38" t="n">
        <f aca="false">Sens!$J$3377+Sens!$J$3378*Sens!$J$3380-Sens!$J$3379</f>
        <v>46.5326814970436</v>
      </c>
      <c r="K3381" s="38" t="n">
        <f aca="false">Sens!$K$3377+Sens!$K$3378*Sens!$K$3380-Sens!$K$3379</f>
        <v>48.4215867437731</v>
      </c>
      <c r="L3381" s="38" t="n">
        <f aca="false">Sens!$L$3377+Sens!$L$3378*Sens!$L$3380-Sens!$L$3379</f>
        <v>50.9964316762167</v>
      </c>
      <c r="M3381" s="38" t="n">
        <f aca="false">Sens!$M$3377+Sens!$M$3378*Sens!$M$3380-Sens!$M$3379</f>
        <v>55.8818499649445</v>
      </c>
      <c r="N3381" s="38" t="n">
        <f aca="false">Q!$N$22</f>
        <v>13.358</v>
      </c>
      <c r="O3381" s="38" t="n">
        <f aca="false">Q!$O$22</f>
        <v>16.261</v>
      </c>
    </row>
    <row r="3382" customFormat="false" ht="17.15" hidden="false" customHeight="false" outlineLevel="0" collapsed="false">
      <c r="A3382" s="0" t="s">
        <v>737</v>
      </c>
      <c r="B3382" s="0" t="s">
        <v>86</v>
      </c>
      <c r="C3382" s="38" t="n">
        <f aca="false">Sens!$C$3279*m_ad</f>
        <v>7.57284355857716</v>
      </c>
      <c r="D3382" s="38" t="n">
        <f aca="false">Sens!$D$3279*m_ad</f>
        <v>9.44543827004127</v>
      </c>
      <c r="E3382" s="38" t="n">
        <f aca="false">Sens!$E$3279*m_ad</f>
        <v>5.02428875377928</v>
      </c>
      <c r="F3382" s="38" t="n">
        <f aca="false">Sens!$F$3279*m_ad</f>
        <v>6.50663858068173</v>
      </c>
      <c r="G3382" s="38" t="n">
        <f aca="false">Sens!$G$3279*m_ad</f>
        <v>11.5225190751659</v>
      </c>
      <c r="H3382" s="38" t="n">
        <f aca="false">Sens!$H$3279*m_ad</f>
        <v>13.8333728663174</v>
      </c>
      <c r="I3382" s="38" t="n">
        <f aca="false">Sens!$I$3279*m_ad</f>
        <v>16.1440173245485</v>
      </c>
      <c r="J3382" s="38" t="n">
        <f aca="false">Sens!$J$3279*m_ad</f>
        <v>18.2995185845066</v>
      </c>
      <c r="K3382" s="38" t="n">
        <f aca="false">Sens!$K$3279*m_ad</f>
        <v>20.1294704429572</v>
      </c>
      <c r="L3382" s="38" t="n">
        <f aca="false">Sens!$L$3279*m_ad</f>
        <v>22.142417487253</v>
      </c>
      <c r="M3382" s="38" t="n">
        <f aca="false">Sens!$M$3279*m_ad</f>
        <v>24.3566592359783</v>
      </c>
      <c r="N3382" s="38" t="n">
        <f aca="false">Sens!$N$3279*m_ad</f>
        <v>3.95314442937518</v>
      </c>
      <c r="O3382" s="38" t="n">
        <f aca="false">Sens!$O$3279*m_ad</f>
        <v>5.50052681786011</v>
      </c>
    </row>
    <row r="3383" customFormat="false" ht="17.15" hidden="false" customHeight="false" outlineLevel="0" collapsed="false">
      <c r="A3383" s="0" t="s">
        <v>738</v>
      </c>
      <c r="B3383" s="0" t="s">
        <v>86</v>
      </c>
      <c r="C3383" s="38" t="n">
        <f aca="false">Sens!$C$3277-Sens!$C$3279</f>
        <v>127.760312882846</v>
      </c>
      <c r="D3383" s="38" t="n">
        <f aca="false">Sens!$D$3277-Sens!$D$3279</f>
        <v>143.003123459917</v>
      </c>
      <c r="E3383" s="38" t="n">
        <f aca="false">Sens!$E$3277-Sens!$E$3279</f>
        <v>71.9374224924414</v>
      </c>
      <c r="F3383" s="38" t="n">
        <f aca="false">Sens!$F$3277-Sens!$F$3279</f>
        <v>85.3951910035875</v>
      </c>
      <c r="G3383" s="38" t="n">
        <f aca="false">Sens!$G$3277-Sens!$G$3279</f>
        <v>157.349430014619</v>
      </c>
      <c r="H3383" s="38" t="n">
        <f aca="false">Sens!$H$3277-Sens!$H$3279</f>
        <v>172.043153372315</v>
      </c>
      <c r="I3383" s="38" t="n">
        <f aca="false">Sens!$I$3277-Sens!$I$3279</f>
        <v>186.097493615879</v>
      </c>
      <c r="J3383" s="38" t="n">
        <f aca="false">Sens!$J$3277-Sens!$J$3279</f>
        <v>199.117932780497</v>
      </c>
      <c r="K3383" s="38" t="n">
        <f aca="false">Sens!$K$3277-Sens!$K$3279</f>
        <v>210.70928698363</v>
      </c>
      <c r="L3383" s="38" t="n">
        <f aca="false">Sens!$L$3277-Sens!$L$3279</f>
        <v>223.000532251316</v>
      </c>
      <c r="M3383" s="38" t="n">
        <f aca="false">Sens!$M$3277-Sens!$M$3279</f>
        <v>236.035261011339</v>
      </c>
      <c r="N3383" s="38" t="n">
        <f aca="false">Sens!$N$3277-Sens!$N$3279</f>
        <v>62.3677111412496</v>
      </c>
      <c r="O3383" s="38" t="n">
        <f aca="false">Sens!$O$3277-Sens!$O$3279</f>
        <v>80.6189463642798</v>
      </c>
    </row>
    <row r="3384" customFormat="false" ht="17.15" hidden="false" customHeight="false" outlineLevel="0" collapsed="false">
      <c r="A3384" s="0" t="s">
        <v>739</v>
      </c>
      <c r="B3384" s="0" t="s">
        <v>86</v>
      </c>
      <c r="C3384" s="38" t="n">
        <f aca="false">Sens!$C$3330*(1-Sens!$C$3275)</f>
        <v>0.0455891896019953</v>
      </c>
      <c r="D3384" s="38" t="n">
        <f aca="false">Sens!$D$3330*(1-Sens!$D$3275)</f>
        <v>0.227931791705753</v>
      </c>
      <c r="E3384" s="38" t="n">
        <f aca="false">Sens!$E$3330*(1-Sens!$E$3275)</f>
        <v>0.412460434890711</v>
      </c>
      <c r="F3384" s="38" t="n">
        <f aca="false">Sens!$F$3330*(1-Sens!$F$3275)</f>
        <v>0.524534016233997</v>
      </c>
      <c r="G3384" s="38" t="n">
        <f aca="false">Sens!$G$3330*(1-Sens!$G$3275)</f>
        <v>0.936474095312266</v>
      </c>
      <c r="H3384" s="38" t="n">
        <f aca="false">Sens!$H$3330*(1-Sens!$H$3275)</f>
        <v>2.54003589327823</v>
      </c>
      <c r="I3384" s="38" t="n">
        <f aca="false">Sens!$I$3330*(1-Sens!$I$3275)</f>
        <v>4.88320120852905</v>
      </c>
      <c r="J3384" s="38" t="n">
        <f aca="false">Sens!$J$3330*(1-Sens!$J$3275)</f>
        <v>7.05069548920359</v>
      </c>
      <c r="K3384" s="38" t="n">
        <f aca="false">Sens!$K$3330*(1-Sens!$K$3275)</f>
        <v>9.17200258193867</v>
      </c>
      <c r="L3384" s="38" t="n">
        <f aca="false">Sens!$L$3330*(1-Sens!$L$3275)</f>
        <v>10.6414216154535</v>
      </c>
      <c r="M3384" s="38" t="n">
        <f aca="false">Sens!$M$3330*(1-Sens!$M$3275)</f>
        <v>11.4538831951485</v>
      </c>
      <c r="N3384" s="38" t="n">
        <f aca="false">Sens!$N$3330*(1-Sens!$N$3275)</f>
        <v>0.0912435878202994</v>
      </c>
      <c r="O3384" s="38" t="n">
        <f aca="false">Sens!$O$3330*(1-Sens!$O$3275)</f>
        <v>0.137119578309265</v>
      </c>
    </row>
    <row r="3385" customFormat="false" ht="17.15" hidden="false" customHeight="false" outlineLevel="0" collapsed="false">
      <c r="A3385" s="0" t="s">
        <v>740</v>
      </c>
      <c r="B3385" s="0" t="s">
        <v>52</v>
      </c>
      <c r="C3385" s="28" t="n">
        <f aca="false">(Sens!$C$3386-Sens!$C$3382+Sens!$C$3384)/Sens!$C$3383</f>
        <v>-0.0292364215826579</v>
      </c>
      <c r="D3385" s="28" t="n">
        <f aca="false">(Sens!$D$3386-Sens!$D$3382+Sens!$D$3384)/Sens!$D$3383</f>
        <v>-0.0312406216748665</v>
      </c>
      <c r="E3385" s="28" t="n">
        <f aca="false">(Sens!$E$3386-Sens!$E$3382+Sens!$E$3384)/Sens!$E$3383</f>
        <v>-0.0204459413185552</v>
      </c>
      <c r="F3385" s="28" t="n">
        <f aca="false">Sens!$O$3385+(Sens!$E$3385-Sens!$N$3385)</f>
        <v>-0.0375409290246314</v>
      </c>
      <c r="G3385" s="28" t="n">
        <f aca="false">(Sens!$G$3386-Sens!$G$3382+Sens!$G$3384)/Sens!$G$3383</f>
        <v>-0.0296712560031684</v>
      </c>
      <c r="H3385" s="28" t="n">
        <f aca="false">Sens!$G$3385+step_in</f>
        <v>-0.0296712560031684</v>
      </c>
      <c r="I3385" s="28" t="n">
        <f aca="false">Sens!$H$3385+step_in</f>
        <v>-0.0296712560031684</v>
      </c>
      <c r="J3385" s="28" t="n">
        <f aca="false">Sens!$I$3385+step_in</f>
        <v>-0.0296712560031684</v>
      </c>
      <c r="K3385" s="28" t="n">
        <f aca="false">Sens!$J$3385+step_in</f>
        <v>-0.0296712560031684</v>
      </c>
      <c r="L3385" s="28" t="n">
        <f aca="false">Sens!$K$3385</f>
        <v>-0.0296712560031684</v>
      </c>
      <c r="M3385" s="28" t="n">
        <f aca="false">Sens!$L$3385</f>
        <v>-0.0296712560031684</v>
      </c>
      <c r="N3385" s="28" t="n">
        <f aca="false">(Sens!$N$3386-Sens!$N$3382+Sens!$N$3384)/Sens!$N$3383</f>
        <v>-0.0216602600421776</v>
      </c>
      <c r="O3385" s="28" t="n">
        <f aca="false">(Sens!$O$3386-Sens!$O$3382+Sens!$O$3384)/Sens!$O$3383</f>
        <v>-0.0387552477482538</v>
      </c>
      <c r="P3385" s="8" t="s">
        <v>735</v>
      </c>
    </row>
    <row r="3386" customFormat="false" ht="17.15" hidden="false" customHeight="false" outlineLevel="0" collapsed="false">
      <c r="A3386" s="1" t="s">
        <v>741</v>
      </c>
      <c r="B3386" s="8" t="s">
        <v>86</v>
      </c>
      <c r="C3386" s="38" t="n">
        <f aca="false">Q!$D$23</f>
        <v>3.792</v>
      </c>
      <c r="D3386" s="38" t="n">
        <f aca="false">Q!$E$23</f>
        <v>4.75</v>
      </c>
      <c r="E3386" s="38" t="n">
        <f aca="false">Q!$P$23</f>
        <v>3.141</v>
      </c>
      <c r="F3386" s="38" t="n">
        <f aca="false">Sens!$F$3382+Sens!$F$3383*Sens!$F$3385-Sens!$F$3384</f>
        <v>2.77628975993721</v>
      </c>
      <c r="G3386" s="38" t="n">
        <f aca="false">Sens!$E$3386+Sens!$F$3386</f>
        <v>5.91728975993721</v>
      </c>
      <c r="H3386" s="38" t="n">
        <f aca="false">Sens!$H$3382+Sens!$H$3383*Sens!$H$3385-Sens!$H$3384</f>
        <v>6.18860052573681</v>
      </c>
      <c r="I3386" s="38" t="n">
        <f aca="false">Sens!$I$3382+Sens!$I$3383*Sens!$I$3385-Sens!$I$3384</f>
        <v>5.73906974139474</v>
      </c>
      <c r="J3386" s="38" t="n">
        <f aca="false">Sens!$J$3382+Sens!$J$3383*Sens!$J$3385-Sens!$J$3384</f>
        <v>5.34074393695119</v>
      </c>
      <c r="K3386" s="38" t="n">
        <f aca="false">Sens!$K$3382+Sens!$K$3383*Sens!$K$3385-Sens!$K$3384</f>
        <v>4.7054586646822</v>
      </c>
      <c r="L3386" s="38" t="n">
        <f aca="false">Sens!$L$3382+Sens!$L$3383*Sens!$L$3385-Sens!$L$3384</f>
        <v>4.88428999052786</v>
      </c>
      <c r="M3386" s="38" t="n">
        <f aca="false">Sens!$M$3382+Sens!$M$3383*Sens!$M$3385-Sens!$M$3384</f>
        <v>5.89931338558769</v>
      </c>
      <c r="N3386" s="38" t="n">
        <f aca="false">Q!$N$23</f>
        <v>2.511</v>
      </c>
      <c r="O3386" s="38" t="n">
        <f aca="false">Q!$O$23</f>
        <v>2.239</v>
      </c>
    </row>
    <row r="3387" customFormat="false" ht="17.15" hidden="false" customHeight="false" outlineLevel="0" collapsed="false">
      <c r="A3387" s="0" t="s">
        <v>742</v>
      </c>
      <c r="B3387" s="0" t="s">
        <v>86</v>
      </c>
      <c r="C3387" s="38" t="n">
        <f aca="false">Sens!$C$3327</f>
        <v>1.64417882953695</v>
      </c>
      <c r="D3387" s="38" t="n">
        <f aca="false">Sens!$D$3327</f>
        <v>5.39125073772939</v>
      </c>
      <c r="E3387" s="38" t="n">
        <f aca="false">Sens!$E$3327</f>
        <v>2.42691120599613</v>
      </c>
      <c r="F3387" s="38" t="n">
        <f aca="false">Sens!$F$3327</f>
        <v>7.52148563094346</v>
      </c>
      <c r="G3387" s="38" t="n">
        <f aca="false">Sens!$G$3327</f>
        <v>9.94839683693959</v>
      </c>
      <c r="H3387" s="38" t="n">
        <f aca="false">Sens!$H$3327</f>
        <v>23.4804386990861</v>
      </c>
      <c r="I3387" s="38" t="n">
        <f aca="false">Sens!$I$3327</f>
        <v>30.9761745989143</v>
      </c>
      <c r="J3387" s="38" t="n">
        <f aca="false">Sens!$J$3327</f>
        <v>41.1930070746977</v>
      </c>
      <c r="K3387" s="38" t="n">
        <f aca="false">Sens!$K$3327</f>
        <v>45.9779211159428</v>
      </c>
      <c r="L3387" s="38" t="n">
        <f aca="false">Sens!$L$3327</f>
        <v>48.0352490919424</v>
      </c>
      <c r="M3387" s="38" t="n">
        <f aca="false">Sens!$M$3327</f>
        <v>47.4082976573265</v>
      </c>
      <c r="N3387" s="38" t="n">
        <f aca="false">Sens!$N$3327</f>
        <v>1.67921600037079</v>
      </c>
      <c r="O3387" s="38" t="n">
        <f aca="false">Sens!$O$3327</f>
        <v>3.71203473735861</v>
      </c>
    </row>
    <row r="3388" customFormat="false" ht="17.15" hidden="false" customHeight="false" outlineLevel="0" collapsed="false">
      <c r="A3388" s="0" t="s">
        <v>660</v>
      </c>
      <c r="B3388" s="0" t="s">
        <v>86</v>
      </c>
      <c r="C3388" s="38" t="n">
        <f aca="false">Sens!$C$3332</f>
        <v>38.1898211704631</v>
      </c>
      <c r="D3388" s="38" t="n">
        <f aca="false">Sens!$D$3332</f>
        <v>40.2147492622706</v>
      </c>
      <c r="E3388" s="38" t="n">
        <f aca="false">Sens!$E$3332</f>
        <v>28.3550887940039</v>
      </c>
      <c r="F3388" s="38" t="n">
        <f aca="false">Sens!$F$3332</f>
        <v>25.9529793149447</v>
      </c>
      <c r="G3388" s="38" t="n">
        <f aca="false">Sens!$G$3332</f>
        <v>54.3080681089486</v>
      </c>
      <c r="H3388" s="38" t="n">
        <f aca="false">Sens!$H$3332</f>
        <v>57.8384231173121</v>
      </c>
      <c r="I3388" s="38" t="n">
        <f aca="false">Sens!$I$3332</f>
        <v>63.3477303731365</v>
      </c>
      <c r="J3388" s="38" t="n">
        <f aca="false">Sens!$J$3332</f>
        <v>67.9484674225147</v>
      </c>
      <c r="K3388" s="38" t="n">
        <f aca="false">Sens!$K$3332</f>
        <v>71.3458907936405</v>
      </c>
      <c r="L3388" s="38" t="n">
        <f aca="false">Sens!$L$3332</f>
        <v>74.9131853333225</v>
      </c>
      <c r="M3388" s="38" t="n">
        <f aca="false">Sens!$M$3332</f>
        <v>78.6588445999886</v>
      </c>
      <c r="N3388" s="38" t="n">
        <f aca="false">Sens!$N$3332</f>
        <v>20.0277839996292</v>
      </c>
      <c r="O3388" s="38" t="n">
        <f aca="false">Sens!$O$3332</f>
        <v>20.1869652626414</v>
      </c>
    </row>
    <row r="3389" customFormat="false" ht="17.15" hidden="false" customHeight="false" outlineLevel="0" collapsed="false">
      <c r="A3389" s="1" t="s">
        <v>743</v>
      </c>
      <c r="B3389" s="8" t="s">
        <v>86</v>
      </c>
      <c r="C3389" s="38" t="n">
        <f aca="false">Q!$D$24</f>
        <v>39.834</v>
      </c>
      <c r="D3389" s="38" t="n">
        <f aca="false">Q!$E$24</f>
        <v>45.606</v>
      </c>
      <c r="E3389" s="38" t="n">
        <f aca="false">Q!$P$24</f>
        <v>30.782</v>
      </c>
      <c r="F3389" s="38" t="n">
        <f aca="false">Sens!$F$3387+Sens!$F$3388</f>
        <v>33.4744649458882</v>
      </c>
      <c r="G3389" s="38" t="n">
        <f aca="false">Sens!$G$3387+Sens!$G$3388</f>
        <v>64.2564649458882</v>
      </c>
      <c r="H3389" s="38" t="n">
        <f aca="false">Sens!$H$3387+Sens!$H$3388</f>
        <v>81.3188618163982</v>
      </c>
      <c r="I3389" s="38" t="n">
        <f aca="false">Sens!$I$3387+Sens!$I$3388</f>
        <v>94.3239049720508</v>
      </c>
      <c r="J3389" s="38" t="n">
        <f aca="false">Sens!$J$3387+Sens!$J$3388</f>
        <v>109.141474497212</v>
      </c>
      <c r="K3389" s="38" t="n">
        <f aca="false">Sens!$K$3387+Sens!$K$3388</f>
        <v>117.323811909583</v>
      </c>
      <c r="L3389" s="38" t="n">
        <f aca="false">Sens!$L$3387+Sens!$L$3388</f>
        <v>122.948434425265</v>
      </c>
      <c r="M3389" s="38" t="n">
        <f aca="false">Sens!$M$3387+Sens!$M$3388</f>
        <v>126.067142257315</v>
      </c>
      <c r="N3389" s="38" t="n">
        <f aca="false">Q!$N$24</f>
        <v>21.707</v>
      </c>
      <c r="O3389" s="38" t="n">
        <f aca="false">Q!$O$24</f>
        <v>23.899</v>
      </c>
    </row>
    <row r="3390" customFormat="false" ht="17.15" hidden="false" customHeight="false" outlineLevel="0" collapsed="false">
      <c r="A3390" s="5" t="s">
        <v>744</v>
      </c>
      <c r="B3390" s="0" t="s">
        <v>86</v>
      </c>
      <c r="C3390" s="38" t="n">
        <f aca="false">Q!$D$26</f>
        <v>0</v>
      </c>
      <c r="D3390" s="38" t="n">
        <f aca="false">Q!$E$26</f>
        <v>0</v>
      </c>
      <c r="E3390" s="38" t="n">
        <f aca="false">Q!$P$26</f>
        <v>0</v>
      </c>
      <c r="F3390" s="39" t="n">
        <v>0</v>
      </c>
      <c r="G3390" s="38" t="n">
        <f aca="false">Sens!$E$3390+Sens!$F$3390</f>
        <v>0</v>
      </c>
      <c r="H3390" s="39" t="n">
        <v>0</v>
      </c>
      <c r="I3390" s="39" t="n">
        <v>0</v>
      </c>
      <c r="J3390" s="39" t="n">
        <v>0</v>
      </c>
      <c r="K3390" s="39" t="n">
        <v>0</v>
      </c>
      <c r="L3390" s="39" t="n">
        <v>0</v>
      </c>
      <c r="M3390" s="39" t="n">
        <v>0</v>
      </c>
      <c r="N3390" s="38" t="n">
        <f aca="false">Q!$N$26</f>
        <v>0</v>
      </c>
      <c r="O3390" s="38" t="n">
        <f aca="false">Q!$O$26</f>
        <v>0</v>
      </c>
    </row>
    <row r="3391" customFormat="false" ht="15" hidden="false" customHeight="false" outlineLevel="0" collapsed="false">
      <c r="A3391" s="3" t="s">
        <v>541</v>
      </c>
      <c r="B3391" s="8" t="s">
        <v>86</v>
      </c>
      <c r="C3391" s="38" t="n">
        <f aca="false">Q!$D$25</f>
        <v>68.593</v>
      </c>
      <c r="D3391" s="38" t="n">
        <f aca="false">Q!$E$25</f>
        <v>79.975</v>
      </c>
      <c r="E3391" s="38" t="n">
        <f aca="false">Q!$P$25</f>
        <v>51.313</v>
      </c>
      <c r="F3391" s="38" t="n">
        <f aca="false">Sens!$F$3381+Sens!$F$3386+Sens!$F$3389+Sens!$F$3390</f>
        <v>56.3652566987294</v>
      </c>
      <c r="G3391" s="38" t="n">
        <f aca="false">Sens!$G$3381+Sens!$G$3386+Sens!$G$3389+Sens!$G$3390</f>
        <v>107.678256698729</v>
      </c>
      <c r="H3391" s="38" t="n">
        <f aca="false">Sens!$H$3381+Sens!$H$3386+Sens!$H$3389+Sens!$H$3390</f>
        <v>129.127411528645</v>
      </c>
      <c r="I3391" s="38" t="n">
        <f aca="false">Sens!$I$3381+Sens!$I$3386+Sens!$I$3389+Sens!$I$3390</f>
        <v>144.046982070588</v>
      </c>
      <c r="J3391" s="38" t="n">
        <f aca="false">Sens!$J$3381+Sens!$J$3386+Sens!$J$3389+Sens!$J$3390</f>
        <v>161.014899931207</v>
      </c>
      <c r="K3391" s="38" t="n">
        <f aca="false">Sens!$K$3381+Sens!$K$3386+Sens!$K$3389+Sens!$K$3390</f>
        <v>170.450857318039</v>
      </c>
      <c r="L3391" s="38" t="n">
        <f aca="false">Sens!$L$3381+Sens!$L$3386+Sens!$L$3389+Sens!$L$3390</f>
        <v>178.829156092009</v>
      </c>
      <c r="M3391" s="38" t="n">
        <f aca="false">Sens!$M$3381+Sens!$M$3386+Sens!$M$3389+Sens!$M$3390</f>
        <v>187.848305607847</v>
      </c>
      <c r="N3391" s="38" t="n">
        <f aca="false">Q!$N$25</f>
        <v>37.576</v>
      </c>
      <c r="O3391" s="38" t="n">
        <f aca="false">Q!$O$25</f>
        <v>42.399</v>
      </c>
    </row>
    <row r="3392" customFormat="false" ht="17.15" hidden="false" customHeight="false" outlineLevel="0" collapsed="false">
      <c r="A3392" s="24" t="s">
        <v>775</v>
      </c>
      <c r="B3392" s="25" t="s">
        <v>86</v>
      </c>
      <c r="C3392" s="41" t="n">
        <f aca="false">Sens!$C$3381+Sens!$C$3386+Sens!$C$3389+Sens!$C$3390-Sens!$C$3391</f>
        <v>0</v>
      </c>
      <c r="D3392" s="41" t="n">
        <f aca="false">Sens!$D$3381+Sens!$D$3386+Sens!$D$3389+Sens!$D$3390-Sens!$D$3391</f>
        <v>0</v>
      </c>
      <c r="E3392" s="41" t="n">
        <f aca="false">Sens!$E$3381+Sens!$E$3386+Sens!$E$3389+Sens!$E$3390-Sens!$E$3391</f>
        <v>0</v>
      </c>
      <c r="F3392" s="41" t="n">
        <f aca="false">Sens!$F$3381+Sens!$F$3386+Sens!$F$3389+Sens!$F$3390-Sens!$F$3391</f>
        <v>0</v>
      </c>
      <c r="G3392" s="41" t="n">
        <f aca="false">Sens!$G$3381+Sens!$G$3386+Sens!$G$3389+Sens!$G$3390-Sens!$G$3391</f>
        <v>0</v>
      </c>
      <c r="H3392" s="41" t="n">
        <f aca="false">Sens!$H$3381+Sens!$H$3386+Sens!$H$3389+Sens!$H$3390-Sens!$H$3391</f>
        <v>0</v>
      </c>
      <c r="I3392" s="41" t="n">
        <f aca="false">Sens!$I$3381+Sens!$I$3386+Sens!$I$3389+Sens!$I$3390-Sens!$I$3391</f>
        <v>0</v>
      </c>
      <c r="J3392" s="41" t="n">
        <f aca="false">Sens!$J$3381+Sens!$J$3386+Sens!$J$3389+Sens!$J$3390-Sens!$J$3391</f>
        <v>0</v>
      </c>
      <c r="K3392" s="41" t="n">
        <f aca="false">Sens!$K$3381+Sens!$K$3386+Sens!$K$3389+Sens!$K$3390-Sens!$K$3391</f>
        <v>0</v>
      </c>
      <c r="L3392" s="41" t="n">
        <f aca="false">Sens!$L$3381+Sens!$L$3386+Sens!$L$3389+Sens!$L$3390-Sens!$L$3391</f>
        <v>0</v>
      </c>
      <c r="M3392" s="41" t="n">
        <f aca="false">Sens!$M$3381+Sens!$M$3386+Sens!$M$3389+Sens!$M$3390-Sens!$M$3391</f>
        <v>0</v>
      </c>
      <c r="N3392" s="41" t="n">
        <f aca="false">Sens!$N$3381+Sens!$N$3386+Sens!$N$3389+Sens!$N$3390-Sens!$N$3391</f>
        <v>0</v>
      </c>
      <c r="O3392" s="41" t="n">
        <f aca="false">Sens!$O$3381+Sens!$O$3386+Sens!$O$3389+Sens!$O$3390-Sens!$O$3391</f>
        <v>0</v>
      </c>
    </row>
    <row r="3393" customFormat="false" ht="17.15" hidden="false" customHeight="false" outlineLevel="0" collapsed="false">
      <c r="A3393" s="5" t="s">
        <v>746</v>
      </c>
      <c r="B3393" s="0" t="s">
        <v>86</v>
      </c>
      <c r="C3393" s="38" t="n">
        <f aca="false">Sens!$C$3329</f>
        <v>0</v>
      </c>
      <c r="D3393" s="38" t="n">
        <f aca="false">Sens!$D$3329</f>
        <v>0</v>
      </c>
      <c r="E3393" s="38" t="n">
        <f aca="false">Sens!$E$3329</f>
        <v>0</v>
      </c>
      <c r="F3393" s="38" t="n">
        <f aca="false">Sens!$F$3329</f>
        <v>3.77122048175818</v>
      </c>
      <c r="G3393" s="38" t="n">
        <f aca="false">Sens!$G$3329</f>
        <v>3.77122048175818</v>
      </c>
      <c r="H3393" s="38" t="n">
        <f aca="false">Sens!$H$3329</f>
        <v>15.1635543609893</v>
      </c>
      <c r="I3393" s="38" t="n">
        <f aca="false">Sens!$I$3329</f>
        <v>25.5818843619889</v>
      </c>
      <c r="J3393" s="38" t="n">
        <f aca="false">Sens!$J$3329</f>
        <v>36.0465624179122</v>
      </c>
      <c r="K3393" s="38" t="n">
        <f aca="false">Sens!$K$3329</f>
        <v>44.9741164026038</v>
      </c>
      <c r="L3393" s="38" t="n">
        <f aca="false">Sens!$L$3329</f>
        <v>50.8413488057813</v>
      </c>
      <c r="M3393" s="38" t="n">
        <f aca="false">Sens!$M$3329</f>
        <v>53.6407214274315</v>
      </c>
      <c r="N3393" s="38" t="n">
        <f aca="false">Sens!$N$3329</f>
        <v>0</v>
      </c>
      <c r="O3393" s="38" t="n">
        <f aca="false">Sens!$O$3329</f>
        <v>0</v>
      </c>
      <c r="P3393" s="5" t="s">
        <v>747</v>
      </c>
    </row>
    <row r="3394" customFormat="false" ht="17.15" hidden="false" customHeight="false" outlineLevel="0" collapsed="false">
      <c r="A3394" s="5" t="s">
        <v>748</v>
      </c>
      <c r="B3394" s="0" t="s">
        <v>86</v>
      </c>
      <c r="C3394" s="38" t="n">
        <f aca="false">Sens!$C$3391+Sens!$C$3393</f>
        <v>68.593</v>
      </c>
      <c r="D3394" s="38" t="n">
        <f aca="false">Sens!$D$3391+Sens!$D$3393</f>
        <v>79.975</v>
      </c>
      <c r="E3394" s="38" t="n">
        <f aca="false">Sens!$E$3391+Sens!$E$3393</f>
        <v>51.313</v>
      </c>
      <c r="F3394" s="38" t="n">
        <f aca="false">Sens!$F$3391+Sens!$F$3393</f>
        <v>60.1364771804876</v>
      </c>
      <c r="G3394" s="38" t="n">
        <f aca="false">Sens!$G$3391+Sens!$G$3393</f>
        <v>111.449477180488</v>
      </c>
      <c r="H3394" s="38" t="n">
        <f aca="false">Sens!$H$3391+Sens!$H$3393</f>
        <v>144.290965889634</v>
      </c>
      <c r="I3394" s="38" t="n">
        <f aca="false">Sens!$I$3391+Sens!$I$3393</f>
        <v>169.628866432577</v>
      </c>
      <c r="J3394" s="38" t="n">
        <f aca="false">Sens!$J$3391+Sens!$J$3393</f>
        <v>197.061462349119</v>
      </c>
      <c r="K3394" s="38" t="n">
        <f aca="false">Sens!$K$3391+Sens!$K$3393</f>
        <v>215.424973720642</v>
      </c>
      <c r="L3394" s="38" t="n">
        <f aca="false">Sens!$L$3391+Sens!$L$3393</f>
        <v>229.670504897791</v>
      </c>
      <c r="M3394" s="38" t="n">
        <f aca="false">Sens!$M$3391+Sens!$M$3393</f>
        <v>241.489027035279</v>
      </c>
      <c r="N3394" s="38" t="n">
        <f aca="false">Sens!$N$3391+Sens!$N$3393</f>
        <v>37.576</v>
      </c>
      <c r="O3394" s="38" t="n">
        <f aca="false">Sens!$O$3391+Sens!$O$3393</f>
        <v>42.399</v>
      </c>
    </row>
    <row r="3395" customFormat="false" ht="17.15" hidden="false" customHeight="false" outlineLevel="0" collapsed="false">
      <c r="A3395" s="0" t="s">
        <v>749</v>
      </c>
      <c r="B3395" s="0" t="s">
        <v>52</v>
      </c>
      <c r="C3395" s="13" t="n">
        <f aca="false">Sens!$C$3381/Sens!$C$3366</f>
        <v>0.0644314665661928</v>
      </c>
      <c r="D3395" s="13" t="n">
        <f aca="false">Sens!$D$3381/Sens!$D$3366</f>
        <v>0.0694784250712518</v>
      </c>
      <c r="E3395" s="13" t="n">
        <f aca="false">Sens!$E$3381/Sens!$E$3366</f>
        <v>0.0789306463326071</v>
      </c>
      <c r="F3395" s="13" t="n">
        <f aca="false">Sens!$F$3381/Sens!$F$3366</f>
        <v>0.0802526339438384</v>
      </c>
      <c r="G3395" s="13" t="n">
        <f aca="false">Sens!$G$3381/Sens!$G$3366</f>
        <v>0.0796341940538369</v>
      </c>
      <c r="H3395" s="13" t="n">
        <f aca="false">Sens!$H$3381/Sens!$H$3366</f>
        <v>0.0798254462645258</v>
      </c>
      <c r="I3395" s="13" t="n">
        <f aca="false">Sens!$I$3381/Sens!$I$3366</f>
        <v>0.0771454543672196</v>
      </c>
      <c r="J3395" s="13" t="n">
        <f aca="false">Sens!$J$3381/Sens!$J$3366</f>
        <v>0.0756147693819656</v>
      </c>
      <c r="K3395" s="13" t="n">
        <f aca="false">Sens!$K$3381/Sens!$K$3366</f>
        <v>0.0739025926520816</v>
      </c>
      <c r="L3395" s="13" t="n">
        <f aca="false">Sens!$L$3381/Sens!$L$3366</f>
        <v>0.0730809201558074</v>
      </c>
      <c r="M3395" s="13" t="n">
        <f aca="false">Sens!$M$3381/Sens!$M$3366</f>
        <v>0.0751707027775199</v>
      </c>
      <c r="N3395" s="13" t="n">
        <f aca="false">Sens!$N$3381/Sens!$N$3366</f>
        <v>0.069228576611127</v>
      </c>
      <c r="O3395" s="13" t="n">
        <f aca="false">Sens!$O$3381/Sens!$O$3366</f>
        <v>0.069685022498393</v>
      </c>
    </row>
    <row r="3396" customFormat="false" ht="17.15" hidden="false" customHeight="false" outlineLevel="0" collapsed="false">
      <c r="A3396" s="0" t="s">
        <v>750</v>
      </c>
      <c r="B3396" s="0" t="s">
        <v>52</v>
      </c>
      <c r="C3396" s="13" t="n">
        <f aca="false">Sens!$C$3386/Sens!$C$3367</f>
        <v>0.026534925055631</v>
      </c>
      <c r="D3396" s="13" t="n">
        <f aca="false">Sens!$D$3386/Sens!$D$3367</f>
        <v>0.0293401855535103</v>
      </c>
      <c r="E3396" s="13" t="n">
        <f aca="false">Sens!$E$3386/Sens!$E$3367</f>
        <v>0.03831141902276</v>
      </c>
      <c r="F3396" s="13" t="n">
        <f aca="false">Sens!$F$3386/Sens!$F$3367</f>
        <v>0.0282118989524726</v>
      </c>
      <c r="G3396" s="13" t="n">
        <f aca="false">Sens!$G$3386/Sens!$G$3367</f>
        <v>0.0328019468674976</v>
      </c>
      <c r="H3396" s="13" t="n">
        <f aca="false">Sens!$H$3386/Sens!$H$3367</f>
        <v>0.0309879507899839</v>
      </c>
      <c r="I3396" s="13" t="n">
        <f aca="false">Sens!$I$3386/Sens!$I$3367</f>
        <v>0.0262795332043765</v>
      </c>
      <c r="J3396" s="13" t="n">
        <f aca="false">Sens!$J$3386/Sens!$J$3367</f>
        <v>0.0226574435353346</v>
      </c>
      <c r="K3396" s="13" t="n">
        <f aca="false">Sens!$K$3386/Sens!$K$3367</f>
        <v>0.0187492205871101</v>
      </c>
      <c r="L3396" s="13" t="n">
        <f aca="false">Sens!$L$3386/Sens!$L$3367</f>
        <v>0.018273690180732</v>
      </c>
      <c r="M3396" s="13" t="n">
        <f aca="false">Sens!$M$3386/Sens!$M$3367</f>
        <v>0.0207176218272716</v>
      </c>
      <c r="N3396" s="13" t="n">
        <f aca="false">Sens!$N$3386/Sens!$N$3367</f>
        <v>0.0357315650169337</v>
      </c>
      <c r="O3396" s="13" t="n">
        <f aca="false">Sens!$O$3386/Sens!$O$3367</f>
        <v>0.0244378956559703</v>
      </c>
    </row>
    <row r="3397" customFormat="false" ht="17.15" hidden="false" customHeight="false" outlineLevel="0" collapsed="false">
      <c r="A3397" s="14" t="s">
        <v>751</v>
      </c>
      <c r="B3397" s="14" t="s">
        <v>52</v>
      </c>
      <c r="C3397" s="17" t="n">
        <f aca="false">Sens!$C$3389/Sens!$C$3368</f>
        <v>0.370355907620217</v>
      </c>
      <c r="D3397" s="17" t="n">
        <f aca="false">Sens!$D$3389/Sens!$D$3368</f>
        <v>0.35429015342785</v>
      </c>
      <c r="E3397" s="17" t="n">
        <f aca="false">Sens!$E$3389/Sens!$E$3368</f>
        <v>0.385647527531039</v>
      </c>
      <c r="F3397" s="17" t="n">
        <f aca="false">Sens!$F$3389/Sens!$F$3368</f>
        <v>0.385949613469105</v>
      </c>
      <c r="G3397" s="17" t="n">
        <f aca="false">Sens!$G$3389/Sens!$G$3368</f>
        <v>0.385804840448779</v>
      </c>
      <c r="H3397" s="17" t="n">
        <f aca="false">Sens!$H$3389/Sens!$H$3368</f>
        <v>0.369446662838962</v>
      </c>
      <c r="I3397" s="17" t="n">
        <f aca="false">Sens!$I$3389/Sens!$I$3368</f>
        <v>0.340909770620288</v>
      </c>
      <c r="J3397" s="17" t="n">
        <f aca="false">Sens!$J$3389/Sens!$J$3368</f>
        <v>0.329804989240385</v>
      </c>
      <c r="K3397" s="17" t="n">
        <f aca="false">Sens!$K$3389/Sens!$K$3368</f>
        <v>0.312243085987846</v>
      </c>
      <c r="L3397" s="17" t="n">
        <f aca="false">Sens!$L$3389/Sens!$L$3368</f>
        <v>0.300688334237321</v>
      </c>
      <c r="M3397" s="17" t="n">
        <f aca="false">Sens!$M$3389/Sens!$M$3368</f>
        <v>0.292937305177556</v>
      </c>
      <c r="N3397" s="17" t="n">
        <f aca="false">Sens!$N$3389/Sens!$N$3368</f>
        <v>0.360941137346192</v>
      </c>
      <c r="O3397" s="17" t="n">
        <f aca="false">Sens!$O$3389/Sens!$O$3368</f>
        <v>0.348458117664212</v>
      </c>
    </row>
    <row r="3398" customFormat="false" ht="17.15" hidden="false" customHeight="false" outlineLevel="0" collapsed="false">
      <c r="A3398" s="0" t="s">
        <v>752</v>
      </c>
      <c r="B3398" s="0" t="s">
        <v>52</v>
      </c>
      <c r="C3398" s="13" t="n">
        <f aca="false">Sens!$C$3387/Sens!$C$3369</f>
        <v>0.708390794789371</v>
      </c>
      <c r="D3398" s="13" t="n">
        <f aca="false">Sens!$D$3387/Sens!$D$3369</f>
        <v>0.619415573115729</v>
      </c>
      <c r="E3398" s="13" t="n">
        <f aca="false">Sens!$E$3387/Sens!$E$3369</f>
        <v>0.285171627189009</v>
      </c>
      <c r="F3398" s="13" t="n">
        <f aca="false">Sens!$F$3387/Sens!$F$3369</f>
        <v>0.502657732812366</v>
      </c>
      <c r="G3398" s="13" t="n">
        <f aca="false">Sens!$G$3387/Sens!$G$3369</f>
        <v>0.423808778611812</v>
      </c>
      <c r="H3398" s="13" t="n">
        <f aca="false">Sens!$H$3387/Sens!$H$3369</f>
        <v>0.390261631739809</v>
      </c>
      <c r="I3398" s="13" t="n">
        <f aca="false">Sens!$I$3387/Sens!$I$3369</f>
        <v>0.305172864264572</v>
      </c>
      <c r="J3398" s="13" t="n">
        <f aca="false">Sens!$J$3387/Sens!$J$3369</f>
        <v>0.288011814789856</v>
      </c>
      <c r="K3398" s="13" t="n">
        <f aca="false">Sens!$K$3387/Sens!$K$3369</f>
        <v>0.25765427518774</v>
      </c>
      <c r="L3398" s="13" t="n">
        <f aca="false">Sens!$L$3387/Sens!$L$3369</f>
        <v>0.238118778012374</v>
      </c>
      <c r="M3398" s="13" t="n">
        <f aca="false">Sens!$M$3387/Sens!$M$3369</f>
        <v>0.222746255757109</v>
      </c>
      <c r="N3398" s="13" t="n">
        <f aca="false">Sens!$N$3387/Sens!$N$3369</f>
        <v>0.551227795793364</v>
      </c>
      <c r="O3398" s="13" t="n">
        <f aca="false">Sens!$O$3387/Sens!$O$3369</f>
        <v>0.656132068597002</v>
      </c>
    </row>
    <row r="3399" customFormat="false" ht="15" hidden="false" customHeight="false" outlineLevel="0" collapsed="false">
      <c r="A3399" s="5" t="s">
        <v>753</v>
      </c>
      <c r="B3399" s="0" t="s">
        <v>52</v>
      </c>
      <c r="C3399" s="13" t="n">
        <f aca="false">Sens!$C$3391/Sens!$C$3371</f>
        <v>0.107519448742004</v>
      </c>
      <c r="D3399" s="13" t="n">
        <f aca="false">Sens!$D$3391/Sens!$D$3371</f>
        <v>0.111552967957552</v>
      </c>
      <c r="E3399" s="13" t="n">
        <f aca="false">Sens!$E$3391/Sens!$E$3371</f>
        <v>0.13428328426562</v>
      </c>
      <c r="F3399" s="13" t="n">
        <f aca="false">Sens!$F$3391/Sens!$F$3371</f>
        <v>0.129343087287827</v>
      </c>
      <c r="G3399" s="13" t="n">
        <f aca="false">Sens!$G$3391/Sens!$G$3371</f>
        <v>0.131651143259596</v>
      </c>
      <c r="H3399" s="13" t="n">
        <f aca="false">Sens!$H$3391/Sens!$H$3371</f>
        <v>0.137193457662305</v>
      </c>
      <c r="I3399" s="13" t="n">
        <f aca="false">Sens!$I$3391/Sens!$I$3371</f>
        <v>0.135228426174712</v>
      </c>
      <c r="J3399" s="13" t="n">
        <f aca="false">Sens!$J$3391/Sens!$J$3371</f>
        <v>0.136218304741657</v>
      </c>
      <c r="K3399" s="13" t="n">
        <f aca="false">Sens!$K$3391/Sens!$K$3371</f>
        <v>0.132965122240985</v>
      </c>
      <c r="L3399" s="13" t="n">
        <f aca="false">Sens!$L$3391/Sens!$L$3371</f>
        <v>0.130153830337058</v>
      </c>
      <c r="M3399" s="13" t="n">
        <f aca="false">Sens!$M$3391/Sens!$M$3371</f>
        <v>0.128795257776782</v>
      </c>
      <c r="N3399" s="13" t="n">
        <f aca="false">Sens!$N$3391/Sens!$N$3371</f>
        <v>0.116201614873411</v>
      </c>
      <c r="O3399" s="13" t="n">
        <f aca="false">Sens!$O$3391/Sens!$O$3371</f>
        <v>0.107733353660861</v>
      </c>
    </row>
    <row r="3400" customFormat="false" ht="17.15" hidden="false" customHeight="false" outlineLevel="0" collapsed="false">
      <c r="A3400" s="1" t="s">
        <v>754</v>
      </c>
    </row>
    <row r="3401" customFormat="false" ht="17.15" hidden="false" customHeight="false" outlineLevel="0" collapsed="false">
      <c r="A3401" s="5" t="s">
        <v>755</v>
      </c>
      <c r="B3401" s="0" t="s">
        <v>52</v>
      </c>
      <c r="D3401" s="28" t="n">
        <f aca="false">(Q!$E$29+Q!$E$30-(1-ext_sh)*Sens!$D$3323)/Sens!$D$3274</f>
        <v>0.0341105596409988</v>
      </c>
    </row>
    <row r="3402" customFormat="false" ht="17.15" hidden="false" customHeight="false" outlineLevel="0" collapsed="false">
      <c r="A3402" s="0" t="s">
        <v>545</v>
      </c>
      <c r="B3402" s="0" t="s">
        <v>86</v>
      </c>
      <c r="C3402" s="38" t="n">
        <f aca="false">Q!$D$29</f>
        <v>14.285</v>
      </c>
      <c r="D3402" s="38" t="n">
        <f aca="false">Q!$E$29</f>
        <v>15.503</v>
      </c>
      <c r="E3402" s="38" t="n">
        <f aca="false">Q!$P$29</f>
        <v>8.78</v>
      </c>
      <c r="F3402" s="38" t="n">
        <f aca="false">(Sens!$D$3401*Sens!$F$3274+(1-ext_sh)*Sens!$F$3323)*Sens!$F$3275</f>
        <v>9.30317620449232</v>
      </c>
      <c r="G3402" s="38" t="n">
        <f aca="false">Sens!$E$3402+Sens!$F$3402</f>
        <v>18.0831762044923</v>
      </c>
      <c r="H3402" s="38" t="n">
        <f aca="false">(Sens!$D$3401*Sens!$H$3274+(1-ext_sh)*Sens!$H$3323)*Sens!$H$3275</f>
        <v>22.1297245338482</v>
      </c>
      <c r="I3402" s="38" t="n">
        <f aca="false">(Sens!$D$3401*Sens!$I$3274+(1-ext_sh)*Sens!$I$3323)*Sens!$I$3275</f>
        <v>28.409695984391</v>
      </c>
      <c r="J3402" s="38" t="n">
        <f aca="false">(Sens!$D$3401*Sens!$J$3274+(1-ext_sh)*Sens!$J$3323)*Sens!$J$3275</f>
        <v>34.1085606174579</v>
      </c>
      <c r="K3402" s="38" t="n">
        <f aca="false">(Sens!$D$3401*Sens!$K$3274+(1-ext_sh)*Sens!$K$3323)*Sens!$K$3275</f>
        <v>39.7218983009068</v>
      </c>
      <c r="L3402" s="38" t="n">
        <f aca="false">(Sens!$D$3401*Sens!$L$3274+(1-ext_sh)*Sens!$L$3323)*Sens!$L$3275</f>
        <v>44.1680279486684</v>
      </c>
      <c r="M3402" s="38" t="n">
        <f aca="false">(Sens!$D$3401*Sens!$M$3274+(1-ext_sh)*Sens!$M$3323)*Sens!$M$3275</f>
        <v>47.4413073313286</v>
      </c>
      <c r="N3402" s="38" t="n">
        <f aca="false">Q!$N$29</f>
        <v>7.272</v>
      </c>
      <c r="O3402" s="38" t="n">
        <f aca="false">Q!$O$29</f>
        <v>8.231</v>
      </c>
    </row>
    <row r="3403" customFormat="false" ht="17.15" hidden="false" customHeight="false" outlineLevel="0" collapsed="false">
      <c r="A3403" s="0" t="s">
        <v>547</v>
      </c>
      <c r="B3403" s="0" t="s">
        <v>86</v>
      </c>
      <c r="C3403" s="38" t="n">
        <f aca="false">Q!$D$30</f>
        <v>4.462</v>
      </c>
      <c r="D3403" s="38" t="n">
        <f aca="false">Q!$E$30</f>
        <v>4.907</v>
      </c>
      <c r="E3403" s="38" t="n">
        <f aca="false">Q!$P$30</f>
        <v>2.57</v>
      </c>
      <c r="F3403" s="38" t="n">
        <f aca="false">(Sens!$D$3401*Sens!$F$3274+(1-ext_sh)*Sens!$F$3323)*(1-Sens!$F$3275)</f>
        <v>3.6526976809753</v>
      </c>
      <c r="G3403" s="38" t="n">
        <f aca="false">Sens!$E$3403+Sens!$F$3403</f>
        <v>6.2226976809753</v>
      </c>
      <c r="H3403" s="38" t="n">
        <f aca="false">(Sens!$D$3401*Sens!$H$3274+(1-ext_sh)*Sens!$H$3323)*(1-Sens!$H$3275)</f>
        <v>8.4764774248495</v>
      </c>
      <c r="I3403" s="38" t="n">
        <f aca="false">(Sens!$D$3401*Sens!$I$3274+(1-ext_sh)*Sens!$I$3323)*(1-Sens!$I$3275)</f>
        <v>10.881931507561</v>
      </c>
      <c r="J3403" s="38" t="n">
        <f aca="false">(Sens!$D$3401*Sens!$J$3274+(1-ext_sh)*Sens!$J$3323)*(1-Sens!$J$3275)</f>
        <v>13.0648008575874</v>
      </c>
      <c r="K3403" s="38" t="n">
        <f aca="false">(Sens!$D$3401*Sens!$K$3274+(1-ext_sh)*Sens!$K$3323)*(1-Sens!$K$3275)</f>
        <v>15.2149103214008</v>
      </c>
      <c r="L3403" s="38" t="n">
        <f aca="false">(Sens!$D$3401*Sens!$L$3274+(1-ext_sh)*Sens!$L$3323)*(1-Sens!$L$3275)</f>
        <v>16.9179372854085</v>
      </c>
      <c r="M3403" s="38" t="n">
        <f aca="false">(Sens!$D$3401*Sens!$M$3274+(1-ext_sh)*Sens!$M$3323)*(1-Sens!$M$3275)</f>
        <v>18.1717205735785</v>
      </c>
      <c r="N3403" s="38" t="n">
        <f aca="false">Q!$N$30</f>
        <v>2.316</v>
      </c>
      <c r="O3403" s="38" t="n">
        <f aca="false">Q!$O$30</f>
        <v>2.591</v>
      </c>
    </row>
    <row r="3404" customFormat="false" ht="17.15" hidden="false" customHeight="false" outlineLevel="0" collapsed="false">
      <c r="A3404" s="0" t="s">
        <v>548</v>
      </c>
      <c r="B3404" s="0" t="s">
        <v>86</v>
      </c>
      <c r="C3404" s="38" t="n">
        <f aca="false">Sens!$C$3335</f>
        <v>13.32</v>
      </c>
      <c r="D3404" s="38" t="n">
        <f aca="false">Sens!$D$3335</f>
        <v>21.45</v>
      </c>
      <c r="E3404" s="38" t="n">
        <f aca="false">Sens!$E$3335</f>
        <v>15.353</v>
      </c>
      <c r="F3404" s="38" t="n">
        <f aca="false">Sens!$F$3335</f>
        <v>16.1969869840094</v>
      </c>
      <c r="G3404" s="38" t="n">
        <f aca="false">Sens!$G$3335</f>
        <v>31.5499869840094</v>
      </c>
      <c r="H3404" s="38" t="n">
        <f aca="false">Sens!$H$3335</f>
        <v>50.7762227280313</v>
      </c>
      <c r="I3404" s="38" t="n">
        <f aca="false">Sens!$I$3335</f>
        <v>78.8643109728271</v>
      </c>
      <c r="J3404" s="38" t="n">
        <f aca="false">Sens!$J$3335</f>
        <v>103.979809304827</v>
      </c>
      <c r="K3404" s="38" t="n">
        <f aca="false">Sens!$K$3335</f>
        <v>129.0906648981</v>
      </c>
      <c r="L3404" s="38" t="n">
        <f aca="false">Sens!$L$3335</f>
        <v>147.297780314065</v>
      </c>
      <c r="M3404" s="38" t="n">
        <f aca="false">Sens!$M$3335</f>
        <v>158.534361894833</v>
      </c>
      <c r="N3404" s="38" t="n">
        <f aca="false">Sens!$N$3335</f>
        <v>9.234</v>
      </c>
      <c r="O3404" s="38" t="n">
        <f aca="false">Sens!$O$3335</f>
        <v>12.216</v>
      </c>
    </row>
    <row r="3405" customFormat="false" ht="17.15" hidden="false" customHeight="false" outlineLevel="0" collapsed="false">
      <c r="A3405" s="5" t="s">
        <v>756</v>
      </c>
      <c r="B3405" s="0" t="s">
        <v>86</v>
      </c>
      <c r="C3405" s="38" t="n">
        <f aca="false">Sens!$C$3402+Sens!$C$3403+Sens!$C$3404</f>
        <v>32.067</v>
      </c>
      <c r="D3405" s="38" t="n">
        <f aca="false">Sens!$D$3402+Sens!$D$3403+Sens!$D$3404</f>
        <v>41.86</v>
      </c>
      <c r="E3405" s="38" t="n">
        <f aca="false">Sens!$E$3402+Sens!$E$3403+Sens!$E$3404</f>
        <v>26.703</v>
      </c>
      <c r="F3405" s="38" t="n">
        <f aca="false">Sens!$F$3402+Sens!$F$3403+Sens!$F$3404</f>
        <v>29.152860869477</v>
      </c>
      <c r="G3405" s="38" t="n">
        <f aca="false">Sens!$G$3402+Sens!$G$3403+Sens!$G$3404</f>
        <v>55.855860869477</v>
      </c>
      <c r="H3405" s="38" t="n">
        <f aca="false">Sens!$H$3402+Sens!$H$3403+Sens!$H$3404</f>
        <v>81.382424686729</v>
      </c>
      <c r="I3405" s="38" t="n">
        <f aca="false">Sens!$I$3402+Sens!$I$3403+Sens!$I$3404</f>
        <v>118.155938464779</v>
      </c>
      <c r="J3405" s="38" t="n">
        <f aca="false">Sens!$J$3402+Sens!$J$3403+Sens!$J$3404</f>
        <v>151.153170779873</v>
      </c>
      <c r="K3405" s="38" t="n">
        <f aca="false">Sens!$K$3402+Sens!$K$3403+Sens!$K$3404</f>
        <v>184.027473520408</v>
      </c>
      <c r="L3405" s="38" t="n">
        <f aca="false">Sens!$L$3402+Sens!$L$3403+Sens!$L$3404</f>
        <v>208.383745548142</v>
      </c>
      <c r="M3405" s="38" t="n">
        <f aca="false">Sens!$M$3402+Sens!$M$3403+Sens!$M$3404</f>
        <v>224.14738979974</v>
      </c>
      <c r="N3405" s="38" t="n">
        <f aca="false">Sens!$N$3402+Sens!$N$3403+Sens!$N$3404</f>
        <v>18.822</v>
      </c>
      <c r="O3405" s="38" t="n">
        <f aca="false">Sens!$O$3402+Sens!$O$3403+Sens!$O$3404</f>
        <v>23.038</v>
      </c>
    </row>
    <row r="3406" customFormat="false" ht="17.15" hidden="false" customHeight="false" outlineLevel="0" collapsed="false">
      <c r="A3406" s="0" t="s">
        <v>757</v>
      </c>
      <c r="B3406" s="0" t="s">
        <v>86</v>
      </c>
      <c r="C3406" s="38" t="n">
        <f aca="false">Sens!$C$3377+Sens!$C$3382</f>
        <v>28.107</v>
      </c>
      <c r="D3406" s="38" t="n">
        <f aca="false">Sens!$D$3377+Sens!$D$3382</f>
        <v>34.3175</v>
      </c>
      <c r="E3406" s="38" t="n">
        <f aca="false">Sens!$E$3377+Sens!$E$3382</f>
        <v>18.526</v>
      </c>
      <c r="F3406" s="38" t="n">
        <f aca="false">Sens!$F$3377+Sens!$F$3382</f>
        <v>23.0786109972074</v>
      </c>
      <c r="G3406" s="38" t="n">
        <f aca="false">Sens!$G$3377+Sens!$G$3382</f>
        <v>41.6046109972074</v>
      </c>
      <c r="H3406" s="38" t="n">
        <f aca="false">Sens!$H$3377+Sens!$H$3382</f>
        <v>49.9484611939488</v>
      </c>
      <c r="I3406" s="38" t="n">
        <f aca="false">Sens!$I$3377+Sens!$I$3382</f>
        <v>58.2915555477481</v>
      </c>
      <c r="J3406" s="38" t="n">
        <f aca="false">Sens!$J$3377+Sens!$J$3382</f>
        <v>66.0744709709759</v>
      </c>
      <c r="K3406" s="38" t="n">
        <f aca="false">Sens!$K$3377+Sens!$K$3382</f>
        <v>72.6819180680735</v>
      </c>
      <c r="L3406" s="38" t="n">
        <f aca="false">Sens!$L$3377+Sens!$L$3382</f>
        <v>79.9501098748808</v>
      </c>
      <c r="M3406" s="38" t="n">
        <f aca="false">Sens!$M$3377+Sens!$M$3382</f>
        <v>87.9451208623689</v>
      </c>
      <c r="N3406" s="38" t="n">
        <f aca="false">Sens!$N$3377+Sens!$N$3382</f>
        <v>14.8075</v>
      </c>
      <c r="O3406" s="38" t="n">
        <f aca="false">Sens!$O$3377+Sens!$O$3382</f>
        <v>19.51</v>
      </c>
    </row>
    <row r="3407" customFormat="false" ht="17.15" hidden="false" customHeight="false" outlineLevel="0" collapsed="false">
      <c r="A3407" s="0" t="s">
        <v>758</v>
      </c>
      <c r="B3407" s="0" t="s">
        <v>86</v>
      </c>
      <c r="C3407" s="38" t="n">
        <f aca="false">Sens!$C$3381+Sens!$C$3386+Sens!$C$3402+Sens!$C$3403-Sens!$C$3406</f>
        <v>19.399</v>
      </c>
      <c r="D3407" s="38" t="n">
        <f aca="false">Sens!$D$3381+Sens!$D$3386+Sens!$D$3402+Sens!$D$3403-Sens!$D$3406</f>
        <v>20.4615</v>
      </c>
      <c r="E3407" s="38" t="n">
        <f aca="false">Sens!$E$3381+Sens!$E$3386+Sens!$E$3402+Sens!$E$3403-Sens!$E$3406</f>
        <v>13.355</v>
      </c>
      <c r="F3407" s="38" t="n">
        <f aca="false">Sens!$F$3381+Sens!$F$3386+Sens!$F$3402+Sens!$F$3403-Sens!$F$3406</f>
        <v>12.7680546411015</v>
      </c>
      <c r="G3407" s="38" t="n">
        <f aca="false">Sens!$G$3381+Sens!$G$3386+Sens!$G$3402+Sens!$G$3403-Sens!$G$3406</f>
        <v>26.1230546411015</v>
      </c>
      <c r="H3407" s="38" t="n">
        <f aca="false">Sens!$H$3381+Sens!$H$3386+Sens!$H$3402+Sens!$H$3403-Sens!$H$3406</f>
        <v>28.4662904769959</v>
      </c>
      <c r="I3407" s="38" t="n">
        <f aca="false">Sens!$I$3381+Sens!$I$3386+Sens!$I$3402+Sens!$I$3403-Sens!$I$3406</f>
        <v>30.7231490427408</v>
      </c>
      <c r="J3407" s="38" t="n">
        <f aca="false">Sens!$J$3381+Sens!$J$3386+Sens!$J$3402+Sens!$J$3403-Sens!$J$3406</f>
        <v>32.9723159380642</v>
      </c>
      <c r="K3407" s="38" t="n">
        <f aca="false">Sens!$K$3381+Sens!$K$3386+Sens!$K$3402+Sens!$K$3403-Sens!$K$3406</f>
        <v>35.3819359626894</v>
      </c>
      <c r="L3407" s="38" t="n">
        <f aca="false">Sens!$L$3381+Sens!$L$3386+Sens!$L$3402+Sens!$L$3403-Sens!$L$3406</f>
        <v>37.0165770259405</v>
      </c>
      <c r="M3407" s="38" t="n">
        <f aca="false">Sens!$M$3381+Sens!$M$3386+Sens!$M$3402+Sens!$M$3403-Sens!$M$3406</f>
        <v>39.4490703930704</v>
      </c>
      <c r="N3407" s="38" t="n">
        <f aca="false">Sens!$N$3381+Sens!$N$3386+Sens!$N$3402+Sens!$N$3403-Sens!$N$3406</f>
        <v>10.6495</v>
      </c>
      <c r="O3407" s="38" t="n">
        <f aca="false">Sens!$O$3381+Sens!$O$3386+Sens!$O$3402+Sens!$O$3403-Sens!$O$3406</f>
        <v>9.81200000000001</v>
      </c>
    </row>
    <row r="3408" customFormat="false" ht="17.15" hidden="false" customHeight="false" outlineLevel="0" collapsed="false">
      <c r="A3408" s="0" t="s">
        <v>759</v>
      </c>
      <c r="B3408" s="0" t="s">
        <v>86</v>
      </c>
      <c r="C3408" s="38" t="n">
        <f aca="false">Sens!$C$3388+Sens!$C$3404-ext_sh*Sens!$C$3323</f>
        <v>51.3470500115664</v>
      </c>
      <c r="D3408" s="38" t="n">
        <f aca="false">Sens!$D$3388+Sens!$D$3404-ext_sh*Sens!$D$3323</f>
        <v>60.2799375433739</v>
      </c>
      <c r="E3408" s="38" t="n">
        <f aca="false">Sens!$E$3388+Sens!$E$3404-ext_sh*Sens!$E$3323</f>
        <v>39.5095167090767</v>
      </c>
      <c r="F3408" s="38" t="n">
        <f aca="false">Sens!$F$3388+Sens!$F$3404-ext_sh*Sens!$F$3323</f>
        <v>37.951394214027</v>
      </c>
      <c r="G3408" s="38" t="n">
        <f aca="false">Sens!$G$3388+Sens!$G$3404-ext_sh*Sens!$G$3323</f>
        <v>77.4609109231037</v>
      </c>
      <c r="H3408" s="38" t="n">
        <f aca="false">Sens!$H$3388+Sens!$H$3404-ext_sh*Sens!$H$3323</f>
        <v>84.5779118383842</v>
      </c>
      <c r="I3408" s="38" t="n">
        <f aca="false">Sens!$I$3388+Sens!$I$3404-ext_sh*Sens!$I$3323</f>
        <v>92.6342466805112</v>
      </c>
      <c r="J3408" s="38" t="n">
        <f aca="false">Sens!$J$3388+Sens!$J$3404-ext_sh*Sens!$J$3323</f>
        <v>99.3619669671563</v>
      </c>
      <c r="K3408" s="38" t="n">
        <f aca="false">Sens!$K$3388+Sens!$K$3404-ext_sh*Sens!$K$3323</f>
        <v>104.330065315514</v>
      </c>
      <c r="L3408" s="38" t="n">
        <f aca="false">Sens!$L$3388+Sens!$L$3404-ext_sh*Sens!$L$3323</f>
        <v>109.54656858129</v>
      </c>
      <c r="M3408" s="38" t="n">
        <f aca="false">Sens!$M$3388+Sens!$M$3404-ext_sh*Sens!$M$3323</f>
        <v>115.023897010354</v>
      </c>
      <c r="N3408" s="38" t="n">
        <f aca="false">Sens!$N$3388+Sens!$N$3404-ext_sh*Sens!$N$3323</f>
        <v>28.5693781401809</v>
      </c>
      <c r="O3408" s="38" t="n">
        <f aca="false">Sens!$O$3388+Sens!$O$3404-ext_sh*Sens!$O$3323</f>
        <v>31.7105594031931</v>
      </c>
    </row>
    <row r="3409" customFormat="false" ht="17.15" hidden="false" customHeight="false" outlineLevel="0" collapsed="false">
      <c r="A3409" s="0" t="s">
        <v>760</v>
      </c>
      <c r="B3409" s="0" t="s">
        <v>86</v>
      </c>
      <c r="C3409" s="38" t="n">
        <f aca="false">Sens!$C$3326</f>
        <v>1.80694998843362</v>
      </c>
      <c r="D3409" s="38" t="n">
        <f aca="false">Sens!$D$3326</f>
        <v>6.77606245662607</v>
      </c>
      <c r="E3409" s="38" t="n">
        <f aca="false">Sens!$E$3326</f>
        <v>6.62548329092326</v>
      </c>
      <c r="F3409" s="38" t="n">
        <f aca="false">Sens!$F$3326</f>
        <v>11.7200577158706</v>
      </c>
      <c r="G3409" s="38" t="n">
        <f aca="false">Sens!$G$3326</f>
        <v>18.3455410067939</v>
      </c>
      <c r="H3409" s="38" t="n">
        <f aca="false">Sens!$H$3326</f>
        <v>47.5171727060453</v>
      </c>
      <c r="I3409" s="38" t="n">
        <f aca="false">Sens!$I$3326</f>
        <v>80.5539692643667</v>
      </c>
      <c r="J3409" s="38" t="n">
        <f aca="false">Sens!$J$3326</f>
        <v>113.759316834883</v>
      </c>
      <c r="K3409" s="38" t="n">
        <f aca="false">Sens!$K$3326</f>
        <v>142.084411492169</v>
      </c>
      <c r="L3409" s="38" t="n">
        <f aca="false">Sens!$L$3326</f>
        <v>160.69964615804</v>
      </c>
      <c r="M3409" s="38" t="n">
        <f aca="false">Sens!$M$3326</f>
        <v>169.577607141793</v>
      </c>
      <c r="N3409" s="38" t="n">
        <f aca="false">Sens!$N$3326</f>
        <v>2.37162185981912</v>
      </c>
      <c r="O3409" s="38" t="n">
        <f aca="false">Sens!$O$3326</f>
        <v>4.40444059680694</v>
      </c>
    </row>
    <row r="3410" customFormat="false" ht="17.15" hidden="false" customHeight="false" outlineLevel="0" collapsed="false">
      <c r="A3410" s="0" t="s">
        <v>761</v>
      </c>
      <c r="B3410" s="0" t="s">
        <v>86</v>
      </c>
      <c r="C3410" s="38" t="n">
        <f aca="false">Sens!$C$3391+Sens!$C$3405</f>
        <v>100.66</v>
      </c>
      <c r="D3410" s="38" t="n">
        <f aca="false">Sens!$D$3391+Sens!$D$3405</f>
        <v>121.835</v>
      </c>
      <c r="E3410" s="38" t="n">
        <f aca="false">Sens!$E$3391+Sens!$E$3405</f>
        <v>78.016</v>
      </c>
      <c r="F3410" s="38" t="n">
        <f aca="false">Sens!$F$3391+Sens!$F$3405</f>
        <v>85.5181175682064</v>
      </c>
      <c r="G3410" s="38" t="n">
        <f aca="false">Sens!$G$3391+Sens!$G$3405</f>
        <v>163.534117568206</v>
      </c>
      <c r="H3410" s="38" t="n">
        <f aca="false">Sens!$H$3391+Sens!$H$3405</f>
        <v>210.509836215374</v>
      </c>
      <c r="I3410" s="38" t="n">
        <f aca="false">Sens!$I$3391+Sens!$I$3405</f>
        <v>262.202920535367</v>
      </c>
      <c r="J3410" s="38" t="n">
        <f aca="false">Sens!$J$3391+Sens!$J$3405</f>
        <v>312.16807071108</v>
      </c>
      <c r="K3410" s="38" t="n">
        <f aca="false">Sens!$K$3391+Sens!$K$3405</f>
        <v>354.478330838446</v>
      </c>
      <c r="L3410" s="38" t="n">
        <f aca="false">Sens!$L$3391+Sens!$L$3405</f>
        <v>387.212901640151</v>
      </c>
      <c r="M3410" s="38" t="n">
        <f aca="false">Sens!$M$3391+Sens!$M$3405</f>
        <v>411.995695407587</v>
      </c>
      <c r="N3410" s="38" t="n">
        <f aca="false">Sens!$N$3391+Sens!$N$3405</f>
        <v>56.398</v>
      </c>
      <c r="O3410" s="38" t="n">
        <f aca="false">Sens!$O$3391+Sens!$O$3405</f>
        <v>65.437</v>
      </c>
    </row>
    <row r="3411" customFormat="false" ht="17.15" hidden="false" customHeight="false" outlineLevel="0" collapsed="false">
      <c r="A3411" s="1" t="s">
        <v>762</v>
      </c>
    </row>
    <row r="3412" customFormat="false" ht="15" hidden="false" customHeight="false" outlineLevel="0" collapsed="false">
      <c r="A3412" s="5" t="s">
        <v>551</v>
      </c>
      <c r="B3412" s="0" t="s">
        <v>86</v>
      </c>
      <c r="C3412" s="38" t="n">
        <f aca="false">Q!$D$34</f>
        <v>2.406</v>
      </c>
      <c r="D3412" s="38" t="n">
        <f aca="false">Q!$E$34</f>
        <v>2.274</v>
      </c>
      <c r="E3412" s="38" t="n">
        <f aca="false">Q!$P$34</f>
        <v>2.114</v>
      </c>
      <c r="F3412" s="38" t="n">
        <f aca="false">Sens!$F$3450</f>
        <v>3.24888962733561</v>
      </c>
      <c r="G3412" s="38" t="n">
        <f aca="false">Sens!$E$3412+Sens!$F$3412</f>
        <v>5.36288962733561</v>
      </c>
      <c r="H3412" s="38" t="n">
        <f aca="false">Sens!$H$3450</f>
        <v>7.42354172302123</v>
      </c>
      <c r="I3412" s="38" t="n">
        <f aca="false">Sens!$I$3450</f>
        <v>7.86476501950464</v>
      </c>
      <c r="J3412" s="38" t="n">
        <f aca="false">Sens!$J$3450</f>
        <v>8.88611112772501</v>
      </c>
      <c r="K3412" s="38" t="n">
        <f aca="false">Sens!$K$3450</f>
        <v>8.88611112772501</v>
      </c>
      <c r="L3412" s="38" t="n">
        <f aca="false">Sens!$L$3450</f>
        <v>8.88611112772501</v>
      </c>
      <c r="M3412" s="38" t="n">
        <f aca="false">Sens!$M$3450</f>
        <v>8.88611112772501</v>
      </c>
      <c r="N3412" s="38" t="n">
        <f aca="false">Q!$N$34</f>
        <v>1.057</v>
      </c>
      <c r="O3412" s="38" t="n">
        <f aca="false">Q!$O$34</f>
        <v>1.217</v>
      </c>
    </row>
    <row r="3413" customFormat="false" ht="15" hidden="false" customHeight="false" outlineLevel="0" collapsed="false">
      <c r="A3413" s="5" t="s">
        <v>763</v>
      </c>
      <c r="B3413" s="0" t="s">
        <v>86</v>
      </c>
      <c r="F3413" s="38" t="n">
        <f aca="false">Sens!$F$3451</f>
        <v>2.59</v>
      </c>
      <c r="H3413" s="38" t="n">
        <f aca="false">Sens!$H$3451</f>
        <v>4.1153774832261</v>
      </c>
      <c r="I3413" s="38" t="n">
        <f aca="false">Sens!$I$3451</f>
        <v>2.10589651022864</v>
      </c>
      <c r="J3413" s="38" t="n">
        <f aca="false">Sens!$J$3451</f>
        <v>2.10589651022864</v>
      </c>
      <c r="K3413" s="38" t="n">
        <f aca="false">Sens!$K$3451</f>
        <v>3.06919888675081</v>
      </c>
      <c r="L3413" s="38" t="n">
        <f aca="false">Sens!$L$3451</f>
        <v>8.01961036735145</v>
      </c>
      <c r="M3413" s="38" t="n">
        <f aca="false">Sens!$M$3451</f>
        <v>15.3512756328754</v>
      </c>
    </row>
    <row r="3414" customFormat="false" ht="17.15" hidden="false" customHeight="false" outlineLevel="0" collapsed="false">
      <c r="A3414" s="5" t="s">
        <v>764</v>
      </c>
      <c r="B3414" s="0" t="s">
        <v>86</v>
      </c>
      <c r="C3414" s="38" t="n">
        <f aca="false">Q!$D$39</f>
        <v>2.427</v>
      </c>
      <c r="D3414" s="38" t="n">
        <f aca="false">Q!$E$39</f>
        <v>19.61</v>
      </c>
      <c r="E3414" s="38" t="n">
        <f aca="false">Q!$P$39</f>
        <v>71.492</v>
      </c>
      <c r="F3414" s="39" t="n">
        <v>0</v>
      </c>
      <c r="G3414" s="38" t="n">
        <f aca="false">Sens!$E$3414+Sens!$F$3414</f>
        <v>71.492</v>
      </c>
      <c r="H3414" s="39" t="n">
        <v>0</v>
      </c>
      <c r="I3414" s="39" t="n">
        <v>0</v>
      </c>
      <c r="J3414" s="39" t="n">
        <v>0</v>
      </c>
      <c r="K3414" s="39" t="n">
        <v>0</v>
      </c>
      <c r="L3414" s="39" t="n">
        <v>0</v>
      </c>
      <c r="M3414" s="39" t="n">
        <v>0</v>
      </c>
      <c r="N3414" s="38" t="n">
        <f aca="false">Q!$N$39</f>
        <v>6.017</v>
      </c>
      <c r="O3414" s="38" t="n">
        <f aca="false">Q!$O$39</f>
        <v>13.593</v>
      </c>
      <c r="P3414" s="5" t="s">
        <v>765</v>
      </c>
    </row>
    <row r="3415" customFormat="false" ht="15" hidden="false" customHeight="false" outlineLevel="0" collapsed="false">
      <c r="A3415" s="5" t="s">
        <v>554</v>
      </c>
      <c r="B3415" s="0" t="s">
        <v>86</v>
      </c>
      <c r="C3415" s="38" t="n">
        <f aca="false">Q!$D$36</f>
        <v>68.614</v>
      </c>
      <c r="D3415" s="38" t="n">
        <f aca="false">Q!$E$36</f>
        <v>97.311</v>
      </c>
      <c r="E3415" s="38" t="n">
        <f aca="false">Q!$P$36</f>
        <v>120.691</v>
      </c>
      <c r="F3415" s="38" t="n">
        <f aca="false">Sens!$F$3391-Sens!$F$3412+Sens!$F$3413+Sens!$F$3414</f>
        <v>55.7063670713938</v>
      </c>
      <c r="G3415" s="38" t="n">
        <f aca="false">Sens!$E$3415+Sens!$F$3415</f>
        <v>176.397367071394</v>
      </c>
      <c r="H3415" s="38" t="n">
        <f aca="false">Sens!$H$3391-Sens!$H$3412+Sens!$H$3413+Sens!$H$3414</f>
        <v>125.81924728885</v>
      </c>
      <c r="I3415" s="38" t="n">
        <f aca="false">Sens!$I$3391-Sens!$I$3412+Sens!$I$3413+Sens!$I$3414</f>
        <v>138.288113561312</v>
      </c>
      <c r="J3415" s="38" t="n">
        <f aca="false">Sens!$J$3391-Sens!$J$3412+Sens!$J$3413+Sens!$J$3414</f>
        <v>154.234685313711</v>
      </c>
      <c r="K3415" s="38" t="n">
        <f aca="false">Sens!$K$3391-Sens!$K$3412+Sens!$K$3413+Sens!$K$3414</f>
        <v>164.633945077064</v>
      </c>
      <c r="L3415" s="38" t="n">
        <f aca="false">Sens!$L$3391-Sens!$L$3412+Sens!$L$3413+Sens!$L$3414</f>
        <v>177.962655331636</v>
      </c>
      <c r="M3415" s="38" t="n">
        <f aca="false">Sens!$M$3391-Sens!$M$3412+Sens!$M$3413+Sens!$M$3414</f>
        <v>194.313470112998</v>
      </c>
      <c r="N3415" s="38" t="n">
        <f aca="false">Q!$N$36</f>
        <v>42.536</v>
      </c>
      <c r="O3415" s="38" t="n">
        <f aca="false">Q!$O$36</f>
        <v>54.775</v>
      </c>
    </row>
    <row r="3416" customFormat="false" ht="15" hidden="false" customHeight="false" outlineLevel="0" collapsed="false">
      <c r="A3416" s="5" t="s">
        <v>555</v>
      </c>
      <c r="B3416" s="0" t="s">
        <v>86</v>
      </c>
      <c r="C3416" s="38" t="n">
        <f aca="false">Q!$D$37</f>
        <v>9.265</v>
      </c>
      <c r="D3416" s="38" t="n">
        <f aca="false">Q!$E$37</f>
        <v>19.087</v>
      </c>
      <c r="E3416" s="38" t="n">
        <f aca="false">Q!$P$37</f>
        <v>27.759</v>
      </c>
      <c r="F3416" s="38" t="n">
        <f aca="false">Sens!$F$3415*tax</f>
        <v>9.669763357865</v>
      </c>
      <c r="G3416" s="38" t="n">
        <f aca="false">Sens!$E$3416+Sens!$F$3416</f>
        <v>37.428763357865</v>
      </c>
      <c r="H3416" s="38" t="n">
        <f aca="false">Sens!$H$3415*tax</f>
        <v>21.8402744804488</v>
      </c>
      <c r="I3416" s="38" t="n">
        <f aca="false">Sens!$I$3415*tax</f>
        <v>24.0046767298549</v>
      </c>
      <c r="J3416" s="38" t="n">
        <f aca="false">Sens!$J$3415*tax</f>
        <v>26.7727548387234</v>
      </c>
      <c r="K3416" s="38" t="n">
        <f aca="false">Sens!$K$3415*tax</f>
        <v>28.5779054219542</v>
      </c>
      <c r="L3416" s="38" t="n">
        <f aca="false">Sens!$L$3415*tax</f>
        <v>30.8915632819628</v>
      </c>
      <c r="M3416" s="38" t="n">
        <f aca="false">Sens!$M$3415*tax</f>
        <v>33.7298117256536</v>
      </c>
      <c r="N3416" s="38" t="n">
        <f aca="false">Q!$N$37</f>
        <v>7.231</v>
      </c>
      <c r="O3416" s="38" t="n">
        <f aca="false">Q!$O$37</f>
        <v>11.856</v>
      </c>
    </row>
    <row r="3417" customFormat="false" ht="15" hidden="false" customHeight="false" outlineLevel="0" collapsed="false">
      <c r="A3417" s="3" t="s">
        <v>556</v>
      </c>
      <c r="B3417" s="8" t="s">
        <v>86</v>
      </c>
      <c r="C3417" s="38" t="n">
        <f aca="false">Q!$D$38</f>
        <v>59.248</v>
      </c>
      <c r="D3417" s="38" t="n">
        <f aca="false">Q!$E$38</f>
        <v>77.67</v>
      </c>
      <c r="E3417" s="38" t="n">
        <f aca="false">Q!$P$38</f>
        <v>92.902</v>
      </c>
      <c r="F3417" s="38" t="n">
        <f aca="false">Sens!$F$3415-Sens!$F$3416</f>
        <v>46.0366037135288</v>
      </c>
      <c r="G3417" s="38" t="n">
        <f aca="false">Sens!$E$3417+Sens!$F$3417</f>
        <v>138.938603713529</v>
      </c>
      <c r="H3417" s="38" t="n">
        <f aca="false">Sens!$H$3415-Sens!$H$3416</f>
        <v>103.978972808401</v>
      </c>
      <c r="I3417" s="38" t="n">
        <f aca="false">Sens!$I$3415-Sens!$I$3416</f>
        <v>114.283436831457</v>
      </c>
      <c r="J3417" s="38" t="n">
        <f aca="false">Sens!$J$3415-Sens!$J$3416</f>
        <v>127.461930474987</v>
      </c>
      <c r="K3417" s="38" t="n">
        <f aca="false">Sens!$K$3415-Sens!$K$3416</f>
        <v>136.05603965511</v>
      </c>
      <c r="L3417" s="38" t="n">
        <f aca="false">Sens!$L$3415-Sens!$L$3416</f>
        <v>147.071092049673</v>
      </c>
      <c r="M3417" s="38" t="n">
        <f aca="false">Sens!$M$3415-Sens!$M$3416</f>
        <v>160.583658387344</v>
      </c>
      <c r="N3417" s="38" t="n">
        <f aca="false">Q!$N$38</f>
        <v>35.291</v>
      </c>
      <c r="O3417" s="38" t="n">
        <f aca="false">Q!$O$38</f>
        <v>42.379</v>
      </c>
    </row>
    <row r="3418" customFormat="false" ht="17.15" hidden="false" customHeight="false" outlineLevel="0" collapsed="false">
      <c r="A3418" s="5" t="s">
        <v>559</v>
      </c>
      <c r="B3418" s="5" t="s">
        <v>33</v>
      </c>
      <c r="C3418" s="22" t="n">
        <f aca="false">Q!$D$41</f>
        <v>10.721</v>
      </c>
      <c r="D3418" s="22" t="n">
        <f aca="false">Q!$E$41</f>
        <v>10.827</v>
      </c>
      <c r="E3418" s="22" t="n">
        <f aca="false">(Q!$L$41+Q!$M$41)/2</f>
        <v>10.8885</v>
      </c>
      <c r="F3418" s="22" t="n">
        <f aca="false">Sens!$G$3418</f>
        <v>10.924806</v>
      </c>
      <c r="G3418" s="22" t="n">
        <f aca="false">Q!$M$41*(1+sh_g*0.25)</f>
        <v>10.924806</v>
      </c>
      <c r="H3418" s="22" t="n">
        <f aca="false">Sens!$G$3418*(1+sh_g)</f>
        <v>11.012204448</v>
      </c>
      <c r="I3418" s="22" t="n">
        <f aca="false">Sens!$H$3418*(1+sh_g)</f>
        <v>11.100302083584</v>
      </c>
      <c r="J3418" s="22" t="n">
        <f aca="false">Sens!$I$3418*(1+sh_g)</f>
        <v>11.1891045002527</v>
      </c>
      <c r="K3418" s="22" t="n">
        <f aca="false">Sens!$J$3418*(1+sh_g)</f>
        <v>11.2786173362547</v>
      </c>
      <c r="L3418" s="22" t="n">
        <f aca="false">Sens!$K$3418*(1+sh_g)</f>
        <v>11.3688462749447</v>
      </c>
      <c r="M3418" s="22" t="n">
        <f aca="false">Sens!$L$3418*(1+sh_g)</f>
        <v>11.4597970451443</v>
      </c>
      <c r="P3418" s="5" t="s">
        <v>766</v>
      </c>
    </row>
    <row r="3419" customFormat="false" ht="17.15" hidden="false" customHeight="false" outlineLevel="0" collapsed="false">
      <c r="A3419" s="5" t="s">
        <v>767</v>
      </c>
      <c r="B3419" s="0" t="s">
        <v>86</v>
      </c>
      <c r="C3419" s="38" t="n">
        <f aca="false">Sens!$C$3417+Sens!$C$3393*(1-tax)</f>
        <v>59.248</v>
      </c>
      <c r="D3419" s="38" t="n">
        <f aca="false">Sens!$D$3417+Sens!$D$3393*(1-tax)</f>
        <v>77.67</v>
      </c>
      <c r="E3419" s="38" t="n">
        <f aca="false">Sens!$E$3417+Sens!$E$3393*(1-tax)</f>
        <v>92.902</v>
      </c>
      <c r="F3419" s="38" t="n">
        <f aca="false">Sens!$F$3417+Sens!$F$3393*(1-tax)</f>
        <v>49.1531986731775</v>
      </c>
      <c r="G3419" s="38" t="n">
        <f aca="false">Sens!$G$3417+Sens!$G$3393*(1-tax)</f>
        <v>142.055198673178</v>
      </c>
      <c r="H3419" s="38" t="n">
        <f aca="false">Sens!$H$3417+Sens!$H$3393*(1-tax)</f>
        <v>116.510368763746</v>
      </c>
      <c r="I3419" s="38" t="n">
        <f aca="false">Sens!$I$3417+Sens!$I$3393*(1-tax)</f>
        <v>135.424701906396</v>
      </c>
      <c r="J3419" s="38" t="n">
        <f aca="false">Sens!$J$3417+Sens!$J$3393*(1-tax)</f>
        <v>157.251367419271</v>
      </c>
      <c r="K3419" s="38" t="n">
        <f aca="false">Sens!$K$3417+Sens!$K$3393*(1-tax)</f>
        <v>173.223345351769</v>
      </c>
      <c r="L3419" s="38" t="n">
        <f aca="false">Sens!$L$3417+Sens!$L$3393*(1-tax)</f>
        <v>189.087169390228</v>
      </c>
      <c r="M3419" s="38" t="n">
        <f aca="false">Sens!$M$3417+Sens!$M$3393*(1-tax)</f>
        <v>204.913180578185</v>
      </c>
      <c r="N3419" s="38" t="n">
        <f aca="false">Sens!$N$3417+Sens!$N$3393*(1-tax)</f>
        <v>35.291</v>
      </c>
      <c r="O3419" s="38" t="n">
        <f aca="false">Sens!$O$3417+Sens!$O$3393*(1-tax)</f>
        <v>42.379</v>
      </c>
    </row>
    <row r="3420" customFormat="false" ht="17.15" hidden="false" customHeight="false" outlineLevel="0" collapsed="false">
      <c r="A3420" s="43" t="s">
        <v>768</v>
      </c>
      <c r="B3420" s="14" t="s">
        <v>27</v>
      </c>
      <c r="C3420" s="44" t="n">
        <f aca="false">Sens!$C$3419/Sens!$C$3418</f>
        <v>5.52635015390355</v>
      </c>
      <c r="D3420" s="44" t="n">
        <f aca="false">Sens!$D$3419/Sens!$D$3418</f>
        <v>7.1737323358271</v>
      </c>
      <c r="E3420" s="44" t="n">
        <f aca="false">Sens!$E$3419/Sens!$E$3418</f>
        <v>8.53212104513937</v>
      </c>
      <c r="F3420" s="14"/>
      <c r="G3420" s="44" t="n">
        <f aca="false">Sens!$G$3419/Sens!$G$3418</f>
        <v>13.0029950804781</v>
      </c>
      <c r="H3420" s="44" t="n">
        <f aca="false">Sens!$H$3419/Sens!$H$3418</f>
        <v>10.5801131203032</v>
      </c>
      <c r="I3420" s="44" t="n">
        <f aca="false">Sens!$I$3419/Sens!$I$3418</f>
        <v>12.2000915728836</v>
      </c>
      <c r="J3420" s="44" t="n">
        <f aca="false">Sens!$J$3419/Sens!$J$3418</f>
        <v>14.0539725422816</v>
      </c>
      <c r="K3420" s="44" t="n">
        <f aca="false">Sens!$K$3419/Sens!$K$3418</f>
        <v>15.3585621523792</v>
      </c>
      <c r="L3420" s="44" t="n">
        <f aca="false">Sens!$L$3419/Sens!$L$3418</f>
        <v>16.6320455758953</v>
      </c>
      <c r="M3420" s="44" t="n">
        <f aca="false">Sens!$M$3419/Sens!$M$3418</f>
        <v>17.8810479601827</v>
      </c>
      <c r="N3420" s="14"/>
      <c r="O3420" s="14"/>
    </row>
    <row r="3421" customFormat="false" ht="17.15" hidden="false" customHeight="false" outlineLevel="0" collapsed="false">
      <c r="A3421" s="0" t="s">
        <v>769</v>
      </c>
      <c r="B3421" s="0" t="s">
        <v>27</v>
      </c>
      <c r="C3421" s="30" t="n">
        <f aca="false">Sens!$C$3417/Sens!$C$3418</f>
        <v>5.52635015390355</v>
      </c>
      <c r="D3421" s="30" t="n">
        <f aca="false">Sens!$D$3417/Sens!$D$3418</f>
        <v>7.1737323358271</v>
      </c>
      <c r="E3421" s="30" t="n">
        <f aca="false">Sens!$E$3417/Sens!$E$3418</f>
        <v>8.53212104513937</v>
      </c>
      <c r="G3421" s="30" t="n">
        <f aca="false">Sens!$G$3417/Sens!$G$3418</f>
        <v>12.7177181648378</v>
      </c>
      <c r="H3421" s="30" t="n">
        <f aca="false">Sens!$H$3417/Sens!$H$3418</f>
        <v>9.44215786216042</v>
      </c>
      <c r="I3421" s="30" t="n">
        <f aca="false">Sens!$I$3417/Sens!$I$3418</f>
        <v>10.2955249299447</v>
      </c>
      <c r="J3421" s="30" t="n">
        <f aca="false">Sens!$J$3417/Sens!$J$3418</f>
        <v>11.3916114084116</v>
      </c>
      <c r="K3421" s="30" t="n">
        <f aca="false">Sens!$K$3417/Sens!$K$3418</f>
        <v>12.0631843069773</v>
      </c>
      <c r="L3421" s="30" t="n">
        <f aca="false">Sens!$L$3417/Sens!$L$3418</f>
        <v>12.9363251549804</v>
      </c>
      <c r="M3421" s="30" t="n">
        <f aca="false">Sens!$M$3417/Sens!$M$3418</f>
        <v>14.0127838001622</v>
      </c>
    </row>
    <row r="3422" customFormat="false" ht="17.15" hidden="false" customHeight="false" outlineLevel="0" collapsed="false">
      <c r="A3422" s="0" t="s">
        <v>770</v>
      </c>
      <c r="B3422" s="0" t="s">
        <v>27</v>
      </c>
      <c r="C3422" s="30" t="n">
        <f aca="false">(Sens!$C$3417-Sens!$C$3414*(1-tax))/Sens!$C$3418</f>
        <v>5.33926775917445</v>
      </c>
      <c r="D3422" s="30" t="n">
        <f aca="false">(Sens!$D$3417-Sens!$D$3414*(1-tax))/Sens!$D$3418</f>
        <v>5.67691812755503</v>
      </c>
      <c r="E3422" s="30" t="n">
        <f aca="false">(Sens!$E$3417-Sens!$E$3414*(1-tax))/Sens!$E$3418</f>
        <v>3.10602057006846</v>
      </c>
      <c r="G3422" s="30" t="n">
        <f aca="false">(Sens!$G$3417-Sens!$G$3414*(1-tax))/Sens!$G$3418</f>
        <v>7.30965004694081</v>
      </c>
      <c r="H3422" s="30" t="n">
        <f aca="false">(Sens!$H$3417-Sens!$H$3414*(1-tax))/Sens!$H$3418</f>
        <v>9.44215786216042</v>
      </c>
      <c r="I3422" s="30" t="n">
        <f aca="false">(Sens!$I$3417-Sens!$I$3414*(1-tax))/Sens!$I$3418</f>
        <v>10.2955249299447</v>
      </c>
      <c r="J3422" s="30" t="n">
        <f aca="false">(Sens!$J$3417-Sens!$J$3414*(1-tax))/Sens!$J$3418</f>
        <v>11.3916114084116</v>
      </c>
      <c r="K3422" s="30" t="n">
        <f aca="false">(Sens!$K$3417-Sens!$K$3414*(1-tax))/Sens!$K$3418</f>
        <v>12.0631843069773</v>
      </c>
      <c r="L3422" s="30" t="n">
        <f aca="false">(Sens!$L$3417-Sens!$L$3414*(1-tax))/Sens!$L$3418</f>
        <v>12.9363251549804</v>
      </c>
      <c r="M3422" s="30" t="n">
        <f aca="false">(Sens!$M$3417-Sens!$M$3414*(1-tax))/Sens!$M$3418</f>
        <v>14.0127838001622</v>
      </c>
      <c r="P3422" s="5" t="s">
        <v>771</v>
      </c>
    </row>
    <row r="3423" customFormat="false" ht="17.15" hidden="false" customHeight="false" outlineLevel="0" collapsed="false">
      <c r="A3423" s="0" t="s">
        <v>772</v>
      </c>
      <c r="B3423" s="0" t="s">
        <v>52</v>
      </c>
      <c r="H3423" s="13" t="n">
        <f aca="false">Sens!$H$3420/Sens!$G$3420-1</f>
        <v>-0.186332606078769</v>
      </c>
      <c r="I3423" s="13" t="n">
        <f aca="false">Sens!$I$3420/Sens!$H$3420-1</f>
        <v>0.15311541891473</v>
      </c>
      <c r="J3423" s="13" t="n">
        <f aca="false">Sens!$J$3420/Sens!$I$3420-1</f>
        <v>0.151956315927866</v>
      </c>
      <c r="K3423" s="13" t="n">
        <f aca="false">Sens!$K$3420/Sens!$J$3420-1</f>
        <v>0.0928271067965056</v>
      </c>
      <c r="L3423" s="13" t="n">
        <f aca="false">Sens!$L$3420/Sens!$K$3420-1</f>
        <v>0.082916838886435</v>
      </c>
      <c r="M3423" s="13" t="n">
        <f aca="false">Sens!$M$3420/Sens!$L$3420-1</f>
        <v>0.075096137669171</v>
      </c>
    </row>
    <row r="3426" customFormat="false" ht="19.4" hidden="false" customHeight="false" outlineLevel="0" collapsed="false">
      <c r="A3426" s="31" t="s">
        <v>1220</v>
      </c>
    </row>
    <row r="3427" customFormat="false" ht="17.15" hidden="false" customHeight="false" outlineLevel="0" collapsed="false">
      <c r="A3427" s="6" t="s">
        <v>16</v>
      </c>
      <c r="B3427" s="6" t="s">
        <v>17</v>
      </c>
      <c r="C3427" s="20" t="s">
        <v>504</v>
      </c>
      <c r="D3427" s="20" t="s">
        <v>505</v>
      </c>
      <c r="E3427" s="20" t="s">
        <v>587</v>
      </c>
      <c r="F3427" s="20" t="s">
        <v>588</v>
      </c>
      <c r="G3427" s="20" t="s">
        <v>589</v>
      </c>
      <c r="H3427" s="20" t="s">
        <v>590</v>
      </c>
      <c r="I3427" s="20" t="s">
        <v>591</v>
      </c>
      <c r="J3427" s="20" t="s">
        <v>592</v>
      </c>
      <c r="K3427" s="20" t="s">
        <v>593</v>
      </c>
      <c r="L3427" s="20" t="s">
        <v>594</v>
      </c>
      <c r="M3427" s="20" t="s">
        <v>595</v>
      </c>
      <c r="N3427" s="20" t="s">
        <v>596</v>
      </c>
      <c r="O3427" s="20" t="s">
        <v>597</v>
      </c>
      <c r="P3427" s="6" t="s">
        <v>23</v>
      </c>
      <c r="R3427" s="20" t="n">
        <v>2023</v>
      </c>
      <c r="S3427" s="20" t="n">
        <v>2024</v>
      </c>
      <c r="T3427" s="20" t="n">
        <v>2025</v>
      </c>
      <c r="U3427" s="20" t="n">
        <v>2026</v>
      </c>
      <c r="V3427" s="20" t="n">
        <v>2027</v>
      </c>
      <c r="W3427" s="20" t="n">
        <v>2028</v>
      </c>
      <c r="X3427" s="20" t="n">
        <v>2029</v>
      </c>
      <c r="Y3427" s="20" t="n">
        <v>2030</v>
      </c>
      <c r="Z3427" s="20" t="n">
        <v>2031</v>
      </c>
      <c r="AA3427" s="20" t="n">
        <v>2032</v>
      </c>
    </row>
    <row r="3428" customFormat="false" ht="15" hidden="false" customHeight="false" outlineLevel="0" collapsed="false">
      <c r="A3428" s="5" t="s">
        <v>556</v>
      </c>
      <c r="B3428" s="0" t="s">
        <v>86</v>
      </c>
      <c r="C3428" s="38" t="n">
        <f aca="false">Sens!$C$3417</f>
        <v>59.248</v>
      </c>
      <c r="D3428" s="38" t="n">
        <f aca="false">Sens!$D$3417</f>
        <v>77.67</v>
      </c>
      <c r="E3428" s="38" t="n">
        <f aca="false">Sens!$E$3417</f>
        <v>92.902</v>
      </c>
      <c r="F3428" s="38" t="n">
        <f aca="false">Sens!$F$3417</f>
        <v>46.0366037135288</v>
      </c>
      <c r="G3428" s="38" t="n">
        <f aca="false">Sens!$G$3417</f>
        <v>138.938603713529</v>
      </c>
      <c r="H3428" s="38" t="n">
        <f aca="false">Sens!$H$3417</f>
        <v>103.978972808401</v>
      </c>
      <c r="I3428" s="38" t="n">
        <f aca="false">Sens!$I$3417</f>
        <v>114.283436831457</v>
      </c>
      <c r="J3428" s="38" t="n">
        <f aca="false">Sens!$J$3417</f>
        <v>127.461930474987</v>
      </c>
      <c r="K3428" s="38" t="n">
        <f aca="false">Sens!$K$3417</f>
        <v>136.05603965511</v>
      </c>
      <c r="L3428" s="38" t="n">
        <f aca="false">Sens!$L$3417</f>
        <v>147.071092049673</v>
      </c>
      <c r="M3428" s="38" t="n">
        <f aca="false">Sens!$M$3417</f>
        <v>160.583658387344</v>
      </c>
    </row>
    <row r="3429" customFormat="false" ht="17.15" hidden="false" customHeight="false" outlineLevel="0" collapsed="false">
      <c r="A3429" s="5" t="s">
        <v>795</v>
      </c>
      <c r="B3429" s="0" t="s">
        <v>86</v>
      </c>
      <c r="C3429" s="38" t="n">
        <f aca="false">Sens!$C$3405</f>
        <v>32.067</v>
      </c>
      <c r="D3429" s="38" t="n">
        <f aca="false">Sens!$D$3405</f>
        <v>41.86</v>
      </c>
      <c r="E3429" s="38" t="n">
        <f aca="false">Sens!$E$3405</f>
        <v>26.703</v>
      </c>
      <c r="F3429" s="38" t="n">
        <f aca="false">Sens!$F$3405</f>
        <v>29.152860869477</v>
      </c>
      <c r="G3429" s="38" t="n">
        <f aca="false">Sens!$G$3405</f>
        <v>55.855860869477</v>
      </c>
      <c r="H3429" s="38" t="n">
        <f aca="false">Sens!$H$3405</f>
        <v>81.382424686729</v>
      </c>
      <c r="I3429" s="38" t="n">
        <f aca="false">Sens!$I$3405</f>
        <v>118.155938464779</v>
      </c>
      <c r="J3429" s="38" t="n">
        <f aca="false">Sens!$J$3405</f>
        <v>151.153170779873</v>
      </c>
      <c r="K3429" s="38" t="n">
        <f aca="false">Sens!$K$3405</f>
        <v>184.027473520408</v>
      </c>
      <c r="L3429" s="38" t="n">
        <f aca="false">Sens!$L$3405</f>
        <v>208.383745548142</v>
      </c>
      <c r="M3429" s="38" t="n">
        <f aca="false">Sens!$M$3405</f>
        <v>224.14738979974</v>
      </c>
    </row>
    <row r="3430" customFormat="false" ht="15" hidden="false" customHeight="false" outlineLevel="0" collapsed="false">
      <c r="A3430" s="5" t="s">
        <v>796</v>
      </c>
      <c r="B3430" s="0" t="s">
        <v>86</v>
      </c>
      <c r="C3430" s="38" t="n">
        <f aca="false">Q!$D$48</f>
        <v>22.011</v>
      </c>
      <c r="D3430" s="38" t="n">
        <f aca="false">Q!$E$48</f>
        <v>19.467</v>
      </c>
      <c r="E3430" s="38" t="n">
        <f aca="false">Q!$P$48</f>
        <v>10.07</v>
      </c>
      <c r="F3430" s="38" t="n">
        <f aca="false">sbc_r*Sens!$F$3347</f>
        <v>10.8507035798037</v>
      </c>
      <c r="G3430" s="38" t="n">
        <f aca="false">Sens!$E$3430+Sens!$F$3430</f>
        <v>20.9207035798037</v>
      </c>
      <c r="H3430" s="38" t="n">
        <f aca="false">sbc_r*Sens!$H$3347</f>
        <v>23.4355244545154</v>
      </c>
      <c r="I3430" s="38" t="n">
        <f aca="false">sbc_r*Sens!$I$3347</f>
        <v>26.5231928732067</v>
      </c>
      <c r="J3430" s="38" t="n">
        <f aca="false">sbc_r*Sens!$J$3347</f>
        <v>29.4320307520403</v>
      </c>
      <c r="K3430" s="38" t="n">
        <f aca="false">sbc_r*Sens!$K$3347</f>
        <v>31.9191329754357</v>
      </c>
      <c r="L3430" s="38" t="n">
        <f aca="false">sbc_r*Sens!$L$3347</f>
        <v>34.2114126008737</v>
      </c>
      <c r="M3430" s="38" t="n">
        <f aca="false">sbc_r*Sens!$M$3347</f>
        <v>36.3159193272063</v>
      </c>
    </row>
    <row r="3431" customFormat="false" ht="17.15" hidden="false" customHeight="false" outlineLevel="0" collapsed="false">
      <c r="A3431" s="5" t="s">
        <v>797</v>
      </c>
      <c r="B3431" s="0" t="s">
        <v>86</v>
      </c>
      <c r="C3431" s="38" t="n">
        <f aca="false">Q!$D$44-Sens!$C$3428-Sens!$C$3429-Sens!$C$3430</f>
        <v>2.551</v>
      </c>
      <c r="D3431" s="38" t="n">
        <f aca="false">Q!$E$44-Sens!$D$3428-Sens!$D$3429-Sens!$D$3430</f>
        <v>0.51700000000001</v>
      </c>
      <c r="E3431" s="38" t="n">
        <f aca="false">Q!$P$44-Sens!$E$3428-Sens!$E$3429-Sens!$E$3430</f>
        <v>-58.256</v>
      </c>
      <c r="F3431" s="38" t="n">
        <f aca="false">oth_r*Sens!$F$3347</f>
        <v>5.22265251035878</v>
      </c>
      <c r="G3431" s="38" t="n">
        <f aca="false">Sens!$E$3431+Sens!$F$3431</f>
        <v>-53.0333474896412</v>
      </c>
      <c r="H3431" s="38" t="n">
        <f aca="false">oth_r*Sens!$H$3347</f>
        <v>11.2799690567314</v>
      </c>
      <c r="I3431" s="38" t="n">
        <f aca="false">oth_r*Sens!$I$3347</f>
        <v>12.7661233046502</v>
      </c>
      <c r="J3431" s="38" t="n">
        <f aca="false">oth_r*Sens!$J$3347</f>
        <v>14.1662029712253</v>
      </c>
      <c r="K3431" s="38" t="n">
        <f aca="false">oth_r*Sens!$K$3347</f>
        <v>15.363293148374</v>
      </c>
      <c r="L3431" s="38" t="n">
        <f aca="false">oth_r*Sens!$L$3347</f>
        <v>16.4666114587664</v>
      </c>
      <c r="M3431" s="38" t="n">
        <f aca="false">oth_r*Sens!$M$3347</f>
        <v>17.4795510581677</v>
      </c>
      <c r="P3431" s="8" t="s">
        <v>798</v>
      </c>
    </row>
    <row r="3432" customFormat="false" ht="15" hidden="false" customHeight="false" outlineLevel="0" collapsed="false">
      <c r="A3432" s="3" t="s">
        <v>562</v>
      </c>
      <c r="B3432" s="8" t="s">
        <v>86</v>
      </c>
      <c r="C3432" s="38" t="n">
        <f aca="false">Q!$D$44</f>
        <v>115.877</v>
      </c>
      <c r="D3432" s="38" t="n">
        <f aca="false">Q!$E$44</f>
        <v>139.514</v>
      </c>
      <c r="E3432" s="38" t="n">
        <f aca="false">Q!$P$44</f>
        <v>71.419</v>
      </c>
      <c r="F3432" s="38" t="n">
        <f aca="false">Sens!$F$3428+Sens!$F$3429+Sens!$F$3430+Sens!$F$3431</f>
        <v>91.2628206731683</v>
      </c>
      <c r="G3432" s="38" t="n">
        <f aca="false">Sens!$E$3432+Sens!$F$3432</f>
        <v>162.681820673168</v>
      </c>
      <c r="H3432" s="38" t="n">
        <f aca="false">Sens!$H$3428+Sens!$H$3429+Sens!$H$3430+Sens!$H$3431</f>
        <v>220.076891006377</v>
      </c>
      <c r="I3432" s="38" t="n">
        <f aca="false">Sens!$I$3428+Sens!$I$3429+Sens!$I$3430+Sens!$I$3431</f>
        <v>271.728691474093</v>
      </c>
      <c r="J3432" s="38" t="n">
        <f aca="false">Sens!$J$3428+Sens!$J$3429+Sens!$J$3430+Sens!$J$3431</f>
        <v>322.213334978126</v>
      </c>
      <c r="K3432" s="38" t="n">
        <f aca="false">Sens!$K$3428+Sens!$K$3429+Sens!$K$3430+Sens!$K$3431</f>
        <v>367.365939299328</v>
      </c>
      <c r="L3432" s="38" t="n">
        <f aca="false">Sens!$L$3428+Sens!$L$3429+Sens!$L$3430+Sens!$L$3431</f>
        <v>406.132861657455</v>
      </c>
      <c r="M3432" s="38" t="n">
        <f aca="false">Sens!$M$3428+Sens!$M$3429+Sens!$M$3430+Sens!$M$3431</f>
        <v>438.526518572458</v>
      </c>
    </row>
    <row r="3433" customFormat="false" ht="17.15" hidden="false" customHeight="false" outlineLevel="0" collapsed="false">
      <c r="A3433" s="5" t="s">
        <v>799</v>
      </c>
      <c r="B3433" s="0" t="s">
        <v>86</v>
      </c>
      <c r="C3433" s="38" t="n">
        <f aca="false">Sens!$C$3311</f>
        <v>25.2781053077374</v>
      </c>
      <c r="D3433" s="38" t="n">
        <f aca="false">Sens!$D$3311</f>
        <v>69.5686316310026</v>
      </c>
      <c r="E3433" s="38" t="n">
        <f aca="false">Sens!$E$3311</f>
        <v>64.1899206485108</v>
      </c>
      <c r="F3433" s="38" t="n">
        <f aca="false">Sens!$F$3311</f>
        <v>88.7165504612134</v>
      </c>
      <c r="G3433" s="38" t="n">
        <f aca="false">Sens!$G$3311</f>
        <v>152.906471109724</v>
      </c>
      <c r="H3433" s="38" t="n">
        <f aca="false">Sens!$H$3311</f>
        <v>198.57136494475</v>
      </c>
      <c r="I3433" s="38" t="n">
        <f aca="false">Sens!$I$3311</f>
        <v>204.6464699105</v>
      </c>
      <c r="J3433" s="38" t="n">
        <f aca="false">Sens!$J$3311</f>
        <v>209.8832381105</v>
      </c>
      <c r="K3433" s="38" t="n">
        <f aca="false">Sens!$K$3311</f>
        <v>155.238385275201</v>
      </c>
      <c r="L3433" s="38" t="n">
        <f aca="false">Sens!$L$3311</f>
        <v>132.014141639902</v>
      </c>
      <c r="M3433" s="38" t="n">
        <f aca="false">Sens!$M$3311</f>
        <v>132.230981659852</v>
      </c>
    </row>
    <row r="3434" customFormat="false" ht="17.15" hidden="false" customHeight="false" outlineLevel="0" collapsed="false">
      <c r="A3434" s="5" t="s">
        <v>800</v>
      </c>
      <c r="B3434" s="0" t="s">
        <v>86</v>
      </c>
      <c r="C3434" s="38" t="n">
        <f aca="false">cx_awso*Sens!$C$3345</f>
        <v>21.0469989286053</v>
      </c>
      <c r="D3434" s="38" t="n">
        <f aca="false">cx_awso*Sens!$D$3345</f>
        <v>24.0042459822698</v>
      </c>
      <c r="E3434" s="38" t="n">
        <f aca="false">cx_awso*Sens!$E$3345</f>
        <v>14.261729404886</v>
      </c>
      <c r="F3434" s="38" t="n">
        <f aca="false">cx_awso*Sens!$F$3345</f>
        <v>14.3538599588493</v>
      </c>
      <c r="G3434" s="38" t="n">
        <f aca="false">Sens!$E$3434+Sens!$F$3434</f>
        <v>28.6155893637353</v>
      </c>
      <c r="H3434" s="38" t="n">
        <f aca="false">cx_awso*Sens!$H$3345</f>
        <v>31.9887984956126</v>
      </c>
      <c r="I3434" s="38" t="n">
        <f aca="false">cx_awso*Sens!$I$3345</f>
        <v>35.035840758496</v>
      </c>
      <c r="J3434" s="38" t="n">
        <f aca="false">cx_awso*Sens!$J$3345</f>
        <v>37.5803784978005</v>
      </c>
      <c r="K3434" s="38" t="n">
        <f aca="false">cx_awso*Sens!$K$3345</f>
        <v>39.4593974226905</v>
      </c>
      <c r="L3434" s="38" t="n">
        <f aca="false">cx_awso*Sens!$L$3345</f>
        <v>41.4323672938251</v>
      </c>
      <c r="M3434" s="38" t="n">
        <f aca="false">cx_awso*Sens!$M$3345</f>
        <v>43.5039856585163</v>
      </c>
    </row>
    <row r="3435" customFormat="false" ht="17.15" hidden="false" customHeight="false" outlineLevel="0" collapsed="false">
      <c r="A3435" s="5" t="s">
        <v>801</v>
      </c>
      <c r="B3435" s="0" t="s">
        <v>86</v>
      </c>
      <c r="C3435" s="38" t="n">
        <f aca="false">Q!$D$46-Sens!$C$3433-Sens!$C$3434</f>
        <v>31.3328957636573</v>
      </c>
      <c r="D3435" s="38" t="n">
        <f aca="false">Q!$E$46-Sens!$D$3433-Sens!$D$3434</f>
        <v>34.7471223867276</v>
      </c>
      <c r="E3435" s="38" t="n">
        <f aca="false">Q!$P$46-Sens!$E$3433-Sens!$E$3434</f>
        <v>17.8583499466032</v>
      </c>
      <c r="F3435" s="38" t="n">
        <f aca="false">cx_rt*Sens!$F$3274</f>
        <v>20.6195895799373</v>
      </c>
      <c r="G3435" s="38" t="n">
        <f aca="false">Sens!$E$3435+Sens!$F$3435</f>
        <v>38.4779395265405</v>
      </c>
      <c r="H3435" s="38" t="n">
        <f aca="false">cx_rt*Sens!$H$3274</f>
        <v>42.5978994743075</v>
      </c>
      <c r="I3435" s="38" t="n">
        <f aca="false">cx_rt*Sens!$I$3274</f>
        <v>46.5813904136335</v>
      </c>
      <c r="J3435" s="38" t="n">
        <f aca="false">cx_rt*Sens!$J$3274</f>
        <v>50.2781676586844</v>
      </c>
      <c r="K3435" s="38" t="n">
        <f aca="false">cx_rt*Sens!$K$3274</f>
        <v>53.5312440191755</v>
      </c>
      <c r="L3435" s="38" t="n">
        <f aca="false">cx_rt*Sens!$L$3274</f>
        <v>57.0116717051447</v>
      </c>
      <c r="M3435" s="38" t="n">
        <f aca="false">cx_rt*Sens!$M$3274</f>
        <v>60.7365554669226</v>
      </c>
    </row>
    <row r="3436" customFormat="false" ht="15" hidden="false" customHeight="false" outlineLevel="0" collapsed="false">
      <c r="A3436" s="3" t="s">
        <v>802</v>
      </c>
      <c r="B3436" s="8" t="s">
        <v>86</v>
      </c>
      <c r="C3436" s="38" t="n">
        <f aca="false">Q!$D$46</f>
        <v>77.658</v>
      </c>
      <c r="D3436" s="38" t="n">
        <f aca="false">Q!$E$46</f>
        <v>128.32</v>
      </c>
      <c r="E3436" s="38" t="n">
        <f aca="false">Q!$P$46</f>
        <v>96.31</v>
      </c>
      <c r="F3436" s="38" t="n">
        <f aca="false">Sens!$F$3433+Sens!$F$3434+Sens!$F$3435</f>
        <v>123.69</v>
      </c>
      <c r="G3436" s="38" t="n">
        <f aca="false">Sens!$E$3436+Sens!$F$3436</f>
        <v>220</v>
      </c>
      <c r="H3436" s="38" t="n">
        <f aca="false">Sens!$H$3433+Sens!$H$3434+Sens!$H$3435</f>
        <v>273.15806291467</v>
      </c>
      <c r="I3436" s="38" t="n">
        <f aca="false">Sens!$I$3433+Sens!$I$3434+Sens!$I$3435</f>
        <v>286.26370108263</v>
      </c>
      <c r="J3436" s="38" t="n">
        <f aca="false">Sens!$J$3433+Sens!$J$3434+Sens!$J$3435</f>
        <v>297.741784266985</v>
      </c>
      <c r="K3436" s="38" t="n">
        <f aca="false">Sens!$K$3433+Sens!$K$3434+Sens!$K$3435</f>
        <v>248.229026717067</v>
      </c>
      <c r="L3436" s="38" t="n">
        <f aca="false">Sens!$L$3433+Sens!$L$3434+Sens!$L$3435</f>
        <v>230.458180638872</v>
      </c>
      <c r="M3436" s="38" t="n">
        <f aca="false">Sens!$M$3433+Sens!$M$3434+Sens!$M$3435</f>
        <v>236.471522785291</v>
      </c>
    </row>
    <row r="3437" customFormat="false" ht="17.15" hidden="false" customHeight="false" outlineLevel="0" collapsed="false">
      <c r="A3437" s="5" t="s">
        <v>570</v>
      </c>
      <c r="B3437" s="0" t="s">
        <v>86</v>
      </c>
      <c r="C3437" s="38" t="n">
        <f aca="false">Q!$D$50</f>
        <v>2.043</v>
      </c>
      <c r="D3437" s="38" t="n">
        <f aca="false">Q!$E$50</f>
        <v>1.557</v>
      </c>
      <c r="E3437" s="38" t="n">
        <f aca="false">lease_pr/2</f>
        <v>0.8</v>
      </c>
      <c r="F3437" s="38" t="n">
        <f aca="false">lease_pr/2</f>
        <v>0.8</v>
      </c>
      <c r="G3437" s="38" t="n">
        <f aca="false">Sens!$E$3437+Sens!$F$3437</f>
        <v>1.6</v>
      </c>
      <c r="H3437" s="38" t="n">
        <f aca="false">lease_pr</f>
        <v>1.6</v>
      </c>
      <c r="I3437" s="38" t="n">
        <f aca="false">lease_pr</f>
        <v>1.6</v>
      </c>
      <c r="J3437" s="38" t="n">
        <f aca="false">lease_pr</f>
        <v>1.6</v>
      </c>
      <c r="K3437" s="38" t="n">
        <f aca="false">lease_pr</f>
        <v>1.6</v>
      </c>
      <c r="L3437" s="38" t="n">
        <f aca="false">lease_pr</f>
        <v>1.6</v>
      </c>
      <c r="M3437" s="38" t="n">
        <f aca="false">lease_pr</f>
        <v>1.6</v>
      </c>
      <c r="P3437" s="8" t="s">
        <v>803</v>
      </c>
    </row>
    <row r="3438" customFormat="false" ht="15" hidden="false" customHeight="false" outlineLevel="0" collapsed="false">
      <c r="A3438" s="47" t="s">
        <v>804</v>
      </c>
      <c r="B3438" s="14" t="s">
        <v>86</v>
      </c>
      <c r="C3438" s="48" t="n">
        <f aca="false">Sens!$C$3432-Sens!$C$3436-Sens!$C$3437</f>
        <v>36.176</v>
      </c>
      <c r="D3438" s="48" t="n">
        <f aca="false">Sens!$D$3432-Sens!$D$3436-Sens!$D$3437</f>
        <v>9.63700000000002</v>
      </c>
      <c r="E3438" s="48" t="n">
        <f aca="false">Sens!$E$3432-Sens!$E$3436-Sens!$E$3437</f>
        <v>-25.691</v>
      </c>
      <c r="F3438" s="48" t="n">
        <f aca="false">Sens!$F$3432-Sens!$F$3436-Sens!$F$3437</f>
        <v>-33.2271793268317</v>
      </c>
      <c r="G3438" s="48" t="n">
        <f aca="false">Sens!$G$3432-Sens!$G$3436-Sens!$G$3437</f>
        <v>-58.9181793268317</v>
      </c>
      <c r="H3438" s="48" t="n">
        <f aca="false">Sens!$H$3432-Sens!$H$3436-Sens!$H$3437</f>
        <v>-54.6811719082932</v>
      </c>
      <c r="I3438" s="48" t="n">
        <f aca="false">Sens!$I$3432-Sens!$I$3436-Sens!$I$3437</f>
        <v>-16.1350096085368</v>
      </c>
      <c r="J3438" s="48" t="n">
        <f aca="false">Sens!$J$3432-Sens!$J$3436-Sens!$J$3437</f>
        <v>22.8715507111407</v>
      </c>
      <c r="K3438" s="48" t="n">
        <f aca="false">Sens!$K$3432-Sens!$K$3436-Sens!$K$3437</f>
        <v>117.536912582261</v>
      </c>
      <c r="L3438" s="48" t="n">
        <f aca="false">Sens!$L$3432-Sens!$L$3436-Sens!$L$3437</f>
        <v>174.074681018584</v>
      </c>
      <c r="M3438" s="48" t="n">
        <f aca="false">Sens!$M$3432-Sens!$M$3436-Sens!$M$3437</f>
        <v>200.454995787166</v>
      </c>
      <c r="N3438" s="14"/>
      <c r="O3438" s="14"/>
    </row>
    <row r="3439" customFormat="false" ht="17.15" hidden="false" customHeight="false" outlineLevel="0" collapsed="false">
      <c r="A3439" s="5" t="s">
        <v>805</v>
      </c>
      <c r="B3439" s="0" t="s">
        <v>86</v>
      </c>
      <c r="C3439" s="38" t="n">
        <f aca="false">dps*Sens!$C$3418</f>
        <v>0</v>
      </c>
      <c r="D3439" s="38" t="n">
        <f aca="false">dps*Sens!$D$3418</f>
        <v>0</v>
      </c>
      <c r="E3439" s="38" t="n">
        <f aca="false">dps*Sens!$E$3418</f>
        <v>0</v>
      </c>
      <c r="F3439" s="38" t="n">
        <f aca="false">0</f>
        <v>0</v>
      </c>
      <c r="G3439" s="38" t="n">
        <f aca="false">dps*Sens!$G$3418</f>
        <v>0</v>
      </c>
      <c r="H3439" s="38" t="n">
        <f aca="false">dps*Sens!$H$3418</f>
        <v>0</v>
      </c>
      <c r="I3439" s="38" t="n">
        <f aca="false">dps*Sens!$I$3418</f>
        <v>0</v>
      </c>
      <c r="J3439" s="38" t="n">
        <f aca="false">dps*Sens!$J$3418</f>
        <v>0</v>
      </c>
      <c r="K3439" s="38" t="n">
        <f aca="false">dps*Sens!$K$3418</f>
        <v>0</v>
      </c>
      <c r="L3439" s="38" t="n">
        <f aca="false">dps*Sens!$L$3418</f>
        <v>0</v>
      </c>
      <c r="M3439" s="38" t="n">
        <f aca="false">dps*Sens!$M$3418</f>
        <v>0</v>
      </c>
      <c r="P3439" s="8" t="s">
        <v>806</v>
      </c>
    </row>
    <row r="3440" customFormat="false" ht="17.15" hidden="false" customHeight="false" outlineLevel="0" collapsed="false">
      <c r="A3440" s="5" t="s">
        <v>807</v>
      </c>
      <c r="B3440" s="0" t="s">
        <v>86</v>
      </c>
      <c r="C3440" s="38" t="n">
        <f aca="false">0</f>
        <v>0</v>
      </c>
      <c r="D3440" s="38" t="n">
        <f aca="false">0</f>
        <v>0</v>
      </c>
      <c r="E3440" s="38" t="n">
        <f aca="false">0</f>
        <v>0</v>
      </c>
      <c r="F3440" s="38" t="n">
        <f aca="false">0</f>
        <v>0</v>
      </c>
      <c r="G3440" s="38" t="n">
        <f aca="false">0</f>
        <v>0</v>
      </c>
      <c r="H3440" s="38" t="n">
        <f aca="false">0</f>
        <v>0</v>
      </c>
      <c r="I3440" s="38" t="n">
        <f aca="false">0</f>
        <v>0</v>
      </c>
      <c r="J3440" s="38" t="n">
        <f aca="false">0</f>
        <v>0</v>
      </c>
      <c r="K3440" s="38" t="n">
        <f aca="false">0</f>
        <v>0</v>
      </c>
      <c r="L3440" s="38" t="n">
        <f aca="false">0</f>
        <v>0</v>
      </c>
      <c r="M3440" s="38" t="n">
        <f aca="false">0</f>
        <v>0</v>
      </c>
      <c r="P3440" s="8" t="s">
        <v>808</v>
      </c>
    </row>
    <row r="3441" customFormat="false" ht="15" hidden="false" customHeight="false" outlineLevel="0" collapsed="false">
      <c r="A3441" s="3" t="s">
        <v>809</v>
      </c>
      <c r="B3441" s="8" t="s">
        <v>86</v>
      </c>
      <c r="C3441" s="38" t="n">
        <f aca="false">Sens!$C$3438-Sens!$C$3439</f>
        <v>36.176</v>
      </c>
      <c r="D3441" s="38" t="n">
        <f aca="false">Sens!$D$3438-Sens!$D$3439</f>
        <v>9.63700000000002</v>
      </c>
      <c r="E3441" s="38" t="n">
        <f aca="false">Sens!$E$3438-Sens!$E$3439</f>
        <v>-25.691</v>
      </c>
      <c r="F3441" s="38" t="n">
        <f aca="false">Sens!$F$3438-Sens!$F$3439</f>
        <v>-33.2271793268317</v>
      </c>
      <c r="G3441" s="38" t="n">
        <f aca="false">Sens!$G$3438-Sens!$G$3439</f>
        <v>-58.9181793268317</v>
      </c>
      <c r="H3441" s="38" t="n">
        <f aca="false">Sens!$H$3438-Sens!$H$3439</f>
        <v>-54.6811719082932</v>
      </c>
      <c r="I3441" s="38" t="n">
        <f aca="false">Sens!$I$3438-Sens!$I$3439</f>
        <v>-16.1350096085368</v>
      </c>
      <c r="J3441" s="38" t="n">
        <f aca="false">Sens!$J$3438-Sens!$J$3439</f>
        <v>22.8715507111407</v>
      </c>
      <c r="K3441" s="38" t="n">
        <f aca="false">Sens!$K$3438-Sens!$K$3439</f>
        <v>117.536912582261</v>
      </c>
      <c r="L3441" s="38" t="n">
        <f aca="false">Sens!$L$3438-Sens!$L$3439</f>
        <v>174.074681018584</v>
      </c>
      <c r="M3441" s="38" t="n">
        <f aca="false">Sens!$M$3438-Sens!$M$3439</f>
        <v>200.454995787166</v>
      </c>
    </row>
    <row r="3442" customFormat="false" ht="17.15" hidden="false" customHeight="false" outlineLevel="0" collapsed="false">
      <c r="A3442" s="5" t="s">
        <v>810</v>
      </c>
      <c r="B3442" s="0" t="s">
        <v>86</v>
      </c>
      <c r="E3442" s="38" t="n">
        <f aca="false">Q!$P$53</f>
        <v>39.767</v>
      </c>
      <c r="F3442" s="38" t="n">
        <f aca="false">inv_2h26</f>
        <v>21.3</v>
      </c>
      <c r="G3442" s="38" t="n">
        <f aca="false">Sens!$E$3442+Sens!$F$3442</f>
        <v>61.067</v>
      </c>
      <c r="H3442" s="39" t="n">
        <v>0</v>
      </c>
      <c r="I3442" s="39" t="n">
        <v>0</v>
      </c>
      <c r="J3442" s="39" t="n">
        <v>0</v>
      </c>
      <c r="K3442" s="39" t="n">
        <v>0</v>
      </c>
      <c r="L3442" s="39" t="n">
        <v>0</v>
      </c>
      <c r="M3442" s="39" t="n">
        <v>0</v>
      </c>
    </row>
    <row r="3443" customFormat="false" ht="17.15" hidden="false" customHeight="false" outlineLevel="0" collapsed="false">
      <c r="A3443" s="5" t="s">
        <v>811</v>
      </c>
      <c r="B3443" s="0" t="s">
        <v>86</v>
      </c>
      <c r="F3443" s="38" t="n">
        <f aca="false">iss_2h26</f>
        <v>29.249999</v>
      </c>
      <c r="G3443" s="38" t="n">
        <f aca="false">Sens!$F$3443</f>
        <v>29.249999</v>
      </c>
      <c r="H3443" s="39" t="n">
        <v>0</v>
      </c>
      <c r="I3443" s="39" t="n">
        <v>0</v>
      </c>
      <c r="J3443" s="39" t="n">
        <v>0</v>
      </c>
      <c r="K3443" s="39" t="n">
        <v>0</v>
      </c>
      <c r="L3443" s="39" t="n">
        <v>0</v>
      </c>
      <c r="M3443" s="39" t="n">
        <v>0</v>
      </c>
    </row>
    <row r="3444" customFormat="false" ht="17.15" hidden="false" customHeight="false" outlineLevel="0" collapsed="false">
      <c r="A3444" s="5" t="s">
        <v>812</v>
      </c>
      <c r="B3444" s="0" t="s">
        <v>86</v>
      </c>
      <c r="F3444" s="38" t="n">
        <f aca="false">cash_q2</f>
        <v>122.988</v>
      </c>
      <c r="G3444" s="38" t="n">
        <f aca="false">cash_q2</f>
        <v>122.988</v>
      </c>
      <c r="H3444" s="38" t="n">
        <f aca="false">Sens!$G$3447</f>
        <v>97.7108196731683</v>
      </c>
      <c r="I3444" s="38" t="n">
        <f aca="false">Sens!$H$3447</f>
        <v>50</v>
      </c>
      <c r="J3444" s="38" t="n">
        <f aca="false">Sens!$I$3447</f>
        <v>50</v>
      </c>
      <c r="K3444" s="38" t="n">
        <f aca="false">Sens!$J$3447</f>
        <v>72.8715507111407</v>
      </c>
      <c r="L3444" s="38" t="n">
        <f aca="false">Sens!$K$3447</f>
        <v>190.408463293402</v>
      </c>
      <c r="M3444" s="38" t="n">
        <f aca="false">Sens!$L$3447</f>
        <v>364.483144311985</v>
      </c>
    </row>
    <row r="3445" customFormat="false" ht="15" hidden="false" customHeight="false" outlineLevel="0" collapsed="false">
      <c r="A3445" s="5" t="s">
        <v>813</v>
      </c>
      <c r="B3445" s="0" t="s">
        <v>86</v>
      </c>
      <c r="F3445" s="38" t="n">
        <f aca="false">Sens!$F$3444+Sens!$F$3441-Sens!$F$3440-Sens!$F$3442+Sens!$F$3443</f>
        <v>97.7108196731683</v>
      </c>
      <c r="H3445" s="38" t="n">
        <f aca="false">Sens!$H$3444+Sens!$H$3441-Sens!$H$3440-Sens!$H$3442+Sens!$H$3443</f>
        <v>43.0296477648751</v>
      </c>
      <c r="I3445" s="38" t="n">
        <f aca="false">Sens!$I$3444+Sens!$I$3441-Sens!$I$3440-Sens!$I$3442+Sens!$I$3443</f>
        <v>33.8649903914632</v>
      </c>
      <c r="J3445" s="38" t="n">
        <f aca="false">Sens!$J$3444+Sens!$J$3441-Sens!$J$3440-Sens!$J$3442+Sens!$J$3443</f>
        <v>72.8715507111407</v>
      </c>
      <c r="K3445" s="38" t="n">
        <f aca="false">Sens!$K$3444+Sens!$K$3441-Sens!$K$3440-Sens!$K$3442+Sens!$K$3443</f>
        <v>190.408463293402</v>
      </c>
      <c r="L3445" s="38" t="n">
        <f aca="false">Sens!$L$3444+Sens!$L$3441-Sens!$L$3440-Sens!$L$3442+Sens!$L$3443</f>
        <v>364.483144311985</v>
      </c>
      <c r="M3445" s="38" t="n">
        <f aca="false">Sens!$M$3444+Sens!$M$3441-Sens!$M$3440-Sens!$M$3442+Sens!$M$3443</f>
        <v>564.938140099152</v>
      </c>
    </row>
    <row r="3446" customFormat="false" ht="17.15" hidden="false" customHeight="false" outlineLevel="0" collapsed="false">
      <c r="A3446" s="5" t="s">
        <v>814</v>
      </c>
      <c r="B3446" s="0" t="s">
        <v>86</v>
      </c>
      <c r="F3446" s="38" t="n">
        <f aca="false">MAX(0,min_cash-Sens!$F$3445)</f>
        <v>0</v>
      </c>
      <c r="G3446" s="38" t="n">
        <f aca="false">Sens!$F$3446</f>
        <v>0</v>
      </c>
      <c r="H3446" s="38" t="n">
        <f aca="false">MAX(0,min_cash-Sens!$H$3445)</f>
        <v>6.97035223512494</v>
      </c>
      <c r="I3446" s="38" t="n">
        <f aca="false">MAX(0,min_cash-Sens!$I$3445)</f>
        <v>16.1350096085368</v>
      </c>
      <c r="J3446" s="38" t="n">
        <f aca="false">MAX(0,min_cash-Sens!$J$3445)</f>
        <v>0</v>
      </c>
      <c r="K3446" s="38" t="n">
        <f aca="false">MAX(0,min_cash-Sens!$K$3445)</f>
        <v>0</v>
      </c>
      <c r="L3446" s="38" t="n">
        <f aca="false">MAX(0,min_cash-Sens!$L$3445)</f>
        <v>0</v>
      </c>
      <c r="M3446" s="38" t="n">
        <f aca="false">MAX(0,min_cash-Sens!$M$3445)</f>
        <v>0</v>
      </c>
      <c r="P3446" s="5" t="s">
        <v>815</v>
      </c>
    </row>
    <row r="3447" customFormat="false" ht="15" hidden="false" customHeight="false" outlineLevel="0" collapsed="false">
      <c r="A3447" s="5" t="s">
        <v>816</v>
      </c>
      <c r="B3447" s="0" t="s">
        <v>86</v>
      </c>
      <c r="D3447" s="38" t="n">
        <f aca="false">Q!$E$61</f>
        <v>123.029</v>
      </c>
      <c r="E3447" s="38" t="n">
        <f aca="false">Q!$M$61</f>
        <v>122.988</v>
      </c>
      <c r="F3447" s="38" t="n">
        <f aca="false">Sens!$F$3445+Sens!$F$3446</f>
        <v>97.7108196731683</v>
      </c>
      <c r="G3447" s="38" t="n">
        <f aca="false">Sens!$F$3447</f>
        <v>97.7108196731683</v>
      </c>
      <c r="H3447" s="38" t="n">
        <f aca="false">Sens!$H$3445+Sens!$H$3446</f>
        <v>50</v>
      </c>
      <c r="I3447" s="38" t="n">
        <f aca="false">Sens!$I$3445+Sens!$I$3446</f>
        <v>50</v>
      </c>
      <c r="J3447" s="38" t="n">
        <f aca="false">Sens!$J$3445+Sens!$J$3446</f>
        <v>72.8715507111407</v>
      </c>
      <c r="K3447" s="38" t="n">
        <f aca="false">Sens!$K$3445+Sens!$K$3446</f>
        <v>190.408463293402</v>
      </c>
      <c r="L3447" s="38" t="n">
        <f aca="false">Sens!$L$3445+Sens!$L$3446</f>
        <v>364.483144311985</v>
      </c>
      <c r="M3447" s="38" t="n">
        <f aca="false">Sens!$M$3445+Sens!$M$3446</f>
        <v>564.938140099152</v>
      </c>
    </row>
    <row r="3448" customFormat="false" ht="15" hidden="false" customHeight="false" outlineLevel="0" collapsed="false">
      <c r="A3448" s="5" t="s">
        <v>817</v>
      </c>
      <c r="B3448" s="0" t="s">
        <v>86</v>
      </c>
      <c r="D3448" s="38" t="n">
        <f aca="false">Q!$E$62</f>
        <v>68.836</v>
      </c>
      <c r="E3448" s="38" t="n">
        <f aca="false">Q!$M$62</f>
        <v>132.995</v>
      </c>
      <c r="F3448" s="38" t="n">
        <f aca="false">debt_q2+Sens!$F$3443+Sens!$F$3446</f>
        <v>162.244999</v>
      </c>
      <c r="G3448" s="38" t="n">
        <f aca="false">Sens!$F$3448</f>
        <v>162.244999</v>
      </c>
      <c r="H3448" s="38" t="n">
        <f aca="false">Sens!$G$3448+Sens!$H$3446</f>
        <v>169.215351235125</v>
      </c>
      <c r="I3448" s="38" t="n">
        <f aca="false">Sens!$H$3448+Sens!$I$3446</f>
        <v>185.350360843662</v>
      </c>
      <c r="J3448" s="38" t="n">
        <f aca="false">Sens!$I$3448+Sens!$J$3446</f>
        <v>185.350360843662</v>
      </c>
      <c r="K3448" s="38" t="n">
        <f aca="false">Sens!$J$3448+Sens!$K$3446</f>
        <v>185.350360843662</v>
      </c>
      <c r="L3448" s="38" t="n">
        <f aca="false">Sens!$K$3448+Sens!$L$3446</f>
        <v>185.350360843662</v>
      </c>
      <c r="M3448" s="38" t="n">
        <f aca="false">Sens!$L$3448+Sens!$M$3446</f>
        <v>185.350360843662</v>
      </c>
    </row>
    <row r="3449" customFormat="false" ht="15" hidden="false" customHeight="false" outlineLevel="0" collapsed="false">
      <c r="A3449" s="5" t="s">
        <v>818</v>
      </c>
      <c r="B3449" s="0" t="s">
        <v>86</v>
      </c>
      <c r="D3449" s="38" t="n">
        <f aca="false">Sens!$D$3448-Sens!$D$3447</f>
        <v>-54.193</v>
      </c>
      <c r="E3449" s="38" t="n">
        <f aca="false">Sens!$E$3448-Sens!$E$3447</f>
        <v>10.007</v>
      </c>
      <c r="F3449" s="38" t="n">
        <f aca="false">Sens!$F$3448-Sens!$F$3447</f>
        <v>64.5341793268317</v>
      </c>
      <c r="G3449" s="38" t="n">
        <f aca="false">Sens!$G$3448-Sens!$G$3447</f>
        <v>64.5341793268317</v>
      </c>
      <c r="H3449" s="38" t="n">
        <f aca="false">Sens!$H$3448-Sens!$H$3447</f>
        <v>119.215351235125</v>
      </c>
      <c r="I3449" s="38" t="n">
        <f aca="false">Sens!$I$3448-Sens!$I$3447</f>
        <v>135.350360843662</v>
      </c>
      <c r="J3449" s="38" t="n">
        <f aca="false">Sens!$J$3448-Sens!$J$3447</f>
        <v>112.478810132521</v>
      </c>
      <c r="K3449" s="38" t="n">
        <f aca="false">Sens!$K$3448-Sens!$K$3447</f>
        <v>-5.05810244973981</v>
      </c>
      <c r="L3449" s="38" t="n">
        <f aca="false">Sens!$L$3448-Sens!$L$3447</f>
        <v>-179.132783468323</v>
      </c>
      <c r="M3449" s="38" t="n">
        <f aca="false">Sens!$M$3448-Sens!$M$3447</f>
        <v>-379.58777925549</v>
      </c>
    </row>
    <row r="3450" customFormat="false" ht="17.15" hidden="false" customHeight="false" outlineLevel="0" collapsed="false">
      <c r="A3450" s="5" t="s">
        <v>819</v>
      </c>
      <c r="B3450" s="0" t="s">
        <v>86</v>
      </c>
      <c r="F3450" s="38" t="n">
        <f aca="false">debt_q2*kd_book*0.5+iss_2h26*kd_new*iss_t</f>
        <v>3.24888962733561</v>
      </c>
      <c r="H3450" s="38" t="n">
        <f aca="false">debt_q2*kd_book+(Sens!$G$3448-debt_q2)*kd_new</f>
        <v>7.42354172302123</v>
      </c>
      <c r="I3450" s="38" t="n">
        <f aca="false">debt_q2*kd_book+(Sens!$H$3448-debt_q2)*kd_new</f>
        <v>7.86476501950464</v>
      </c>
      <c r="J3450" s="38" t="n">
        <f aca="false">debt_q2*kd_book+(Sens!$I$3448-debt_q2)*kd_new</f>
        <v>8.88611112772501</v>
      </c>
      <c r="K3450" s="38" t="n">
        <f aca="false">debt_q2*kd_book+(Sens!$J$3448-debt_q2)*kd_new</f>
        <v>8.88611112772501</v>
      </c>
      <c r="L3450" s="38" t="n">
        <f aca="false">debt_q2*kd_book+(Sens!$K$3448-debt_q2)*kd_new</f>
        <v>8.88611112772501</v>
      </c>
      <c r="M3450" s="38" t="n">
        <f aca="false">debt_q2*kd_book+(Sens!$L$3448-debt_q2)*kd_new</f>
        <v>8.88611112772501</v>
      </c>
    </row>
    <row r="3451" customFormat="false" ht="17.15" hidden="false" customHeight="false" outlineLevel="0" collapsed="false">
      <c r="A3451" s="5" t="s">
        <v>820</v>
      </c>
      <c r="B3451" s="0" t="s">
        <v>86</v>
      </c>
      <c r="F3451" s="38" t="n">
        <f aca="false">cash_q2*y_cash*0.5</f>
        <v>2.59</v>
      </c>
      <c r="H3451" s="38" t="n">
        <f aca="false">Sens!$G$3447*y_cash</f>
        <v>4.1153774832261</v>
      </c>
      <c r="I3451" s="38" t="n">
        <f aca="false">Sens!$H$3447*y_cash</f>
        <v>2.10589651022864</v>
      </c>
      <c r="J3451" s="38" t="n">
        <f aca="false">Sens!$I$3447*y_cash</f>
        <v>2.10589651022864</v>
      </c>
      <c r="K3451" s="38" t="n">
        <f aca="false">Sens!$J$3447*y_cash</f>
        <v>3.06919888675081</v>
      </c>
      <c r="L3451" s="38" t="n">
        <f aca="false">Sens!$K$3447*y_cash</f>
        <v>8.01961036735145</v>
      </c>
      <c r="M3451" s="38" t="n">
        <f aca="false">Sens!$L$3447*y_cash</f>
        <v>15.3512756328754</v>
      </c>
    </row>
    <row r="3452" customFormat="false" ht="17.15" hidden="false" customHeight="false" outlineLevel="0" collapsed="false">
      <c r="A3452" s="47" t="s">
        <v>821</v>
      </c>
      <c r="B3452" s="14" t="s">
        <v>86</v>
      </c>
      <c r="C3452" s="14"/>
      <c r="D3452" s="14"/>
      <c r="E3452" s="14"/>
      <c r="F3452" s="14"/>
      <c r="G3452" s="48" t="n">
        <f aca="false">SUM(Sens!$G$3441:$K$3441)</f>
        <v>10.6741024497398</v>
      </c>
      <c r="H3452" s="14"/>
      <c r="I3452" s="14"/>
      <c r="J3452" s="14"/>
      <c r="K3452" s="14"/>
      <c r="L3452" s="14"/>
      <c r="M3452" s="14"/>
      <c r="N3452" s="14"/>
      <c r="O3452" s="14"/>
    </row>
    <row r="3453" customFormat="false" ht="17.15" hidden="false" customHeight="false" outlineLevel="0" collapsed="false">
      <c r="A3453" s="0" t="s">
        <v>787</v>
      </c>
      <c r="B3453" s="0" t="s">
        <v>86</v>
      </c>
      <c r="G3453" s="38" t="n">
        <f aca="false">SUM(Sens!$G$3446:$K$3446)</f>
        <v>23.1053618436617</v>
      </c>
    </row>
    <row r="3454" customFormat="false" ht="17.15" hidden="false" customHeight="false" outlineLevel="0" collapsed="false">
      <c r="A3454" s="24" t="s">
        <v>824</v>
      </c>
      <c r="B3454" s="25" t="s">
        <v>86</v>
      </c>
      <c r="C3454" s="25"/>
      <c r="D3454" s="25"/>
      <c r="E3454" s="25"/>
      <c r="F3454" s="25"/>
      <c r="G3454" s="41" t="n">
        <f aca="false">Sens!$G$3452-(Sens!$G$3441+Sens!$H$3441+Sens!$I$3441+Sens!$J$3441+Sens!$K$3441)</f>
        <v>0</v>
      </c>
      <c r="H3454" s="25"/>
      <c r="I3454" s="25"/>
      <c r="J3454" s="25"/>
      <c r="K3454" s="25"/>
      <c r="L3454" s="25"/>
      <c r="M3454" s="25"/>
      <c r="N3454" s="25"/>
      <c r="O3454" s="25"/>
    </row>
    <row r="3457" customFormat="false" ht="19.4" hidden="false" customHeight="false" outlineLevel="0" collapsed="false">
      <c r="A3457" s="31" t="s">
        <v>1221</v>
      </c>
    </row>
    <row r="3458" customFormat="false" ht="17.15" hidden="false" customHeight="false" outlineLevel="0" collapsed="false">
      <c r="A3458" s="6" t="s">
        <v>16</v>
      </c>
      <c r="B3458" s="6" t="s">
        <v>17</v>
      </c>
      <c r="C3458" s="20" t="s">
        <v>504</v>
      </c>
      <c r="D3458" s="20" t="s">
        <v>505</v>
      </c>
      <c r="E3458" s="20" t="s">
        <v>587</v>
      </c>
      <c r="F3458" s="20" t="s">
        <v>588</v>
      </c>
      <c r="G3458" s="20" t="s">
        <v>589</v>
      </c>
      <c r="H3458" s="20" t="s">
        <v>590</v>
      </c>
      <c r="I3458" s="20" t="s">
        <v>591</v>
      </c>
      <c r="J3458" s="20" t="s">
        <v>592</v>
      </c>
      <c r="K3458" s="20" t="s">
        <v>593</v>
      </c>
      <c r="L3458" s="20" t="s">
        <v>594</v>
      </c>
      <c r="M3458" s="20" t="s">
        <v>595</v>
      </c>
      <c r="N3458" s="20" t="s">
        <v>596</v>
      </c>
      <c r="O3458" s="20" t="s">
        <v>597</v>
      </c>
      <c r="P3458" s="6" t="s">
        <v>23</v>
      </c>
      <c r="R3458" s="20" t="n">
        <v>2023</v>
      </c>
      <c r="S3458" s="20" t="n">
        <v>2024</v>
      </c>
      <c r="T3458" s="20" t="n">
        <v>2025</v>
      </c>
      <c r="U3458" s="20" t="n">
        <v>2026</v>
      </c>
      <c r="V3458" s="20" t="n">
        <v>2027</v>
      </c>
      <c r="W3458" s="20" t="n">
        <v>2028</v>
      </c>
      <c r="X3458" s="20" t="n">
        <v>2029</v>
      </c>
      <c r="Y3458" s="20" t="n">
        <v>2030</v>
      </c>
      <c r="Z3458" s="20" t="n">
        <v>2031</v>
      </c>
      <c r="AA3458" s="20" t="n">
        <v>2032</v>
      </c>
    </row>
    <row r="3459" customFormat="false" ht="17.15" hidden="false" customHeight="false" outlineLevel="0" collapsed="false">
      <c r="A3459" s="1" t="s">
        <v>926</v>
      </c>
    </row>
    <row r="3460" customFormat="false" ht="17.15" hidden="false" customHeight="false" outlineLevel="0" collapsed="false">
      <c r="A3460" s="0" t="s">
        <v>927</v>
      </c>
      <c r="B3460" s="0" t="s">
        <v>86</v>
      </c>
      <c r="H3460" s="38" t="n">
        <f aca="false">Sens!$H$3394*(1-tax)</f>
        <v>119.244286879992</v>
      </c>
      <c r="I3460" s="38" t="n">
        <f aca="false">Sens!$I$3394*(1-tax)</f>
        <v>140.183919951617</v>
      </c>
      <c r="J3460" s="38" t="n">
        <f aca="false">Sens!$J$3394*(1-tax)</f>
        <v>162.854641692</v>
      </c>
      <c r="K3460" s="38" t="n">
        <f aca="false">Sens!$K$3394*(1-tax)</f>
        <v>178.030531634998</v>
      </c>
      <c r="L3460" s="38" t="n">
        <f aca="false">Sens!$L$3394*(1-tax)</f>
        <v>189.803259026296</v>
      </c>
      <c r="M3460" s="38" t="n">
        <f aca="false">Sens!$M$3394*(1-tax)</f>
        <v>199.570268593188</v>
      </c>
    </row>
    <row r="3461" customFormat="false" ht="15" hidden="false" customHeight="false" outlineLevel="0" collapsed="false">
      <c r="A3461" s="5" t="s">
        <v>928</v>
      </c>
      <c r="B3461" s="0" t="s">
        <v>86</v>
      </c>
      <c r="H3461" s="38" t="n">
        <f aca="false">Sens!$H$3405</f>
        <v>81.382424686729</v>
      </c>
      <c r="I3461" s="38" t="n">
        <f aca="false">Sens!$I$3405</f>
        <v>118.155938464779</v>
      </c>
      <c r="J3461" s="38" t="n">
        <f aca="false">Sens!$J$3405</f>
        <v>151.153170779873</v>
      </c>
      <c r="K3461" s="38" t="n">
        <f aca="false">Sens!$K$3405</f>
        <v>184.027473520408</v>
      </c>
      <c r="L3461" s="38" t="n">
        <f aca="false">Sens!$L$3405</f>
        <v>208.383745548142</v>
      </c>
      <c r="M3461" s="38" t="n">
        <f aca="false">Sens!$M$3405</f>
        <v>224.14738979974</v>
      </c>
    </row>
    <row r="3462" customFormat="false" ht="15" hidden="false" customHeight="false" outlineLevel="0" collapsed="false">
      <c r="A3462" s="5" t="s">
        <v>929</v>
      </c>
      <c r="B3462" s="0" t="s">
        <v>86</v>
      </c>
      <c r="H3462" s="38" t="n">
        <f aca="false">Sens!$H$3436</f>
        <v>273.15806291467</v>
      </c>
      <c r="I3462" s="38" t="n">
        <f aca="false">Sens!$I$3436</f>
        <v>286.26370108263</v>
      </c>
      <c r="J3462" s="38" t="n">
        <f aca="false">Sens!$J$3436</f>
        <v>297.741784266985</v>
      </c>
      <c r="K3462" s="38" t="n">
        <f aca="false">Sens!$K$3436</f>
        <v>248.229026717067</v>
      </c>
      <c r="L3462" s="38" t="n">
        <f aca="false">Sens!$L$3436</f>
        <v>230.458180638872</v>
      </c>
      <c r="M3462" s="38" t="n">
        <f aca="false">Sens!$M$3436</f>
        <v>236.471522785291</v>
      </c>
    </row>
    <row r="3463" customFormat="false" ht="15" hidden="false" customHeight="false" outlineLevel="0" collapsed="false">
      <c r="A3463" s="5" t="s">
        <v>930</v>
      </c>
      <c r="B3463" s="0" t="s">
        <v>86</v>
      </c>
      <c r="H3463" s="38" t="n">
        <f aca="false">Sens!$H$3437</f>
        <v>1.6</v>
      </c>
      <c r="I3463" s="38" t="n">
        <f aca="false">Sens!$I$3437</f>
        <v>1.6</v>
      </c>
      <c r="J3463" s="38" t="n">
        <f aca="false">Sens!$J$3437</f>
        <v>1.6</v>
      </c>
      <c r="K3463" s="38" t="n">
        <f aca="false">Sens!$K$3437</f>
        <v>1.6</v>
      </c>
      <c r="L3463" s="38" t="n">
        <f aca="false">Sens!$L$3437</f>
        <v>1.6</v>
      </c>
      <c r="M3463" s="38" t="n">
        <f aca="false">Sens!$M$3437</f>
        <v>1.6</v>
      </c>
    </row>
    <row r="3464" customFormat="false" ht="15" hidden="false" customHeight="false" outlineLevel="0" collapsed="false">
      <c r="A3464" s="5" t="s">
        <v>931</v>
      </c>
      <c r="B3464" s="0" t="s">
        <v>86</v>
      </c>
      <c r="H3464" s="38" t="n">
        <f aca="false">Sens!$H$3431</f>
        <v>11.2799690567314</v>
      </c>
      <c r="I3464" s="38" t="n">
        <f aca="false">Sens!$I$3431</f>
        <v>12.7661233046502</v>
      </c>
      <c r="J3464" s="38" t="n">
        <f aca="false">Sens!$J$3431</f>
        <v>14.1662029712253</v>
      </c>
      <c r="K3464" s="38" t="n">
        <f aca="false">Sens!$K$3431</f>
        <v>15.363293148374</v>
      </c>
      <c r="L3464" s="38" t="n">
        <f aca="false">Sens!$L$3431</f>
        <v>16.4666114587664</v>
      </c>
      <c r="M3464" s="38" t="n">
        <f aca="false">Sens!$M$3431</f>
        <v>17.4795510581677</v>
      </c>
    </row>
    <row r="3465" customFormat="false" ht="17.15" hidden="false" customHeight="false" outlineLevel="0" collapsed="false">
      <c r="A3465" s="1" t="s">
        <v>932</v>
      </c>
      <c r="B3465" s="8" t="s">
        <v>86</v>
      </c>
      <c r="H3465" s="38" t="n">
        <f aca="false">Sens!$H$3460+Sens!$H$3461-Sens!$H$3462-Sens!$H$3463+Sens!$H$3464</f>
        <v>-62.8513822912182</v>
      </c>
      <c r="I3465" s="38" t="n">
        <f aca="false">Sens!$I$3460+Sens!$I$3461-Sens!$I$3462-Sens!$I$3463+Sens!$I$3464</f>
        <v>-16.7577193615837</v>
      </c>
      <c r="J3465" s="38" t="n">
        <f aca="false">Sens!$J$3460+Sens!$J$3461-Sens!$J$3462-Sens!$J$3463+Sens!$J$3464</f>
        <v>28.8322311761133</v>
      </c>
      <c r="K3465" s="38" t="n">
        <f aca="false">Sens!$K$3460+Sens!$K$3461-Sens!$K$3462-Sens!$K$3463+Sens!$K$3464</f>
        <v>127.592271586713</v>
      </c>
      <c r="L3465" s="38" t="n">
        <f aca="false">Sens!$L$3460+Sens!$L$3461-Sens!$L$3462-Sens!$L$3463+Sens!$L$3464</f>
        <v>182.595435394333</v>
      </c>
      <c r="M3465" s="38" t="n">
        <f aca="false">Sens!$M$3460+Sens!$M$3461-Sens!$M$3462-Sens!$M$3463+Sens!$M$3464</f>
        <v>203.125686665804</v>
      </c>
    </row>
    <row r="3466" customFormat="false" ht="15" hidden="false" customHeight="false" outlineLevel="0" collapsed="false">
      <c r="A3466" s="5" t="s">
        <v>933</v>
      </c>
      <c r="B3466" s="0" t="s">
        <v>57</v>
      </c>
      <c r="H3466" s="40" t="n">
        <f aca="false">1/(1+wacc)^(2027-2026-0.5)</f>
        <v>0.947751320380232</v>
      </c>
      <c r="I3466" s="40" t="n">
        <f aca="false">1/(1+wacc)^(2028-2026-0.5)</f>
        <v>0.851301099754987</v>
      </c>
      <c r="J3466" s="40" t="n">
        <f aca="false">1/(1+wacc)^(2029-2026-0.5)</f>
        <v>0.764666370660713</v>
      </c>
      <c r="K3466" s="40" t="n">
        <f aca="false">1/(1+wacc)^(2030-2026-0.5)</f>
        <v>0.686848235703811</v>
      </c>
      <c r="L3466" s="40" t="n">
        <f aca="false">1/(1+wacc)^(2031-2026-0.5)</f>
        <v>0.616949452715975</v>
      </c>
      <c r="M3466" s="40" t="n">
        <f aca="false">1/(1+wacc)^(2032-2026-0.5)</f>
        <v>0.554164089562688</v>
      </c>
    </row>
    <row r="3467" customFormat="false" ht="15" hidden="false" customHeight="false" outlineLevel="0" collapsed="false">
      <c r="A3467" s="5" t="s">
        <v>934</v>
      </c>
      <c r="B3467" s="0" t="s">
        <v>86</v>
      </c>
      <c r="H3467" s="38" t="n">
        <f aca="false">Sens!$H$3465*Sens!$H$3466</f>
        <v>-59.5674805542247</v>
      </c>
      <c r="I3467" s="38" t="n">
        <f aca="false">Sens!$I$3465*Sens!$I$3466</f>
        <v>-14.2658649219017</v>
      </c>
      <c r="J3467" s="38" t="n">
        <f aca="false">Sens!$J$3465*Sens!$J$3466</f>
        <v>22.0470375714892</v>
      </c>
      <c r="K3467" s="38" t="n">
        <f aca="false">Sens!$K$3465*Sens!$K$3466</f>
        <v>87.6365266287751</v>
      </c>
      <c r="L3467" s="38" t="n">
        <f aca="false">Sens!$L$3465*Sens!$L$3466</f>
        <v>112.652153934969</v>
      </c>
      <c r="M3467" s="38" t="n">
        <f aca="false">Sens!$M$3465*Sens!$M$3466</f>
        <v>112.564961217951</v>
      </c>
    </row>
    <row r="3468" customFormat="false" ht="15" hidden="false" customHeight="false" outlineLevel="0" collapsed="false">
      <c r="A3468" s="5" t="s">
        <v>935</v>
      </c>
      <c r="B3468" s="0" t="s">
        <v>86</v>
      </c>
      <c r="C3468" s="38" t="n">
        <f aca="false">SUM(Sens!$H$3467:$M$3467)</f>
        <v>261.067333877058</v>
      </c>
    </row>
    <row r="3469" customFormat="false" ht="17.15" hidden="false" customHeight="false" outlineLevel="0" collapsed="false">
      <c r="A3469" s="5" t="s">
        <v>936</v>
      </c>
      <c r="B3469" s="0" t="s">
        <v>86</v>
      </c>
      <c r="C3469" s="38" t="n">
        <f aca="false">Sens!$M$3460*(1+tg)*(1-tg/ronic)/(wacc-tg)</f>
        <v>1814.31643879444</v>
      </c>
    </row>
    <row r="3470" customFormat="false" ht="15" hidden="false" customHeight="false" outlineLevel="0" collapsed="false">
      <c r="A3470" s="5" t="s">
        <v>937</v>
      </c>
      <c r="B3470" s="0" t="s">
        <v>86</v>
      </c>
      <c r="C3470" s="38" t="n">
        <f aca="false">Sens!$C$3469/(1+wacc)^6</f>
        <v>952.896678868245</v>
      </c>
    </row>
    <row r="3471" customFormat="false" ht="17.15" hidden="false" customHeight="false" outlineLevel="0" collapsed="false">
      <c r="A3471" s="5" t="s">
        <v>938</v>
      </c>
      <c r="B3471" s="0" t="s">
        <v>86</v>
      </c>
      <c r="C3471" s="38" t="n">
        <f aca="false">Sens!$C$3468+Sens!$C$3470</f>
        <v>1213.9640127453</v>
      </c>
    </row>
    <row r="3472" customFormat="false" ht="17.15" hidden="false" customHeight="false" outlineLevel="0" collapsed="false">
      <c r="A3472" s="5" t="s">
        <v>939</v>
      </c>
      <c r="B3472" s="0" t="s">
        <v>52</v>
      </c>
      <c r="C3472" s="13" t="n">
        <f aca="false">Sens!$C$3470/Sens!$C$3471</f>
        <v>0.784946397804108</v>
      </c>
    </row>
    <row r="3473" customFormat="false" ht="17.15" hidden="false" customHeight="false" outlineLevel="0" collapsed="false">
      <c r="A3473" s="5" t="s">
        <v>940</v>
      </c>
      <c r="B3473" s="0" t="s">
        <v>86</v>
      </c>
      <c r="C3473" s="38" t="n">
        <f aca="false">Sens!$G$3449+fin_debt</f>
        <v>89.0551793268317</v>
      </c>
    </row>
    <row r="3474" customFormat="false" ht="17.15" hidden="false" customHeight="false" outlineLevel="0" collapsed="false">
      <c r="A3474" s="5" t="s">
        <v>941</v>
      </c>
      <c r="B3474" s="0" t="s">
        <v>86</v>
      </c>
      <c r="C3474" s="38" t="n">
        <f aca="false">(ant_val*ant_sh+oai_val*oai_sh)*(1-liq_disc)</f>
        <v>178.944</v>
      </c>
    </row>
    <row r="3475" customFormat="false" ht="15" hidden="false" customHeight="false" outlineLevel="0" collapsed="false">
      <c r="A3475" s="5" t="s">
        <v>942</v>
      </c>
      <c r="B3475" s="0" t="s">
        <v>86</v>
      </c>
      <c r="C3475" s="38" t="n">
        <f aca="false">Sens!$C$3471-Sens!$C$3473+Sens!$C$3474</f>
        <v>1303.85283341847</v>
      </c>
    </row>
    <row r="3476" customFormat="false" ht="17.15" hidden="false" customHeight="false" outlineLevel="0" collapsed="false">
      <c r="A3476" s="5" t="s">
        <v>943</v>
      </c>
      <c r="B3476" s="0" t="s">
        <v>27</v>
      </c>
      <c r="C3476" s="30" t="n">
        <f aca="false">Sens!$C$3475/sh_out</f>
        <v>120.880296403245</v>
      </c>
    </row>
    <row r="3477" customFormat="false" ht="17.15" hidden="false" customHeight="false" outlineLevel="0" collapsed="false">
      <c r="A3477" s="1" t="s">
        <v>944</v>
      </c>
      <c r="B3477" s="8" t="s">
        <v>27</v>
      </c>
      <c r="C3477" s="30" t="n">
        <f aca="false">Sens!$C$3476*(1+ke)^tp_yf-dps*tp_yf</f>
        <v>132.408510832734</v>
      </c>
    </row>
    <row r="3478" customFormat="false" ht="17.15" hidden="false" customHeight="false" outlineLevel="0" collapsed="false">
      <c r="A3478" s="3" t="s">
        <v>945</v>
      </c>
    </row>
    <row r="3479" customFormat="false" ht="17.15" hidden="false" customHeight="false" outlineLevel="0" collapsed="false">
      <c r="A3479" s="5" t="s">
        <v>946</v>
      </c>
      <c r="B3479" s="0" t="s">
        <v>86</v>
      </c>
      <c r="C3479" s="38" t="n">
        <f aca="false">(1-tp_yf)*(Sens!$H$3406+sbc_ab*Sens!$H$3430*Sens!$H$3267/Sens!$H$3347)+tp_yf*(Sens!$I$3406+sbc_ab*Sens!$I$3430*Sens!$I$3267/Sens!$I$3347)</f>
        <v>59.634664536349</v>
      </c>
    </row>
    <row r="3480" customFormat="false" ht="15" hidden="false" customHeight="false" outlineLevel="0" collapsed="false">
      <c r="A3480" s="5" t="s">
        <v>947</v>
      </c>
      <c r="B3480" s="0" t="s">
        <v>57</v>
      </c>
      <c r="C3480" s="30" t="n">
        <f aca="false">m_ads*m_x</f>
        <v>9.11</v>
      </c>
    </row>
    <row r="3481" customFormat="false" ht="17.15" hidden="false" customHeight="false" outlineLevel="0" collapsed="false">
      <c r="A3481" s="5" t="s">
        <v>948</v>
      </c>
      <c r="B3481" s="0" t="s">
        <v>86</v>
      </c>
      <c r="C3481" s="38" t="n">
        <f aca="false">Sens!$C$3479*Sens!$C$3480</f>
        <v>543.271793926139</v>
      </c>
    </row>
    <row r="3482" customFormat="false" ht="17.15" hidden="false" customHeight="false" outlineLevel="0" collapsed="false">
      <c r="A3482" s="5" t="s">
        <v>949</v>
      </c>
      <c r="B3482" s="0" t="s">
        <v>86</v>
      </c>
      <c r="C3482" s="38" t="n">
        <f aca="false">(1-tp_yf)*(Sens!$H$3407+sbc_ab*Sens!$H$3430*(Sens!$H$3274-Sens!$H$3267)/Sens!$H$3347+IF(internal_ai_reading=2,1,0)*(1-ext_sh)*Sens!$H$3304)+tp_yf*(Sens!$I$3407+sbc_ab*Sens!$I$3430*(Sens!$I$3274-Sens!$I$3267)/Sens!$I$3347+IF(internal_ai_reading=2,1,0)*(1-ext_sh)*Sens!$I$3304)</f>
        <v>51.6951811103438</v>
      </c>
    </row>
    <row r="3483" customFormat="false" ht="17.15" hidden="false" customHeight="false" outlineLevel="0" collapsed="false">
      <c r="A3483" s="5" t="s">
        <v>950</v>
      </c>
      <c r="B3483" s="0" t="s">
        <v>57</v>
      </c>
      <c r="C3483" s="30" t="n">
        <f aca="false">m_retail*m_x</f>
        <v>17.72</v>
      </c>
    </row>
    <row r="3484" customFormat="false" ht="17.15" hidden="false" customHeight="false" outlineLevel="0" collapsed="false">
      <c r="A3484" s="5" t="s">
        <v>951</v>
      </c>
      <c r="B3484" s="0" t="s">
        <v>86</v>
      </c>
      <c r="C3484" s="38" t="n">
        <f aca="false">Sens!$C$3482*Sens!$C$3483</f>
        <v>916.038609275292</v>
      </c>
    </row>
    <row r="3485" customFormat="false" ht="17.15" hidden="false" customHeight="false" outlineLevel="0" collapsed="false">
      <c r="A3485" s="0" t="s">
        <v>952</v>
      </c>
      <c r="B3485" s="0" t="s">
        <v>86</v>
      </c>
      <c r="C3485" s="38" t="n">
        <f aca="false">(1-tp_yf)*(Sens!$H$3408+sbc_ab*Sens!$H$3430*Sens!$H$3345/Sens!$H$3347)+tp_yf*(Sens!$I$3408+sbc_ab*Sens!$I$3430*Sens!$I$3345/Sens!$I$3347)</f>
        <v>95.4938663532865</v>
      </c>
    </row>
    <row r="3486" customFormat="false" ht="17.15" hidden="false" customHeight="false" outlineLevel="0" collapsed="false">
      <c r="A3486" s="0" t="s">
        <v>953</v>
      </c>
      <c r="B3486" s="0" t="s">
        <v>57</v>
      </c>
      <c r="C3486" s="30" t="n">
        <f aca="false">m_cloud*m_x</f>
        <v>13.82</v>
      </c>
    </row>
    <row r="3487" customFormat="false" ht="17.15" hidden="false" customHeight="false" outlineLevel="0" collapsed="false">
      <c r="A3487" s="0" t="s">
        <v>954</v>
      </c>
      <c r="B3487" s="0" t="s">
        <v>86</v>
      </c>
      <c r="C3487" s="38" t="n">
        <f aca="false">Sens!$C$3485*Sens!$C$3486</f>
        <v>1319.72523300242</v>
      </c>
    </row>
    <row r="3488" customFormat="false" ht="17.15" hidden="false" customHeight="false" outlineLevel="0" collapsed="false">
      <c r="A3488" s="0" t="s">
        <v>955</v>
      </c>
      <c r="B3488" s="0" t="s">
        <v>86</v>
      </c>
      <c r="H3488" s="38" t="n">
        <f aca="false">Sens!$H$3326-tax*Sens!$H$3327-ext_sh*Sens!$H$3311</f>
        <v>-115.41576008619</v>
      </c>
      <c r="I3488" s="38" t="n">
        <f aca="false">Sens!$I$3326-tax*Sens!$I$3327-ext_sh*Sens!$I$3311</f>
        <v>-88.5401912683161</v>
      </c>
      <c r="J3488" s="38" t="n">
        <f aca="false">Sens!$J$3326-tax*Sens!$J$3327-ext_sh*Sens!$J$3311</f>
        <v>-61.2977422866746</v>
      </c>
      <c r="K3488" s="38" t="n">
        <f aca="false">Sens!$K$3326-tax*Sens!$K$3327-ext_sh*Sens!$K$3311</f>
        <v>9.91264760007891</v>
      </c>
      <c r="L3488" s="38" t="n">
        <f aca="false">Sens!$L$3326-tax*Sens!$L$3327-ext_sh*Sens!$L$3311</f>
        <v>46.750156871371</v>
      </c>
      <c r="M3488" s="38" t="n">
        <f aca="false">Sens!$M$3326-tax*Sens!$M$3327-ext_sh*Sens!$M$3311</f>
        <v>55.5634749071557</v>
      </c>
    </row>
    <row r="3489" customFormat="false" ht="17.15" hidden="false" customHeight="false" outlineLevel="0" collapsed="false">
      <c r="A3489" s="5" t="s">
        <v>956</v>
      </c>
      <c r="B3489" s="0" t="s">
        <v>86</v>
      </c>
      <c r="H3489" s="38" t="n">
        <f aca="false">Sens!$H$3488*Sens!$H$3466</f>
        <v>-109.385439014374</v>
      </c>
      <c r="I3489" s="38" t="n">
        <f aca="false">Sens!$I$3488*Sens!$I$3466</f>
        <v>-75.3743621992344</v>
      </c>
      <c r="J3489" s="38" t="n">
        <f aca="false">Sens!$J$3488*Sens!$J$3466</f>
        <v>-46.8723221240472</v>
      </c>
      <c r="K3489" s="38" t="n">
        <f aca="false">Sens!$K$3488*Sens!$K$3466</f>
        <v>6.80848451526782</v>
      </c>
      <c r="L3489" s="38" t="n">
        <f aca="false">Sens!$L$3488*Sens!$L$3466</f>
        <v>28.8424836961783</v>
      </c>
      <c r="M3489" s="38" t="n">
        <f aca="false">Sens!$M$3488*Sens!$M$3466</f>
        <v>30.7912824848632</v>
      </c>
    </row>
    <row r="3490" customFormat="false" ht="17.15" hidden="false" customHeight="false" outlineLevel="0" collapsed="false">
      <c r="A3490" s="5" t="s">
        <v>957</v>
      </c>
      <c r="B3490" s="0" t="s">
        <v>86</v>
      </c>
      <c r="C3490" s="38" t="n">
        <f aca="false">Sens!$M$3327*(1-tax)*(1+tg)*(1-tg/ronic)/(wacc-tg)</f>
        <v>356.180381489473</v>
      </c>
    </row>
    <row r="3491" customFormat="false" ht="17.15" hidden="false" customHeight="false" outlineLevel="0" collapsed="false">
      <c r="A3491" s="0" t="s">
        <v>958</v>
      </c>
      <c r="B3491" s="0" t="s">
        <v>86</v>
      </c>
      <c r="C3491" s="38" t="n">
        <f aca="false">(SUM(Sens!$I$3489:$M$3489)+Sens!$C$3490/(1+wacc)^6)*(1+wacc)^tp_yf</f>
        <v>143.3703803388</v>
      </c>
    </row>
    <row r="3492" customFormat="false" ht="17.15" hidden="false" customHeight="false" outlineLevel="0" collapsed="false">
      <c r="A3492" s="5" t="s">
        <v>959</v>
      </c>
      <c r="B3492" s="0" t="s">
        <v>86</v>
      </c>
      <c r="C3492" s="38" t="n">
        <f aca="false">(1-tp_yf)*(Sens!$H$3409)+tp_yf*(Sens!$I$3409)</f>
        <v>74.6707041238437</v>
      </c>
    </row>
    <row r="3493" customFormat="false" ht="17.15" hidden="false" customHeight="false" outlineLevel="0" collapsed="false">
      <c r="A3493" s="5" t="s">
        <v>960</v>
      </c>
      <c r="B3493" s="0" t="s">
        <v>86</v>
      </c>
      <c r="C3493" s="38" t="n">
        <f aca="false">Sens!$C$3492*m_ai</f>
        <v>448.024224743062</v>
      </c>
    </row>
    <row r="3494" customFormat="false" ht="17.15" hidden="false" customHeight="false" outlineLevel="0" collapsed="false">
      <c r="A3494" s="0" t="s">
        <v>961</v>
      </c>
      <c r="B3494" s="0" t="s">
        <v>86</v>
      </c>
      <c r="C3494" s="38" t="n">
        <f aca="false">IF(ai_leg=1,Sens!$C$3491,Sens!$C$3493)</f>
        <v>143.3703803388</v>
      </c>
    </row>
    <row r="3495" customFormat="false" ht="17.15" hidden="false" customHeight="false" outlineLevel="0" collapsed="false">
      <c r="A3495" s="5" t="s">
        <v>962</v>
      </c>
      <c r="B3495" s="0" t="s">
        <v>86</v>
      </c>
      <c r="C3495" s="38" t="n">
        <f aca="false">Sens!$C$3481+Sens!$C$3484+Sens!$C$3487+Sens!$C$3494</f>
        <v>2922.40601654265</v>
      </c>
    </row>
    <row r="3496" customFormat="false" ht="17.15" hidden="false" customHeight="false" outlineLevel="0" collapsed="false">
      <c r="A3496" s="5" t="s">
        <v>963</v>
      </c>
      <c r="B3496" s="0" t="s">
        <v>86</v>
      </c>
      <c r="C3496" s="38" t="n">
        <f aca="false">Sens!$H$3449+fin_debt</f>
        <v>143.736351235125</v>
      </c>
    </row>
    <row r="3497" customFormat="false" ht="15" hidden="false" customHeight="false" outlineLevel="0" collapsed="false">
      <c r="A3497" s="5" t="s">
        <v>964</v>
      </c>
      <c r="B3497" s="0" t="s">
        <v>86</v>
      </c>
      <c r="C3497" s="38" t="n">
        <f aca="false">Sens!$C$3495-Sens!$C$3496+Sens!$C$3474</f>
        <v>2957.61366530753</v>
      </c>
    </row>
    <row r="3498" customFormat="false" ht="15" hidden="false" customHeight="false" outlineLevel="0" collapsed="false">
      <c r="A3498" s="3" t="s">
        <v>965</v>
      </c>
      <c r="B3498" s="8" t="s">
        <v>27</v>
      </c>
      <c r="C3498" s="30" t="n">
        <f aca="false">Sens!$C$3497/sh_val</f>
        <v>268.135038160067</v>
      </c>
    </row>
    <row r="3499" customFormat="false" ht="17.15" hidden="false" customHeight="false" outlineLevel="0" collapsed="false">
      <c r="A3499" s="47" t="s">
        <v>966</v>
      </c>
      <c r="B3499" s="14" t="s">
        <v>27</v>
      </c>
      <c r="C3499" s="44" t="n">
        <f aca="false">w_dcf*Sens!$C$3477+(1-w_dcf)*Sens!$C$3498</f>
        <v>200.271774496401</v>
      </c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</row>
    <row r="3500" customFormat="false" ht="17.15" hidden="false" customHeight="false" outlineLevel="0" collapsed="false">
      <c r="A3500" s="5" t="s">
        <v>967</v>
      </c>
      <c r="B3500" s="0" t="s">
        <v>27</v>
      </c>
      <c r="C3500" s="30" t="n">
        <f aca="false">v022_wdcf*Sens!$C$3477+(1-v022_wdcf)*Sens!$C$3498</f>
        <v>207.058100862768</v>
      </c>
    </row>
    <row r="3501" customFormat="false" ht="17.15" hidden="false" customHeight="false" outlineLevel="0" collapsed="false">
      <c r="A3501" s="5" t="s">
        <v>968</v>
      </c>
      <c r="B3501" s="0" t="s">
        <v>27</v>
      </c>
      <c r="C3501" s="30" t="n">
        <f aca="false">(Sens!$C$3497-Sens!$C$3494+Sens!$C$3493)/sh_val</f>
        <v>295.754727355159</v>
      </c>
    </row>
    <row r="3504" customFormat="false" ht="19.4" hidden="false" customHeight="false" outlineLevel="0" collapsed="false">
      <c r="A3504" s="31" t="s">
        <v>1222</v>
      </c>
    </row>
    <row r="3505" customFormat="false" ht="17.15" hidden="false" customHeight="false" outlineLevel="0" collapsed="false">
      <c r="A3505" s="6" t="s">
        <v>16</v>
      </c>
      <c r="B3505" s="6" t="s">
        <v>17</v>
      </c>
      <c r="C3505" s="20" t="s">
        <v>504</v>
      </c>
      <c r="D3505" s="20" t="s">
        <v>505</v>
      </c>
      <c r="E3505" s="20" t="s">
        <v>587</v>
      </c>
      <c r="F3505" s="20" t="s">
        <v>588</v>
      </c>
      <c r="G3505" s="20" t="s">
        <v>589</v>
      </c>
      <c r="H3505" s="20" t="s">
        <v>590</v>
      </c>
      <c r="I3505" s="20" t="s">
        <v>591</v>
      </c>
      <c r="J3505" s="20" t="s">
        <v>592</v>
      </c>
      <c r="K3505" s="20" t="s">
        <v>593</v>
      </c>
      <c r="L3505" s="20" t="s">
        <v>594</v>
      </c>
      <c r="M3505" s="20" t="s">
        <v>595</v>
      </c>
      <c r="N3505" s="20" t="s">
        <v>596</v>
      </c>
      <c r="O3505" s="20" t="s">
        <v>597</v>
      </c>
      <c r="P3505" s="6" t="s">
        <v>23</v>
      </c>
      <c r="R3505" s="20" t="n">
        <v>2023</v>
      </c>
      <c r="S3505" s="20" t="n">
        <v>2024</v>
      </c>
      <c r="T3505" s="20" t="n">
        <v>2025</v>
      </c>
      <c r="U3505" s="20" t="n">
        <v>2026</v>
      </c>
      <c r="V3505" s="20" t="n">
        <v>2027</v>
      </c>
      <c r="W3505" s="20" t="n">
        <v>2028</v>
      </c>
      <c r="X3505" s="20" t="n">
        <v>2029</v>
      </c>
      <c r="Y3505" s="20" t="n">
        <v>2030</v>
      </c>
      <c r="Z3505" s="20" t="n">
        <v>2031</v>
      </c>
      <c r="AA3505" s="20" t="n">
        <v>2032</v>
      </c>
    </row>
    <row r="3506" customFormat="false" ht="17.15" hidden="false" customHeight="false" outlineLevel="0" collapsed="false">
      <c r="A3506" s="1" t="s">
        <v>677</v>
      </c>
    </row>
    <row r="3507" customFormat="false" ht="17.15" hidden="false" customHeight="false" outlineLevel="0" collapsed="false">
      <c r="A3507" s="0" t="s">
        <v>526</v>
      </c>
      <c r="B3507" s="0" t="s">
        <v>86</v>
      </c>
      <c r="C3507" s="38" t="n">
        <f aca="false">Q!$D$10</f>
        <v>247.029</v>
      </c>
      <c r="D3507" s="38" t="n">
        <f aca="false">Q!$E$10</f>
        <v>269.287</v>
      </c>
      <c r="E3507" s="38" t="n">
        <f aca="false">Q!$P$10</f>
        <v>134.686</v>
      </c>
      <c r="F3507" s="38" t="n">
        <f aca="false">Sens!$O$3507*(1+Sens!$F$3508)*Sens!$F$3519</f>
        <v>158.293876822267</v>
      </c>
      <c r="G3507" s="38" t="n">
        <f aca="false">Sens!$E$3507+Sens!$F$3507</f>
        <v>292.979876822267</v>
      </c>
      <c r="H3507" s="38" t="n">
        <f aca="false">Sens!$G$3507*(1+Sens!$H$3508)</f>
        <v>318.184543087396</v>
      </c>
      <c r="I3507" s="38" t="n">
        <f aca="false">Sens!$H$3507*(1+Sens!$I$3508)</f>
        <v>341.736278761793</v>
      </c>
      <c r="J3507" s="38" t="n">
        <f aca="false">Sens!$I$3507*(1+Sens!$J$3508)</f>
        <v>362.927192787048</v>
      </c>
      <c r="K3507" s="38" t="n">
        <f aca="false">Sens!$J$3507*(1+Sens!$K$3508)</f>
        <v>381.0735524264</v>
      </c>
      <c r="L3507" s="38" t="n">
        <f aca="false">Sens!$K$3507*(1+Sens!$L$3508)</f>
        <v>400.12723004772</v>
      </c>
      <c r="M3507" s="38" t="n">
        <f aca="false">Sens!$L$3507*(1+Sens!$M$3508)</f>
        <v>420.133591550106</v>
      </c>
      <c r="N3507" s="38" t="n">
        <f aca="false">Q!$N$10</f>
        <v>118.892</v>
      </c>
      <c r="O3507" s="38" t="n">
        <f aca="false">Q!$O$10</f>
        <v>150.395</v>
      </c>
      <c r="P3507" s="8" t="s">
        <v>678</v>
      </c>
    </row>
    <row r="3508" customFormat="false" ht="17.15" hidden="false" customHeight="false" outlineLevel="0" collapsed="false">
      <c r="A3508" s="0" t="s">
        <v>679</v>
      </c>
      <c r="B3508" s="0" t="s">
        <v>52</v>
      </c>
      <c r="E3508" s="13" t="n">
        <f aca="false">Sens!$E$3507/Sens!$N$3507-1</f>
        <v>0.132843252699929</v>
      </c>
      <c r="F3508" s="13" t="n">
        <f aca="false">Sens!$O$3507/(Q!$F$10+Q!$G$10)-1</f>
        <v>0.0980382135842941</v>
      </c>
      <c r="G3508" s="13" t="n">
        <f aca="false">Sens!$G$3507/Sens!$D$3507-1</f>
        <v>0.0879837378791657</v>
      </c>
      <c r="H3508" s="13" t="n">
        <f aca="false">Sens!$F$3508+(g_os-Sens!$F$3508)*1/4</f>
        <v>0.0860286601882206</v>
      </c>
      <c r="I3508" s="13" t="n">
        <f aca="false">Sens!$F$3508+(g_os-Sens!$F$3508)*2/4</f>
        <v>0.074019106792147</v>
      </c>
      <c r="J3508" s="13" t="n">
        <f aca="false">Sens!$F$3508+(g_os-Sens!$F$3508)*3/4</f>
        <v>0.0620095533960735</v>
      </c>
      <c r="K3508" s="13" t="n">
        <f aca="false">Sens!$F$3508+(g_os-Sens!$F$3508)*4/4</f>
        <v>0.05</v>
      </c>
      <c r="L3508" s="13" t="n">
        <f aca="false">g_os</f>
        <v>0.05</v>
      </c>
      <c r="M3508" s="13" t="n">
        <f aca="false">g_os</f>
        <v>0.05</v>
      </c>
      <c r="P3508" s="8" t="s">
        <v>680</v>
      </c>
    </row>
    <row r="3509" customFormat="false" ht="17.15" hidden="false" customHeight="false" outlineLevel="0" collapsed="false">
      <c r="A3509" s="0" t="s">
        <v>527</v>
      </c>
      <c r="B3509" s="0" t="s">
        <v>86</v>
      </c>
      <c r="C3509" s="38" t="n">
        <f aca="false">Q!$D$11</f>
        <v>21.215</v>
      </c>
      <c r="D3509" s="38" t="n">
        <f aca="false">Q!$E$11</f>
        <v>22.561</v>
      </c>
      <c r="E3509" s="38" t="n">
        <f aca="false">Q!$P$11</f>
        <v>11.579</v>
      </c>
      <c r="F3509" s="38" t="n">
        <f aca="false">Sens!$O$3509*(1+Sens!$F$3510)*Sens!$F$3519</f>
        <v>11.5938724610325</v>
      </c>
      <c r="G3509" s="38" t="n">
        <f aca="false">Sens!$E$3509+Sens!$F$3509</f>
        <v>23.1728724610325</v>
      </c>
      <c r="H3509" s="38" t="n">
        <f aca="false">Sens!$G$3509*(1+Sens!$H$3510)</f>
        <v>24.353392759506</v>
      </c>
      <c r="I3509" s="38" t="n">
        <f aca="false">Sens!$H$3509*(1+Sens!$I$3510)</f>
        <v>25.4240338872015</v>
      </c>
      <c r="J3509" s="38" t="n">
        <f aca="false">Sens!$I$3509*(1+Sens!$J$3510)</f>
        <v>26.3642491017174</v>
      </c>
      <c r="K3509" s="38" t="n">
        <f aca="false">Sens!$J$3509*(1+Sens!$K$3510)</f>
        <v>27.155176574769</v>
      </c>
      <c r="L3509" s="38" t="n">
        <f aca="false">Sens!$K$3509*(1+Sens!$L$3510)</f>
        <v>27.969831872012</v>
      </c>
      <c r="M3509" s="38" t="n">
        <f aca="false">Sens!$L$3509*(1+Sens!$M$3510)</f>
        <v>28.8089268281724</v>
      </c>
      <c r="N3509" s="38" t="n">
        <f aca="false">Q!$N$11</f>
        <v>11.128</v>
      </c>
      <c r="O3509" s="38" t="n">
        <f aca="false">Q!$O$11</f>
        <v>11.433</v>
      </c>
      <c r="P3509" s="8" t="s">
        <v>678</v>
      </c>
    </row>
    <row r="3510" customFormat="false" ht="17.15" hidden="false" customHeight="false" outlineLevel="0" collapsed="false">
      <c r="A3510" s="0" t="s">
        <v>681</v>
      </c>
      <c r="B3510" s="0" t="s">
        <v>52</v>
      </c>
      <c r="E3510" s="13" t="n">
        <f aca="false">Sens!$E$3509/Sens!$N$3509-1</f>
        <v>0.0405283968368082</v>
      </c>
      <c r="F3510" s="13" t="n">
        <f aca="false">Sens!$O$3509/(Q!$F$11+Q!$G$11)-1</f>
        <v>0.0579254187100955</v>
      </c>
      <c r="G3510" s="13" t="n">
        <f aca="false">Sens!$G$3509/Sens!$D$3509-1</f>
        <v>0.0271208040881397</v>
      </c>
      <c r="H3510" s="13" t="n">
        <f aca="false">Sens!$F$3510+(g_ps-Sens!$F$3510)*1/4</f>
        <v>0.0509440640325716</v>
      </c>
      <c r="I3510" s="13" t="n">
        <f aca="false">Sens!$F$3510+(g_ps-Sens!$F$3510)*2/4</f>
        <v>0.0439627093550477</v>
      </c>
      <c r="J3510" s="13" t="n">
        <f aca="false">Sens!$F$3510+(g_ps-Sens!$F$3510)*3/4</f>
        <v>0.0369813546775239</v>
      </c>
      <c r="K3510" s="13" t="n">
        <f aca="false">Sens!$F$3510+(g_ps-Sens!$F$3510)*4/4</f>
        <v>0.03</v>
      </c>
      <c r="L3510" s="13" t="n">
        <f aca="false">g_ps</f>
        <v>0.03</v>
      </c>
      <c r="M3510" s="13" t="n">
        <f aca="false">g_ps</f>
        <v>0.03</v>
      </c>
      <c r="P3510" s="8" t="s">
        <v>682</v>
      </c>
    </row>
    <row r="3511" customFormat="false" ht="17.15" hidden="false" customHeight="false" outlineLevel="0" collapsed="false">
      <c r="A3511" s="0" t="s">
        <v>528</v>
      </c>
      <c r="B3511" s="0" t="s">
        <v>86</v>
      </c>
      <c r="C3511" s="38" t="n">
        <f aca="false">Q!$D$12</f>
        <v>156.146</v>
      </c>
      <c r="D3511" s="38" t="n">
        <f aca="false">Q!$E$12</f>
        <v>172.162</v>
      </c>
      <c r="E3511" s="38" t="n">
        <f aca="false">Q!$P$12</f>
        <v>88.358</v>
      </c>
      <c r="F3511" s="38" t="n">
        <f aca="false">Sens!$O$3511*(1+Sens!$F$3512)*Sens!$F$3519</f>
        <v>102.004388260171</v>
      </c>
      <c r="G3511" s="38" t="n">
        <f aca="false">Sens!$E$3511+Sens!$F$3511</f>
        <v>190.362388260171</v>
      </c>
      <c r="H3511" s="38" t="n">
        <f aca="false">Sens!$G$3511*(1+Sens!$H$3512)</f>
        <v>210.343106588311</v>
      </c>
      <c r="I3511" s="38" t="n">
        <f aca="false">Sens!$H$3511*(1+Sens!$I$3512)</f>
        <v>229.969728494648</v>
      </c>
      <c r="J3511" s="38" t="n">
        <f aca="false">Sens!$I$3511*(1+Sens!$J$3512)</f>
        <v>248.747636972598</v>
      </c>
      <c r="K3511" s="38" t="n">
        <f aca="false">Sens!$J$3511*(1+Sens!$K$3512)</f>
        <v>266.15997156068</v>
      </c>
      <c r="L3511" s="38" t="n">
        <f aca="false">Sens!$K$3511*(1+Sens!$L$3512)</f>
        <v>284.791169569927</v>
      </c>
      <c r="M3511" s="38" t="n">
        <f aca="false">Sens!$L$3511*(1+Sens!$M$3512)</f>
        <v>304.726551439822</v>
      </c>
      <c r="N3511" s="38" t="n">
        <f aca="false">Q!$N$12</f>
        <v>76.86</v>
      </c>
      <c r="O3511" s="38" t="n">
        <f aca="false">Q!$O$12</f>
        <v>95.302</v>
      </c>
      <c r="P3511" s="8" t="s">
        <v>678</v>
      </c>
    </row>
    <row r="3512" customFormat="false" ht="17.15" hidden="false" customHeight="false" outlineLevel="0" collapsed="false">
      <c r="A3512" s="0" t="s">
        <v>683</v>
      </c>
      <c r="B3512" s="0" t="s">
        <v>52</v>
      </c>
      <c r="E3512" s="13" t="n">
        <f aca="false">Sens!$E$3511/Sens!$N$3511-1</f>
        <v>0.1495966692688</v>
      </c>
      <c r="F3512" s="13" t="n">
        <f aca="false">Sens!$O$3511/(Q!$F$12+Q!$G$12)-1</f>
        <v>0.11661530890813</v>
      </c>
      <c r="G3512" s="13" t="n">
        <f aca="false">Sens!$G$3511/Sens!$D$3511-1</f>
        <v>0.105716640490767</v>
      </c>
      <c r="H3512" s="13" t="n">
        <f aca="false">Sens!$F$3512+(g_sp-Sens!$F$3512)*1/4</f>
        <v>0.104961481681098</v>
      </c>
      <c r="I3512" s="13" t="n">
        <f aca="false">Sens!$F$3512+(g_sp-Sens!$F$3512)*2/4</f>
        <v>0.0933076544540651</v>
      </c>
      <c r="J3512" s="13" t="n">
        <f aca="false">Sens!$F$3512+(g_sp-Sens!$F$3512)*3/4</f>
        <v>0.0816538272270325</v>
      </c>
      <c r="K3512" s="13" t="n">
        <f aca="false">Sens!$F$3512+(g_sp-Sens!$F$3512)*4/4</f>
        <v>0.07</v>
      </c>
      <c r="L3512" s="13" t="n">
        <f aca="false">g_sp</f>
        <v>0.07</v>
      </c>
      <c r="M3512" s="13" t="n">
        <f aca="false">g_sp</f>
        <v>0.07</v>
      </c>
      <c r="P3512" s="8" t="s">
        <v>684</v>
      </c>
    </row>
    <row r="3513" customFormat="false" ht="17.15" hidden="false" customHeight="false" outlineLevel="0" collapsed="false">
      <c r="A3513" s="0" t="s">
        <v>529</v>
      </c>
      <c r="B3513" s="0" t="s">
        <v>86</v>
      </c>
      <c r="C3513" s="38" t="n">
        <f aca="false">Q!$D$13</f>
        <v>56.214</v>
      </c>
      <c r="D3513" s="38" t="n">
        <f aca="false">Q!$E$13</f>
        <v>68.635</v>
      </c>
      <c r="E3513" s="38" t="n">
        <f aca="false">Q!$P$13</f>
        <v>37.052</v>
      </c>
      <c r="F3513" s="38" t="n">
        <f aca="false">Sens!$O$3513*(1+Sens!$F$3514)*Sens!$F$3519</f>
        <v>46.1572219944148</v>
      </c>
      <c r="G3513" s="38" t="n">
        <f aca="false">Sens!$E$3513+Sens!$F$3513</f>
        <v>83.2092219944148</v>
      </c>
      <c r="H3513" s="38" t="n">
        <f aca="false">Sens!$G$3513*(1+Sens!$H$3514)</f>
        <v>99.8969223878976</v>
      </c>
      <c r="I3513" s="38" t="n">
        <f aca="false">Sens!$H$3513*(1+Sens!$I$3514)</f>
        <v>116.583111095496</v>
      </c>
      <c r="J3513" s="38" t="n">
        <f aca="false">Sens!$I$3513*(1+Sens!$J$3514)</f>
        <v>132.148941941952</v>
      </c>
      <c r="K3513" s="38" t="n">
        <f aca="false">Sens!$J$3513*(1+Sens!$K$3514)</f>
        <v>145.363836136147</v>
      </c>
      <c r="L3513" s="38" t="n">
        <f aca="false">Sens!$K$3513*(1+Sens!$L$3514)</f>
        <v>159.900219749762</v>
      </c>
      <c r="M3513" s="38" t="n">
        <f aca="false">Sens!$L$3513*(1+Sens!$M$3514)</f>
        <v>175.890241724738</v>
      </c>
      <c r="N3513" s="38" t="n">
        <f aca="false">Q!$N$13</f>
        <v>29.615</v>
      </c>
      <c r="O3513" s="38" t="n">
        <f aca="false">Q!$O$13</f>
        <v>39.02</v>
      </c>
      <c r="P3513" s="8" t="s">
        <v>678</v>
      </c>
    </row>
    <row r="3514" customFormat="false" ht="17.15" hidden="false" customHeight="false" outlineLevel="0" collapsed="false">
      <c r="A3514" s="0" t="s">
        <v>685</v>
      </c>
      <c r="B3514" s="0" t="s">
        <v>52</v>
      </c>
      <c r="E3514" s="13" t="n">
        <f aca="false">Sens!$E$3513/Sens!$N$3513-1</f>
        <v>0.25112274185379</v>
      </c>
      <c r="F3514" s="13" t="n">
        <f aca="false">Sens!$O$3513/(Q!$F$13+Q!$G$13)-1</f>
        <v>0.234068123596572</v>
      </c>
      <c r="G3514" s="13" t="n">
        <f aca="false">Sens!$G$3513/Sens!$D$3513-1</f>
        <v>0.212343876949294</v>
      </c>
      <c r="H3514" s="13" t="n">
        <f aca="false">Sens!$F$3514+(g_ad-Sens!$F$3514)*1/4</f>
        <v>0.200551092697429</v>
      </c>
      <c r="I3514" s="13" t="n">
        <f aca="false">Sens!$F$3514+(g_ad-Sens!$F$3514)*2/4</f>
        <v>0.167034061798286</v>
      </c>
      <c r="J3514" s="13" t="n">
        <f aca="false">Sens!$F$3514+(g_ad-Sens!$F$3514)*3/4</f>
        <v>0.133517030899143</v>
      </c>
      <c r="K3514" s="13" t="n">
        <f aca="false">Sens!$F$3514+(g_ad-Sens!$F$3514)*4/4</f>
        <v>0.1</v>
      </c>
      <c r="L3514" s="13" t="n">
        <f aca="false">g_ad</f>
        <v>0.1</v>
      </c>
      <c r="M3514" s="13" t="n">
        <f aca="false">g_ad</f>
        <v>0.1</v>
      </c>
      <c r="P3514" s="8" t="s">
        <v>686</v>
      </c>
    </row>
    <row r="3515" customFormat="false" ht="17.15" hidden="false" customHeight="false" outlineLevel="0" collapsed="false">
      <c r="A3515" s="0" t="s">
        <v>530</v>
      </c>
      <c r="B3515" s="0" t="s">
        <v>86</v>
      </c>
      <c r="C3515" s="38" t="n">
        <f aca="false">Q!$D$14</f>
        <v>44.374</v>
      </c>
      <c r="D3515" s="38" t="n">
        <f aca="false">Q!$E$14</f>
        <v>49.619</v>
      </c>
      <c r="E3515" s="38" t="n">
        <f aca="false">Q!$P$14</f>
        <v>27.157</v>
      </c>
      <c r="F3515" s="38" t="n">
        <f aca="false">Sens!$O$3515*(1+Sens!$F$3516)*Sens!$F$3519</f>
        <v>27.7764165988154</v>
      </c>
      <c r="G3515" s="38" t="n">
        <f aca="false">Sens!$E$3515+Sens!$F$3515</f>
        <v>54.9334165988154</v>
      </c>
      <c r="H3515" s="38" t="n">
        <f aca="false">Sens!$G$3515*(1+Sens!$H$3516)</f>
        <v>61.1564112561829</v>
      </c>
      <c r="I3515" s="38" t="n">
        <f aca="false">Sens!$H$3515*(1+Sens!$I$3516)</f>
        <v>67.2020282103945</v>
      </c>
      <c r="J3515" s="38" t="n">
        <f aca="false">Sens!$I$3515*(1+Sens!$J$3516)</f>
        <v>72.8757274028885</v>
      </c>
      <c r="K3515" s="38" t="n">
        <f aca="false">Sens!$J$3515*(1+Sens!$K$3516)</f>
        <v>77.9770283210907</v>
      </c>
      <c r="L3515" s="38" t="n">
        <f aca="false">Sens!$K$3515*(1+Sens!$L$3516)</f>
        <v>83.4354203035671</v>
      </c>
      <c r="M3515" s="38" t="n">
        <f aca="false">Sens!$L$3515*(1+Sens!$M$3516)</f>
        <v>89.2758997248168</v>
      </c>
      <c r="N3515" s="38" t="n">
        <f aca="false">Q!$N$14</f>
        <v>23.923</v>
      </c>
      <c r="O3515" s="38" t="n">
        <f aca="false">Q!$O$14</f>
        <v>25.696</v>
      </c>
      <c r="P3515" s="8" t="s">
        <v>678</v>
      </c>
    </row>
    <row r="3516" customFormat="false" ht="17.15" hidden="false" customHeight="false" outlineLevel="0" collapsed="false">
      <c r="A3516" s="0" t="s">
        <v>687</v>
      </c>
      <c r="B3516" s="0" t="s">
        <v>52</v>
      </c>
      <c r="E3516" s="13" t="n">
        <f aca="false">Sens!$E$3515/Sens!$N$3515-1</f>
        <v>0.135183714417088</v>
      </c>
      <c r="F3516" s="13" t="n">
        <f aca="false">Sens!$O$3515/(Q!$F$14+Q!$G$14)-1</f>
        <v>0.127709997366804</v>
      </c>
      <c r="G3516" s="13" t="n">
        <f aca="false">Sens!$G$3515/Sens!$D$3515-1</f>
        <v>0.107104468022641</v>
      </c>
      <c r="H3516" s="13" t="n">
        <f aca="false">Sens!$F$3516+(g_sub-Sens!$F$3516)*1/4</f>
        <v>0.113282498025103</v>
      </c>
      <c r="I3516" s="13" t="n">
        <f aca="false">Sens!$F$3516+(g_sub-Sens!$F$3516)*2/4</f>
        <v>0.0988549986834021</v>
      </c>
      <c r="J3516" s="13" t="n">
        <f aca="false">Sens!$F$3516+(g_sub-Sens!$F$3516)*3/4</f>
        <v>0.084427499341701</v>
      </c>
      <c r="K3516" s="13" t="n">
        <f aca="false">Sens!$F$3516+(g_sub-Sens!$F$3516)*4/4</f>
        <v>0.07</v>
      </c>
      <c r="L3516" s="13" t="n">
        <f aca="false">g_sub</f>
        <v>0.07</v>
      </c>
      <c r="M3516" s="13" t="n">
        <f aca="false">g_sub</f>
        <v>0.07</v>
      </c>
      <c r="P3516" s="8" t="s">
        <v>688</v>
      </c>
    </row>
    <row r="3517" customFormat="false" ht="17.15" hidden="false" customHeight="false" outlineLevel="0" collapsed="false">
      <c r="A3517" s="0" t="s">
        <v>531</v>
      </c>
      <c r="B3517" s="0" t="s">
        <v>86</v>
      </c>
      <c r="C3517" s="38" t="n">
        <f aca="false">Q!$D$15</f>
        <v>5.425</v>
      </c>
      <c r="D3517" s="38" t="n">
        <f aca="false">Q!$E$15</f>
        <v>5.935</v>
      </c>
      <c r="E3517" s="38" t="n">
        <f aca="false">Q!$P$15</f>
        <v>3.474</v>
      </c>
      <c r="F3517" s="38" t="n">
        <f aca="false">Sens!$O$3517*(1+Sens!$F$3518)*Sens!$F$3519</f>
        <v>3.22246550883619</v>
      </c>
      <c r="G3517" s="38" t="n">
        <f aca="false">Sens!$E$3517+Sens!$F$3517</f>
        <v>6.69646550883619</v>
      </c>
      <c r="H3517" s="38" t="n">
        <f aca="false">Sens!$G$3517*(1+Sens!$H$3518)</f>
        <v>7.16251344209196</v>
      </c>
      <c r="I3517" s="38" t="n">
        <f aca="false">Sens!$H$3517*(1+Sens!$I$3518)</f>
        <v>7.61421070299826</v>
      </c>
      <c r="J3517" s="38" t="n">
        <f aca="false">Sens!$I$3517*(1+Sens!$J$3518)</f>
        <v>8.04465753523932</v>
      </c>
      <c r="K3517" s="38" t="n">
        <f aca="false">Sens!$J$3517*(1+Sens!$K$3518)</f>
        <v>8.44689041200128</v>
      </c>
      <c r="L3517" s="38" t="n">
        <f aca="false">Sens!$K$3517*(1+Sens!$L$3518)</f>
        <v>8.86923493260135</v>
      </c>
      <c r="M3517" s="38" t="n">
        <f aca="false">Sens!$L$3517*(1+Sens!$M$3518)</f>
        <v>9.31269667923142</v>
      </c>
      <c r="N3517" s="38" t="n">
        <f aca="false">Q!$N$15</f>
        <v>2.811</v>
      </c>
      <c r="O3517" s="38" t="n">
        <f aca="false">Q!$O$15</f>
        <v>3.124</v>
      </c>
      <c r="P3517" s="8" t="s">
        <v>678</v>
      </c>
    </row>
    <row r="3518" customFormat="false" ht="17.15" hidden="false" customHeight="false" outlineLevel="0" collapsed="false">
      <c r="A3518" s="0" t="s">
        <v>689</v>
      </c>
      <c r="B3518" s="0" t="s">
        <v>52</v>
      </c>
      <c r="E3518" s="13" t="n">
        <f aca="false">Sens!$E$3517/Sens!$N$3517-1</f>
        <v>0.235859124866596</v>
      </c>
      <c r="F3518" s="13" t="n">
        <f aca="false">Sens!$O$3517/(Q!$F$15+Q!$G$15)-1</f>
        <v>0.0761281433000345</v>
      </c>
      <c r="G3518" s="13" t="n">
        <f aca="false">Sens!$G$3517/Sens!$D$3517-1</f>
        <v>0.128300843948811</v>
      </c>
      <c r="H3518" s="13" t="n">
        <f aca="false">Sens!$F$3518+(g_ot-Sens!$F$3518)*1/4</f>
        <v>0.0695961074750259</v>
      </c>
      <c r="I3518" s="13" t="n">
        <f aca="false">Sens!$F$3518+(g_ot-Sens!$F$3518)*2/4</f>
        <v>0.0630640716500172</v>
      </c>
      <c r="J3518" s="13" t="n">
        <f aca="false">Sens!$F$3518+(g_ot-Sens!$F$3518)*3/4</f>
        <v>0.0565320358250086</v>
      </c>
      <c r="K3518" s="13" t="n">
        <f aca="false">Sens!$F$3518+(g_ot-Sens!$F$3518)*4/4</f>
        <v>0.05</v>
      </c>
      <c r="L3518" s="13" t="n">
        <f aca="false">g_ot</f>
        <v>0.05</v>
      </c>
      <c r="M3518" s="13" t="n">
        <f aca="false">g_ot</f>
        <v>0.05</v>
      </c>
      <c r="P3518" s="8" t="s">
        <v>690</v>
      </c>
    </row>
    <row r="3519" customFormat="false" ht="17.15" hidden="false" customHeight="false" outlineLevel="0" collapsed="false">
      <c r="A3519" s="0" t="s">
        <v>691</v>
      </c>
      <c r="B3519" s="0" t="s">
        <v>57</v>
      </c>
      <c r="F3519" s="40" t="n">
        <f aca="false">(g26q3_mid*Q!$O$8/Q!$J$8-Thesis!$F$89-Thesis!$F$93)/(Sens!$O$3507*(1+Sens!$F$3508)+Sens!$O$3509*(1+Sens!$F$3510)+Sens!$O$3511*(1+Sens!$F$3512)+Sens!$O$3513*(1+Sens!$F$3514)+Sens!$O$3515*(1+Sens!$F$3516)+Sens!$O$3517*(1+Sens!$F$3518))</f>
        <v>0.958546670622329</v>
      </c>
      <c r="P3519" s="8" t="s">
        <v>692</v>
      </c>
    </row>
    <row r="3520" customFormat="false" ht="17.15" hidden="false" customHeight="false" outlineLevel="0" collapsed="false">
      <c r="A3520" s="3" t="s">
        <v>693</v>
      </c>
      <c r="B3520" s="8" t="s">
        <v>86</v>
      </c>
      <c r="C3520" s="38" t="n">
        <f aca="false">Sens!$C$3507+Sens!$C$3509+Sens!$C$3511+Sens!$C$3513+Sens!$C$3515+Sens!$C$3517</f>
        <v>530.403</v>
      </c>
      <c r="D3520" s="38" t="n">
        <f aca="false">Sens!$D$3507+Sens!$D$3509+Sens!$D$3511+Sens!$D$3513+Sens!$D$3515+Sens!$D$3517</f>
        <v>588.199</v>
      </c>
      <c r="E3520" s="38" t="n">
        <f aca="false">Sens!$E$3507+Sens!$E$3509+Sens!$E$3511+Sens!$E$3513+Sens!$E$3515+Sens!$E$3517</f>
        <v>302.306</v>
      </c>
      <c r="F3520" s="38" t="n">
        <f aca="false">Sens!$F$3507+Sens!$F$3509+Sens!$F$3511+Sens!$F$3513+Sens!$F$3515+Sens!$F$3517</f>
        <v>349.048241645537</v>
      </c>
      <c r="G3520" s="38" t="n">
        <f aca="false">Sens!$G$3507+Sens!$G$3509+Sens!$G$3511+Sens!$G$3513+Sens!$G$3515+Sens!$G$3517</f>
        <v>651.354241645537</v>
      </c>
      <c r="H3520" s="38" t="n">
        <f aca="false">Sens!$H$3507+Sens!$H$3509+Sens!$H$3511+Sens!$H$3513+Sens!$H$3515+Sens!$H$3517</f>
        <v>721.096889521386</v>
      </c>
      <c r="I3520" s="38" t="n">
        <f aca="false">Sens!$I$3507+Sens!$I$3509+Sens!$I$3511+Sens!$I$3513+Sens!$I$3515+Sens!$I$3517</f>
        <v>788.529391152531</v>
      </c>
      <c r="J3520" s="38" t="n">
        <f aca="false">Sens!$J$3507+Sens!$J$3509+Sens!$J$3511+Sens!$J$3513+Sens!$J$3515+Sens!$J$3517</f>
        <v>851.108405741443</v>
      </c>
      <c r="K3520" s="38" t="n">
        <f aca="false">Sens!$K$3507+Sens!$K$3509+Sens!$K$3511+Sens!$K$3513+Sens!$K$3515+Sens!$K$3517</f>
        <v>906.176455431088</v>
      </c>
      <c r="L3520" s="38" t="n">
        <f aca="false">Sens!$L$3507+Sens!$L$3509+Sens!$L$3511+Sens!$L$3513+Sens!$L$3515+Sens!$L$3517</f>
        <v>965.093106475589</v>
      </c>
      <c r="M3520" s="38" t="n">
        <f aca="false">Sens!$M$3507+Sens!$M$3509+Sens!$M$3511+Sens!$M$3513+Sens!$M$3515+Sens!$M$3517</f>
        <v>1028.14790794689</v>
      </c>
      <c r="N3520" s="38" t="n">
        <f aca="false">Sens!$N$3507+Sens!$N$3509+Sens!$N$3511+Sens!$N$3513+Sens!$N$3515+Sens!$N$3517</f>
        <v>263.229</v>
      </c>
      <c r="O3520" s="38" t="n">
        <f aca="false">Sens!$O$3507+Sens!$O$3509+Sens!$O$3511+Sens!$O$3513+Sens!$O$3515+Sens!$O$3517</f>
        <v>324.97</v>
      </c>
    </row>
    <row r="3521" customFormat="false" ht="17.15" hidden="false" customHeight="false" outlineLevel="0" collapsed="false">
      <c r="A3521" s="5" t="s">
        <v>694</v>
      </c>
      <c r="B3521" s="0" t="s">
        <v>52</v>
      </c>
      <c r="C3521" s="13" t="n">
        <f aca="false">Q!$D$5/(Q!$D$5+Q!$D$6)</f>
        <v>0.730570905519011</v>
      </c>
      <c r="D3521" s="13" t="n">
        <f aca="false">Q!$E$5/(Q!$E$5+Q!$E$6)</f>
        <v>0.724763217890544</v>
      </c>
      <c r="E3521" s="13" t="n">
        <f aca="false">Q!$P$5/(Q!$P$5+Q!$P$6)</f>
        <v>0.728797972914861</v>
      </c>
      <c r="F3521" s="13" t="n">
        <f aca="false">Sens!$O$3521</f>
        <v>0.718066283041511</v>
      </c>
      <c r="G3521" s="13" t="n">
        <f aca="false">Sens!$G$3522/Sens!$G$3520</f>
        <v>0.723047066202847</v>
      </c>
      <c r="H3521" s="13" t="n">
        <f aca="false">Sens!$G$3521</f>
        <v>0.723047066202847</v>
      </c>
      <c r="I3521" s="13" t="n">
        <f aca="false">Sens!$G$3521</f>
        <v>0.723047066202847</v>
      </c>
      <c r="J3521" s="13" t="n">
        <f aca="false">Sens!$G$3521</f>
        <v>0.723047066202847</v>
      </c>
      <c r="K3521" s="13" t="n">
        <f aca="false">Sens!$G$3521</f>
        <v>0.723047066202847</v>
      </c>
      <c r="L3521" s="13" t="n">
        <f aca="false">Sens!$G$3521</f>
        <v>0.723047066202847</v>
      </c>
      <c r="M3521" s="13" t="n">
        <f aca="false">Sens!$G$3521</f>
        <v>0.723047066202847</v>
      </c>
      <c r="N3521" s="13" t="n">
        <f aca="false">Q!$N$5/(Q!$N$5+Q!$N$6)</f>
        <v>0.733030935041352</v>
      </c>
      <c r="O3521" s="13" t="n">
        <f aca="false">Q!$O$5/(Q!$O$5+Q!$O$6)</f>
        <v>0.718066283041511</v>
      </c>
      <c r="P3521" s="8" t="s">
        <v>695</v>
      </c>
    </row>
    <row r="3522" customFormat="false" ht="17.15" hidden="false" customHeight="false" outlineLevel="0" collapsed="false">
      <c r="A3522" s="1" t="s">
        <v>519</v>
      </c>
      <c r="B3522" s="8" t="s">
        <v>86</v>
      </c>
      <c r="C3522" s="38" t="n">
        <f aca="false">Q!$D$5</f>
        <v>387.497</v>
      </c>
      <c r="D3522" s="38" t="n">
        <f aca="false">Q!$E$5</f>
        <v>426.305</v>
      </c>
      <c r="E3522" s="38" t="n">
        <f aca="false">Q!$P$5</f>
        <v>220.32</v>
      </c>
      <c r="F3522" s="38" t="n">
        <f aca="false">Sens!$F$3520*Sens!$F$3521</f>
        <v>250.639773480586</v>
      </c>
      <c r="G3522" s="38" t="n">
        <f aca="false">Sens!$E$3522+Sens!$F$3522</f>
        <v>470.959773480586</v>
      </c>
      <c r="H3522" s="38" t="n">
        <f aca="false">Sens!$H$3520*Sens!$H$3521</f>
        <v>521.386990416437</v>
      </c>
      <c r="I3522" s="38" t="n">
        <f aca="false">Sens!$I$3520*Sens!$I$3521</f>
        <v>570.143862887555</v>
      </c>
      <c r="J3522" s="38" t="n">
        <f aca="false">Sens!$J$3520*Sens!$J$3521</f>
        <v>615.391435791933</v>
      </c>
      <c r="K3522" s="38" t="n">
        <f aca="false">Sens!$K$3520*Sens!$K$3521</f>
        <v>655.208227561543</v>
      </c>
      <c r="L3522" s="38" t="n">
        <f aca="false">Sens!$L$3520*Sens!$L$3521</f>
        <v>697.807739249767</v>
      </c>
      <c r="M3522" s="38" t="n">
        <f aca="false">Sens!$M$3520*Sens!$M$3521</f>
        <v>743.399328463592</v>
      </c>
      <c r="N3522" s="38" t="n">
        <f aca="false">Q!$N$5</f>
        <v>192.955</v>
      </c>
      <c r="O3522" s="38" t="n">
        <f aca="false">Q!$O$5</f>
        <v>233.35</v>
      </c>
      <c r="P3522" s="5" t="s">
        <v>696</v>
      </c>
    </row>
    <row r="3523" customFormat="false" ht="17.15" hidden="false" customHeight="false" outlineLevel="0" collapsed="false">
      <c r="A3523" s="1" t="s">
        <v>522</v>
      </c>
      <c r="B3523" s="8" t="s">
        <v>86</v>
      </c>
      <c r="C3523" s="38" t="n">
        <f aca="false">Q!$D$6</f>
        <v>142.906</v>
      </c>
      <c r="D3523" s="38" t="n">
        <f aca="false">Q!$E$6</f>
        <v>161.894</v>
      </c>
      <c r="E3523" s="38" t="n">
        <f aca="false">Q!$P$6</f>
        <v>81.986</v>
      </c>
      <c r="F3523" s="38" t="n">
        <f aca="false">Sens!$F$3520*(1-Sens!$F$3521)</f>
        <v>98.408468164951</v>
      </c>
      <c r="G3523" s="38" t="n">
        <f aca="false">Sens!$E$3523+Sens!$F$3523</f>
        <v>180.394468164951</v>
      </c>
      <c r="H3523" s="38" t="n">
        <f aca="false">Sens!$H$3520*(1-Sens!$H$3521)</f>
        <v>199.709899104949</v>
      </c>
      <c r="I3523" s="38" t="n">
        <f aca="false">Sens!$I$3520*(1-Sens!$I$3521)</f>
        <v>218.385528264976</v>
      </c>
      <c r="J3523" s="38" t="n">
        <f aca="false">Sens!$J$3520*(1-Sens!$J$3521)</f>
        <v>235.71696994951</v>
      </c>
      <c r="K3523" s="38" t="n">
        <f aca="false">Sens!$K$3520*(1-Sens!$K$3521)</f>
        <v>250.968227869545</v>
      </c>
      <c r="L3523" s="38" t="n">
        <f aca="false">Sens!$L$3520*(1-Sens!$L$3521)</f>
        <v>267.285367225822</v>
      </c>
      <c r="M3523" s="38" t="n">
        <f aca="false">Sens!$M$3520*(1-Sens!$M$3521)</f>
        <v>284.748579483295</v>
      </c>
      <c r="N3523" s="38" t="n">
        <f aca="false">Q!$N$6</f>
        <v>70.274</v>
      </c>
      <c r="O3523" s="38" t="n">
        <f aca="false">Q!$O$6</f>
        <v>91.62</v>
      </c>
      <c r="P3523" s="5" t="s">
        <v>697</v>
      </c>
    </row>
    <row r="3524" customFormat="false" ht="17.15" hidden="false" customHeight="false" outlineLevel="0" collapsed="false">
      <c r="A3524" s="5" t="s">
        <v>698</v>
      </c>
      <c r="B3524" s="0" t="s">
        <v>86</v>
      </c>
      <c r="C3524" s="38" t="n">
        <f aca="false">Sens!$C$3513*Sens!$C$3521</f>
        <v>41.0683128828457</v>
      </c>
      <c r="D3524" s="38" t="n">
        <f aca="false">Sens!$D$3513*Sens!$D$3521</f>
        <v>49.7441234599175</v>
      </c>
      <c r="E3524" s="38" t="n">
        <f aca="false">Sens!$E$3513*Sens!$E$3521</f>
        <v>27.0034224924414</v>
      </c>
      <c r="F3524" s="38" t="n">
        <f aca="false">Sens!$F$3513*Sens!$F$3521</f>
        <v>33.1439448330513</v>
      </c>
      <c r="G3524" s="38" t="n">
        <f aca="false">Sens!$G$3513*Sens!$G$3521</f>
        <v>60.164183844083</v>
      </c>
      <c r="H3524" s="38" t="n">
        <f aca="false">Sens!$H$3513*Sens!$H$3521</f>
        <v>72.2301766552629</v>
      </c>
      <c r="I3524" s="38" t="n">
        <f aca="false">Sens!$I$3513*Sens!$I$3521</f>
        <v>84.2950764463991</v>
      </c>
      <c r="J3524" s="38" t="n">
        <f aca="false">Sens!$J$3513*Sens!$J$3521</f>
        <v>95.5499047729386</v>
      </c>
      <c r="K3524" s="38" t="n">
        <f aca="false">Sens!$K$3513*Sens!$K$3521</f>
        <v>105.104895250232</v>
      </c>
      <c r="L3524" s="38" t="n">
        <f aca="false">Sens!$L$3513*Sens!$L$3521</f>
        <v>115.615384775256</v>
      </c>
      <c r="M3524" s="38" t="n">
        <f aca="false">Sens!$M$3513*Sens!$M$3521</f>
        <v>127.176923252781</v>
      </c>
      <c r="N3524" s="38" t="n">
        <f aca="false">Sens!$N$3513*Sens!$N$3521</f>
        <v>21.7087111412496</v>
      </c>
      <c r="O3524" s="38" t="n">
        <f aca="false">Sens!$O$3513*Sens!$O$3521</f>
        <v>28.0189463642798</v>
      </c>
      <c r="P3524" s="5" t="s">
        <v>699</v>
      </c>
    </row>
    <row r="3525" customFormat="false" ht="15" hidden="false" customHeight="false" outlineLevel="0" collapsed="false">
      <c r="A3525" s="5" t="s">
        <v>700</v>
      </c>
      <c r="B3525" s="0" t="s">
        <v>86</v>
      </c>
      <c r="C3525" s="38" t="n">
        <f aca="false">Sens!$C$3513-Sens!$C$3524</f>
        <v>15.1456871171543</v>
      </c>
      <c r="D3525" s="38" t="n">
        <f aca="false">Sens!$D$3513-Sens!$D$3524</f>
        <v>18.8908765400825</v>
      </c>
      <c r="E3525" s="38" t="n">
        <f aca="false">Sens!$E$3513-Sens!$E$3524</f>
        <v>10.0485775075586</v>
      </c>
      <c r="F3525" s="38" t="n">
        <f aca="false">Sens!$F$3513-Sens!$F$3524</f>
        <v>13.0132771613635</v>
      </c>
      <c r="G3525" s="38" t="n">
        <f aca="false">Sens!$G$3513-Sens!$G$3524</f>
        <v>23.0450381503318</v>
      </c>
      <c r="H3525" s="38" t="n">
        <f aca="false">Sens!$H$3513-Sens!$H$3524</f>
        <v>27.6667457326347</v>
      </c>
      <c r="I3525" s="38" t="n">
        <f aca="false">Sens!$I$3513-Sens!$I$3524</f>
        <v>32.2880346490971</v>
      </c>
      <c r="J3525" s="38" t="n">
        <f aca="false">Sens!$J$3513-Sens!$J$3524</f>
        <v>36.5990371690132</v>
      </c>
      <c r="K3525" s="38" t="n">
        <f aca="false">Sens!$K$3513-Sens!$K$3524</f>
        <v>40.2589408859145</v>
      </c>
      <c r="L3525" s="38" t="n">
        <f aca="false">Sens!$L$3513-Sens!$L$3524</f>
        <v>44.2848349745059</v>
      </c>
      <c r="M3525" s="38" t="n">
        <f aca="false">Sens!$M$3513-Sens!$M$3524</f>
        <v>48.7133184719565</v>
      </c>
      <c r="N3525" s="38" t="n">
        <f aca="false">Sens!$N$3513-Sens!$N$3524</f>
        <v>7.90628885875037</v>
      </c>
      <c r="O3525" s="38" t="n">
        <f aca="false">Sens!$O$3513-Sens!$O$3524</f>
        <v>11.0010536357202</v>
      </c>
    </row>
    <row r="3526" customFormat="false" ht="19.4" hidden="false" customHeight="false" outlineLevel="0" collapsed="false">
      <c r="A3526" s="31" t="s">
        <v>1223</v>
      </c>
    </row>
    <row r="3527" customFormat="false" ht="17.15" hidden="false" customHeight="false" outlineLevel="0" collapsed="false">
      <c r="A3527" s="6" t="s">
        <v>16</v>
      </c>
      <c r="B3527" s="6" t="s">
        <v>17</v>
      </c>
      <c r="C3527" s="20" t="s">
        <v>504</v>
      </c>
      <c r="D3527" s="20" t="s">
        <v>505</v>
      </c>
      <c r="E3527" s="20" t="s">
        <v>587</v>
      </c>
      <c r="F3527" s="20" t="s">
        <v>588</v>
      </c>
      <c r="G3527" s="20" t="s">
        <v>589</v>
      </c>
      <c r="H3527" s="20" t="s">
        <v>590</v>
      </c>
      <c r="I3527" s="20" t="s">
        <v>591</v>
      </c>
      <c r="J3527" s="20" t="s">
        <v>592</v>
      </c>
      <c r="K3527" s="20" t="s">
        <v>593</v>
      </c>
      <c r="L3527" s="20" t="s">
        <v>594</v>
      </c>
      <c r="M3527" s="20" t="s">
        <v>595</v>
      </c>
      <c r="N3527" s="20" t="s">
        <v>596</v>
      </c>
      <c r="O3527" s="20" t="s">
        <v>597</v>
      </c>
      <c r="P3527" s="6" t="s">
        <v>23</v>
      </c>
      <c r="R3527" s="20" t="n">
        <v>2023</v>
      </c>
      <c r="S3527" s="20" t="n">
        <v>2024</v>
      </c>
      <c r="T3527" s="20" t="n">
        <v>2025</v>
      </c>
      <c r="U3527" s="20" t="n">
        <v>2026</v>
      </c>
      <c r="V3527" s="20" t="n">
        <v>2027</v>
      </c>
      <c r="W3527" s="20" t="n">
        <v>2028</v>
      </c>
      <c r="X3527" s="20" t="n">
        <v>2029</v>
      </c>
      <c r="Y3527" s="20" t="n">
        <v>2030</v>
      </c>
      <c r="Z3527" s="20" t="n">
        <v>2031</v>
      </c>
      <c r="AA3527" s="20" t="n">
        <v>2032</v>
      </c>
    </row>
    <row r="3528" customFormat="false" ht="17.15" hidden="false" customHeight="false" outlineLevel="0" collapsed="false">
      <c r="A3528" s="1" t="s">
        <v>598</v>
      </c>
    </row>
    <row r="3529" customFormat="false" ht="17.15" hidden="false" customHeight="false" outlineLevel="0" collapsed="false">
      <c r="A3529" s="5" t="s">
        <v>599</v>
      </c>
      <c r="B3529" s="0" t="s">
        <v>144</v>
      </c>
      <c r="H3529" s="32" t="n">
        <f aca="false">pace_B</f>
        <v>3634.3</v>
      </c>
      <c r="I3529" s="32" t="n">
        <f aca="false">pace_B</f>
        <v>3634.3</v>
      </c>
      <c r="J3529" s="32" t="n">
        <f aca="false">pace_B</f>
        <v>3634.3</v>
      </c>
      <c r="K3529" s="32" t="n">
        <f aca="false">pace_B+(Sens!$J$3530*tg-pace_B)*1/3</f>
        <v>2570.86716666667</v>
      </c>
      <c r="L3529" s="32" t="n">
        <f aca="false">pace_B+(Sens!$J$3530*tg-pace_B)*2/3</f>
        <v>1507.43433333333</v>
      </c>
      <c r="M3529" s="32" t="n">
        <f aca="false">pace_B+(Sens!$J$3530*tg-pace_B)*3/3</f>
        <v>444.0015</v>
      </c>
      <c r="P3529" s="5" t="s">
        <v>600</v>
      </c>
    </row>
    <row r="3530" customFormat="false" ht="17.15" hidden="false" customHeight="false" outlineLevel="0" collapsed="false">
      <c r="A3530" s="15" t="s">
        <v>601</v>
      </c>
      <c r="B3530" s="14" t="s">
        <v>129</v>
      </c>
      <c r="C3530" s="33" t="n">
        <f aca="false">mw_ye24</f>
        <v>360</v>
      </c>
      <c r="D3530" s="33" t="n">
        <f aca="false">mw_ye25</f>
        <v>1440</v>
      </c>
      <c r="E3530" s="33" t="n">
        <f aca="false">mw_open</f>
        <v>2080</v>
      </c>
      <c r="F3530" s="33" t="n">
        <f aca="false">Sens!$E$3530+pace_B*0.5</f>
        <v>3897.15</v>
      </c>
      <c r="G3530" s="33" t="n">
        <f aca="false">Sens!$F$3530</f>
        <v>3897.15</v>
      </c>
      <c r="H3530" s="33" t="n">
        <f aca="false">Sens!$G$3530+Sens!$H$3529</f>
        <v>7531.45</v>
      </c>
      <c r="I3530" s="33" t="n">
        <f aca="false">Sens!$H$3530+Sens!$I$3529</f>
        <v>11165.75</v>
      </c>
      <c r="J3530" s="33" t="n">
        <f aca="false">Sens!$I$3530+Sens!$J$3529</f>
        <v>14800.05</v>
      </c>
      <c r="K3530" s="33" t="n">
        <f aca="false">Sens!$J$3530+Sens!$K$3529</f>
        <v>17370.9171666667</v>
      </c>
      <c r="L3530" s="33" t="n">
        <f aca="false">Sens!$K$3530+Sens!$L$3529</f>
        <v>18878.3515</v>
      </c>
      <c r="M3530" s="33" t="n">
        <f aca="false">Sens!$L$3530+Sens!$M$3529</f>
        <v>19322.353</v>
      </c>
      <c r="N3530" s="33" t="n">
        <f aca="false">(mw_ye24+mw_ye25)/2</f>
        <v>900</v>
      </c>
      <c r="O3530" s="33" t="n">
        <f aca="false">mw_ye25</f>
        <v>1440</v>
      </c>
      <c r="P3530" s="5" t="s">
        <v>602</v>
      </c>
    </row>
    <row r="3531" customFormat="false" ht="17.15" hidden="false" customHeight="false" outlineLevel="0" collapsed="false">
      <c r="A3531" s="5" t="s">
        <v>603</v>
      </c>
      <c r="B3531" s="0" t="s">
        <v>129</v>
      </c>
      <c r="C3531" s="32" t="n">
        <f aca="false">(mw_ye23+mw_ye24)/2</f>
        <v>240</v>
      </c>
      <c r="D3531" s="32" t="n">
        <f aca="false">(Sens!$C$3530+Sens!$D$3530)/2</f>
        <v>900</v>
      </c>
      <c r="E3531" s="32" t="n">
        <f aca="false">(Sens!$D$3530+Sens!$E$3530)/2</f>
        <v>1760</v>
      </c>
      <c r="F3531" s="32" t="n">
        <f aca="false">(Sens!$E$3530+Sens!$F$3530)/2</f>
        <v>2988.575</v>
      </c>
      <c r="G3531" s="32" t="n">
        <f aca="false">(Sens!$E$3531+Sens!$F$3531)/2</f>
        <v>2374.2875</v>
      </c>
      <c r="H3531" s="32" t="n">
        <f aca="false">(Sens!$G$3530+Sens!$H$3530)/2</f>
        <v>5714.3</v>
      </c>
      <c r="I3531" s="32" t="n">
        <f aca="false">(Sens!$H$3530+Sens!$I$3530)/2</f>
        <v>9348.6</v>
      </c>
      <c r="J3531" s="32" t="n">
        <f aca="false">(Sens!$I$3530+Sens!$J$3530)/2</f>
        <v>12982.9</v>
      </c>
      <c r="K3531" s="32" t="n">
        <f aca="false">(Sens!$J$3530+Sens!$K$3530)/2</f>
        <v>16085.4835833333</v>
      </c>
      <c r="L3531" s="32" t="n">
        <f aca="false">(Sens!$K$3530+Sens!$L$3530)/2</f>
        <v>18124.6343333333</v>
      </c>
      <c r="M3531" s="32" t="n">
        <f aca="false">(Sens!$L$3530+Sens!$M$3530)/2</f>
        <v>19100.35225</v>
      </c>
      <c r="N3531" s="32" t="n">
        <f aca="false">(Sens!$C$3530+Sens!$N$3530)/2</f>
        <v>630</v>
      </c>
      <c r="O3531" s="32" t="n">
        <f aca="false">(Sens!$N$3530+Sens!$O$3530)/2</f>
        <v>1170</v>
      </c>
    </row>
    <row r="3532" customFormat="false" ht="15" hidden="false" customHeight="false" outlineLevel="0" collapsed="false">
      <c r="A3532" s="5" t="s">
        <v>604</v>
      </c>
      <c r="B3532" s="5" t="s">
        <v>123</v>
      </c>
      <c r="C3532" s="34" t="n">
        <v>1</v>
      </c>
      <c r="D3532" s="34" t="n">
        <v>1</v>
      </c>
      <c r="E3532" s="34" t="n">
        <v>0.5</v>
      </c>
      <c r="F3532" s="34" t="n">
        <v>0.5</v>
      </c>
      <c r="G3532" s="34" t="n">
        <v>1</v>
      </c>
      <c r="H3532" s="34" t="n">
        <v>1</v>
      </c>
      <c r="I3532" s="34" t="n">
        <v>1</v>
      </c>
      <c r="J3532" s="34" t="n">
        <v>1</v>
      </c>
      <c r="K3532" s="34" t="n">
        <v>1</v>
      </c>
      <c r="L3532" s="34" t="n">
        <v>1</v>
      </c>
      <c r="M3532" s="34" t="n">
        <v>1</v>
      </c>
      <c r="N3532" s="34" t="n">
        <v>0.5</v>
      </c>
      <c r="O3532" s="34" t="n">
        <v>0.5</v>
      </c>
    </row>
    <row r="3533" customFormat="false" ht="17.15" hidden="false" customHeight="false" outlineLevel="0" collapsed="false">
      <c r="A3533" s="5" t="s">
        <v>605</v>
      </c>
      <c r="B3533" s="0" t="s">
        <v>129</v>
      </c>
      <c r="C3533" s="32" t="n">
        <f aca="false">Sens!$C$3530-mw_ye23</f>
        <v>240</v>
      </c>
      <c r="D3533" s="32" t="n">
        <f aca="false">Sens!$D$3530-Sens!$C$3530</f>
        <v>1080</v>
      </c>
      <c r="E3533" s="32" t="n">
        <f aca="false">Sens!$E$3530-Sens!$D$3530</f>
        <v>640</v>
      </c>
      <c r="F3533" s="32" t="n">
        <f aca="false">Sens!$F$3530-Sens!$E$3530</f>
        <v>1817.15</v>
      </c>
      <c r="G3533" s="32" t="n">
        <f aca="false">Sens!$E$3533+Sens!$F$3533</f>
        <v>2457.15</v>
      </c>
      <c r="H3533" s="32" t="n">
        <f aca="false">Sens!$H$3530-Sens!$G$3530</f>
        <v>3634.3</v>
      </c>
      <c r="I3533" s="32" t="n">
        <f aca="false">Sens!$I$3530-Sens!$H$3530</f>
        <v>3634.3</v>
      </c>
      <c r="J3533" s="32" t="n">
        <f aca="false">Sens!$J$3530-Sens!$I$3530</f>
        <v>3634.3</v>
      </c>
      <c r="K3533" s="32" t="n">
        <f aca="false">Sens!$K$3530-Sens!$J$3530</f>
        <v>2570.86716666667</v>
      </c>
      <c r="L3533" s="32" t="n">
        <f aca="false">Sens!$L$3530-Sens!$K$3530</f>
        <v>1507.43433333333</v>
      </c>
      <c r="M3533" s="32" t="n">
        <f aca="false">Sens!$M$3530-Sens!$L$3530</f>
        <v>444.001499999999</v>
      </c>
      <c r="N3533" s="32" t="n">
        <f aca="false">Sens!$N$3530-Sens!$C$3530</f>
        <v>540</v>
      </c>
      <c r="O3533" s="32" t="n">
        <f aca="false">Sens!$O$3530-Sens!$N$3530</f>
        <v>540</v>
      </c>
    </row>
    <row r="3534" customFormat="false" ht="17.15" hidden="false" customHeight="false" outlineLevel="0" collapsed="false">
      <c r="A3534" s="5" t="s">
        <v>606</v>
      </c>
      <c r="B3534" s="0" t="s">
        <v>129</v>
      </c>
      <c r="C3534" s="32" t="n">
        <f aca="false">Sens!$C$3533/ext_sh</f>
        <v>300</v>
      </c>
      <c r="D3534" s="32" t="n">
        <f aca="false">Sens!$D$3533/ext_sh</f>
        <v>1350</v>
      </c>
      <c r="E3534" s="32" t="n">
        <f aca="false">Sens!$E$3533/ext_sh</f>
        <v>800</v>
      </c>
      <c r="F3534" s="32" t="n">
        <f aca="false">Sens!$F$3533/ext_sh</f>
        <v>2271.4375</v>
      </c>
      <c r="G3534" s="32" t="n">
        <f aca="false">Sens!$G$3533/ext_sh</f>
        <v>3071.4375</v>
      </c>
      <c r="H3534" s="32" t="n">
        <f aca="false">Sens!$H$3533/ext_sh</f>
        <v>4542.875</v>
      </c>
      <c r="I3534" s="32" t="n">
        <f aca="false">Sens!$I$3533/ext_sh</f>
        <v>4542.875</v>
      </c>
      <c r="J3534" s="32" t="n">
        <f aca="false">Sens!$J$3533/ext_sh</f>
        <v>4542.875</v>
      </c>
      <c r="K3534" s="32" t="n">
        <f aca="false">Sens!$K$3533/ext_sh</f>
        <v>3213.58395833333</v>
      </c>
      <c r="L3534" s="32" t="n">
        <f aca="false">Sens!$L$3533/ext_sh</f>
        <v>1884.29291666667</v>
      </c>
      <c r="M3534" s="32" t="n">
        <f aca="false">Sens!$M$3533/ext_sh</f>
        <v>555.001874999998</v>
      </c>
      <c r="N3534" s="32" t="n">
        <f aca="false">Sens!$N$3533/ext_sh</f>
        <v>675</v>
      </c>
      <c r="O3534" s="32" t="n">
        <f aca="false">Sens!$O$3533/ext_sh</f>
        <v>675</v>
      </c>
      <c r="P3534" s="8" t="s">
        <v>607</v>
      </c>
      <c r="R3534" s="32" t="n">
        <f aca="false">mw_ye23/ext_sh</f>
        <v>150</v>
      </c>
      <c r="S3534" s="32" t="n">
        <f aca="false">Sens!$C$3534</f>
        <v>300</v>
      </c>
      <c r="T3534" s="32" t="n">
        <f aca="false">Sens!$D$3534</f>
        <v>1350</v>
      </c>
      <c r="U3534" s="32" t="n">
        <f aca="false">Sens!$G$3534</f>
        <v>3071.4375</v>
      </c>
      <c r="V3534" s="32" t="n">
        <f aca="false">Sens!$H$3534</f>
        <v>4542.875</v>
      </c>
      <c r="W3534" s="32" t="n">
        <f aca="false">Sens!$I$3534</f>
        <v>4542.875</v>
      </c>
      <c r="X3534" s="32" t="n">
        <f aca="false">Sens!$J$3534</f>
        <v>4542.875</v>
      </c>
      <c r="Y3534" s="32" t="n">
        <f aca="false">Sens!$K$3534</f>
        <v>3213.58395833333</v>
      </c>
      <c r="Z3534" s="32" t="n">
        <f aca="false">Sens!$L$3534</f>
        <v>1884.29291666667</v>
      </c>
      <c r="AA3534" s="32" t="n">
        <f aca="false">Sens!$M$3534</f>
        <v>555.001874999998</v>
      </c>
    </row>
    <row r="3535" customFormat="false" ht="17.15" hidden="false" customHeight="false" outlineLevel="0" collapsed="false">
      <c r="A3535" s="1" t="s">
        <v>608</v>
      </c>
    </row>
    <row r="3536" customFormat="false" ht="17.15" hidden="false" customHeight="false" outlineLevel="0" collapsed="false">
      <c r="A3536" s="0" t="s">
        <v>609</v>
      </c>
      <c r="B3536" s="0" t="s">
        <v>52</v>
      </c>
      <c r="F3536" s="35" t="n">
        <f aca="false">na_vr26</f>
        <v>0</v>
      </c>
      <c r="G3536" s="35" t="n">
        <f aca="false">na_vr26</f>
        <v>0</v>
      </c>
      <c r="H3536" s="35" t="n">
        <f aca="false">na_vr27</f>
        <v>0.5</v>
      </c>
      <c r="I3536" s="35" t="n">
        <f aca="false">na_vr28</f>
        <v>1</v>
      </c>
      <c r="J3536" s="35" t="n">
        <f aca="false">na_vr28</f>
        <v>1</v>
      </c>
      <c r="K3536" s="35" t="n">
        <f aca="false">na_vr28</f>
        <v>1</v>
      </c>
      <c r="L3536" s="35" t="n">
        <f aca="false">na_vr28</f>
        <v>1</v>
      </c>
      <c r="M3536" s="35" t="n">
        <f aca="false">na_vr28</f>
        <v>1</v>
      </c>
    </row>
    <row r="3537" customFormat="false" ht="17.15" hidden="false" customHeight="false" outlineLevel="0" collapsed="false">
      <c r="A3537" s="5" t="s">
        <v>610</v>
      </c>
      <c r="B3537" s="0" t="s">
        <v>173</v>
      </c>
      <c r="F3537" s="36" t="n">
        <f aca="false">cust_sh*tk_he_gb300*cf_chip+(1-cust_sh)*((1-Sens!$F$3536)*tk_he_gb300+Sens!$F$3536*tk_he_vr200)</f>
        <v>10.8864110021101</v>
      </c>
      <c r="G3537" s="36" t="n">
        <f aca="false">cust_sh*tk_he_gb300*cf_chip+(1-cust_sh)*((1-Sens!$G$3536)*tk_he_gb300+Sens!$G$3536*tk_he_vr200)</f>
        <v>10.8864110021101</v>
      </c>
      <c r="H3537" s="36" t="n">
        <f aca="false">cust_sh*tk_he_gb300*cf_chip+(1-cust_sh)*((1-Sens!$H$3536)*tk_he_gb300+Sens!$H$3536*tk_he_vr200)</f>
        <v>11.2211760027286</v>
      </c>
      <c r="I3537" s="36" t="n">
        <f aca="false">cust_sh*tk_he_gb300*cf_chip+(1-cust_sh)*((1-Sens!$I$3536)*tk_he_gb300+Sens!$I$3536*tk_he_vr200)</f>
        <v>11.5559410033471</v>
      </c>
      <c r="J3537" s="36" t="n">
        <f aca="false">cust_sh*tk_he_gb300*cf_chip+(1-cust_sh)*((1-Sens!$J$3536)*tk_he_gb300+Sens!$J$3536*tk_he_vr200)</f>
        <v>11.5559410033471</v>
      </c>
      <c r="K3537" s="36" t="n">
        <f aca="false">cust_sh*tk_he_gb300*cf_chip+(1-cust_sh)*((1-Sens!$K$3536)*tk_he_gb300+Sens!$K$3536*tk_he_vr200)</f>
        <v>11.5559410033471</v>
      </c>
      <c r="L3537" s="36" t="n">
        <f aca="false">cust_sh*tk_he_gb300*cf_chip+(1-cust_sh)*((1-Sens!$L$3536)*tk_he_gb300+Sens!$L$3536*tk_he_vr200)</f>
        <v>11.5559410033471</v>
      </c>
      <c r="M3537" s="36" t="n">
        <f aca="false">cust_sh*tk_he_gb300*cf_chip+(1-cust_sh)*((1-Sens!$M$3536)*tk_he_gb300+Sens!$M$3536*tk_he_vr200)</f>
        <v>11.5559410033471</v>
      </c>
    </row>
    <row r="3538" customFormat="false" ht="17.15" hidden="false" customHeight="false" outlineLevel="0" collapsed="false">
      <c r="A3538" s="5" t="s">
        <v>611</v>
      </c>
      <c r="B3538" s="0" t="s">
        <v>173</v>
      </c>
      <c r="F3538" s="36" t="n">
        <f aca="false">cust_sh*tk_ox_gb300+(1-cust_sh)*((1-Sens!$F$3536)*tk_ox_gb300+Sens!$F$3536*tk_ox_vr200)</f>
        <v>1.98263481314457</v>
      </c>
      <c r="G3538" s="36" t="n">
        <f aca="false">cust_sh*tk_ox_gb300+(1-cust_sh)*((1-Sens!$G$3536)*tk_ox_gb300+Sens!$G$3536*tk_ox_vr200)</f>
        <v>1.98263481314457</v>
      </c>
      <c r="H3538" s="36" t="n">
        <f aca="false">cust_sh*tk_ox_gb300+(1-cust_sh)*((1-Sens!$H$3536)*tk_ox_gb300+Sens!$H$3536*tk_ox_vr200)</f>
        <v>2.01034999693694</v>
      </c>
      <c r="I3538" s="36" t="n">
        <f aca="false">cust_sh*tk_ox_gb300+(1-cust_sh)*((1-Sens!$I$3536)*tk_ox_gb300+Sens!$I$3536*tk_ox_vr200)</f>
        <v>2.0380651807293</v>
      </c>
      <c r="J3538" s="36" t="n">
        <f aca="false">cust_sh*tk_ox_gb300+(1-cust_sh)*((1-Sens!$J$3536)*tk_ox_gb300+Sens!$J$3536*tk_ox_vr200)</f>
        <v>2.0380651807293</v>
      </c>
      <c r="K3538" s="36" t="n">
        <f aca="false">cust_sh*tk_ox_gb300+(1-cust_sh)*((1-Sens!$K$3536)*tk_ox_gb300+Sens!$K$3536*tk_ox_vr200)</f>
        <v>2.0380651807293</v>
      </c>
      <c r="L3538" s="36" t="n">
        <f aca="false">cust_sh*tk_ox_gb300+(1-cust_sh)*((1-Sens!$L$3536)*tk_ox_gb300+Sens!$L$3536*tk_ox_vr200)</f>
        <v>2.0380651807293</v>
      </c>
      <c r="M3538" s="36" t="n">
        <f aca="false">cust_sh*tk_ox_gb300+(1-cust_sh)*((1-Sens!$M$3536)*tk_ox_gb300+Sens!$M$3536*tk_ox_vr200)</f>
        <v>2.0380651807293</v>
      </c>
    </row>
    <row r="3539" customFormat="false" ht="17.15" hidden="false" customHeight="false" outlineLevel="0" collapsed="false">
      <c r="A3539" s="5" t="s">
        <v>612</v>
      </c>
      <c r="B3539" s="0" t="s">
        <v>192</v>
      </c>
      <c r="F3539" s="36" t="n">
        <f aca="false">cust_sh*tk_cx_gb300*cf_cx+(1-cust_sh)*((1-Sens!$F$3536)*tk_cx_gb300+Sens!$F$3536*tk_cx_vr200)</f>
        <v>32.237224</v>
      </c>
      <c r="G3539" s="36" t="n">
        <f aca="false">cust_sh*tk_cx_gb300*cf_cx+(1-cust_sh)*((1-Sens!$G$3536)*tk_cx_gb300+Sens!$G$3536*tk_cx_vr200)</f>
        <v>32.237224</v>
      </c>
      <c r="H3539" s="36" t="n">
        <f aca="false">cust_sh*tk_cx_gb300*cf_cx+(1-cust_sh)*((1-Sens!$H$3536)*tk_cx_gb300+Sens!$H$3536*tk_cx_vr200)</f>
        <v>33.574506</v>
      </c>
      <c r="I3539" s="36" t="n">
        <f aca="false">cust_sh*tk_cx_gb300*cf_cx+(1-cust_sh)*((1-Sens!$I$3536)*tk_cx_gb300+Sens!$I$3536*tk_cx_vr200)</f>
        <v>34.911788</v>
      </c>
      <c r="J3539" s="36" t="n">
        <f aca="false">cust_sh*tk_cx_gb300*cf_cx+(1-cust_sh)*((1-Sens!$J$3536)*tk_cx_gb300+Sens!$J$3536*tk_cx_vr200)</f>
        <v>34.911788</v>
      </c>
      <c r="K3539" s="36" t="n">
        <f aca="false">cust_sh*tk_cx_gb300*cf_cx+(1-cust_sh)*((1-Sens!$K$3536)*tk_cx_gb300+Sens!$K$3536*tk_cx_vr200)</f>
        <v>34.911788</v>
      </c>
      <c r="L3539" s="36" t="n">
        <f aca="false">cust_sh*tk_cx_gb300*cf_cx+(1-cust_sh)*((1-Sens!$L$3536)*tk_cx_gb300+Sens!$L$3536*tk_cx_vr200)</f>
        <v>34.911788</v>
      </c>
      <c r="M3539" s="36" t="n">
        <f aca="false">cust_sh*tk_cx_gb300*cf_cx+(1-cust_sh)*((1-Sens!$M$3536)*tk_cx_gb300+Sens!$M$3536*tk_cx_vr200)</f>
        <v>34.911788</v>
      </c>
    </row>
    <row r="3540" customFormat="false" ht="17.15" hidden="false" customHeight="false" outlineLevel="0" collapsed="false">
      <c r="A3540" s="5" t="s">
        <v>613</v>
      </c>
      <c r="B3540" s="0" t="s">
        <v>129</v>
      </c>
      <c r="F3540" s="32" t="n">
        <f aca="false">Sens!$F$3530-mw_open</f>
        <v>1817.15</v>
      </c>
      <c r="G3540" s="32" t="n">
        <f aca="false">Sens!$F$3540</f>
        <v>1817.15</v>
      </c>
      <c r="H3540" s="32" t="n">
        <f aca="false">Sens!$H$3530-mw_open</f>
        <v>5451.45</v>
      </c>
      <c r="I3540" s="32" t="n">
        <f aca="false">Sens!$I$3530-mw_open</f>
        <v>9085.75</v>
      </c>
      <c r="J3540" s="32" t="n">
        <f aca="false">Sens!$J$3530-mw_open</f>
        <v>12720.05</v>
      </c>
      <c r="K3540" s="32" t="n">
        <f aca="false">Sens!$K$3530-mw_open</f>
        <v>15290.9171666667</v>
      </c>
      <c r="L3540" s="32" t="n">
        <f aca="false">Sens!$L$3530-mw_open</f>
        <v>16798.3515</v>
      </c>
      <c r="M3540" s="32" t="n">
        <f aca="false">Sens!$M$3530-mw_open</f>
        <v>17242.353</v>
      </c>
    </row>
    <row r="3541" customFormat="false" ht="17.15" hidden="false" customHeight="false" outlineLevel="0" collapsed="false">
      <c r="A3541" s="0" t="s">
        <v>614</v>
      </c>
      <c r="B3541" s="0" t="s">
        <v>615</v>
      </c>
      <c r="F3541" s="32" t="n">
        <f aca="false">Sens!$F$3533*Sens!$F$3537</f>
        <v>19782.2417524844</v>
      </c>
      <c r="G3541" s="32" t="n">
        <f aca="false">Sens!$F$3541</f>
        <v>19782.2417524844</v>
      </c>
      <c r="H3541" s="32" t="n">
        <f aca="false">Sens!$G$3541+Sens!$H$3533*Sens!$H$3537</f>
        <v>60563.3616992009</v>
      </c>
      <c r="I3541" s="32" t="n">
        <f aca="false">Sens!$H$3541+Sens!$I$3533*Sens!$I$3537</f>
        <v>102561.118087665</v>
      </c>
      <c r="J3541" s="32" t="n">
        <f aca="false">Sens!$I$3541+Sens!$J$3533*Sens!$J$3537</f>
        <v>144558.87447613</v>
      </c>
      <c r="K3541" s="32" t="n">
        <f aca="false">Sens!$J$3541+Sens!$K$3533*Sens!$K$3537</f>
        <v>174267.663781572</v>
      </c>
      <c r="L3541" s="32" t="n">
        <f aca="false">Sens!$K$3541+Sens!$L$3533*Sens!$L$3537</f>
        <v>191687.486003992</v>
      </c>
      <c r="M3541" s="32" t="n">
        <f aca="false">Sens!$L$3541+Sens!$M$3533*Sens!$M$3537</f>
        <v>196818.341143389</v>
      </c>
    </row>
    <row r="3542" customFormat="false" ht="17.15" hidden="false" customHeight="false" outlineLevel="0" collapsed="false">
      <c r="A3542" s="0" t="s">
        <v>616</v>
      </c>
      <c r="B3542" s="0" t="s">
        <v>615</v>
      </c>
      <c r="F3542" s="32" t="n">
        <f aca="false">Sens!$F$3533*Sens!$F$3538</f>
        <v>3602.74485070566</v>
      </c>
      <c r="G3542" s="32" t="n">
        <f aca="false">Sens!$F$3542</f>
        <v>3602.74485070566</v>
      </c>
      <c r="H3542" s="32" t="n">
        <f aca="false">Sens!$G$3542+Sens!$H$3533*Sens!$H$3538</f>
        <v>10908.9598445736</v>
      </c>
      <c r="I3542" s="32" t="n">
        <f aca="false">Sens!$H$3542+Sens!$I$3533*Sens!$I$3538</f>
        <v>18315.9001308981</v>
      </c>
      <c r="J3542" s="32" t="n">
        <f aca="false">Sens!$I$3542+Sens!$J$3533*Sens!$J$3538</f>
        <v>25722.8404172225</v>
      </c>
      <c r="K3542" s="32" t="n">
        <f aca="false">Sens!$J$3542+Sens!$K$3533*Sens!$K$3538</f>
        <v>30962.4352738861</v>
      </c>
      <c r="L3542" s="32" t="n">
        <f aca="false">Sens!$K$3542+Sens!$L$3533*Sens!$L$3538</f>
        <v>34034.6847008886</v>
      </c>
      <c r="M3542" s="32" t="n">
        <f aca="false">Sens!$L$3542+Sens!$M$3533*Sens!$M$3538</f>
        <v>34939.5886982302</v>
      </c>
    </row>
    <row r="3543" customFormat="false" ht="17.15" hidden="false" customHeight="false" outlineLevel="0" collapsed="false">
      <c r="A3543" s="5" t="s">
        <v>617</v>
      </c>
      <c r="B3543" s="0" t="s">
        <v>173</v>
      </c>
      <c r="F3543" s="36" t="n">
        <f aca="false">IF(Sens!$F$3540&gt;0,Sens!$F$3541/Sens!$F$3540,Sens!$F$3537)</f>
        <v>10.8864110021101</v>
      </c>
      <c r="G3543" s="36" t="n">
        <f aca="false">IF(Sens!$G$3540&gt;0,Sens!$G$3541/Sens!$G$3540,Sens!$G$3537)</f>
        <v>10.8864110021101</v>
      </c>
      <c r="H3543" s="36" t="n">
        <f aca="false">IF(Sens!$H$3540&gt;0,Sens!$H$3541/Sens!$H$3540,Sens!$H$3537)</f>
        <v>11.1095876691891</v>
      </c>
      <c r="I3543" s="36" t="n">
        <f aca="false">IF(Sens!$I$3540&gt;0,Sens!$I$3541/Sens!$I$3540,Sens!$I$3537)</f>
        <v>11.2881290028523</v>
      </c>
      <c r="J3543" s="36" t="n">
        <f aca="false">IF(Sens!$J$3540&gt;0,Sens!$J$3541/Sens!$J$3540,Sens!$J$3537)</f>
        <v>11.3646467172794</v>
      </c>
      <c r="K3543" s="36" t="n">
        <f aca="false">IF(Sens!$K$3540&gt;0,Sens!$K$3541/Sens!$K$3540,Sens!$K$3537)</f>
        <v>11.3968090914432</v>
      </c>
      <c r="L3543" s="36" t="n">
        <f aca="false">IF(Sens!$L$3540&gt;0,Sens!$L$3541/Sens!$L$3540,Sens!$L$3537)</f>
        <v>11.4110891181192</v>
      </c>
      <c r="M3543" s="36" t="n">
        <f aca="false">IF(Sens!$M$3540&gt;0,Sens!$M$3541/Sens!$M$3540,Sens!$M$3537)</f>
        <v>11.4148191458201</v>
      </c>
    </row>
    <row r="3544" customFormat="false" ht="17.15" hidden="false" customHeight="false" outlineLevel="0" collapsed="false">
      <c r="A3544" s="5" t="s">
        <v>618</v>
      </c>
      <c r="B3544" s="0" t="s">
        <v>173</v>
      </c>
      <c r="F3544" s="36" t="n">
        <f aca="false">IF(Sens!$F$3540&gt;0,Sens!$F$3542/Sens!$F$3540,Sens!$F$3538)</f>
        <v>1.98263481314457</v>
      </c>
      <c r="G3544" s="36" t="n">
        <f aca="false">IF(Sens!$G$3540&gt;0,Sens!$G$3542/Sens!$G$3540,Sens!$G$3538)</f>
        <v>1.98263481314457</v>
      </c>
      <c r="H3544" s="36" t="n">
        <f aca="false">IF(Sens!$H$3540&gt;0,Sens!$H$3542/Sens!$H$3540,Sens!$H$3538)</f>
        <v>2.00111160233948</v>
      </c>
      <c r="I3544" s="36" t="n">
        <f aca="false">IF(Sens!$I$3540&gt;0,Sens!$I$3542/Sens!$I$3540,Sens!$I$3538)</f>
        <v>2.01589303369541</v>
      </c>
      <c r="J3544" s="36" t="n">
        <f aca="false">IF(Sens!$J$3540&gt;0,Sens!$J$3542/Sens!$J$3540,Sens!$J$3538)</f>
        <v>2.02222793284795</v>
      </c>
      <c r="K3544" s="36" t="n">
        <f aca="false">IF(Sens!$K$3540&gt;0,Sens!$K$3542/Sens!$K$3540,Sens!$K$3538)</f>
        <v>2.02489065478573</v>
      </c>
      <c r="L3544" s="36" t="n">
        <f aca="false">IF(Sens!$L$3540&gt;0,Sens!$L$3542/Sens!$L$3540,Sens!$L$3538)</f>
        <v>2.0260728977417</v>
      </c>
      <c r="M3544" s="36" t="n">
        <f aca="false">IF(Sens!$M$3540&gt;0,Sens!$M$3542/Sens!$M$3540,Sens!$M$3538)</f>
        <v>2.02638170661685</v>
      </c>
    </row>
    <row r="3545" customFormat="false" ht="17.15" hidden="false" customHeight="false" outlineLevel="0" collapsed="false">
      <c r="A3545" s="15" t="s">
        <v>619</v>
      </c>
      <c r="B3545" s="14" t="s">
        <v>173</v>
      </c>
      <c r="C3545" s="14"/>
      <c r="D3545" s="14"/>
      <c r="E3545" s="14"/>
      <c r="F3545" s="37" t="n">
        <f aca="false">Sens!$F$3543*k_B</f>
        <v>10.7987645808025</v>
      </c>
      <c r="G3545" s="37" t="n">
        <f aca="false">Sens!$G$3543*k_B</f>
        <v>10.7987645808025</v>
      </c>
      <c r="H3545" s="37" t="n">
        <f aca="false">Sens!$H$3543*k_B</f>
        <v>11.0201444540452</v>
      </c>
      <c r="I3545" s="37" t="n">
        <f aca="false">Sens!$I$3543*k_B</f>
        <v>11.1972483526393</v>
      </c>
      <c r="J3545" s="37" t="n">
        <f aca="false">Sens!$J$3543*k_B</f>
        <v>11.2731500234653</v>
      </c>
      <c r="K3545" s="37" t="n">
        <f aca="false">Sens!$K$3543*k_B</f>
        <v>11.3050534585724</v>
      </c>
      <c r="L3545" s="37" t="n">
        <f aca="false">Sens!$L$3543*k_B</f>
        <v>11.3192185168503</v>
      </c>
      <c r="M3545" s="37" t="n">
        <f aca="false">Sens!$M$3543*k_B</f>
        <v>11.3229185141234</v>
      </c>
      <c r="N3545" s="14"/>
      <c r="O3545" s="14"/>
      <c r="P3545" s="5" t="s">
        <v>620</v>
      </c>
    </row>
    <row r="3546" customFormat="false" ht="17.15" hidden="false" customHeight="false" outlineLevel="0" collapsed="false">
      <c r="A3546" s="5" t="s">
        <v>621</v>
      </c>
      <c r="B3546" s="0" t="s">
        <v>129</v>
      </c>
      <c r="F3546" s="32" t="n">
        <f aca="false">Sens!$F$3540/2</f>
        <v>908.575</v>
      </c>
      <c r="H3546" s="32" t="n">
        <f aca="false">(Sens!$G$3540+Sens!$H$3540)/2</f>
        <v>3634.3</v>
      </c>
      <c r="I3546" s="32" t="n">
        <f aca="false">(Sens!$H$3540+Sens!$I$3540)/2</f>
        <v>7268.6</v>
      </c>
      <c r="J3546" s="32" t="n">
        <f aca="false">(Sens!$I$3540+Sens!$J$3540)/2</f>
        <v>10902.9</v>
      </c>
      <c r="K3546" s="32" t="n">
        <f aca="false">(Sens!$J$3540+Sens!$K$3540)/2</f>
        <v>14005.4835833333</v>
      </c>
      <c r="L3546" s="32" t="n">
        <f aca="false">(Sens!$K$3540+Sens!$L$3540)/2</f>
        <v>16044.6343333333</v>
      </c>
      <c r="M3546" s="32" t="n">
        <f aca="false">(Sens!$L$3540+Sens!$M$3540)/2</f>
        <v>17020.35225</v>
      </c>
    </row>
    <row r="3547" customFormat="false" ht="17.15" hidden="false" customHeight="false" outlineLevel="0" collapsed="false">
      <c r="A3547" s="1" t="s">
        <v>622</v>
      </c>
    </row>
    <row r="3548" customFormat="false" ht="17.15" hidden="false" customHeight="false" outlineLevel="0" collapsed="false">
      <c r="A3548" s="1" t="s">
        <v>623</v>
      </c>
      <c r="B3548" s="8" t="s">
        <v>86</v>
      </c>
      <c r="C3548" s="38" t="n">
        <f aca="false">Sens!$C$3531*rpm_open*Sens!$C$3532/1000</f>
        <v>2.32100535697364</v>
      </c>
      <c r="D3548" s="38" t="n">
        <f aca="false">Sens!$D$3531*rpm_open*Sens!$D$3532/1000</f>
        <v>8.70377008865116</v>
      </c>
      <c r="E3548" s="38" t="n">
        <f aca="false">Sens!$E$3531*rpm_open*Sens!$E$3532/1000</f>
        <v>8.51035297557002</v>
      </c>
      <c r="F3548" s="38" t="n">
        <f aca="false">(mw_open*rpm_open+Sens!$F$3546*Sens!$F$3545)*Sens!$F$3532/1000</f>
        <v>14.9634336447205</v>
      </c>
      <c r="G3548" s="38" t="n">
        <f aca="false">Sens!$E$3548+Sens!$F$3548</f>
        <v>23.4737866202905</v>
      </c>
      <c r="H3548" s="38" t="n">
        <f aca="false">(mw_open*rpm_open+Sens!$H$3546*Sens!$H$3545)/1000</f>
        <v>60.1658907497746</v>
      </c>
      <c r="I3548" s="38" t="n">
        <f aca="false">(mw_open*rpm_open+Sens!$I$3546*Sens!$I$3545)/1000</f>
        <v>101.503699136432</v>
      </c>
      <c r="J3548" s="38" t="n">
        <f aca="false">(mw_open*rpm_open+Sens!$J$3546*Sens!$J$3545)/1000</f>
        <v>143.025407151278</v>
      </c>
      <c r="K3548" s="38" t="n">
        <f aca="false">(mw_open*rpm_open+Sens!$K$3546*Sens!$K$3545)/1000</f>
        <v>178.44812038318</v>
      </c>
      <c r="L3548" s="38" t="n">
        <f aca="false">(mw_open*rpm_open+Sens!$L$3546*Sens!$L$3545)/1000</f>
        <v>201.728101802396</v>
      </c>
      <c r="M3548" s="38" t="n">
        <f aca="false">(mw_open*rpm_open+Sens!$M$3546*Sens!$M$3545)/1000</f>
        <v>212.835441368865</v>
      </c>
      <c r="N3548" s="38" t="n">
        <f aca="false">Sens!$N$3531*rpm_open*Sens!$N$3532/1000</f>
        <v>3.04631953102791</v>
      </c>
      <c r="O3548" s="38" t="n">
        <f aca="false">Sens!$O$3531*rpm_open*Sens!$O$3532/1000</f>
        <v>5.65745055762326</v>
      </c>
      <c r="P3548" s="5" t="s">
        <v>624</v>
      </c>
    </row>
    <row r="3549" customFormat="false" ht="17.15" hidden="false" customHeight="false" outlineLevel="0" collapsed="false">
      <c r="A3549" s="5" t="s">
        <v>625</v>
      </c>
      <c r="B3549" s="0" t="s">
        <v>173</v>
      </c>
      <c r="C3549" s="36" t="n">
        <f aca="false">Sens!$C$3548*1000/(Sens!$C$3531*Sens!$C$3532)</f>
        <v>9.67085565405685</v>
      </c>
      <c r="D3549" s="36" t="n">
        <f aca="false">Sens!$D$3548*1000/(Sens!$D$3531*Sens!$D$3532)</f>
        <v>9.67085565405685</v>
      </c>
      <c r="E3549" s="36" t="n">
        <f aca="false">Sens!$E$3548*1000/(Sens!$E$3531*Sens!$E$3532)</f>
        <v>9.67085565405685</v>
      </c>
      <c r="F3549" s="36" t="n">
        <f aca="false">Sens!$F$3548*1000/(Sens!$F$3531*Sens!$F$3532)</f>
        <v>10.0137581588017</v>
      </c>
      <c r="G3549" s="36" t="n">
        <f aca="false">Sens!$G$3548*1000/(Sens!$G$3531*Sens!$G$3532)</f>
        <v>9.88666562928478</v>
      </c>
      <c r="H3549" s="36" t="n">
        <f aca="false">Sens!$H$3548*1000/(Sens!$H$3531*Sens!$H$3532)</f>
        <v>10.5290045586992</v>
      </c>
      <c r="I3549" s="36" t="n">
        <f aca="false">Sens!$I$3548*1000/(Sens!$I$3531*Sens!$I$3532)</f>
        <v>10.8576363451674</v>
      </c>
      <c r="J3549" s="36" t="n">
        <f aca="false">Sens!$J$3548*1000/(Sens!$J$3531*Sens!$J$3532)</f>
        <v>11.0164452588619</v>
      </c>
      <c r="K3549" s="36" t="n">
        <f aca="false">Sens!$K$3548*1000/(Sens!$K$3531*Sens!$K$3532)</f>
        <v>11.0937367508227</v>
      </c>
      <c r="L3549" s="36" t="n">
        <f aca="false">Sens!$L$3548*1000/(Sens!$L$3531*Sens!$L$3532)</f>
        <v>11.1300508519168</v>
      </c>
      <c r="M3549" s="36" t="n">
        <f aca="false">Sens!$M$3548*1000/(Sens!$M$3531*Sens!$M$3532)</f>
        <v>11.1430113216297</v>
      </c>
      <c r="N3549" s="36" t="n">
        <f aca="false">Sens!$N$3548*1000/(Sens!$N$3531*Sens!$N$3532)</f>
        <v>9.67085565405685</v>
      </c>
      <c r="O3549" s="36" t="n">
        <f aca="false">Sens!$O$3548*1000/(Sens!$O$3531*Sens!$O$3532)</f>
        <v>9.67085565405685</v>
      </c>
    </row>
    <row r="3550" customFormat="false" ht="17.15" hidden="false" customHeight="false" outlineLevel="0" collapsed="false">
      <c r="A3550" s="0" t="s">
        <v>626</v>
      </c>
      <c r="B3550" s="0" t="s">
        <v>86</v>
      </c>
      <c r="C3550" s="38" t="n">
        <f aca="false">Sens!$C$3531/ext_sh*(ox_open+rent_mw)*Sens!$C$3532/1000</f>
        <v>0.642569210675032</v>
      </c>
      <c r="D3550" s="38" t="n">
        <f aca="false">Sens!$D$3531/ext_sh*(ox_open+rent_mw)*Sens!$D$3532/1000</f>
        <v>2.40963454003137</v>
      </c>
      <c r="E3550" s="38" t="n">
        <f aca="false">Sens!$E$3531/ext_sh*(ox_open+rent_mw)*Sens!$E$3532/1000</f>
        <v>2.35608710580845</v>
      </c>
      <c r="F3550" s="38" t="n">
        <f aca="false">((mw_open*ox_open+Sens!$F$3546*Sens!$F$3544)/ext_sh+Sens!$F$3531/ext_sh*rent_mw)*Sens!$F$3532/1000</f>
        <v>4.05421991106232</v>
      </c>
      <c r="G3550" s="38" t="n">
        <f aca="false">Sens!$E$3550+Sens!$F$3550</f>
        <v>6.41030701687077</v>
      </c>
      <c r="H3550" s="38" t="n">
        <f aca="false">((mw_open*ox_open+Sens!$H$3546*Sens!$H$3544)/ext_sh+Sens!$H$3531/ext_sh*rent_mw)*Sens!$H$3532/1000</f>
        <v>15.8108975546616</v>
      </c>
      <c r="I3550" s="38" t="n">
        <f aca="false">((mw_open*ox_open+Sens!$I$3546*Sens!$I$3544)/ext_sh+Sens!$I$3531/ext_sh*rent_mw)*Sens!$I$3532/1000</f>
        <v>26.1871623400817</v>
      </c>
      <c r="J3550" s="38" t="n">
        <f aca="false">((mw_open*ox_open+Sens!$J$3546*Sens!$J$3544)/ext_sh+Sens!$J$3531/ext_sh*rent_mw)*Sens!$J$3532/1000</f>
        <v>36.5826128954935</v>
      </c>
      <c r="K3550" s="38" t="n">
        <f aca="false">((mw_open*ox_open+Sens!$K$3546*Sens!$K$3544)/ext_sh+Sens!$K$3531/ext_sh*rent_mw)*Sens!$K$3532/1000</f>
        <v>45.4546361137628</v>
      </c>
      <c r="L3550" s="38" t="n">
        <f aca="false">((mw_open*ox_open+Sens!$L$3546*Sens!$L$3544)/ext_sh+Sens!$L$3531/ext_sh*rent_mw)*Sens!$L$3532/1000</f>
        <v>51.2855695554452</v>
      </c>
      <c r="M3550" s="38" t="n">
        <f aca="false">((mw_open*ox_open+Sens!$M$3546*Sens!$M$3544)/ext_sh+Sens!$M$3531/ext_sh*rent_mw)*Sens!$M$3532/1000</f>
        <v>54.0722927838398</v>
      </c>
      <c r="N3550" s="38" t="n">
        <f aca="false">Sens!$N$3531/ext_sh*(ox_open+rent_mw)*Sens!$N$3532/1000</f>
        <v>0.84337208901098</v>
      </c>
      <c r="O3550" s="38" t="n">
        <f aca="false">Sens!$O$3531/ext_sh*(ox_open+rent_mw)*Sens!$O$3532/1000</f>
        <v>1.56626245102039</v>
      </c>
    </row>
    <row r="3551" customFormat="false" ht="17.15" hidden="false" customHeight="false" outlineLevel="0" collapsed="false">
      <c r="A3551" s="0" t="s">
        <v>627</v>
      </c>
      <c r="B3551" s="0" t="s">
        <v>86</v>
      </c>
      <c r="C3551" s="38" t="n">
        <f aca="false">Q!$D$7</f>
        <v>107.556</v>
      </c>
      <c r="D3551" s="38" t="n">
        <f aca="false">Q!$E$7</f>
        <v>128.725</v>
      </c>
      <c r="E3551" s="38" t="n">
        <f aca="false">Q!$P$7</f>
        <v>79.819</v>
      </c>
      <c r="N3551" s="38" t="n">
        <f aca="false">Q!$N$7</f>
        <v>60.14</v>
      </c>
      <c r="O3551" s="38" t="n">
        <f aca="false">Q!$O$7</f>
        <v>68.585</v>
      </c>
    </row>
    <row r="3552" customFormat="false" ht="17.15" hidden="false" customHeight="false" outlineLevel="0" collapsed="false">
      <c r="A3552" s="1" t="s">
        <v>628</v>
      </c>
      <c r="B3552" s="8" t="s">
        <v>86</v>
      </c>
      <c r="C3552" s="38" t="n">
        <f aca="false">Sens!$C$3551-Sens!$C$3548</f>
        <v>105.234994643026</v>
      </c>
      <c r="D3552" s="38" t="n">
        <f aca="false">Sens!$D$3551-Sens!$D$3548</f>
        <v>120.021229911349</v>
      </c>
      <c r="E3552" s="38" t="n">
        <f aca="false">Sens!$E$3551-Sens!$E$3548</f>
        <v>71.30864702443</v>
      </c>
      <c r="F3552" s="38" t="n">
        <f aca="false">Sens!$O$3552*(1+Sens!$F$3553)</f>
        <v>71.7692997942464</v>
      </c>
      <c r="G3552" s="38" t="n">
        <f aca="false">Sens!$E$3552+Sens!$F$3552</f>
        <v>143.077946818676</v>
      </c>
      <c r="H3552" s="38" t="n">
        <f aca="false">Sens!$G$3552*(1+Sens!$H$3553)</f>
        <v>162.090161680343</v>
      </c>
      <c r="I3552" s="38" t="n">
        <f aca="false">Sens!$H$3552*(1+Sens!$I$3553)</f>
        <v>182.392507788469</v>
      </c>
      <c r="J3552" s="38" t="n">
        <f aca="false">Sens!$I$3552*(1+Sens!$J$3553)</f>
        <v>203.846737850887</v>
      </c>
      <c r="K3552" s="38" t="n">
        <f aca="false">Sens!$J$3552*(1+Sens!$K$3553)</f>
        <v>226.269879014485</v>
      </c>
      <c r="L3552" s="38" t="n">
        <f aca="false">Sens!$K$3552*(1+Sens!$L$3553)</f>
        <v>251.159565706078</v>
      </c>
      <c r="M3552" s="38" t="n">
        <f aca="false">Sens!$L$3552*(1+Sens!$M$3553)</f>
        <v>278.787117933747</v>
      </c>
      <c r="N3552" s="38" t="n">
        <f aca="false">Sens!$N$3551-Sens!$N$3548</f>
        <v>57.0936804689721</v>
      </c>
      <c r="O3552" s="38" t="n">
        <f aca="false">Sens!$O$3551-Sens!$O$3548</f>
        <v>62.9275494423768</v>
      </c>
      <c r="P3552" s="5" t="s">
        <v>629</v>
      </c>
    </row>
    <row r="3553" customFormat="false" ht="17.15" hidden="false" customHeight="false" outlineLevel="0" collapsed="false">
      <c r="A3553" s="0" t="s">
        <v>630</v>
      </c>
      <c r="B3553" s="0" t="s">
        <v>52</v>
      </c>
      <c r="D3553" s="13" t="n">
        <f aca="false">Sens!$D$3552/Sens!$C$3552-1</f>
        <v>0.140506827776062</v>
      </c>
      <c r="E3553" s="13" t="n">
        <f aca="false">Sens!$E$3552/Sens!$N$3552-1</f>
        <v>0.248976181579029</v>
      </c>
      <c r="F3553" s="13" t="n">
        <f aca="false">Sens!$D$3553</f>
        <v>0.140506827776062</v>
      </c>
      <c r="G3553" s="13" t="n">
        <f aca="false">Sens!$G$3552/Sens!$D$3552-1</f>
        <v>0.19210532106993</v>
      </c>
      <c r="H3553" s="13" t="n">
        <f aca="false">Sens!$F$3553+(g_awso_lt_hi-Sens!$F$3553)*1/4</f>
        <v>0.132880120832046</v>
      </c>
      <c r="I3553" s="13" t="n">
        <f aca="false">Sens!$F$3553+(g_awso_lt_hi-Sens!$F$3553)*2/4</f>
        <v>0.125253413888031</v>
      </c>
      <c r="J3553" s="13" t="n">
        <f aca="false">Sens!$F$3553+(g_awso_lt_hi-Sens!$F$3553)*3/4</f>
        <v>0.117626706944015</v>
      </c>
      <c r="K3553" s="13" t="n">
        <f aca="false">Sens!$F$3553+(g_awso_lt_hi-Sens!$F$3553)*4/4</f>
        <v>0.11</v>
      </c>
      <c r="L3553" s="13" t="n">
        <f aca="false">g_awso_lt_hi</f>
        <v>0.11</v>
      </c>
      <c r="M3553" s="13" t="n">
        <f aca="false">g_awso_lt_hi</f>
        <v>0.11</v>
      </c>
      <c r="P3553" s="5" t="s">
        <v>631</v>
      </c>
    </row>
    <row r="3554" customFormat="false" ht="17.15" hidden="false" customHeight="false" outlineLevel="0" collapsed="false">
      <c r="A3554" s="1" t="s">
        <v>632</v>
      </c>
    </row>
    <row r="3555" customFormat="false" ht="17.15" hidden="false" customHeight="false" outlineLevel="0" collapsed="false">
      <c r="A3555" s="0" t="s">
        <v>633</v>
      </c>
      <c r="B3555" s="0" t="s">
        <v>86</v>
      </c>
      <c r="F3555" s="38" t="n">
        <f aca="false">cx_rt*Sens!$F$3520+cx_awso*Sens!$F$3552</f>
        <v>34.9734495387866</v>
      </c>
    </row>
    <row r="3556" customFormat="false" ht="17.15" hidden="false" customHeight="false" outlineLevel="0" collapsed="false">
      <c r="A3556" s="0" t="s">
        <v>634</v>
      </c>
      <c r="B3556" s="0" t="s">
        <v>52</v>
      </c>
      <c r="C3556" s="13" t="n">
        <f aca="false">tk_cx_h100/(tk_cx_h100+tk_fac*(1-colo_sh))</f>
        <v>0.730756458006641</v>
      </c>
      <c r="D3556" s="13" t="n">
        <f aca="false">tk_cx_h100/(tk_cx_h100+tk_fac*(1-colo_sh))</f>
        <v>0.730756458006641</v>
      </c>
      <c r="E3556" s="13" t="n">
        <f aca="false">Sens!$F$3556</f>
        <v>0.760792334328868</v>
      </c>
      <c r="F3556" s="13" t="n">
        <f aca="false">Sens!$F$3539/(Sens!$F$3539+tk_fac*(1-colo_sh))</f>
        <v>0.760792334328868</v>
      </c>
      <c r="G3556" s="13" t="n">
        <f aca="false">Sens!$G$3539/(Sens!$G$3539+tk_fac*(1-colo_sh))</f>
        <v>0.760792334328868</v>
      </c>
      <c r="H3556" s="13" t="n">
        <f aca="false">Sens!$H$3539/(Sens!$H$3539+tk_fac*(1-colo_sh))</f>
        <v>0.768110668862996</v>
      </c>
      <c r="I3556" s="13" t="n">
        <f aca="false">Sens!$I$3539/(Sens!$I$3539+tk_fac*(1-colo_sh))</f>
        <v>0.77499450139483</v>
      </c>
      <c r="J3556" s="13" t="n">
        <f aca="false">Sens!$J$3539/(Sens!$J$3539+tk_fac*(1-colo_sh))</f>
        <v>0.77499450139483</v>
      </c>
      <c r="K3556" s="13" t="n">
        <f aca="false">Sens!$K$3539/(Sens!$K$3539+tk_fac*(1-colo_sh))</f>
        <v>0.77499450139483</v>
      </c>
      <c r="L3556" s="13" t="n">
        <f aca="false">Sens!$L$3539/(Sens!$L$3539+tk_fac*(1-colo_sh))</f>
        <v>0.77499450139483</v>
      </c>
      <c r="M3556" s="13" t="n">
        <f aca="false">Sens!$M$3539/(Sens!$M$3539+tk_fac*(1-colo_sh))</f>
        <v>0.77499450139483</v>
      </c>
    </row>
    <row r="3557" customFormat="false" ht="17.15" hidden="false" customHeight="false" outlineLevel="0" collapsed="false">
      <c r="A3557" s="1" t="s">
        <v>635</v>
      </c>
      <c r="B3557" s="8" t="s">
        <v>86</v>
      </c>
      <c r="C3557" s="38" t="n">
        <f aca="false">Q!$D$46-cx_rt*Q!$D$16-cx_awso*Sens!$C$3552</f>
        <v>25.2781053077374</v>
      </c>
      <c r="D3557" s="38" t="n">
        <f aca="false">Q!$E$46-cx_rt*Q!$E$16-cx_awso*Sens!$D$3552</f>
        <v>69.5686316310026</v>
      </c>
      <c r="E3557" s="38" t="n">
        <f aca="false">Q!$P$46-cx_rt*Q!$P$16-cx_awso*Sens!$E$3552</f>
        <v>64.1899206485108</v>
      </c>
      <c r="F3557" s="38" t="n">
        <f aca="false">capex_g26-Q!$P$46-Sens!$F$3555</f>
        <v>88.7165504612134</v>
      </c>
      <c r="G3557" s="38" t="n">
        <f aca="false">Sens!$E$3557+Sens!$F$3557</f>
        <v>152.906471109724</v>
      </c>
      <c r="H3557" s="38" t="n">
        <f aca="false">Sens!$H$3534*(Sens!$H$3539+tk_fac*(1-colo_sh))/1000+Sens!$H$3558</f>
        <v>198.57136494475</v>
      </c>
      <c r="I3557" s="38" t="n">
        <f aca="false">Sens!$I$3534*(Sens!$I$3539+tk_fac*(1-colo_sh))/1000+Sens!$I$3558</f>
        <v>204.6464699105</v>
      </c>
      <c r="J3557" s="38" t="n">
        <f aca="false">Sens!$J$3534*(Sens!$J$3539+tk_fac*(1-colo_sh))/1000+Sens!$J$3558</f>
        <v>209.8832381105</v>
      </c>
      <c r="K3557" s="38" t="n">
        <f aca="false">Sens!$K$3534*(Sens!$K$3539+tk_fac*(1-colo_sh))/1000+Sens!$K$3558</f>
        <v>155.238385275201</v>
      </c>
      <c r="L3557" s="38" t="n">
        <f aca="false">Sens!$L$3534*(Sens!$L$3539+tk_fac*(1-colo_sh))/1000+Sens!$L$3558</f>
        <v>132.014141639902</v>
      </c>
      <c r="M3557" s="38" t="n">
        <f aca="false">Sens!$M$3534*(Sens!$M$3539+tk_fac*(1-colo_sh))/1000+Sens!$M$3558</f>
        <v>132.230981659852</v>
      </c>
      <c r="P3557" s="5" t="s">
        <v>636</v>
      </c>
      <c r="R3557" s="38" t="n">
        <f aca="false">Q!$C$46-cx_rt*Q!$C$16-cx_awso*(Q!$C$7-mw_ye23/2*rpm_open/1000)</f>
        <v>1.50429979529945</v>
      </c>
      <c r="S3557" s="38" t="n">
        <f aca="false">Sens!$C$3557</f>
        <v>25.2781053077374</v>
      </c>
      <c r="T3557" s="38" t="n">
        <f aca="false">Sens!$D$3557</f>
        <v>69.5686316310026</v>
      </c>
      <c r="U3557" s="38" t="n">
        <f aca="false">Sens!$G$3557</f>
        <v>152.906471109724</v>
      </c>
      <c r="V3557" s="38" t="n">
        <f aca="false">Sens!$H$3557</f>
        <v>198.57136494475</v>
      </c>
      <c r="W3557" s="38" t="n">
        <f aca="false">Sens!$I$3557</f>
        <v>204.6464699105</v>
      </c>
      <c r="X3557" s="38" t="n">
        <f aca="false">Sens!$J$3557</f>
        <v>209.8832381105</v>
      </c>
      <c r="Y3557" s="38" t="n">
        <f aca="false">Sens!$K$3557</f>
        <v>155.238385275201</v>
      </c>
      <c r="Z3557" s="38" t="n">
        <f aca="false">Sens!$L$3557</f>
        <v>132.014141639902</v>
      </c>
      <c r="AA3557" s="38" t="n">
        <f aca="false">Sens!$M$3557</f>
        <v>132.230981659852</v>
      </c>
    </row>
    <row r="3558" customFormat="false" ht="17.15" hidden="false" customHeight="false" outlineLevel="0" collapsed="false">
      <c r="A3558" s="0" t="s">
        <v>637</v>
      </c>
      <c r="B3558" s="0" t="s">
        <v>86</v>
      </c>
      <c r="H3558" s="38" t="n">
        <f aca="false">SUMPRODUCT(--(Sens!$R$3527:$AA$3527=2027-tk_life),Sens!$R$3534:$AA$3534)*Sens!$H$3539/1000</f>
        <v>0</v>
      </c>
      <c r="I3558" s="38" t="n">
        <f aca="false">SUMPRODUCT(--(Sens!$R$3527:$AA$3527=2028-tk_life),Sens!$R$3534:$AA$3534)*Sens!$I$3539/1000</f>
        <v>0</v>
      </c>
      <c r="J3558" s="38" t="n">
        <f aca="false">SUMPRODUCT(--(Sens!$R$3527:$AA$3527=2029-tk_life),Sens!$R$3534:$AA$3534)*Sens!$J$3539/1000</f>
        <v>5.2367682</v>
      </c>
      <c r="K3558" s="38" t="n">
        <f aca="false">SUMPRODUCT(--(Sens!$R$3527:$AA$3527=2030-tk_life),Sens!$R$3534:$AA$3534)*Sens!$K$3539/1000</f>
        <v>10.4735364</v>
      </c>
      <c r="L3558" s="38" t="n">
        <f aca="false">SUMPRODUCT(--(Sens!$R$3527:$AA$3527=2031-tk_life),Sens!$R$3534:$AA$3534)*Sens!$L$3539/1000</f>
        <v>47.1309138</v>
      </c>
      <c r="M3558" s="38" t="n">
        <f aca="false">SUMPRODUCT(--(Sens!$R$3527:$AA$3527=2032-tk_life),Sens!$R$3534:$AA$3534)*Sens!$M$3539/1000</f>
        <v>107.22937485525</v>
      </c>
    </row>
    <row r="3559" customFormat="false" ht="17.15" hidden="false" customHeight="false" outlineLevel="0" collapsed="false">
      <c r="A3559" s="0" t="s">
        <v>638</v>
      </c>
      <c r="B3559" s="0" t="s">
        <v>86</v>
      </c>
      <c r="C3559" s="38" t="n">
        <f aca="false">MIN(Sens!$C$3557,Sens!$C$3534*(tk_cx_h100+tk_fac*(1-colo_sh))/1000)</f>
        <v>11.2938642</v>
      </c>
      <c r="D3559" s="38" t="n">
        <f aca="false">MIN(Sens!$D$3557,Sens!$D$3534*(tk_cx_h100+tk_fac*(1-colo_sh))/1000)</f>
        <v>50.8223889</v>
      </c>
      <c r="E3559" s="38" t="n">
        <f aca="false">MIN(Sens!$E$3557,Sens!$E$3534*(Sens!$F$3539+tk_fac*(1-colo_sh))/1000)</f>
        <v>33.8985792</v>
      </c>
      <c r="F3559" s="38" t="n">
        <f aca="false">Sens!$F$3557</f>
        <v>88.7165504612134</v>
      </c>
      <c r="G3559" s="38" t="n">
        <f aca="false">Sens!$E$3559+Sens!$F$3559</f>
        <v>122.615129661213</v>
      </c>
      <c r="H3559" s="38" t="n">
        <f aca="false">Sens!$H$3557</f>
        <v>198.57136494475</v>
      </c>
      <c r="I3559" s="38" t="n">
        <f aca="false">Sens!$I$3557</f>
        <v>204.6464699105</v>
      </c>
      <c r="J3559" s="38" t="n">
        <f aca="false">Sens!$J$3557</f>
        <v>209.8832381105</v>
      </c>
      <c r="K3559" s="38" t="n">
        <f aca="false">Sens!$K$3557</f>
        <v>155.238385275201</v>
      </c>
      <c r="L3559" s="38" t="n">
        <f aca="false">Sens!$L$3557</f>
        <v>132.014141639902</v>
      </c>
      <c r="M3559" s="38" t="n">
        <f aca="false">Sens!$M$3557</f>
        <v>132.230981659852</v>
      </c>
      <c r="P3559" s="5" t="s">
        <v>639</v>
      </c>
      <c r="R3559" s="38" t="n">
        <f aca="false">MIN(Sens!$R$3557,Sens!$R$3534*(tk_cx_h100+tk_fac*(1-colo_sh))/1000)</f>
        <v>1.50429979529945</v>
      </c>
      <c r="S3559" s="38" t="n">
        <f aca="false">Sens!$C$3559</f>
        <v>11.2938642</v>
      </c>
      <c r="T3559" s="38" t="n">
        <f aca="false">Sens!$D$3559</f>
        <v>50.8223889</v>
      </c>
      <c r="U3559" s="38" t="n">
        <f aca="false">Sens!$G$3559</f>
        <v>122.615129661213</v>
      </c>
      <c r="V3559" s="38" t="n">
        <f aca="false">Sens!$H$3559</f>
        <v>198.57136494475</v>
      </c>
      <c r="W3559" s="38" t="n">
        <f aca="false">Sens!$I$3559</f>
        <v>204.6464699105</v>
      </c>
      <c r="X3559" s="38" t="n">
        <f aca="false">Sens!$J$3559</f>
        <v>209.8832381105</v>
      </c>
      <c r="Y3559" s="38" t="n">
        <f aca="false">Sens!$K$3559</f>
        <v>155.238385275201</v>
      </c>
      <c r="Z3559" s="38" t="n">
        <f aca="false">Sens!$L$3559</f>
        <v>132.014141639902</v>
      </c>
      <c r="AA3559" s="38" t="n">
        <f aca="false">Sens!$M$3559</f>
        <v>132.230981659852</v>
      </c>
    </row>
    <row r="3560" customFormat="false" ht="17.15" hidden="false" customHeight="false" outlineLevel="0" collapsed="false">
      <c r="A3560" s="5" t="s">
        <v>640</v>
      </c>
      <c r="B3560" s="0" t="s">
        <v>86</v>
      </c>
      <c r="C3560" s="38" t="n">
        <f aca="false">Sens!$C$3557-Sens!$C$3559</f>
        <v>13.9842411077374</v>
      </c>
      <c r="D3560" s="38" t="n">
        <f aca="false">Sens!$D$3557-Sens!$D$3559</f>
        <v>18.7462427310026</v>
      </c>
      <c r="E3560" s="38" t="n">
        <f aca="false">Sens!$E$3557-Sens!$E$3559</f>
        <v>30.2913414485108</v>
      </c>
      <c r="F3560" s="38" t="n">
        <f aca="false">Sens!$F$3557-Sens!$F$3559</f>
        <v>0</v>
      </c>
      <c r="G3560" s="38" t="n">
        <f aca="false">Sens!$G$3557-Sens!$G$3559</f>
        <v>30.2913414485108</v>
      </c>
      <c r="H3560" s="38" t="n">
        <f aca="false">Sens!$H$3557-Sens!$H$3559</f>
        <v>0</v>
      </c>
      <c r="I3560" s="38" t="n">
        <f aca="false">Sens!$I$3557-Sens!$I$3559</f>
        <v>0</v>
      </c>
      <c r="J3560" s="38" t="n">
        <f aca="false">Sens!$J$3557-Sens!$J$3559</f>
        <v>0</v>
      </c>
      <c r="K3560" s="38" t="n">
        <f aca="false">Sens!$K$3557-Sens!$K$3559</f>
        <v>0</v>
      </c>
      <c r="L3560" s="38" t="n">
        <f aca="false">Sens!$L$3557-Sens!$L$3559</f>
        <v>0</v>
      </c>
      <c r="M3560" s="38" t="n">
        <f aca="false">Sens!$M$3557-Sens!$M$3559</f>
        <v>0</v>
      </c>
      <c r="P3560" s="5" t="s">
        <v>641</v>
      </c>
      <c r="R3560" s="38" t="n">
        <f aca="false">Sens!$R$3557-Sens!$R$3559</f>
        <v>0</v>
      </c>
      <c r="S3560" s="38" t="n">
        <f aca="false">Sens!$S$3557-Sens!$S$3559</f>
        <v>13.9842411077374</v>
      </c>
      <c r="T3560" s="38" t="n">
        <f aca="false">Sens!$T$3557-Sens!$T$3559</f>
        <v>18.7462427310026</v>
      </c>
      <c r="U3560" s="38" t="n">
        <f aca="false">Sens!$U$3557-Sens!$U$3559</f>
        <v>30.2913414485108</v>
      </c>
      <c r="V3560" s="38" t="n">
        <f aca="false">Sens!$V$3557-Sens!$V$3559</f>
        <v>0</v>
      </c>
      <c r="W3560" s="38" t="n">
        <f aca="false">Sens!$W$3557-Sens!$W$3559</f>
        <v>0</v>
      </c>
      <c r="X3560" s="38" t="n">
        <f aca="false">Sens!$X$3557-Sens!$X$3559</f>
        <v>0</v>
      </c>
      <c r="Y3560" s="38" t="n">
        <f aca="false">Sens!$Y$3557-Sens!$Y$3559</f>
        <v>0</v>
      </c>
      <c r="Z3560" s="38" t="n">
        <f aca="false">Sens!$Z$3557-Sens!$Z$3559</f>
        <v>0</v>
      </c>
      <c r="AA3560" s="38" t="n">
        <f aca="false">Sens!$AA$3557-Sens!$AA$3559</f>
        <v>0</v>
      </c>
    </row>
    <row r="3561" customFormat="false" ht="17.15" hidden="false" customHeight="false" outlineLevel="0" collapsed="false">
      <c r="A3561" s="5" t="s">
        <v>642</v>
      </c>
      <c r="B3561" s="0" t="s">
        <v>86</v>
      </c>
      <c r="R3561" s="38" t="n">
        <f aca="false">Sens!$R$3560*Sens!$C$3556</f>
        <v>0</v>
      </c>
      <c r="S3561" s="38" t="n">
        <f aca="false">Sens!$S$3560*Sens!$C$3556</f>
        <v>10.219074499801</v>
      </c>
      <c r="T3561" s="38" t="n">
        <f aca="false">Sens!$T$3560*Sens!$C$3556</f>
        <v>13.6989379390402</v>
      </c>
      <c r="U3561" s="38" t="n">
        <f aca="false">Sens!$U$3560*Sens!$E$3556</f>
        <v>23.0454203705653</v>
      </c>
      <c r="V3561" s="38" t="n">
        <f aca="false">Sens!$V$3560*Sens!$E$3556</f>
        <v>0</v>
      </c>
      <c r="W3561" s="38" t="n">
        <f aca="false">Sens!$W$3560*Sens!$E$3556</f>
        <v>0</v>
      </c>
      <c r="X3561" s="38" t="n">
        <f aca="false">Sens!$X$3560*Sens!$E$3556</f>
        <v>0</v>
      </c>
      <c r="Y3561" s="38" t="n">
        <f aca="false">Sens!$Y$3560*Sens!$E$3556</f>
        <v>0</v>
      </c>
      <c r="Z3561" s="38" t="n">
        <f aca="false">Sens!$Z$3560*Sens!$E$3556</f>
        <v>0</v>
      </c>
      <c r="AA3561" s="38" t="n">
        <f aca="false">Sens!$AA$3560*Sens!$E$3556</f>
        <v>0</v>
      </c>
    </row>
    <row r="3562" customFormat="false" ht="17.15" hidden="false" customHeight="false" outlineLevel="0" collapsed="false">
      <c r="A3562" s="5" t="s">
        <v>643</v>
      </c>
      <c r="B3562" s="0" t="s">
        <v>86</v>
      </c>
      <c r="R3562" s="38" t="n">
        <f aca="false">SUMPRODUCT(--(Sens!$R$3527:$AA$3527=2023-cip_lag),Sens!$R$3561:$AA$3561)</f>
        <v>0</v>
      </c>
      <c r="S3562" s="38" t="n">
        <f aca="false">SUMPRODUCT(--(Sens!$R$3527:$AA$3527=2024-cip_lag),Sens!$R$3561:$AA$3561)</f>
        <v>0</v>
      </c>
      <c r="T3562" s="38" t="n">
        <f aca="false">SUMPRODUCT(--(Sens!$R$3527:$AA$3527=2025-cip_lag),Sens!$R$3561:$AA$3561)</f>
        <v>10.219074499801</v>
      </c>
      <c r="U3562" s="38" t="n">
        <f aca="false">SUMPRODUCT(--(Sens!$R$3527:$AA$3527=2026-cip_lag),Sens!$R$3561:$AA$3561)</f>
        <v>13.6989379390402</v>
      </c>
      <c r="V3562" s="38" t="n">
        <f aca="false">SUMPRODUCT(--(Sens!$R$3527:$AA$3527=2027-cip_lag),Sens!$R$3561:$AA$3561)</f>
        <v>23.0454203705653</v>
      </c>
      <c r="W3562" s="38" t="n">
        <f aca="false">SUMPRODUCT(--(Sens!$R$3527:$AA$3527=2028-cip_lag),Sens!$R$3561:$AA$3561)</f>
        <v>0</v>
      </c>
      <c r="X3562" s="38" t="n">
        <f aca="false">SUMPRODUCT(--(Sens!$R$3527:$AA$3527=2029-cip_lag),Sens!$R$3561:$AA$3561)</f>
        <v>0</v>
      </c>
      <c r="Y3562" s="38" t="n">
        <f aca="false">SUMPRODUCT(--(Sens!$R$3527:$AA$3527=2030-cip_lag),Sens!$R$3561:$AA$3561)</f>
        <v>0</v>
      </c>
      <c r="Z3562" s="38" t="n">
        <f aca="false">SUMPRODUCT(--(Sens!$R$3527:$AA$3527=2031-cip_lag),Sens!$R$3561:$AA$3561)</f>
        <v>0</v>
      </c>
      <c r="AA3562" s="38" t="n">
        <f aca="false">SUMPRODUCT(--(Sens!$R$3527:$AA$3527=2032-cip_lag),Sens!$R$3561:$AA$3561)</f>
        <v>0</v>
      </c>
    </row>
    <row r="3563" customFormat="false" ht="15" hidden="false" customHeight="false" outlineLevel="0" collapsed="false">
      <c r="A3563" s="5" t="s">
        <v>644</v>
      </c>
      <c r="B3563" s="0" t="s">
        <v>86</v>
      </c>
      <c r="R3563" s="38" t="n">
        <f aca="false">SUMPRODUCT(--(Sens!$R$3527:$AA$3527=2023-cip_lag),Sens!$R$3560:$AA$3560)-Sens!$R$3562</f>
        <v>0</v>
      </c>
      <c r="S3563" s="38" t="n">
        <f aca="false">SUMPRODUCT(--(Sens!$R$3527:$AA$3527=2024-cip_lag),Sens!$R$3560:$AA$3560)-Sens!$S$3562</f>
        <v>0</v>
      </c>
      <c r="T3563" s="38" t="n">
        <f aca="false">SUMPRODUCT(--(Sens!$R$3527:$AA$3527=2025-cip_lag),Sens!$R$3560:$AA$3560)-Sens!$T$3562</f>
        <v>3.76516660793636</v>
      </c>
      <c r="U3563" s="38" t="n">
        <f aca="false">SUMPRODUCT(--(Sens!$R$3527:$AA$3527=2026-cip_lag),Sens!$R$3560:$AA$3560)-Sens!$U$3562</f>
        <v>5.04730479196242</v>
      </c>
      <c r="V3563" s="38" t="n">
        <f aca="false">SUMPRODUCT(--(Sens!$R$3527:$AA$3527=2027-cip_lag),Sens!$R$3560:$AA$3560)-Sens!$V$3562</f>
        <v>7.24592107794548</v>
      </c>
      <c r="W3563" s="38" t="n">
        <f aca="false">SUMPRODUCT(--(Sens!$R$3527:$AA$3527=2028-cip_lag),Sens!$R$3560:$AA$3560)-Sens!$W$3562</f>
        <v>0</v>
      </c>
      <c r="X3563" s="38" t="n">
        <f aca="false">SUMPRODUCT(--(Sens!$R$3527:$AA$3527=2029-cip_lag),Sens!$R$3560:$AA$3560)-Sens!$X$3562</f>
        <v>0</v>
      </c>
      <c r="Y3563" s="38" t="n">
        <f aca="false">SUMPRODUCT(--(Sens!$R$3527:$AA$3527=2030-cip_lag),Sens!$R$3560:$AA$3560)-Sens!$Y$3562</f>
        <v>0</v>
      </c>
      <c r="Z3563" s="38" t="n">
        <f aca="false">SUMPRODUCT(--(Sens!$R$3527:$AA$3527=2031-cip_lag),Sens!$R$3560:$AA$3560)-Sens!$Z$3562</f>
        <v>0</v>
      </c>
      <c r="AA3563" s="38" t="n">
        <f aca="false">SUMPRODUCT(--(Sens!$R$3527:$AA$3527=2032-cip_lag),Sens!$R$3560:$AA$3560)-Sens!$AA$3562</f>
        <v>0</v>
      </c>
    </row>
    <row r="3564" customFormat="false" ht="17.15" hidden="false" customHeight="false" outlineLevel="0" collapsed="false">
      <c r="A3564" s="5" t="s">
        <v>645</v>
      </c>
      <c r="B3564" s="0" t="s">
        <v>86</v>
      </c>
      <c r="C3564" s="38" t="n">
        <f aca="false">Sens!$C$3559*Sens!$C$3556</f>
        <v>8.2530642</v>
      </c>
      <c r="D3564" s="38" t="n">
        <f aca="false">Sens!$D$3559*Sens!$D$3556</f>
        <v>37.1387889</v>
      </c>
      <c r="E3564" s="38" t="n">
        <f aca="false">Sens!$E$3559*Sens!$E$3556</f>
        <v>25.7897792</v>
      </c>
      <c r="F3564" s="38" t="n">
        <f aca="false">Sens!$F$3559*Sens!$F$3556</f>
        <v>67.4948715189913</v>
      </c>
      <c r="G3564" s="38" t="n">
        <f aca="false">Sens!$E$3564+Sens!$F$3564</f>
        <v>93.2846507189913</v>
      </c>
      <c r="H3564" s="38" t="n">
        <f aca="false">(Sens!$H$3559-Sens!$H$3558)*Sens!$H$3556+Sens!$H$3558</f>
        <v>152.52478394475</v>
      </c>
      <c r="I3564" s="38" t="n">
        <f aca="false">(Sens!$I$3559-Sens!$I$3558)*Sens!$I$3556+Sens!$I$3558</f>
        <v>158.5998889105</v>
      </c>
      <c r="J3564" s="38" t="n">
        <f aca="false">(Sens!$J$3559-Sens!$J$3558)*Sens!$J$3556+Sens!$J$3558</f>
        <v>163.8366571105</v>
      </c>
      <c r="K3564" s="38" t="n">
        <f aca="false">(Sens!$K$3559-Sens!$K$3558)*Sens!$K$3556+Sens!$K$3558</f>
        <v>122.665498273534</v>
      </c>
      <c r="L3564" s="38" t="n">
        <f aca="false">(Sens!$L$3559-Sens!$L$3558)*Sens!$L$3556+Sens!$L$3558</f>
        <v>112.914948636568</v>
      </c>
      <c r="M3564" s="38" t="n">
        <f aca="false">(Sens!$M$3559-Sens!$M$3558)*Sens!$M$3556+Sens!$M$3558</f>
        <v>126.605482654852</v>
      </c>
      <c r="R3564" s="38" t="n">
        <f aca="false">Sens!$R$3559*Sens!$C$3556</f>
        <v>1.09927679019314</v>
      </c>
      <c r="S3564" s="38" t="n">
        <f aca="false">Sens!$C$3564</f>
        <v>8.2530642</v>
      </c>
      <c r="T3564" s="38" t="n">
        <f aca="false">Sens!$D$3564</f>
        <v>37.1387889</v>
      </c>
      <c r="U3564" s="38" t="n">
        <f aca="false">Sens!$G$3564</f>
        <v>93.2846507189913</v>
      </c>
      <c r="V3564" s="38" t="n">
        <f aca="false">Sens!$H$3564</f>
        <v>152.52478394475</v>
      </c>
      <c r="W3564" s="38" t="n">
        <f aca="false">Sens!$I$3564</f>
        <v>158.5998889105</v>
      </c>
      <c r="X3564" s="38" t="n">
        <f aca="false">Sens!$J$3564</f>
        <v>163.8366571105</v>
      </c>
      <c r="Y3564" s="38" t="n">
        <f aca="false">Sens!$K$3564</f>
        <v>122.665498273534</v>
      </c>
      <c r="Z3564" s="38" t="n">
        <f aca="false">Sens!$L$3564</f>
        <v>112.914948636568</v>
      </c>
      <c r="AA3564" s="38" t="n">
        <f aca="false">Sens!$M$3564</f>
        <v>126.605482654852</v>
      </c>
    </row>
    <row r="3565" customFormat="false" ht="15" hidden="false" customHeight="false" outlineLevel="0" collapsed="false">
      <c r="A3565" s="5" t="s">
        <v>646</v>
      </c>
      <c r="B3565" s="0" t="s">
        <v>86</v>
      </c>
      <c r="C3565" s="38" t="n">
        <f aca="false">Sens!$C$3559-Sens!$C$3564</f>
        <v>3.0408</v>
      </c>
      <c r="D3565" s="38" t="n">
        <f aca="false">Sens!$D$3559-Sens!$D$3564</f>
        <v>13.6836</v>
      </c>
      <c r="E3565" s="38" t="n">
        <f aca="false">Sens!$E$3559-Sens!$E$3564</f>
        <v>8.1088</v>
      </c>
      <c r="F3565" s="38" t="n">
        <f aca="false">Sens!$F$3559-Sens!$F$3564</f>
        <v>21.2216789422221</v>
      </c>
      <c r="G3565" s="38" t="n">
        <f aca="false">Sens!$G$3559-Sens!$G$3564</f>
        <v>29.3304789422221</v>
      </c>
      <c r="H3565" s="38" t="n">
        <f aca="false">Sens!$H$3559-Sens!$H$3564</f>
        <v>46.046581</v>
      </c>
      <c r="I3565" s="38" t="n">
        <f aca="false">Sens!$I$3559-Sens!$I$3564</f>
        <v>46.046581</v>
      </c>
      <c r="J3565" s="38" t="n">
        <f aca="false">Sens!$J$3559-Sens!$J$3564</f>
        <v>46.046581</v>
      </c>
      <c r="K3565" s="38" t="n">
        <f aca="false">Sens!$K$3559-Sens!$K$3564</f>
        <v>32.5728870016667</v>
      </c>
      <c r="L3565" s="38" t="n">
        <f aca="false">Sens!$L$3559-Sens!$L$3564</f>
        <v>19.0991930033334</v>
      </c>
      <c r="M3565" s="38" t="n">
        <f aca="false">Sens!$M$3559-Sens!$M$3564</f>
        <v>5.62549900499998</v>
      </c>
      <c r="R3565" s="38" t="n">
        <f aca="false">Sens!$R$3559-Sens!$R$3564</f>
        <v>0.405023005106309</v>
      </c>
      <c r="S3565" s="38" t="n">
        <f aca="false">Sens!$S$3559-Sens!$S$3564</f>
        <v>3.0408</v>
      </c>
      <c r="T3565" s="38" t="n">
        <f aca="false">Sens!$T$3559-Sens!$T$3564</f>
        <v>13.6836</v>
      </c>
      <c r="U3565" s="38" t="n">
        <f aca="false">Sens!$U$3559-Sens!$U$3564</f>
        <v>29.3304789422221</v>
      </c>
      <c r="V3565" s="38" t="n">
        <f aca="false">Sens!$V$3559-Sens!$V$3564</f>
        <v>46.046581</v>
      </c>
      <c r="W3565" s="38" t="n">
        <f aca="false">Sens!$W$3559-Sens!$W$3564</f>
        <v>46.046581</v>
      </c>
      <c r="X3565" s="38" t="n">
        <f aca="false">Sens!$X$3559-Sens!$X$3564</f>
        <v>46.046581</v>
      </c>
      <c r="Y3565" s="38" t="n">
        <f aca="false">Sens!$Y$3559-Sens!$Y$3564</f>
        <v>32.5728870016667</v>
      </c>
      <c r="Z3565" s="38" t="n">
        <f aca="false">Sens!$Z$3559-Sens!$Z$3564</f>
        <v>19.0991930033334</v>
      </c>
      <c r="AA3565" s="38" t="n">
        <f aca="false">Sens!$AA$3559-Sens!$AA$3564</f>
        <v>5.62549900499998</v>
      </c>
    </row>
    <row r="3566" customFormat="false" ht="17.15" hidden="false" customHeight="false" outlineLevel="0" collapsed="false">
      <c r="A3566" s="0" t="s">
        <v>647</v>
      </c>
      <c r="B3566" s="0" t="s">
        <v>52</v>
      </c>
      <c r="C3566" s="13" t="n">
        <f aca="false">Sens!$C$3557/Sens!$C$3682</f>
        <v>0.325505489553393</v>
      </c>
      <c r="D3566" s="13" t="n">
        <f aca="false">Sens!$D$3557/Sens!$D$3682</f>
        <v>0.54214956071542</v>
      </c>
      <c r="E3566" s="13" t="n">
        <f aca="false">Sens!$E$3557/Sens!$E$3682</f>
        <v>0.666492790452817</v>
      </c>
      <c r="F3566" s="13" t="n">
        <f aca="false">Sens!$F$3557/Sens!$F$3682</f>
        <v>0.71724917504417</v>
      </c>
      <c r="G3566" s="13" t="n">
        <f aca="false">Sens!$G$3557/Sens!$G$3682</f>
        <v>0.69502941413511</v>
      </c>
      <c r="H3566" s="13" t="n">
        <f aca="false">Sens!$H$3557/Sens!$H$3682</f>
        <v>0.725806231867852</v>
      </c>
      <c r="I3566" s="13" t="n">
        <f aca="false">Sens!$I$3557/Sens!$I$3682</f>
        <v>0.711303248812262</v>
      </c>
      <c r="J3566" s="13" t="n">
        <f aca="false">Sens!$J$3557/Sens!$J$3682</f>
        <v>0.697446956754909</v>
      </c>
      <c r="K3566" s="13" t="n">
        <f aca="false">Sens!$K$3557/Sens!$K$3682</f>
        <v>0.61111795187599</v>
      </c>
      <c r="L3566" s="13" t="n">
        <f aca="false">Sens!$L$3557/Sens!$L$3682</f>
        <v>0.55176542709262</v>
      </c>
      <c r="M3566" s="13" t="n">
        <f aca="false">Sens!$M$3557/Sens!$M$3682</f>
        <v>0.531635350471129</v>
      </c>
    </row>
    <row r="3567" customFormat="false" ht="17.15" hidden="false" customHeight="false" outlineLevel="0" collapsed="false">
      <c r="A3567" s="0" t="s">
        <v>648</v>
      </c>
      <c r="B3567" s="0" t="s">
        <v>86</v>
      </c>
      <c r="C3567" s="38" t="n">
        <f aca="false">Sens!$S$3567</f>
        <v>0.183212798365523</v>
      </c>
      <c r="D3567" s="38" t="n">
        <f aca="false">Sens!$T$3567</f>
        <v>1.55872349836552</v>
      </c>
      <c r="E3567" s="38" t="n">
        <f aca="false">Sens!$G$3567/2</f>
        <v>4.72585036583285</v>
      </c>
      <c r="F3567" s="38" t="n">
        <f aca="false">Sens!$G$3567/2</f>
        <v>4.72585036583285</v>
      </c>
      <c r="G3567" s="38" t="n">
        <f aca="false">Sens!$U$3567</f>
        <v>9.4517007316657</v>
      </c>
      <c r="H3567" s="38" t="n">
        <f aca="false">Sens!$V$3567</f>
        <v>27.2822988413376</v>
      </c>
      <c r="I3567" s="38" t="n">
        <f aca="false">Sens!$W$3567</f>
        <v>56.5439995605568</v>
      </c>
      <c r="J3567" s="38" t="n">
        <f aca="false">Sens!$X$3567</f>
        <v>82.9773143789735</v>
      </c>
      <c r="K3567" s="38" t="n">
        <f aca="false">Sens!$Y$3567</f>
        <v>110.100211099025</v>
      </c>
      <c r="L3567" s="38" t="n">
        <f aca="false">Sens!$Z$3567</f>
        <v>129.16895011128</v>
      </c>
      <c r="M3567" s="38" t="n">
        <f aca="false">Sens!$AA$3567</f>
        <v>140.095130984075</v>
      </c>
      <c r="N3567" s="38" t="n">
        <f aca="false">Sens!$D$3567/2</f>
        <v>0.779361749182762</v>
      </c>
      <c r="O3567" s="38" t="n">
        <f aca="false">Sens!$D$3567/2</f>
        <v>0.779361749182762</v>
      </c>
      <c r="R3567" s="38" t="n">
        <f aca="false">(SUMPRODUCT(--(Sens!$R$3527:$AA$3527&lt;Sens!R$3527),--(Sens!$R$3527:$AA$3527&gt;=Sens!R$3527-tk_life),Sens!$R$3564:$AA$3564)+SUMPRODUCT(--(Sens!$R$3527:$AA$3527&lt;Sens!R$3527),--(Sens!$R$3527:$AA$3527&gt;=Sens!R$3527-tk_life),Sens!$R$3562:$AA$3562))/tk_life</f>
        <v>0</v>
      </c>
      <c r="S3567" s="38" t="n">
        <f aca="false">(SUMPRODUCT(--(Sens!$R$3527:$AA$3527&lt;Sens!S$3527),--(Sens!$R$3527:$AA$3527&gt;=Sens!S$3527-tk_life),Sens!$R$3564:$AA$3564)+SUMPRODUCT(--(Sens!$R$3527:$AA$3527&lt;Sens!S$3527),--(Sens!$R$3527:$AA$3527&gt;=Sens!S$3527-tk_life),Sens!$R$3562:$AA$3562))/tk_life</f>
        <v>0.183212798365523</v>
      </c>
      <c r="T3567" s="38" t="n">
        <f aca="false">(SUMPRODUCT(--(Sens!$R$3527:$AA$3527&lt;Sens!T$3527),--(Sens!$R$3527:$AA$3527&gt;=Sens!T$3527-tk_life),Sens!$R$3564:$AA$3564)+SUMPRODUCT(--(Sens!$R$3527:$AA$3527&lt;Sens!T$3527),--(Sens!$R$3527:$AA$3527&gt;=Sens!T$3527-tk_life),Sens!$R$3562:$AA$3562))/tk_life</f>
        <v>1.55872349836552</v>
      </c>
      <c r="U3567" s="38" t="n">
        <f aca="false">(SUMPRODUCT(--(Sens!$R$3527:$AA$3527&lt;Sens!U$3527),--(Sens!$R$3527:$AA$3527&gt;=Sens!U$3527-tk_life),Sens!$R$3564:$AA$3564)+SUMPRODUCT(--(Sens!$R$3527:$AA$3527&lt;Sens!U$3527),--(Sens!$R$3527:$AA$3527&gt;=Sens!U$3527-tk_life),Sens!$R$3562:$AA$3562))/tk_life</f>
        <v>9.4517007316657</v>
      </c>
      <c r="V3567" s="38" t="n">
        <f aca="false">(SUMPRODUCT(--(Sens!$R$3527:$AA$3527&lt;Sens!V$3527),--(Sens!$R$3527:$AA$3527&gt;=Sens!V$3527-tk_life),Sens!$R$3564:$AA$3564)+SUMPRODUCT(--(Sens!$R$3527:$AA$3527&lt;Sens!V$3527),--(Sens!$R$3527:$AA$3527&gt;=Sens!V$3527-tk_life),Sens!$R$3562:$AA$3562))/tk_life</f>
        <v>27.2822988413376</v>
      </c>
      <c r="W3567" s="38" t="n">
        <f aca="false">(SUMPRODUCT(--(Sens!$R$3527:$AA$3527&lt;Sens!W$3527),--(Sens!$R$3527:$AA$3527&gt;=Sens!W$3527-tk_life),Sens!$R$3564:$AA$3564)+SUMPRODUCT(--(Sens!$R$3527:$AA$3527&lt;Sens!W$3527),--(Sens!$R$3527:$AA$3527&gt;=Sens!W$3527-tk_life),Sens!$R$3562:$AA$3562))/tk_life</f>
        <v>56.5439995605568</v>
      </c>
      <c r="X3567" s="38" t="n">
        <f aca="false">(SUMPRODUCT(--(Sens!$R$3527:$AA$3527&lt;Sens!X$3527),--(Sens!$R$3527:$AA$3527&gt;=Sens!X$3527-tk_life),Sens!$R$3564:$AA$3564)+SUMPRODUCT(--(Sens!$R$3527:$AA$3527&lt;Sens!X$3527),--(Sens!$R$3527:$AA$3527&gt;=Sens!X$3527-tk_life),Sens!$R$3562:$AA$3562))/tk_life</f>
        <v>82.9773143789735</v>
      </c>
      <c r="Y3567" s="38" t="n">
        <f aca="false">(SUMPRODUCT(--(Sens!$R$3527:$AA$3527&lt;Sens!Y$3527),--(Sens!$R$3527:$AA$3527&gt;=Sens!Y$3527-tk_life),Sens!$R$3564:$AA$3564)+SUMPRODUCT(--(Sens!$R$3527:$AA$3527&lt;Sens!Y$3527),--(Sens!$R$3527:$AA$3527&gt;=Sens!Y$3527-tk_life),Sens!$R$3562:$AA$3562))/tk_life</f>
        <v>110.100211099025</v>
      </c>
      <c r="Z3567" s="38" t="n">
        <f aca="false">(SUMPRODUCT(--(Sens!$R$3527:$AA$3527&lt;Sens!Z$3527),--(Sens!$R$3527:$AA$3527&gt;=Sens!Z$3527-tk_life),Sens!$R$3564:$AA$3564)+SUMPRODUCT(--(Sens!$R$3527:$AA$3527&lt;Sens!Z$3527),--(Sens!$R$3527:$AA$3527&gt;=Sens!Z$3527-tk_life),Sens!$R$3562:$AA$3562))/tk_life</f>
        <v>129.16895011128</v>
      </c>
      <c r="AA3567" s="38" t="n">
        <f aca="false">(SUMPRODUCT(--(Sens!$R$3527:$AA$3527&lt;Sens!AA$3527),--(Sens!$R$3527:$AA$3527&gt;=Sens!AA$3527-tk_life),Sens!$R$3564:$AA$3564)+SUMPRODUCT(--(Sens!$R$3527:$AA$3527&lt;Sens!AA$3527),--(Sens!$R$3527:$AA$3527&gt;=Sens!AA$3527-tk_life),Sens!$R$3562:$AA$3562))/tk_life</f>
        <v>140.095130984075</v>
      </c>
    </row>
    <row r="3568" customFormat="false" ht="17.15" hidden="false" customHeight="false" outlineLevel="0" collapsed="false">
      <c r="A3568" s="0" t="s">
        <v>649</v>
      </c>
      <c r="B3568" s="0" t="s">
        <v>86</v>
      </c>
      <c r="C3568" s="38" t="n">
        <f aca="false">Sens!$S$3568</f>
        <v>0.0202511502553155</v>
      </c>
      <c r="D3568" s="38" t="n">
        <f aca="false">Sens!$T$3568</f>
        <v>0.172291150255315</v>
      </c>
      <c r="E3568" s="38" t="n">
        <f aca="false">Sens!$G$3568/2</f>
        <v>0.522364740326067</v>
      </c>
      <c r="F3568" s="38" t="n">
        <f aca="false">Sens!$G$3568/2</f>
        <v>0.522364740326067</v>
      </c>
      <c r="G3568" s="38" t="n">
        <f aca="false">Sens!$U$3568</f>
        <v>1.04472948065213</v>
      </c>
      <c r="H3568" s="38" t="n">
        <f aca="false">Sens!$V$3568</f>
        <v>2.76361866736136</v>
      </c>
      <c r="I3568" s="38" t="n">
        <f aca="false">Sens!$W$3568</f>
        <v>5.42824377125863</v>
      </c>
      <c r="J3568" s="38" t="n">
        <f aca="false">Sens!$X$3568</f>
        <v>7.73057282125864</v>
      </c>
      <c r="K3568" s="38" t="n">
        <f aca="false">Sens!$Y$3568</f>
        <v>10.0329018712586</v>
      </c>
      <c r="L3568" s="38" t="n">
        <f aca="false">Sens!$Z$3568</f>
        <v>11.661546221342</v>
      </c>
      <c r="M3568" s="38" t="n">
        <f aca="false">Sens!$AA$3568</f>
        <v>12.6165058715086</v>
      </c>
      <c r="N3568" s="38" t="n">
        <f aca="false">Sens!$D$3568/2</f>
        <v>0.0861455751276577</v>
      </c>
      <c r="O3568" s="38" t="n">
        <f aca="false">Sens!$D$3568/2</f>
        <v>0.0861455751276577</v>
      </c>
      <c r="R3568" s="38" t="n">
        <f aca="false">(SUMPRODUCT(--(Sens!$R$3527:$AA$3527&lt;Sens!R$3527),Sens!$R$3565:$AA$3565)+SUMPRODUCT(--(Sens!$R$3527:$AA$3527&lt;Sens!R$3527),Sens!$R$3563:$AA$3563))/fac_life</f>
        <v>0</v>
      </c>
      <c r="S3568" s="38" t="n">
        <f aca="false">(SUMPRODUCT(--(Sens!$R$3527:$AA$3527&lt;Sens!S$3527),Sens!$R$3565:$AA$3565)+SUMPRODUCT(--(Sens!$R$3527:$AA$3527&lt;Sens!S$3527),Sens!$R$3563:$AA$3563))/fac_life</f>
        <v>0.0202511502553155</v>
      </c>
      <c r="T3568" s="38" t="n">
        <f aca="false">(SUMPRODUCT(--(Sens!$R$3527:$AA$3527&lt;Sens!T$3527),Sens!$R$3565:$AA$3565)+SUMPRODUCT(--(Sens!$R$3527:$AA$3527&lt;Sens!T$3527),Sens!$R$3563:$AA$3563))/fac_life</f>
        <v>0.172291150255315</v>
      </c>
      <c r="U3568" s="38" t="n">
        <f aca="false">(SUMPRODUCT(--(Sens!$R$3527:$AA$3527&lt;Sens!U$3527),Sens!$R$3565:$AA$3565)+SUMPRODUCT(--(Sens!$R$3527:$AA$3527&lt;Sens!U$3527),Sens!$R$3563:$AA$3563))/fac_life</f>
        <v>1.04472948065213</v>
      </c>
      <c r="V3568" s="38" t="n">
        <f aca="false">(SUMPRODUCT(--(Sens!$R$3527:$AA$3527&lt;Sens!V$3527),Sens!$R$3565:$AA$3565)+SUMPRODUCT(--(Sens!$R$3527:$AA$3527&lt;Sens!V$3527),Sens!$R$3563:$AA$3563))/fac_life</f>
        <v>2.76361866736136</v>
      </c>
      <c r="W3568" s="38" t="n">
        <f aca="false">(SUMPRODUCT(--(Sens!$R$3527:$AA$3527&lt;Sens!W$3527),Sens!$R$3565:$AA$3565)+SUMPRODUCT(--(Sens!$R$3527:$AA$3527&lt;Sens!W$3527),Sens!$R$3563:$AA$3563))/fac_life</f>
        <v>5.42824377125863</v>
      </c>
      <c r="X3568" s="38" t="n">
        <f aca="false">(SUMPRODUCT(--(Sens!$R$3527:$AA$3527&lt;Sens!X$3527),Sens!$R$3565:$AA$3565)+SUMPRODUCT(--(Sens!$R$3527:$AA$3527&lt;Sens!X$3527),Sens!$R$3563:$AA$3563))/fac_life</f>
        <v>7.73057282125864</v>
      </c>
      <c r="Y3568" s="38" t="n">
        <f aca="false">(SUMPRODUCT(--(Sens!$R$3527:$AA$3527&lt;Sens!Y$3527),Sens!$R$3565:$AA$3565)+SUMPRODUCT(--(Sens!$R$3527:$AA$3527&lt;Sens!Y$3527),Sens!$R$3563:$AA$3563))/fac_life</f>
        <v>10.0329018712586</v>
      </c>
      <c r="Z3568" s="38" t="n">
        <f aca="false">(SUMPRODUCT(--(Sens!$R$3527:$AA$3527&lt;Sens!Z$3527),Sens!$R$3565:$AA$3565)+SUMPRODUCT(--(Sens!$R$3527:$AA$3527&lt;Sens!Z$3527),Sens!$R$3563:$AA$3563))/fac_life</f>
        <v>11.661546221342</v>
      </c>
      <c r="AA3568" s="38" t="n">
        <f aca="false">(SUMPRODUCT(--(Sens!$R$3527:$AA$3527&lt;Sens!AA$3527),Sens!$R$3565:$AA$3565)+SUMPRODUCT(--(Sens!$R$3527:$AA$3527&lt;Sens!AA$3527),Sens!$R$3563:$AA$3563))/fac_life</f>
        <v>12.6165058715086</v>
      </c>
    </row>
    <row r="3569" customFormat="false" ht="17.15" hidden="false" customHeight="false" outlineLevel="0" collapsed="false">
      <c r="A3569" s="1" t="s">
        <v>650</v>
      </c>
      <c r="B3569" s="8" t="s">
        <v>86</v>
      </c>
      <c r="C3569" s="38" t="n">
        <f aca="false">Sens!$C$3567+Sens!$C$3568</f>
        <v>0.203463948620839</v>
      </c>
      <c r="D3569" s="38" t="n">
        <f aca="false">Sens!$D$3567+Sens!$D$3568</f>
        <v>1.73101464862084</v>
      </c>
      <c r="E3569" s="38" t="n">
        <f aca="false">Sens!$E$3567+Sens!$E$3568</f>
        <v>5.24821510615892</v>
      </c>
      <c r="F3569" s="38" t="n">
        <f aca="false">Sens!$F$3567+Sens!$F$3568</f>
        <v>5.24821510615892</v>
      </c>
      <c r="G3569" s="38" t="n">
        <f aca="false">Sens!$G$3567+Sens!$G$3568</f>
        <v>10.4964302123178</v>
      </c>
      <c r="H3569" s="38" t="n">
        <f aca="false">Sens!$H$3567+Sens!$H$3568</f>
        <v>30.045917508699</v>
      </c>
      <c r="I3569" s="38" t="n">
        <f aca="false">Sens!$I$3567+Sens!$I$3568</f>
        <v>61.9722433318155</v>
      </c>
      <c r="J3569" s="38" t="n">
        <f aca="false">Sens!$J$3567+Sens!$J$3568</f>
        <v>90.7078872002321</v>
      </c>
      <c r="K3569" s="38" t="n">
        <f aca="false">Sens!$K$3567+Sens!$K$3568</f>
        <v>120.133112970283</v>
      </c>
      <c r="L3569" s="38" t="n">
        <f aca="false">Sens!$L$3567+Sens!$L$3568</f>
        <v>140.830496332622</v>
      </c>
      <c r="M3569" s="38" t="n">
        <f aca="false">Sens!$M$3567+Sens!$M$3568</f>
        <v>152.711636855584</v>
      </c>
      <c r="N3569" s="38" t="n">
        <f aca="false">Sens!$N$3567+Sens!$N$3568</f>
        <v>0.865507324310419</v>
      </c>
      <c r="O3569" s="38" t="n">
        <f aca="false">Sens!$O$3567+Sens!$O$3568</f>
        <v>0.865507324310419</v>
      </c>
      <c r="R3569" s="38" t="n">
        <f aca="false">Sens!$R$3567+Sens!$R$3568</f>
        <v>0</v>
      </c>
      <c r="S3569" s="38" t="n">
        <f aca="false">Sens!$S$3567+Sens!$S$3568</f>
        <v>0.203463948620839</v>
      </c>
      <c r="T3569" s="38" t="n">
        <f aca="false">Sens!$T$3567+Sens!$T$3568</f>
        <v>1.73101464862084</v>
      </c>
      <c r="U3569" s="38" t="n">
        <f aca="false">Sens!$U$3567+Sens!$U$3568</f>
        <v>10.4964302123178</v>
      </c>
      <c r="V3569" s="38" t="n">
        <f aca="false">Sens!$V$3567+Sens!$V$3568</f>
        <v>30.045917508699</v>
      </c>
      <c r="W3569" s="38" t="n">
        <f aca="false">Sens!$W$3567+Sens!$W$3568</f>
        <v>61.9722433318155</v>
      </c>
      <c r="X3569" s="38" t="n">
        <f aca="false">Sens!$X$3567+Sens!$X$3568</f>
        <v>90.7078872002321</v>
      </c>
      <c r="Y3569" s="38" t="n">
        <f aca="false">Sens!$Y$3567+Sens!$Y$3568</f>
        <v>120.133112970283</v>
      </c>
      <c r="Z3569" s="38" t="n">
        <f aca="false">Sens!$Z$3567+Sens!$Z$3568</f>
        <v>140.830496332622</v>
      </c>
      <c r="AA3569" s="38" t="n">
        <f aca="false">Sens!$AA$3567+Sens!$AA$3568</f>
        <v>152.711636855584</v>
      </c>
    </row>
    <row r="3570" customFormat="false" ht="17.15" hidden="false" customHeight="false" outlineLevel="0" collapsed="false">
      <c r="A3570" s="0" t="s">
        <v>651</v>
      </c>
      <c r="B3570" s="0" t="s">
        <v>86</v>
      </c>
      <c r="C3570" s="38" t="n">
        <f aca="false">Sens!$S$3570</f>
        <v>26.578941154416</v>
      </c>
      <c r="D3570" s="38" t="n">
        <f aca="false">Sens!$T$3570</f>
        <v>94.4165581367978</v>
      </c>
      <c r="G3570" s="38" t="n">
        <f aca="false">Sens!$U$3570</f>
        <v>236.826599034204</v>
      </c>
      <c r="H3570" s="38" t="n">
        <f aca="false">Sens!$V$3570</f>
        <v>405.352046470255</v>
      </c>
      <c r="I3570" s="38" t="n">
        <f aca="false">Sens!$W$3570</f>
        <v>548.02627304894</v>
      </c>
      <c r="J3570" s="38" t="n">
        <f aca="false">Sens!$X$3570</f>
        <v>667.201623959208</v>
      </c>
      <c r="K3570" s="38" t="n">
        <f aca="false">Sens!$Y$3570</f>
        <v>702.306896264125</v>
      </c>
      <c r="L3570" s="38" t="n">
        <f aca="false">Sens!$Z$3570</f>
        <v>693.490541571405</v>
      </c>
      <c r="M3570" s="38" t="n">
        <f aca="false">Sens!$AA$3570</f>
        <v>673.009886375674</v>
      </c>
      <c r="R3570" s="38" t="n">
        <f aca="false">SUM(Sens!$R$3557:$R$3557)-SUM(Sens!$R$3569:$R$3569)</f>
        <v>1.50429979529945</v>
      </c>
      <c r="S3570" s="38" t="n">
        <f aca="false">SUM(Sens!$R$3557:$S$3557)-SUM(Sens!$R$3569:$S$3569)</f>
        <v>26.578941154416</v>
      </c>
      <c r="T3570" s="38" t="n">
        <f aca="false">SUM(Sens!$R$3557:$T$3557)-SUM(Sens!$R$3569:$T$3569)</f>
        <v>94.4165581367978</v>
      </c>
      <c r="U3570" s="38" t="n">
        <f aca="false">SUM(Sens!$R$3557:$U$3557)-SUM(Sens!$R$3569:$U$3569)</f>
        <v>236.826599034204</v>
      </c>
      <c r="V3570" s="38" t="n">
        <f aca="false">SUM(Sens!$R$3557:$V$3557)-SUM(Sens!$R$3569:$V$3569)</f>
        <v>405.352046470255</v>
      </c>
      <c r="W3570" s="38" t="n">
        <f aca="false">SUM(Sens!$R$3557:$W$3557)-SUM(Sens!$R$3569:$W$3569)</f>
        <v>548.02627304894</v>
      </c>
      <c r="X3570" s="38" t="n">
        <f aca="false">SUM(Sens!$R$3557:$X$3557)-SUM(Sens!$R$3569:$X$3569)</f>
        <v>667.201623959208</v>
      </c>
      <c r="Y3570" s="38" t="n">
        <f aca="false">SUM(Sens!$R$3557:$Y$3557)-SUM(Sens!$R$3569:$Y$3569)</f>
        <v>702.306896264125</v>
      </c>
      <c r="Z3570" s="38" t="n">
        <f aca="false">SUM(Sens!$R$3557:$Z$3557)-SUM(Sens!$R$3569:$Z$3569)</f>
        <v>693.490541571405</v>
      </c>
      <c r="AA3570" s="38" t="n">
        <f aca="false">SUM(Sens!$R$3557:$AA$3557)-SUM(Sens!$R$3569:$AA$3569)</f>
        <v>673.009886375674</v>
      </c>
    </row>
    <row r="3571" customFormat="false" ht="17.15" hidden="false" customHeight="false" outlineLevel="0" collapsed="false">
      <c r="A3571" s="1" t="s">
        <v>652</v>
      </c>
    </row>
    <row r="3572" customFormat="false" ht="17.15" hidden="false" customHeight="false" outlineLevel="0" collapsed="false">
      <c r="A3572" s="0" t="s">
        <v>653</v>
      </c>
      <c r="B3572" s="0" t="s">
        <v>86</v>
      </c>
      <c r="C3572" s="38" t="n">
        <f aca="false">Sens!$C$3548-ext_sh*Sens!$C$3550</f>
        <v>1.80694998843362</v>
      </c>
      <c r="D3572" s="38" t="n">
        <f aca="false">Sens!$D$3548-ext_sh*Sens!$D$3550</f>
        <v>6.77606245662607</v>
      </c>
      <c r="E3572" s="38" t="n">
        <f aca="false">Sens!$E$3548-ext_sh*Sens!$E$3550</f>
        <v>6.62548329092326</v>
      </c>
      <c r="F3572" s="38" t="n">
        <f aca="false">Sens!$F$3548-ext_sh*Sens!$F$3550</f>
        <v>11.7200577158706</v>
      </c>
      <c r="G3572" s="38" t="n">
        <f aca="false">Sens!$G$3548-ext_sh*Sens!$G$3550</f>
        <v>18.3455410067939</v>
      </c>
      <c r="H3572" s="38" t="n">
        <f aca="false">Sens!$H$3548-ext_sh*Sens!$H$3550</f>
        <v>47.5171727060453</v>
      </c>
      <c r="I3572" s="38" t="n">
        <f aca="false">Sens!$I$3548-ext_sh*Sens!$I$3550</f>
        <v>80.5539692643667</v>
      </c>
      <c r="J3572" s="38" t="n">
        <f aca="false">Sens!$J$3548-ext_sh*Sens!$J$3550</f>
        <v>113.759316834883</v>
      </c>
      <c r="K3572" s="38" t="n">
        <f aca="false">Sens!$K$3548-ext_sh*Sens!$K$3550</f>
        <v>142.084411492169</v>
      </c>
      <c r="L3572" s="38" t="n">
        <f aca="false">Sens!$L$3548-ext_sh*Sens!$L$3550</f>
        <v>160.69964615804</v>
      </c>
      <c r="M3572" s="38" t="n">
        <f aca="false">Sens!$M$3548-ext_sh*Sens!$M$3550</f>
        <v>169.577607141793</v>
      </c>
      <c r="N3572" s="38" t="n">
        <f aca="false">Sens!$N$3548-ext_sh*Sens!$N$3550</f>
        <v>2.37162185981912</v>
      </c>
      <c r="O3572" s="38" t="n">
        <f aca="false">Sens!$O$3548-ext_sh*Sens!$O$3550</f>
        <v>4.40444059680694</v>
      </c>
    </row>
    <row r="3573" customFormat="false" ht="17.15" hidden="false" customHeight="false" outlineLevel="0" collapsed="false">
      <c r="A3573" s="1" t="s">
        <v>654</v>
      </c>
      <c r="B3573" s="8" t="s">
        <v>86</v>
      </c>
      <c r="C3573" s="38" t="n">
        <f aca="false">Sens!$C$3572-ext_sh*Sens!$C$3569</f>
        <v>1.64417882953695</v>
      </c>
      <c r="D3573" s="38" t="n">
        <f aca="false">Sens!$D$3572-ext_sh*Sens!$D$3569</f>
        <v>5.39125073772939</v>
      </c>
      <c r="E3573" s="38" t="n">
        <f aca="false">Sens!$E$3572-ext_sh*Sens!$E$3569</f>
        <v>2.42691120599613</v>
      </c>
      <c r="F3573" s="38" t="n">
        <f aca="false">Sens!$F$3572-ext_sh*Sens!$F$3569</f>
        <v>7.52148563094346</v>
      </c>
      <c r="G3573" s="38" t="n">
        <f aca="false">Sens!$G$3572-ext_sh*Sens!$G$3569</f>
        <v>9.94839683693959</v>
      </c>
      <c r="H3573" s="38" t="n">
        <f aca="false">Sens!$H$3572-ext_sh*Sens!$H$3569</f>
        <v>23.4804386990861</v>
      </c>
      <c r="I3573" s="38" t="n">
        <f aca="false">Sens!$I$3572-ext_sh*Sens!$I$3569</f>
        <v>30.9761745989143</v>
      </c>
      <c r="J3573" s="38" t="n">
        <f aca="false">Sens!$J$3572-ext_sh*Sens!$J$3569</f>
        <v>41.1930070746977</v>
      </c>
      <c r="K3573" s="38" t="n">
        <f aca="false">Sens!$K$3572-ext_sh*Sens!$K$3569</f>
        <v>45.9779211159428</v>
      </c>
      <c r="L3573" s="38" t="n">
        <f aca="false">Sens!$L$3572-ext_sh*Sens!$L$3569</f>
        <v>48.0352490919424</v>
      </c>
      <c r="M3573" s="38" t="n">
        <f aca="false">Sens!$M$3572-ext_sh*Sens!$M$3569</f>
        <v>47.4082976573265</v>
      </c>
      <c r="N3573" s="38" t="n">
        <f aca="false">Sens!$N$3572-ext_sh*Sens!$N$3569</f>
        <v>1.67921600037079</v>
      </c>
      <c r="O3573" s="38" t="n">
        <f aca="false">Sens!$O$3572-ext_sh*Sens!$O$3569</f>
        <v>3.71203473735861</v>
      </c>
    </row>
    <row r="3574" customFormat="false" ht="17.15" hidden="false" customHeight="false" outlineLevel="0" collapsed="false">
      <c r="A3574" s="0" t="s">
        <v>655</v>
      </c>
      <c r="B3574" s="0" t="s">
        <v>52</v>
      </c>
      <c r="C3574" s="13" t="n">
        <f aca="false">Sens!$C$3573/Sens!$C$3548</f>
        <v>0.708390794789371</v>
      </c>
      <c r="D3574" s="13" t="n">
        <f aca="false">Sens!$D$3573/Sens!$D$3548</f>
        <v>0.619415573115729</v>
      </c>
      <c r="E3574" s="13" t="n">
        <f aca="false">Sens!$E$3573/Sens!$E$3548</f>
        <v>0.285171627189009</v>
      </c>
      <c r="F3574" s="13" t="n">
        <f aca="false">Sens!$F$3573/Sens!$F$3548</f>
        <v>0.502657732812366</v>
      </c>
      <c r="G3574" s="13" t="n">
        <f aca="false">Sens!$G$3573/Sens!$G$3548</f>
        <v>0.423808778611812</v>
      </c>
      <c r="H3574" s="13" t="n">
        <f aca="false">Sens!$H$3573/Sens!$H$3548</f>
        <v>0.390261631739809</v>
      </c>
      <c r="I3574" s="13" t="n">
        <f aca="false">Sens!$I$3573/Sens!$I$3548</f>
        <v>0.305172864264572</v>
      </c>
      <c r="J3574" s="13" t="n">
        <f aca="false">Sens!$J$3573/Sens!$J$3548</f>
        <v>0.288011814789856</v>
      </c>
      <c r="K3574" s="13" t="n">
        <f aca="false">Sens!$K$3573/Sens!$K$3548</f>
        <v>0.25765427518774</v>
      </c>
      <c r="L3574" s="13" t="n">
        <f aca="false">Sens!$L$3573/Sens!$L$3548</f>
        <v>0.238118778012374</v>
      </c>
      <c r="M3574" s="13" t="n">
        <f aca="false">Sens!$M$3573/Sens!$M$3548</f>
        <v>0.222746255757109</v>
      </c>
      <c r="N3574" s="13" t="n">
        <f aca="false">Sens!$N$3573/Sens!$N$3548</f>
        <v>0.551227795793364</v>
      </c>
      <c r="O3574" s="13" t="n">
        <f aca="false">Sens!$O$3573/Sens!$O$3548</f>
        <v>0.656132068597002</v>
      </c>
    </row>
    <row r="3575" customFormat="false" ht="17.15" hidden="false" customHeight="false" outlineLevel="0" collapsed="false">
      <c r="A3575" s="5" t="s">
        <v>656</v>
      </c>
      <c r="B3575" s="0" t="s">
        <v>86</v>
      </c>
      <c r="C3575" s="39" t="n">
        <v>0</v>
      </c>
      <c r="D3575" s="39" t="n">
        <v>0</v>
      </c>
      <c r="E3575" s="39" t="n">
        <v>0</v>
      </c>
      <c r="F3575" s="38" t="n">
        <f aca="false">IF(internal_ai_reading=2,1,0)*(1-ext_sh)/ext_sh*(mw_open*he_open+Sens!$F$3546*Sens!$F$3543)*Sens!$F$3532/1000</f>
        <v>3.77122048175818</v>
      </c>
      <c r="G3575" s="38" t="n">
        <f aca="false">Sens!$E$3575+Sens!$F$3575</f>
        <v>3.77122048175818</v>
      </c>
      <c r="H3575" s="38" t="n">
        <f aca="false">IF(internal_ai_reading=2,1,0)*(1-ext_sh)/ext_sh*(mw_open*he_open+Sens!$H$3546*Sens!$H$3543)*Sens!$H$3532/1000</f>
        <v>15.1635543609893</v>
      </c>
      <c r="I3575" s="38" t="n">
        <f aca="false">IF(internal_ai_reading=2,1,0)*(1-ext_sh)/ext_sh*(mw_open*he_open+Sens!$I$3546*Sens!$I$3543)*Sens!$I$3532/1000</f>
        <v>25.5818843619889</v>
      </c>
      <c r="J3575" s="38" t="n">
        <f aca="false">IF(internal_ai_reading=2,1,0)*(1-ext_sh)/ext_sh*(mw_open*he_open+Sens!$J$3546*Sens!$J$3543)*Sens!$J$3532/1000</f>
        <v>36.0465624179122</v>
      </c>
      <c r="K3575" s="38" t="n">
        <f aca="false">IF(internal_ai_reading=2,1,0)*(1-ext_sh)/ext_sh*(mw_open*he_open+Sens!$K$3546*Sens!$K$3543)*Sens!$K$3532/1000</f>
        <v>44.9741164026038</v>
      </c>
      <c r="L3575" s="38" t="n">
        <f aca="false">IF(internal_ai_reading=2,1,0)*(1-ext_sh)/ext_sh*(mw_open*he_open+Sens!$L$3546*Sens!$L$3543)*Sens!$L$3532/1000</f>
        <v>50.8413488057813</v>
      </c>
      <c r="M3575" s="38" t="n">
        <f aca="false">IF(internal_ai_reading=2,1,0)*(1-ext_sh)/ext_sh*(mw_open*he_open+Sens!$M$3546*Sens!$M$3543)*Sens!$M$3532/1000</f>
        <v>53.6407214274315</v>
      </c>
      <c r="N3575" s="39" t="n">
        <v>0</v>
      </c>
      <c r="O3575" s="39" t="n">
        <v>0</v>
      </c>
      <c r="P3575" s="8" t="s">
        <v>657</v>
      </c>
    </row>
    <row r="3576" customFormat="false" ht="17.15" hidden="false" customHeight="false" outlineLevel="0" collapsed="false">
      <c r="A3576" s="5" t="s">
        <v>658</v>
      </c>
      <c r="B3576" s="0" t="s">
        <v>86</v>
      </c>
      <c r="C3576" s="38" t="n">
        <f aca="false">(1-ext_sh)*(Sens!$C$3550+Sens!$C$3569)</f>
        <v>0.169206631859174</v>
      </c>
      <c r="D3576" s="38" t="n">
        <f aca="false">(1-ext_sh)*(Sens!$D$3550+Sens!$D$3569)</f>
        <v>0.828129837730442</v>
      </c>
      <c r="E3576" s="38" t="n">
        <f aca="false">(1-ext_sh)*(Sens!$E$3550+Sens!$E$3569)</f>
        <v>1.52086044239347</v>
      </c>
      <c r="F3576" s="38" t="n">
        <f aca="false">(1-ext_sh)*(Sens!$F$3550+Sens!$F$3569)</f>
        <v>1.86048700344425</v>
      </c>
      <c r="G3576" s="38" t="n">
        <f aca="false">(1-ext_sh)*(Sens!$G$3550+Sens!$G$3569)</f>
        <v>3.38134744583772</v>
      </c>
      <c r="H3576" s="38" t="n">
        <f aca="false">(1-ext_sh)*(Sens!$H$3550+Sens!$H$3569)</f>
        <v>9.17136301267211</v>
      </c>
      <c r="I3576" s="38" t="n">
        <f aca="false">(1-ext_sh)*(Sens!$I$3550+Sens!$I$3569)</f>
        <v>17.6318811343794</v>
      </c>
      <c r="J3576" s="38" t="n">
        <f aca="false">(1-ext_sh)*(Sens!$J$3550+Sens!$J$3569)</f>
        <v>25.4581000191451</v>
      </c>
      <c r="K3576" s="38" t="n">
        <f aca="false">(1-ext_sh)*(Sens!$K$3550+Sens!$K$3569)</f>
        <v>33.1175498168092</v>
      </c>
      <c r="L3576" s="38" t="n">
        <f aca="false">(1-ext_sh)*(Sens!$L$3550+Sens!$L$3569)</f>
        <v>38.4232131776135</v>
      </c>
      <c r="M3576" s="38" t="n">
        <f aca="false">(1-ext_sh)*(Sens!$M$3550+Sens!$M$3569)</f>
        <v>41.3567859278847</v>
      </c>
      <c r="N3576" s="38" t="n">
        <f aca="false">(1-ext_sh)*(Sens!$N$3550+Sens!$N$3569)</f>
        <v>0.34177588266428</v>
      </c>
      <c r="O3576" s="38" t="n">
        <f aca="false">(1-ext_sh)*(Sens!$O$3550+Sens!$O$3569)</f>
        <v>0.486353955066162</v>
      </c>
    </row>
    <row r="3577" customFormat="false" ht="17.15" hidden="false" customHeight="false" outlineLevel="0" collapsed="false">
      <c r="A3577" s="0" t="s">
        <v>659</v>
      </c>
      <c r="B3577" s="0" t="s">
        <v>86</v>
      </c>
      <c r="C3577" s="38" t="n">
        <f aca="false">Q!$D$24</f>
        <v>39.834</v>
      </c>
      <c r="D3577" s="38" t="n">
        <f aca="false">Q!$E$24</f>
        <v>45.606</v>
      </c>
      <c r="E3577" s="38" t="n">
        <f aca="false">Q!$P$24</f>
        <v>30.782</v>
      </c>
      <c r="N3577" s="38" t="n">
        <f aca="false">Q!$N$24</f>
        <v>21.707</v>
      </c>
      <c r="O3577" s="38" t="n">
        <f aca="false">Q!$O$24</f>
        <v>23.899</v>
      </c>
    </row>
    <row r="3578" customFormat="false" ht="17.15" hidden="false" customHeight="false" outlineLevel="0" collapsed="false">
      <c r="A3578" s="0" t="s">
        <v>660</v>
      </c>
      <c r="B3578" s="0" t="s">
        <v>86</v>
      </c>
      <c r="C3578" s="38" t="n">
        <f aca="false">Sens!$C$3577-Sens!$C$3573</f>
        <v>38.1898211704631</v>
      </c>
      <c r="D3578" s="38" t="n">
        <f aca="false">Sens!$D$3577-Sens!$D$3573</f>
        <v>40.2147492622706</v>
      </c>
      <c r="E3578" s="38" t="n">
        <f aca="false">Sens!$E$3577-Sens!$E$3573</f>
        <v>28.3550887940039</v>
      </c>
      <c r="F3578" s="38" t="n">
        <f aca="false">Sens!$F$3552*Sens!$F$3579</f>
        <v>25.9529793149447</v>
      </c>
      <c r="G3578" s="38" t="n">
        <f aca="false">Sens!$E$3578+Sens!$F$3578</f>
        <v>54.3080681089486</v>
      </c>
      <c r="H3578" s="38" t="n">
        <f aca="false">Sens!$H$3552*Sens!$H$3579</f>
        <v>58.6145138005545</v>
      </c>
      <c r="I3578" s="38" t="n">
        <f aca="false">Sens!$I$3552*Sens!$I$3579</f>
        <v>65.956181757461</v>
      </c>
      <c r="J3578" s="38" t="n">
        <f aca="false">Sens!$J$3552*Sens!$J$3579</f>
        <v>73.7143902201921</v>
      </c>
      <c r="K3578" s="38" t="n">
        <f aca="false">Sens!$K$3552*Sens!$K$3579</f>
        <v>81.8229731444133</v>
      </c>
      <c r="L3578" s="38" t="n">
        <f aca="false">Sens!$L$3552*Sens!$L$3579</f>
        <v>90.8235001902987</v>
      </c>
      <c r="M3578" s="38" t="n">
        <f aca="false">Sens!$M$3552*Sens!$M$3579</f>
        <v>100.814085211232</v>
      </c>
      <c r="N3578" s="38" t="n">
        <f aca="false">Sens!$N$3577-Sens!$N$3573</f>
        <v>20.0277839996292</v>
      </c>
      <c r="O3578" s="38" t="n">
        <f aca="false">Sens!$O$3577-Sens!$O$3573</f>
        <v>20.1869652626414</v>
      </c>
      <c r="P3578" s="5" t="s">
        <v>661</v>
      </c>
    </row>
    <row r="3579" customFormat="false" ht="17.15" hidden="false" customHeight="false" outlineLevel="0" collapsed="false">
      <c r="A3579" s="0" t="s">
        <v>662</v>
      </c>
      <c r="B3579" s="0" t="s">
        <v>52</v>
      </c>
      <c r="C3579" s="13" t="n">
        <f aca="false">Sens!$C$3578/Sens!$C$3552</f>
        <v>0.362900395443635</v>
      </c>
      <c r="D3579" s="13" t="n">
        <f aca="false">Sens!$D$3578/Sens!$D$3552</f>
        <v>0.335063632425483</v>
      </c>
      <c r="E3579" s="13" t="n">
        <f aca="false">Sens!$E$3578/Sens!$E$3552</f>
        <v>0.397638855555478</v>
      </c>
      <c r="F3579" s="13" t="n">
        <f aca="false">(Sens!$O$3578+Sens!$E$3578)/(Sens!$O$3552+Sens!$E$3552)</f>
        <v>0.361616727338133</v>
      </c>
      <c r="G3579" s="13" t="n">
        <f aca="false">Sens!$G$3578/Sens!$G$3552</f>
        <v>0.379569803149143</v>
      </c>
      <c r="H3579" s="13" t="n">
        <f aca="false">Sens!$F$3579</f>
        <v>0.361616727338133</v>
      </c>
      <c r="I3579" s="13" t="n">
        <f aca="false">Sens!$F$3579</f>
        <v>0.361616727338133</v>
      </c>
      <c r="J3579" s="13" t="n">
        <f aca="false">Sens!$F$3579</f>
        <v>0.361616727338133</v>
      </c>
      <c r="K3579" s="13" t="n">
        <f aca="false">Sens!$F$3579</f>
        <v>0.361616727338133</v>
      </c>
      <c r="L3579" s="13" t="n">
        <f aca="false">Sens!$F$3579</f>
        <v>0.361616727338133</v>
      </c>
      <c r="M3579" s="13" t="n">
        <f aca="false">Sens!$F$3579</f>
        <v>0.361616727338133</v>
      </c>
      <c r="N3579" s="13" t="n">
        <f aca="false">Sens!$N$3578/Sens!$N$3552</f>
        <v>0.35078810535806</v>
      </c>
      <c r="O3579" s="13" t="n">
        <f aca="false">Sens!$O$3578/Sens!$O$3552</f>
        <v>0.320796939361619</v>
      </c>
      <c r="P3579" s="8" t="s">
        <v>663</v>
      </c>
    </row>
    <row r="3580" customFormat="false" ht="17.15" hidden="false" customHeight="false" outlineLevel="0" collapsed="false">
      <c r="A3580" s="0" t="s">
        <v>664</v>
      </c>
      <c r="B3580" s="0" t="s">
        <v>52</v>
      </c>
      <c r="D3580" s="13" t="n">
        <f aca="false">(Q!$E$31-ext_sh*Sens!$D$3569)/Sens!$D$3552</f>
        <v>0.167180325480118</v>
      </c>
    </row>
    <row r="3581" customFormat="false" ht="17.15" hidden="false" customHeight="false" outlineLevel="0" collapsed="false">
      <c r="A3581" s="0" t="s">
        <v>665</v>
      </c>
      <c r="B3581" s="0" t="s">
        <v>86</v>
      </c>
      <c r="C3581" s="38" t="n">
        <f aca="false">Q!$D$31</f>
        <v>13.32</v>
      </c>
      <c r="D3581" s="38" t="n">
        <f aca="false">Q!$E$31</f>
        <v>21.45</v>
      </c>
      <c r="E3581" s="38" t="n">
        <f aca="false">Q!$P$31</f>
        <v>15.353</v>
      </c>
      <c r="F3581" s="38" t="n">
        <f aca="false">ext_sh*Sens!$F$3569+Sens!$D$3580*Sens!$F$3552</f>
        <v>16.1969869840094</v>
      </c>
      <c r="G3581" s="38" t="n">
        <f aca="false">Sens!$E$3581+Sens!$F$3581</f>
        <v>31.5499869840094</v>
      </c>
      <c r="H3581" s="38" t="n">
        <f aca="false">ext_sh*Sens!$H$3569+Sens!$D$3580*Sens!$H$3552</f>
        <v>51.1350199938039</v>
      </c>
      <c r="I3581" s="38" t="n">
        <f aca="false">ext_sh*Sens!$I$3569+Sens!$D$3580*Sens!$I$3552</f>
        <v>80.0702334826635</v>
      </c>
      <c r="J3581" s="38" t="n">
        <f aca="false">ext_sh*Sens!$J$3569+Sens!$D$3580*Sens!$J$3552</f>
        <v>106.645473742157</v>
      </c>
      <c r="K3581" s="38" t="n">
        <f aca="false">ext_sh*Sens!$K$3569+Sens!$D$3580*Sens!$K$3552</f>
        <v>133.934362396215</v>
      </c>
      <c r="L3581" s="38" t="n">
        <f aca="false">ext_sh*Sens!$L$3569+Sens!$D$3580*Sens!$L$3552</f>
        <v>154.653335008285</v>
      </c>
      <c r="M3581" s="38" t="n">
        <f aca="false">ext_sh*Sens!$M$3569+Sens!$D$3580*Sens!$M$3552</f>
        <v>168.777030600295</v>
      </c>
      <c r="N3581" s="38" t="n">
        <f aca="false">Q!$N$31</f>
        <v>9.234</v>
      </c>
      <c r="O3581" s="38" t="n">
        <f aca="false">Q!$O$31</f>
        <v>12.216</v>
      </c>
    </row>
    <row r="3582" customFormat="false" ht="17.15" hidden="false" customHeight="false" outlineLevel="0" collapsed="false">
      <c r="A3582" s="1" t="s">
        <v>666</v>
      </c>
    </row>
    <row r="3583" customFormat="false" ht="17.15" hidden="false" customHeight="false" outlineLevel="0" collapsed="false">
      <c r="A3583" s="15" t="s">
        <v>667</v>
      </c>
      <c r="B3583" s="14" t="s">
        <v>52</v>
      </c>
      <c r="C3583" s="14"/>
      <c r="D3583" s="14"/>
      <c r="E3583" s="14"/>
      <c r="F3583" s="14"/>
      <c r="G3583" s="17" t="n">
        <f aca="false">Sens!$G$3573*(1-tax)/(ext_sh*(Sens!$D$3570+Sens!$G$3570)/2)</f>
        <v>0.0620504069546486</v>
      </c>
      <c r="H3583" s="17" t="n">
        <f aca="false">Sens!$H$3573*(1-tax)/(ext_sh*(Sens!$G$3570+Sens!$H$3570)/2)</f>
        <v>0.0755420551527686</v>
      </c>
      <c r="I3583" s="17" t="n">
        <f aca="false">Sens!$I$3573*(1-tax)/(ext_sh*(Sens!$H$3570+Sens!$I$3570)/2)</f>
        <v>0.067127575356291</v>
      </c>
      <c r="J3583" s="17" t="n">
        <f aca="false">Sens!$J$3573*(1-tax)/(ext_sh*(Sens!$I$3570+Sens!$J$3570)/2)</f>
        <v>0.0700332392906535</v>
      </c>
      <c r="K3583" s="17" t="n">
        <f aca="false">Sens!$K$3573*(1-tax)/(ext_sh*(Sens!$J$3570+Sens!$K$3570)/2)</f>
        <v>0.0693622290093833</v>
      </c>
      <c r="L3583" s="17" t="n">
        <f aca="false">Sens!$L$3573*(1-tax)/(ext_sh*(Sens!$K$3570+Sens!$L$3570)/2)</f>
        <v>0.0711010638813626</v>
      </c>
      <c r="M3583" s="17" t="n">
        <f aca="false">Sens!$M$3573*(1-tax)/(ext_sh*(Sens!$L$3570+Sens!$M$3570)/2)</f>
        <v>0.071677531066401</v>
      </c>
      <c r="N3583" s="14"/>
      <c r="O3583" s="14"/>
      <c r="P3583" s="8" t="s">
        <v>668</v>
      </c>
    </row>
    <row r="3584" customFormat="false" ht="17.15" hidden="false" customHeight="false" outlineLevel="0" collapsed="false">
      <c r="A3584" s="5" t="s">
        <v>669</v>
      </c>
      <c r="B3584" s="0" t="s">
        <v>57</v>
      </c>
      <c r="H3584" s="36" t="n">
        <f aca="false">Sens!$H$3548*1000/(mw_open*he_open+Sens!$H$3546*Sens!$H$3543)</f>
        <v>0.991949006767191</v>
      </c>
      <c r="I3584" s="36" t="n">
        <f aca="false">Sens!$I$3548*1000/(mw_open*he_open+Sens!$I$3546*Sens!$I$3543)</f>
        <v>0.991949006767191</v>
      </c>
      <c r="J3584" s="36" t="n">
        <f aca="false">Sens!$J$3548*1000/(mw_open*he_open+Sens!$J$3546*Sens!$J$3543)</f>
        <v>0.991949006767191</v>
      </c>
      <c r="K3584" s="36" t="n">
        <f aca="false">Sens!$K$3548*1000/(mw_open*he_open+Sens!$K$3546*Sens!$K$3543)</f>
        <v>0.991949006767191</v>
      </c>
      <c r="L3584" s="36" t="n">
        <f aca="false">Sens!$L$3548*1000/(mw_open*he_open+Sens!$L$3546*Sens!$L$3543)</f>
        <v>0.991949006767191</v>
      </c>
      <c r="M3584" s="36" t="n">
        <f aca="false">Sens!$M$3548*1000/(mw_open*he_open+Sens!$M$3546*Sens!$M$3543)</f>
        <v>0.991949006767191</v>
      </c>
    </row>
    <row r="3585" customFormat="false" ht="17.15" hidden="false" customHeight="false" outlineLevel="0" collapsed="false">
      <c r="A3585" s="5" t="s">
        <v>670</v>
      </c>
      <c r="B3585" s="0" t="s">
        <v>57</v>
      </c>
      <c r="H3585" s="36" t="n">
        <f aca="false">Sens!$H$3584*(Sens!$H$3548+wacc*ext_sh*(Sens!$G$3570+Sens!$H$3570)/2/(1-tax)-Sens!$H$3573)/Sens!$H$3548</f>
        <v>1.18542857552197</v>
      </c>
      <c r="I3585" s="36" t="n">
        <f aca="false">Sens!$I$3584*(Sens!$I$3548+wacc*ext_sh*(Sens!$H$3570+Sens!$I$3570)/2/(1-tax)-Sens!$I$3573)/Sens!$I$3548</f>
        <v>1.20015476648903</v>
      </c>
      <c r="J3585" s="36" t="n">
        <f aca="false">Sens!$J$3584*(Sens!$J$3548+wacc*ext_sh*(Sens!$I$3570+Sens!$J$3570)/2/(1-tax)-Sens!$J$3573)/Sens!$J$3548</f>
        <v>1.16844056931249</v>
      </c>
      <c r="K3585" s="36" t="n">
        <f aca="false">Sens!$K$3584*(Sens!$K$3548+wacc*ext_sh*(Sens!$J$3570+Sens!$K$3570)/2/(1-tax)-Sens!$K$3573)/Sens!$K$3548</f>
        <v>1.15383758356873</v>
      </c>
      <c r="L3585" s="36" t="n">
        <f aca="false">Sens!$L$3584*(Sens!$L$3548+wacc*ext_sh*(Sens!$K$3570+Sens!$L$3570)/2/(1-tax)-Sens!$L$3573)/Sens!$L$3548</f>
        <v>1.13212765595665</v>
      </c>
      <c r="M3585" s="36" t="n">
        <f aca="false">Sens!$M$3584*(Sens!$M$3548+wacc*ext_sh*(Sens!$L$3570+Sens!$M$3570)/2/(1-tax)-Sens!$M$3573)/Sens!$M$3548</f>
        <v>1.12024635139935</v>
      </c>
    </row>
    <row r="3586" customFormat="false" ht="17.15" hidden="false" customHeight="false" outlineLevel="0" collapsed="false">
      <c r="A3586" s="5" t="s">
        <v>671</v>
      </c>
      <c r="B3586" s="0" t="s">
        <v>52</v>
      </c>
      <c r="C3586" s="13" t="n">
        <f aca="false">Sens!$C$3549/tk_pq</f>
        <v>0.195316432429398</v>
      </c>
      <c r="D3586" s="13" t="n">
        <f aca="false">Sens!$D$3549/tk_pq</f>
        <v>0.195316432429398</v>
      </c>
      <c r="E3586" s="13" t="n">
        <f aca="false">Sens!$E$3549/tk_pq</f>
        <v>0.195316432429398</v>
      </c>
      <c r="F3586" s="13" t="n">
        <f aca="false">Sens!$F$3549/tk_pq</f>
        <v>0.202241827274866</v>
      </c>
      <c r="G3586" s="13" t="n">
        <f aca="false">Sens!$G$3549/tk_pq</f>
        <v>0.199675016194063</v>
      </c>
      <c r="H3586" s="13" t="n">
        <f aca="false">Sens!$H$3549/tk_pq</f>
        <v>0.212647947710325</v>
      </c>
      <c r="I3586" s="13" t="n">
        <f aca="false">Sens!$I$3549/tk_pq</f>
        <v>0.219285125475351</v>
      </c>
      <c r="J3586" s="13" t="n">
        <f aca="false">Sens!$J$3549/tk_pq</f>
        <v>0.222492493217189</v>
      </c>
      <c r="K3586" s="13" t="n">
        <f aca="false">Sens!$K$3549/tk_pq</f>
        <v>0.224053502812094</v>
      </c>
      <c r="L3586" s="13" t="n">
        <f aca="false">Sens!$L$3549/tk_pq</f>
        <v>0.224786916785614</v>
      </c>
      <c r="M3586" s="13" t="n">
        <f aca="false">Sens!$M$3549/tk_pq</f>
        <v>0.225048671566937</v>
      </c>
      <c r="N3586" s="13" t="n">
        <f aca="false">Sens!$N$3549/tk_pq</f>
        <v>0.195316432429398</v>
      </c>
      <c r="O3586" s="13" t="n">
        <f aca="false">Sens!$O$3549/tk_pq</f>
        <v>0.195316432429398</v>
      </c>
      <c r="P3586" s="5" t="s">
        <v>672</v>
      </c>
    </row>
    <row r="3589" customFormat="false" ht="17.15" hidden="false" customHeight="false" outlineLevel="0" collapsed="false">
      <c r="A3589" s="1" t="s">
        <v>701</v>
      </c>
    </row>
    <row r="3590" customFormat="false" ht="17.15" hidden="false" customHeight="false" outlineLevel="0" collapsed="false">
      <c r="A3590" s="0" t="s">
        <v>702</v>
      </c>
      <c r="B3590" s="0" t="s">
        <v>86</v>
      </c>
      <c r="C3590" s="38" t="n">
        <f aca="false">Sens!$C$3548</f>
        <v>2.32100535697364</v>
      </c>
      <c r="D3590" s="38" t="n">
        <f aca="false">Sens!$D$3548</f>
        <v>8.70377008865116</v>
      </c>
      <c r="E3590" s="38" t="n">
        <f aca="false">Sens!$E$3548</f>
        <v>8.51035297557002</v>
      </c>
      <c r="F3590" s="38" t="n">
        <f aca="false">Sens!$F$3548</f>
        <v>14.9634336447205</v>
      </c>
      <c r="G3590" s="38" t="n">
        <f aca="false">Sens!$G$3548</f>
        <v>23.4737866202905</v>
      </c>
      <c r="H3590" s="38" t="n">
        <f aca="false">Sens!$H$3548</f>
        <v>60.1658907497746</v>
      </c>
      <c r="I3590" s="38" t="n">
        <f aca="false">Sens!$I$3548</f>
        <v>101.503699136432</v>
      </c>
      <c r="J3590" s="38" t="n">
        <f aca="false">Sens!$J$3548</f>
        <v>143.025407151278</v>
      </c>
      <c r="K3590" s="38" t="n">
        <f aca="false">Sens!$K$3548</f>
        <v>178.44812038318</v>
      </c>
      <c r="L3590" s="38" t="n">
        <f aca="false">Sens!$L$3548</f>
        <v>201.728101802396</v>
      </c>
      <c r="M3590" s="38" t="n">
        <f aca="false">Sens!$M$3548</f>
        <v>212.835441368865</v>
      </c>
      <c r="N3590" s="38" t="n">
        <f aca="false">Sens!$N$3548</f>
        <v>3.04631953102791</v>
      </c>
      <c r="O3590" s="38" t="n">
        <f aca="false">Sens!$O$3548</f>
        <v>5.65745055762326</v>
      </c>
      <c r="P3590" s="8" t="s">
        <v>703</v>
      </c>
    </row>
    <row r="3591" customFormat="false" ht="17.15" hidden="false" customHeight="false" outlineLevel="0" collapsed="false">
      <c r="A3591" s="0" t="s">
        <v>704</v>
      </c>
      <c r="B3591" s="0" t="s">
        <v>86</v>
      </c>
      <c r="C3591" s="38" t="n">
        <f aca="false">Sens!$C$3552</f>
        <v>105.234994643026</v>
      </c>
      <c r="D3591" s="38" t="n">
        <f aca="false">Sens!$D$3552</f>
        <v>120.021229911349</v>
      </c>
      <c r="E3591" s="38" t="n">
        <f aca="false">Sens!$E$3552</f>
        <v>71.30864702443</v>
      </c>
      <c r="F3591" s="38" t="n">
        <f aca="false">Sens!$F$3552</f>
        <v>71.7692997942464</v>
      </c>
      <c r="G3591" s="38" t="n">
        <f aca="false">Sens!$G$3552</f>
        <v>143.077946818676</v>
      </c>
      <c r="H3591" s="38" t="n">
        <f aca="false">Sens!$H$3552</f>
        <v>162.090161680343</v>
      </c>
      <c r="I3591" s="38" t="n">
        <f aca="false">Sens!$I$3552</f>
        <v>182.392507788469</v>
      </c>
      <c r="J3591" s="38" t="n">
        <f aca="false">Sens!$J$3552</f>
        <v>203.846737850887</v>
      </c>
      <c r="K3591" s="38" t="n">
        <f aca="false">Sens!$K$3552</f>
        <v>226.269879014485</v>
      </c>
      <c r="L3591" s="38" t="n">
        <f aca="false">Sens!$L$3552</f>
        <v>251.159565706078</v>
      </c>
      <c r="M3591" s="38" t="n">
        <f aca="false">Sens!$M$3552</f>
        <v>278.787117933747</v>
      </c>
      <c r="N3591" s="38" t="n">
        <f aca="false">Sens!$N$3552</f>
        <v>57.0936804689721</v>
      </c>
      <c r="O3591" s="38" t="n">
        <f aca="false">Sens!$O$3552</f>
        <v>62.9275494423768</v>
      </c>
      <c r="P3591" s="8" t="s">
        <v>703</v>
      </c>
    </row>
    <row r="3592" customFormat="false" ht="17.15" hidden="false" customHeight="false" outlineLevel="0" collapsed="false">
      <c r="A3592" s="1" t="s">
        <v>523</v>
      </c>
      <c r="B3592" s="8" t="s">
        <v>86</v>
      </c>
      <c r="C3592" s="38" t="n">
        <f aca="false">Q!$D$7</f>
        <v>107.556</v>
      </c>
      <c r="D3592" s="38" t="n">
        <f aca="false">Q!$E$7</f>
        <v>128.725</v>
      </c>
      <c r="E3592" s="38" t="n">
        <f aca="false">Q!$P$7</f>
        <v>79.819</v>
      </c>
      <c r="F3592" s="38" t="n">
        <f aca="false">Sens!$F$3590+Sens!$F$3591</f>
        <v>86.7327334389669</v>
      </c>
      <c r="G3592" s="38" t="n">
        <f aca="false">Sens!$G$3590+Sens!$G$3591</f>
        <v>166.551733438967</v>
      </c>
      <c r="H3592" s="38" t="n">
        <f aca="false">Sens!$H$3590+Sens!$H$3591</f>
        <v>222.256052430118</v>
      </c>
      <c r="I3592" s="38" t="n">
        <f aca="false">Sens!$I$3590+Sens!$I$3591</f>
        <v>283.896206924901</v>
      </c>
      <c r="J3592" s="38" t="n">
        <f aca="false">Sens!$J$3590+Sens!$J$3591</f>
        <v>346.872145002165</v>
      </c>
      <c r="K3592" s="38" t="n">
        <f aca="false">Sens!$K$3590+Sens!$K$3591</f>
        <v>404.717999397665</v>
      </c>
      <c r="L3592" s="38" t="n">
        <f aca="false">Sens!$L$3590+Sens!$L$3591</f>
        <v>452.887667508475</v>
      </c>
      <c r="M3592" s="38" t="n">
        <f aca="false">Sens!$M$3590+Sens!$M$3591</f>
        <v>491.622559302612</v>
      </c>
      <c r="N3592" s="38" t="n">
        <f aca="false">Q!$N$7</f>
        <v>60.14</v>
      </c>
      <c r="O3592" s="38" t="n">
        <f aca="false">Q!$O$7</f>
        <v>68.585</v>
      </c>
      <c r="P3592" s="5" t="s">
        <v>705</v>
      </c>
    </row>
    <row r="3593" customFormat="false" ht="15" hidden="false" customHeight="false" outlineLevel="0" collapsed="false">
      <c r="A3593" s="3" t="s">
        <v>706</v>
      </c>
      <c r="B3593" s="8" t="s">
        <v>86</v>
      </c>
      <c r="C3593" s="38" t="n">
        <f aca="false">Q!$D$8</f>
        <v>637.959</v>
      </c>
      <c r="D3593" s="38" t="n">
        <f aca="false">Q!$E$8</f>
        <v>716.924</v>
      </c>
      <c r="E3593" s="38" t="n">
        <f aca="false">Q!$P$8</f>
        <v>382.125</v>
      </c>
      <c r="F3593" s="38" t="n">
        <f aca="false">Sens!$F$3520+Sens!$F$3592</f>
        <v>435.780975084504</v>
      </c>
      <c r="G3593" s="38" t="n">
        <f aca="false">Sens!$G$3520+Sens!$G$3592</f>
        <v>817.905975084504</v>
      </c>
      <c r="H3593" s="38" t="n">
        <f aca="false">Sens!$H$3520+Sens!$H$3592</f>
        <v>943.352941951504</v>
      </c>
      <c r="I3593" s="38" t="n">
        <f aca="false">Sens!$I$3520+Sens!$I$3592</f>
        <v>1072.42559807743</v>
      </c>
      <c r="J3593" s="38" t="n">
        <f aca="false">Sens!$J$3520+Sens!$J$3592</f>
        <v>1197.98055074361</v>
      </c>
      <c r="K3593" s="38" t="n">
        <f aca="false">Sens!$K$3520+Sens!$K$3592</f>
        <v>1310.89445482875</v>
      </c>
      <c r="L3593" s="38" t="n">
        <f aca="false">Sens!$L$3520+Sens!$L$3592</f>
        <v>1417.98077398406</v>
      </c>
      <c r="M3593" s="38" t="n">
        <f aca="false">Sens!$M$3520+Sens!$M$3592</f>
        <v>1519.7704672495</v>
      </c>
      <c r="N3593" s="38" t="n">
        <f aca="false">Q!$N$8</f>
        <v>323.369</v>
      </c>
      <c r="O3593" s="38" t="n">
        <f aca="false">Q!$O$8</f>
        <v>393.555</v>
      </c>
    </row>
    <row r="3594" customFormat="false" ht="17.15" hidden="false" customHeight="false" outlineLevel="0" collapsed="false">
      <c r="A3594" s="24" t="s">
        <v>714</v>
      </c>
      <c r="B3594" s="25" t="s">
        <v>86</v>
      </c>
      <c r="C3594" s="41" t="n">
        <f aca="false">Sens!$C$3520-(Sens!$C$3522+Sens!$C$3523)</f>
        <v>0</v>
      </c>
      <c r="D3594" s="41" t="n">
        <f aca="false">Sens!$D$3520-(Sens!$D$3522+Sens!$D$3523)</f>
        <v>0</v>
      </c>
      <c r="E3594" s="41" t="n">
        <f aca="false">Sens!$E$3520-(Sens!$E$3522+Sens!$E$3523)</f>
        <v>0</v>
      </c>
      <c r="F3594" s="41" t="n">
        <f aca="false">Sens!$F$3520-(Sens!$F$3522+Sens!$F$3523)</f>
        <v>0</v>
      </c>
      <c r="G3594" s="41" t="n">
        <f aca="false">Sens!$G$3520-(Sens!$G$3522+Sens!$G$3523)</f>
        <v>0</v>
      </c>
      <c r="H3594" s="41" t="n">
        <f aca="false">Sens!$H$3520-(Sens!$H$3522+Sens!$H$3523)</f>
        <v>0</v>
      </c>
      <c r="I3594" s="41" t="n">
        <f aca="false">Sens!$I$3520-(Sens!$I$3522+Sens!$I$3523)</f>
        <v>0</v>
      </c>
      <c r="J3594" s="41" t="n">
        <f aca="false">Sens!$J$3520-(Sens!$J$3522+Sens!$J$3523)</f>
        <v>0</v>
      </c>
      <c r="K3594" s="41" t="n">
        <f aca="false">Sens!$K$3520-(Sens!$K$3522+Sens!$K$3523)</f>
        <v>0</v>
      </c>
      <c r="L3594" s="41" t="n">
        <f aca="false">Sens!$L$3520-(Sens!$L$3522+Sens!$L$3523)</f>
        <v>0</v>
      </c>
      <c r="M3594" s="41" t="n">
        <f aca="false">Sens!$M$3520-(Sens!$M$3522+Sens!$M$3523)</f>
        <v>0</v>
      </c>
      <c r="N3594" s="41" t="n">
        <f aca="false">Sens!$N$3520-(Sens!$N$3522+Sens!$N$3523)</f>
        <v>0</v>
      </c>
      <c r="O3594" s="41" t="n">
        <f aca="false">Sens!$O$3520-(Sens!$O$3522+Sens!$O$3523)</f>
        <v>0</v>
      </c>
    </row>
    <row r="3595" customFormat="false" ht="17.15" hidden="false" customHeight="false" outlineLevel="0" collapsed="false">
      <c r="A3595" s="24" t="s">
        <v>715</v>
      </c>
      <c r="B3595" s="25" t="s">
        <v>86</v>
      </c>
      <c r="C3595" s="41" t="n">
        <f aca="false">Sens!$C$3590+Sens!$C$3591-Sens!$C$3592</f>
        <v>0</v>
      </c>
      <c r="D3595" s="41" t="n">
        <f aca="false">Sens!$D$3590+Sens!$D$3591-Sens!$D$3592</f>
        <v>0</v>
      </c>
      <c r="E3595" s="41" t="n">
        <f aca="false">Sens!$E$3590+Sens!$E$3591-Sens!$E$3592</f>
        <v>0</v>
      </c>
      <c r="F3595" s="41" t="n">
        <f aca="false">Sens!$F$3590+Sens!$F$3591-Sens!$F$3592</f>
        <v>0</v>
      </c>
      <c r="G3595" s="41" t="n">
        <f aca="false">Sens!$G$3590+Sens!$G$3591-Sens!$G$3592</f>
        <v>0</v>
      </c>
      <c r="H3595" s="41" t="n">
        <f aca="false">Sens!$H$3590+Sens!$H$3591-Sens!$H$3592</f>
        <v>0</v>
      </c>
      <c r="I3595" s="41" t="n">
        <f aca="false">Sens!$I$3590+Sens!$I$3591-Sens!$I$3592</f>
        <v>0</v>
      </c>
      <c r="J3595" s="41" t="n">
        <f aca="false">Sens!$J$3590+Sens!$J$3591-Sens!$J$3592</f>
        <v>0</v>
      </c>
      <c r="K3595" s="41" t="n">
        <f aca="false">Sens!$K$3590+Sens!$K$3591-Sens!$K$3592</f>
        <v>0</v>
      </c>
      <c r="L3595" s="41" t="n">
        <f aca="false">Sens!$L$3590+Sens!$L$3591-Sens!$L$3592</f>
        <v>0</v>
      </c>
      <c r="M3595" s="41" t="n">
        <f aca="false">Sens!$M$3590+Sens!$M$3591-Sens!$M$3592</f>
        <v>0</v>
      </c>
      <c r="N3595" s="41" t="n">
        <f aca="false">Sens!$N$3590+Sens!$N$3591-Sens!$N$3592</f>
        <v>0</v>
      </c>
      <c r="O3595" s="41" t="n">
        <f aca="false">Sens!$O$3590+Sens!$O$3591-Sens!$O$3592</f>
        <v>0</v>
      </c>
    </row>
    <row r="3596" customFormat="false" ht="17.15" hidden="false" customHeight="false" outlineLevel="0" collapsed="false">
      <c r="A3596" s="24" t="s">
        <v>716</v>
      </c>
      <c r="B3596" s="25" t="s">
        <v>86</v>
      </c>
      <c r="C3596" s="41" t="n">
        <f aca="false">Sens!$C$3522+Sens!$C$3523+Sens!$C$3592-Sens!$C$3593</f>
        <v>0</v>
      </c>
      <c r="D3596" s="41" t="n">
        <f aca="false">Sens!$D$3522+Sens!$D$3523+Sens!$D$3592-Sens!$D$3593</f>
        <v>0</v>
      </c>
      <c r="E3596" s="41" t="n">
        <f aca="false">Sens!$E$3522+Sens!$E$3523+Sens!$E$3592-Sens!$E$3593</f>
        <v>0</v>
      </c>
      <c r="F3596" s="41" t="n">
        <f aca="false">Sens!$F$3522+Sens!$F$3523+Sens!$F$3592-Sens!$F$3593</f>
        <v>0</v>
      </c>
      <c r="G3596" s="41" t="n">
        <f aca="false">Sens!$G$3522+Sens!$G$3523+Sens!$G$3592-Sens!$G$3593</f>
        <v>0</v>
      </c>
      <c r="H3596" s="41" t="n">
        <f aca="false">Sens!$H$3522+Sens!$H$3523+Sens!$H$3592-Sens!$H$3593</f>
        <v>0</v>
      </c>
      <c r="I3596" s="41" t="n">
        <f aca="false">Sens!$I$3522+Sens!$I$3523+Sens!$I$3592-Sens!$I$3593</f>
        <v>0</v>
      </c>
      <c r="J3596" s="41" t="n">
        <f aca="false">Sens!$J$3522+Sens!$J$3523+Sens!$J$3592-Sens!$J$3593</f>
        <v>0</v>
      </c>
      <c r="K3596" s="41" t="n">
        <f aca="false">Sens!$K$3522+Sens!$K$3523+Sens!$K$3592-Sens!$K$3593</f>
        <v>0</v>
      </c>
      <c r="L3596" s="41" t="n">
        <f aca="false">Sens!$L$3522+Sens!$L$3523+Sens!$L$3592-Sens!$L$3593</f>
        <v>0</v>
      </c>
      <c r="M3596" s="41" t="n">
        <f aca="false">Sens!$M$3522+Sens!$M$3523+Sens!$M$3592-Sens!$M$3593</f>
        <v>0</v>
      </c>
      <c r="N3596" s="41" t="n">
        <f aca="false">Sens!$N$3522+Sens!$N$3523+Sens!$N$3592-Sens!$N$3593</f>
        <v>0</v>
      </c>
      <c r="O3596" s="41" t="n">
        <f aca="false">Sens!$O$3522+Sens!$O$3523+Sens!$O$3592-Sens!$O$3593</f>
        <v>0</v>
      </c>
    </row>
    <row r="3597" customFormat="false" ht="15" hidden="false" customHeight="false" outlineLevel="0" collapsed="false">
      <c r="A3597" s="5" t="s">
        <v>710</v>
      </c>
      <c r="B3597" s="0" t="s">
        <v>52</v>
      </c>
      <c r="G3597" s="13" t="n">
        <f aca="false">Sens!$G$3593/Sens!$D$3593-1</f>
        <v>0.140854504918937</v>
      </c>
      <c r="H3597" s="13" t="n">
        <f aca="false">Sens!$H$3593/Sens!$G$3593-1</f>
        <v>0.153375779965465</v>
      </c>
      <c r="I3597" s="13" t="n">
        <f aca="false">Sens!$I$3593/Sens!$H$3593-1</f>
        <v>0.136823293155706</v>
      </c>
      <c r="J3597" s="13" t="n">
        <f aca="false">Sens!$J$3593/Sens!$I$3593-1</f>
        <v>0.117075676756748</v>
      </c>
      <c r="K3597" s="13" t="n">
        <f aca="false">Sens!$K$3593/Sens!$J$3593-1</f>
        <v>0.094253536933514</v>
      </c>
      <c r="L3597" s="13" t="n">
        <f aca="false">Sens!$L$3593/Sens!$K$3593-1</f>
        <v>0.0816895050252546</v>
      </c>
      <c r="M3597" s="13" t="n">
        <f aca="false">Sens!$M$3593/Sens!$L$3593-1</f>
        <v>0.0717849600876033</v>
      </c>
    </row>
    <row r="3598" customFormat="false" ht="17.15" hidden="false" customHeight="false" outlineLevel="0" collapsed="false">
      <c r="A3598" s="0" t="s">
        <v>711</v>
      </c>
      <c r="B3598" s="0" t="s">
        <v>52</v>
      </c>
      <c r="C3598" s="13" t="n">
        <f aca="false">Sens!$C$3592/Sens!$C$3593</f>
        <v>0.168593906504964</v>
      </c>
      <c r="D3598" s="13" t="n">
        <f aca="false">Sens!$D$3592/Sens!$D$3593</f>
        <v>0.179551807444025</v>
      </c>
      <c r="E3598" s="13" t="n">
        <f aca="false">Sens!$E$3592/Sens!$E$3593</f>
        <v>0.208881910369643</v>
      </c>
      <c r="F3598" s="13" t="n">
        <f aca="false">Sens!$F$3592/Sens!$F$3593</f>
        <v>0.199028269699356</v>
      </c>
      <c r="G3598" s="13" t="n">
        <f aca="false">Sens!$G$3592/Sens!$G$3593</f>
        <v>0.203631882529968</v>
      </c>
      <c r="H3598" s="13" t="n">
        <f aca="false">Sens!$H$3592/Sens!$H$3593</f>
        <v>0.235602225366827</v>
      </c>
      <c r="I3598" s="13" t="n">
        <f aca="false">Sens!$I$3592/Sens!$I$3593</f>
        <v>0.264723452548923</v>
      </c>
      <c r="J3598" s="13" t="n">
        <f aca="false">Sens!$J$3592/Sens!$J$3593</f>
        <v>0.289547392724244</v>
      </c>
      <c r="K3598" s="13" t="n">
        <f aca="false">Sens!$K$3592/Sens!$K$3593</f>
        <v>0.3087342370752</v>
      </c>
      <c r="L3598" s="13" t="n">
        <f aca="false">Sens!$L$3592/Sens!$L$3593</f>
        <v>0.319389145337992</v>
      </c>
      <c r="M3598" s="13" t="n">
        <f aca="false">Sens!$M$3592/Sens!$M$3593</f>
        <v>0.323484743187803</v>
      </c>
      <c r="N3598" s="13" t="n">
        <f aca="false">Sens!$N$3592/Sens!$N$3593</f>
        <v>0.185979484737251</v>
      </c>
      <c r="O3598" s="13" t="n">
        <f aca="false">Sens!$O$3592/Sens!$O$3593</f>
        <v>0.174270432341096</v>
      </c>
    </row>
    <row r="3599" customFormat="false" ht="17.15" hidden="false" customHeight="false" outlineLevel="0" collapsed="false">
      <c r="A3599" s="0" t="s">
        <v>712</v>
      </c>
      <c r="B3599" s="0" t="s">
        <v>52</v>
      </c>
      <c r="C3599" s="13" t="n">
        <f aca="false">Sens!$C$3590/Sens!$C$3592</f>
        <v>0.0215795060896058</v>
      </c>
      <c r="D3599" s="13" t="n">
        <f aca="false">Sens!$D$3590/Sens!$D$3592</f>
        <v>0.0676152269462122</v>
      </c>
      <c r="E3599" s="13" t="n">
        <f aca="false">Sens!$E$3590/Sens!$E$3592</f>
        <v>0.106620641395783</v>
      </c>
      <c r="F3599" s="13" t="n">
        <f aca="false">Sens!$F$3590/Sens!$F$3592</f>
        <v>0.172523487401099</v>
      </c>
      <c r="G3599" s="13" t="n">
        <f aca="false">Sens!$G$3590/Sens!$G$3592</f>
        <v>0.140939911795589</v>
      </c>
      <c r="H3599" s="13" t="n">
        <f aca="false">Sens!$H$3590/Sens!$H$3592</f>
        <v>0.270705297299798</v>
      </c>
      <c r="I3599" s="13" t="n">
        <f aca="false">Sens!$I$3590/Sens!$I$3592</f>
        <v>0.3575380602506</v>
      </c>
      <c r="J3599" s="13" t="n">
        <f aca="false">Sens!$J$3590/Sens!$J$3592</f>
        <v>0.412328891818008</v>
      </c>
      <c r="K3599" s="13" t="n">
        <f aca="false">Sens!$K$3590/Sens!$K$3592</f>
        <v>0.440919654299441</v>
      </c>
      <c r="L3599" s="13" t="n">
        <f aca="false">Sens!$L$3590/Sens!$L$3592</f>
        <v>0.445426352437874</v>
      </c>
      <c r="M3599" s="13" t="n">
        <f aca="false">Sens!$M$3590/Sens!$M$3592</f>
        <v>0.432924481070969</v>
      </c>
      <c r="N3599" s="13" t="n">
        <f aca="false">Sens!$N$3590/Sens!$N$3592</f>
        <v>0.0506537999838362</v>
      </c>
      <c r="O3599" s="13" t="n">
        <f aca="false">Sens!$O$3590/Sens!$O$3592</f>
        <v>0.0824881615167056</v>
      </c>
    </row>
    <row r="3602" customFormat="false" ht="19.4" hidden="false" customHeight="false" outlineLevel="0" collapsed="false">
      <c r="A3602" s="31" t="s">
        <v>1224</v>
      </c>
    </row>
    <row r="3603" customFormat="false" ht="17.15" hidden="false" customHeight="false" outlineLevel="0" collapsed="false">
      <c r="A3603" s="6" t="s">
        <v>16</v>
      </c>
      <c r="B3603" s="6" t="s">
        <v>17</v>
      </c>
      <c r="C3603" s="20" t="s">
        <v>504</v>
      </c>
      <c r="D3603" s="20" t="s">
        <v>505</v>
      </c>
      <c r="E3603" s="20" t="s">
        <v>587</v>
      </c>
      <c r="F3603" s="20" t="s">
        <v>588</v>
      </c>
      <c r="G3603" s="20" t="s">
        <v>589</v>
      </c>
      <c r="H3603" s="20" t="s">
        <v>590</v>
      </c>
      <c r="I3603" s="20" t="s">
        <v>591</v>
      </c>
      <c r="J3603" s="20" t="s">
        <v>592</v>
      </c>
      <c r="K3603" s="20" t="s">
        <v>593</v>
      </c>
      <c r="L3603" s="20" t="s">
        <v>594</v>
      </c>
      <c r="M3603" s="20" t="s">
        <v>595</v>
      </c>
      <c r="N3603" s="20" t="s">
        <v>596</v>
      </c>
      <c r="O3603" s="20" t="s">
        <v>597</v>
      </c>
      <c r="P3603" s="6" t="s">
        <v>23</v>
      </c>
      <c r="R3603" s="20" t="n">
        <v>2023</v>
      </c>
      <c r="S3603" s="20" t="n">
        <v>2024</v>
      </c>
      <c r="T3603" s="20" t="n">
        <v>2025</v>
      </c>
      <c r="U3603" s="20" t="n">
        <v>2026</v>
      </c>
      <c r="V3603" s="20" t="n">
        <v>2027</v>
      </c>
      <c r="W3603" s="20" t="n">
        <v>2028</v>
      </c>
      <c r="X3603" s="20" t="n">
        <v>2029</v>
      </c>
      <c r="Y3603" s="20" t="n">
        <v>2030</v>
      </c>
      <c r="Z3603" s="20" t="n">
        <v>2031</v>
      </c>
      <c r="AA3603" s="20" t="n">
        <v>2032</v>
      </c>
    </row>
    <row r="3604" customFormat="false" ht="17.15" hidden="false" customHeight="false" outlineLevel="0" collapsed="false">
      <c r="A3604" s="1" t="s">
        <v>727</v>
      </c>
    </row>
    <row r="3605" customFormat="false" ht="15" hidden="false" customHeight="false" outlineLevel="0" collapsed="false">
      <c r="A3605" s="0" t="s">
        <v>526</v>
      </c>
      <c r="B3605" s="0" t="s">
        <v>86</v>
      </c>
      <c r="C3605" s="38" t="n">
        <f aca="false">Sens!$C$3507</f>
        <v>247.029</v>
      </c>
      <c r="D3605" s="38" t="n">
        <f aca="false">Sens!$D$3507</f>
        <v>269.287</v>
      </c>
      <c r="E3605" s="38" t="n">
        <f aca="false">Sens!$E$3507</f>
        <v>134.686</v>
      </c>
      <c r="F3605" s="38" t="n">
        <f aca="false">Sens!$F$3507</f>
        <v>158.293876822267</v>
      </c>
      <c r="G3605" s="38" t="n">
        <f aca="false">Sens!$G$3507</f>
        <v>292.979876822267</v>
      </c>
      <c r="H3605" s="38" t="n">
        <f aca="false">Sens!$H$3507</f>
        <v>318.184543087396</v>
      </c>
      <c r="I3605" s="38" t="n">
        <f aca="false">Sens!$I$3507</f>
        <v>341.736278761793</v>
      </c>
      <c r="J3605" s="38" t="n">
        <f aca="false">Sens!$J$3507</f>
        <v>362.927192787048</v>
      </c>
      <c r="K3605" s="38" t="n">
        <f aca="false">Sens!$K$3507</f>
        <v>381.0735524264</v>
      </c>
      <c r="L3605" s="38" t="n">
        <f aca="false">Sens!$L$3507</f>
        <v>400.12723004772</v>
      </c>
      <c r="M3605" s="38" t="n">
        <f aca="false">Sens!$M$3507</f>
        <v>420.133591550106</v>
      </c>
      <c r="N3605" s="38" t="n">
        <f aca="false">Sens!$N$3507</f>
        <v>118.892</v>
      </c>
      <c r="O3605" s="38" t="n">
        <f aca="false">Sens!$O$3507</f>
        <v>150.395</v>
      </c>
    </row>
    <row r="3606" customFormat="false" ht="15" hidden="false" customHeight="false" outlineLevel="0" collapsed="false">
      <c r="A3606" s="0" t="s">
        <v>527</v>
      </c>
      <c r="B3606" s="0" t="s">
        <v>86</v>
      </c>
      <c r="C3606" s="38" t="n">
        <f aca="false">Sens!$C$3509</f>
        <v>21.215</v>
      </c>
      <c r="D3606" s="38" t="n">
        <f aca="false">Sens!$D$3509</f>
        <v>22.561</v>
      </c>
      <c r="E3606" s="38" t="n">
        <f aca="false">Sens!$E$3509</f>
        <v>11.579</v>
      </c>
      <c r="F3606" s="38" t="n">
        <f aca="false">Sens!$F$3509</f>
        <v>11.5938724610325</v>
      </c>
      <c r="G3606" s="38" t="n">
        <f aca="false">Sens!$G$3509</f>
        <v>23.1728724610325</v>
      </c>
      <c r="H3606" s="38" t="n">
        <f aca="false">Sens!$H$3509</f>
        <v>24.353392759506</v>
      </c>
      <c r="I3606" s="38" t="n">
        <f aca="false">Sens!$I$3509</f>
        <v>25.4240338872015</v>
      </c>
      <c r="J3606" s="38" t="n">
        <f aca="false">Sens!$J$3509</f>
        <v>26.3642491017174</v>
      </c>
      <c r="K3606" s="38" t="n">
        <f aca="false">Sens!$K$3509</f>
        <v>27.155176574769</v>
      </c>
      <c r="L3606" s="38" t="n">
        <f aca="false">Sens!$L$3509</f>
        <v>27.969831872012</v>
      </c>
      <c r="M3606" s="38" t="n">
        <f aca="false">Sens!$M$3509</f>
        <v>28.8089268281724</v>
      </c>
      <c r="N3606" s="38" t="n">
        <f aca="false">Sens!$N$3509</f>
        <v>11.128</v>
      </c>
      <c r="O3606" s="38" t="n">
        <f aca="false">Sens!$O$3509</f>
        <v>11.433</v>
      </c>
    </row>
    <row r="3607" customFormat="false" ht="15" hidden="false" customHeight="false" outlineLevel="0" collapsed="false">
      <c r="A3607" s="0" t="s">
        <v>528</v>
      </c>
      <c r="B3607" s="0" t="s">
        <v>86</v>
      </c>
      <c r="C3607" s="38" t="n">
        <f aca="false">Sens!$C$3511</f>
        <v>156.146</v>
      </c>
      <c r="D3607" s="38" t="n">
        <f aca="false">Sens!$D$3511</f>
        <v>172.162</v>
      </c>
      <c r="E3607" s="38" t="n">
        <f aca="false">Sens!$E$3511</f>
        <v>88.358</v>
      </c>
      <c r="F3607" s="38" t="n">
        <f aca="false">Sens!$F$3511</f>
        <v>102.004388260171</v>
      </c>
      <c r="G3607" s="38" t="n">
        <f aca="false">Sens!$G$3511</f>
        <v>190.362388260171</v>
      </c>
      <c r="H3607" s="38" t="n">
        <f aca="false">Sens!$H$3511</f>
        <v>210.343106588311</v>
      </c>
      <c r="I3607" s="38" t="n">
        <f aca="false">Sens!$I$3511</f>
        <v>229.969728494648</v>
      </c>
      <c r="J3607" s="38" t="n">
        <f aca="false">Sens!$J$3511</f>
        <v>248.747636972598</v>
      </c>
      <c r="K3607" s="38" t="n">
        <f aca="false">Sens!$K$3511</f>
        <v>266.15997156068</v>
      </c>
      <c r="L3607" s="38" t="n">
        <f aca="false">Sens!$L$3511</f>
        <v>284.791169569927</v>
      </c>
      <c r="M3607" s="38" t="n">
        <f aca="false">Sens!$M$3511</f>
        <v>304.726551439822</v>
      </c>
      <c r="N3607" s="38" t="n">
        <f aca="false">Sens!$N$3511</f>
        <v>76.86</v>
      </c>
      <c r="O3607" s="38" t="n">
        <f aca="false">Sens!$O$3511</f>
        <v>95.302</v>
      </c>
    </row>
    <row r="3608" customFormat="false" ht="15" hidden="false" customHeight="false" outlineLevel="0" collapsed="false">
      <c r="A3608" s="0" t="s">
        <v>529</v>
      </c>
      <c r="B3608" s="0" t="s">
        <v>86</v>
      </c>
      <c r="C3608" s="38" t="n">
        <f aca="false">Sens!$C$3513</f>
        <v>56.214</v>
      </c>
      <c r="D3608" s="38" t="n">
        <f aca="false">Sens!$D$3513</f>
        <v>68.635</v>
      </c>
      <c r="E3608" s="38" t="n">
        <f aca="false">Sens!$E$3513</f>
        <v>37.052</v>
      </c>
      <c r="F3608" s="38" t="n">
        <f aca="false">Sens!$F$3513</f>
        <v>46.1572219944148</v>
      </c>
      <c r="G3608" s="38" t="n">
        <f aca="false">Sens!$G$3513</f>
        <v>83.2092219944148</v>
      </c>
      <c r="H3608" s="38" t="n">
        <f aca="false">Sens!$H$3513</f>
        <v>99.8969223878976</v>
      </c>
      <c r="I3608" s="38" t="n">
        <f aca="false">Sens!$I$3513</f>
        <v>116.583111095496</v>
      </c>
      <c r="J3608" s="38" t="n">
        <f aca="false">Sens!$J$3513</f>
        <v>132.148941941952</v>
      </c>
      <c r="K3608" s="38" t="n">
        <f aca="false">Sens!$K$3513</f>
        <v>145.363836136147</v>
      </c>
      <c r="L3608" s="38" t="n">
        <f aca="false">Sens!$L$3513</f>
        <v>159.900219749762</v>
      </c>
      <c r="M3608" s="38" t="n">
        <f aca="false">Sens!$M$3513</f>
        <v>175.890241724738</v>
      </c>
      <c r="N3608" s="38" t="n">
        <f aca="false">Sens!$N$3513</f>
        <v>29.615</v>
      </c>
      <c r="O3608" s="38" t="n">
        <f aca="false">Sens!$O$3513</f>
        <v>39.02</v>
      </c>
    </row>
    <row r="3609" customFormat="false" ht="15" hidden="false" customHeight="false" outlineLevel="0" collapsed="false">
      <c r="A3609" s="0" t="s">
        <v>530</v>
      </c>
      <c r="B3609" s="0" t="s">
        <v>86</v>
      </c>
      <c r="C3609" s="38" t="n">
        <f aca="false">Sens!$C$3515</f>
        <v>44.374</v>
      </c>
      <c r="D3609" s="38" t="n">
        <f aca="false">Sens!$D$3515</f>
        <v>49.619</v>
      </c>
      <c r="E3609" s="38" t="n">
        <f aca="false">Sens!$E$3515</f>
        <v>27.157</v>
      </c>
      <c r="F3609" s="38" t="n">
        <f aca="false">Sens!$F$3515</f>
        <v>27.7764165988154</v>
      </c>
      <c r="G3609" s="38" t="n">
        <f aca="false">Sens!$G$3515</f>
        <v>54.9334165988154</v>
      </c>
      <c r="H3609" s="38" t="n">
        <f aca="false">Sens!$H$3515</f>
        <v>61.1564112561829</v>
      </c>
      <c r="I3609" s="38" t="n">
        <f aca="false">Sens!$I$3515</f>
        <v>67.2020282103945</v>
      </c>
      <c r="J3609" s="38" t="n">
        <f aca="false">Sens!$J$3515</f>
        <v>72.8757274028885</v>
      </c>
      <c r="K3609" s="38" t="n">
        <f aca="false">Sens!$K$3515</f>
        <v>77.9770283210907</v>
      </c>
      <c r="L3609" s="38" t="n">
        <f aca="false">Sens!$L$3515</f>
        <v>83.4354203035671</v>
      </c>
      <c r="M3609" s="38" t="n">
        <f aca="false">Sens!$M$3515</f>
        <v>89.2758997248168</v>
      </c>
      <c r="N3609" s="38" t="n">
        <f aca="false">Sens!$N$3515</f>
        <v>23.923</v>
      </c>
      <c r="O3609" s="38" t="n">
        <f aca="false">Sens!$O$3515</f>
        <v>25.696</v>
      </c>
    </row>
    <row r="3610" customFormat="false" ht="15" hidden="false" customHeight="false" outlineLevel="0" collapsed="false">
      <c r="A3610" s="0" t="s">
        <v>531</v>
      </c>
      <c r="B3610" s="0" t="s">
        <v>86</v>
      </c>
      <c r="C3610" s="38" t="n">
        <f aca="false">Sens!$C$3517</f>
        <v>5.425</v>
      </c>
      <c r="D3610" s="38" t="n">
        <f aca="false">Sens!$D$3517</f>
        <v>5.935</v>
      </c>
      <c r="E3610" s="38" t="n">
        <f aca="false">Sens!$E$3517</f>
        <v>3.474</v>
      </c>
      <c r="F3610" s="38" t="n">
        <f aca="false">Sens!$F$3517</f>
        <v>3.22246550883619</v>
      </c>
      <c r="G3610" s="38" t="n">
        <f aca="false">Sens!$G$3517</f>
        <v>6.69646550883619</v>
      </c>
      <c r="H3610" s="38" t="n">
        <f aca="false">Sens!$H$3517</f>
        <v>7.16251344209196</v>
      </c>
      <c r="I3610" s="38" t="n">
        <f aca="false">Sens!$I$3517</f>
        <v>7.61421070299826</v>
      </c>
      <c r="J3610" s="38" t="n">
        <f aca="false">Sens!$J$3517</f>
        <v>8.04465753523932</v>
      </c>
      <c r="K3610" s="38" t="n">
        <f aca="false">Sens!$K$3517</f>
        <v>8.44689041200128</v>
      </c>
      <c r="L3610" s="38" t="n">
        <f aca="false">Sens!$L$3517</f>
        <v>8.86923493260135</v>
      </c>
      <c r="M3610" s="38" t="n">
        <f aca="false">Sens!$M$3517</f>
        <v>9.31269667923142</v>
      </c>
      <c r="N3610" s="38" t="n">
        <f aca="false">Sens!$N$3517</f>
        <v>2.811</v>
      </c>
      <c r="O3610" s="38" t="n">
        <f aca="false">Sens!$O$3517</f>
        <v>3.124</v>
      </c>
    </row>
    <row r="3611" customFormat="false" ht="17.15" hidden="false" customHeight="false" outlineLevel="0" collapsed="false">
      <c r="A3611" s="0" t="s">
        <v>728</v>
      </c>
      <c r="B3611" s="0" t="s">
        <v>86</v>
      </c>
      <c r="C3611" s="38" t="n">
        <f aca="false">Sens!$C$3592</f>
        <v>107.556</v>
      </c>
      <c r="D3611" s="38" t="n">
        <f aca="false">Sens!$D$3592</f>
        <v>128.725</v>
      </c>
      <c r="E3611" s="38" t="n">
        <f aca="false">Sens!$E$3592</f>
        <v>79.819</v>
      </c>
      <c r="F3611" s="38" t="n">
        <f aca="false">Sens!$F$3592</f>
        <v>86.7327334389669</v>
      </c>
      <c r="G3611" s="38" t="n">
        <f aca="false">Sens!$G$3592</f>
        <v>166.551733438967</v>
      </c>
      <c r="H3611" s="38" t="n">
        <f aca="false">Sens!$H$3592</f>
        <v>222.256052430118</v>
      </c>
      <c r="I3611" s="38" t="n">
        <f aca="false">Sens!$I$3592</f>
        <v>283.896206924901</v>
      </c>
      <c r="J3611" s="38" t="n">
        <f aca="false">Sens!$J$3592</f>
        <v>346.872145002165</v>
      </c>
      <c r="K3611" s="38" t="n">
        <f aca="false">Sens!$K$3592</f>
        <v>404.717999397665</v>
      </c>
      <c r="L3611" s="38" t="n">
        <f aca="false">Sens!$L$3592</f>
        <v>452.887667508475</v>
      </c>
      <c r="M3611" s="38" t="n">
        <f aca="false">Sens!$M$3592</f>
        <v>491.622559302612</v>
      </c>
      <c r="N3611" s="38" t="n">
        <f aca="false">Sens!$N$3592</f>
        <v>60.14</v>
      </c>
      <c r="O3611" s="38" t="n">
        <f aca="false">Sens!$O$3592</f>
        <v>68.585</v>
      </c>
    </row>
    <row r="3612" customFormat="false" ht="15" hidden="false" customHeight="false" outlineLevel="0" collapsed="false">
      <c r="A3612" s="1" t="s">
        <v>519</v>
      </c>
      <c r="B3612" s="8" t="s">
        <v>86</v>
      </c>
      <c r="C3612" s="38" t="n">
        <f aca="false">Sens!$C$3522</f>
        <v>387.497</v>
      </c>
      <c r="D3612" s="38" t="n">
        <f aca="false">Sens!$D$3522</f>
        <v>426.305</v>
      </c>
      <c r="E3612" s="38" t="n">
        <f aca="false">Sens!$E$3522</f>
        <v>220.32</v>
      </c>
      <c r="F3612" s="38" t="n">
        <f aca="false">Sens!$F$3522</f>
        <v>250.639773480586</v>
      </c>
      <c r="G3612" s="38" t="n">
        <f aca="false">Sens!$G$3522</f>
        <v>470.959773480586</v>
      </c>
      <c r="H3612" s="38" t="n">
        <f aca="false">Sens!$H$3522</f>
        <v>521.386990416437</v>
      </c>
      <c r="I3612" s="38" t="n">
        <f aca="false">Sens!$I$3522</f>
        <v>570.143862887555</v>
      </c>
      <c r="J3612" s="38" t="n">
        <f aca="false">Sens!$J$3522</f>
        <v>615.391435791933</v>
      </c>
      <c r="K3612" s="38" t="n">
        <f aca="false">Sens!$K$3522</f>
        <v>655.208227561543</v>
      </c>
      <c r="L3612" s="38" t="n">
        <f aca="false">Sens!$L$3522</f>
        <v>697.807739249767</v>
      </c>
      <c r="M3612" s="38" t="n">
        <f aca="false">Sens!$M$3522</f>
        <v>743.399328463592</v>
      </c>
      <c r="N3612" s="38" t="n">
        <f aca="false">Sens!$N$3522</f>
        <v>192.955</v>
      </c>
      <c r="O3612" s="38" t="n">
        <f aca="false">Sens!$O$3522</f>
        <v>233.35</v>
      </c>
    </row>
    <row r="3613" customFormat="false" ht="15" hidden="false" customHeight="false" outlineLevel="0" collapsed="false">
      <c r="A3613" s="1" t="s">
        <v>522</v>
      </c>
      <c r="B3613" s="8" t="s">
        <v>86</v>
      </c>
      <c r="C3613" s="38" t="n">
        <f aca="false">Sens!$C$3523</f>
        <v>142.906</v>
      </c>
      <c r="D3613" s="38" t="n">
        <f aca="false">Sens!$D$3523</f>
        <v>161.894</v>
      </c>
      <c r="E3613" s="38" t="n">
        <f aca="false">Sens!$E$3523</f>
        <v>81.986</v>
      </c>
      <c r="F3613" s="38" t="n">
        <f aca="false">Sens!$F$3523</f>
        <v>98.408468164951</v>
      </c>
      <c r="G3613" s="38" t="n">
        <f aca="false">Sens!$G$3523</f>
        <v>180.394468164951</v>
      </c>
      <c r="H3613" s="38" t="n">
        <f aca="false">Sens!$H$3523</f>
        <v>199.709899104949</v>
      </c>
      <c r="I3613" s="38" t="n">
        <f aca="false">Sens!$I$3523</f>
        <v>218.385528264976</v>
      </c>
      <c r="J3613" s="38" t="n">
        <f aca="false">Sens!$J$3523</f>
        <v>235.71696994951</v>
      </c>
      <c r="K3613" s="38" t="n">
        <f aca="false">Sens!$K$3523</f>
        <v>250.968227869545</v>
      </c>
      <c r="L3613" s="38" t="n">
        <f aca="false">Sens!$L$3523</f>
        <v>267.285367225822</v>
      </c>
      <c r="M3613" s="38" t="n">
        <f aca="false">Sens!$M$3523</f>
        <v>284.748579483295</v>
      </c>
      <c r="N3613" s="38" t="n">
        <f aca="false">Sens!$N$3523</f>
        <v>70.274</v>
      </c>
      <c r="O3613" s="38" t="n">
        <f aca="false">Sens!$O$3523</f>
        <v>91.62</v>
      </c>
    </row>
    <row r="3614" customFormat="false" ht="15" hidden="false" customHeight="false" outlineLevel="0" collapsed="false">
      <c r="A3614" s="1" t="s">
        <v>523</v>
      </c>
      <c r="B3614" s="8" t="s">
        <v>86</v>
      </c>
      <c r="C3614" s="38" t="n">
        <f aca="false">Sens!$C$3592</f>
        <v>107.556</v>
      </c>
      <c r="D3614" s="38" t="n">
        <f aca="false">Sens!$D$3592</f>
        <v>128.725</v>
      </c>
      <c r="E3614" s="38" t="n">
        <f aca="false">Sens!$E$3592</f>
        <v>79.819</v>
      </c>
      <c r="F3614" s="38" t="n">
        <f aca="false">Sens!$F$3592</f>
        <v>86.7327334389669</v>
      </c>
      <c r="G3614" s="38" t="n">
        <f aca="false">Sens!$G$3592</f>
        <v>166.551733438967</v>
      </c>
      <c r="H3614" s="38" t="n">
        <f aca="false">Sens!$H$3592</f>
        <v>222.256052430118</v>
      </c>
      <c r="I3614" s="38" t="n">
        <f aca="false">Sens!$I$3592</f>
        <v>283.896206924901</v>
      </c>
      <c r="J3614" s="38" t="n">
        <f aca="false">Sens!$J$3592</f>
        <v>346.872145002165</v>
      </c>
      <c r="K3614" s="38" t="n">
        <f aca="false">Sens!$K$3592</f>
        <v>404.717999397665</v>
      </c>
      <c r="L3614" s="38" t="n">
        <f aca="false">Sens!$L$3592</f>
        <v>452.887667508475</v>
      </c>
      <c r="M3614" s="38" t="n">
        <f aca="false">Sens!$M$3592</f>
        <v>491.622559302612</v>
      </c>
      <c r="N3614" s="38" t="n">
        <f aca="false">Sens!$N$3592</f>
        <v>60.14</v>
      </c>
      <c r="O3614" s="38" t="n">
        <f aca="false">Sens!$O$3592</f>
        <v>68.585</v>
      </c>
    </row>
    <row r="3615" customFormat="false" ht="17.15" hidden="false" customHeight="false" outlineLevel="0" collapsed="false">
      <c r="A3615" s="0" t="s">
        <v>702</v>
      </c>
      <c r="B3615" s="0" t="s">
        <v>86</v>
      </c>
      <c r="C3615" s="38" t="n">
        <f aca="false">Sens!$C$3590</f>
        <v>2.32100535697364</v>
      </c>
      <c r="D3615" s="38" t="n">
        <f aca="false">Sens!$D$3590</f>
        <v>8.70377008865116</v>
      </c>
      <c r="E3615" s="38" t="n">
        <f aca="false">Sens!$E$3590</f>
        <v>8.51035297557002</v>
      </c>
      <c r="F3615" s="38" t="n">
        <f aca="false">Sens!$F$3590</f>
        <v>14.9634336447205</v>
      </c>
      <c r="G3615" s="38" t="n">
        <f aca="false">Sens!$G$3590</f>
        <v>23.4737866202905</v>
      </c>
      <c r="H3615" s="38" t="n">
        <f aca="false">Sens!$H$3590</f>
        <v>60.1658907497746</v>
      </c>
      <c r="I3615" s="38" t="n">
        <f aca="false">Sens!$I$3590</f>
        <v>101.503699136432</v>
      </c>
      <c r="J3615" s="38" t="n">
        <f aca="false">Sens!$J$3590</f>
        <v>143.025407151278</v>
      </c>
      <c r="K3615" s="38" t="n">
        <f aca="false">Sens!$K$3590</f>
        <v>178.44812038318</v>
      </c>
      <c r="L3615" s="38" t="n">
        <f aca="false">Sens!$L$3590</f>
        <v>201.728101802396</v>
      </c>
      <c r="M3615" s="38" t="n">
        <f aca="false">Sens!$M$3590</f>
        <v>212.835441368865</v>
      </c>
      <c r="N3615" s="38" t="n">
        <f aca="false">Sens!$N$3590</f>
        <v>3.04631953102791</v>
      </c>
      <c r="O3615" s="38" t="n">
        <f aca="false">Sens!$O$3590</f>
        <v>5.65745055762326</v>
      </c>
    </row>
    <row r="3616" customFormat="false" ht="17.15" hidden="false" customHeight="false" outlineLevel="0" collapsed="false">
      <c r="A3616" s="0" t="s">
        <v>704</v>
      </c>
      <c r="B3616" s="0" t="s">
        <v>86</v>
      </c>
      <c r="C3616" s="38" t="n">
        <f aca="false">Sens!$C$3591</f>
        <v>105.234994643026</v>
      </c>
      <c r="D3616" s="38" t="n">
        <f aca="false">Sens!$D$3591</f>
        <v>120.021229911349</v>
      </c>
      <c r="E3616" s="38" t="n">
        <f aca="false">Sens!$E$3591</f>
        <v>71.30864702443</v>
      </c>
      <c r="F3616" s="38" t="n">
        <f aca="false">Sens!$F$3591</f>
        <v>71.7692997942464</v>
      </c>
      <c r="G3616" s="38" t="n">
        <f aca="false">Sens!$G$3591</f>
        <v>143.077946818676</v>
      </c>
      <c r="H3616" s="38" t="n">
        <f aca="false">Sens!$H$3591</f>
        <v>162.090161680343</v>
      </c>
      <c r="I3616" s="38" t="n">
        <f aca="false">Sens!$I$3591</f>
        <v>182.392507788469</v>
      </c>
      <c r="J3616" s="38" t="n">
        <f aca="false">Sens!$J$3591</f>
        <v>203.846737850887</v>
      </c>
      <c r="K3616" s="38" t="n">
        <f aca="false">Sens!$K$3591</f>
        <v>226.269879014485</v>
      </c>
      <c r="L3616" s="38" t="n">
        <f aca="false">Sens!$L$3591</f>
        <v>251.159565706078</v>
      </c>
      <c r="M3616" s="38" t="n">
        <f aca="false">Sens!$M$3591</f>
        <v>278.787117933747</v>
      </c>
      <c r="N3616" s="38" t="n">
        <f aca="false">Sens!$N$3591</f>
        <v>57.0936804689721</v>
      </c>
      <c r="O3616" s="38" t="n">
        <f aca="false">Sens!$O$3591</f>
        <v>62.9275494423768</v>
      </c>
    </row>
    <row r="3617" customFormat="false" ht="15" hidden="false" customHeight="false" outlineLevel="0" collapsed="false">
      <c r="A3617" s="3" t="s">
        <v>524</v>
      </c>
      <c r="B3617" s="8" t="s">
        <v>86</v>
      </c>
      <c r="C3617" s="38" t="n">
        <f aca="false">Sens!$C$3593</f>
        <v>637.959</v>
      </c>
      <c r="D3617" s="38" t="n">
        <f aca="false">Sens!$D$3593</f>
        <v>716.924</v>
      </c>
      <c r="E3617" s="38" t="n">
        <f aca="false">Sens!$E$3593</f>
        <v>382.125</v>
      </c>
      <c r="F3617" s="38" t="n">
        <f aca="false">Sens!$F$3593</f>
        <v>435.780975084504</v>
      </c>
      <c r="G3617" s="38" t="n">
        <f aca="false">Sens!$G$3593</f>
        <v>817.905975084504</v>
      </c>
      <c r="H3617" s="38" t="n">
        <f aca="false">Sens!$H$3593</f>
        <v>943.352941951504</v>
      </c>
      <c r="I3617" s="38" t="n">
        <f aca="false">Sens!$I$3593</f>
        <v>1072.42559807743</v>
      </c>
      <c r="J3617" s="38" t="n">
        <f aca="false">Sens!$J$3593</f>
        <v>1197.98055074361</v>
      </c>
      <c r="K3617" s="38" t="n">
        <f aca="false">Sens!$K$3593</f>
        <v>1310.89445482875</v>
      </c>
      <c r="L3617" s="38" t="n">
        <f aca="false">Sens!$L$3593</f>
        <v>1417.98077398406</v>
      </c>
      <c r="M3617" s="38" t="n">
        <f aca="false">Sens!$M$3593</f>
        <v>1519.7704672495</v>
      </c>
      <c r="N3617" s="38" t="n">
        <f aca="false">Sens!$N$3593</f>
        <v>323.369</v>
      </c>
      <c r="O3617" s="38" t="n">
        <f aca="false">Sens!$O$3593</f>
        <v>393.555</v>
      </c>
    </row>
    <row r="3618" customFormat="false" ht="17.15" hidden="false" customHeight="false" outlineLevel="0" collapsed="false">
      <c r="A3618" s="24" t="s">
        <v>714</v>
      </c>
      <c r="B3618" s="25" t="s">
        <v>86</v>
      </c>
      <c r="C3618" s="41" t="n">
        <f aca="false">Sens!$C$3605+Sens!$C$3606+Sens!$C$3607+Sens!$C$3608+Sens!$C$3609+Sens!$C$3610-(Sens!$C$3612+Sens!$C$3613)</f>
        <v>0</v>
      </c>
      <c r="D3618" s="41" t="n">
        <f aca="false">Sens!$D$3605+Sens!$D$3606+Sens!$D$3607+Sens!$D$3608+Sens!$D$3609+Sens!$D$3610-(Sens!$D$3612+Sens!$D$3613)</f>
        <v>0</v>
      </c>
      <c r="E3618" s="41" t="n">
        <f aca="false">Sens!$E$3605+Sens!$E$3606+Sens!$E$3607+Sens!$E$3608+Sens!$E$3609+Sens!$E$3610-(Sens!$E$3612+Sens!$E$3613)</f>
        <v>0</v>
      </c>
      <c r="F3618" s="41" t="n">
        <f aca="false">Sens!$F$3605+Sens!$F$3606+Sens!$F$3607+Sens!$F$3608+Sens!$F$3609+Sens!$F$3610-(Sens!$F$3612+Sens!$F$3613)</f>
        <v>0</v>
      </c>
      <c r="G3618" s="41" t="n">
        <f aca="false">Sens!$G$3605+Sens!$G$3606+Sens!$G$3607+Sens!$G$3608+Sens!$G$3609+Sens!$G$3610-(Sens!$G$3612+Sens!$G$3613)</f>
        <v>0</v>
      </c>
      <c r="H3618" s="41" t="n">
        <f aca="false">Sens!$H$3605+Sens!$H$3606+Sens!$H$3607+Sens!$H$3608+Sens!$H$3609+Sens!$H$3610-(Sens!$H$3612+Sens!$H$3613)</f>
        <v>0</v>
      </c>
      <c r="I3618" s="41" t="n">
        <f aca="false">Sens!$I$3605+Sens!$I$3606+Sens!$I$3607+Sens!$I$3608+Sens!$I$3609+Sens!$I$3610-(Sens!$I$3612+Sens!$I$3613)</f>
        <v>0</v>
      </c>
      <c r="J3618" s="41" t="n">
        <f aca="false">Sens!$J$3605+Sens!$J$3606+Sens!$J$3607+Sens!$J$3608+Sens!$J$3609+Sens!$J$3610-(Sens!$J$3612+Sens!$J$3613)</f>
        <v>0</v>
      </c>
      <c r="K3618" s="41" t="n">
        <f aca="false">Sens!$K$3605+Sens!$K$3606+Sens!$K$3607+Sens!$K$3608+Sens!$K$3609+Sens!$K$3610-(Sens!$K$3612+Sens!$K$3613)</f>
        <v>0</v>
      </c>
      <c r="L3618" s="41" t="n">
        <f aca="false">Sens!$L$3605+Sens!$L$3606+Sens!$L$3607+Sens!$L$3608+Sens!$L$3609+Sens!$L$3610-(Sens!$L$3612+Sens!$L$3613)</f>
        <v>0</v>
      </c>
      <c r="M3618" s="41" t="n">
        <f aca="false">Sens!$M$3605+Sens!$M$3606+Sens!$M$3607+Sens!$M$3608+Sens!$M$3609+Sens!$M$3610-(Sens!$M$3612+Sens!$M$3613)</f>
        <v>0</v>
      </c>
      <c r="N3618" s="41" t="n">
        <f aca="false">Sens!$N$3605+Sens!$N$3606+Sens!$N$3607+Sens!$N$3608+Sens!$N$3609+Sens!$N$3610-(Sens!$N$3612+Sens!$N$3613)</f>
        <v>0</v>
      </c>
      <c r="O3618" s="41" t="n">
        <f aca="false">Sens!$O$3605+Sens!$O$3606+Sens!$O$3607+Sens!$O$3608+Sens!$O$3609+Sens!$O$3610-(Sens!$O$3612+Sens!$O$3613)</f>
        <v>0</v>
      </c>
    </row>
    <row r="3619" customFormat="false" ht="17.15" hidden="false" customHeight="false" outlineLevel="0" collapsed="false">
      <c r="A3619" s="24" t="s">
        <v>715</v>
      </c>
      <c r="B3619" s="25" t="s">
        <v>86</v>
      </c>
      <c r="C3619" s="41" t="n">
        <f aca="false">Sens!$C$3615+Sens!$C$3616-Sens!$C$3614</f>
        <v>0</v>
      </c>
      <c r="D3619" s="41" t="n">
        <f aca="false">Sens!$D$3615+Sens!$D$3616-Sens!$D$3614</f>
        <v>0</v>
      </c>
      <c r="E3619" s="41" t="n">
        <f aca="false">Sens!$E$3615+Sens!$E$3616-Sens!$E$3614</f>
        <v>0</v>
      </c>
      <c r="F3619" s="41" t="n">
        <f aca="false">Sens!$F$3615+Sens!$F$3616-Sens!$F$3614</f>
        <v>0</v>
      </c>
      <c r="G3619" s="41" t="n">
        <f aca="false">Sens!$G$3615+Sens!$G$3616-Sens!$G$3614</f>
        <v>0</v>
      </c>
      <c r="H3619" s="41" t="n">
        <f aca="false">Sens!$H$3615+Sens!$H$3616-Sens!$H$3614</f>
        <v>0</v>
      </c>
      <c r="I3619" s="41" t="n">
        <f aca="false">Sens!$I$3615+Sens!$I$3616-Sens!$I$3614</f>
        <v>0</v>
      </c>
      <c r="J3619" s="41" t="n">
        <f aca="false">Sens!$J$3615+Sens!$J$3616-Sens!$J$3614</f>
        <v>0</v>
      </c>
      <c r="K3619" s="41" t="n">
        <f aca="false">Sens!$K$3615+Sens!$K$3616-Sens!$K$3614</f>
        <v>0</v>
      </c>
      <c r="L3619" s="41" t="n">
        <f aca="false">Sens!$L$3615+Sens!$L$3616-Sens!$L$3614</f>
        <v>0</v>
      </c>
      <c r="M3619" s="41" t="n">
        <f aca="false">Sens!$M$3615+Sens!$M$3616-Sens!$M$3614</f>
        <v>0</v>
      </c>
      <c r="N3619" s="41" t="n">
        <f aca="false">Sens!$N$3615+Sens!$N$3616-Sens!$N$3614</f>
        <v>0</v>
      </c>
      <c r="O3619" s="41" t="n">
        <f aca="false">Sens!$O$3615+Sens!$O$3616-Sens!$O$3614</f>
        <v>0</v>
      </c>
    </row>
    <row r="3620" customFormat="false" ht="17.15" hidden="false" customHeight="false" outlineLevel="0" collapsed="false">
      <c r="A3620" s="24" t="s">
        <v>774</v>
      </c>
      <c r="B3620" s="25" t="s">
        <v>86</v>
      </c>
      <c r="C3620" s="41" t="n">
        <f aca="false">Sens!$C$3605+Sens!$C$3606+Sens!$C$3607+Sens!$C$3608+Sens!$C$3609+Sens!$C$3610+Sens!$C$3611-Sens!$C$3617</f>
        <v>0</v>
      </c>
      <c r="D3620" s="41" t="n">
        <f aca="false">Sens!$D$3605+Sens!$D$3606+Sens!$D$3607+Sens!$D$3608+Sens!$D$3609+Sens!$D$3610+Sens!$D$3611-Sens!$D$3617</f>
        <v>0</v>
      </c>
      <c r="E3620" s="41" t="n">
        <f aca="false">Sens!$E$3605+Sens!$E$3606+Sens!$E$3607+Sens!$E$3608+Sens!$E$3609+Sens!$E$3610+Sens!$E$3611-Sens!$E$3617</f>
        <v>0</v>
      </c>
      <c r="F3620" s="41" t="n">
        <f aca="false">Sens!$F$3605+Sens!$F$3606+Sens!$F$3607+Sens!$F$3608+Sens!$F$3609+Sens!$F$3610+Sens!$F$3611-Sens!$F$3617</f>
        <v>0</v>
      </c>
      <c r="G3620" s="41" t="n">
        <f aca="false">Sens!$G$3605+Sens!$G$3606+Sens!$G$3607+Sens!$G$3608+Sens!$G$3609+Sens!$G$3610+Sens!$G$3611-Sens!$G$3617</f>
        <v>0</v>
      </c>
      <c r="H3620" s="41" t="n">
        <f aca="false">Sens!$H$3605+Sens!$H$3606+Sens!$H$3607+Sens!$H$3608+Sens!$H$3609+Sens!$H$3610+Sens!$H$3611-Sens!$H$3617</f>
        <v>0</v>
      </c>
      <c r="I3620" s="41" t="n">
        <f aca="false">Sens!$I$3605+Sens!$I$3606+Sens!$I$3607+Sens!$I$3608+Sens!$I$3609+Sens!$I$3610+Sens!$I$3611-Sens!$I$3617</f>
        <v>0</v>
      </c>
      <c r="J3620" s="41" t="n">
        <f aca="false">Sens!$J$3605+Sens!$J$3606+Sens!$J$3607+Sens!$J$3608+Sens!$J$3609+Sens!$J$3610+Sens!$J$3611-Sens!$J$3617</f>
        <v>0</v>
      </c>
      <c r="K3620" s="41" t="n">
        <f aca="false">Sens!$K$3605+Sens!$K$3606+Sens!$K$3607+Sens!$K$3608+Sens!$K$3609+Sens!$K$3610+Sens!$K$3611-Sens!$K$3617</f>
        <v>0</v>
      </c>
      <c r="L3620" s="41" t="n">
        <f aca="false">Sens!$L$3605+Sens!$L$3606+Sens!$L$3607+Sens!$L$3608+Sens!$L$3609+Sens!$L$3610+Sens!$L$3611-Sens!$L$3617</f>
        <v>0</v>
      </c>
      <c r="M3620" s="41" t="n">
        <f aca="false">Sens!$M$3605+Sens!$M$3606+Sens!$M$3607+Sens!$M$3608+Sens!$M$3609+Sens!$M$3610+Sens!$M$3611-Sens!$M$3617</f>
        <v>0</v>
      </c>
      <c r="N3620" s="41" t="n">
        <f aca="false">Sens!$N$3605+Sens!$N$3606+Sens!$N$3607+Sens!$N$3608+Sens!$N$3609+Sens!$N$3610+Sens!$N$3611-Sens!$N$3617</f>
        <v>0</v>
      </c>
      <c r="O3620" s="41" t="n">
        <f aca="false">Sens!$O$3605+Sens!$O$3606+Sens!$O$3607+Sens!$O$3608+Sens!$O$3609+Sens!$O$3610+Sens!$O$3611-Sens!$O$3617</f>
        <v>0</v>
      </c>
    </row>
    <row r="3621" customFormat="false" ht="17.15" hidden="false" customHeight="false" outlineLevel="0" collapsed="false">
      <c r="A3621" s="24" t="s">
        <v>716</v>
      </c>
      <c r="B3621" s="25" t="s">
        <v>86</v>
      </c>
      <c r="C3621" s="41" t="n">
        <f aca="false">Sens!$C$3612+Sens!$C$3613+Sens!$C$3614-Sens!$C$3617</f>
        <v>0</v>
      </c>
      <c r="D3621" s="41" t="n">
        <f aca="false">Sens!$D$3612+Sens!$D$3613+Sens!$D$3614-Sens!$D$3617</f>
        <v>0</v>
      </c>
      <c r="E3621" s="41" t="n">
        <f aca="false">Sens!$E$3612+Sens!$E$3613+Sens!$E$3614-Sens!$E$3617</f>
        <v>0</v>
      </c>
      <c r="F3621" s="41" t="n">
        <f aca="false">Sens!$F$3612+Sens!$F$3613+Sens!$F$3614-Sens!$F$3617</f>
        <v>0</v>
      </c>
      <c r="G3621" s="41" t="n">
        <f aca="false">Sens!$G$3612+Sens!$G$3613+Sens!$G$3614-Sens!$G$3617</f>
        <v>0</v>
      </c>
      <c r="H3621" s="41" t="n">
        <f aca="false">Sens!$H$3612+Sens!$H$3613+Sens!$H$3614-Sens!$H$3617</f>
        <v>0</v>
      </c>
      <c r="I3621" s="41" t="n">
        <f aca="false">Sens!$I$3612+Sens!$I$3613+Sens!$I$3614-Sens!$I$3617</f>
        <v>0</v>
      </c>
      <c r="J3621" s="41" t="n">
        <f aca="false">Sens!$J$3612+Sens!$J$3613+Sens!$J$3614-Sens!$J$3617</f>
        <v>0</v>
      </c>
      <c r="K3621" s="41" t="n">
        <f aca="false">Sens!$K$3612+Sens!$K$3613+Sens!$K$3614-Sens!$K$3617</f>
        <v>0</v>
      </c>
      <c r="L3621" s="41" t="n">
        <f aca="false">Sens!$L$3612+Sens!$L$3613+Sens!$L$3614-Sens!$L$3617</f>
        <v>0</v>
      </c>
      <c r="M3621" s="41" t="n">
        <f aca="false">Sens!$M$3612+Sens!$M$3613+Sens!$M$3614-Sens!$M$3617</f>
        <v>0</v>
      </c>
      <c r="N3621" s="41" t="n">
        <f aca="false">Sens!$N$3612+Sens!$N$3613+Sens!$N$3614-Sens!$N$3617</f>
        <v>0</v>
      </c>
      <c r="O3621" s="41" t="n">
        <f aca="false">Sens!$O$3612+Sens!$O$3613+Sens!$O$3614-Sens!$O$3617</f>
        <v>0</v>
      </c>
    </row>
    <row r="3622" customFormat="false" ht="17.15" hidden="false" customHeight="false" outlineLevel="0" collapsed="false">
      <c r="A3622" s="1" t="s">
        <v>730</v>
      </c>
    </row>
    <row r="3623" customFormat="false" ht="17.15" hidden="false" customHeight="false" outlineLevel="0" collapsed="false">
      <c r="A3623" s="0" t="s">
        <v>731</v>
      </c>
      <c r="B3623" s="0" t="s">
        <v>86</v>
      </c>
      <c r="C3623" s="38" t="n">
        <f aca="false">Sens!$C$3524*m_ad</f>
        <v>20.5341564414228</v>
      </c>
      <c r="D3623" s="38" t="n">
        <f aca="false">Sens!$D$3524*m_ad</f>
        <v>24.8720617299587</v>
      </c>
      <c r="E3623" s="38" t="n">
        <f aca="false">Sens!$E$3524*m_ad</f>
        <v>13.5017112462207</v>
      </c>
      <c r="F3623" s="38" t="n">
        <f aca="false">Sens!$F$3524*m_ad</f>
        <v>16.5719724165257</v>
      </c>
      <c r="G3623" s="38" t="n">
        <f aca="false">Sens!$G$3524*m_ad</f>
        <v>30.0820919220415</v>
      </c>
      <c r="H3623" s="38" t="n">
        <f aca="false">Sens!$H$3524*m_ad</f>
        <v>36.1150883276314</v>
      </c>
      <c r="I3623" s="38" t="n">
        <f aca="false">Sens!$I$3524*m_ad</f>
        <v>42.1475382231996</v>
      </c>
      <c r="J3623" s="38" t="n">
        <f aca="false">Sens!$J$3524*m_ad</f>
        <v>47.7749523864693</v>
      </c>
      <c r="K3623" s="38" t="n">
        <f aca="false">Sens!$K$3524*m_ad</f>
        <v>52.5524476251162</v>
      </c>
      <c r="L3623" s="38" t="n">
        <f aca="false">Sens!$L$3524*m_ad</f>
        <v>57.8076923876279</v>
      </c>
      <c r="M3623" s="38" t="n">
        <f aca="false">Sens!$M$3524*m_ad</f>
        <v>63.5884616263907</v>
      </c>
      <c r="N3623" s="38" t="n">
        <f aca="false">Sens!$N$3524*m_ad</f>
        <v>10.8543555706248</v>
      </c>
      <c r="O3623" s="38" t="n">
        <f aca="false">Sens!$O$3524*m_ad</f>
        <v>14.0094731821399</v>
      </c>
    </row>
    <row r="3624" customFormat="false" ht="17.15" hidden="false" customHeight="false" outlineLevel="0" collapsed="false">
      <c r="A3624" s="0" t="s">
        <v>732</v>
      </c>
      <c r="B3624" s="0" t="s">
        <v>86</v>
      </c>
      <c r="C3624" s="38" t="n">
        <f aca="false">Sens!$C$3522-Sens!$C$3524</f>
        <v>346.428687117154</v>
      </c>
      <c r="D3624" s="38" t="n">
        <f aca="false">Sens!$D$3522-Sens!$D$3524</f>
        <v>376.560876540083</v>
      </c>
      <c r="E3624" s="38" t="n">
        <f aca="false">Sens!$E$3522-Sens!$E$3524</f>
        <v>193.316577507559</v>
      </c>
      <c r="F3624" s="38" t="n">
        <f aca="false">Sens!$F$3522-Sens!$F$3524</f>
        <v>217.495828647535</v>
      </c>
      <c r="G3624" s="38" t="n">
        <f aca="false">Sens!$G$3522-Sens!$G$3524</f>
        <v>410.795589636503</v>
      </c>
      <c r="H3624" s="38" t="n">
        <f aca="false">Sens!$H$3522-Sens!$H$3524</f>
        <v>449.156813761174</v>
      </c>
      <c r="I3624" s="38" t="n">
        <f aca="false">Sens!$I$3522-Sens!$I$3524</f>
        <v>485.848786441156</v>
      </c>
      <c r="J3624" s="38" t="n">
        <f aca="false">Sens!$J$3522-Sens!$J$3524</f>
        <v>519.841531018994</v>
      </c>
      <c r="K3624" s="38" t="n">
        <f aca="false">Sens!$K$3522-Sens!$K$3524</f>
        <v>550.103332311311</v>
      </c>
      <c r="L3624" s="38" t="n">
        <f aca="false">Sens!$L$3522-Sens!$L$3524</f>
        <v>582.192354474511</v>
      </c>
      <c r="M3624" s="38" t="n">
        <f aca="false">Sens!$M$3522-Sens!$M$3524</f>
        <v>616.22240521081</v>
      </c>
      <c r="N3624" s="38" t="n">
        <f aca="false">Sens!$N$3522-Sens!$N$3524</f>
        <v>171.24628885875</v>
      </c>
      <c r="O3624" s="38" t="n">
        <f aca="false">Sens!$O$3522-Sens!$O$3524</f>
        <v>205.33105363572</v>
      </c>
    </row>
    <row r="3625" customFormat="false" ht="17.15" hidden="false" customHeight="false" outlineLevel="0" collapsed="false">
      <c r="A3625" s="0" t="s">
        <v>733</v>
      </c>
      <c r="B3625" s="0" t="s">
        <v>86</v>
      </c>
      <c r="C3625" s="38" t="n">
        <f aca="false">Sens!$C$3576*Sens!$C$3521</f>
        <v>0.123617442257179</v>
      </c>
      <c r="D3625" s="38" t="n">
        <f aca="false">Sens!$D$3576*Sens!$D$3521</f>
        <v>0.600198046024689</v>
      </c>
      <c r="E3625" s="38" t="n">
        <f aca="false">Sens!$E$3576*Sens!$E$3521</f>
        <v>1.10840000750276</v>
      </c>
      <c r="F3625" s="38" t="n">
        <f aca="false">Sens!$F$3576*Sens!$F$3521</f>
        <v>1.33595298721025</v>
      </c>
      <c r="G3625" s="38" t="n">
        <f aca="false">Sens!$G$3576*Sens!$G$3521</f>
        <v>2.44487335052545</v>
      </c>
      <c r="H3625" s="38" t="n">
        <f aca="false">Sens!$H$3576*Sens!$H$3521</f>
        <v>6.63132711939388</v>
      </c>
      <c r="I3625" s="38" t="n">
        <f aca="false">Sens!$I$3576*Sens!$I$3521</f>
        <v>12.7486799258504</v>
      </c>
      <c r="J3625" s="38" t="n">
        <f aca="false">Sens!$J$3576*Sens!$J$3521</f>
        <v>18.4074045299415</v>
      </c>
      <c r="K3625" s="38" t="n">
        <f aca="false">Sens!$K$3576*Sens!$K$3521</f>
        <v>23.9455472348705</v>
      </c>
      <c r="L3625" s="38" t="n">
        <f aca="false">Sens!$L$3576*Sens!$L$3521</f>
        <v>27.78179156216</v>
      </c>
      <c r="M3625" s="38" t="n">
        <f aca="false">Sens!$M$3576*Sens!$M$3521</f>
        <v>29.9029027327362</v>
      </c>
      <c r="N3625" s="38" t="n">
        <f aca="false">Sens!$N$3576*Sens!$N$3521</f>
        <v>0.25053229484398</v>
      </c>
      <c r="O3625" s="38" t="n">
        <f aca="false">Sens!$O$3576*Sens!$O$3521</f>
        <v>0.349234376756897</v>
      </c>
    </row>
    <row r="3626" customFormat="false" ht="17.15" hidden="false" customHeight="false" outlineLevel="0" collapsed="false">
      <c r="A3626" s="0" t="s">
        <v>734</v>
      </c>
      <c r="B3626" s="0" t="s">
        <v>52</v>
      </c>
      <c r="C3626" s="28" t="n">
        <f aca="false">(Sens!$C$3627-Sens!$C$3623+Sens!$C$3625)/Sens!$C$3624</f>
        <v>0.0131526665379575</v>
      </c>
      <c r="D3626" s="28" t="n">
        <f aca="false">(Sens!$D$3627-Sens!$D$3623+Sens!$D$3625)/Sens!$D$3624</f>
        <v>0.0141999252954702</v>
      </c>
      <c r="E3626" s="28" t="n">
        <f aca="false">(Sens!$E$3627-Sens!$E$3623+Sens!$E$3625)/Sens!$E$3624</f>
        <v>0.0258471819939326</v>
      </c>
      <c r="F3626" s="28" t="n">
        <f aca="false">Sens!$O$3626+(Sens!$E$3626-Sens!$N$3626)</f>
        <v>0.0224302350712874</v>
      </c>
      <c r="G3626" s="28" t="n">
        <f aca="false">(Sens!$G$3627-Sens!$G$3623+Sens!$G$3625)/Sens!$G$3624</f>
        <v>0.0240199351461372</v>
      </c>
      <c r="H3626" s="28" t="n">
        <f aca="false">Sens!$G$3626+step_na</f>
        <v>0.0270199351461372</v>
      </c>
      <c r="I3626" s="28" t="n">
        <f aca="false">Sens!$H$3626+step_na</f>
        <v>0.0300199351461372</v>
      </c>
      <c r="J3626" s="28" t="n">
        <f aca="false">Sens!$I$3626+step_na</f>
        <v>0.0330199351461372</v>
      </c>
      <c r="K3626" s="28" t="n">
        <f aca="false">Sens!$J$3626+step_na</f>
        <v>0.0360199351461372</v>
      </c>
      <c r="L3626" s="28" t="n">
        <f aca="false">Sens!$K$3626</f>
        <v>0.0360199351461372</v>
      </c>
      <c r="M3626" s="28" t="n">
        <f aca="false">Sens!$L$3626</f>
        <v>0.0360199351461372</v>
      </c>
      <c r="N3626" s="28" t="n">
        <f aca="false">(Sens!$N$3627-Sens!$N$3623+Sens!$N$3625)/Sens!$N$3624</f>
        <v>0.0160831323269779</v>
      </c>
      <c r="O3626" s="28" t="n">
        <f aca="false">(Sens!$O$3627-Sens!$O$3623+Sens!$O$3625)/Sens!$O$3624</f>
        <v>0.0126661854043327</v>
      </c>
      <c r="P3626" s="8" t="s">
        <v>735</v>
      </c>
    </row>
    <row r="3627" customFormat="false" ht="17.15" hidden="false" customHeight="false" outlineLevel="0" collapsed="false">
      <c r="A3627" s="1" t="s">
        <v>736</v>
      </c>
      <c r="B3627" s="8" t="s">
        <v>86</v>
      </c>
      <c r="C3627" s="38" t="n">
        <f aca="false">Q!$D$22</f>
        <v>24.967</v>
      </c>
      <c r="D3627" s="38" t="n">
        <f aca="false">Q!$E$22</f>
        <v>29.619</v>
      </c>
      <c r="E3627" s="38" t="n">
        <f aca="false">Q!$P$22</f>
        <v>17.39</v>
      </c>
      <c r="F3627" s="38" t="n">
        <f aca="false">Sens!$F$3623+Sens!$F$3624*Sens!$F$3626-Sens!$F$3625</f>
        <v>20.1145019929041</v>
      </c>
      <c r="G3627" s="38" t="n">
        <f aca="false">Sens!$E$3627+Sens!$F$3627</f>
        <v>37.5045019929041</v>
      </c>
      <c r="H3627" s="38" t="n">
        <f aca="false">Sens!$H$3623+Sens!$H$3624*Sens!$H$3626-Sens!$H$3625</f>
        <v>41.6199491865101</v>
      </c>
      <c r="I3627" s="38" t="n">
        <f aca="false">Sens!$I$3623+Sens!$I$3624*Sens!$I$3626-Sens!$I$3625</f>
        <v>43.9840073571422</v>
      </c>
      <c r="J3627" s="38" t="n">
        <f aca="false">Sens!$J$3623+Sens!$J$3624*Sens!$J$3626-Sens!$J$3625</f>
        <v>46.5326814970436</v>
      </c>
      <c r="K3627" s="38" t="n">
        <f aca="false">Sens!$K$3623+Sens!$K$3624*Sens!$K$3626-Sens!$K$3625</f>
        <v>48.4215867437731</v>
      </c>
      <c r="L3627" s="38" t="n">
        <f aca="false">Sens!$L$3623+Sens!$L$3624*Sens!$L$3626-Sens!$L$3625</f>
        <v>50.9964316762167</v>
      </c>
      <c r="M3627" s="38" t="n">
        <f aca="false">Sens!$M$3623+Sens!$M$3624*Sens!$M$3626-Sens!$M$3625</f>
        <v>55.8818499649445</v>
      </c>
      <c r="N3627" s="38" t="n">
        <f aca="false">Q!$N$22</f>
        <v>13.358</v>
      </c>
      <c r="O3627" s="38" t="n">
        <f aca="false">Q!$O$22</f>
        <v>16.261</v>
      </c>
    </row>
    <row r="3628" customFormat="false" ht="17.15" hidden="false" customHeight="false" outlineLevel="0" collapsed="false">
      <c r="A3628" s="0" t="s">
        <v>737</v>
      </c>
      <c r="B3628" s="0" t="s">
        <v>86</v>
      </c>
      <c r="C3628" s="38" t="n">
        <f aca="false">Sens!$C$3525*m_ad</f>
        <v>7.57284355857716</v>
      </c>
      <c r="D3628" s="38" t="n">
        <f aca="false">Sens!$D$3525*m_ad</f>
        <v>9.44543827004127</v>
      </c>
      <c r="E3628" s="38" t="n">
        <f aca="false">Sens!$E$3525*m_ad</f>
        <v>5.02428875377928</v>
      </c>
      <c r="F3628" s="38" t="n">
        <f aca="false">Sens!$F$3525*m_ad</f>
        <v>6.50663858068173</v>
      </c>
      <c r="G3628" s="38" t="n">
        <f aca="false">Sens!$G$3525*m_ad</f>
        <v>11.5225190751659</v>
      </c>
      <c r="H3628" s="38" t="n">
        <f aca="false">Sens!$H$3525*m_ad</f>
        <v>13.8333728663174</v>
      </c>
      <c r="I3628" s="38" t="n">
        <f aca="false">Sens!$I$3525*m_ad</f>
        <v>16.1440173245485</v>
      </c>
      <c r="J3628" s="38" t="n">
        <f aca="false">Sens!$J$3525*m_ad</f>
        <v>18.2995185845066</v>
      </c>
      <c r="K3628" s="38" t="n">
        <f aca="false">Sens!$K$3525*m_ad</f>
        <v>20.1294704429572</v>
      </c>
      <c r="L3628" s="38" t="n">
        <f aca="false">Sens!$L$3525*m_ad</f>
        <v>22.142417487253</v>
      </c>
      <c r="M3628" s="38" t="n">
        <f aca="false">Sens!$M$3525*m_ad</f>
        <v>24.3566592359783</v>
      </c>
      <c r="N3628" s="38" t="n">
        <f aca="false">Sens!$N$3525*m_ad</f>
        <v>3.95314442937518</v>
      </c>
      <c r="O3628" s="38" t="n">
        <f aca="false">Sens!$O$3525*m_ad</f>
        <v>5.50052681786011</v>
      </c>
    </row>
    <row r="3629" customFormat="false" ht="17.15" hidden="false" customHeight="false" outlineLevel="0" collapsed="false">
      <c r="A3629" s="0" t="s">
        <v>738</v>
      </c>
      <c r="B3629" s="0" t="s">
        <v>86</v>
      </c>
      <c r="C3629" s="38" t="n">
        <f aca="false">Sens!$C$3523-Sens!$C$3525</f>
        <v>127.760312882846</v>
      </c>
      <c r="D3629" s="38" t="n">
        <f aca="false">Sens!$D$3523-Sens!$D$3525</f>
        <v>143.003123459917</v>
      </c>
      <c r="E3629" s="38" t="n">
        <f aca="false">Sens!$E$3523-Sens!$E$3525</f>
        <v>71.9374224924414</v>
      </c>
      <c r="F3629" s="38" t="n">
        <f aca="false">Sens!$F$3523-Sens!$F$3525</f>
        <v>85.3951910035875</v>
      </c>
      <c r="G3629" s="38" t="n">
        <f aca="false">Sens!$G$3523-Sens!$G$3525</f>
        <v>157.349430014619</v>
      </c>
      <c r="H3629" s="38" t="n">
        <f aca="false">Sens!$H$3523-Sens!$H$3525</f>
        <v>172.043153372315</v>
      </c>
      <c r="I3629" s="38" t="n">
        <f aca="false">Sens!$I$3523-Sens!$I$3525</f>
        <v>186.097493615879</v>
      </c>
      <c r="J3629" s="38" t="n">
        <f aca="false">Sens!$J$3523-Sens!$J$3525</f>
        <v>199.117932780497</v>
      </c>
      <c r="K3629" s="38" t="n">
        <f aca="false">Sens!$K$3523-Sens!$K$3525</f>
        <v>210.70928698363</v>
      </c>
      <c r="L3629" s="38" t="n">
        <f aca="false">Sens!$L$3523-Sens!$L$3525</f>
        <v>223.000532251316</v>
      </c>
      <c r="M3629" s="38" t="n">
        <f aca="false">Sens!$M$3523-Sens!$M$3525</f>
        <v>236.035261011339</v>
      </c>
      <c r="N3629" s="38" t="n">
        <f aca="false">Sens!$N$3523-Sens!$N$3525</f>
        <v>62.3677111412496</v>
      </c>
      <c r="O3629" s="38" t="n">
        <f aca="false">Sens!$O$3523-Sens!$O$3525</f>
        <v>80.6189463642798</v>
      </c>
    </row>
    <row r="3630" customFormat="false" ht="17.15" hidden="false" customHeight="false" outlineLevel="0" collapsed="false">
      <c r="A3630" s="0" t="s">
        <v>739</v>
      </c>
      <c r="B3630" s="0" t="s">
        <v>86</v>
      </c>
      <c r="C3630" s="38" t="n">
        <f aca="false">Sens!$C$3576*(1-Sens!$C$3521)</f>
        <v>0.0455891896019953</v>
      </c>
      <c r="D3630" s="38" t="n">
        <f aca="false">Sens!$D$3576*(1-Sens!$D$3521)</f>
        <v>0.227931791705753</v>
      </c>
      <c r="E3630" s="38" t="n">
        <f aca="false">Sens!$E$3576*(1-Sens!$E$3521)</f>
        <v>0.412460434890711</v>
      </c>
      <c r="F3630" s="38" t="n">
        <f aca="false">Sens!$F$3576*(1-Sens!$F$3521)</f>
        <v>0.524534016233997</v>
      </c>
      <c r="G3630" s="38" t="n">
        <f aca="false">Sens!$G$3576*(1-Sens!$G$3521)</f>
        <v>0.936474095312266</v>
      </c>
      <c r="H3630" s="38" t="n">
        <f aca="false">Sens!$H$3576*(1-Sens!$H$3521)</f>
        <v>2.54003589327823</v>
      </c>
      <c r="I3630" s="38" t="n">
        <f aca="false">Sens!$I$3576*(1-Sens!$I$3521)</f>
        <v>4.88320120852905</v>
      </c>
      <c r="J3630" s="38" t="n">
        <f aca="false">Sens!$J$3576*(1-Sens!$J$3521)</f>
        <v>7.05069548920359</v>
      </c>
      <c r="K3630" s="38" t="n">
        <f aca="false">Sens!$K$3576*(1-Sens!$K$3521)</f>
        <v>9.17200258193867</v>
      </c>
      <c r="L3630" s="38" t="n">
        <f aca="false">Sens!$L$3576*(1-Sens!$L$3521)</f>
        <v>10.6414216154535</v>
      </c>
      <c r="M3630" s="38" t="n">
        <f aca="false">Sens!$M$3576*(1-Sens!$M$3521)</f>
        <v>11.4538831951485</v>
      </c>
      <c r="N3630" s="38" t="n">
        <f aca="false">Sens!$N$3576*(1-Sens!$N$3521)</f>
        <v>0.0912435878202994</v>
      </c>
      <c r="O3630" s="38" t="n">
        <f aca="false">Sens!$O$3576*(1-Sens!$O$3521)</f>
        <v>0.137119578309265</v>
      </c>
    </row>
    <row r="3631" customFormat="false" ht="17.15" hidden="false" customHeight="false" outlineLevel="0" collapsed="false">
      <c r="A3631" s="0" t="s">
        <v>740</v>
      </c>
      <c r="B3631" s="0" t="s">
        <v>52</v>
      </c>
      <c r="C3631" s="28" t="n">
        <f aca="false">(Sens!$C$3632-Sens!$C$3628+Sens!$C$3630)/Sens!$C$3629</f>
        <v>-0.0292364215826579</v>
      </c>
      <c r="D3631" s="28" t="n">
        <f aca="false">(Sens!$D$3632-Sens!$D$3628+Sens!$D$3630)/Sens!$D$3629</f>
        <v>-0.0312406216748665</v>
      </c>
      <c r="E3631" s="28" t="n">
        <f aca="false">(Sens!$E$3632-Sens!$E$3628+Sens!$E$3630)/Sens!$E$3629</f>
        <v>-0.0204459413185552</v>
      </c>
      <c r="F3631" s="28" t="n">
        <f aca="false">Sens!$O$3631+(Sens!$E$3631-Sens!$N$3631)</f>
        <v>-0.0375409290246314</v>
      </c>
      <c r="G3631" s="28" t="n">
        <f aca="false">(Sens!$G$3632-Sens!$G$3628+Sens!$G$3630)/Sens!$G$3629</f>
        <v>-0.0296712560031684</v>
      </c>
      <c r="H3631" s="28" t="n">
        <f aca="false">Sens!$G$3631+step_in</f>
        <v>-0.0296712560031684</v>
      </c>
      <c r="I3631" s="28" t="n">
        <f aca="false">Sens!$H$3631+step_in</f>
        <v>-0.0296712560031684</v>
      </c>
      <c r="J3631" s="28" t="n">
        <f aca="false">Sens!$I$3631+step_in</f>
        <v>-0.0296712560031684</v>
      </c>
      <c r="K3631" s="28" t="n">
        <f aca="false">Sens!$J$3631+step_in</f>
        <v>-0.0296712560031684</v>
      </c>
      <c r="L3631" s="28" t="n">
        <f aca="false">Sens!$K$3631</f>
        <v>-0.0296712560031684</v>
      </c>
      <c r="M3631" s="28" t="n">
        <f aca="false">Sens!$L$3631</f>
        <v>-0.0296712560031684</v>
      </c>
      <c r="N3631" s="28" t="n">
        <f aca="false">(Sens!$N$3632-Sens!$N$3628+Sens!$N$3630)/Sens!$N$3629</f>
        <v>-0.0216602600421776</v>
      </c>
      <c r="O3631" s="28" t="n">
        <f aca="false">(Sens!$O$3632-Sens!$O$3628+Sens!$O$3630)/Sens!$O$3629</f>
        <v>-0.0387552477482538</v>
      </c>
      <c r="P3631" s="8" t="s">
        <v>735</v>
      </c>
    </row>
    <row r="3632" customFormat="false" ht="17.15" hidden="false" customHeight="false" outlineLevel="0" collapsed="false">
      <c r="A3632" s="1" t="s">
        <v>741</v>
      </c>
      <c r="B3632" s="8" t="s">
        <v>86</v>
      </c>
      <c r="C3632" s="38" t="n">
        <f aca="false">Q!$D$23</f>
        <v>3.792</v>
      </c>
      <c r="D3632" s="38" t="n">
        <f aca="false">Q!$E$23</f>
        <v>4.75</v>
      </c>
      <c r="E3632" s="38" t="n">
        <f aca="false">Q!$P$23</f>
        <v>3.141</v>
      </c>
      <c r="F3632" s="38" t="n">
        <f aca="false">Sens!$F$3628+Sens!$F$3629*Sens!$F$3631-Sens!$F$3630</f>
        <v>2.77628975993721</v>
      </c>
      <c r="G3632" s="38" t="n">
        <f aca="false">Sens!$E$3632+Sens!$F$3632</f>
        <v>5.91728975993721</v>
      </c>
      <c r="H3632" s="38" t="n">
        <f aca="false">Sens!$H$3628+Sens!$H$3629*Sens!$H$3631-Sens!$H$3630</f>
        <v>6.18860052573681</v>
      </c>
      <c r="I3632" s="38" t="n">
        <f aca="false">Sens!$I$3628+Sens!$I$3629*Sens!$I$3631-Sens!$I$3630</f>
        <v>5.73906974139474</v>
      </c>
      <c r="J3632" s="38" t="n">
        <f aca="false">Sens!$J$3628+Sens!$J$3629*Sens!$J$3631-Sens!$J$3630</f>
        <v>5.34074393695119</v>
      </c>
      <c r="K3632" s="38" t="n">
        <f aca="false">Sens!$K$3628+Sens!$K$3629*Sens!$K$3631-Sens!$K$3630</f>
        <v>4.7054586646822</v>
      </c>
      <c r="L3632" s="38" t="n">
        <f aca="false">Sens!$L$3628+Sens!$L$3629*Sens!$L$3631-Sens!$L$3630</f>
        <v>4.88428999052786</v>
      </c>
      <c r="M3632" s="38" t="n">
        <f aca="false">Sens!$M$3628+Sens!$M$3629*Sens!$M$3631-Sens!$M$3630</f>
        <v>5.89931338558769</v>
      </c>
      <c r="N3632" s="38" t="n">
        <f aca="false">Q!$N$23</f>
        <v>2.511</v>
      </c>
      <c r="O3632" s="38" t="n">
        <f aca="false">Q!$O$23</f>
        <v>2.239</v>
      </c>
    </row>
    <row r="3633" customFormat="false" ht="17.15" hidden="false" customHeight="false" outlineLevel="0" collapsed="false">
      <c r="A3633" s="0" t="s">
        <v>742</v>
      </c>
      <c r="B3633" s="0" t="s">
        <v>86</v>
      </c>
      <c r="C3633" s="38" t="n">
        <f aca="false">Sens!$C$3573</f>
        <v>1.64417882953695</v>
      </c>
      <c r="D3633" s="38" t="n">
        <f aca="false">Sens!$D$3573</f>
        <v>5.39125073772939</v>
      </c>
      <c r="E3633" s="38" t="n">
        <f aca="false">Sens!$E$3573</f>
        <v>2.42691120599613</v>
      </c>
      <c r="F3633" s="38" t="n">
        <f aca="false">Sens!$F$3573</f>
        <v>7.52148563094346</v>
      </c>
      <c r="G3633" s="38" t="n">
        <f aca="false">Sens!$G$3573</f>
        <v>9.94839683693959</v>
      </c>
      <c r="H3633" s="38" t="n">
        <f aca="false">Sens!$H$3573</f>
        <v>23.4804386990861</v>
      </c>
      <c r="I3633" s="38" t="n">
        <f aca="false">Sens!$I$3573</f>
        <v>30.9761745989143</v>
      </c>
      <c r="J3633" s="38" t="n">
        <f aca="false">Sens!$J$3573</f>
        <v>41.1930070746977</v>
      </c>
      <c r="K3633" s="38" t="n">
        <f aca="false">Sens!$K$3573</f>
        <v>45.9779211159428</v>
      </c>
      <c r="L3633" s="38" t="n">
        <f aca="false">Sens!$L$3573</f>
        <v>48.0352490919424</v>
      </c>
      <c r="M3633" s="38" t="n">
        <f aca="false">Sens!$M$3573</f>
        <v>47.4082976573265</v>
      </c>
      <c r="N3633" s="38" t="n">
        <f aca="false">Sens!$N$3573</f>
        <v>1.67921600037079</v>
      </c>
      <c r="O3633" s="38" t="n">
        <f aca="false">Sens!$O$3573</f>
        <v>3.71203473735861</v>
      </c>
    </row>
    <row r="3634" customFormat="false" ht="17.15" hidden="false" customHeight="false" outlineLevel="0" collapsed="false">
      <c r="A3634" s="0" t="s">
        <v>660</v>
      </c>
      <c r="B3634" s="0" t="s">
        <v>86</v>
      </c>
      <c r="C3634" s="38" t="n">
        <f aca="false">Sens!$C$3578</f>
        <v>38.1898211704631</v>
      </c>
      <c r="D3634" s="38" t="n">
        <f aca="false">Sens!$D$3578</f>
        <v>40.2147492622706</v>
      </c>
      <c r="E3634" s="38" t="n">
        <f aca="false">Sens!$E$3578</f>
        <v>28.3550887940039</v>
      </c>
      <c r="F3634" s="38" t="n">
        <f aca="false">Sens!$F$3578</f>
        <v>25.9529793149447</v>
      </c>
      <c r="G3634" s="38" t="n">
        <f aca="false">Sens!$G$3578</f>
        <v>54.3080681089486</v>
      </c>
      <c r="H3634" s="38" t="n">
        <f aca="false">Sens!$H$3578</f>
        <v>58.6145138005545</v>
      </c>
      <c r="I3634" s="38" t="n">
        <f aca="false">Sens!$I$3578</f>
        <v>65.956181757461</v>
      </c>
      <c r="J3634" s="38" t="n">
        <f aca="false">Sens!$J$3578</f>
        <v>73.7143902201921</v>
      </c>
      <c r="K3634" s="38" t="n">
        <f aca="false">Sens!$K$3578</f>
        <v>81.8229731444133</v>
      </c>
      <c r="L3634" s="38" t="n">
        <f aca="false">Sens!$L$3578</f>
        <v>90.8235001902987</v>
      </c>
      <c r="M3634" s="38" t="n">
        <f aca="false">Sens!$M$3578</f>
        <v>100.814085211232</v>
      </c>
      <c r="N3634" s="38" t="n">
        <f aca="false">Sens!$N$3578</f>
        <v>20.0277839996292</v>
      </c>
      <c r="O3634" s="38" t="n">
        <f aca="false">Sens!$O$3578</f>
        <v>20.1869652626414</v>
      </c>
    </row>
    <row r="3635" customFormat="false" ht="17.15" hidden="false" customHeight="false" outlineLevel="0" collapsed="false">
      <c r="A3635" s="1" t="s">
        <v>743</v>
      </c>
      <c r="B3635" s="8" t="s">
        <v>86</v>
      </c>
      <c r="C3635" s="38" t="n">
        <f aca="false">Q!$D$24</f>
        <v>39.834</v>
      </c>
      <c r="D3635" s="38" t="n">
        <f aca="false">Q!$E$24</f>
        <v>45.606</v>
      </c>
      <c r="E3635" s="38" t="n">
        <f aca="false">Q!$P$24</f>
        <v>30.782</v>
      </c>
      <c r="F3635" s="38" t="n">
        <f aca="false">Sens!$F$3633+Sens!$F$3634</f>
        <v>33.4744649458882</v>
      </c>
      <c r="G3635" s="38" t="n">
        <f aca="false">Sens!$G$3633+Sens!$G$3634</f>
        <v>64.2564649458882</v>
      </c>
      <c r="H3635" s="38" t="n">
        <f aca="false">Sens!$H$3633+Sens!$H$3634</f>
        <v>82.0949524996406</v>
      </c>
      <c r="I3635" s="38" t="n">
        <f aca="false">Sens!$I$3633+Sens!$I$3634</f>
        <v>96.9323563563754</v>
      </c>
      <c r="J3635" s="38" t="n">
        <f aca="false">Sens!$J$3633+Sens!$J$3634</f>
        <v>114.90739729489</v>
      </c>
      <c r="K3635" s="38" t="n">
        <f aca="false">Sens!$K$3633+Sens!$K$3634</f>
        <v>127.800894260356</v>
      </c>
      <c r="L3635" s="38" t="n">
        <f aca="false">Sens!$L$3633+Sens!$L$3634</f>
        <v>138.858749282241</v>
      </c>
      <c r="M3635" s="38" t="n">
        <f aca="false">Sens!$M$3633+Sens!$M$3634</f>
        <v>148.222382868558</v>
      </c>
      <c r="N3635" s="38" t="n">
        <f aca="false">Q!$N$24</f>
        <v>21.707</v>
      </c>
      <c r="O3635" s="38" t="n">
        <f aca="false">Q!$O$24</f>
        <v>23.899</v>
      </c>
    </row>
    <row r="3636" customFormat="false" ht="17.15" hidden="false" customHeight="false" outlineLevel="0" collapsed="false">
      <c r="A3636" s="5" t="s">
        <v>744</v>
      </c>
      <c r="B3636" s="0" t="s">
        <v>86</v>
      </c>
      <c r="C3636" s="38" t="n">
        <f aca="false">Q!$D$26</f>
        <v>0</v>
      </c>
      <c r="D3636" s="38" t="n">
        <f aca="false">Q!$E$26</f>
        <v>0</v>
      </c>
      <c r="E3636" s="38" t="n">
        <f aca="false">Q!$P$26</f>
        <v>0</v>
      </c>
      <c r="F3636" s="39" t="n">
        <v>0</v>
      </c>
      <c r="G3636" s="38" t="n">
        <f aca="false">Sens!$E$3636+Sens!$F$3636</f>
        <v>0</v>
      </c>
      <c r="H3636" s="39" t="n">
        <v>0</v>
      </c>
      <c r="I3636" s="39" t="n">
        <v>0</v>
      </c>
      <c r="J3636" s="39" t="n">
        <v>0</v>
      </c>
      <c r="K3636" s="39" t="n">
        <v>0</v>
      </c>
      <c r="L3636" s="39" t="n">
        <v>0</v>
      </c>
      <c r="M3636" s="39" t="n">
        <v>0</v>
      </c>
      <c r="N3636" s="38" t="n">
        <f aca="false">Q!$N$26</f>
        <v>0</v>
      </c>
      <c r="O3636" s="38" t="n">
        <f aca="false">Q!$O$26</f>
        <v>0</v>
      </c>
    </row>
    <row r="3637" customFormat="false" ht="15" hidden="false" customHeight="false" outlineLevel="0" collapsed="false">
      <c r="A3637" s="3" t="s">
        <v>541</v>
      </c>
      <c r="B3637" s="8" t="s">
        <v>86</v>
      </c>
      <c r="C3637" s="38" t="n">
        <f aca="false">Q!$D$25</f>
        <v>68.593</v>
      </c>
      <c r="D3637" s="38" t="n">
        <f aca="false">Q!$E$25</f>
        <v>79.975</v>
      </c>
      <c r="E3637" s="38" t="n">
        <f aca="false">Q!$P$25</f>
        <v>51.313</v>
      </c>
      <c r="F3637" s="38" t="n">
        <f aca="false">Sens!$F$3627+Sens!$F$3632+Sens!$F$3635+Sens!$F$3636</f>
        <v>56.3652566987294</v>
      </c>
      <c r="G3637" s="38" t="n">
        <f aca="false">Sens!$G$3627+Sens!$G$3632+Sens!$G$3635+Sens!$G$3636</f>
        <v>107.678256698729</v>
      </c>
      <c r="H3637" s="38" t="n">
        <f aca="false">Sens!$H$3627+Sens!$H$3632+Sens!$H$3635+Sens!$H$3636</f>
        <v>129.903502211888</v>
      </c>
      <c r="I3637" s="38" t="n">
        <f aca="false">Sens!$I$3627+Sens!$I$3632+Sens!$I$3635+Sens!$I$3636</f>
        <v>146.655433454912</v>
      </c>
      <c r="J3637" s="38" t="n">
        <f aca="false">Sens!$J$3627+Sens!$J$3632+Sens!$J$3635+Sens!$J$3636</f>
        <v>166.780822728885</v>
      </c>
      <c r="K3637" s="38" t="n">
        <f aca="false">Sens!$K$3627+Sens!$K$3632+Sens!$K$3635+Sens!$K$3636</f>
        <v>180.927939668811</v>
      </c>
      <c r="L3637" s="38" t="n">
        <f aca="false">Sens!$L$3627+Sens!$L$3632+Sens!$L$3635+Sens!$L$3636</f>
        <v>194.739470948986</v>
      </c>
      <c r="M3637" s="38" t="n">
        <f aca="false">Sens!$M$3627+Sens!$M$3632+Sens!$M$3635+Sens!$M$3636</f>
        <v>210.00354621909</v>
      </c>
      <c r="N3637" s="38" t="n">
        <f aca="false">Q!$N$25</f>
        <v>37.576</v>
      </c>
      <c r="O3637" s="38" t="n">
        <f aca="false">Q!$O$25</f>
        <v>42.399</v>
      </c>
    </row>
    <row r="3638" customFormat="false" ht="17.15" hidden="false" customHeight="false" outlineLevel="0" collapsed="false">
      <c r="A3638" s="24" t="s">
        <v>775</v>
      </c>
      <c r="B3638" s="25" t="s">
        <v>86</v>
      </c>
      <c r="C3638" s="41" t="n">
        <f aca="false">Sens!$C$3627+Sens!$C$3632+Sens!$C$3635+Sens!$C$3636-Sens!$C$3637</f>
        <v>0</v>
      </c>
      <c r="D3638" s="41" t="n">
        <f aca="false">Sens!$D$3627+Sens!$D$3632+Sens!$D$3635+Sens!$D$3636-Sens!$D$3637</f>
        <v>0</v>
      </c>
      <c r="E3638" s="41" t="n">
        <f aca="false">Sens!$E$3627+Sens!$E$3632+Sens!$E$3635+Sens!$E$3636-Sens!$E$3637</f>
        <v>0</v>
      </c>
      <c r="F3638" s="41" t="n">
        <f aca="false">Sens!$F$3627+Sens!$F$3632+Sens!$F$3635+Sens!$F$3636-Sens!$F$3637</f>
        <v>0</v>
      </c>
      <c r="G3638" s="41" t="n">
        <f aca="false">Sens!$G$3627+Sens!$G$3632+Sens!$G$3635+Sens!$G$3636-Sens!$G$3637</f>
        <v>0</v>
      </c>
      <c r="H3638" s="41" t="n">
        <f aca="false">Sens!$H$3627+Sens!$H$3632+Sens!$H$3635+Sens!$H$3636-Sens!$H$3637</f>
        <v>0</v>
      </c>
      <c r="I3638" s="41" t="n">
        <f aca="false">Sens!$I$3627+Sens!$I$3632+Sens!$I$3635+Sens!$I$3636-Sens!$I$3637</f>
        <v>0</v>
      </c>
      <c r="J3638" s="41" t="n">
        <f aca="false">Sens!$J$3627+Sens!$J$3632+Sens!$J$3635+Sens!$J$3636-Sens!$J$3637</f>
        <v>0</v>
      </c>
      <c r="K3638" s="41" t="n">
        <f aca="false">Sens!$K$3627+Sens!$K$3632+Sens!$K$3635+Sens!$K$3636-Sens!$K$3637</f>
        <v>0</v>
      </c>
      <c r="L3638" s="41" t="n">
        <f aca="false">Sens!$L$3627+Sens!$L$3632+Sens!$L$3635+Sens!$L$3636-Sens!$L$3637</f>
        <v>0</v>
      </c>
      <c r="M3638" s="41" t="n">
        <f aca="false">Sens!$M$3627+Sens!$M$3632+Sens!$M$3635+Sens!$M$3636-Sens!$M$3637</f>
        <v>0</v>
      </c>
      <c r="N3638" s="41" t="n">
        <f aca="false">Sens!$N$3627+Sens!$N$3632+Sens!$N$3635+Sens!$N$3636-Sens!$N$3637</f>
        <v>0</v>
      </c>
      <c r="O3638" s="41" t="n">
        <f aca="false">Sens!$O$3627+Sens!$O$3632+Sens!$O$3635+Sens!$O$3636-Sens!$O$3637</f>
        <v>0</v>
      </c>
    </row>
    <row r="3639" customFormat="false" ht="17.15" hidden="false" customHeight="false" outlineLevel="0" collapsed="false">
      <c r="A3639" s="5" t="s">
        <v>746</v>
      </c>
      <c r="B3639" s="0" t="s">
        <v>86</v>
      </c>
      <c r="C3639" s="38" t="n">
        <f aca="false">Sens!$C$3575</f>
        <v>0</v>
      </c>
      <c r="D3639" s="38" t="n">
        <f aca="false">Sens!$D$3575</f>
        <v>0</v>
      </c>
      <c r="E3639" s="38" t="n">
        <f aca="false">Sens!$E$3575</f>
        <v>0</v>
      </c>
      <c r="F3639" s="38" t="n">
        <f aca="false">Sens!$F$3575</f>
        <v>3.77122048175818</v>
      </c>
      <c r="G3639" s="38" t="n">
        <f aca="false">Sens!$G$3575</f>
        <v>3.77122048175818</v>
      </c>
      <c r="H3639" s="38" t="n">
        <f aca="false">Sens!$H$3575</f>
        <v>15.1635543609893</v>
      </c>
      <c r="I3639" s="38" t="n">
        <f aca="false">Sens!$I$3575</f>
        <v>25.5818843619889</v>
      </c>
      <c r="J3639" s="38" t="n">
        <f aca="false">Sens!$J$3575</f>
        <v>36.0465624179122</v>
      </c>
      <c r="K3639" s="38" t="n">
        <f aca="false">Sens!$K$3575</f>
        <v>44.9741164026038</v>
      </c>
      <c r="L3639" s="38" t="n">
        <f aca="false">Sens!$L$3575</f>
        <v>50.8413488057813</v>
      </c>
      <c r="M3639" s="38" t="n">
        <f aca="false">Sens!$M$3575</f>
        <v>53.6407214274315</v>
      </c>
      <c r="N3639" s="38" t="n">
        <f aca="false">Sens!$N$3575</f>
        <v>0</v>
      </c>
      <c r="O3639" s="38" t="n">
        <f aca="false">Sens!$O$3575</f>
        <v>0</v>
      </c>
      <c r="P3639" s="5" t="s">
        <v>747</v>
      </c>
    </row>
    <row r="3640" customFormat="false" ht="17.15" hidden="false" customHeight="false" outlineLevel="0" collapsed="false">
      <c r="A3640" s="5" t="s">
        <v>748</v>
      </c>
      <c r="B3640" s="0" t="s">
        <v>86</v>
      </c>
      <c r="C3640" s="38" t="n">
        <f aca="false">Sens!$C$3637+Sens!$C$3639</f>
        <v>68.593</v>
      </c>
      <c r="D3640" s="38" t="n">
        <f aca="false">Sens!$D$3637+Sens!$D$3639</f>
        <v>79.975</v>
      </c>
      <c r="E3640" s="38" t="n">
        <f aca="false">Sens!$E$3637+Sens!$E$3639</f>
        <v>51.313</v>
      </c>
      <c r="F3640" s="38" t="n">
        <f aca="false">Sens!$F$3637+Sens!$F$3639</f>
        <v>60.1364771804876</v>
      </c>
      <c r="G3640" s="38" t="n">
        <f aca="false">Sens!$G$3637+Sens!$G$3639</f>
        <v>111.449477180488</v>
      </c>
      <c r="H3640" s="38" t="n">
        <f aca="false">Sens!$H$3637+Sens!$H$3639</f>
        <v>145.067056572877</v>
      </c>
      <c r="I3640" s="38" t="n">
        <f aca="false">Sens!$I$3637+Sens!$I$3639</f>
        <v>172.237317816901</v>
      </c>
      <c r="J3640" s="38" t="n">
        <f aca="false">Sens!$J$3637+Sens!$J$3639</f>
        <v>202.827385146797</v>
      </c>
      <c r="K3640" s="38" t="n">
        <f aca="false">Sens!$K$3637+Sens!$K$3639</f>
        <v>225.902056071415</v>
      </c>
      <c r="L3640" s="38" t="n">
        <f aca="false">Sens!$L$3637+Sens!$L$3639</f>
        <v>245.580819754767</v>
      </c>
      <c r="M3640" s="38" t="n">
        <f aca="false">Sens!$M$3637+Sens!$M$3639</f>
        <v>263.644267646522</v>
      </c>
      <c r="N3640" s="38" t="n">
        <f aca="false">Sens!$N$3637+Sens!$N$3639</f>
        <v>37.576</v>
      </c>
      <c r="O3640" s="38" t="n">
        <f aca="false">Sens!$O$3637+Sens!$O$3639</f>
        <v>42.399</v>
      </c>
    </row>
    <row r="3641" customFormat="false" ht="17.15" hidden="false" customHeight="false" outlineLevel="0" collapsed="false">
      <c r="A3641" s="0" t="s">
        <v>749</v>
      </c>
      <c r="B3641" s="0" t="s">
        <v>52</v>
      </c>
      <c r="C3641" s="13" t="n">
        <f aca="false">Sens!$C$3627/Sens!$C$3612</f>
        <v>0.0644314665661928</v>
      </c>
      <c r="D3641" s="13" t="n">
        <f aca="false">Sens!$D$3627/Sens!$D$3612</f>
        <v>0.0694784250712518</v>
      </c>
      <c r="E3641" s="13" t="n">
        <f aca="false">Sens!$E$3627/Sens!$E$3612</f>
        <v>0.0789306463326071</v>
      </c>
      <c r="F3641" s="13" t="n">
        <f aca="false">Sens!$F$3627/Sens!$F$3612</f>
        <v>0.0802526339438384</v>
      </c>
      <c r="G3641" s="13" t="n">
        <f aca="false">Sens!$G$3627/Sens!$G$3612</f>
        <v>0.0796341940538369</v>
      </c>
      <c r="H3641" s="13" t="n">
        <f aca="false">Sens!$H$3627/Sens!$H$3612</f>
        <v>0.0798254462645258</v>
      </c>
      <c r="I3641" s="13" t="n">
        <f aca="false">Sens!$I$3627/Sens!$I$3612</f>
        <v>0.0771454543672196</v>
      </c>
      <c r="J3641" s="13" t="n">
        <f aca="false">Sens!$J$3627/Sens!$J$3612</f>
        <v>0.0756147693819656</v>
      </c>
      <c r="K3641" s="13" t="n">
        <f aca="false">Sens!$K$3627/Sens!$K$3612</f>
        <v>0.0739025926520816</v>
      </c>
      <c r="L3641" s="13" t="n">
        <f aca="false">Sens!$L$3627/Sens!$L$3612</f>
        <v>0.0730809201558074</v>
      </c>
      <c r="M3641" s="13" t="n">
        <f aca="false">Sens!$M$3627/Sens!$M$3612</f>
        <v>0.0751707027775199</v>
      </c>
      <c r="N3641" s="13" t="n">
        <f aca="false">Sens!$N$3627/Sens!$N$3612</f>
        <v>0.069228576611127</v>
      </c>
      <c r="O3641" s="13" t="n">
        <f aca="false">Sens!$O$3627/Sens!$O$3612</f>
        <v>0.069685022498393</v>
      </c>
    </row>
    <row r="3642" customFormat="false" ht="17.15" hidden="false" customHeight="false" outlineLevel="0" collapsed="false">
      <c r="A3642" s="0" t="s">
        <v>750</v>
      </c>
      <c r="B3642" s="0" t="s">
        <v>52</v>
      </c>
      <c r="C3642" s="13" t="n">
        <f aca="false">Sens!$C$3632/Sens!$C$3613</f>
        <v>0.026534925055631</v>
      </c>
      <c r="D3642" s="13" t="n">
        <f aca="false">Sens!$D$3632/Sens!$D$3613</f>
        <v>0.0293401855535103</v>
      </c>
      <c r="E3642" s="13" t="n">
        <f aca="false">Sens!$E$3632/Sens!$E$3613</f>
        <v>0.03831141902276</v>
      </c>
      <c r="F3642" s="13" t="n">
        <f aca="false">Sens!$F$3632/Sens!$F$3613</f>
        <v>0.0282118989524726</v>
      </c>
      <c r="G3642" s="13" t="n">
        <f aca="false">Sens!$G$3632/Sens!$G$3613</f>
        <v>0.0328019468674976</v>
      </c>
      <c r="H3642" s="13" t="n">
        <f aca="false">Sens!$H$3632/Sens!$H$3613</f>
        <v>0.0309879507899839</v>
      </c>
      <c r="I3642" s="13" t="n">
        <f aca="false">Sens!$I$3632/Sens!$I$3613</f>
        <v>0.0262795332043765</v>
      </c>
      <c r="J3642" s="13" t="n">
        <f aca="false">Sens!$J$3632/Sens!$J$3613</f>
        <v>0.0226574435353346</v>
      </c>
      <c r="K3642" s="13" t="n">
        <f aca="false">Sens!$K$3632/Sens!$K$3613</f>
        <v>0.0187492205871101</v>
      </c>
      <c r="L3642" s="13" t="n">
        <f aca="false">Sens!$L$3632/Sens!$L$3613</f>
        <v>0.018273690180732</v>
      </c>
      <c r="M3642" s="13" t="n">
        <f aca="false">Sens!$M$3632/Sens!$M$3613</f>
        <v>0.0207176218272716</v>
      </c>
      <c r="N3642" s="13" t="n">
        <f aca="false">Sens!$N$3632/Sens!$N$3613</f>
        <v>0.0357315650169337</v>
      </c>
      <c r="O3642" s="13" t="n">
        <f aca="false">Sens!$O$3632/Sens!$O$3613</f>
        <v>0.0244378956559703</v>
      </c>
    </row>
    <row r="3643" customFormat="false" ht="17.15" hidden="false" customHeight="false" outlineLevel="0" collapsed="false">
      <c r="A3643" s="14" t="s">
        <v>751</v>
      </c>
      <c r="B3643" s="14" t="s">
        <v>52</v>
      </c>
      <c r="C3643" s="17" t="n">
        <f aca="false">Sens!$C$3635/Sens!$C$3614</f>
        <v>0.370355907620217</v>
      </c>
      <c r="D3643" s="17" t="n">
        <f aca="false">Sens!$D$3635/Sens!$D$3614</f>
        <v>0.35429015342785</v>
      </c>
      <c r="E3643" s="17" t="n">
        <f aca="false">Sens!$E$3635/Sens!$E$3614</f>
        <v>0.385647527531039</v>
      </c>
      <c r="F3643" s="17" t="n">
        <f aca="false">Sens!$F$3635/Sens!$F$3614</f>
        <v>0.385949613469105</v>
      </c>
      <c r="G3643" s="17" t="n">
        <f aca="false">Sens!$G$3635/Sens!$G$3614</f>
        <v>0.385804840448779</v>
      </c>
      <c r="H3643" s="17" t="n">
        <f aca="false">Sens!$H$3635/Sens!$H$3614</f>
        <v>0.369371054700313</v>
      </c>
      <c r="I3643" s="17" t="n">
        <f aca="false">Sens!$I$3635/Sens!$I$3614</f>
        <v>0.341435898021761</v>
      </c>
      <c r="J3643" s="17" t="n">
        <f aca="false">Sens!$J$3635/Sens!$J$3614</f>
        <v>0.33126729531474</v>
      </c>
      <c r="K3643" s="17" t="n">
        <f aca="false">Sens!$K$3635/Sens!$K$3614</f>
        <v>0.31577763887586</v>
      </c>
      <c r="L3643" s="17" t="n">
        <f aca="false">Sens!$L$3635/Sens!$L$3614</f>
        <v>0.306607486236403</v>
      </c>
      <c r="M3643" s="17" t="n">
        <f aca="false">Sens!$M$3635/Sens!$M$3614</f>
        <v>0.301496300492837</v>
      </c>
      <c r="N3643" s="17" t="n">
        <f aca="false">Sens!$N$3635/Sens!$N$3614</f>
        <v>0.360941137346192</v>
      </c>
      <c r="O3643" s="17" t="n">
        <f aca="false">Sens!$O$3635/Sens!$O$3614</f>
        <v>0.348458117664212</v>
      </c>
    </row>
    <row r="3644" customFormat="false" ht="17.15" hidden="false" customHeight="false" outlineLevel="0" collapsed="false">
      <c r="A3644" s="0" t="s">
        <v>752</v>
      </c>
      <c r="B3644" s="0" t="s">
        <v>52</v>
      </c>
      <c r="C3644" s="13" t="n">
        <f aca="false">Sens!$C$3633/Sens!$C$3615</f>
        <v>0.708390794789371</v>
      </c>
      <c r="D3644" s="13" t="n">
        <f aca="false">Sens!$D$3633/Sens!$D$3615</f>
        <v>0.619415573115729</v>
      </c>
      <c r="E3644" s="13" t="n">
        <f aca="false">Sens!$E$3633/Sens!$E$3615</f>
        <v>0.285171627189009</v>
      </c>
      <c r="F3644" s="13" t="n">
        <f aca="false">Sens!$F$3633/Sens!$F$3615</f>
        <v>0.502657732812366</v>
      </c>
      <c r="G3644" s="13" t="n">
        <f aca="false">Sens!$G$3633/Sens!$G$3615</f>
        <v>0.423808778611812</v>
      </c>
      <c r="H3644" s="13" t="n">
        <f aca="false">Sens!$H$3633/Sens!$H$3615</f>
        <v>0.390261631739809</v>
      </c>
      <c r="I3644" s="13" t="n">
        <f aca="false">Sens!$I$3633/Sens!$I$3615</f>
        <v>0.305172864264572</v>
      </c>
      <c r="J3644" s="13" t="n">
        <f aca="false">Sens!$J$3633/Sens!$J$3615</f>
        <v>0.288011814789856</v>
      </c>
      <c r="K3644" s="13" t="n">
        <f aca="false">Sens!$K$3633/Sens!$K$3615</f>
        <v>0.25765427518774</v>
      </c>
      <c r="L3644" s="13" t="n">
        <f aca="false">Sens!$L$3633/Sens!$L$3615</f>
        <v>0.238118778012374</v>
      </c>
      <c r="M3644" s="13" t="n">
        <f aca="false">Sens!$M$3633/Sens!$M$3615</f>
        <v>0.222746255757109</v>
      </c>
      <c r="N3644" s="13" t="n">
        <f aca="false">Sens!$N$3633/Sens!$N$3615</f>
        <v>0.551227795793364</v>
      </c>
      <c r="O3644" s="13" t="n">
        <f aca="false">Sens!$O$3633/Sens!$O$3615</f>
        <v>0.656132068597002</v>
      </c>
    </row>
    <row r="3645" customFormat="false" ht="15" hidden="false" customHeight="false" outlineLevel="0" collapsed="false">
      <c r="A3645" s="5" t="s">
        <v>753</v>
      </c>
      <c r="B3645" s="0" t="s">
        <v>52</v>
      </c>
      <c r="C3645" s="13" t="n">
        <f aca="false">Sens!$C$3637/Sens!$C$3617</f>
        <v>0.107519448742004</v>
      </c>
      <c r="D3645" s="13" t="n">
        <f aca="false">Sens!$D$3637/Sens!$D$3617</f>
        <v>0.111552967957552</v>
      </c>
      <c r="E3645" s="13" t="n">
        <f aca="false">Sens!$E$3637/Sens!$E$3617</f>
        <v>0.13428328426562</v>
      </c>
      <c r="F3645" s="13" t="n">
        <f aca="false">Sens!$F$3637/Sens!$F$3617</f>
        <v>0.129343087287827</v>
      </c>
      <c r="G3645" s="13" t="n">
        <f aca="false">Sens!$G$3637/Sens!$G$3617</f>
        <v>0.131651143259596</v>
      </c>
      <c r="H3645" s="13" t="n">
        <f aca="false">Sens!$H$3637/Sens!$H$3617</f>
        <v>0.137704030416397</v>
      </c>
      <c r="I3645" s="13" t="n">
        <f aca="false">Sens!$I$3637/Sens!$I$3617</f>
        <v>0.136751149653482</v>
      </c>
      <c r="J3645" s="13" t="n">
        <f aca="false">Sens!$J$3637/Sens!$J$3617</f>
        <v>0.139218305860943</v>
      </c>
      <c r="K3645" s="13" t="n">
        <f aca="false">Sens!$K$3637/Sens!$K$3617</f>
        <v>0.138018693268824</v>
      </c>
      <c r="L3645" s="13" t="n">
        <f aca="false">Sens!$L$3637/Sens!$L$3617</f>
        <v>0.137335762601231</v>
      </c>
      <c r="M3645" s="13" t="n">
        <f aca="false">Sens!$M$3637/Sens!$M$3617</f>
        <v>0.138181094280084</v>
      </c>
      <c r="N3645" s="13" t="n">
        <f aca="false">Sens!$N$3637/Sens!$N$3617</f>
        <v>0.116201614873411</v>
      </c>
      <c r="O3645" s="13" t="n">
        <f aca="false">Sens!$O$3637/Sens!$O$3617</f>
        <v>0.107733353660861</v>
      </c>
    </row>
    <row r="3646" customFormat="false" ht="17.15" hidden="false" customHeight="false" outlineLevel="0" collapsed="false">
      <c r="A3646" s="1" t="s">
        <v>754</v>
      </c>
    </row>
    <row r="3647" customFormat="false" ht="17.15" hidden="false" customHeight="false" outlineLevel="0" collapsed="false">
      <c r="A3647" s="5" t="s">
        <v>755</v>
      </c>
      <c r="B3647" s="0" t="s">
        <v>52</v>
      </c>
      <c r="D3647" s="28" t="n">
        <f aca="false">(Q!$E$29+Q!$E$30-(1-ext_sh)*Sens!$D$3569)/Sens!$D$3520</f>
        <v>0.0341105596409988</v>
      </c>
    </row>
    <row r="3648" customFormat="false" ht="17.15" hidden="false" customHeight="false" outlineLevel="0" collapsed="false">
      <c r="A3648" s="0" t="s">
        <v>545</v>
      </c>
      <c r="B3648" s="0" t="s">
        <v>86</v>
      </c>
      <c r="C3648" s="38" t="n">
        <f aca="false">Q!$D$29</f>
        <v>14.285</v>
      </c>
      <c r="D3648" s="38" t="n">
        <f aca="false">Q!$E$29</f>
        <v>15.503</v>
      </c>
      <c r="E3648" s="38" t="n">
        <f aca="false">Q!$P$29</f>
        <v>8.78</v>
      </c>
      <c r="F3648" s="38" t="n">
        <f aca="false">(Sens!$D$3647*Sens!$F$3520+(1-ext_sh)*Sens!$F$3569)*Sens!$F$3521</f>
        <v>9.30317620449232</v>
      </c>
      <c r="G3648" s="38" t="n">
        <f aca="false">Sens!$E$3648+Sens!$F$3648</f>
        <v>18.0831762044923</v>
      </c>
      <c r="H3648" s="38" t="n">
        <f aca="false">(Sens!$D$3647*Sens!$H$3520+(1-ext_sh)*Sens!$H$3569)*Sens!$H$3521</f>
        <v>22.1297245338482</v>
      </c>
      <c r="I3648" s="38" t="n">
        <f aca="false">(Sens!$D$3647*Sens!$I$3520+(1-ext_sh)*Sens!$I$3569)*Sens!$I$3521</f>
        <v>28.409695984391</v>
      </c>
      <c r="J3648" s="38" t="n">
        <f aca="false">(Sens!$D$3647*Sens!$J$3520+(1-ext_sh)*Sens!$J$3569)*Sens!$J$3521</f>
        <v>34.1085606174579</v>
      </c>
      <c r="K3648" s="38" t="n">
        <f aca="false">(Sens!$D$3647*Sens!$K$3520+(1-ext_sh)*Sens!$K$3569)*Sens!$K$3521</f>
        <v>39.7218983009068</v>
      </c>
      <c r="L3648" s="38" t="n">
        <f aca="false">(Sens!$D$3647*Sens!$L$3520+(1-ext_sh)*Sens!$L$3569)*Sens!$L$3521</f>
        <v>44.1680279486684</v>
      </c>
      <c r="M3648" s="38" t="n">
        <f aca="false">(Sens!$D$3647*Sens!$M$3520+(1-ext_sh)*Sens!$M$3569)*Sens!$M$3521</f>
        <v>47.4413073313286</v>
      </c>
      <c r="N3648" s="38" t="n">
        <f aca="false">Q!$N$29</f>
        <v>7.272</v>
      </c>
      <c r="O3648" s="38" t="n">
        <f aca="false">Q!$O$29</f>
        <v>8.231</v>
      </c>
    </row>
    <row r="3649" customFormat="false" ht="17.15" hidden="false" customHeight="false" outlineLevel="0" collapsed="false">
      <c r="A3649" s="0" t="s">
        <v>547</v>
      </c>
      <c r="B3649" s="0" t="s">
        <v>86</v>
      </c>
      <c r="C3649" s="38" t="n">
        <f aca="false">Q!$D$30</f>
        <v>4.462</v>
      </c>
      <c r="D3649" s="38" t="n">
        <f aca="false">Q!$E$30</f>
        <v>4.907</v>
      </c>
      <c r="E3649" s="38" t="n">
        <f aca="false">Q!$P$30</f>
        <v>2.57</v>
      </c>
      <c r="F3649" s="38" t="n">
        <f aca="false">(Sens!$D$3647*Sens!$F$3520+(1-ext_sh)*Sens!$F$3569)*(1-Sens!$F$3521)</f>
        <v>3.6526976809753</v>
      </c>
      <c r="G3649" s="38" t="n">
        <f aca="false">Sens!$E$3649+Sens!$F$3649</f>
        <v>6.2226976809753</v>
      </c>
      <c r="H3649" s="38" t="n">
        <f aca="false">(Sens!$D$3647*Sens!$H$3520+(1-ext_sh)*Sens!$H$3569)*(1-Sens!$H$3521)</f>
        <v>8.4764774248495</v>
      </c>
      <c r="I3649" s="38" t="n">
        <f aca="false">(Sens!$D$3647*Sens!$I$3520+(1-ext_sh)*Sens!$I$3569)*(1-Sens!$I$3521)</f>
        <v>10.881931507561</v>
      </c>
      <c r="J3649" s="38" t="n">
        <f aca="false">(Sens!$D$3647*Sens!$J$3520+(1-ext_sh)*Sens!$J$3569)*(1-Sens!$J$3521)</f>
        <v>13.0648008575874</v>
      </c>
      <c r="K3649" s="38" t="n">
        <f aca="false">(Sens!$D$3647*Sens!$K$3520+(1-ext_sh)*Sens!$K$3569)*(1-Sens!$K$3521)</f>
        <v>15.2149103214008</v>
      </c>
      <c r="L3649" s="38" t="n">
        <f aca="false">(Sens!$D$3647*Sens!$L$3520+(1-ext_sh)*Sens!$L$3569)*(1-Sens!$L$3521)</f>
        <v>16.9179372854085</v>
      </c>
      <c r="M3649" s="38" t="n">
        <f aca="false">(Sens!$D$3647*Sens!$M$3520+(1-ext_sh)*Sens!$M$3569)*(1-Sens!$M$3521)</f>
        <v>18.1717205735785</v>
      </c>
      <c r="N3649" s="38" t="n">
        <f aca="false">Q!$N$30</f>
        <v>2.316</v>
      </c>
      <c r="O3649" s="38" t="n">
        <f aca="false">Q!$O$30</f>
        <v>2.591</v>
      </c>
    </row>
    <row r="3650" customFormat="false" ht="17.15" hidden="false" customHeight="false" outlineLevel="0" collapsed="false">
      <c r="A3650" s="0" t="s">
        <v>548</v>
      </c>
      <c r="B3650" s="0" t="s">
        <v>86</v>
      </c>
      <c r="C3650" s="38" t="n">
        <f aca="false">Sens!$C$3581</f>
        <v>13.32</v>
      </c>
      <c r="D3650" s="38" t="n">
        <f aca="false">Sens!$D$3581</f>
        <v>21.45</v>
      </c>
      <c r="E3650" s="38" t="n">
        <f aca="false">Sens!$E$3581</f>
        <v>15.353</v>
      </c>
      <c r="F3650" s="38" t="n">
        <f aca="false">Sens!$F$3581</f>
        <v>16.1969869840094</v>
      </c>
      <c r="G3650" s="38" t="n">
        <f aca="false">Sens!$G$3581</f>
        <v>31.5499869840094</v>
      </c>
      <c r="H3650" s="38" t="n">
        <f aca="false">Sens!$H$3581</f>
        <v>51.1350199938039</v>
      </c>
      <c r="I3650" s="38" t="n">
        <f aca="false">Sens!$I$3581</f>
        <v>80.0702334826635</v>
      </c>
      <c r="J3650" s="38" t="n">
        <f aca="false">Sens!$J$3581</f>
        <v>106.645473742157</v>
      </c>
      <c r="K3650" s="38" t="n">
        <f aca="false">Sens!$K$3581</f>
        <v>133.934362396215</v>
      </c>
      <c r="L3650" s="38" t="n">
        <f aca="false">Sens!$L$3581</f>
        <v>154.653335008285</v>
      </c>
      <c r="M3650" s="38" t="n">
        <f aca="false">Sens!$M$3581</f>
        <v>168.777030600295</v>
      </c>
      <c r="N3650" s="38" t="n">
        <f aca="false">Sens!$N$3581</f>
        <v>9.234</v>
      </c>
      <c r="O3650" s="38" t="n">
        <f aca="false">Sens!$O$3581</f>
        <v>12.216</v>
      </c>
    </row>
    <row r="3651" customFormat="false" ht="17.15" hidden="false" customHeight="false" outlineLevel="0" collapsed="false">
      <c r="A3651" s="5" t="s">
        <v>756</v>
      </c>
      <c r="B3651" s="0" t="s">
        <v>86</v>
      </c>
      <c r="C3651" s="38" t="n">
        <f aca="false">Sens!$C$3648+Sens!$C$3649+Sens!$C$3650</f>
        <v>32.067</v>
      </c>
      <c r="D3651" s="38" t="n">
        <f aca="false">Sens!$D$3648+Sens!$D$3649+Sens!$D$3650</f>
        <v>41.86</v>
      </c>
      <c r="E3651" s="38" t="n">
        <f aca="false">Sens!$E$3648+Sens!$E$3649+Sens!$E$3650</f>
        <v>26.703</v>
      </c>
      <c r="F3651" s="38" t="n">
        <f aca="false">Sens!$F$3648+Sens!$F$3649+Sens!$F$3650</f>
        <v>29.152860869477</v>
      </c>
      <c r="G3651" s="38" t="n">
        <f aca="false">Sens!$G$3648+Sens!$G$3649+Sens!$G$3650</f>
        <v>55.855860869477</v>
      </c>
      <c r="H3651" s="38" t="n">
        <f aca="false">Sens!$H$3648+Sens!$H$3649+Sens!$H$3650</f>
        <v>81.7412219525016</v>
      </c>
      <c r="I3651" s="38" t="n">
        <f aca="false">Sens!$I$3648+Sens!$I$3649+Sens!$I$3650</f>
        <v>119.361860974615</v>
      </c>
      <c r="J3651" s="38" t="n">
        <f aca="false">Sens!$J$3648+Sens!$J$3649+Sens!$J$3650</f>
        <v>153.818835217203</v>
      </c>
      <c r="K3651" s="38" t="n">
        <f aca="false">Sens!$K$3648+Sens!$K$3649+Sens!$K$3650</f>
        <v>188.871171018523</v>
      </c>
      <c r="L3651" s="38" t="n">
        <f aca="false">Sens!$L$3648+Sens!$L$3649+Sens!$L$3650</f>
        <v>215.739300242362</v>
      </c>
      <c r="M3651" s="38" t="n">
        <f aca="false">Sens!$M$3648+Sens!$M$3649+Sens!$M$3650</f>
        <v>234.390058505202</v>
      </c>
      <c r="N3651" s="38" t="n">
        <f aca="false">Sens!$N$3648+Sens!$N$3649+Sens!$N$3650</f>
        <v>18.822</v>
      </c>
      <c r="O3651" s="38" t="n">
        <f aca="false">Sens!$O$3648+Sens!$O$3649+Sens!$O$3650</f>
        <v>23.038</v>
      </c>
    </row>
    <row r="3652" customFormat="false" ht="17.15" hidden="false" customHeight="false" outlineLevel="0" collapsed="false">
      <c r="A3652" s="0" t="s">
        <v>757</v>
      </c>
      <c r="B3652" s="0" t="s">
        <v>86</v>
      </c>
      <c r="C3652" s="38" t="n">
        <f aca="false">Sens!$C$3623+Sens!$C$3628</f>
        <v>28.107</v>
      </c>
      <c r="D3652" s="38" t="n">
        <f aca="false">Sens!$D$3623+Sens!$D$3628</f>
        <v>34.3175</v>
      </c>
      <c r="E3652" s="38" t="n">
        <f aca="false">Sens!$E$3623+Sens!$E$3628</f>
        <v>18.526</v>
      </c>
      <c r="F3652" s="38" t="n">
        <f aca="false">Sens!$F$3623+Sens!$F$3628</f>
        <v>23.0786109972074</v>
      </c>
      <c r="G3652" s="38" t="n">
        <f aca="false">Sens!$G$3623+Sens!$G$3628</f>
        <v>41.6046109972074</v>
      </c>
      <c r="H3652" s="38" t="n">
        <f aca="false">Sens!$H$3623+Sens!$H$3628</f>
        <v>49.9484611939488</v>
      </c>
      <c r="I3652" s="38" t="n">
        <f aca="false">Sens!$I$3623+Sens!$I$3628</f>
        <v>58.2915555477481</v>
      </c>
      <c r="J3652" s="38" t="n">
        <f aca="false">Sens!$J$3623+Sens!$J$3628</f>
        <v>66.0744709709759</v>
      </c>
      <c r="K3652" s="38" t="n">
        <f aca="false">Sens!$K$3623+Sens!$K$3628</f>
        <v>72.6819180680735</v>
      </c>
      <c r="L3652" s="38" t="n">
        <f aca="false">Sens!$L$3623+Sens!$L$3628</f>
        <v>79.9501098748808</v>
      </c>
      <c r="M3652" s="38" t="n">
        <f aca="false">Sens!$M$3623+Sens!$M$3628</f>
        <v>87.9451208623689</v>
      </c>
      <c r="N3652" s="38" t="n">
        <f aca="false">Sens!$N$3623+Sens!$N$3628</f>
        <v>14.8075</v>
      </c>
      <c r="O3652" s="38" t="n">
        <f aca="false">Sens!$O$3623+Sens!$O$3628</f>
        <v>19.51</v>
      </c>
    </row>
    <row r="3653" customFormat="false" ht="17.15" hidden="false" customHeight="false" outlineLevel="0" collapsed="false">
      <c r="A3653" s="0" t="s">
        <v>758</v>
      </c>
      <c r="B3653" s="0" t="s">
        <v>86</v>
      </c>
      <c r="C3653" s="38" t="n">
        <f aca="false">Sens!$C$3627+Sens!$C$3632+Sens!$C$3648+Sens!$C$3649-Sens!$C$3652</f>
        <v>19.399</v>
      </c>
      <c r="D3653" s="38" t="n">
        <f aca="false">Sens!$D$3627+Sens!$D$3632+Sens!$D$3648+Sens!$D$3649-Sens!$D$3652</f>
        <v>20.4615</v>
      </c>
      <c r="E3653" s="38" t="n">
        <f aca="false">Sens!$E$3627+Sens!$E$3632+Sens!$E$3648+Sens!$E$3649-Sens!$E$3652</f>
        <v>13.355</v>
      </c>
      <c r="F3653" s="38" t="n">
        <f aca="false">Sens!$F$3627+Sens!$F$3632+Sens!$F$3648+Sens!$F$3649-Sens!$F$3652</f>
        <v>12.7680546411015</v>
      </c>
      <c r="G3653" s="38" t="n">
        <f aca="false">Sens!$G$3627+Sens!$G$3632+Sens!$G$3648+Sens!$G$3649-Sens!$G$3652</f>
        <v>26.1230546411015</v>
      </c>
      <c r="H3653" s="38" t="n">
        <f aca="false">Sens!$H$3627+Sens!$H$3632+Sens!$H$3648+Sens!$H$3649-Sens!$H$3652</f>
        <v>28.4662904769959</v>
      </c>
      <c r="I3653" s="38" t="n">
        <f aca="false">Sens!$I$3627+Sens!$I$3632+Sens!$I$3648+Sens!$I$3649-Sens!$I$3652</f>
        <v>30.7231490427408</v>
      </c>
      <c r="J3653" s="38" t="n">
        <f aca="false">Sens!$J$3627+Sens!$J$3632+Sens!$J$3648+Sens!$J$3649-Sens!$J$3652</f>
        <v>32.9723159380642</v>
      </c>
      <c r="K3653" s="38" t="n">
        <f aca="false">Sens!$K$3627+Sens!$K$3632+Sens!$K$3648+Sens!$K$3649-Sens!$K$3652</f>
        <v>35.3819359626894</v>
      </c>
      <c r="L3653" s="38" t="n">
        <f aca="false">Sens!$L$3627+Sens!$L$3632+Sens!$L$3648+Sens!$L$3649-Sens!$L$3652</f>
        <v>37.0165770259405</v>
      </c>
      <c r="M3653" s="38" t="n">
        <f aca="false">Sens!$M$3627+Sens!$M$3632+Sens!$M$3648+Sens!$M$3649-Sens!$M$3652</f>
        <v>39.4490703930704</v>
      </c>
      <c r="N3653" s="38" t="n">
        <f aca="false">Sens!$N$3627+Sens!$N$3632+Sens!$N$3648+Sens!$N$3649-Sens!$N$3652</f>
        <v>10.6495</v>
      </c>
      <c r="O3653" s="38" t="n">
        <f aca="false">Sens!$O$3627+Sens!$O$3632+Sens!$O$3648+Sens!$O$3649-Sens!$O$3652</f>
        <v>9.81200000000001</v>
      </c>
    </row>
    <row r="3654" customFormat="false" ht="17.15" hidden="false" customHeight="false" outlineLevel="0" collapsed="false">
      <c r="A3654" s="0" t="s">
        <v>759</v>
      </c>
      <c r="B3654" s="0" t="s">
        <v>86</v>
      </c>
      <c r="C3654" s="38" t="n">
        <f aca="false">Sens!$C$3634+Sens!$C$3650-ext_sh*Sens!$C$3569</f>
        <v>51.3470500115664</v>
      </c>
      <c r="D3654" s="38" t="n">
        <f aca="false">Sens!$D$3634+Sens!$D$3650-ext_sh*Sens!$D$3569</f>
        <v>60.2799375433739</v>
      </c>
      <c r="E3654" s="38" t="n">
        <f aca="false">Sens!$E$3634+Sens!$E$3650-ext_sh*Sens!$E$3569</f>
        <v>39.5095167090767</v>
      </c>
      <c r="F3654" s="38" t="n">
        <f aca="false">Sens!$F$3634+Sens!$F$3650-ext_sh*Sens!$F$3569</f>
        <v>37.951394214027</v>
      </c>
      <c r="G3654" s="38" t="n">
        <f aca="false">Sens!$G$3634+Sens!$G$3650-ext_sh*Sens!$G$3569</f>
        <v>77.4609109231037</v>
      </c>
      <c r="H3654" s="38" t="n">
        <f aca="false">Sens!$H$3634+Sens!$H$3650-ext_sh*Sens!$H$3569</f>
        <v>85.7127997873992</v>
      </c>
      <c r="I3654" s="38" t="n">
        <f aca="false">Sens!$I$3634+Sens!$I$3650-ext_sh*Sens!$I$3569</f>
        <v>96.4486205746722</v>
      </c>
      <c r="J3654" s="38" t="n">
        <f aca="false">Sens!$J$3634+Sens!$J$3650-ext_sh*Sens!$J$3569</f>
        <v>107.793554202164</v>
      </c>
      <c r="K3654" s="38" t="n">
        <f aca="false">Sens!$K$3634+Sens!$K$3650-ext_sh*Sens!$K$3569</f>
        <v>119.650845164402</v>
      </c>
      <c r="L3654" s="38" t="n">
        <f aca="false">Sens!$L$3634+Sens!$L$3650-ext_sh*Sens!$L$3569</f>
        <v>132.812438132486</v>
      </c>
      <c r="M3654" s="38" t="n">
        <f aca="false">Sens!$M$3634+Sens!$M$3650-ext_sh*Sens!$M$3569</f>
        <v>147.421806327059</v>
      </c>
      <c r="N3654" s="38" t="n">
        <f aca="false">Sens!$N$3634+Sens!$N$3650-ext_sh*Sens!$N$3569</f>
        <v>28.5693781401809</v>
      </c>
      <c r="O3654" s="38" t="n">
        <f aca="false">Sens!$O$3634+Sens!$O$3650-ext_sh*Sens!$O$3569</f>
        <v>31.7105594031931</v>
      </c>
    </row>
    <row r="3655" customFormat="false" ht="17.15" hidden="false" customHeight="false" outlineLevel="0" collapsed="false">
      <c r="A3655" s="0" t="s">
        <v>760</v>
      </c>
      <c r="B3655" s="0" t="s">
        <v>86</v>
      </c>
      <c r="C3655" s="38" t="n">
        <f aca="false">Sens!$C$3572</f>
        <v>1.80694998843362</v>
      </c>
      <c r="D3655" s="38" t="n">
        <f aca="false">Sens!$D$3572</f>
        <v>6.77606245662607</v>
      </c>
      <c r="E3655" s="38" t="n">
        <f aca="false">Sens!$E$3572</f>
        <v>6.62548329092326</v>
      </c>
      <c r="F3655" s="38" t="n">
        <f aca="false">Sens!$F$3572</f>
        <v>11.7200577158706</v>
      </c>
      <c r="G3655" s="38" t="n">
        <f aca="false">Sens!$G$3572</f>
        <v>18.3455410067939</v>
      </c>
      <c r="H3655" s="38" t="n">
        <f aca="false">Sens!$H$3572</f>
        <v>47.5171727060453</v>
      </c>
      <c r="I3655" s="38" t="n">
        <f aca="false">Sens!$I$3572</f>
        <v>80.5539692643667</v>
      </c>
      <c r="J3655" s="38" t="n">
        <f aca="false">Sens!$J$3572</f>
        <v>113.759316834883</v>
      </c>
      <c r="K3655" s="38" t="n">
        <f aca="false">Sens!$K$3572</f>
        <v>142.084411492169</v>
      </c>
      <c r="L3655" s="38" t="n">
        <f aca="false">Sens!$L$3572</f>
        <v>160.69964615804</v>
      </c>
      <c r="M3655" s="38" t="n">
        <f aca="false">Sens!$M$3572</f>
        <v>169.577607141793</v>
      </c>
      <c r="N3655" s="38" t="n">
        <f aca="false">Sens!$N$3572</f>
        <v>2.37162185981912</v>
      </c>
      <c r="O3655" s="38" t="n">
        <f aca="false">Sens!$O$3572</f>
        <v>4.40444059680694</v>
      </c>
    </row>
    <row r="3656" customFormat="false" ht="17.15" hidden="false" customHeight="false" outlineLevel="0" collapsed="false">
      <c r="A3656" s="0" t="s">
        <v>761</v>
      </c>
      <c r="B3656" s="0" t="s">
        <v>86</v>
      </c>
      <c r="C3656" s="38" t="n">
        <f aca="false">Sens!$C$3637+Sens!$C$3651</f>
        <v>100.66</v>
      </c>
      <c r="D3656" s="38" t="n">
        <f aca="false">Sens!$D$3637+Sens!$D$3651</f>
        <v>121.835</v>
      </c>
      <c r="E3656" s="38" t="n">
        <f aca="false">Sens!$E$3637+Sens!$E$3651</f>
        <v>78.016</v>
      </c>
      <c r="F3656" s="38" t="n">
        <f aca="false">Sens!$F$3637+Sens!$F$3651</f>
        <v>85.5181175682064</v>
      </c>
      <c r="G3656" s="38" t="n">
        <f aca="false">Sens!$G$3637+Sens!$G$3651</f>
        <v>163.534117568206</v>
      </c>
      <c r="H3656" s="38" t="n">
        <f aca="false">Sens!$H$3637+Sens!$H$3651</f>
        <v>211.644724164389</v>
      </c>
      <c r="I3656" s="38" t="n">
        <f aca="false">Sens!$I$3637+Sens!$I$3651</f>
        <v>266.017294429528</v>
      </c>
      <c r="J3656" s="38" t="n">
        <f aca="false">Sens!$J$3637+Sens!$J$3651</f>
        <v>320.599657946087</v>
      </c>
      <c r="K3656" s="38" t="n">
        <f aca="false">Sens!$K$3637+Sens!$K$3651</f>
        <v>369.799110687334</v>
      </c>
      <c r="L3656" s="38" t="n">
        <f aca="false">Sens!$L$3637+Sens!$L$3651</f>
        <v>410.478771191348</v>
      </c>
      <c r="M3656" s="38" t="n">
        <f aca="false">Sens!$M$3637+Sens!$M$3651</f>
        <v>444.393604724292</v>
      </c>
      <c r="N3656" s="38" t="n">
        <f aca="false">Sens!$N$3637+Sens!$N$3651</f>
        <v>56.398</v>
      </c>
      <c r="O3656" s="38" t="n">
        <f aca="false">Sens!$O$3637+Sens!$O$3651</f>
        <v>65.437</v>
      </c>
    </row>
    <row r="3657" customFormat="false" ht="17.15" hidden="false" customHeight="false" outlineLevel="0" collapsed="false">
      <c r="A3657" s="1" t="s">
        <v>762</v>
      </c>
    </row>
    <row r="3658" customFormat="false" ht="15" hidden="false" customHeight="false" outlineLevel="0" collapsed="false">
      <c r="A3658" s="5" t="s">
        <v>551</v>
      </c>
      <c r="B3658" s="0" t="s">
        <v>86</v>
      </c>
      <c r="C3658" s="38" t="n">
        <f aca="false">Q!$D$34</f>
        <v>2.406</v>
      </c>
      <c r="D3658" s="38" t="n">
        <f aca="false">Q!$E$34</f>
        <v>2.274</v>
      </c>
      <c r="E3658" s="38" t="n">
        <f aca="false">Q!$P$34</f>
        <v>2.114</v>
      </c>
      <c r="F3658" s="38" t="n">
        <f aca="false">Sens!$F$3696</f>
        <v>3.24888962733561</v>
      </c>
      <c r="G3658" s="38" t="n">
        <f aca="false">Sens!$E$3658+Sens!$F$3658</f>
        <v>5.36288962733561</v>
      </c>
      <c r="H3658" s="38" t="n">
        <f aca="false">Sens!$H$3696</f>
        <v>7.42354172302123</v>
      </c>
      <c r="I3658" s="38" t="n">
        <f aca="false">Sens!$I$3696</f>
        <v>7.82361393436301</v>
      </c>
      <c r="J3658" s="38" t="n">
        <f aca="false">Sens!$J$3696</f>
        <v>8.70449798382256</v>
      </c>
      <c r="K3658" s="38" t="n">
        <f aca="false">Sens!$K$3696</f>
        <v>8.70449798382256</v>
      </c>
      <c r="L3658" s="38" t="n">
        <f aca="false">Sens!$L$3696</f>
        <v>8.70449798382256</v>
      </c>
      <c r="M3658" s="38" t="n">
        <f aca="false">Sens!$M$3696</f>
        <v>8.70449798382256</v>
      </c>
      <c r="N3658" s="38" t="n">
        <f aca="false">Q!$N$34</f>
        <v>1.057</v>
      </c>
      <c r="O3658" s="38" t="n">
        <f aca="false">Q!$O$34</f>
        <v>1.217</v>
      </c>
    </row>
    <row r="3659" customFormat="false" ht="15" hidden="false" customHeight="false" outlineLevel="0" collapsed="false">
      <c r="A3659" s="5" t="s">
        <v>763</v>
      </c>
      <c r="B3659" s="0" t="s">
        <v>86</v>
      </c>
      <c r="F3659" s="38" t="n">
        <f aca="false">Sens!$F$3697</f>
        <v>2.59</v>
      </c>
      <c r="H3659" s="38" t="n">
        <f aca="false">Sens!$H$3697</f>
        <v>4.1153774832261</v>
      </c>
      <c r="I3659" s="38" t="n">
        <f aca="false">Sens!$I$3697</f>
        <v>2.10589651022864</v>
      </c>
      <c r="J3659" s="38" t="n">
        <f aca="false">Sens!$J$3697</f>
        <v>2.10589651022864</v>
      </c>
      <c r="K3659" s="38" t="n">
        <f aca="false">Sens!$K$3697</f>
        <v>3.27894370094691</v>
      </c>
      <c r="L3659" s="38" t="n">
        <f aca="false">Sens!$L$3697</f>
        <v>8.61261163446158</v>
      </c>
      <c r="M3659" s="38" t="n">
        <f aca="false">Sens!$M$3697</f>
        <v>16.5325593378569</v>
      </c>
    </row>
    <row r="3660" customFormat="false" ht="17.15" hidden="false" customHeight="false" outlineLevel="0" collapsed="false">
      <c r="A3660" s="5" t="s">
        <v>764</v>
      </c>
      <c r="B3660" s="0" t="s">
        <v>86</v>
      </c>
      <c r="C3660" s="38" t="n">
        <f aca="false">Q!$D$39</f>
        <v>2.427</v>
      </c>
      <c r="D3660" s="38" t="n">
        <f aca="false">Q!$E$39</f>
        <v>19.61</v>
      </c>
      <c r="E3660" s="38" t="n">
        <f aca="false">Q!$P$39</f>
        <v>71.492</v>
      </c>
      <c r="F3660" s="39" t="n">
        <v>0</v>
      </c>
      <c r="G3660" s="38" t="n">
        <f aca="false">Sens!$E$3660+Sens!$F$3660</f>
        <v>71.492</v>
      </c>
      <c r="H3660" s="39" t="n">
        <v>0</v>
      </c>
      <c r="I3660" s="39" t="n">
        <v>0</v>
      </c>
      <c r="J3660" s="39" t="n">
        <v>0</v>
      </c>
      <c r="K3660" s="39" t="n">
        <v>0</v>
      </c>
      <c r="L3660" s="39" t="n">
        <v>0</v>
      </c>
      <c r="M3660" s="39" t="n">
        <v>0</v>
      </c>
      <c r="N3660" s="38" t="n">
        <f aca="false">Q!$N$39</f>
        <v>6.017</v>
      </c>
      <c r="O3660" s="38" t="n">
        <f aca="false">Q!$O$39</f>
        <v>13.593</v>
      </c>
      <c r="P3660" s="5" t="s">
        <v>765</v>
      </c>
    </row>
    <row r="3661" customFormat="false" ht="15" hidden="false" customHeight="false" outlineLevel="0" collapsed="false">
      <c r="A3661" s="5" t="s">
        <v>554</v>
      </c>
      <c r="B3661" s="0" t="s">
        <v>86</v>
      </c>
      <c r="C3661" s="38" t="n">
        <f aca="false">Q!$D$36</f>
        <v>68.614</v>
      </c>
      <c r="D3661" s="38" t="n">
        <f aca="false">Q!$E$36</f>
        <v>97.311</v>
      </c>
      <c r="E3661" s="38" t="n">
        <f aca="false">Q!$P$36</f>
        <v>120.691</v>
      </c>
      <c r="F3661" s="38" t="n">
        <f aca="false">Sens!$F$3637-Sens!$F$3658+Sens!$F$3659+Sens!$F$3660</f>
        <v>55.7063670713938</v>
      </c>
      <c r="G3661" s="38" t="n">
        <f aca="false">Sens!$E$3661+Sens!$F$3661</f>
        <v>176.397367071394</v>
      </c>
      <c r="H3661" s="38" t="n">
        <f aca="false">Sens!$H$3637-Sens!$H$3658+Sens!$H$3659+Sens!$H$3660</f>
        <v>126.595337972092</v>
      </c>
      <c r="I3661" s="38" t="n">
        <f aca="false">Sens!$I$3637-Sens!$I$3658+Sens!$I$3659+Sens!$I$3660</f>
        <v>140.937716030778</v>
      </c>
      <c r="J3661" s="38" t="n">
        <f aca="false">Sens!$J$3637-Sens!$J$3658+Sens!$J$3659+Sens!$J$3660</f>
        <v>160.182221255291</v>
      </c>
      <c r="K3661" s="38" t="n">
        <f aca="false">Sens!$K$3637-Sens!$K$3658+Sens!$K$3659+Sens!$K$3660</f>
        <v>175.502385385936</v>
      </c>
      <c r="L3661" s="38" t="n">
        <f aca="false">Sens!$L$3637-Sens!$L$3658+Sens!$L$3659+Sens!$L$3660</f>
        <v>194.647584599625</v>
      </c>
      <c r="M3661" s="38" t="n">
        <f aca="false">Sens!$M$3637-Sens!$M$3658+Sens!$M$3659+Sens!$M$3660</f>
        <v>217.831607573125</v>
      </c>
      <c r="N3661" s="38" t="n">
        <f aca="false">Q!$N$36</f>
        <v>42.536</v>
      </c>
      <c r="O3661" s="38" t="n">
        <f aca="false">Q!$O$36</f>
        <v>54.775</v>
      </c>
    </row>
    <row r="3662" customFormat="false" ht="15" hidden="false" customHeight="false" outlineLevel="0" collapsed="false">
      <c r="A3662" s="5" t="s">
        <v>555</v>
      </c>
      <c r="B3662" s="0" t="s">
        <v>86</v>
      </c>
      <c r="C3662" s="38" t="n">
        <f aca="false">Q!$D$37</f>
        <v>9.265</v>
      </c>
      <c r="D3662" s="38" t="n">
        <f aca="false">Q!$E$37</f>
        <v>19.087</v>
      </c>
      <c r="E3662" s="38" t="n">
        <f aca="false">Q!$P$37</f>
        <v>27.759</v>
      </c>
      <c r="F3662" s="38" t="n">
        <f aca="false">Sens!$F$3661*tax</f>
        <v>9.669763357865</v>
      </c>
      <c r="G3662" s="38" t="n">
        <f aca="false">Sens!$E$3662+Sens!$F$3662</f>
        <v>37.428763357865</v>
      </c>
      <c r="H3662" s="38" t="n">
        <f aca="false">Sens!$H$3661*tax</f>
        <v>21.9749918143144</v>
      </c>
      <c r="I3662" s="38" t="n">
        <f aca="false">Sens!$I$3661*tax</f>
        <v>24.4646067202511</v>
      </c>
      <c r="J3662" s="38" t="n">
        <f aca="false">Sens!$J$3661*tax</f>
        <v>27.8051550497041</v>
      </c>
      <c r="K3662" s="38" t="n">
        <f aca="false">Sens!$K$3661*tax</f>
        <v>30.4644984880785</v>
      </c>
      <c r="L3662" s="38" t="n">
        <f aca="false">Sens!$L$3661*tax</f>
        <v>33.7878088306519</v>
      </c>
      <c r="M3662" s="38" t="n">
        <f aca="false">Sens!$M$3661*tax</f>
        <v>37.8121964836779</v>
      </c>
      <c r="N3662" s="38" t="n">
        <f aca="false">Q!$N$37</f>
        <v>7.231</v>
      </c>
      <c r="O3662" s="38" t="n">
        <f aca="false">Q!$O$37</f>
        <v>11.856</v>
      </c>
    </row>
    <row r="3663" customFormat="false" ht="15" hidden="false" customHeight="false" outlineLevel="0" collapsed="false">
      <c r="A3663" s="3" t="s">
        <v>556</v>
      </c>
      <c r="B3663" s="8" t="s">
        <v>86</v>
      </c>
      <c r="C3663" s="38" t="n">
        <f aca="false">Q!$D$38</f>
        <v>59.248</v>
      </c>
      <c r="D3663" s="38" t="n">
        <f aca="false">Q!$E$38</f>
        <v>77.67</v>
      </c>
      <c r="E3663" s="38" t="n">
        <f aca="false">Q!$P$38</f>
        <v>92.902</v>
      </c>
      <c r="F3663" s="38" t="n">
        <f aca="false">Sens!$F$3661-Sens!$F$3662</f>
        <v>46.0366037135288</v>
      </c>
      <c r="G3663" s="38" t="n">
        <f aca="false">Sens!$E$3663+Sens!$F$3663</f>
        <v>138.938603713529</v>
      </c>
      <c r="H3663" s="38" t="n">
        <f aca="false">Sens!$H$3661-Sens!$H$3662</f>
        <v>104.620346157778</v>
      </c>
      <c r="I3663" s="38" t="n">
        <f aca="false">Sens!$I$3661-Sens!$I$3662</f>
        <v>116.473109310527</v>
      </c>
      <c r="J3663" s="38" t="n">
        <f aca="false">Sens!$J$3661-Sens!$J$3662</f>
        <v>132.377066205587</v>
      </c>
      <c r="K3663" s="38" t="n">
        <f aca="false">Sens!$K$3661-Sens!$K$3662</f>
        <v>145.037886897857</v>
      </c>
      <c r="L3663" s="38" t="n">
        <f aca="false">Sens!$L$3661-Sens!$L$3662</f>
        <v>160.859775768973</v>
      </c>
      <c r="M3663" s="38" t="n">
        <f aca="false">Sens!$M$3661-Sens!$M$3662</f>
        <v>180.019411089447</v>
      </c>
      <c r="N3663" s="38" t="n">
        <f aca="false">Q!$N$38</f>
        <v>35.291</v>
      </c>
      <c r="O3663" s="38" t="n">
        <f aca="false">Q!$O$38</f>
        <v>42.379</v>
      </c>
    </row>
    <row r="3664" customFormat="false" ht="17.15" hidden="false" customHeight="false" outlineLevel="0" collapsed="false">
      <c r="A3664" s="5" t="s">
        <v>559</v>
      </c>
      <c r="B3664" s="5" t="s">
        <v>33</v>
      </c>
      <c r="C3664" s="22" t="n">
        <f aca="false">Q!$D$41</f>
        <v>10.721</v>
      </c>
      <c r="D3664" s="22" t="n">
        <f aca="false">Q!$E$41</f>
        <v>10.827</v>
      </c>
      <c r="E3664" s="22" t="n">
        <f aca="false">(Q!$L$41+Q!$M$41)/2</f>
        <v>10.8885</v>
      </c>
      <c r="F3664" s="22" t="n">
        <f aca="false">Sens!$G$3664</f>
        <v>10.924806</v>
      </c>
      <c r="G3664" s="22" t="n">
        <f aca="false">Q!$M$41*(1+sh_g*0.25)</f>
        <v>10.924806</v>
      </c>
      <c r="H3664" s="22" t="n">
        <f aca="false">Sens!$G$3664*(1+sh_g)</f>
        <v>11.012204448</v>
      </c>
      <c r="I3664" s="22" t="n">
        <f aca="false">Sens!$H$3664*(1+sh_g)</f>
        <v>11.100302083584</v>
      </c>
      <c r="J3664" s="22" t="n">
        <f aca="false">Sens!$I$3664*(1+sh_g)</f>
        <v>11.1891045002527</v>
      </c>
      <c r="K3664" s="22" t="n">
        <f aca="false">Sens!$J$3664*(1+sh_g)</f>
        <v>11.2786173362547</v>
      </c>
      <c r="L3664" s="22" t="n">
        <f aca="false">Sens!$K$3664*(1+sh_g)</f>
        <v>11.3688462749447</v>
      </c>
      <c r="M3664" s="22" t="n">
        <f aca="false">Sens!$L$3664*(1+sh_g)</f>
        <v>11.4597970451443</v>
      </c>
      <c r="P3664" s="5" t="s">
        <v>766</v>
      </c>
    </row>
    <row r="3665" customFormat="false" ht="17.15" hidden="false" customHeight="false" outlineLevel="0" collapsed="false">
      <c r="A3665" s="5" t="s">
        <v>767</v>
      </c>
      <c r="B3665" s="0" t="s">
        <v>86</v>
      </c>
      <c r="C3665" s="38" t="n">
        <f aca="false">Sens!$C$3663+Sens!$C$3639*(1-tax)</f>
        <v>59.248</v>
      </c>
      <c r="D3665" s="38" t="n">
        <f aca="false">Sens!$D$3663+Sens!$D$3639*(1-tax)</f>
        <v>77.67</v>
      </c>
      <c r="E3665" s="38" t="n">
        <f aca="false">Sens!$E$3663+Sens!$E$3639*(1-tax)</f>
        <v>92.902</v>
      </c>
      <c r="F3665" s="38" t="n">
        <f aca="false">Sens!$F$3663+Sens!$F$3639*(1-tax)</f>
        <v>49.1531986731775</v>
      </c>
      <c r="G3665" s="38" t="n">
        <f aca="false">Sens!$G$3663+Sens!$G$3639*(1-tax)</f>
        <v>142.055198673178</v>
      </c>
      <c r="H3665" s="38" t="n">
        <f aca="false">Sens!$H$3663+Sens!$H$3639*(1-tax)</f>
        <v>117.151742113123</v>
      </c>
      <c r="I3665" s="38" t="n">
        <f aca="false">Sens!$I$3663+Sens!$I$3639*(1-tax)</f>
        <v>137.614374385466</v>
      </c>
      <c r="J3665" s="38" t="n">
        <f aca="false">Sens!$J$3663+Sens!$J$3639*(1-tax)</f>
        <v>162.16650314987</v>
      </c>
      <c r="K3665" s="38" t="n">
        <f aca="false">Sens!$K$3663+Sens!$K$3639*(1-tax)</f>
        <v>182.205192594516</v>
      </c>
      <c r="L3665" s="38" t="n">
        <f aca="false">Sens!$L$3663+Sens!$L$3639*(1-tax)</f>
        <v>202.875853109528</v>
      </c>
      <c r="M3665" s="38" t="n">
        <f aca="false">Sens!$M$3663+Sens!$M$3639*(1-tax)</f>
        <v>224.348933280287</v>
      </c>
      <c r="N3665" s="38" t="n">
        <f aca="false">Sens!$N$3663+Sens!$N$3639*(1-tax)</f>
        <v>35.291</v>
      </c>
      <c r="O3665" s="38" t="n">
        <f aca="false">Sens!$O$3663+Sens!$O$3639*(1-tax)</f>
        <v>42.379</v>
      </c>
    </row>
    <row r="3666" customFormat="false" ht="17.15" hidden="false" customHeight="false" outlineLevel="0" collapsed="false">
      <c r="A3666" s="43" t="s">
        <v>768</v>
      </c>
      <c r="B3666" s="14" t="s">
        <v>27</v>
      </c>
      <c r="C3666" s="44" t="n">
        <f aca="false">Sens!$C$3665/Sens!$C$3664</f>
        <v>5.52635015390355</v>
      </c>
      <c r="D3666" s="44" t="n">
        <f aca="false">Sens!$D$3665/Sens!$D$3664</f>
        <v>7.1737323358271</v>
      </c>
      <c r="E3666" s="44" t="n">
        <f aca="false">Sens!$E$3665/Sens!$E$3664</f>
        <v>8.53212104513937</v>
      </c>
      <c r="F3666" s="14"/>
      <c r="G3666" s="44" t="n">
        <f aca="false">Sens!$G$3665/Sens!$G$3664</f>
        <v>13.0029950804781</v>
      </c>
      <c r="H3666" s="44" t="n">
        <f aca="false">Sens!$H$3665/Sens!$H$3664</f>
        <v>10.6383551691505</v>
      </c>
      <c r="I3666" s="44" t="n">
        <f aca="false">Sens!$I$3665/Sens!$I$3664</f>
        <v>12.3973539953458</v>
      </c>
      <c r="J3666" s="44" t="n">
        <f aca="false">Sens!$J$3665/Sens!$J$3664</f>
        <v>14.4932512826391</v>
      </c>
      <c r="K3666" s="44" t="n">
        <f aca="false">Sens!$K$3665/Sens!$K$3664</f>
        <v>16.154922820976</v>
      </c>
      <c r="L3666" s="44" t="n">
        <f aca="false">Sens!$L$3665/Sens!$L$3664</f>
        <v>17.8448936860582</v>
      </c>
      <c r="M3666" s="44" t="n">
        <f aca="false">Sens!$M$3665/Sens!$M$3664</f>
        <v>19.5770424551583</v>
      </c>
      <c r="N3666" s="14"/>
      <c r="O3666" s="14"/>
    </row>
    <row r="3667" customFormat="false" ht="17.15" hidden="false" customHeight="false" outlineLevel="0" collapsed="false">
      <c r="A3667" s="0" t="s">
        <v>769</v>
      </c>
      <c r="B3667" s="0" t="s">
        <v>27</v>
      </c>
      <c r="C3667" s="30" t="n">
        <f aca="false">Sens!$C$3663/Sens!$C$3664</f>
        <v>5.52635015390355</v>
      </c>
      <c r="D3667" s="30" t="n">
        <f aca="false">Sens!$D$3663/Sens!$D$3664</f>
        <v>7.1737323358271</v>
      </c>
      <c r="E3667" s="30" t="n">
        <f aca="false">Sens!$E$3663/Sens!$E$3664</f>
        <v>8.53212104513937</v>
      </c>
      <c r="G3667" s="30" t="n">
        <f aca="false">Sens!$G$3663/Sens!$G$3664</f>
        <v>12.7177181648378</v>
      </c>
      <c r="H3667" s="30" t="n">
        <f aca="false">Sens!$H$3663/Sens!$H$3664</f>
        <v>9.50039991100772</v>
      </c>
      <c r="I3667" s="30" t="n">
        <f aca="false">Sens!$I$3663/Sens!$I$3664</f>
        <v>10.492787352407</v>
      </c>
      <c r="J3667" s="30" t="n">
        <f aca="false">Sens!$J$3663/Sens!$J$3664</f>
        <v>11.830890148769</v>
      </c>
      <c r="K3667" s="30" t="n">
        <f aca="false">Sens!$K$3663/Sens!$K$3664</f>
        <v>12.8595449755741</v>
      </c>
      <c r="L3667" s="30" t="n">
        <f aca="false">Sens!$L$3663/Sens!$L$3664</f>
        <v>14.1491732651434</v>
      </c>
      <c r="M3667" s="30" t="n">
        <f aca="false">Sens!$M$3663/Sens!$M$3664</f>
        <v>15.7087782951378</v>
      </c>
    </row>
    <row r="3668" customFormat="false" ht="17.15" hidden="false" customHeight="false" outlineLevel="0" collapsed="false">
      <c r="A3668" s="0" t="s">
        <v>770</v>
      </c>
      <c r="B3668" s="0" t="s">
        <v>27</v>
      </c>
      <c r="C3668" s="30" t="n">
        <f aca="false">(Sens!$C$3663-Sens!$C$3660*(1-tax))/Sens!$C$3664</f>
        <v>5.33926775917445</v>
      </c>
      <c r="D3668" s="30" t="n">
        <f aca="false">(Sens!$D$3663-Sens!$D$3660*(1-tax))/Sens!$D$3664</f>
        <v>5.67691812755503</v>
      </c>
      <c r="E3668" s="30" t="n">
        <f aca="false">(Sens!$E$3663-Sens!$E$3660*(1-tax))/Sens!$E$3664</f>
        <v>3.10602057006846</v>
      </c>
      <c r="G3668" s="30" t="n">
        <f aca="false">(Sens!$G$3663-Sens!$G$3660*(1-tax))/Sens!$G$3664</f>
        <v>7.30965004694081</v>
      </c>
      <c r="H3668" s="30" t="n">
        <f aca="false">(Sens!$H$3663-Sens!$H$3660*(1-tax))/Sens!$H$3664</f>
        <v>9.50039991100772</v>
      </c>
      <c r="I3668" s="30" t="n">
        <f aca="false">(Sens!$I$3663-Sens!$I$3660*(1-tax))/Sens!$I$3664</f>
        <v>10.492787352407</v>
      </c>
      <c r="J3668" s="30" t="n">
        <f aca="false">(Sens!$J$3663-Sens!$J$3660*(1-tax))/Sens!$J$3664</f>
        <v>11.830890148769</v>
      </c>
      <c r="K3668" s="30" t="n">
        <f aca="false">(Sens!$K$3663-Sens!$K$3660*(1-tax))/Sens!$K$3664</f>
        <v>12.8595449755741</v>
      </c>
      <c r="L3668" s="30" t="n">
        <f aca="false">(Sens!$L$3663-Sens!$L$3660*(1-tax))/Sens!$L$3664</f>
        <v>14.1491732651434</v>
      </c>
      <c r="M3668" s="30" t="n">
        <f aca="false">(Sens!$M$3663-Sens!$M$3660*(1-tax))/Sens!$M$3664</f>
        <v>15.7087782951378</v>
      </c>
      <c r="P3668" s="5" t="s">
        <v>771</v>
      </c>
    </row>
    <row r="3669" customFormat="false" ht="17.15" hidden="false" customHeight="false" outlineLevel="0" collapsed="false">
      <c r="A3669" s="0" t="s">
        <v>772</v>
      </c>
      <c r="B3669" s="0" t="s">
        <v>52</v>
      </c>
      <c r="H3669" s="13" t="n">
        <f aca="false">Sens!$H$3666/Sens!$G$3666-1</f>
        <v>-0.181853480424501</v>
      </c>
      <c r="I3669" s="13" t="n">
        <f aca="false">Sens!$I$3666/Sens!$H$3666-1</f>
        <v>0.165344999130709</v>
      </c>
      <c r="J3669" s="13" t="n">
        <f aca="false">Sens!$J$3666/Sens!$I$3666-1</f>
        <v>0.169060050078437</v>
      </c>
      <c r="K3669" s="13" t="n">
        <f aca="false">Sens!$K$3666/Sens!$J$3666-1</f>
        <v>0.114651399187931</v>
      </c>
      <c r="L3669" s="13" t="n">
        <f aca="false">Sens!$L$3666/Sens!$K$3666-1</f>
        <v>0.104610271668273</v>
      </c>
      <c r="M3669" s="13" t="n">
        <f aca="false">Sens!$M$3666/Sens!$L$3666-1</f>
        <v>0.0970669144671519</v>
      </c>
    </row>
    <row r="3672" customFormat="false" ht="19.4" hidden="false" customHeight="false" outlineLevel="0" collapsed="false">
      <c r="A3672" s="31" t="s">
        <v>1225</v>
      </c>
    </row>
    <row r="3673" customFormat="false" ht="17.15" hidden="false" customHeight="false" outlineLevel="0" collapsed="false">
      <c r="A3673" s="6" t="s">
        <v>16</v>
      </c>
      <c r="B3673" s="6" t="s">
        <v>17</v>
      </c>
      <c r="C3673" s="20" t="s">
        <v>504</v>
      </c>
      <c r="D3673" s="20" t="s">
        <v>505</v>
      </c>
      <c r="E3673" s="20" t="s">
        <v>587</v>
      </c>
      <c r="F3673" s="20" t="s">
        <v>588</v>
      </c>
      <c r="G3673" s="20" t="s">
        <v>589</v>
      </c>
      <c r="H3673" s="20" t="s">
        <v>590</v>
      </c>
      <c r="I3673" s="20" t="s">
        <v>591</v>
      </c>
      <c r="J3673" s="20" t="s">
        <v>592</v>
      </c>
      <c r="K3673" s="20" t="s">
        <v>593</v>
      </c>
      <c r="L3673" s="20" t="s">
        <v>594</v>
      </c>
      <c r="M3673" s="20" t="s">
        <v>595</v>
      </c>
      <c r="N3673" s="20" t="s">
        <v>596</v>
      </c>
      <c r="O3673" s="20" t="s">
        <v>597</v>
      </c>
      <c r="P3673" s="6" t="s">
        <v>23</v>
      </c>
      <c r="R3673" s="20" t="n">
        <v>2023</v>
      </c>
      <c r="S3673" s="20" t="n">
        <v>2024</v>
      </c>
      <c r="T3673" s="20" t="n">
        <v>2025</v>
      </c>
      <c r="U3673" s="20" t="n">
        <v>2026</v>
      </c>
      <c r="V3673" s="20" t="n">
        <v>2027</v>
      </c>
      <c r="W3673" s="20" t="n">
        <v>2028</v>
      </c>
      <c r="X3673" s="20" t="n">
        <v>2029</v>
      </c>
      <c r="Y3673" s="20" t="n">
        <v>2030</v>
      </c>
      <c r="Z3673" s="20" t="n">
        <v>2031</v>
      </c>
      <c r="AA3673" s="20" t="n">
        <v>2032</v>
      </c>
    </row>
    <row r="3674" customFormat="false" ht="15" hidden="false" customHeight="false" outlineLevel="0" collapsed="false">
      <c r="A3674" s="5" t="s">
        <v>556</v>
      </c>
      <c r="B3674" s="0" t="s">
        <v>86</v>
      </c>
      <c r="C3674" s="38" t="n">
        <f aca="false">Sens!$C$3663</f>
        <v>59.248</v>
      </c>
      <c r="D3674" s="38" t="n">
        <f aca="false">Sens!$D$3663</f>
        <v>77.67</v>
      </c>
      <c r="E3674" s="38" t="n">
        <f aca="false">Sens!$E$3663</f>
        <v>92.902</v>
      </c>
      <c r="F3674" s="38" t="n">
        <f aca="false">Sens!$F$3663</f>
        <v>46.0366037135288</v>
      </c>
      <c r="G3674" s="38" t="n">
        <f aca="false">Sens!$G$3663</f>
        <v>138.938603713529</v>
      </c>
      <c r="H3674" s="38" t="n">
        <f aca="false">Sens!$H$3663</f>
        <v>104.620346157778</v>
      </c>
      <c r="I3674" s="38" t="n">
        <f aca="false">Sens!$I$3663</f>
        <v>116.473109310527</v>
      </c>
      <c r="J3674" s="38" t="n">
        <f aca="false">Sens!$J$3663</f>
        <v>132.377066205587</v>
      </c>
      <c r="K3674" s="38" t="n">
        <f aca="false">Sens!$K$3663</f>
        <v>145.037886897857</v>
      </c>
      <c r="L3674" s="38" t="n">
        <f aca="false">Sens!$L$3663</f>
        <v>160.859775768973</v>
      </c>
      <c r="M3674" s="38" t="n">
        <f aca="false">Sens!$M$3663</f>
        <v>180.019411089447</v>
      </c>
    </row>
    <row r="3675" customFormat="false" ht="17.15" hidden="false" customHeight="false" outlineLevel="0" collapsed="false">
      <c r="A3675" s="5" t="s">
        <v>795</v>
      </c>
      <c r="B3675" s="0" t="s">
        <v>86</v>
      </c>
      <c r="C3675" s="38" t="n">
        <f aca="false">Sens!$C$3651</f>
        <v>32.067</v>
      </c>
      <c r="D3675" s="38" t="n">
        <f aca="false">Sens!$D$3651</f>
        <v>41.86</v>
      </c>
      <c r="E3675" s="38" t="n">
        <f aca="false">Sens!$E$3651</f>
        <v>26.703</v>
      </c>
      <c r="F3675" s="38" t="n">
        <f aca="false">Sens!$F$3651</f>
        <v>29.152860869477</v>
      </c>
      <c r="G3675" s="38" t="n">
        <f aca="false">Sens!$G$3651</f>
        <v>55.855860869477</v>
      </c>
      <c r="H3675" s="38" t="n">
        <f aca="false">Sens!$H$3651</f>
        <v>81.7412219525016</v>
      </c>
      <c r="I3675" s="38" t="n">
        <f aca="false">Sens!$I$3651</f>
        <v>119.361860974615</v>
      </c>
      <c r="J3675" s="38" t="n">
        <f aca="false">Sens!$J$3651</f>
        <v>153.818835217203</v>
      </c>
      <c r="K3675" s="38" t="n">
        <f aca="false">Sens!$K$3651</f>
        <v>188.871171018523</v>
      </c>
      <c r="L3675" s="38" t="n">
        <f aca="false">Sens!$L$3651</f>
        <v>215.739300242362</v>
      </c>
      <c r="M3675" s="38" t="n">
        <f aca="false">Sens!$M$3651</f>
        <v>234.390058505202</v>
      </c>
    </row>
    <row r="3676" customFormat="false" ht="15" hidden="false" customHeight="false" outlineLevel="0" collapsed="false">
      <c r="A3676" s="5" t="s">
        <v>796</v>
      </c>
      <c r="B3676" s="0" t="s">
        <v>86</v>
      </c>
      <c r="C3676" s="38" t="n">
        <f aca="false">Q!$D$48</f>
        <v>22.011</v>
      </c>
      <c r="D3676" s="38" t="n">
        <f aca="false">Q!$E$48</f>
        <v>19.467</v>
      </c>
      <c r="E3676" s="38" t="n">
        <f aca="false">Q!$P$48</f>
        <v>10.07</v>
      </c>
      <c r="F3676" s="38" t="n">
        <f aca="false">sbc_r*Sens!$F$3593</f>
        <v>10.8507035798037</v>
      </c>
      <c r="G3676" s="38" t="n">
        <f aca="false">Sens!$E$3676+Sens!$F$3676</f>
        <v>20.9207035798037</v>
      </c>
      <c r="H3676" s="38" t="n">
        <f aca="false">sbc_r*Sens!$H$3593</f>
        <v>23.4889628723847</v>
      </c>
      <c r="I3676" s="38" t="n">
        <f aca="false">sbc_r*Sens!$I$3593</f>
        <v>26.7028001253965</v>
      </c>
      <c r="J3676" s="38" t="n">
        <f aca="false">sbc_r*Sens!$J$3593</f>
        <v>29.8290485213774</v>
      </c>
      <c r="K3676" s="38" t="n">
        <f aca="false">sbc_r*Sens!$K$3593</f>
        <v>32.6405418478787</v>
      </c>
      <c r="L3676" s="38" t="n">
        <f aca="false">sbc_r*Sens!$L$3593</f>
        <v>35.306931555188</v>
      </c>
      <c r="M3676" s="38" t="n">
        <f aca="false">sbc_r*Sens!$M$3593</f>
        <v>37.8414382276929</v>
      </c>
    </row>
    <row r="3677" customFormat="false" ht="17.15" hidden="false" customHeight="false" outlineLevel="0" collapsed="false">
      <c r="A3677" s="5" t="s">
        <v>797</v>
      </c>
      <c r="B3677" s="0" t="s">
        <v>86</v>
      </c>
      <c r="C3677" s="38" t="n">
        <f aca="false">Q!$D$44-Sens!$C$3674-Sens!$C$3675-Sens!$C$3676</f>
        <v>2.551</v>
      </c>
      <c r="D3677" s="38" t="n">
        <f aca="false">Q!$E$44-Sens!$D$3674-Sens!$D$3675-Sens!$D$3676</f>
        <v>0.51700000000001</v>
      </c>
      <c r="E3677" s="38" t="n">
        <f aca="false">Q!$P$44-Sens!$E$3674-Sens!$E$3675-Sens!$E$3676</f>
        <v>-58.256</v>
      </c>
      <c r="F3677" s="38" t="n">
        <f aca="false">oth_r*Sens!$F$3593</f>
        <v>5.22265251035878</v>
      </c>
      <c r="G3677" s="38" t="n">
        <f aca="false">Sens!$E$3677+Sens!$F$3677</f>
        <v>-53.0333474896412</v>
      </c>
      <c r="H3677" s="38" t="n">
        <f aca="false">oth_r*Sens!$H$3593</f>
        <v>11.3056899959481</v>
      </c>
      <c r="I3677" s="38" t="n">
        <f aca="false">oth_r*Sens!$I$3593</f>
        <v>12.8525717325912</v>
      </c>
      <c r="J3677" s="38" t="n">
        <f aca="false">oth_r*Sens!$J$3593</f>
        <v>14.357295266249</v>
      </c>
      <c r="K3677" s="38" t="n">
        <f aca="false">oth_r*Sens!$K$3593</f>
        <v>15.7105211258917</v>
      </c>
      <c r="L3677" s="38" t="n">
        <f aca="false">oth_r*Sens!$L$3593</f>
        <v>16.9939058203546</v>
      </c>
      <c r="M3677" s="38" t="n">
        <f aca="false">oth_r*Sens!$M$3593</f>
        <v>18.2138126714013</v>
      </c>
      <c r="P3677" s="8" t="s">
        <v>798</v>
      </c>
    </row>
    <row r="3678" customFormat="false" ht="15" hidden="false" customHeight="false" outlineLevel="0" collapsed="false">
      <c r="A3678" s="3" t="s">
        <v>562</v>
      </c>
      <c r="B3678" s="8" t="s">
        <v>86</v>
      </c>
      <c r="C3678" s="38" t="n">
        <f aca="false">Q!$D$44</f>
        <v>115.877</v>
      </c>
      <c r="D3678" s="38" t="n">
        <f aca="false">Q!$E$44</f>
        <v>139.514</v>
      </c>
      <c r="E3678" s="38" t="n">
        <f aca="false">Q!$P$44</f>
        <v>71.419</v>
      </c>
      <c r="F3678" s="38" t="n">
        <f aca="false">Sens!$F$3674+Sens!$F$3675+Sens!$F$3676+Sens!$F$3677</f>
        <v>91.2628206731683</v>
      </c>
      <c r="G3678" s="38" t="n">
        <f aca="false">Sens!$E$3678+Sens!$F$3678</f>
        <v>162.681820673168</v>
      </c>
      <c r="H3678" s="38" t="n">
        <f aca="false">Sens!$H$3674+Sens!$H$3675+Sens!$H$3676+Sens!$H$3677</f>
        <v>221.156220978612</v>
      </c>
      <c r="I3678" s="38" t="n">
        <f aca="false">Sens!$I$3674+Sens!$I$3675+Sens!$I$3676+Sens!$I$3677</f>
        <v>275.39034214313</v>
      </c>
      <c r="J3678" s="38" t="n">
        <f aca="false">Sens!$J$3674+Sens!$J$3675+Sens!$J$3676+Sens!$J$3677</f>
        <v>330.382245210416</v>
      </c>
      <c r="K3678" s="38" t="n">
        <f aca="false">Sens!$K$3674+Sens!$K$3675+Sens!$K$3676+Sens!$K$3677</f>
        <v>382.26012089015</v>
      </c>
      <c r="L3678" s="38" t="n">
        <f aca="false">Sens!$L$3674+Sens!$L$3675+Sens!$L$3676+Sens!$L$3677</f>
        <v>428.899913386877</v>
      </c>
      <c r="M3678" s="38" t="n">
        <f aca="false">Sens!$M$3674+Sens!$M$3675+Sens!$M$3676+Sens!$M$3677</f>
        <v>470.464720493743</v>
      </c>
    </row>
    <row r="3679" customFormat="false" ht="17.15" hidden="false" customHeight="false" outlineLevel="0" collapsed="false">
      <c r="A3679" s="5" t="s">
        <v>799</v>
      </c>
      <c r="B3679" s="0" t="s">
        <v>86</v>
      </c>
      <c r="C3679" s="38" t="n">
        <f aca="false">Sens!$C$3557</f>
        <v>25.2781053077374</v>
      </c>
      <c r="D3679" s="38" t="n">
        <f aca="false">Sens!$D$3557</f>
        <v>69.5686316310026</v>
      </c>
      <c r="E3679" s="38" t="n">
        <f aca="false">Sens!$E$3557</f>
        <v>64.1899206485108</v>
      </c>
      <c r="F3679" s="38" t="n">
        <f aca="false">Sens!$F$3557</f>
        <v>88.7165504612134</v>
      </c>
      <c r="G3679" s="38" t="n">
        <f aca="false">Sens!$G$3557</f>
        <v>152.906471109724</v>
      </c>
      <c r="H3679" s="38" t="n">
        <f aca="false">Sens!$H$3557</f>
        <v>198.57136494475</v>
      </c>
      <c r="I3679" s="38" t="n">
        <f aca="false">Sens!$I$3557</f>
        <v>204.6464699105</v>
      </c>
      <c r="J3679" s="38" t="n">
        <f aca="false">Sens!$J$3557</f>
        <v>209.8832381105</v>
      </c>
      <c r="K3679" s="38" t="n">
        <f aca="false">Sens!$K$3557</f>
        <v>155.238385275201</v>
      </c>
      <c r="L3679" s="38" t="n">
        <f aca="false">Sens!$L$3557</f>
        <v>132.014141639902</v>
      </c>
      <c r="M3679" s="38" t="n">
        <f aca="false">Sens!$M$3557</f>
        <v>132.230981659852</v>
      </c>
    </row>
    <row r="3680" customFormat="false" ht="17.15" hidden="false" customHeight="false" outlineLevel="0" collapsed="false">
      <c r="A3680" s="5" t="s">
        <v>800</v>
      </c>
      <c r="B3680" s="0" t="s">
        <v>86</v>
      </c>
      <c r="C3680" s="38" t="n">
        <f aca="false">cx_awso*Sens!$C$3591</f>
        <v>21.0469989286053</v>
      </c>
      <c r="D3680" s="38" t="n">
        <f aca="false">cx_awso*Sens!$D$3591</f>
        <v>24.0042459822698</v>
      </c>
      <c r="E3680" s="38" t="n">
        <f aca="false">cx_awso*Sens!$E$3591</f>
        <v>14.261729404886</v>
      </c>
      <c r="F3680" s="38" t="n">
        <f aca="false">cx_awso*Sens!$F$3591</f>
        <v>14.3538599588493</v>
      </c>
      <c r="G3680" s="38" t="n">
        <f aca="false">Sens!$E$3680+Sens!$F$3680</f>
        <v>28.6155893637353</v>
      </c>
      <c r="H3680" s="38" t="n">
        <f aca="false">cx_awso*Sens!$H$3591</f>
        <v>32.4180323360686</v>
      </c>
      <c r="I3680" s="38" t="n">
        <f aca="false">cx_awso*Sens!$I$3591</f>
        <v>36.4785015576938</v>
      </c>
      <c r="J3680" s="38" t="n">
        <f aca="false">cx_awso*Sens!$J$3591</f>
        <v>40.7693475701775</v>
      </c>
      <c r="K3680" s="38" t="n">
        <f aca="false">cx_awso*Sens!$K$3591</f>
        <v>45.253975802897</v>
      </c>
      <c r="L3680" s="38" t="n">
        <f aca="false">cx_awso*Sens!$L$3591</f>
        <v>50.2319131412157</v>
      </c>
      <c r="M3680" s="38" t="n">
        <f aca="false">cx_awso*Sens!$M$3591</f>
        <v>55.7574235867494</v>
      </c>
    </row>
    <row r="3681" customFormat="false" ht="17.15" hidden="false" customHeight="false" outlineLevel="0" collapsed="false">
      <c r="A3681" s="5" t="s">
        <v>801</v>
      </c>
      <c r="B3681" s="0" t="s">
        <v>86</v>
      </c>
      <c r="C3681" s="38" t="n">
        <f aca="false">Q!$D$46-Sens!$C$3679-Sens!$C$3680</f>
        <v>31.3328957636573</v>
      </c>
      <c r="D3681" s="38" t="n">
        <f aca="false">Q!$E$46-Sens!$D$3679-Sens!$D$3680</f>
        <v>34.7471223867276</v>
      </c>
      <c r="E3681" s="38" t="n">
        <f aca="false">Q!$P$46-Sens!$E$3679-Sens!$E$3680</f>
        <v>17.8583499466032</v>
      </c>
      <c r="F3681" s="38" t="n">
        <f aca="false">cx_rt*Sens!$F$3520</f>
        <v>20.6195895799373</v>
      </c>
      <c r="G3681" s="38" t="n">
        <f aca="false">Sens!$E$3681+Sens!$F$3681</f>
        <v>38.4779395265405</v>
      </c>
      <c r="H3681" s="38" t="n">
        <f aca="false">cx_rt*Sens!$H$3520</f>
        <v>42.5978994743075</v>
      </c>
      <c r="I3681" s="38" t="n">
        <f aca="false">cx_rt*Sens!$I$3520</f>
        <v>46.5813904136335</v>
      </c>
      <c r="J3681" s="38" t="n">
        <f aca="false">cx_rt*Sens!$J$3520</f>
        <v>50.2781676586844</v>
      </c>
      <c r="K3681" s="38" t="n">
        <f aca="false">cx_rt*Sens!$K$3520</f>
        <v>53.5312440191755</v>
      </c>
      <c r="L3681" s="38" t="n">
        <f aca="false">cx_rt*Sens!$L$3520</f>
        <v>57.0116717051447</v>
      </c>
      <c r="M3681" s="38" t="n">
        <f aca="false">cx_rt*Sens!$M$3520</f>
        <v>60.7365554669226</v>
      </c>
    </row>
    <row r="3682" customFormat="false" ht="15" hidden="false" customHeight="false" outlineLevel="0" collapsed="false">
      <c r="A3682" s="3" t="s">
        <v>802</v>
      </c>
      <c r="B3682" s="8" t="s">
        <v>86</v>
      </c>
      <c r="C3682" s="38" t="n">
        <f aca="false">Q!$D$46</f>
        <v>77.658</v>
      </c>
      <c r="D3682" s="38" t="n">
        <f aca="false">Q!$E$46</f>
        <v>128.32</v>
      </c>
      <c r="E3682" s="38" t="n">
        <f aca="false">Q!$P$46</f>
        <v>96.31</v>
      </c>
      <c r="F3682" s="38" t="n">
        <f aca="false">Sens!$F$3679+Sens!$F$3680+Sens!$F$3681</f>
        <v>123.69</v>
      </c>
      <c r="G3682" s="38" t="n">
        <f aca="false">Sens!$E$3682+Sens!$F$3682</f>
        <v>220</v>
      </c>
      <c r="H3682" s="38" t="n">
        <f aca="false">Sens!$H$3679+Sens!$H$3680+Sens!$H$3681</f>
        <v>273.587296755126</v>
      </c>
      <c r="I3682" s="38" t="n">
        <f aca="false">Sens!$I$3679+Sens!$I$3680+Sens!$I$3681</f>
        <v>287.706361881827</v>
      </c>
      <c r="J3682" s="38" t="n">
        <f aca="false">Sens!$J$3679+Sens!$J$3680+Sens!$J$3681</f>
        <v>300.930753339362</v>
      </c>
      <c r="K3682" s="38" t="n">
        <f aca="false">Sens!$K$3679+Sens!$K$3680+Sens!$K$3681</f>
        <v>254.023605097273</v>
      </c>
      <c r="L3682" s="38" t="n">
        <f aca="false">Sens!$L$3679+Sens!$L$3680+Sens!$L$3681</f>
        <v>239.257726486262</v>
      </c>
      <c r="M3682" s="38" t="n">
        <f aca="false">Sens!$M$3679+Sens!$M$3680+Sens!$M$3681</f>
        <v>248.724960713524</v>
      </c>
    </row>
    <row r="3683" customFormat="false" ht="17.15" hidden="false" customHeight="false" outlineLevel="0" collapsed="false">
      <c r="A3683" s="5" t="s">
        <v>570</v>
      </c>
      <c r="B3683" s="0" t="s">
        <v>86</v>
      </c>
      <c r="C3683" s="38" t="n">
        <f aca="false">Q!$D$50</f>
        <v>2.043</v>
      </c>
      <c r="D3683" s="38" t="n">
        <f aca="false">Q!$E$50</f>
        <v>1.557</v>
      </c>
      <c r="E3683" s="38" t="n">
        <f aca="false">lease_pr/2</f>
        <v>0.8</v>
      </c>
      <c r="F3683" s="38" t="n">
        <f aca="false">lease_pr/2</f>
        <v>0.8</v>
      </c>
      <c r="G3683" s="38" t="n">
        <f aca="false">Sens!$E$3683+Sens!$F$3683</f>
        <v>1.6</v>
      </c>
      <c r="H3683" s="38" t="n">
        <f aca="false">lease_pr</f>
        <v>1.6</v>
      </c>
      <c r="I3683" s="38" t="n">
        <f aca="false">lease_pr</f>
        <v>1.6</v>
      </c>
      <c r="J3683" s="38" t="n">
        <f aca="false">lease_pr</f>
        <v>1.6</v>
      </c>
      <c r="K3683" s="38" t="n">
        <f aca="false">lease_pr</f>
        <v>1.6</v>
      </c>
      <c r="L3683" s="38" t="n">
        <f aca="false">lease_pr</f>
        <v>1.6</v>
      </c>
      <c r="M3683" s="38" t="n">
        <f aca="false">lease_pr</f>
        <v>1.6</v>
      </c>
      <c r="P3683" s="8" t="s">
        <v>803</v>
      </c>
    </row>
    <row r="3684" customFormat="false" ht="15" hidden="false" customHeight="false" outlineLevel="0" collapsed="false">
      <c r="A3684" s="47" t="s">
        <v>804</v>
      </c>
      <c r="B3684" s="14" t="s">
        <v>86</v>
      </c>
      <c r="C3684" s="48" t="n">
        <f aca="false">Sens!$C$3678-Sens!$C$3682-Sens!$C$3683</f>
        <v>36.176</v>
      </c>
      <c r="D3684" s="48" t="n">
        <f aca="false">Sens!$D$3678-Sens!$D$3682-Sens!$D$3683</f>
        <v>9.63700000000002</v>
      </c>
      <c r="E3684" s="48" t="n">
        <f aca="false">Sens!$E$3678-Sens!$E$3682-Sens!$E$3683</f>
        <v>-25.691</v>
      </c>
      <c r="F3684" s="48" t="n">
        <f aca="false">Sens!$F$3678-Sens!$F$3682-Sens!$F$3683</f>
        <v>-33.2271793268317</v>
      </c>
      <c r="G3684" s="48" t="n">
        <f aca="false">Sens!$G$3678-Sens!$G$3682-Sens!$G$3683</f>
        <v>-58.9181793268317</v>
      </c>
      <c r="H3684" s="48" t="n">
        <f aca="false">Sens!$H$3678-Sens!$H$3682-Sens!$H$3683</f>
        <v>-54.0310757765139</v>
      </c>
      <c r="I3684" s="48" t="n">
        <f aca="false">Sens!$I$3678-Sens!$I$3682-Sens!$I$3683</f>
        <v>-13.9160197386974</v>
      </c>
      <c r="J3684" s="48" t="n">
        <f aca="false">Sens!$J$3678-Sens!$J$3682-Sens!$J$3683</f>
        <v>27.8514918710537</v>
      </c>
      <c r="K3684" s="48" t="n">
        <f aca="false">Sens!$K$3678-Sens!$K$3682-Sens!$K$3683</f>
        <v>126.636515792877</v>
      </c>
      <c r="L3684" s="48" t="n">
        <f aca="false">Sens!$L$3678-Sens!$L$3682-Sens!$L$3683</f>
        <v>188.042186900615</v>
      </c>
      <c r="M3684" s="48" t="n">
        <f aca="false">Sens!$M$3678-Sens!$M$3682-Sens!$M$3683</f>
        <v>220.139759780218</v>
      </c>
      <c r="N3684" s="14"/>
      <c r="O3684" s="14"/>
    </row>
    <row r="3685" customFormat="false" ht="17.15" hidden="false" customHeight="false" outlineLevel="0" collapsed="false">
      <c r="A3685" s="5" t="s">
        <v>805</v>
      </c>
      <c r="B3685" s="0" t="s">
        <v>86</v>
      </c>
      <c r="C3685" s="38" t="n">
        <f aca="false">dps*Sens!$C$3664</f>
        <v>0</v>
      </c>
      <c r="D3685" s="38" t="n">
        <f aca="false">dps*Sens!$D$3664</f>
        <v>0</v>
      </c>
      <c r="E3685" s="38" t="n">
        <f aca="false">dps*Sens!$E$3664</f>
        <v>0</v>
      </c>
      <c r="F3685" s="38" t="n">
        <f aca="false">0</f>
        <v>0</v>
      </c>
      <c r="G3685" s="38" t="n">
        <f aca="false">dps*Sens!$G$3664</f>
        <v>0</v>
      </c>
      <c r="H3685" s="38" t="n">
        <f aca="false">dps*Sens!$H$3664</f>
        <v>0</v>
      </c>
      <c r="I3685" s="38" t="n">
        <f aca="false">dps*Sens!$I$3664</f>
        <v>0</v>
      </c>
      <c r="J3685" s="38" t="n">
        <f aca="false">dps*Sens!$J$3664</f>
        <v>0</v>
      </c>
      <c r="K3685" s="38" t="n">
        <f aca="false">dps*Sens!$K$3664</f>
        <v>0</v>
      </c>
      <c r="L3685" s="38" t="n">
        <f aca="false">dps*Sens!$L$3664</f>
        <v>0</v>
      </c>
      <c r="M3685" s="38" t="n">
        <f aca="false">dps*Sens!$M$3664</f>
        <v>0</v>
      </c>
      <c r="P3685" s="8" t="s">
        <v>806</v>
      </c>
    </row>
    <row r="3686" customFormat="false" ht="17.15" hidden="false" customHeight="false" outlineLevel="0" collapsed="false">
      <c r="A3686" s="5" t="s">
        <v>807</v>
      </c>
      <c r="B3686" s="0" t="s">
        <v>86</v>
      </c>
      <c r="C3686" s="38" t="n">
        <f aca="false">0</f>
        <v>0</v>
      </c>
      <c r="D3686" s="38" t="n">
        <f aca="false">0</f>
        <v>0</v>
      </c>
      <c r="E3686" s="38" t="n">
        <f aca="false">0</f>
        <v>0</v>
      </c>
      <c r="F3686" s="38" t="n">
        <f aca="false">0</f>
        <v>0</v>
      </c>
      <c r="G3686" s="38" t="n">
        <f aca="false">0</f>
        <v>0</v>
      </c>
      <c r="H3686" s="38" t="n">
        <f aca="false">0</f>
        <v>0</v>
      </c>
      <c r="I3686" s="38" t="n">
        <f aca="false">0</f>
        <v>0</v>
      </c>
      <c r="J3686" s="38" t="n">
        <f aca="false">0</f>
        <v>0</v>
      </c>
      <c r="K3686" s="38" t="n">
        <f aca="false">0</f>
        <v>0</v>
      </c>
      <c r="L3686" s="38" t="n">
        <f aca="false">0</f>
        <v>0</v>
      </c>
      <c r="M3686" s="38" t="n">
        <f aca="false">0</f>
        <v>0</v>
      </c>
      <c r="P3686" s="8" t="s">
        <v>808</v>
      </c>
    </row>
    <row r="3687" customFormat="false" ht="15" hidden="false" customHeight="false" outlineLevel="0" collapsed="false">
      <c r="A3687" s="3" t="s">
        <v>809</v>
      </c>
      <c r="B3687" s="8" t="s">
        <v>86</v>
      </c>
      <c r="C3687" s="38" t="n">
        <f aca="false">Sens!$C$3684-Sens!$C$3685</f>
        <v>36.176</v>
      </c>
      <c r="D3687" s="38" t="n">
        <f aca="false">Sens!$D$3684-Sens!$D$3685</f>
        <v>9.63700000000002</v>
      </c>
      <c r="E3687" s="38" t="n">
        <f aca="false">Sens!$E$3684-Sens!$E$3685</f>
        <v>-25.691</v>
      </c>
      <c r="F3687" s="38" t="n">
        <f aca="false">Sens!$F$3684-Sens!$F$3685</f>
        <v>-33.2271793268317</v>
      </c>
      <c r="G3687" s="38" t="n">
        <f aca="false">Sens!$G$3684-Sens!$G$3685</f>
        <v>-58.9181793268317</v>
      </c>
      <c r="H3687" s="38" t="n">
        <f aca="false">Sens!$H$3684-Sens!$H$3685</f>
        <v>-54.0310757765139</v>
      </c>
      <c r="I3687" s="38" t="n">
        <f aca="false">Sens!$I$3684-Sens!$I$3685</f>
        <v>-13.9160197386974</v>
      </c>
      <c r="J3687" s="38" t="n">
        <f aca="false">Sens!$J$3684-Sens!$J$3685</f>
        <v>27.8514918710537</v>
      </c>
      <c r="K3687" s="38" t="n">
        <f aca="false">Sens!$K$3684-Sens!$K$3685</f>
        <v>126.636515792877</v>
      </c>
      <c r="L3687" s="38" t="n">
        <f aca="false">Sens!$L$3684-Sens!$L$3685</f>
        <v>188.042186900615</v>
      </c>
      <c r="M3687" s="38" t="n">
        <f aca="false">Sens!$M$3684-Sens!$M$3685</f>
        <v>220.139759780218</v>
      </c>
    </row>
    <row r="3688" customFormat="false" ht="17.15" hidden="false" customHeight="false" outlineLevel="0" collapsed="false">
      <c r="A3688" s="5" t="s">
        <v>810</v>
      </c>
      <c r="B3688" s="0" t="s">
        <v>86</v>
      </c>
      <c r="E3688" s="38" t="n">
        <f aca="false">Q!$P$53</f>
        <v>39.767</v>
      </c>
      <c r="F3688" s="38" t="n">
        <f aca="false">inv_2h26</f>
        <v>21.3</v>
      </c>
      <c r="G3688" s="38" t="n">
        <f aca="false">Sens!$E$3688+Sens!$F$3688</f>
        <v>61.067</v>
      </c>
      <c r="H3688" s="39" t="n">
        <v>0</v>
      </c>
      <c r="I3688" s="39" t="n">
        <v>0</v>
      </c>
      <c r="J3688" s="39" t="n">
        <v>0</v>
      </c>
      <c r="K3688" s="39" t="n">
        <v>0</v>
      </c>
      <c r="L3688" s="39" t="n">
        <v>0</v>
      </c>
      <c r="M3688" s="39" t="n">
        <v>0</v>
      </c>
    </row>
    <row r="3689" customFormat="false" ht="17.15" hidden="false" customHeight="false" outlineLevel="0" collapsed="false">
      <c r="A3689" s="5" t="s">
        <v>811</v>
      </c>
      <c r="B3689" s="0" t="s">
        <v>86</v>
      </c>
      <c r="F3689" s="38" t="n">
        <f aca="false">iss_2h26</f>
        <v>29.249999</v>
      </c>
      <c r="G3689" s="38" t="n">
        <f aca="false">Sens!$F$3689</f>
        <v>29.249999</v>
      </c>
      <c r="H3689" s="39" t="n">
        <v>0</v>
      </c>
      <c r="I3689" s="39" t="n">
        <v>0</v>
      </c>
      <c r="J3689" s="39" t="n">
        <v>0</v>
      </c>
      <c r="K3689" s="39" t="n">
        <v>0</v>
      </c>
      <c r="L3689" s="39" t="n">
        <v>0</v>
      </c>
      <c r="M3689" s="39" t="n">
        <v>0</v>
      </c>
    </row>
    <row r="3690" customFormat="false" ht="17.15" hidden="false" customHeight="false" outlineLevel="0" collapsed="false">
      <c r="A3690" s="5" t="s">
        <v>812</v>
      </c>
      <c r="B3690" s="0" t="s">
        <v>86</v>
      </c>
      <c r="F3690" s="38" t="n">
        <f aca="false">cash_q2</f>
        <v>122.988</v>
      </c>
      <c r="G3690" s="38" t="n">
        <f aca="false">cash_q2</f>
        <v>122.988</v>
      </c>
      <c r="H3690" s="38" t="n">
        <f aca="false">Sens!$G$3693</f>
        <v>97.7108196731683</v>
      </c>
      <c r="I3690" s="38" t="n">
        <f aca="false">Sens!$H$3693</f>
        <v>50</v>
      </c>
      <c r="J3690" s="38" t="n">
        <f aca="false">Sens!$I$3693</f>
        <v>50</v>
      </c>
      <c r="K3690" s="38" t="n">
        <f aca="false">Sens!$J$3693</f>
        <v>77.8514918710537</v>
      </c>
      <c r="L3690" s="38" t="n">
        <f aca="false">Sens!$K$3693</f>
        <v>204.488007663931</v>
      </c>
      <c r="M3690" s="38" t="n">
        <f aca="false">Sens!$L$3693</f>
        <v>392.530194564546</v>
      </c>
    </row>
    <row r="3691" customFormat="false" ht="15" hidden="false" customHeight="false" outlineLevel="0" collapsed="false">
      <c r="A3691" s="5" t="s">
        <v>813</v>
      </c>
      <c r="B3691" s="0" t="s">
        <v>86</v>
      </c>
      <c r="F3691" s="38" t="n">
        <f aca="false">Sens!$F$3690+Sens!$F$3687-Sens!$F$3686-Sens!$F$3688+Sens!$F$3689</f>
        <v>97.7108196731683</v>
      </c>
      <c r="H3691" s="38" t="n">
        <f aca="false">Sens!$H$3690+Sens!$H$3687-Sens!$H$3686-Sens!$H$3688+Sens!$H$3689</f>
        <v>43.6797438966544</v>
      </c>
      <c r="I3691" s="38" t="n">
        <f aca="false">Sens!$I$3690+Sens!$I$3687-Sens!$I$3686-Sens!$I$3688+Sens!$I$3689</f>
        <v>36.0839802613026</v>
      </c>
      <c r="J3691" s="38" t="n">
        <f aca="false">Sens!$J$3690+Sens!$J$3687-Sens!$J$3686-Sens!$J$3688+Sens!$J$3689</f>
        <v>77.8514918710537</v>
      </c>
      <c r="K3691" s="38" t="n">
        <f aca="false">Sens!$K$3690+Sens!$K$3687-Sens!$K$3686-Sens!$K$3688+Sens!$K$3689</f>
        <v>204.488007663931</v>
      </c>
      <c r="L3691" s="38" t="n">
        <f aca="false">Sens!$L$3690+Sens!$L$3687-Sens!$L$3686-Sens!$L$3688+Sens!$L$3689</f>
        <v>392.530194564546</v>
      </c>
      <c r="M3691" s="38" t="n">
        <f aca="false">Sens!$M$3690+Sens!$M$3687-Sens!$M$3686-Sens!$M$3688+Sens!$M$3689</f>
        <v>612.669954344764</v>
      </c>
    </row>
    <row r="3692" customFormat="false" ht="17.15" hidden="false" customHeight="false" outlineLevel="0" collapsed="false">
      <c r="A3692" s="5" t="s">
        <v>814</v>
      </c>
      <c r="B3692" s="0" t="s">
        <v>86</v>
      </c>
      <c r="F3692" s="38" t="n">
        <f aca="false">MAX(0,min_cash-Sens!$F$3691)</f>
        <v>0</v>
      </c>
      <c r="G3692" s="38" t="n">
        <f aca="false">Sens!$F$3692</f>
        <v>0</v>
      </c>
      <c r="H3692" s="38" t="n">
        <f aca="false">MAX(0,min_cash-Sens!$H$3691)</f>
        <v>6.32025610334565</v>
      </c>
      <c r="I3692" s="38" t="n">
        <f aca="false">MAX(0,min_cash-Sens!$I$3691)</f>
        <v>13.9160197386974</v>
      </c>
      <c r="J3692" s="38" t="n">
        <f aca="false">MAX(0,min_cash-Sens!$J$3691)</f>
        <v>0</v>
      </c>
      <c r="K3692" s="38" t="n">
        <f aca="false">MAX(0,min_cash-Sens!$K$3691)</f>
        <v>0</v>
      </c>
      <c r="L3692" s="38" t="n">
        <f aca="false">MAX(0,min_cash-Sens!$L$3691)</f>
        <v>0</v>
      </c>
      <c r="M3692" s="38" t="n">
        <f aca="false">MAX(0,min_cash-Sens!$M$3691)</f>
        <v>0</v>
      </c>
      <c r="P3692" s="5" t="s">
        <v>815</v>
      </c>
    </row>
    <row r="3693" customFormat="false" ht="15" hidden="false" customHeight="false" outlineLevel="0" collapsed="false">
      <c r="A3693" s="5" t="s">
        <v>816</v>
      </c>
      <c r="B3693" s="0" t="s">
        <v>86</v>
      </c>
      <c r="D3693" s="38" t="n">
        <f aca="false">Q!$E$61</f>
        <v>123.029</v>
      </c>
      <c r="E3693" s="38" t="n">
        <f aca="false">Q!$M$61</f>
        <v>122.988</v>
      </c>
      <c r="F3693" s="38" t="n">
        <f aca="false">Sens!$F$3691+Sens!$F$3692</f>
        <v>97.7108196731683</v>
      </c>
      <c r="G3693" s="38" t="n">
        <f aca="false">Sens!$F$3693</f>
        <v>97.7108196731683</v>
      </c>
      <c r="H3693" s="38" t="n">
        <f aca="false">Sens!$H$3691+Sens!$H$3692</f>
        <v>50</v>
      </c>
      <c r="I3693" s="38" t="n">
        <f aca="false">Sens!$I$3691+Sens!$I$3692</f>
        <v>50</v>
      </c>
      <c r="J3693" s="38" t="n">
        <f aca="false">Sens!$J$3691+Sens!$J$3692</f>
        <v>77.8514918710537</v>
      </c>
      <c r="K3693" s="38" t="n">
        <f aca="false">Sens!$K$3691+Sens!$K$3692</f>
        <v>204.488007663931</v>
      </c>
      <c r="L3693" s="38" t="n">
        <f aca="false">Sens!$L$3691+Sens!$L$3692</f>
        <v>392.530194564546</v>
      </c>
      <c r="M3693" s="38" t="n">
        <f aca="false">Sens!$M$3691+Sens!$M$3692</f>
        <v>612.669954344764</v>
      </c>
    </row>
    <row r="3694" customFormat="false" ht="15" hidden="false" customHeight="false" outlineLevel="0" collapsed="false">
      <c r="A3694" s="5" t="s">
        <v>817</v>
      </c>
      <c r="B3694" s="0" t="s">
        <v>86</v>
      </c>
      <c r="D3694" s="38" t="n">
        <f aca="false">Q!$E$62</f>
        <v>68.836</v>
      </c>
      <c r="E3694" s="38" t="n">
        <f aca="false">Q!$M$62</f>
        <v>132.995</v>
      </c>
      <c r="F3694" s="38" t="n">
        <f aca="false">debt_q2+Sens!$F$3689+Sens!$F$3692</f>
        <v>162.244999</v>
      </c>
      <c r="G3694" s="38" t="n">
        <f aca="false">Sens!$F$3694</f>
        <v>162.244999</v>
      </c>
      <c r="H3694" s="38" t="n">
        <f aca="false">Sens!$G$3694+Sens!$H$3692</f>
        <v>168.565255103346</v>
      </c>
      <c r="I3694" s="38" t="n">
        <f aca="false">Sens!$H$3694+Sens!$I$3692</f>
        <v>182.481274842043</v>
      </c>
      <c r="J3694" s="38" t="n">
        <f aca="false">Sens!$I$3694+Sens!$J$3692</f>
        <v>182.481274842043</v>
      </c>
      <c r="K3694" s="38" t="n">
        <f aca="false">Sens!$J$3694+Sens!$K$3692</f>
        <v>182.481274842043</v>
      </c>
      <c r="L3694" s="38" t="n">
        <f aca="false">Sens!$K$3694+Sens!$L$3692</f>
        <v>182.481274842043</v>
      </c>
      <c r="M3694" s="38" t="n">
        <f aca="false">Sens!$L$3694+Sens!$M$3692</f>
        <v>182.481274842043</v>
      </c>
    </row>
    <row r="3695" customFormat="false" ht="15" hidden="false" customHeight="false" outlineLevel="0" collapsed="false">
      <c r="A3695" s="5" t="s">
        <v>818</v>
      </c>
      <c r="B3695" s="0" t="s">
        <v>86</v>
      </c>
      <c r="D3695" s="38" t="n">
        <f aca="false">Sens!$D$3694-Sens!$D$3693</f>
        <v>-54.193</v>
      </c>
      <c r="E3695" s="38" t="n">
        <f aca="false">Sens!$E$3694-Sens!$E$3693</f>
        <v>10.007</v>
      </c>
      <c r="F3695" s="38" t="n">
        <f aca="false">Sens!$F$3694-Sens!$F$3693</f>
        <v>64.5341793268317</v>
      </c>
      <c r="G3695" s="38" t="n">
        <f aca="false">Sens!$G$3694-Sens!$G$3693</f>
        <v>64.5341793268317</v>
      </c>
      <c r="H3695" s="38" t="n">
        <f aca="false">Sens!$H$3694-Sens!$H$3693</f>
        <v>118.565255103346</v>
      </c>
      <c r="I3695" s="38" t="n">
        <f aca="false">Sens!$I$3694-Sens!$I$3693</f>
        <v>132.481274842043</v>
      </c>
      <c r="J3695" s="38" t="n">
        <f aca="false">Sens!$J$3694-Sens!$J$3693</f>
        <v>104.629782970989</v>
      </c>
      <c r="K3695" s="38" t="n">
        <f aca="false">Sens!$K$3694-Sens!$K$3693</f>
        <v>-22.0067328218875</v>
      </c>
      <c r="L3695" s="38" t="n">
        <f aca="false">Sens!$L$3694-Sens!$L$3693</f>
        <v>-210.048919722503</v>
      </c>
      <c r="M3695" s="38" t="n">
        <f aca="false">Sens!$M$3694-Sens!$M$3693</f>
        <v>-430.188679502721</v>
      </c>
    </row>
    <row r="3696" customFormat="false" ht="17.15" hidden="false" customHeight="false" outlineLevel="0" collapsed="false">
      <c r="A3696" s="5" t="s">
        <v>819</v>
      </c>
      <c r="B3696" s="0" t="s">
        <v>86</v>
      </c>
      <c r="F3696" s="38" t="n">
        <f aca="false">debt_q2*kd_book*0.5+iss_2h26*kd_new*iss_t</f>
        <v>3.24888962733561</v>
      </c>
      <c r="H3696" s="38" t="n">
        <f aca="false">debt_q2*kd_book+(Sens!$G$3694-debt_q2)*kd_new</f>
        <v>7.42354172302123</v>
      </c>
      <c r="I3696" s="38" t="n">
        <f aca="false">debt_q2*kd_book+(Sens!$H$3694-debt_q2)*kd_new</f>
        <v>7.82361393436301</v>
      </c>
      <c r="J3696" s="38" t="n">
        <f aca="false">debt_q2*kd_book+(Sens!$I$3694-debt_q2)*kd_new</f>
        <v>8.70449798382256</v>
      </c>
      <c r="K3696" s="38" t="n">
        <f aca="false">debt_q2*kd_book+(Sens!$J$3694-debt_q2)*kd_new</f>
        <v>8.70449798382256</v>
      </c>
      <c r="L3696" s="38" t="n">
        <f aca="false">debt_q2*kd_book+(Sens!$K$3694-debt_q2)*kd_new</f>
        <v>8.70449798382256</v>
      </c>
      <c r="M3696" s="38" t="n">
        <f aca="false">debt_q2*kd_book+(Sens!$L$3694-debt_q2)*kd_new</f>
        <v>8.70449798382256</v>
      </c>
    </row>
    <row r="3697" customFormat="false" ht="17.15" hidden="false" customHeight="false" outlineLevel="0" collapsed="false">
      <c r="A3697" s="5" t="s">
        <v>820</v>
      </c>
      <c r="B3697" s="0" t="s">
        <v>86</v>
      </c>
      <c r="F3697" s="38" t="n">
        <f aca="false">cash_q2*y_cash*0.5</f>
        <v>2.59</v>
      </c>
      <c r="H3697" s="38" t="n">
        <f aca="false">Sens!$G$3693*y_cash</f>
        <v>4.1153774832261</v>
      </c>
      <c r="I3697" s="38" t="n">
        <f aca="false">Sens!$H$3693*y_cash</f>
        <v>2.10589651022864</v>
      </c>
      <c r="J3697" s="38" t="n">
        <f aca="false">Sens!$I$3693*y_cash</f>
        <v>2.10589651022864</v>
      </c>
      <c r="K3697" s="38" t="n">
        <f aca="false">Sens!$J$3693*y_cash</f>
        <v>3.27894370094691</v>
      </c>
      <c r="L3697" s="38" t="n">
        <f aca="false">Sens!$K$3693*y_cash</f>
        <v>8.61261163446158</v>
      </c>
      <c r="M3697" s="38" t="n">
        <f aca="false">Sens!$L$3693*y_cash</f>
        <v>16.5325593378569</v>
      </c>
    </row>
    <row r="3698" customFormat="false" ht="17.15" hidden="false" customHeight="false" outlineLevel="0" collapsed="false">
      <c r="A3698" s="47" t="s">
        <v>821</v>
      </c>
      <c r="B3698" s="14" t="s">
        <v>86</v>
      </c>
      <c r="C3698" s="14"/>
      <c r="D3698" s="14"/>
      <c r="E3698" s="14"/>
      <c r="F3698" s="14"/>
      <c r="G3698" s="48" t="n">
        <f aca="false">SUM(Sens!$G$3687:$K$3687)</f>
        <v>27.6227328218875</v>
      </c>
      <c r="H3698" s="14"/>
      <c r="I3698" s="14"/>
      <c r="J3698" s="14"/>
      <c r="K3698" s="14"/>
      <c r="L3698" s="14"/>
      <c r="M3698" s="14"/>
      <c r="N3698" s="14"/>
      <c r="O3698" s="14"/>
    </row>
    <row r="3699" customFormat="false" ht="17.15" hidden="false" customHeight="false" outlineLevel="0" collapsed="false">
      <c r="A3699" s="0" t="s">
        <v>787</v>
      </c>
      <c r="B3699" s="0" t="s">
        <v>86</v>
      </c>
      <c r="G3699" s="38" t="n">
        <f aca="false">SUM(Sens!$G$3692:$K$3692)</f>
        <v>20.2362758420431</v>
      </c>
    </row>
    <row r="3700" customFormat="false" ht="17.15" hidden="false" customHeight="false" outlineLevel="0" collapsed="false">
      <c r="A3700" s="24" t="s">
        <v>824</v>
      </c>
      <c r="B3700" s="25" t="s">
        <v>86</v>
      </c>
      <c r="C3700" s="25"/>
      <c r="D3700" s="25"/>
      <c r="E3700" s="25"/>
      <c r="F3700" s="25"/>
      <c r="G3700" s="41" t="n">
        <f aca="false">Sens!$G$3698-(Sens!$G$3687+Sens!$H$3687+Sens!$I$3687+Sens!$J$3687+Sens!$K$3687)</f>
        <v>0</v>
      </c>
      <c r="H3700" s="25"/>
      <c r="I3700" s="25"/>
      <c r="J3700" s="25"/>
      <c r="K3700" s="25"/>
      <c r="L3700" s="25"/>
      <c r="M3700" s="25"/>
      <c r="N3700" s="25"/>
      <c r="O3700" s="25"/>
    </row>
    <row r="3703" customFormat="false" ht="19.4" hidden="false" customHeight="false" outlineLevel="0" collapsed="false">
      <c r="A3703" s="31" t="s">
        <v>1226</v>
      </c>
    </row>
    <row r="3704" customFormat="false" ht="17.15" hidden="false" customHeight="false" outlineLevel="0" collapsed="false">
      <c r="A3704" s="6" t="s">
        <v>16</v>
      </c>
      <c r="B3704" s="6" t="s">
        <v>17</v>
      </c>
      <c r="C3704" s="20" t="s">
        <v>504</v>
      </c>
      <c r="D3704" s="20" t="s">
        <v>505</v>
      </c>
      <c r="E3704" s="20" t="s">
        <v>587</v>
      </c>
      <c r="F3704" s="20" t="s">
        <v>588</v>
      </c>
      <c r="G3704" s="20" t="s">
        <v>589</v>
      </c>
      <c r="H3704" s="20" t="s">
        <v>590</v>
      </c>
      <c r="I3704" s="20" t="s">
        <v>591</v>
      </c>
      <c r="J3704" s="20" t="s">
        <v>592</v>
      </c>
      <c r="K3704" s="20" t="s">
        <v>593</v>
      </c>
      <c r="L3704" s="20" t="s">
        <v>594</v>
      </c>
      <c r="M3704" s="20" t="s">
        <v>595</v>
      </c>
      <c r="N3704" s="20" t="s">
        <v>596</v>
      </c>
      <c r="O3704" s="20" t="s">
        <v>597</v>
      </c>
      <c r="P3704" s="6" t="s">
        <v>23</v>
      </c>
      <c r="R3704" s="20" t="n">
        <v>2023</v>
      </c>
      <c r="S3704" s="20" t="n">
        <v>2024</v>
      </c>
      <c r="T3704" s="20" t="n">
        <v>2025</v>
      </c>
      <c r="U3704" s="20" t="n">
        <v>2026</v>
      </c>
      <c r="V3704" s="20" t="n">
        <v>2027</v>
      </c>
      <c r="W3704" s="20" t="n">
        <v>2028</v>
      </c>
      <c r="X3704" s="20" t="n">
        <v>2029</v>
      </c>
      <c r="Y3704" s="20" t="n">
        <v>2030</v>
      </c>
      <c r="Z3704" s="20" t="n">
        <v>2031</v>
      </c>
      <c r="AA3704" s="20" t="n">
        <v>2032</v>
      </c>
    </row>
    <row r="3705" customFormat="false" ht="17.15" hidden="false" customHeight="false" outlineLevel="0" collapsed="false">
      <c r="A3705" s="1" t="s">
        <v>926</v>
      </c>
    </row>
    <row r="3706" customFormat="false" ht="17.15" hidden="false" customHeight="false" outlineLevel="0" collapsed="false">
      <c r="A3706" s="0" t="s">
        <v>927</v>
      </c>
      <c r="B3706" s="0" t="s">
        <v>86</v>
      </c>
      <c r="H3706" s="38" t="n">
        <f aca="false">Sens!$H$3640*(1-tax)</f>
        <v>119.885660229368</v>
      </c>
      <c r="I3706" s="38" t="n">
        <f aca="false">Sens!$I$3640*(1-tax)</f>
        <v>142.339584537179</v>
      </c>
      <c r="J3706" s="38" t="n">
        <f aca="false">Sens!$J$3640*(1-tax)</f>
        <v>167.61968951031</v>
      </c>
      <c r="K3706" s="38" t="n">
        <f aca="false">Sens!$K$3640*(1-tax)</f>
        <v>186.688954605542</v>
      </c>
      <c r="L3706" s="38" t="n">
        <f aca="false">Sens!$L$3640*(1-tax)</f>
        <v>202.951789410432</v>
      </c>
      <c r="M3706" s="38" t="n">
        <f aca="false">Sens!$M$3640*(1-tax)</f>
        <v>217.879702250753</v>
      </c>
    </row>
    <row r="3707" customFormat="false" ht="15" hidden="false" customHeight="false" outlineLevel="0" collapsed="false">
      <c r="A3707" s="5" t="s">
        <v>928</v>
      </c>
      <c r="B3707" s="0" t="s">
        <v>86</v>
      </c>
      <c r="H3707" s="38" t="n">
        <f aca="false">Sens!$H$3651</f>
        <v>81.7412219525016</v>
      </c>
      <c r="I3707" s="38" t="n">
        <f aca="false">Sens!$I$3651</f>
        <v>119.361860974615</v>
      </c>
      <c r="J3707" s="38" t="n">
        <f aca="false">Sens!$J$3651</f>
        <v>153.818835217203</v>
      </c>
      <c r="K3707" s="38" t="n">
        <f aca="false">Sens!$K$3651</f>
        <v>188.871171018523</v>
      </c>
      <c r="L3707" s="38" t="n">
        <f aca="false">Sens!$L$3651</f>
        <v>215.739300242362</v>
      </c>
      <c r="M3707" s="38" t="n">
        <f aca="false">Sens!$M$3651</f>
        <v>234.390058505202</v>
      </c>
    </row>
    <row r="3708" customFormat="false" ht="15" hidden="false" customHeight="false" outlineLevel="0" collapsed="false">
      <c r="A3708" s="5" t="s">
        <v>929</v>
      </c>
      <c r="B3708" s="0" t="s">
        <v>86</v>
      </c>
      <c r="H3708" s="38" t="n">
        <f aca="false">Sens!$H$3682</f>
        <v>273.587296755126</v>
      </c>
      <c r="I3708" s="38" t="n">
        <f aca="false">Sens!$I$3682</f>
        <v>287.706361881827</v>
      </c>
      <c r="J3708" s="38" t="n">
        <f aca="false">Sens!$J$3682</f>
        <v>300.930753339362</v>
      </c>
      <c r="K3708" s="38" t="n">
        <f aca="false">Sens!$K$3682</f>
        <v>254.023605097273</v>
      </c>
      <c r="L3708" s="38" t="n">
        <f aca="false">Sens!$L$3682</f>
        <v>239.257726486262</v>
      </c>
      <c r="M3708" s="38" t="n">
        <f aca="false">Sens!$M$3682</f>
        <v>248.724960713524</v>
      </c>
    </row>
    <row r="3709" customFormat="false" ht="15" hidden="false" customHeight="false" outlineLevel="0" collapsed="false">
      <c r="A3709" s="5" t="s">
        <v>930</v>
      </c>
      <c r="B3709" s="0" t="s">
        <v>86</v>
      </c>
      <c r="H3709" s="38" t="n">
        <f aca="false">Sens!$H$3683</f>
        <v>1.6</v>
      </c>
      <c r="I3709" s="38" t="n">
        <f aca="false">Sens!$I$3683</f>
        <v>1.6</v>
      </c>
      <c r="J3709" s="38" t="n">
        <f aca="false">Sens!$J$3683</f>
        <v>1.6</v>
      </c>
      <c r="K3709" s="38" t="n">
        <f aca="false">Sens!$K$3683</f>
        <v>1.6</v>
      </c>
      <c r="L3709" s="38" t="n">
        <f aca="false">Sens!$L$3683</f>
        <v>1.6</v>
      </c>
      <c r="M3709" s="38" t="n">
        <f aca="false">Sens!$M$3683</f>
        <v>1.6</v>
      </c>
    </row>
    <row r="3710" customFormat="false" ht="15" hidden="false" customHeight="false" outlineLevel="0" collapsed="false">
      <c r="A3710" s="5" t="s">
        <v>931</v>
      </c>
      <c r="B3710" s="0" t="s">
        <v>86</v>
      </c>
      <c r="H3710" s="38" t="n">
        <f aca="false">Sens!$H$3677</f>
        <v>11.3056899959481</v>
      </c>
      <c r="I3710" s="38" t="n">
        <f aca="false">Sens!$I$3677</f>
        <v>12.8525717325912</v>
      </c>
      <c r="J3710" s="38" t="n">
        <f aca="false">Sens!$J$3677</f>
        <v>14.357295266249</v>
      </c>
      <c r="K3710" s="38" t="n">
        <f aca="false">Sens!$K$3677</f>
        <v>15.7105211258917</v>
      </c>
      <c r="L3710" s="38" t="n">
        <f aca="false">Sens!$L$3677</f>
        <v>16.9939058203546</v>
      </c>
      <c r="M3710" s="38" t="n">
        <f aca="false">Sens!$M$3677</f>
        <v>18.2138126714013</v>
      </c>
    </row>
    <row r="3711" customFormat="false" ht="17.15" hidden="false" customHeight="false" outlineLevel="0" collapsed="false">
      <c r="A3711" s="1" t="s">
        <v>932</v>
      </c>
      <c r="B3711" s="8" t="s">
        <v>86</v>
      </c>
      <c r="H3711" s="38" t="n">
        <f aca="false">Sens!$H$3706+Sens!$H$3707-Sens!$H$3708-Sens!$H$3709+Sens!$H$3710</f>
        <v>-62.2547245773081</v>
      </c>
      <c r="I3711" s="38" t="n">
        <f aca="false">Sens!$I$3706+Sens!$I$3707-Sens!$I$3708-Sens!$I$3709+Sens!$I$3710</f>
        <v>-14.7523446374414</v>
      </c>
      <c r="J3711" s="38" t="n">
        <f aca="false">Sens!$J$3706+Sens!$J$3707-Sens!$J$3708-Sens!$J$3709+Sens!$J$3710</f>
        <v>33.2650666543992</v>
      </c>
      <c r="K3711" s="38" t="n">
        <f aca="false">Sens!$K$3706+Sens!$K$3707-Sens!$K$3708-Sens!$K$3709+Sens!$K$3710</f>
        <v>135.647041652683</v>
      </c>
      <c r="L3711" s="38" t="n">
        <f aca="false">Sens!$L$3706+Sens!$L$3707-Sens!$L$3708-Sens!$L$3709+Sens!$L$3710</f>
        <v>194.827268986887</v>
      </c>
      <c r="M3711" s="38" t="n">
        <f aca="false">Sens!$M$3706+Sens!$M$3707-Sens!$M$3708-Sens!$M$3709+Sens!$M$3710</f>
        <v>220.158612713832</v>
      </c>
    </row>
    <row r="3712" customFormat="false" ht="15" hidden="false" customHeight="false" outlineLevel="0" collapsed="false">
      <c r="A3712" s="5" t="s">
        <v>933</v>
      </c>
      <c r="B3712" s="0" t="s">
        <v>57</v>
      </c>
      <c r="H3712" s="40" t="n">
        <f aca="false">1/(1+wacc)^(2027-2026-0.5)</f>
        <v>0.947751320380232</v>
      </c>
      <c r="I3712" s="40" t="n">
        <f aca="false">1/(1+wacc)^(2028-2026-0.5)</f>
        <v>0.851301099754987</v>
      </c>
      <c r="J3712" s="40" t="n">
        <f aca="false">1/(1+wacc)^(2029-2026-0.5)</f>
        <v>0.764666370660713</v>
      </c>
      <c r="K3712" s="40" t="n">
        <f aca="false">1/(1+wacc)^(2030-2026-0.5)</f>
        <v>0.686848235703811</v>
      </c>
      <c r="L3712" s="40" t="n">
        <f aca="false">1/(1+wacc)^(2031-2026-0.5)</f>
        <v>0.616949452715975</v>
      </c>
      <c r="M3712" s="40" t="n">
        <f aca="false">1/(1+wacc)^(2032-2026-0.5)</f>
        <v>0.554164089562688</v>
      </c>
    </row>
    <row r="3713" customFormat="false" ht="15" hidden="false" customHeight="false" outlineLevel="0" collapsed="false">
      <c r="A3713" s="5" t="s">
        <v>934</v>
      </c>
      <c r="B3713" s="0" t="s">
        <v>86</v>
      </c>
      <c r="H3713" s="38" t="n">
        <f aca="false">Sens!$H$3711*Sens!$H$3712</f>
        <v>-59.0019974180515</v>
      </c>
      <c r="I3713" s="38" t="n">
        <f aca="false">Sens!$I$3711*Sens!$I$3712</f>
        <v>-12.5586872138185</v>
      </c>
      <c r="J3713" s="38" t="n">
        <f aca="false">Sens!$J$3711*Sens!$J$3712</f>
        <v>25.4366777884061</v>
      </c>
      <c r="K3713" s="38" t="n">
        <f aca="false">Sens!$K$3711*Sens!$K$3712</f>
        <v>93.1689312375868</v>
      </c>
      <c r="L3713" s="38" t="n">
        <f aca="false">Sens!$L$3711*Sens!$L$3712</f>
        <v>120.198576975608</v>
      </c>
      <c r="M3713" s="38" t="n">
        <f aca="false">Sens!$M$3711*Sens!$M$3712</f>
        <v>122.003997173945</v>
      </c>
    </row>
    <row r="3714" customFormat="false" ht="15" hidden="false" customHeight="false" outlineLevel="0" collapsed="false">
      <c r="A3714" s="5" t="s">
        <v>935</v>
      </c>
      <c r="B3714" s="0" t="s">
        <v>86</v>
      </c>
      <c r="C3714" s="38" t="n">
        <f aca="false">SUM(Sens!$H$3713:$M$3713)</f>
        <v>289.247498543676</v>
      </c>
    </row>
    <row r="3715" customFormat="false" ht="17.15" hidden="false" customHeight="false" outlineLevel="0" collapsed="false">
      <c r="A3715" s="5" t="s">
        <v>936</v>
      </c>
      <c r="B3715" s="0" t="s">
        <v>86</v>
      </c>
      <c r="C3715" s="38" t="n">
        <f aca="false">Sens!$M$3706*(1+tg)*(1-tg/ronic)/(wacc-tg)</f>
        <v>1980.76962194695</v>
      </c>
    </row>
    <row r="3716" customFormat="false" ht="15" hidden="false" customHeight="false" outlineLevel="0" collapsed="false">
      <c r="A3716" s="5" t="s">
        <v>937</v>
      </c>
      <c r="B3716" s="0" t="s">
        <v>86</v>
      </c>
      <c r="C3716" s="38" t="n">
        <f aca="false">Sens!$C$3715/(1+wacc)^6</f>
        <v>1040.31951317738</v>
      </c>
    </row>
    <row r="3717" customFormat="false" ht="17.15" hidden="false" customHeight="false" outlineLevel="0" collapsed="false">
      <c r="A3717" s="5" t="s">
        <v>938</v>
      </c>
      <c r="B3717" s="0" t="s">
        <v>86</v>
      </c>
      <c r="C3717" s="38" t="n">
        <f aca="false">Sens!$C$3714+Sens!$C$3716</f>
        <v>1329.56701172106</v>
      </c>
    </row>
    <row r="3718" customFormat="false" ht="17.15" hidden="false" customHeight="false" outlineLevel="0" collapsed="false">
      <c r="A3718" s="5" t="s">
        <v>939</v>
      </c>
      <c r="B3718" s="0" t="s">
        <v>52</v>
      </c>
      <c r="C3718" s="13" t="n">
        <f aca="false">Sens!$C$3716/Sens!$C$3717</f>
        <v>0.782449853227586</v>
      </c>
    </row>
    <row r="3719" customFormat="false" ht="17.15" hidden="false" customHeight="false" outlineLevel="0" collapsed="false">
      <c r="A3719" s="5" t="s">
        <v>940</v>
      </c>
      <c r="B3719" s="0" t="s">
        <v>86</v>
      </c>
      <c r="C3719" s="38" t="n">
        <f aca="false">Sens!$G$3695+fin_debt</f>
        <v>89.0551793268317</v>
      </c>
    </row>
    <row r="3720" customFormat="false" ht="17.15" hidden="false" customHeight="false" outlineLevel="0" collapsed="false">
      <c r="A3720" s="5" t="s">
        <v>941</v>
      </c>
      <c r="B3720" s="0" t="s">
        <v>86</v>
      </c>
      <c r="C3720" s="38" t="n">
        <f aca="false">(ant_val*ant_sh+oai_val*oai_sh)*(1-liq_disc)</f>
        <v>178.944</v>
      </c>
    </row>
    <row r="3721" customFormat="false" ht="15" hidden="false" customHeight="false" outlineLevel="0" collapsed="false">
      <c r="A3721" s="5" t="s">
        <v>942</v>
      </c>
      <c r="B3721" s="0" t="s">
        <v>86</v>
      </c>
      <c r="C3721" s="38" t="n">
        <f aca="false">Sens!$C$3717-Sens!$C$3719+Sens!$C$3720</f>
        <v>1419.45583239423</v>
      </c>
    </row>
    <row r="3722" customFormat="false" ht="17.15" hidden="false" customHeight="false" outlineLevel="0" collapsed="false">
      <c r="A3722" s="5" t="s">
        <v>943</v>
      </c>
      <c r="B3722" s="0" t="s">
        <v>27</v>
      </c>
      <c r="C3722" s="30" t="n">
        <f aca="false">Sens!$C$3721/sh_out</f>
        <v>131.59785932379</v>
      </c>
    </row>
    <row r="3723" customFormat="false" ht="17.15" hidden="false" customHeight="false" outlineLevel="0" collapsed="false">
      <c r="A3723" s="1" t="s">
        <v>944</v>
      </c>
      <c r="B3723" s="8" t="s">
        <v>27</v>
      </c>
      <c r="C3723" s="30" t="n">
        <f aca="false">Sens!$C$3722*(1+ke)^tp_yf-dps*tp_yf</f>
        <v>144.148195366031</v>
      </c>
    </row>
    <row r="3724" customFormat="false" ht="17.15" hidden="false" customHeight="false" outlineLevel="0" collapsed="false">
      <c r="A3724" s="3" t="s">
        <v>945</v>
      </c>
    </row>
    <row r="3725" customFormat="false" ht="17.15" hidden="false" customHeight="false" outlineLevel="0" collapsed="false">
      <c r="A3725" s="5" t="s">
        <v>946</v>
      </c>
      <c r="B3725" s="0" t="s">
        <v>86</v>
      </c>
      <c r="C3725" s="38" t="n">
        <f aca="false">(1-tp_yf)*(Sens!$H$3652+sbc_ab*Sens!$H$3676*Sens!$H$3513/Sens!$H$3593)+tp_yf*(Sens!$I$3652+sbc_ab*Sens!$I$3676*Sens!$I$3513/Sens!$I$3593)</f>
        <v>59.634664536349</v>
      </c>
    </row>
    <row r="3726" customFormat="false" ht="15" hidden="false" customHeight="false" outlineLevel="0" collapsed="false">
      <c r="A3726" s="5" t="s">
        <v>947</v>
      </c>
      <c r="B3726" s="0" t="s">
        <v>57</v>
      </c>
      <c r="C3726" s="30" t="n">
        <f aca="false">m_ads*m_x</f>
        <v>9.11</v>
      </c>
    </row>
    <row r="3727" customFormat="false" ht="17.15" hidden="false" customHeight="false" outlineLevel="0" collapsed="false">
      <c r="A3727" s="5" t="s">
        <v>948</v>
      </c>
      <c r="B3727" s="0" t="s">
        <v>86</v>
      </c>
      <c r="C3727" s="38" t="n">
        <f aca="false">Sens!$C$3725*Sens!$C$3726</f>
        <v>543.271793926139</v>
      </c>
    </row>
    <row r="3728" customFormat="false" ht="17.15" hidden="false" customHeight="false" outlineLevel="0" collapsed="false">
      <c r="A3728" s="5" t="s">
        <v>949</v>
      </c>
      <c r="B3728" s="0" t="s">
        <v>86</v>
      </c>
      <c r="C3728" s="38" t="n">
        <f aca="false">(1-tp_yf)*(Sens!$H$3653+sbc_ab*Sens!$H$3676*(Sens!$H$3520-Sens!$H$3513)/Sens!$H$3593+IF(internal_ai_reading=2,1,0)*(1-ext_sh)*Sens!$H$3550)+tp_yf*(Sens!$I$3653+sbc_ab*Sens!$I$3676*(Sens!$I$3520-Sens!$I$3513)/Sens!$I$3593+IF(internal_ai_reading=2,1,0)*(1-ext_sh)*Sens!$I$3550)</f>
        <v>51.6951811103438</v>
      </c>
    </row>
    <row r="3729" customFormat="false" ht="17.15" hidden="false" customHeight="false" outlineLevel="0" collapsed="false">
      <c r="A3729" s="5" t="s">
        <v>950</v>
      </c>
      <c r="B3729" s="0" t="s">
        <v>57</v>
      </c>
      <c r="C3729" s="30" t="n">
        <f aca="false">m_retail*m_x</f>
        <v>17.72</v>
      </c>
    </row>
    <row r="3730" customFormat="false" ht="17.15" hidden="false" customHeight="false" outlineLevel="0" collapsed="false">
      <c r="A3730" s="5" t="s">
        <v>951</v>
      </c>
      <c r="B3730" s="0" t="s">
        <v>86</v>
      </c>
      <c r="C3730" s="38" t="n">
        <f aca="false">Sens!$C$3728*Sens!$C$3729</f>
        <v>916.038609275292</v>
      </c>
    </row>
    <row r="3731" customFormat="false" ht="17.15" hidden="false" customHeight="false" outlineLevel="0" collapsed="false">
      <c r="A3731" s="0" t="s">
        <v>952</v>
      </c>
      <c r="B3731" s="0" t="s">
        <v>86</v>
      </c>
      <c r="C3731" s="38" t="n">
        <f aca="false">(1-tp_yf)*(Sens!$H$3654+sbc_ab*Sens!$H$3676*Sens!$H$3591/Sens!$H$3593)+tp_yf*(Sens!$I$3654+sbc_ab*Sens!$I$3676*Sens!$I$3591/Sens!$I$3593)</f>
        <v>98.9882103471295</v>
      </c>
    </row>
    <row r="3732" customFormat="false" ht="17.15" hidden="false" customHeight="false" outlineLevel="0" collapsed="false">
      <c r="A3732" s="0" t="s">
        <v>953</v>
      </c>
      <c r="B3732" s="0" t="s">
        <v>57</v>
      </c>
      <c r="C3732" s="30" t="n">
        <f aca="false">m_cloud*m_x</f>
        <v>13.82</v>
      </c>
    </row>
    <row r="3733" customFormat="false" ht="17.15" hidden="false" customHeight="false" outlineLevel="0" collapsed="false">
      <c r="A3733" s="0" t="s">
        <v>954</v>
      </c>
      <c r="B3733" s="0" t="s">
        <v>86</v>
      </c>
      <c r="C3733" s="38" t="n">
        <f aca="false">Sens!$C$3731*Sens!$C$3732</f>
        <v>1368.01706699733</v>
      </c>
    </row>
    <row r="3734" customFormat="false" ht="17.15" hidden="false" customHeight="false" outlineLevel="0" collapsed="false">
      <c r="A3734" s="0" t="s">
        <v>955</v>
      </c>
      <c r="B3734" s="0" t="s">
        <v>86</v>
      </c>
      <c r="H3734" s="38" t="n">
        <f aca="false">Sens!$H$3572-tax*Sens!$H$3573-ext_sh*Sens!$H$3557</f>
        <v>-115.41576008619</v>
      </c>
      <c r="I3734" s="38" t="n">
        <f aca="false">Sens!$I$3572-tax*Sens!$I$3573-ext_sh*Sens!$I$3557</f>
        <v>-88.5401912683161</v>
      </c>
      <c r="J3734" s="38" t="n">
        <f aca="false">Sens!$J$3572-tax*Sens!$J$3573-ext_sh*Sens!$J$3557</f>
        <v>-61.2977422866746</v>
      </c>
      <c r="K3734" s="38" t="n">
        <f aca="false">Sens!$K$3572-tax*Sens!$K$3573-ext_sh*Sens!$K$3557</f>
        <v>9.91264760007891</v>
      </c>
      <c r="L3734" s="38" t="n">
        <f aca="false">Sens!$L$3572-tax*Sens!$L$3573-ext_sh*Sens!$L$3557</f>
        <v>46.750156871371</v>
      </c>
      <c r="M3734" s="38" t="n">
        <f aca="false">Sens!$M$3572-tax*Sens!$M$3573-ext_sh*Sens!$M$3557</f>
        <v>55.5634749071557</v>
      </c>
    </row>
    <row r="3735" customFormat="false" ht="17.15" hidden="false" customHeight="false" outlineLevel="0" collapsed="false">
      <c r="A3735" s="5" t="s">
        <v>956</v>
      </c>
      <c r="B3735" s="0" t="s">
        <v>86</v>
      </c>
      <c r="H3735" s="38" t="n">
        <f aca="false">Sens!$H$3734*Sens!$H$3712</f>
        <v>-109.385439014374</v>
      </c>
      <c r="I3735" s="38" t="n">
        <f aca="false">Sens!$I$3734*Sens!$I$3712</f>
        <v>-75.3743621992344</v>
      </c>
      <c r="J3735" s="38" t="n">
        <f aca="false">Sens!$J$3734*Sens!$J$3712</f>
        <v>-46.8723221240472</v>
      </c>
      <c r="K3735" s="38" t="n">
        <f aca="false">Sens!$K$3734*Sens!$K$3712</f>
        <v>6.80848451526782</v>
      </c>
      <c r="L3735" s="38" t="n">
        <f aca="false">Sens!$L$3734*Sens!$L$3712</f>
        <v>28.8424836961783</v>
      </c>
      <c r="M3735" s="38" t="n">
        <f aca="false">Sens!$M$3734*Sens!$M$3712</f>
        <v>30.7912824848632</v>
      </c>
    </row>
    <row r="3736" customFormat="false" ht="17.15" hidden="false" customHeight="false" outlineLevel="0" collapsed="false">
      <c r="A3736" s="5" t="s">
        <v>957</v>
      </c>
      <c r="B3736" s="0" t="s">
        <v>86</v>
      </c>
      <c r="C3736" s="38" t="n">
        <f aca="false">Sens!$M$3573*(1-tax)*(1+tg)*(1-tg/ronic)/(wacc-tg)</f>
        <v>356.180381489473</v>
      </c>
    </row>
    <row r="3737" customFormat="false" ht="17.15" hidden="false" customHeight="false" outlineLevel="0" collapsed="false">
      <c r="A3737" s="0" t="s">
        <v>958</v>
      </c>
      <c r="B3737" s="0" t="s">
        <v>86</v>
      </c>
      <c r="C3737" s="38" t="n">
        <f aca="false">(SUM(Sens!$I$3735:$M$3735)+Sens!$C$3736/(1+wacc)^6)*(1+wacc)^tp_yf</f>
        <v>143.3703803388</v>
      </c>
    </row>
    <row r="3738" customFormat="false" ht="17.15" hidden="false" customHeight="false" outlineLevel="0" collapsed="false">
      <c r="A3738" s="5" t="s">
        <v>959</v>
      </c>
      <c r="B3738" s="0" t="s">
        <v>86</v>
      </c>
      <c r="C3738" s="38" t="n">
        <f aca="false">(1-tp_yf)*(Sens!$H$3655)+tp_yf*(Sens!$I$3655)</f>
        <v>74.6707041238437</v>
      </c>
    </row>
    <row r="3739" customFormat="false" ht="17.15" hidden="false" customHeight="false" outlineLevel="0" collapsed="false">
      <c r="A3739" s="5" t="s">
        <v>960</v>
      </c>
      <c r="B3739" s="0" t="s">
        <v>86</v>
      </c>
      <c r="C3739" s="38" t="n">
        <f aca="false">Sens!$C$3738*m_ai</f>
        <v>448.024224743062</v>
      </c>
    </row>
    <row r="3740" customFormat="false" ht="17.15" hidden="false" customHeight="false" outlineLevel="0" collapsed="false">
      <c r="A3740" s="0" t="s">
        <v>961</v>
      </c>
      <c r="B3740" s="0" t="s">
        <v>86</v>
      </c>
      <c r="C3740" s="38" t="n">
        <f aca="false">IF(ai_leg=1,Sens!$C$3737,Sens!$C$3739)</f>
        <v>143.3703803388</v>
      </c>
    </row>
    <row r="3741" customFormat="false" ht="17.15" hidden="false" customHeight="false" outlineLevel="0" collapsed="false">
      <c r="A3741" s="5" t="s">
        <v>962</v>
      </c>
      <c r="B3741" s="0" t="s">
        <v>86</v>
      </c>
      <c r="C3741" s="38" t="n">
        <f aca="false">Sens!$C$3727+Sens!$C$3730+Sens!$C$3733+Sens!$C$3740</f>
        <v>2970.69785053756</v>
      </c>
    </row>
    <row r="3742" customFormat="false" ht="17.15" hidden="false" customHeight="false" outlineLevel="0" collapsed="false">
      <c r="A3742" s="5" t="s">
        <v>963</v>
      </c>
      <c r="B3742" s="0" t="s">
        <v>86</v>
      </c>
      <c r="C3742" s="38" t="n">
        <f aca="false">Sens!$H$3695+fin_debt</f>
        <v>143.086255103346</v>
      </c>
    </row>
    <row r="3743" customFormat="false" ht="15" hidden="false" customHeight="false" outlineLevel="0" collapsed="false">
      <c r="A3743" s="5" t="s">
        <v>964</v>
      </c>
      <c r="B3743" s="0" t="s">
        <v>86</v>
      </c>
      <c r="C3743" s="38" t="n">
        <f aca="false">Sens!$C$3741-Sens!$C$3742+Sens!$C$3720</f>
        <v>3006.55559543422</v>
      </c>
    </row>
    <row r="3744" customFormat="false" ht="15" hidden="false" customHeight="false" outlineLevel="0" collapsed="false">
      <c r="A3744" s="3" t="s">
        <v>965</v>
      </c>
      <c r="B3744" s="8" t="s">
        <v>27</v>
      </c>
      <c r="C3744" s="30" t="n">
        <f aca="false">Sens!$C$3743/sh_val</f>
        <v>272.572076863289</v>
      </c>
    </row>
    <row r="3745" customFormat="false" ht="17.15" hidden="false" customHeight="false" outlineLevel="0" collapsed="false">
      <c r="A3745" s="47" t="s">
        <v>966</v>
      </c>
      <c r="B3745" s="14" t="s">
        <v>27</v>
      </c>
      <c r="C3745" s="44" t="n">
        <f aca="false">w_dcf*Sens!$C$3723+(1-w_dcf)*Sens!$C$3744</f>
        <v>208.36013611466</v>
      </c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</row>
    <row r="3746" customFormat="false" ht="17.15" hidden="false" customHeight="false" outlineLevel="0" collapsed="false">
      <c r="A3746" s="5" t="s">
        <v>967</v>
      </c>
      <c r="B3746" s="0" t="s">
        <v>27</v>
      </c>
      <c r="C3746" s="30" t="n">
        <f aca="false">v022_wdcf*Sens!$C$3723+(1-v022_wdcf)*Sens!$C$3744</f>
        <v>214.781330189523</v>
      </c>
    </row>
    <row r="3747" customFormat="false" ht="17.15" hidden="false" customHeight="false" outlineLevel="0" collapsed="false">
      <c r="A3747" s="5" t="s">
        <v>968</v>
      </c>
      <c r="B3747" s="0" t="s">
        <v>27</v>
      </c>
      <c r="C3747" s="30" t="n">
        <f aca="false">(Sens!$C$3743-Sens!$C$3740+Sens!$C$3739)/sh_val</f>
        <v>300.19176605838</v>
      </c>
    </row>
    <row r="3750" customFormat="false" ht="19.4" hidden="false" customHeight="false" outlineLevel="0" collapsed="false">
      <c r="A3750" s="31" t="s">
        <v>1227</v>
      </c>
    </row>
    <row r="3751" customFormat="false" ht="17.15" hidden="false" customHeight="false" outlineLevel="0" collapsed="false">
      <c r="A3751" s="6" t="s">
        <v>16</v>
      </c>
      <c r="B3751" s="6" t="s">
        <v>17</v>
      </c>
      <c r="C3751" s="20" t="s">
        <v>504</v>
      </c>
      <c r="D3751" s="20" t="s">
        <v>505</v>
      </c>
      <c r="E3751" s="20" t="s">
        <v>587</v>
      </c>
      <c r="F3751" s="20" t="s">
        <v>588</v>
      </c>
      <c r="G3751" s="20" t="s">
        <v>589</v>
      </c>
      <c r="H3751" s="20" t="s">
        <v>590</v>
      </c>
      <c r="I3751" s="20" t="s">
        <v>591</v>
      </c>
      <c r="J3751" s="20" t="s">
        <v>592</v>
      </c>
      <c r="K3751" s="20" t="s">
        <v>593</v>
      </c>
      <c r="L3751" s="20" t="s">
        <v>594</v>
      </c>
      <c r="M3751" s="20" t="s">
        <v>595</v>
      </c>
      <c r="N3751" s="20" t="s">
        <v>596</v>
      </c>
      <c r="O3751" s="20" t="s">
        <v>597</v>
      </c>
      <c r="P3751" s="6" t="s">
        <v>23</v>
      </c>
      <c r="R3751" s="20" t="n">
        <v>2023</v>
      </c>
      <c r="S3751" s="20" t="n">
        <v>2024</v>
      </c>
      <c r="T3751" s="20" t="n">
        <v>2025</v>
      </c>
      <c r="U3751" s="20" t="n">
        <v>2026</v>
      </c>
      <c r="V3751" s="20" t="n">
        <v>2027</v>
      </c>
      <c r="W3751" s="20" t="n">
        <v>2028</v>
      </c>
      <c r="X3751" s="20" t="n">
        <v>2029</v>
      </c>
      <c r="Y3751" s="20" t="n">
        <v>2030</v>
      </c>
      <c r="Z3751" s="20" t="n">
        <v>2031</v>
      </c>
      <c r="AA3751" s="20" t="n">
        <v>2032</v>
      </c>
    </row>
    <row r="3752" customFormat="false" ht="17.15" hidden="false" customHeight="false" outlineLevel="0" collapsed="false">
      <c r="A3752" s="1" t="s">
        <v>677</v>
      </c>
    </row>
    <row r="3753" customFormat="false" ht="17.15" hidden="false" customHeight="false" outlineLevel="0" collapsed="false">
      <c r="A3753" s="0" t="s">
        <v>526</v>
      </c>
      <c r="B3753" s="0" t="s">
        <v>86</v>
      </c>
      <c r="C3753" s="38" t="n">
        <f aca="false">Q!$D$10</f>
        <v>247.029</v>
      </c>
      <c r="D3753" s="38" t="n">
        <f aca="false">Q!$E$10</f>
        <v>269.287</v>
      </c>
      <c r="E3753" s="38" t="n">
        <f aca="false">Q!$P$10</f>
        <v>134.686</v>
      </c>
      <c r="F3753" s="38" t="n">
        <f aca="false">Sens!$O$3753*(1+Sens!$F$3754)*Sens!$F$3765</f>
        <v>158.293876822267</v>
      </c>
      <c r="G3753" s="38" t="n">
        <f aca="false">Sens!$E$3753+Sens!$F$3753</f>
        <v>292.979876822267</v>
      </c>
      <c r="H3753" s="38" t="n">
        <f aca="false">Sens!$G$3753*(1+Sens!$H$3754)</f>
        <v>318.184543087396</v>
      </c>
      <c r="I3753" s="38" t="n">
        <f aca="false">Sens!$H$3753*(1+Sens!$I$3754)</f>
        <v>341.736278761793</v>
      </c>
      <c r="J3753" s="38" t="n">
        <f aca="false">Sens!$I$3753*(1+Sens!$J$3754)</f>
        <v>362.927192787048</v>
      </c>
      <c r="K3753" s="38" t="n">
        <f aca="false">Sens!$J$3753*(1+Sens!$K$3754)</f>
        <v>381.0735524264</v>
      </c>
      <c r="L3753" s="38" t="n">
        <f aca="false">Sens!$K$3753*(1+Sens!$L$3754)</f>
        <v>400.12723004772</v>
      </c>
      <c r="M3753" s="38" t="n">
        <f aca="false">Sens!$L$3753*(1+Sens!$M$3754)</f>
        <v>420.133591550106</v>
      </c>
      <c r="N3753" s="38" t="n">
        <f aca="false">Q!$N$10</f>
        <v>118.892</v>
      </c>
      <c r="O3753" s="38" t="n">
        <f aca="false">Q!$O$10</f>
        <v>150.395</v>
      </c>
      <c r="P3753" s="8" t="s">
        <v>678</v>
      </c>
    </row>
    <row r="3754" customFormat="false" ht="17.15" hidden="false" customHeight="false" outlineLevel="0" collapsed="false">
      <c r="A3754" s="0" t="s">
        <v>679</v>
      </c>
      <c r="B3754" s="0" t="s">
        <v>52</v>
      </c>
      <c r="E3754" s="13" t="n">
        <f aca="false">Sens!$E$3753/Sens!$N$3753-1</f>
        <v>0.132843252699929</v>
      </c>
      <c r="F3754" s="13" t="n">
        <f aca="false">Sens!$O$3753/(Q!$F$10+Q!$G$10)-1</f>
        <v>0.0980382135842941</v>
      </c>
      <c r="G3754" s="13" t="n">
        <f aca="false">Sens!$G$3753/Sens!$D$3753-1</f>
        <v>0.0879837378791657</v>
      </c>
      <c r="H3754" s="13" t="n">
        <f aca="false">Sens!$F$3754+(g_os-Sens!$F$3754)*1/4</f>
        <v>0.0860286601882206</v>
      </c>
      <c r="I3754" s="13" t="n">
        <f aca="false">Sens!$F$3754+(g_os-Sens!$F$3754)*2/4</f>
        <v>0.074019106792147</v>
      </c>
      <c r="J3754" s="13" t="n">
        <f aca="false">Sens!$F$3754+(g_os-Sens!$F$3754)*3/4</f>
        <v>0.0620095533960735</v>
      </c>
      <c r="K3754" s="13" t="n">
        <f aca="false">Sens!$F$3754+(g_os-Sens!$F$3754)*4/4</f>
        <v>0.05</v>
      </c>
      <c r="L3754" s="13" t="n">
        <f aca="false">g_os</f>
        <v>0.05</v>
      </c>
      <c r="M3754" s="13" t="n">
        <f aca="false">g_os</f>
        <v>0.05</v>
      </c>
      <c r="P3754" s="8" t="s">
        <v>680</v>
      </c>
    </row>
    <row r="3755" customFormat="false" ht="17.15" hidden="false" customHeight="false" outlineLevel="0" collapsed="false">
      <c r="A3755" s="0" t="s">
        <v>527</v>
      </c>
      <c r="B3755" s="0" t="s">
        <v>86</v>
      </c>
      <c r="C3755" s="38" t="n">
        <f aca="false">Q!$D$11</f>
        <v>21.215</v>
      </c>
      <c r="D3755" s="38" t="n">
        <f aca="false">Q!$E$11</f>
        <v>22.561</v>
      </c>
      <c r="E3755" s="38" t="n">
        <f aca="false">Q!$P$11</f>
        <v>11.579</v>
      </c>
      <c r="F3755" s="38" t="n">
        <f aca="false">Sens!$O$3755*(1+Sens!$F$3756)*Sens!$F$3765</f>
        <v>11.5938724610325</v>
      </c>
      <c r="G3755" s="38" t="n">
        <f aca="false">Sens!$E$3755+Sens!$F$3755</f>
        <v>23.1728724610325</v>
      </c>
      <c r="H3755" s="38" t="n">
        <f aca="false">Sens!$G$3755*(1+Sens!$H$3756)</f>
        <v>24.353392759506</v>
      </c>
      <c r="I3755" s="38" t="n">
        <f aca="false">Sens!$H$3755*(1+Sens!$I$3756)</f>
        <v>25.4240338872015</v>
      </c>
      <c r="J3755" s="38" t="n">
        <f aca="false">Sens!$I$3755*(1+Sens!$J$3756)</f>
        <v>26.3642491017174</v>
      </c>
      <c r="K3755" s="38" t="n">
        <f aca="false">Sens!$J$3755*(1+Sens!$K$3756)</f>
        <v>27.155176574769</v>
      </c>
      <c r="L3755" s="38" t="n">
        <f aca="false">Sens!$K$3755*(1+Sens!$L$3756)</f>
        <v>27.969831872012</v>
      </c>
      <c r="M3755" s="38" t="n">
        <f aca="false">Sens!$L$3755*(1+Sens!$M$3756)</f>
        <v>28.8089268281724</v>
      </c>
      <c r="N3755" s="38" t="n">
        <f aca="false">Q!$N$11</f>
        <v>11.128</v>
      </c>
      <c r="O3755" s="38" t="n">
        <f aca="false">Q!$O$11</f>
        <v>11.433</v>
      </c>
      <c r="P3755" s="8" t="s">
        <v>678</v>
      </c>
    </row>
    <row r="3756" customFormat="false" ht="17.15" hidden="false" customHeight="false" outlineLevel="0" collapsed="false">
      <c r="A3756" s="0" t="s">
        <v>681</v>
      </c>
      <c r="B3756" s="0" t="s">
        <v>52</v>
      </c>
      <c r="E3756" s="13" t="n">
        <f aca="false">Sens!$E$3755/Sens!$N$3755-1</f>
        <v>0.0405283968368082</v>
      </c>
      <c r="F3756" s="13" t="n">
        <f aca="false">Sens!$O$3755/(Q!$F$11+Q!$G$11)-1</f>
        <v>0.0579254187100955</v>
      </c>
      <c r="G3756" s="13" t="n">
        <f aca="false">Sens!$G$3755/Sens!$D$3755-1</f>
        <v>0.0271208040881397</v>
      </c>
      <c r="H3756" s="13" t="n">
        <f aca="false">Sens!$F$3756+(g_ps-Sens!$F$3756)*1/4</f>
        <v>0.0509440640325716</v>
      </c>
      <c r="I3756" s="13" t="n">
        <f aca="false">Sens!$F$3756+(g_ps-Sens!$F$3756)*2/4</f>
        <v>0.0439627093550477</v>
      </c>
      <c r="J3756" s="13" t="n">
        <f aca="false">Sens!$F$3756+(g_ps-Sens!$F$3756)*3/4</f>
        <v>0.0369813546775239</v>
      </c>
      <c r="K3756" s="13" t="n">
        <f aca="false">Sens!$F$3756+(g_ps-Sens!$F$3756)*4/4</f>
        <v>0.03</v>
      </c>
      <c r="L3756" s="13" t="n">
        <f aca="false">g_ps</f>
        <v>0.03</v>
      </c>
      <c r="M3756" s="13" t="n">
        <f aca="false">g_ps</f>
        <v>0.03</v>
      </c>
      <c r="P3756" s="8" t="s">
        <v>682</v>
      </c>
    </row>
    <row r="3757" customFormat="false" ht="17.15" hidden="false" customHeight="false" outlineLevel="0" collapsed="false">
      <c r="A3757" s="0" t="s">
        <v>528</v>
      </c>
      <c r="B3757" s="0" t="s">
        <v>86</v>
      </c>
      <c r="C3757" s="38" t="n">
        <f aca="false">Q!$D$12</f>
        <v>156.146</v>
      </c>
      <c r="D3757" s="38" t="n">
        <f aca="false">Q!$E$12</f>
        <v>172.162</v>
      </c>
      <c r="E3757" s="38" t="n">
        <f aca="false">Q!$P$12</f>
        <v>88.358</v>
      </c>
      <c r="F3757" s="38" t="n">
        <f aca="false">Sens!$O$3757*(1+Sens!$F$3758)*Sens!$F$3765</f>
        <v>102.004388260171</v>
      </c>
      <c r="G3757" s="38" t="n">
        <f aca="false">Sens!$E$3757+Sens!$F$3757</f>
        <v>190.362388260171</v>
      </c>
      <c r="H3757" s="38" t="n">
        <f aca="false">Sens!$G$3757*(1+Sens!$H$3758)</f>
        <v>210.343106588311</v>
      </c>
      <c r="I3757" s="38" t="n">
        <f aca="false">Sens!$H$3757*(1+Sens!$I$3758)</f>
        <v>229.969728494648</v>
      </c>
      <c r="J3757" s="38" t="n">
        <f aca="false">Sens!$I$3757*(1+Sens!$J$3758)</f>
        <v>248.747636972598</v>
      </c>
      <c r="K3757" s="38" t="n">
        <f aca="false">Sens!$J$3757*(1+Sens!$K$3758)</f>
        <v>266.15997156068</v>
      </c>
      <c r="L3757" s="38" t="n">
        <f aca="false">Sens!$K$3757*(1+Sens!$L$3758)</f>
        <v>284.791169569927</v>
      </c>
      <c r="M3757" s="38" t="n">
        <f aca="false">Sens!$L$3757*(1+Sens!$M$3758)</f>
        <v>304.726551439822</v>
      </c>
      <c r="N3757" s="38" t="n">
        <f aca="false">Q!$N$12</f>
        <v>76.86</v>
      </c>
      <c r="O3757" s="38" t="n">
        <f aca="false">Q!$O$12</f>
        <v>95.302</v>
      </c>
      <c r="P3757" s="8" t="s">
        <v>678</v>
      </c>
    </row>
    <row r="3758" customFormat="false" ht="17.15" hidden="false" customHeight="false" outlineLevel="0" collapsed="false">
      <c r="A3758" s="0" t="s">
        <v>683</v>
      </c>
      <c r="B3758" s="0" t="s">
        <v>52</v>
      </c>
      <c r="E3758" s="13" t="n">
        <f aca="false">Sens!$E$3757/Sens!$N$3757-1</f>
        <v>0.1495966692688</v>
      </c>
      <c r="F3758" s="13" t="n">
        <f aca="false">Sens!$O$3757/(Q!$F$12+Q!$G$12)-1</f>
        <v>0.11661530890813</v>
      </c>
      <c r="G3758" s="13" t="n">
        <f aca="false">Sens!$G$3757/Sens!$D$3757-1</f>
        <v>0.105716640490767</v>
      </c>
      <c r="H3758" s="13" t="n">
        <f aca="false">Sens!$F$3758+(g_sp-Sens!$F$3758)*1/4</f>
        <v>0.104961481681098</v>
      </c>
      <c r="I3758" s="13" t="n">
        <f aca="false">Sens!$F$3758+(g_sp-Sens!$F$3758)*2/4</f>
        <v>0.0933076544540651</v>
      </c>
      <c r="J3758" s="13" t="n">
        <f aca="false">Sens!$F$3758+(g_sp-Sens!$F$3758)*3/4</f>
        <v>0.0816538272270325</v>
      </c>
      <c r="K3758" s="13" t="n">
        <f aca="false">Sens!$F$3758+(g_sp-Sens!$F$3758)*4/4</f>
        <v>0.07</v>
      </c>
      <c r="L3758" s="13" t="n">
        <f aca="false">g_sp</f>
        <v>0.07</v>
      </c>
      <c r="M3758" s="13" t="n">
        <f aca="false">g_sp</f>
        <v>0.07</v>
      </c>
      <c r="P3758" s="8" t="s">
        <v>684</v>
      </c>
    </row>
    <row r="3759" customFormat="false" ht="17.15" hidden="false" customHeight="false" outlineLevel="0" collapsed="false">
      <c r="A3759" s="0" t="s">
        <v>529</v>
      </c>
      <c r="B3759" s="0" t="s">
        <v>86</v>
      </c>
      <c r="C3759" s="38" t="n">
        <f aca="false">Q!$D$13</f>
        <v>56.214</v>
      </c>
      <c r="D3759" s="38" t="n">
        <f aca="false">Q!$E$13</f>
        <v>68.635</v>
      </c>
      <c r="E3759" s="38" t="n">
        <f aca="false">Q!$P$13</f>
        <v>37.052</v>
      </c>
      <c r="F3759" s="38" t="n">
        <f aca="false">Sens!$O$3759*(1+Sens!$F$3760)*Sens!$F$3765</f>
        <v>46.1572219944148</v>
      </c>
      <c r="G3759" s="38" t="n">
        <f aca="false">Sens!$E$3759+Sens!$F$3759</f>
        <v>83.2092219944148</v>
      </c>
      <c r="H3759" s="38" t="n">
        <f aca="false">Sens!$G$3759*(1+Sens!$H$3760)</f>
        <v>99.8969223878976</v>
      </c>
      <c r="I3759" s="38" t="n">
        <f aca="false">Sens!$H$3759*(1+Sens!$I$3760)</f>
        <v>116.583111095496</v>
      </c>
      <c r="J3759" s="38" t="n">
        <f aca="false">Sens!$I$3759*(1+Sens!$J$3760)</f>
        <v>132.148941941952</v>
      </c>
      <c r="K3759" s="38" t="n">
        <f aca="false">Sens!$J$3759*(1+Sens!$K$3760)</f>
        <v>145.363836136147</v>
      </c>
      <c r="L3759" s="38" t="n">
        <f aca="false">Sens!$K$3759*(1+Sens!$L$3760)</f>
        <v>159.900219749762</v>
      </c>
      <c r="M3759" s="38" t="n">
        <f aca="false">Sens!$L$3759*(1+Sens!$M$3760)</f>
        <v>175.890241724738</v>
      </c>
      <c r="N3759" s="38" t="n">
        <f aca="false">Q!$N$13</f>
        <v>29.615</v>
      </c>
      <c r="O3759" s="38" t="n">
        <f aca="false">Q!$O$13</f>
        <v>39.02</v>
      </c>
      <c r="P3759" s="8" t="s">
        <v>678</v>
      </c>
    </row>
    <row r="3760" customFormat="false" ht="17.15" hidden="false" customHeight="false" outlineLevel="0" collapsed="false">
      <c r="A3760" s="0" t="s">
        <v>685</v>
      </c>
      <c r="B3760" s="0" t="s">
        <v>52</v>
      </c>
      <c r="E3760" s="13" t="n">
        <f aca="false">Sens!$E$3759/Sens!$N$3759-1</f>
        <v>0.25112274185379</v>
      </c>
      <c r="F3760" s="13" t="n">
        <f aca="false">Sens!$O$3759/(Q!$F$13+Q!$G$13)-1</f>
        <v>0.234068123596572</v>
      </c>
      <c r="G3760" s="13" t="n">
        <f aca="false">Sens!$G$3759/Sens!$D$3759-1</f>
        <v>0.212343876949294</v>
      </c>
      <c r="H3760" s="13" t="n">
        <f aca="false">Sens!$F$3760+(g_ad-Sens!$F$3760)*1/4</f>
        <v>0.200551092697429</v>
      </c>
      <c r="I3760" s="13" t="n">
        <f aca="false">Sens!$F$3760+(g_ad-Sens!$F$3760)*2/4</f>
        <v>0.167034061798286</v>
      </c>
      <c r="J3760" s="13" t="n">
        <f aca="false">Sens!$F$3760+(g_ad-Sens!$F$3760)*3/4</f>
        <v>0.133517030899143</v>
      </c>
      <c r="K3760" s="13" t="n">
        <f aca="false">Sens!$F$3760+(g_ad-Sens!$F$3760)*4/4</f>
        <v>0.1</v>
      </c>
      <c r="L3760" s="13" t="n">
        <f aca="false">g_ad</f>
        <v>0.1</v>
      </c>
      <c r="M3760" s="13" t="n">
        <f aca="false">g_ad</f>
        <v>0.1</v>
      </c>
      <c r="P3760" s="8" t="s">
        <v>686</v>
      </c>
    </row>
    <row r="3761" customFormat="false" ht="17.15" hidden="false" customHeight="false" outlineLevel="0" collapsed="false">
      <c r="A3761" s="0" t="s">
        <v>530</v>
      </c>
      <c r="B3761" s="0" t="s">
        <v>86</v>
      </c>
      <c r="C3761" s="38" t="n">
        <f aca="false">Q!$D$14</f>
        <v>44.374</v>
      </c>
      <c r="D3761" s="38" t="n">
        <f aca="false">Q!$E$14</f>
        <v>49.619</v>
      </c>
      <c r="E3761" s="38" t="n">
        <f aca="false">Q!$P$14</f>
        <v>27.157</v>
      </c>
      <c r="F3761" s="38" t="n">
        <f aca="false">Sens!$O$3761*(1+Sens!$F$3762)*Sens!$F$3765</f>
        <v>27.7764165988154</v>
      </c>
      <c r="G3761" s="38" t="n">
        <f aca="false">Sens!$E$3761+Sens!$F$3761</f>
        <v>54.9334165988154</v>
      </c>
      <c r="H3761" s="38" t="n">
        <f aca="false">Sens!$G$3761*(1+Sens!$H$3762)</f>
        <v>61.1564112561829</v>
      </c>
      <c r="I3761" s="38" t="n">
        <f aca="false">Sens!$H$3761*(1+Sens!$I$3762)</f>
        <v>67.2020282103945</v>
      </c>
      <c r="J3761" s="38" t="n">
        <f aca="false">Sens!$I$3761*(1+Sens!$J$3762)</f>
        <v>72.8757274028885</v>
      </c>
      <c r="K3761" s="38" t="n">
        <f aca="false">Sens!$J$3761*(1+Sens!$K$3762)</f>
        <v>77.9770283210907</v>
      </c>
      <c r="L3761" s="38" t="n">
        <f aca="false">Sens!$K$3761*(1+Sens!$L$3762)</f>
        <v>83.4354203035671</v>
      </c>
      <c r="M3761" s="38" t="n">
        <f aca="false">Sens!$L$3761*(1+Sens!$M$3762)</f>
        <v>89.2758997248168</v>
      </c>
      <c r="N3761" s="38" t="n">
        <f aca="false">Q!$N$14</f>
        <v>23.923</v>
      </c>
      <c r="O3761" s="38" t="n">
        <f aca="false">Q!$O$14</f>
        <v>25.696</v>
      </c>
      <c r="P3761" s="8" t="s">
        <v>678</v>
      </c>
    </row>
    <row r="3762" customFormat="false" ht="17.15" hidden="false" customHeight="false" outlineLevel="0" collapsed="false">
      <c r="A3762" s="0" t="s">
        <v>687</v>
      </c>
      <c r="B3762" s="0" t="s">
        <v>52</v>
      </c>
      <c r="E3762" s="13" t="n">
        <f aca="false">Sens!$E$3761/Sens!$N$3761-1</f>
        <v>0.135183714417088</v>
      </c>
      <c r="F3762" s="13" t="n">
        <f aca="false">Sens!$O$3761/(Q!$F$14+Q!$G$14)-1</f>
        <v>0.127709997366804</v>
      </c>
      <c r="G3762" s="13" t="n">
        <f aca="false">Sens!$G$3761/Sens!$D$3761-1</f>
        <v>0.107104468022641</v>
      </c>
      <c r="H3762" s="13" t="n">
        <f aca="false">Sens!$F$3762+(g_sub-Sens!$F$3762)*1/4</f>
        <v>0.113282498025103</v>
      </c>
      <c r="I3762" s="13" t="n">
        <f aca="false">Sens!$F$3762+(g_sub-Sens!$F$3762)*2/4</f>
        <v>0.0988549986834021</v>
      </c>
      <c r="J3762" s="13" t="n">
        <f aca="false">Sens!$F$3762+(g_sub-Sens!$F$3762)*3/4</f>
        <v>0.084427499341701</v>
      </c>
      <c r="K3762" s="13" t="n">
        <f aca="false">Sens!$F$3762+(g_sub-Sens!$F$3762)*4/4</f>
        <v>0.07</v>
      </c>
      <c r="L3762" s="13" t="n">
        <f aca="false">g_sub</f>
        <v>0.07</v>
      </c>
      <c r="M3762" s="13" t="n">
        <f aca="false">g_sub</f>
        <v>0.07</v>
      </c>
      <c r="P3762" s="8" t="s">
        <v>688</v>
      </c>
    </row>
    <row r="3763" customFormat="false" ht="17.15" hidden="false" customHeight="false" outlineLevel="0" collapsed="false">
      <c r="A3763" s="0" t="s">
        <v>531</v>
      </c>
      <c r="B3763" s="0" t="s">
        <v>86</v>
      </c>
      <c r="C3763" s="38" t="n">
        <f aca="false">Q!$D$15</f>
        <v>5.425</v>
      </c>
      <c r="D3763" s="38" t="n">
        <f aca="false">Q!$E$15</f>
        <v>5.935</v>
      </c>
      <c r="E3763" s="38" t="n">
        <f aca="false">Q!$P$15</f>
        <v>3.474</v>
      </c>
      <c r="F3763" s="38" t="n">
        <f aca="false">Sens!$O$3763*(1+Sens!$F$3764)*Sens!$F$3765</f>
        <v>3.22246550883619</v>
      </c>
      <c r="G3763" s="38" t="n">
        <f aca="false">Sens!$E$3763+Sens!$F$3763</f>
        <v>6.69646550883619</v>
      </c>
      <c r="H3763" s="38" t="n">
        <f aca="false">Sens!$G$3763*(1+Sens!$H$3764)</f>
        <v>7.16251344209196</v>
      </c>
      <c r="I3763" s="38" t="n">
        <f aca="false">Sens!$H$3763*(1+Sens!$I$3764)</f>
        <v>7.61421070299826</v>
      </c>
      <c r="J3763" s="38" t="n">
        <f aca="false">Sens!$I$3763*(1+Sens!$J$3764)</f>
        <v>8.04465753523932</v>
      </c>
      <c r="K3763" s="38" t="n">
        <f aca="false">Sens!$J$3763*(1+Sens!$K$3764)</f>
        <v>8.44689041200128</v>
      </c>
      <c r="L3763" s="38" t="n">
        <f aca="false">Sens!$K$3763*(1+Sens!$L$3764)</f>
        <v>8.86923493260135</v>
      </c>
      <c r="M3763" s="38" t="n">
        <f aca="false">Sens!$L$3763*(1+Sens!$M$3764)</f>
        <v>9.31269667923142</v>
      </c>
      <c r="N3763" s="38" t="n">
        <f aca="false">Q!$N$15</f>
        <v>2.811</v>
      </c>
      <c r="O3763" s="38" t="n">
        <f aca="false">Q!$O$15</f>
        <v>3.124</v>
      </c>
      <c r="P3763" s="8" t="s">
        <v>678</v>
      </c>
    </row>
    <row r="3764" customFormat="false" ht="17.15" hidden="false" customHeight="false" outlineLevel="0" collapsed="false">
      <c r="A3764" s="0" t="s">
        <v>689</v>
      </c>
      <c r="B3764" s="0" t="s">
        <v>52</v>
      </c>
      <c r="E3764" s="13" t="n">
        <f aca="false">Sens!$E$3763/Sens!$N$3763-1</f>
        <v>0.235859124866596</v>
      </c>
      <c r="F3764" s="13" t="n">
        <f aca="false">Sens!$O$3763/(Q!$F$15+Q!$G$15)-1</f>
        <v>0.0761281433000345</v>
      </c>
      <c r="G3764" s="13" t="n">
        <f aca="false">Sens!$G$3763/Sens!$D$3763-1</f>
        <v>0.128300843948811</v>
      </c>
      <c r="H3764" s="13" t="n">
        <f aca="false">Sens!$F$3764+(g_ot-Sens!$F$3764)*1/4</f>
        <v>0.0695961074750259</v>
      </c>
      <c r="I3764" s="13" t="n">
        <f aca="false">Sens!$F$3764+(g_ot-Sens!$F$3764)*2/4</f>
        <v>0.0630640716500172</v>
      </c>
      <c r="J3764" s="13" t="n">
        <f aca="false">Sens!$F$3764+(g_ot-Sens!$F$3764)*3/4</f>
        <v>0.0565320358250086</v>
      </c>
      <c r="K3764" s="13" t="n">
        <f aca="false">Sens!$F$3764+(g_ot-Sens!$F$3764)*4/4</f>
        <v>0.05</v>
      </c>
      <c r="L3764" s="13" t="n">
        <f aca="false">g_ot</f>
        <v>0.05</v>
      </c>
      <c r="M3764" s="13" t="n">
        <f aca="false">g_ot</f>
        <v>0.05</v>
      </c>
      <c r="P3764" s="8" t="s">
        <v>690</v>
      </c>
    </row>
    <row r="3765" customFormat="false" ht="17.15" hidden="false" customHeight="false" outlineLevel="0" collapsed="false">
      <c r="A3765" s="0" t="s">
        <v>691</v>
      </c>
      <c r="B3765" s="0" t="s">
        <v>57</v>
      </c>
      <c r="F3765" s="40" t="n">
        <f aca="false">(g26q3_mid*Q!$O$8/Q!$J$8-Thesis!$F$89-Thesis!$F$93)/(Sens!$O$3753*(1+Sens!$F$3754)+Sens!$O$3755*(1+Sens!$F$3756)+Sens!$O$3757*(1+Sens!$F$3758)+Sens!$O$3759*(1+Sens!$F$3760)+Sens!$O$3761*(1+Sens!$F$3762)+Sens!$O$3763*(1+Sens!$F$3764))</f>
        <v>0.958546670622329</v>
      </c>
      <c r="P3765" s="8" t="s">
        <v>692</v>
      </c>
    </row>
    <row r="3766" customFormat="false" ht="17.15" hidden="false" customHeight="false" outlineLevel="0" collapsed="false">
      <c r="A3766" s="3" t="s">
        <v>693</v>
      </c>
      <c r="B3766" s="8" t="s">
        <v>86</v>
      </c>
      <c r="C3766" s="38" t="n">
        <f aca="false">Sens!$C$3753+Sens!$C$3755+Sens!$C$3757+Sens!$C$3759+Sens!$C$3761+Sens!$C$3763</f>
        <v>530.403</v>
      </c>
      <c r="D3766" s="38" t="n">
        <f aca="false">Sens!$D$3753+Sens!$D$3755+Sens!$D$3757+Sens!$D$3759+Sens!$D$3761+Sens!$D$3763</f>
        <v>588.199</v>
      </c>
      <c r="E3766" s="38" t="n">
        <f aca="false">Sens!$E$3753+Sens!$E$3755+Sens!$E$3757+Sens!$E$3759+Sens!$E$3761+Sens!$E$3763</f>
        <v>302.306</v>
      </c>
      <c r="F3766" s="38" t="n">
        <f aca="false">Sens!$F$3753+Sens!$F$3755+Sens!$F$3757+Sens!$F$3759+Sens!$F$3761+Sens!$F$3763</f>
        <v>349.048241645537</v>
      </c>
      <c r="G3766" s="38" t="n">
        <f aca="false">Sens!$G$3753+Sens!$G$3755+Sens!$G$3757+Sens!$G$3759+Sens!$G$3761+Sens!$G$3763</f>
        <v>651.354241645537</v>
      </c>
      <c r="H3766" s="38" t="n">
        <f aca="false">Sens!$H$3753+Sens!$H$3755+Sens!$H$3757+Sens!$H$3759+Sens!$H$3761+Sens!$H$3763</f>
        <v>721.096889521386</v>
      </c>
      <c r="I3766" s="38" t="n">
        <f aca="false">Sens!$I$3753+Sens!$I$3755+Sens!$I$3757+Sens!$I$3759+Sens!$I$3761+Sens!$I$3763</f>
        <v>788.529391152531</v>
      </c>
      <c r="J3766" s="38" t="n">
        <f aca="false">Sens!$J$3753+Sens!$J$3755+Sens!$J$3757+Sens!$J$3759+Sens!$J$3761+Sens!$J$3763</f>
        <v>851.108405741443</v>
      </c>
      <c r="K3766" s="38" t="n">
        <f aca="false">Sens!$K$3753+Sens!$K$3755+Sens!$K$3757+Sens!$K$3759+Sens!$K$3761+Sens!$K$3763</f>
        <v>906.176455431088</v>
      </c>
      <c r="L3766" s="38" t="n">
        <f aca="false">Sens!$L$3753+Sens!$L$3755+Sens!$L$3757+Sens!$L$3759+Sens!$L$3761+Sens!$L$3763</f>
        <v>965.093106475589</v>
      </c>
      <c r="M3766" s="38" t="n">
        <f aca="false">Sens!$M$3753+Sens!$M$3755+Sens!$M$3757+Sens!$M$3759+Sens!$M$3761+Sens!$M$3763</f>
        <v>1028.14790794689</v>
      </c>
      <c r="N3766" s="38" t="n">
        <f aca="false">Sens!$N$3753+Sens!$N$3755+Sens!$N$3757+Sens!$N$3759+Sens!$N$3761+Sens!$N$3763</f>
        <v>263.229</v>
      </c>
      <c r="O3766" s="38" t="n">
        <f aca="false">Sens!$O$3753+Sens!$O$3755+Sens!$O$3757+Sens!$O$3759+Sens!$O$3761+Sens!$O$3763</f>
        <v>324.97</v>
      </c>
    </row>
    <row r="3767" customFormat="false" ht="17.15" hidden="false" customHeight="false" outlineLevel="0" collapsed="false">
      <c r="A3767" s="5" t="s">
        <v>694</v>
      </c>
      <c r="B3767" s="0" t="s">
        <v>52</v>
      </c>
      <c r="C3767" s="13" t="n">
        <f aca="false">Q!$D$5/(Q!$D$5+Q!$D$6)</f>
        <v>0.730570905519011</v>
      </c>
      <c r="D3767" s="13" t="n">
        <f aca="false">Q!$E$5/(Q!$E$5+Q!$E$6)</f>
        <v>0.724763217890544</v>
      </c>
      <c r="E3767" s="13" t="n">
        <f aca="false">Q!$P$5/(Q!$P$5+Q!$P$6)</f>
        <v>0.728797972914861</v>
      </c>
      <c r="F3767" s="13" t="n">
        <f aca="false">Sens!$O$3767</f>
        <v>0.718066283041511</v>
      </c>
      <c r="G3767" s="13" t="n">
        <f aca="false">Sens!$G$3768/Sens!$G$3766</f>
        <v>0.723047066202847</v>
      </c>
      <c r="H3767" s="13" t="n">
        <f aca="false">Sens!$G$3767</f>
        <v>0.723047066202847</v>
      </c>
      <c r="I3767" s="13" t="n">
        <f aca="false">Sens!$G$3767</f>
        <v>0.723047066202847</v>
      </c>
      <c r="J3767" s="13" t="n">
        <f aca="false">Sens!$G$3767</f>
        <v>0.723047066202847</v>
      </c>
      <c r="K3767" s="13" t="n">
        <f aca="false">Sens!$G$3767</f>
        <v>0.723047066202847</v>
      </c>
      <c r="L3767" s="13" t="n">
        <f aca="false">Sens!$G$3767</f>
        <v>0.723047066202847</v>
      </c>
      <c r="M3767" s="13" t="n">
        <f aca="false">Sens!$G$3767</f>
        <v>0.723047066202847</v>
      </c>
      <c r="N3767" s="13" t="n">
        <f aca="false">Q!$N$5/(Q!$N$5+Q!$N$6)</f>
        <v>0.733030935041352</v>
      </c>
      <c r="O3767" s="13" t="n">
        <f aca="false">Q!$O$5/(Q!$O$5+Q!$O$6)</f>
        <v>0.718066283041511</v>
      </c>
      <c r="P3767" s="8" t="s">
        <v>695</v>
      </c>
    </row>
    <row r="3768" customFormat="false" ht="17.15" hidden="false" customHeight="false" outlineLevel="0" collapsed="false">
      <c r="A3768" s="1" t="s">
        <v>519</v>
      </c>
      <c r="B3768" s="8" t="s">
        <v>86</v>
      </c>
      <c r="C3768" s="38" t="n">
        <f aca="false">Q!$D$5</f>
        <v>387.497</v>
      </c>
      <c r="D3768" s="38" t="n">
        <f aca="false">Q!$E$5</f>
        <v>426.305</v>
      </c>
      <c r="E3768" s="38" t="n">
        <f aca="false">Q!$P$5</f>
        <v>220.32</v>
      </c>
      <c r="F3768" s="38" t="n">
        <f aca="false">Sens!$F$3766*Sens!$F$3767</f>
        <v>250.639773480586</v>
      </c>
      <c r="G3768" s="38" t="n">
        <f aca="false">Sens!$E$3768+Sens!$F$3768</f>
        <v>470.959773480586</v>
      </c>
      <c r="H3768" s="38" t="n">
        <f aca="false">Sens!$H$3766*Sens!$H$3767</f>
        <v>521.386990416437</v>
      </c>
      <c r="I3768" s="38" t="n">
        <f aca="false">Sens!$I$3766*Sens!$I$3767</f>
        <v>570.143862887555</v>
      </c>
      <c r="J3768" s="38" t="n">
        <f aca="false">Sens!$J$3766*Sens!$J$3767</f>
        <v>615.391435791933</v>
      </c>
      <c r="K3768" s="38" t="n">
        <f aca="false">Sens!$K$3766*Sens!$K$3767</f>
        <v>655.208227561543</v>
      </c>
      <c r="L3768" s="38" t="n">
        <f aca="false">Sens!$L$3766*Sens!$L$3767</f>
        <v>697.807739249767</v>
      </c>
      <c r="M3768" s="38" t="n">
        <f aca="false">Sens!$M$3766*Sens!$M$3767</f>
        <v>743.399328463592</v>
      </c>
      <c r="N3768" s="38" t="n">
        <f aca="false">Q!$N$5</f>
        <v>192.955</v>
      </c>
      <c r="O3768" s="38" t="n">
        <f aca="false">Q!$O$5</f>
        <v>233.35</v>
      </c>
      <c r="P3768" s="5" t="s">
        <v>696</v>
      </c>
    </row>
    <row r="3769" customFormat="false" ht="17.15" hidden="false" customHeight="false" outlineLevel="0" collapsed="false">
      <c r="A3769" s="1" t="s">
        <v>522</v>
      </c>
      <c r="B3769" s="8" t="s">
        <v>86</v>
      </c>
      <c r="C3769" s="38" t="n">
        <f aca="false">Q!$D$6</f>
        <v>142.906</v>
      </c>
      <c r="D3769" s="38" t="n">
        <f aca="false">Q!$E$6</f>
        <v>161.894</v>
      </c>
      <c r="E3769" s="38" t="n">
        <f aca="false">Q!$P$6</f>
        <v>81.986</v>
      </c>
      <c r="F3769" s="38" t="n">
        <f aca="false">Sens!$F$3766*(1-Sens!$F$3767)</f>
        <v>98.408468164951</v>
      </c>
      <c r="G3769" s="38" t="n">
        <f aca="false">Sens!$E$3769+Sens!$F$3769</f>
        <v>180.394468164951</v>
      </c>
      <c r="H3769" s="38" t="n">
        <f aca="false">Sens!$H$3766*(1-Sens!$H$3767)</f>
        <v>199.709899104949</v>
      </c>
      <c r="I3769" s="38" t="n">
        <f aca="false">Sens!$I$3766*(1-Sens!$I$3767)</f>
        <v>218.385528264976</v>
      </c>
      <c r="J3769" s="38" t="n">
        <f aca="false">Sens!$J$3766*(1-Sens!$J$3767)</f>
        <v>235.71696994951</v>
      </c>
      <c r="K3769" s="38" t="n">
        <f aca="false">Sens!$K$3766*(1-Sens!$K$3767)</f>
        <v>250.968227869545</v>
      </c>
      <c r="L3769" s="38" t="n">
        <f aca="false">Sens!$L$3766*(1-Sens!$L$3767)</f>
        <v>267.285367225822</v>
      </c>
      <c r="M3769" s="38" t="n">
        <f aca="false">Sens!$M$3766*(1-Sens!$M$3767)</f>
        <v>284.748579483295</v>
      </c>
      <c r="N3769" s="38" t="n">
        <f aca="false">Q!$N$6</f>
        <v>70.274</v>
      </c>
      <c r="O3769" s="38" t="n">
        <f aca="false">Q!$O$6</f>
        <v>91.62</v>
      </c>
      <c r="P3769" s="5" t="s">
        <v>697</v>
      </c>
    </row>
    <row r="3770" customFormat="false" ht="17.15" hidden="false" customHeight="false" outlineLevel="0" collapsed="false">
      <c r="A3770" s="5" t="s">
        <v>698</v>
      </c>
      <c r="B3770" s="0" t="s">
        <v>86</v>
      </c>
      <c r="C3770" s="38" t="n">
        <f aca="false">Sens!$C$3759*Sens!$C$3767</f>
        <v>41.0683128828457</v>
      </c>
      <c r="D3770" s="38" t="n">
        <f aca="false">Sens!$D$3759*Sens!$D$3767</f>
        <v>49.7441234599175</v>
      </c>
      <c r="E3770" s="38" t="n">
        <f aca="false">Sens!$E$3759*Sens!$E$3767</f>
        <v>27.0034224924414</v>
      </c>
      <c r="F3770" s="38" t="n">
        <f aca="false">Sens!$F$3759*Sens!$F$3767</f>
        <v>33.1439448330513</v>
      </c>
      <c r="G3770" s="38" t="n">
        <f aca="false">Sens!$G$3759*Sens!$G$3767</f>
        <v>60.164183844083</v>
      </c>
      <c r="H3770" s="38" t="n">
        <f aca="false">Sens!$H$3759*Sens!$H$3767</f>
        <v>72.2301766552629</v>
      </c>
      <c r="I3770" s="38" t="n">
        <f aca="false">Sens!$I$3759*Sens!$I$3767</f>
        <v>84.2950764463991</v>
      </c>
      <c r="J3770" s="38" t="n">
        <f aca="false">Sens!$J$3759*Sens!$J$3767</f>
        <v>95.5499047729386</v>
      </c>
      <c r="K3770" s="38" t="n">
        <f aca="false">Sens!$K$3759*Sens!$K$3767</f>
        <v>105.104895250232</v>
      </c>
      <c r="L3770" s="38" t="n">
        <f aca="false">Sens!$L$3759*Sens!$L$3767</f>
        <v>115.615384775256</v>
      </c>
      <c r="M3770" s="38" t="n">
        <f aca="false">Sens!$M$3759*Sens!$M$3767</f>
        <v>127.176923252781</v>
      </c>
      <c r="N3770" s="38" t="n">
        <f aca="false">Sens!$N$3759*Sens!$N$3767</f>
        <v>21.7087111412496</v>
      </c>
      <c r="O3770" s="38" t="n">
        <f aca="false">Sens!$O$3759*Sens!$O$3767</f>
        <v>28.0189463642798</v>
      </c>
      <c r="P3770" s="5" t="s">
        <v>699</v>
      </c>
    </row>
    <row r="3771" customFormat="false" ht="15" hidden="false" customHeight="false" outlineLevel="0" collapsed="false">
      <c r="A3771" s="5" t="s">
        <v>700</v>
      </c>
      <c r="B3771" s="0" t="s">
        <v>86</v>
      </c>
      <c r="C3771" s="38" t="n">
        <f aca="false">Sens!$C$3759-Sens!$C$3770</f>
        <v>15.1456871171543</v>
      </c>
      <c r="D3771" s="38" t="n">
        <f aca="false">Sens!$D$3759-Sens!$D$3770</f>
        <v>18.8908765400825</v>
      </c>
      <c r="E3771" s="38" t="n">
        <f aca="false">Sens!$E$3759-Sens!$E$3770</f>
        <v>10.0485775075586</v>
      </c>
      <c r="F3771" s="38" t="n">
        <f aca="false">Sens!$F$3759-Sens!$F$3770</f>
        <v>13.0132771613635</v>
      </c>
      <c r="G3771" s="38" t="n">
        <f aca="false">Sens!$G$3759-Sens!$G$3770</f>
        <v>23.0450381503318</v>
      </c>
      <c r="H3771" s="38" t="n">
        <f aca="false">Sens!$H$3759-Sens!$H$3770</f>
        <v>27.6667457326347</v>
      </c>
      <c r="I3771" s="38" t="n">
        <f aca="false">Sens!$I$3759-Sens!$I$3770</f>
        <v>32.2880346490971</v>
      </c>
      <c r="J3771" s="38" t="n">
        <f aca="false">Sens!$J$3759-Sens!$J$3770</f>
        <v>36.5990371690132</v>
      </c>
      <c r="K3771" s="38" t="n">
        <f aca="false">Sens!$K$3759-Sens!$K$3770</f>
        <v>40.2589408859145</v>
      </c>
      <c r="L3771" s="38" t="n">
        <f aca="false">Sens!$L$3759-Sens!$L$3770</f>
        <v>44.2848349745059</v>
      </c>
      <c r="M3771" s="38" t="n">
        <f aca="false">Sens!$M$3759-Sens!$M$3770</f>
        <v>48.7133184719565</v>
      </c>
      <c r="N3771" s="38" t="n">
        <f aca="false">Sens!$N$3759-Sens!$N$3770</f>
        <v>7.90628885875037</v>
      </c>
      <c r="O3771" s="38" t="n">
        <f aca="false">Sens!$O$3759-Sens!$O$3770</f>
        <v>11.0010536357202</v>
      </c>
    </row>
    <row r="3772" customFormat="false" ht="19.4" hidden="false" customHeight="false" outlineLevel="0" collapsed="false">
      <c r="A3772" s="31" t="s">
        <v>1228</v>
      </c>
    </row>
    <row r="3773" customFormat="false" ht="17.15" hidden="false" customHeight="false" outlineLevel="0" collapsed="false">
      <c r="A3773" s="6" t="s">
        <v>16</v>
      </c>
      <c r="B3773" s="6" t="s">
        <v>17</v>
      </c>
      <c r="C3773" s="20" t="s">
        <v>504</v>
      </c>
      <c r="D3773" s="20" t="s">
        <v>505</v>
      </c>
      <c r="E3773" s="20" t="s">
        <v>587</v>
      </c>
      <c r="F3773" s="20" t="s">
        <v>588</v>
      </c>
      <c r="G3773" s="20" t="s">
        <v>589</v>
      </c>
      <c r="H3773" s="20" t="s">
        <v>590</v>
      </c>
      <c r="I3773" s="20" t="s">
        <v>591</v>
      </c>
      <c r="J3773" s="20" t="s">
        <v>592</v>
      </c>
      <c r="K3773" s="20" t="s">
        <v>593</v>
      </c>
      <c r="L3773" s="20" t="s">
        <v>594</v>
      </c>
      <c r="M3773" s="20" t="s">
        <v>595</v>
      </c>
      <c r="N3773" s="20" t="s">
        <v>596</v>
      </c>
      <c r="O3773" s="20" t="s">
        <v>597</v>
      </c>
      <c r="P3773" s="6" t="s">
        <v>23</v>
      </c>
      <c r="R3773" s="20" t="n">
        <v>2023</v>
      </c>
      <c r="S3773" s="20" t="n">
        <v>2024</v>
      </c>
      <c r="T3773" s="20" t="n">
        <v>2025</v>
      </c>
      <c r="U3773" s="20" t="n">
        <v>2026</v>
      </c>
      <c r="V3773" s="20" t="n">
        <v>2027</v>
      </c>
      <c r="W3773" s="20" t="n">
        <v>2028</v>
      </c>
      <c r="X3773" s="20" t="n">
        <v>2029</v>
      </c>
      <c r="Y3773" s="20" t="n">
        <v>2030</v>
      </c>
      <c r="Z3773" s="20" t="n">
        <v>2031</v>
      </c>
      <c r="AA3773" s="20" t="n">
        <v>2032</v>
      </c>
    </row>
    <row r="3774" customFormat="false" ht="17.15" hidden="false" customHeight="false" outlineLevel="0" collapsed="false">
      <c r="A3774" s="1" t="s">
        <v>598</v>
      </c>
    </row>
    <row r="3775" customFormat="false" ht="17.15" hidden="false" customHeight="false" outlineLevel="0" collapsed="false">
      <c r="A3775" s="5" t="s">
        <v>599</v>
      </c>
      <c r="B3775" s="0" t="s">
        <v>144</v>
      </c>
      <c r="H3775" s="32" t="n">
        <f aca="false">pace_B</f>
        <v>3634.3</v>
      </c>
      <c r="I3775" s="32" t="n">
        <f aca="false">pace_B</f>
        <v>3634.3</v>
      </c>
      <c r="J3775" s="32" t="n">
        <f aca="false">pace_B</f>
        <v>3634.3</v>
      </c>
      <c r="K3775" s="32" t="n">
        <f aca="false">pace_B+(Sens!$J$3776*tg-pace_B)*1/3</f>
        <v>2570.86716666667</v>
      </c>
      <c r="L3775" s="32" t="n">
        <f aca="false">pace_B+(Sens!$J$3776*tg-pace_B)*2/3</f>
        <v>1507.43433333333</v>
      </c>
      <c r="M3775" s="32" t="n">
        <f aca="false">pace_B+(Sens!$J$3776*tg-pace_B)*3/3</f>
        <v>444.0015</v>
      </c>
      <c r="P3775" s="5" t="s">
        <v>600</v>
      </c>
    </row>
    <row r="3776" customFormat="false" ht="17.15" hidden="false" customHeight="false" outlineLevel="0" collapsed="false">
      <c r="A3776" s="15" t="s">
        <v>601</v>
      </c>
      <c r="B3776" s="14" t="s">
        <v>129</v>
      </c>
      <c r="C3776" s="33" t="n">
        <f aca="false">mw_ye24</f>
        <v>360</v>
      </c>
      <c r="D3776" s="33" t="n">
        <f aca="false">mw_ye25</f>
        <v>1440</v>
      </c>
      <c r="E3776" s="33" t="n">
        <f aca="false">mw_open</f>
        <v>2080</v>
      </c>
      <c r="F3776" s="33" t="n">
        <f aca="false">Sens!$E$3776+pace_B*0.5</f>
        <v>3897.15</v>
      </c>
      <c r="G3776" s="33" t="n">
        <f aca="false">Sens!$F$3776</f>
        <v>3897.15</v>
      </c>
      <c r="H3776" s="33" t="n">
        <f aca="false">Sens!$G$3776+Sens!$H$3775</f>
        <v>7531.45</v>
      </c>
      <c r="I3776" s="33" t="n">
        <f aca="false">Sens!$H$3776+Sens!$I$3775</f>
        <v>11165.75</v>
      </c>
      <c r="J3776" s="33" t="n">
        <f aca="false">Sens!$I$3776+Sens!$J$3775</f>
        <v>14800.05</v>
      </c>
      <c r="K3776" s="33" t="n">
        <f aca="false">Sens!$J$3776+Sens!$K$3775</f>
        <v>17370.9171666667</v>
      </c>
      <c r="L3776" s="33" t="n">
        <f aca="false">Sens!$K$3776+Sens!$L$3775</f>
        <v>18878.3515</v>
      </c>
      <c r="M3776" s="33" t="n">
        <f aca="false">Sens!$L$3776+Sens!$M$3775</f>
        <v>19322.353</v>
      </c>
      <c r="N3776" s="33" t="n">
        <f aca="false">(mw_ye24+mw_ye25)/2</f>
        <v>900</v>
      </c>
      <c r="O3776" s="33" t="n">
        <f aca="false">mw_ye25</f>
        <v>1440</v>
      </c>
      <c r="P3776" s="5" t="s">
        <v>602</v>
      </c>
    </row>
    <row r="3777" customFormat="false" ht="17.15" hidden="false" customHeight="false" outlineLevel="0" collapsed="false">
      <c r="A3777" s="5" t="s">
        <v>603</v>
      </c>
      <c r="B3777" s="0" t="s">
        <v>129</v>
      </c>
      <c r="C3777" s="32" t="n">
        <f aca="false">(mw_ye23+mw_ye24)/2</f>
        <v>240</v>
      </c>
      <c r="D3777" s="32" t="n">
        <f aca="false">(Sens!$C$3776+Sens!$D$3776)/2</f>
        <v>900</v>
      </c>
      <c r="E3777" s="32" t="n">
        <f aca="false">(Sens!$D$3776+Sens!$E$3776)/2</f>
        <v>1760</v>
      </c>
      <c r="F3777" s="32" t="n">
        <f aca="false">(Sens!$E$3776+Sens!$F$3776)/2</f>
        <v>2988.575</v>
      </c>
      <c r="G3777" s="32" t="n">
        <f aca="false">(Sens!$E$3777+Sens!$F$3777)/2</f>
        <v>2374.2875</v>
      </c>
      <c r="H3777" s="32" t="n">
        <f aca="false">(Sens!$G$3776+Sens!$H$3776)/2</f>
        <v>5714.3</v>
      </c>
      <c r="I3777" s="32" t="n">
        <f aca="false">(Sens!$H$3776+Sens!$I$3776)/2</f>
        <v>9348.6</v>
      </c>
      <c r="J3777" s="32" t="n">
        <f aca="false">(Sens!$I$3776+Sens!$J$3776)/2</f>
        <v>12982.9</v>
      </c>
      <c r="K3777" s="32" t="n">
        <f aca="false">(Sens!$J$3776+Sens!$K$3776)/2</f>
        <v>16085.4835833333</v>
      </c>
      <c r="L3777" s="32" t="n">
        <f aca="false">(Sens!$K$3776+Sens!$L$3776)/2</f>
        <v>18124.6343333333</v>
      </c>
      <c r="M3777" s="32" t="n">
        <f aca="false">(Sens!$L$3776+Sens!$M$3776)/2</f>
        <v>19100.35225</v>
      </c>
      <c r="N3777" s="32" t="n">
        <f aca="false">(Sens!$C$3776+Sens!$N$3776)/2</f>
        <v>630</v>
      </c>
      <c r="O3777" s="32" t="n">
        <f aca="false">(Sens!$N$3776+Sens!$O$3776)/2</f>
        <v>1170</v>
      </c>
    </row>
    <row r="3778" customFormat="false" ht="15" hidden="false" customHeight="false" outlineLevel="0" collapsed="false">
      <c r="A3778" s="5" t="s">
        <v>604</v>
      </c>
      <c r="B3778" s="5" t="s">
        <v>123</v>
      </c>
      <c r="C3778" s="34" t="n">
        <v>1</v>
      </c>
      <c r="D3778" s="34" t="n">
        <v>1</v>
      </c>
      <c r="E3778" s="34" t="n">
        <v>0.5</v>
      </c>
      <c r="F3778" s="34" t="n">
        <v>0.5</v>
      </c>
      <c r="G3778" s="34" t="n">
        <v>1</v>
      </c>
      <c r="H3778" s="34" t="n">
        <v>1</v>
      </c>
      <c r="I3778" s="34" t="n">
        <v>1</v>
      </c>
      <c r="J3778" s="34" t="n">
        <v>1</v>
      </c>
      <c r="K3778" s="34" t="n">
        <v>1</v>
      </c>
      <c r="L3778" s="34" t="n">
        <v>1</v>
      </c>
      <c r="M3778" s="34" t="n">
        <v>1</v>
      </c>
      <c r="N3778" s="34" t="n">
        <v>0.5</v>
      </c>
      <c r="O3778" s="34" t="n">
        <v>0.5</v>
      </c>
    </row>
    <row r="3779" customFormat="false" ht="17.15" hidden="false" customHeight="false" outlineLevel="0" collapsed="false">
      <c r="A3779" s="5" t="s">
        <v>605</v>
      </c>
      <c r="B3779" s="0" t="s">
        <v>129</v>
      </c>
      <c r="C3779" s="32" t="n">
        <f aca="false">Sens!$C$3776-mw_ye23</f>
        <v>240</v>
      </c>
      <c r="D3779" s="32" t="n">
        <f aca="false">Sens!$D$3776-Sens!$C$3776</f>
        <v>1080</v>
      </c>
      <c r="E3779" s="32" t="n">
        <f aca="false">Sens!$E$3776-Sens!$D$3776</f>
        <v>640</v>
      </c>
      <c r="F3779" s="32" t="n">
        <f aca="false">Sens!$F$3776-Sens!$E$3776</f>
        <v>1817.15</v>
      </c>
      <c r="G3779" s="32" t="n">
        <f aca="false">Sens!$E$3779+Sens!$F$3779</f>
        <v>2457.15</v>
      </c>
      <c r="H3779" s="32" t="n">
        <f aca="false">Sens!$H$3776-Sens!$G$3776</f>
        <v>3634.3</v>
      </c>
      <c r="I3779" s="32" t="n">
        <f aca="false">Sens!$I$3776-Sens!$H$3776</f>
        <v>3634.3</v>
      </c>
      <c r="J3779" s="32" t="n">
        <f aca="false">Sens!$J$3776-Sens!$I$3776</f>
        <v>3634.3</v>
      </c>
      <c r="K3779" s="32" t="n">
        <f aca="false">Sens!$K$3776-Sens!$J$3776</f>
        <v>2570.86716666667</v>
      </c>
      <c r="L3779" s="32" t="n">
        <f aca="false">Sens!$L$3776-Sens!$K$3776</f>
        <v>1507.43433333333</v>
      </c>
      <c r="M3779" s="32" t="n">
        <f aca="false">Sens!$M$3776-Sens!$L$3776</f>
        <v>444.001499999999</v>
      </c>
      <c r="N3779" s="32" t="n">
        <f aca="false">Sens!$N$3776-Sens!$C$3776</f>
        <v>540</v>
      </c>
      <c r="O3779" s="32" t="n">
        <f aca="false">Sens!$O$3776-Sens!$N$3776</f>
        <v>540</v>
      </c>
    </row>
    <row r="3780" customFormat="false" ht="17.15" hidden="false" customHeight="false" outlineLevel="0" collapsed="false">
      <c r="A3780" s="5" t="s">
        <v>606</v>
      </c>
      <c r="B3780" s="0" t="s">
        <v>129</v>
      </c>
      <c r="C3780" s="32" t="n">
        <f aca="false">Sens!$C$3779/ext_sh</f>
        <v>300</v>
      </c>
      <c r="D3780" s="32" t="n">
        <f aca="false">Sens!$D$3779/ext_sh</f>
        <v>1350</v>
      </c>
      <c r="E3780" s="32" t="n">
        <f aca="false">Sens!$E$3779/ext_sh</f>
        <v>800</v>
      </c>
      <c r="F3780" s="32" t="n">
        <f aca="false">Sens!$F$3779/ext_sh</f>
        <v>2271.4375</v>
      </c>
      <c r="G3780" s="32" t="n">
        <f aca="false">Sens!$G$3779/ext_sh</f>
        <v>3071.4375</v>
      </c>
      <c r="H3780" s="32" t="n">
        <f aca="false">Sens!$H$3779/ext_sh</f>
        <v>4542.875</v>
      </c>
      <c r="I3780" s="32" t="n">
        <f aca="false">Sens!$I$3779/ext_sh</f>
        <v>4542.875</v>
      </c>
      <c r="J3780" s="32" t="n">
        <f aca="false">Sens!$J$3779/ext_sh</f>
        <v>4542.875</v>
      </c>
      <c r="K3780" s="32" t="n">
        <f aca="false">Sens!$K$3779/ext_sh</f>
        <v>3213.58395833333</v>
      </c>
      <c r="L3780" s="32" t="n">
        <f aca="false">Sens!$L$3779/ext_sh</f>
        <v>1884.29291666667</v>
      </c>
      <c r="M3780" s="32" t="n">
        <f aca="false">Sens!$M$3779/ext_sh</f>
        <v>555.001874999998</v>
      </c>
      <c r="N3780" s="32" t="n">
        <f aca="false">Sens!$N$3779/ext_sh</f>
        <v>675</v>
      </c>
      <c r="O3780" s="32" t="n">
        <f aca="false">Sens!$O$3779/ext_sh</f>
        <v>675</v>
      </c>
      <c r="P3780" s="8" t="s">
        <v>607</v>
      </c>
      <c r="R3780" s="32" t="n">
        <f aca="false">mw_ye23/ext_sh</f>
        <v>150</v>
      </c>
      <c r="S3780" s="32" t="n">
        <f aca="false">Sens!$C$3780</f>
        <v>300</v>
      </c>
      <c r="T3780" s="32" t="n">
        <f aca="false">Sens!$D$3780</f>
        <v>1350</v>
      </c>
      <c r="U3780" s="32" t="n">
        <f aca="false">Sens!$G$3780</f>
        <v>3071.4375</v>
      </c>
      <c r="V3780" s="32" t="n">
        <f aca="false">Sens!$H$3780</f>
        <v>4542.875</v>
      </c>
      <c r="W3780" s="32" t="n">
        <f aca="false">Sens!$I$3780</f>
        <v>4542.875</v>
      </c>
      <c r="X3780" s="32" t="n">
        <f aca="false">Sens!$J$3780</f>
        <v>4542.875</v>
      </c>
      <c r="Y3780" s="32" t="n">
        <f aca="false">Sens!$K$3780</f>
        <v>3213.58395833333</v>
      </c>
      <c r="Z3780" s="32" t="n">
        <f aca="false">Sens!$L$3780</f>
        <v>1884.29291666667</v>
      </c>
      <c r="AA3780" s="32" t="n">
        <f aca="false">Sens!$M$3780</f>
        <v>555.001874999998</v>
      </c>
    </row>
    <row r="3781" customFormat="false" ht="17.15" hidden="false" customHeight="false" outlineLevel="0" collapsed="false">
      <c r="A3781" s="1" t="s">
        <v>608</v>
      </c>
    </row>
    <row r="3782" customFormat="false" ht="17.15" hidden="false" customHeight="false" outlineLevel="0" collapsed="false">
      <c r="A3782" s="0" t="s">
        <v>609</v>
      </c>
      <c r="B3782" s="0" t="s">
        <v>52</v>
      </c>
      <c r="F3782" s="35" t="n">
        <f aca="false">na_vr26</f>
        <v>0</v>
      </c>
      <c r="G3782" s="35" t="n">
        <f aca="false">na_vr26</f>
        <v>0</v>
      </c>
      <c r="H3782" s="35" t="n">
        <f aca="false">na_vr27</f>
        <v>0.5</v>
      </c>
      <c r="I3782" s="35" t="n">
        <f aca="false">na_vr28</f>
        <v>1</v>
      </c>
      <c r="J3782" s="35" t="n">
        <f aca="false">na_vr28</f>
        <v>1</v>
      </c>
      <c r="K3782" s="35" t="n">
        <f aca="false">na_vr28</f>
        <v>1</v>
      </c>
      <c r="L3782" s="35" t="n">
        <f aca="false">na_vr28</f>
        <v>1</v>
      </c>
      <c r="M3782" s="35" t="n">
        <f aca="false">na_vr28</f>
        <v>1</v>
      </c>
    </row>
    <row r="3783" customFormat="false" ht="17.15" hidden="false" customHeight="false" outlineLevel="0" collapsed="false">
      <c r="A3783" s="5" t="s">
        <v>610</v>
      </c>
      <c r="B3783" s="0" t="s">
        <v>173</v>
      </c>
      <c r="F3783" s="36" t="n">
        <f aca="false">cust_sh*tk_he_gb300*cf_chip+(1-cust_sh)*((1-Sens!$F$3782)*tk_he_gb300+Sens!$F$3782*tk_he_vr200)</f>
        <v>10.8864110021101</v>
      </c>
      <c r="G3783" s="36" t="n">
        <f aca="false">cust_sh*tk_he_gb300*cf_chip+(1-cust_sh)*((1-Sens!$G$3782)*tk_he_gb300+Sens!$G$3782*tk_he_vr200)</f>
        <v>10.8864110021101</v>
      </c>
      <c r="H3783" s="36" t="n">
        <f aca="false">cust_sh*tk_he_gb300*cf_chip+(1-cust_sh)*((1-Sens!$H$3782)*tk_he_gb300+Sens!$H$3782*tk_he_vr200)</f>
        <v>11.2211760027286</v>
      </c>
      <c r="I3783" s="36" t="n">
        <f aca="false">cust_sh*tk_he_gb300*cf_chip+(1-cust_sh)*((1-Sens!$I$3782)*tk_he_gb300+Sens!$I$3782*tk_he_vr200)</f>
        <v>11.5559410033471</v>
      </c>
      <c r="J3783" s="36" t="n">
        <f aca="false">cust_sh*tk_he_gb300*cf_chip+(1-cust_sh)*((1-Sens!$J$3782)*tk_he_gb300+Sens!$J$3782*tk_he_vr200)</f>
        <v>11.5559410033471</v>
      </c>
      <c r="K3783" s="36" t="n">
        <f aca="false">cust_sh*tk_he_gb300*cf_chip+(1-cust_sh)*((1-Sens!$K$3782)*tk_he_gb300+Sens!$K$3782*tk_he_vr200)</f>
        <v>11.5559410033471</v>
      </c>
      <c r="L3783" s="36" t="n">
        <f aca="false">cust_sh*tk_he_gb300*cf_chip+(1-cust_sh)*((1-Sens!$L$3782)*tk_he_gb300+Sens!$L$3782*tk_he_vr200)</f>
        <v>11.5559410033471</v>
      </c>
      <c r="M3783" s="36" t="n">
        <f aca="false">cust_sh*tk_he_gb300*cf_chip+(1-cust_sh)*((1-Sens!$M$3782)*tk_he_gb300+Sens!$M$3782*tk_he_vr200)</f>
        <v>11.5559410033471</v>
      </c>
    </row>
    <row r="3784" customFormat="false" ht="17.15" hidden="false" customHeight="false" outlineLevel="0" collapsed="false">
      <c r="A3784" s="5" t="s">
        <v>611</v>
      </c>
      <c r="B3784" s="0" t="s">
        <v>173</v>
      </c>
      <c r="F3784" s="36" t="n">
        <f aca="false">cust_sh*tk_ox_gb300+(1-cust_sh)*((1-Sens!$F$3782)*tk_ox_gb300+Sens!$F$3782*tk_ox_vr200)</f>
        <v>1.98263481314457</v>
      </c>
      <c r="G3784" s="36" t="n">
        <f aca="false">cust_sh*tk_ox_gb300+(1-cust_sh)*((1-Sens!$G$3782)*tk_ox_gb300+Sens!$G$3782*tk_ox_vr200)</f>
        <v>1.98263481314457</v>
      </c>
      <c r="H3784" s="36" t="n">
        <f aca="false">cust_sh*tk_ox_gb300+(1-cust_sh)*((1-Sens!$H$3782)*tk_ox_gb300+Sens!$H$3782*tk_ox_vr200)</f>
        <v>2.01034999693694</v>
      </c>
      <c r="I3784" s="36" t="n">
        <f aca="false">cust_sh*tk_ox_gb300+(1-cust_sh)*((1-Sens!$I$3782)*tk_ox_gb300+Sens!$I$3782*tk_ox_vr200)</f>
        <v>2.0380651807293</v>
      </c>
      <c r="J3784" s="36" t="n">
        <f aca="false">cust_sh*tk_ox_gb300+(1-cust_sh)*((1-Sens!$J$3782)*tk_ox_gb300+Sens!$J$3782*tk_ox_vr200)</f>
        <v>2.0380651807293</v>
      </c>
      <c r="K3784" s="36" t="n">
        <f aca="false">cust_sh*tk_ox_gb300+(1-cust_sh)*((1-Sens!$K$3782)*tk_ox_gb300+Sens!$K$3782*tk_ox_vr200)</f>
        <v>2.0380651807293</v>
      </c>
      <c r="L3784" s="36" t="n">
        <f aca="false">cust_sh*tk_ox_gb300+(1-cust_sh)*((1-Sens!$L$3782)*tk_ox_gb300+Sens!$L$3782*tk_ox_vr200)</f>
        <v>2.0380651807293</v>
      </c>
      <c r="M3784" s="36" t="n">
        <f aca="false">cust_sh*tk_ox_gb300+(1-cust_sh)*((1-Sens!$M$3782)*tk_ox_gb300+Sens!$M$3782*tk_ox_vr200)</f>
        <v>2.0380651807293</v>
      </c>
    </row>
    <row r="3785" customFormat="false" ht="17.15" hidden="false" customHeight="false" outlineLevel="0" collapsed="false">
      <c r="A3785" s="5" t="s">
        <v>612</v>
      </c>
      <c r="B3785" s="0" t="s">
        <v>192</v>
      </c>
      <c r="F3785" s="36" t="n">
        <f aca="false">cust_sh*tk_cx_gb300*cf_cx+(1-cust_sh)*((1-Sens!$F$3782)*tk_cx_gb300+Sens!$F$3782*tk_cx_vr200)</f>
        <v>32.237224</v>
      </c>
      <c r="G3785" s="36" t="n">
        <f aca="false">cust_sh*tk_cx_gb300*cf_cx+(1-cust_sh)*((1-Sens!$G$3782)*tk_cx_gb300+Sens!$G$3782*tk_cx_vr200)</f>
        <v>32.237224</v>
      </c>
      <c r="H3785" s="36" t="n">
        <f aca="false">cust_sh*tk_cx_gb300*cf_cx+(1-cust_sh)*((1-Sens!$H$3782)*tk_cx_gb300+Sens!$H$3782*tk_cx_vr200)</f>
        <v>33.574506</v>
      </c>
      <c r="I3785" s="36" t="n">
        <f aca="false">cust_sh*tk_cx_gb300*cf_cx+(1-cust_sh)*((1-Sens!$I$3782)*tk_cx_gb300+Sens!$I$3782*tk_cx_vr200)</f>
        <v>34.911788</v>
      </c>
      <c r="J3785" s="36" t="n">
        <f aca="false">cust_sh*tk_cx_gb300*cf_cx+(1-cust_sh)*((1-Sens!$J$3782)*tk_cx_gb300+Sens!$J$3782*tk_cx_vr200)</f>
        <v>34.911788</v>
      </c>
      <c r="K3785" s="36" t="n">
        <f aca="false">cust_sh*tk_cx_gb300*cf_cx+(1-cust_sh)*((1-Sens!$K$3782)*tk_cx_gb300+Sens!$K$3782*tk_cx_vr200)</f>
        <v>34.911788</v>
      </c>
      <c r="L3785" s="36" t="n">
        <f aca="false">cust_sh*tk_cx_gb300*cf_cx+(1-cust_sh)*((1-Sens!$L$3782)*tk_cx_gb300+Sens!$L$3782*tk_cx_vr200)</f>
        <v>34.911788</v>
      </c>
      <c r="M3785" s="36" t="n">
        <f aca="false">cust_sh*tk_cx_gb300*cf_cx+(1-cust_sh)*((1-Sens!$M$3782)*tk_cx_gb300+Sens!$M$3782*tk_cx_vr200)</f>
        <v>34.911788</v>
      </c>
    </row>
    <row r="3786" customFormat="false" ht="17.15" hidden="false" customHeight="false" outlineLevel="0" collapsed="false">
      <c r="A3786" s="5" t="s">
        <v>613</v>
      </c>
      <c r="B3786" s="0" t="s">
        <v>129</v>
      </c>
      <c r="F3786" s="32" t="n">
        <f aca="false">Sens!$F$3776-mw_open</f>
        <v>1817.15</v>
      </c>
      <c r="G3786" s="32" t="n">
        <f aca="false">Sens!$F$3786</f>
        <v>1817.15</v>
      </c>
      <c r="H3786" s="32" t="n">
        <f aca="false">Sens!$H$3776-mw_open</f>
        <v>5451.45</v>
      </c>
      <c r="I3786" s="32" t="n">
        <f aca="false">Sens!$I$3776-mw_open</f>
        <v>9085.75</v>
      </c>
      <c r="J3786" s="32" t="n">
        <f aca="false">Sens!$J$3776-mw_open</f>
        <v>12720.05</v>
      </c>
      <c r="K3786" s="32" t="n">
        <f aca="false">Sens!$K$3776-mw_open</f>
        <v>15290.9171666667</v>
      </c>
      <c r="L3786" s="32" t="n">
        <f aca="false">Sens!$L$3776-mw_open</f>
        <v>16798.3515</v>
      </c>
      <c r="M3786" s="32" t="n">
        <f aca="false">Sens!$M$3776-mw_open</f>
        <v>17242.353</v>
      </c>
    </row>
    <row r="3787" customFormat="false" ht="17.15" hidden="false" customHeight="false" outlineLevel="0" collapsed="false">
      <c r="A3787" s="0" t="s">
        <v>614</v>
      </c>
      <c r="B3787" s="0" t="s">
        <v>615</v>
      </c>
      <c r="F3787" s="32" t="n">
        <f aca="false">Sens!$F$3779*Sens!$F$3783</f>
        <v>19782.2417524844</v>
      </c>
      <c r="G3787" s="32" t="n">
        <f aca="false">Sens!$F$3787</f>
        <v>19782.2417524844</v>
      </c>
      <c r="H3787" s="32" t="n">
        <f aca="false">Sens!$G$3787+Sens!$H$3779*Sens!$H$3783</f>
        <v>60563.3616992009</v>
      </c>
      <c r="I3787" s="32" t="n">
        <f aca="false">Sens!$H$3787+Sens!$I$3779*Sens!$I$3783</f>
        <v>102561.118087665</v>
      </c>
      <c r="J3787" s="32" t="n">
        <f aca="false">Sens!$I$3787+Sens!$J$3779*Sens!$J$3783</f>
        <v>144558.87447613</v>
      </c>
      <c r="K3787" s="32" t="n">
        <f aca="false">Sens!$J$3787+Sens!$K$3779*Sens!$K$3783</f>
        <v>174267.663781572</v>
      </c>
      <c r="L3787" s="32" t="n">
        <f aca="false">Sens!$K$3787+Sens!$L$3779*Sens!$L$3783</f>
        <v>191687.486003992</v>
      </c>
      <c r="M3787" s="32" t="n">
        <f aca="false">Sens!$L$3787+Sens!$M$3779*Sens!$M$3783</f>
        <v>196818.341143389</v>
      </c>
    </row>
    <row r="3788" customFormat="false" ht="17.15" hidden="false" customHeight="false" outlineLevel="0" collapsed="false">
      <c r="A3788" s="0" t="s">
        <v>616</v>
      </c>
      <c r="B3788" s="0" t="s">
        <v>615</v>
      </c>
      <c r="F3788" s="32" t="n">
        <f aca="false">Sens!$F$3779*Sens!$F$3784</f>
        <v>3602.74485070566</v>
      </c>
      <c r="G3788" s="32" t="n">
        <f aca="false">Sens!$F$3788</f>
        <v>3602.74485070566</v>
      </c>
      <c r="H3788" s="32" t="n">
        <f aca="false">Sens!$G$3788+Sens!$H$3779*Sens!$H$3784</f>
        <v>10908.9598445736</v>
      </c>
      <c r="I3788" s="32" t="n">
        <f aca="false">Sens!$H$3788+Sens!$I$3779*Sens!$I$3784</f>
        <v>18315.9001308981</v>
      </c>
      <c r="J3788" s="32" t="n">
        <f aca="false">Sens!$I$3788+Sens!$J$3779*Sens!$J$3784</f>
        <v>25722.8404172225</v>
      </c>
      <c r="K3788" s="32" t="n">
        <f aca="false">Sens!$J$3788+Sens!$K$3779*Sens!$K$3784</f>
        <v>30962.4352738861</v>
      </c>
      <c r="L3788" s="32" t="n">
        <f aca="false">Sens!$K$3788+Sens!$L$3779*Sens!$L$3784</f>
        <v>34034.6847008886</v>
      </c>
      <c r="M3788" s="32" t="n">
        <f aca="false">Sens!$L$3788+Sens!$M$3779*Sens!$M$3784</f>
        <v>34939.5886982302</v>
      </c>
    </row>
    <row r="3789" customFormat="false" ht="17.15" hidden="false" customHeight="false" outlineLevel="0" collapsed="false">
      <c r="A3789" s="5" t="s">
        <v>617</v>
      </c>
      <c r="B3789" s="0" t="s">
        <v>173</v>
      </c>
      <c r="F3789" s="36" t="n">
        <f aca="false">IF(Sens!$F$3786&gt;0,Sens!$F$3787/Sens!$F$3786,Sens!$F$3783)</f>
        <v>10.8864110021101</v>
      </c>
      <c r="G3789" s="36" t="n">
        <f aca="false">IF(Sens!$G$3786&gt;0,Sens!$G$3787/Sens!$G$3786,Sens!$G$3783)</f>
        <v>10.8864110021101</v>
      </c>
      <c r="H3789" s="36" t="n">
        <f aca="false">IF(Sens!$H$3786&gt;0,Sens!$H$3787/Sens!$H$3786,Sens!$H$3783)</f>
        <v>11.1095876691891</v>
      </c>
      <c r="I3789" s="36" t="n">
        <f aca="false">IF(Sens!$I$3786&gt;0,Sens!$I$3787/Sens!$I$3786,Sens!$I$3783)</f>
        <v>11.2881290028523</v>
      </c>
      <c r="J3789" s="36" t="n">
        <f aca="false">IF(Sens!$J$3786&gt;0,Sens!$J$3787/Sens!$J$3786,Sens!$J$3783)</f>
        <v>11.3646467172794</v>
      </c>
      <c r="K3789" s="36" t="n">
        <f aca="false">IF(Sens!$K$3786&gt;0,Sens!$K$3787/Sens!$K$3786,Sens!$K$3783)</f>
        <v>11.3968090914432</v>
      </c>
      <c r="L3789" s="36" t="n">
        <f aca="false">IF(Sens!$L$3786&gt;0,Sens!$L$3787/Sens!$L$3786,Sens!$L$3783)</f>
        <v>11.4110891181192</v>
      </c>
      <c r="M3789" s="36" t="n">
        <f aca="false">IF(Sens!$M$3786&gt;0,Sens!$M$3787/Sens!$M$3786,Sens!$M$3783)</f>
        <v>11.4148191458201</v>
      </c>
    </row>
    <row r="3790" customFormat="false" ht="17.15" hidden="false" customHeight="false" outlineLevel="0" collapsed="false">
      <c r="A3790" s="5" t="s">
        <v>618</v>
      </c>
      <c r="B3790" s="0" t="s">
        <v>173</v>
      </c>
      <c r="F3790" s="36" t="n">
        <f aca="false">IF(Sens!$F$3786&gt;0,Sens!$F$3788/Sens!$F$3786,Sens!$F$3784)</f>
        <v>1.98263481314457</v>
      </c>
      <c r="G3790" s="36" t="n">
        <f aca="false">IF(Sens!$G$3786&gt;0,Sens!$G$3788/Sens!$G$3786,Sens!$G$3784)</f>
        <v>1.98263481314457</v>
      </c>
      <c r="H3790" s="36" t="n">
        <f aca="false">IF(Sens!$H$3786&gt;0,Sens!$H$3788/Sens!$H$3786,Sens!$H$3784)</f>
        <v>2.00111160233948</v>
      </c>
      <c r="I3790" s="36" t="n">
        <f aca="false">IF(Sens!$I$3786&gt;0,Sens!$I$3788/Sens!$I$3786,Sens!$I$3784)</f>
        <v>2.01589303369541</v>
      </c>
      <c r="J3790" s="36" t="n">
        <f aca="false">IF(Sens!$J$3786&gt;0,Sens!$J$3788/Sens!$J$3786,Sens!$J$3784)</f>
        <v>2.02222793284795</v>
      </c>
      <c r="K3790" s="36" t="n">
        <f aca="false">IF(Sens!$K$3786&gt;0,Sens!$K$3788/Sens!$K$3786,Sens!$K$3784)</f>
        <v>2.02489065478573</v>
      </c>
      <c r="L3790" s="36" t="n">
        <f aca="false">IF(Sens!$L$3786&gt;0,Sens!$L$3788/Sens!$L$3786,Sens!$L$3784)</f>
        <v>2.0260728977417</v>
      </c>
      <c r="M3790" s="36" t="n">
        <f aca="false">IF(Sens!$M$3786&gt;0,Sens!$M$3788/Sens!$M$3786,Sens!$M$3784)</f>
        <v>2.02638170661685</v>
      </c>
    </row>
    <row r="3791" customFormat="false" ht="17.15" hidden="false" customHeight="false" outlineLevel="0" collapsed="false">
      <c r="A3791" s="15" t="s">
        <v>619</v>
      </c>
      <c r="B3791" s="14" t="s">
        <v>173</v>
      </c>
      <c r="C3791" s="14"/>
      <c r="D3791" s="14"/>
      <c r="E3791" s="14"/>
      <c r="F3791" s="37" t="n">
        <f aca="false">Sens!$F$3789*k_B</f>
        <v>10.7987645808025</v>
      </c>
      <c r="G3791" s="37" t="n">
        <f aca="false">Sens!$G$3789*k_B</f>
        <v>10.7987645808025</v>
      </c>
      <c r="H3791" s="37" t="n">
        <f aca="false">Sens!$H$3789*k_B</f>
        <v>11.0201444540452</v>
      </c>
      <c r="I3791" s="37" t="n">
        <f aca="false">Sens!$I$3789*k_B</f>
        <v>11.1972483526393</v>
      </c>
      <c r="J3791" s="37" t="n">
        <f aca="false">Sens!$J$3789*k_B</f>
        <v>11.2731500234653</v>
      </c>
      <c r="K3791" s="37" t="n">
        <f aca="false">Sens!$K$3789*k_B</f>
        <v>11.3050534585724</v>
      </c>
      <c r="L3791" s="37" t="n">
        <f aca="false">Sens!$L$3789*k_B</f>
        <v>11.3192185168503</v>
      </c>
      <c r="M3791" s="37" t="n">
        <f aca="false">Sens!$M$3789*k_B</f>
        <v>11.3229185141234</v>
      </c>
      <c r="N3791" s="14"/>
      <c r="O3791" s="14"/>
      <c r="P3791" s="5" t="s">
        <v>620</v>
      </c>
    </row>
    <row r="3792" customFormat="false" ht="17.15" hidden="false" customHeight="false" outlineLevel="0" collapsed="false">
      <c r="A3792" s="5" t="s">
        <v>621</v>
      </c>
      <c r="B3792" s="0" t="s">
        <v>129</v>
      </c>
      <c r="F3792" s="32" t="n">
        <f aca="false">Sens!$F$3786/2</f>
        <v>908.575</v>
      </c>
      <c r="H3792" s="32" t="n">
        <f aca="false">(Sens!$G$3786+Sens!$H$3786)/2</f>
        <v>3634.3</v>
      </c>
      <c r="I3792" s="32" t="n">
        <f aca="false">(Sens!$H$3786+Sens!$I$3786)/2</f>
        <v>7268.6</v>
      </c>
      <c r="J3792" s="32" t="n">
        <f aca="false">(Sens!$I$3786+Sens!$J$3786)/2</f>
        <v>10902.9</v>
      </c>
      <c r="K3792" s="32" t="n">
        <f aca="false">(Sens!$J$3786+Sens!$K$3786)/2</f>
        <v>14005.4835833333</v>
      </c>
      <c r="L3792" s="32" t="n">
        <f aca="false">(Sens!$K$3786+Sens!$L$3786)/2</f>
        <v>16044.6343333333</v>
      </c>
      <c r="M3792" s="32" t="n">
        <f aca="false">(Sens!$L$3786+Sens!$M$3786)/2</f>
        <v>17020.35225</v>
      </c>
    </row>
    <row r="3793" customFormat="false" ht="17.15" hidden="false" customHeight="false" outlineLevel="0" collapsed="false">
      <c r="A3793" s="1" t="s">
        <v>622</v>
      </c>
    </row>
    <row r="3794" customFormat="false" ht="17.15" hidden="false" customHeight="false" outlineLevel="0" collapsed="false">
      <c r="A3794" s="1" t="s">
        <v>623</v>
      </c>
      <c r="B3794" s="8" t="s">
        <v>86</v>
      </c>
      <c r="C3794" s="38" t="n">
        <f aca="false">Sens!$C$3777*rpm_open*Sens!$C$3778/1000</f>
        <v>2.32100535697364</v>
      </c>
      <c r="D3794" s="38" t="n">
        <f aca="false">Sens!$D$3777*rpm_open*Sens!$D$3778/1000</f>
        <v>8.70377008865116</v>
      </c>
      <c r="E3794" s="38" t="n">
        <f aca="false">Sens!$E$3777*rpm_open*Sens!$E$3778/1000</f>
        <v>8.51035297557002</v>
      </c>
      <c r="F3794" s="38" t="n">
        <f aca="false">(mw_open*rpm_open+Sens!$F$3792*Sens!$F$3791)*Sens!$F$3778/1000</f>
        <v>14.9634336447205</v>
      </c>
      <c r="G3794" s="38" t="n">
        <f aca="false">Sens!$E$3794+Sens!$F$3794</f>
        <v>23.4737866202905</v>
      </c>
      <c r="H3794" s="38" t="n">
        <f aca="false">(mw_open*rpm_open+Sens!$H$3792*Sens!$H$3791)/1000</f>
        <v>60.1658907497746</v>
      </c>
      <c r="I3794" s="38" t="n">
        <f aca="false">(mw_open*rpm_open+Sens!$I$3792*Sens!$I$3791)/1000</f>
        <v>101.503699136432</v>
      </c>
      <c r="J3794" s="38" t="n">
        <f aca="false">(mw_open*rpm_open+Sens!$J$3792*Sens!$J$3791)/1000</f>
        <v>143.025407151278</v>
      </c>
      <c r="K3794" s="38" t="n">
        <f aca="false">(mw_open*rpm_open+Sens!$K$3792*Sens!$K$3791)/1000</f>
        <v>178.44812038318</v>
      </c>
      <c r="L3794" s="38" t="n">
        <f aca="false">(mw_open*rpm_open+Sens!$L$3792*Sens!$L$3791)/1000</f>
        <v>201.728101802396</v>
      </c>
      <c r="M3794" s="38" t="n">
        <f aca="false">(mw_open*rpm_open+Sens!$M$3792*Sens!$M$3791)/1000</f>
        <v>212.835441368865</v>
      </c>
      <c r="N3794" s="38" t="n">
        <f aca="false">Sens!$N$3777*rpm_open*Sens!$N$3778/1000</f>
        <v>3.04631953102791</v>
      </c>
      <c r="O3794" s="38" t="n">
        <f aca="false">Sens!$O$3777*rpm_open*Sens!$O$3778/1000</f>
        <v>5.65745055762326</v>
      </c>
      <c r="P3794" s="5" t="s">
        <v>624</v>
      </c>
    </row>
    <row r="3795" customFormat="false" ht="17.15" hidden="false" customHeight="false" outlineLevel="0" collapsed="false">
      <c r="A3795" s="5" t="s">
        <v>625</v>
      </c>
      <c r="B3795" s="0" t="s">
        <v>173</v>
      </c>
      <c r="C3795" s="36" t="n">
        <f aca="false">Sens!$C$3794*1000/(Sens!$C$3777*Sens!$C$3778)</f>
        <v>9.67085565405685</v>
      </c>
      <c r="D3795" s="36" t="n">
        <f aca="false">Sens!$D$3794*1000/(Sens!$D$3777*Sens!$D$3778)</f>
        <v>9.67085565405685</v>
      </c>
      <c r="E3795" s="36" t="n">
        <f aca="false">Sens!$E$3794*1000/(Sens!$E$3777*Sens!$E$3778)</f>
        <v>9.67085565405685</v>
      </c>
      <c r="F3795" s="36" t="n">
        <f aca="false">Sens!$F$3794*1000/(Sens!$F$3777*Sens!$F$3778)</f>
        <v>10.0137581588017</v>
      </c>
      <c r="G3795" s="36" t="n">
        <f aca="false">Sens!$G$3794*1000/(Sens!$G$3777*Sens!$G$3778)</f>
        <v>9.88666562928478</v>
      </c>
      <c r="H3795" s="36" t="n">
        <f aca="false">Sens!$H$3794*1000/(Sens!$H$3777*Sens!$H$3778)</f>
        <v>10.5290045586992</v>
      </c>
      <c r="I3795" s="36" t="n">
        <f aca="false">Sens!$I$3794*1000/(Sens!$I$3777*Sens!$I$3778)</f>
        <v>10.8576363451674</v>
      </c>
      <c r="J3795" s="36" t="n">
        <f aca="false">Sens!$J$3794*1000/(Sens!$J$3777*Sens!$J$3778)</f>
        <v>11.0164452588619</v>
      </c>
      <c r="K3795" s="36" t="n">
        <f aca="false">Sens!$K$3794*1000/(Sens!$K$3777*Sens!$K$3778)</f>
        <v>11.0937367508227</v>
      </c>
      <c r="L3795" s="36" t="n">
        <f aca="false">Sens!$L$3794*1000/(Sens!$L$3777*Sens!$L$3778)</f>
        <v>11.1300508519168</v>
      </c>
      <c r="M3795" s="36" t="n">
        <f aca="false">Sens!$M$3794*1000/(Sens!$M$3777*Sens!$M$3778)</f>
        <v>11.1430113216297</v>
      </c>
      <c r="N3795" s="36" t="n">
        <f aca="false">Sens!$N$3794*1000/(Sens!$N$3777*Sens!$N$3778)</f>
        <v>9.67085565405685</v>
      </c>
      <c r="O3795" s="36" t="n">
        <f aca="false">Sens!$O$3794*1000/(Sens!$O$3777*Sens!$O$3778)</f>
        <v>9.67085565405685</v>
      </c>
    </row>
    <row r="3796" customFormat="false" ht="17.15" hidden="false" customHeight="false" outlineLevel="0" collapsed="false">
      <c r="A3796" s="0" t="s">
        <v>626</v>
      </c>
      <c r="B3796" s="0" t="s">
        <v>86</v>
      </c>
      <c r="C3796" s="38" t="n">
        <f aca="false">Sens!$C$3777/ext_sh*(ox_open+rent_mw)*Sens!$C$3778/1000</f>
        <v>0.642569210675032</v>
      </c>
      <c r="D3796" s="38" t="n">
        <f aca="false">Sens!$D$3777/ext_sh*(ox_open+rent_mw)*Sens!$D$3778/1000</f>
        <v>2.40963454003137</v>
      </c>
      <c r="E3796" s="38" t="n">
        <f aca="false">Sens!$E$3777/ext_sh*(ox_open+rent_mw)*Sens!$E$3778/1000</f>
        <v>2.35608710580845</v>
      </c>
      <c r="F3796" s="38" t="n">
        <f aca="false">((mw_open*ox_open+Sens!$F$3792*Sens!$F$3790)/ext_sh+Sens!$F$3777/ext_sh*rent_mw)*Sens!$F$3778/1000</f>
        <v>4.05421991106232</v>
      </c>
      <c r="G3796" s="38" t="n">
        <f aca="false">Sens!$E$3796+Sens!$F$3796</f>
        <v>6.41030701687077</v>
      </c>
      <c r="H3796" s="38" t="n">
        <f aca="false">((mw_open*ox_open+Sens!$H$3792*Sens!$H$3790)/ext_sh+Sens!$H$3777/ext_sh*rent_mw)*Sens!$H$3778/1000</f>
        <v>15.8108975546616</v>
      </c>
      <c r="I3796" s="38" t="n">
        <f aca="false">((mw_open*ox_open+Sens!$I$3792*Sens!$I$3790)/ext_sh+Sens!$I$3777/ext_sh*rent_mw)*Sens!$I$3778/1000</f>
        <v>26.1871623400817</v>
      </c>
      <c r="J3796" s="38" t="n">
        <f aca="false">((mw_open*ox_open+Sens!$J$3792*Sens!$J$3790)/ext_sh+Sens!$J$3777/ext_sh*rent_mw)*Sens!$J$3778/1000</f>
        <v>36.5826128954935</v>
      </c>
      <c r="K3796" s="38" t="n">
        <f aca="false">((mw_open*ox_open+Sens!$K$3792*Sens!$K$3790)/ext_sh+Sens!$K$3777/ext_sh*rent_mw)*Sens!$K$3778/1000</f>
        <v>45.4546361137628</v>
      </c>
      <c r="L3796" s="38" t="n">
        <f aca="false">((mw_open*ox_open+Sens!$L$3792*Sens!$L$3790)/ext_sh+Sens!$L$3777/ext_sh*rent_mw)*Sens!$L$3778/1000</f>
        <v>51.2855695554452</v>
      </c>
      <c r="M3796" s="38" t="n">
        <f aca="false">((mw_open*ox_open+Sens!$M$3792*Sens!$M$3790)/ext_sh+Sens!$M$3777/ext_sh*rent_mw)*Sens!$M$3778/1000</f>
        <v>54.0722927838398</v>
      </c>
      <c r="N3796" s="38" t="n">
        <f aca="false">Sens!$N$3777/ext_sh*(ox_open+rent_mw)*Sens!$N$3778/1000</f>
        <v>0.84337208901098</v>
      </c>
      <c r="O3796" s="38" t="n">
        <f aca="false">Sens!$O$3777/ext_sh*(ox_open+rent_mw)*Sens!$O$3778/1000</f>
        <v>1.56626245102039</v>
      </c>
    </row>
    <row r="3797" customFormat="false" ht="17.15" hidden="false" customHeight="false" outlineLevel="0" collapsed="false">
      <c r="A3797" s="0" t="s">
        <v>627</v>
      </c>
      <c r="B3797" s="0" t="s">
        <v>86</v>
      </c>
      <c r="C3797" s="38" t="n">
        <f aca="false">Q!$D$7</f>
        <v>107.556</v>
      </c>
      <c r="D3797" s="38" t="n">
        <f aca="false">Q!$E$7</f>
        <v>128.725</v>
      </c>
      <c r="E3797" s="38" t="n">
        <f aca="false">Q!$P$7</f>
        <v>79.819</v>
      </c>
      <c r="N3797" s="38" t="n">
        <f aca="false">Q!$N$7</f>
        <v>60.14</v>
      </c>
      <c r="O3797" s="38" t="n">
        <f aca="false">Q!$O$7</f>
        <v>68.585</v>
      </c>
    </row>
    <row r="3798" customFormat="false" ht="17.15" hidden="false" customHeight="false" outlineLevel="0" collapsed="false">
      <c r="A3798" s="1" t="s">
        <v>628</v>
      </c>
      <c r="B3798" s="8" t="s">
        <v>86</v>
      </c>
      <c r="C3798" s="38" t="n">
        <f aca="false">Sens!$C$3797-Sens!$C$3794</f>
        <v>105.234994643026</v>
      </c>
      <c r="D3798" s="38" t="n">
        <f aca="false">Sens!$D$3797-Sens!$D$3794</f>
        <v>120.021229911349</v>
      </c>
      <c r="E3798" s="38" t="n">
        <f aca="false">Sens!$E$3797-Sens!$E$3794</f>
        <v>71.30864702443</v>
      </c>
      <c r="F3798" s="38" t="n">
        <f aca="false">Sens!$O$3798*(1+Sens!$F$3799)</f>
        <v>71.7692997942464</v>
      </c>
      <c r="G3798" s="38" t="n">
        <f aca="false">Sens!$E$3798+Sens!$F$3798</f>
        <v>143.077946818676</v>
      </c>
      <c r="H3798" s="38" t="n">
        <f aca="false">Sens!$G$3798*(1+Sens!$H$3799)</f>
        <v>161.017077079203</v>
      </c>
      <c r="I3798" s="38" t="n">
        <f aca="false">Sens!$H$3798*(1+Sens!$I$3799)</f>
        <v>178.769759521457</v>
      </c>
      <c r="J3798" s="38" t="n">
        <f aca="false">Sens!$I$3798*(1+Sens!$J$3799)</f>
        <v>195.775538045907</v>
      </c>
      <c r="K3798" s="38" t="n">
        <f aca="false">Sens!$J$3798*(1+Sens!$K$3799)</f>
        <v>211.43758108958</v>
      </c>
      <c r="L3798" s="38" t="n">
        <f aca="false">Sens!$K$3798*(1+Sens!$L$3799)</f>
        <v>228.352587576746</v>
      </c>
      <c r="M3798" s="38" t="n">
        <f aca="false">Sens!$L$3798*(1+Sens!$M$3799)</f>
        <v>246.620794582886</v>
      </c>
      <c r="N3798" s="38" t="n">
        <f aca="false">Sens!$N$3797-Sens!$N$3794</f>
        <v>57.0936804689721</v>
      </c>
      <c r="O3798" s="38" t="n">
        <f aca="false">Sens!$O$3797-Sens!$O$3794</f>
        <v>62.9275494423768</v>
      </c>
      <c r="P3798" s="5" t="s">
        <v>629</v>
      </c>
    </row>
    <row r="3799" customFormat="false" ht="17.15" hidden="false" customHeight="false" outlineLevel="0" collapsed="false">
      <c r="A3799" s="0" t="s">
        <v>630</v>
      </c>
      <c r="B3799" s="0" t="s">
        <v>52</v>
      </c>
      <c r="D3799" s="13" t="n">
        <f aca="false">Sens!$D$3798/Sens!$C$3798-1</f>
        <v>0.140506827776062</v>
      </c>
      <c r="E3799" s="13" t="n">
        <f aca="false">Sens!$E$3798/Sens!$N$3798-1</f>
        <v>0.248976181579029</v>
      </c>
      <c r="F3799" s="13" t="n">
        <f aca="false">Sens!$D$3799</f>
        <v>0.140506827776062</v>
      </c>
      <c r="G3799" s="13" t="n">
        <f aca="false">Sens!$G$3798/Sens!$D$3798-1</f>
        <v>0.19210532106993</v>
      </c>
      <c r="H3799" s="13" t="n">
        <f aca="false">Sens!$F$3799+(g_awso_lt-Sens!$F$3799)*1/4</f>
        <v>0.125380120832046</v>
      </c>
      <c r="I3799" s="13" t="n">
        <f aca="false">Sens!$F$3799+(g_awso_lt-Sens!$F$3799)*2/4</f>
        <v>0.110253413888031</v>
      </c>
      <c r="J3799" s="13" t="n">
        <f aca="false">Sens!$F$3799+(g_awso_lt-Sens!$F$3799)*3/4</f>
        <v>0.0951267069440154</v>
      </c>
      <c r="K3799" s="13" t="n">
        <f aca="false">Sens!$F$3799+(g_awso_lt-Sens!$F$3799)*4/4</f>
        <v>0.08</v>
      </c>
      <c r="L3799" s="13" t="n">
        <f aca="false">g_awso_lt</f>
        <v>0.08</v>
      </c>
      <c r="M3799" s="13" t="n">
        <f aca="false">g_awso_lt</f>
        <v>0.08</v>
      </c>
      <c r="P3799" s="5" t="s">
        <v>631</v>
      </c>
    </row>
    <row r="3800" customFormat="false" ht="17.15" hidden="false" customHeight="false" outlineLevel="0" collapsed="false">
      <c r="A3800" s="1" t="s">
        <v>632</v>
      </c>
    </row>
    <row r="3801" customFormat="false" ht="17.15" hidden="false" customHeight="false" outlineLevel="0" collapsed="false">
      <c r="A3801" s="0" t="s">
        <v>633</v>
      </c>
      <c r="B3801" s="0" t="s">
        <v>86</v>
      </c>
      <c r="F3801" s="38" t="n">
        <f aca="false">cx_rt*Sens!$F$3766+cx_awso*Sens!$F$3798</f>
        <v>34.9734495387866</v>
      </c>
    </row>
    <row r="3802" customFormat="false" ht="17.15" hidden="false" customHeight="false" outlineLevel="0" collapsed="false">
      <c r="A3802" s="0" t="s">
        <v>634</v>
      </c>
      <c r="B3802" s="0" t="s">
        <v>52</v>
      </c>
      <c r="C3802" s="13" t="n">
        <f aca="false">tk_cx_h100/(tk_cx_h100+tk_fac*(1-colo_sh))</f>
        <v>0.730756458006641</v>
      </c>
      <c r="D3802" s="13" t="n">
        <f aca="false">tk_cx_h100/(tk_cx_h100+tk_fac*(1-colo_sh))</f>
        <v>0.730756458006641</v>
      </c>
      <c r="E3802" s="13" t="n">
        <f aca="false">Sens!$F$3802</f>
        <v>0.760792334328868</v>
      </c>
      <c r="F3802" s="13" t="n">
        <f aca="false">Sens!$F$3785/(Sens!$F$3785+tk_fac*(1-colo_sh))</f>
        <v>0.760792334328868</v>
      </c>
      <c r="G3802" s="13" t="n">
        <f aca="false">Sens!$G$3785/(Sens!$G$3785+tk_fac*(1-colo_sh))</f>
        <v>0.760792334328868</v>
      </c>
      <c r="H3802" s="13" t="n">
        <f aca="false">Sens!$H$3785/(Sens!$H$3785+tk_fac*(1-colo_sh))</f>
        <v>0.768110668862996</v>
      </c>
      <c r="I3802" s="13" t="n">
        <f aca="false">Sens!$I$3785/(Sens!$I$3785+tk_fac*(1-colo_sh))</f>
        <v>0.77499450139483</v>
      </c>
      <c r="J3802" s="13" t="n">
        <f aca="false">Sens!$J$3785/(Sens!$J$3785+tk_fac*(1-colo_sh))</f>
        <v>0.77499450139483</v>
      </c>
      <c r="K3802" s="13" t="n">
        <f aca="false">Sens!$K$3785/(Sens!$K$3785+tk_fac*(1-colo_sh))</f>
        <v>0.77499450139483</v>
      </c>
      <c r="L3802" s="13" t="n">
        <f aca="false">Sens!$L$3785/(Sens!$L$3785+tk_fac*(1-colo_sh))</f>
        <v>0.77499450139483</v>
      </c>
      <c r="M3802" s="13" t="n">
        <f aca="false">Sens!$M$3785/(Sens!$M$3785+tk_fac*(1-colo_sh))</f>
        <v>0.77499450139483</v>
      </c>
    </row>
    <row r="3803" customFormat="false" ht="17.15" hidden="false" customHeight="false" outlineLevel="0" collapsed="false">
      <c r="A3803" s="1" t="s">
        <v>635</v>
      </c>
      <c r="B3803" s="8" t="s">
        <v>86</v>
      </c>
      <c r="C3803" s="38" t="n">
        <f aca="false">Q!$D$46-cx_rt*Q!$D$16-cx_awso*Sens!$C$3798</f>
        <v>25.2781053077374</v>
      </c>
      <c r="D3803" s="38" t="n">
        <f aca="false">Q!$E$46-cx_rt*Q!$E$16-cx_awso*Sens!$D$3798</f>
        <v>69.5686316310026</v>
      </c>
      <c r="E3803" s="38" t="n">
        <f aca="false">Q!$P$46-cx_rt*Q!$P$16-cx_awso*Sens!$E$3798</f>
        <v>64.1899206485108</v>
      </c>
      <c r="F3803" s="38" t="n">
        <f aca="false">capex_g26-Q!$P$46-Sens!$F$3801</f>
        <v>88.7165504612134</v>
      </c>
      <c r="G3803" s="38" t="n">
        <f aca="false">Sens!$E$3803+Sens!$F$3803</f>
        <v>152.906471109724</v>
      </c>
      <c r="H3803" s="38" t="n">
        <f aca="false">Sens!$H$3780*(Sens!$H$3785+tk_fac*(1-colo_sh))/1000+Sens!$H$3804</f>
        <v>198.57136494475</v>
      </c>
      <c r="I3803" s="38" t="n">
        <f aca="false">Sens!$I$3780*(Sens!$I$3785+tk_fac*(1-colo_sh))/1000+Sens!$I$3804</f>
        <v>204.6464699105</v>
      </c>
      <c r="J3803" s="38" t="n">
        <f aca="false">Sens!$J$3780*(Sens!$J$3785+tk_fac*(1-colo_sh))/1000+Sens!$J$3804</f>
        <v>209.8832381105</v>
      </c>
      <c r="K3803" s="38" t="n">
        <f aca="false">Sens!$K$3780*(Sens!$K$3785+tk_fac*(1-colo_sh))/1000+Sens!$K$3804</f>
        <v>155.238385275201</v>
      </c>
      <c r="L3803" s="38" t="n">
        <f aca="false">Sens!$L$3780*(Sens!$L$3785+tk_fac*(1-colo_sh))/1000+Sens!$L$3804</f>
        <v>132.014141639902</v>
      </c>
      <c r="M3803" s="38" t="n">
        <f aca="false">Sens!$M$3780*(Sens!$M$3785+tk_fac*(1-colo_sh))/1000+Sens!$M$3804</f>
        <v>132.230981659852</v>
      </c>
      <c r="P3803" s="5" t="s">
        <v>636</v>
      </c>
      <c r="R3803" s="38" t="n">
        <f aca="false">Q!$C$46-cx_rt*Q!$C$16-cx_awso*(Q!$C$7-mw_ye23/2*rpm_open/1000)</f>
        <v>1.50429979529945</v>
      </c>
      <c r="S3803" s="38" t="n">
        <f aca="false">Sens!$C$3803</f>
        <v>25.2781053077374</v>
      </c>
      <c r="T3803" s="38" t="n">
        <f aca="false">Sens!$D$3803</f>
        <v>69.5686316310026</v>
      </c>
      <c r="U3803" s="38" t="n">
        <f aca="false">Sens!$G$3803</f>
        <v>152.906471109724</v>
      </c>
      <c r="V3803" s="38" t="n">
        <f aca="false">Sens!$H$3803</f>
        <v>198.57136494475</v>
      </c>
      <c r="W3803" s="38" t="n">
        <f aca="false">Sens!$I$3803</f>
        <v>204.6464699105</v>
      </c>
      <c r="X3803" s="38" t="n">
        <f aca="false">Sens!$J$3803</f>
        <v>209.8832381105</v>
      </c>
      <c r="Y3803" s="38" t="n">
        <f aca="false">Sens!$K$3803</f>
        <v>155.238385275201</v>
      </c>
      <c r="Z3803" s="38" t="n">
        <f aca="false">Sens!$L$3803</f>
        <v>132.014141639902</v>
      </c>
      <c r="AA3803" s="38" t="n">
        <f aca="false">Sens!$M$3803</f>
        <v>132.230981659852</v>
      </c>
    </row>
    <row r="3804" customFormat="false" ht="17.15" hidden="false" customHeight="false" outlineLevel="0" collapsed="false">
      <c r="A3804" s="0" t="s">
        <v>637</v>
      </c>
      <c r="B3804" s="0" t="s">
        <v>86</v>
      </c>
      <c r="H3804" s="38" t="n">
        <f aca="false">SUMPRODUCT(--(Sens!$R$3773:$AA$3773=2027-tk_life),Sens!$R$3780:$AA$3780)*Sens!$H$3785/1000</f>
        <v>0</v>
      </c>
      <c r="I3804" s="38" t="n">
        <f aca="false">SUMPRODUCT(--(Sens!$R$3773:$AA$3773=2028-tk_life),Sens!$R$3780:$AA$3780)*Sens!$I$3785/1000</f>
        <v>0</v>
      </c>
      <c r="J3804" s="38" t="n">
        <f aca="false">SUMPRODUCT(--(Sens!$R$3773:$AA$3773=2029-tk_life),Sens!$R$3780:$AA$3780)*Sens!$J$3785/1000</f>
        <v>5.2367682</v>
      </c>
      <c r="K3804" s="38" t="n">
        <f aca="false">SUMPRODUCT(--(Sens!$R$3773:$AA$3773=2030-tk_life),Sens!$R$3780:$AA$3780)*Sens!$K$3785/1000</f>
        <v>10.4735364</v>
      </c>
      <c r="L3804" s="38" t="n">
        <f aca="false">SUMPRODUCT(--(Sens!$R$3773:$AA$3773=2031-tk_life),Sens!$R$3780:$AA$3780)*Sens!$L$3785/1000</f>
        <v>47.1309138</v>
      </c>
      <c r="M3804" s="38" t="n">
        <f aca="false">SUMPRODUCT(--(Sens!$R$3773:$AA$3773=2032-tk_life),Sens!$R$3780:$AA$3780)*Sens!$M$3785/1000</f>
        <v>107.22937485525</v>
      </c>
    </row>
    <row r="3805" customFormat="false" ht="17.15" hidden="false" customHeight="false" outlineLevel="0" collapsed="false">
      <c r="A3805" s="0" t="s">
        <v>638</v>
      </c>
      <c r="B3805" s="0" t="s">
        <v>86</v>
      </c>
      <c r="C3805" s="38" t="n">
        <f aca="false">MIN(Sens!$C$3803,Sens!$C$3780*(tk_cx_h100+tk_fac*(1-colo_sh))/1000)</f>
        <v>11.2938642</v>
      </c>
      <c r="D3805" s="38" t="n">
        <f aca="false">MIN(Sens!$D$3803,Sens!$D$3780*(tk_cx_h100+tk_fac*(1-colo_sh))/1000)</f>
        <v>50.8223889</v>
      </c>
      <c r="E3805" s="38" t="n">
        <f aca="false">MIN(Sens!$E$3803,Sens!$E$3780*(Sens!$F$3785+tk_fac*(1-colo_sh))/1000)</f>
        <v>33.8985792</v>
      </c>
      <c r="F3805" s="38" t="n">
        <f aca="false">Sens!$F$3803</f>
        <v>88.7165504612134</v>
      </c>
      <c r="G3805" s="38" t="n">
        <f aca="false">Sens!$E$3805+Sens!$F$3805</f>
        <v>122.615129661213</v>
      </c>
      <c r="H3805" s="38" t="n">
        <f aca="false">Sens!$H$3803</f>
        <v>198.57136494475</v>
      </c>
      <c r="I3805" s="38" t="n">
        <f aca="false">Sens!$I$3803</f>
        <v>204.6464699105</v>
      </c>
      <c r="J3805" s="38" t="n">
        <f aca="false">Sens!$J$3803</f>
        <v>209.8832381105</v>
      </c>
      <c r="K3805" s="38" t="n">
        <f aca="false">Sens!$K$3803</f>
        <v>155.238385275201</v>
      </c>
      <c r="L3805" s="38" t="n">
        <f aca="false">Sens!$L$3803</f>
        <v>132.014141639902</v>
      </c>
      <c r="M3805" s="38" t="n">
        <f aca="false">Sens!$M$3803</f>
        <v>132.230981659852</v>
      </c>
      <c r="P3805" s="5" t="s">
        <v>639</v>
      </c>
      <c r="R3805" s="38" t="n">
        <f aca="false">MIN(Sens!$R$3803,Sens!$R$3780*(tk_cx_h100+tk_fac*(1-colo_sh))/1000)</f>
        <v>1.50429979529945</v>
      </c>
      <c r="S3805" s="38" t="n">
        <f aca="false">Sens!$C$3805</f>
        <v>11.2938642</v>
      </c>
      <c r="T3805" s="38" t="n">
        <f aca="false">Sens!$D$3805</f>
        <v>50.8223889</v>
      </c>
      <c r="U3805" s="38" t="n">
        <f aca="false">Sens!$G$3805</f>
        <v>122.615129661213</v>
      </c>
      <c r="V3805" s="38" t="n">
        <f aca="false">Sens!$H$3805</f>
        <v>198.57136494475</v>
      </c>
      <c r="W3805" s="38" t="n">
        <f aca="false">Sens!$I$3805</f>
        <v>204.6464699105</v>
      </c>
      <c r="X3805" s="38" t="n">
        <f aca="false">Sens!$J$3805</f>
        <v>209.8832381105</v>
      </c>
      <c r="Y3805" s="38" t="n">
        <f aca="false">Sens!$K$3805</f>
        <v>155.238385275201</v>
      </c>
      <c r="Z3805" s="38" t="n">
        <f aca="false">Sens!$L$3805</f>
        <v>132.014141639902</v>
      </c>
      <c r="AA3805" s="38" t="n">
        <f aca="false">Sens!$M$3805</f>
        <v>132.230981659852</v>
      </c>
    </row>
    <row r="3806" customFormat="false" ht="17.15" hidden="false" customHeight="false" outlineLevel="0" collapsed="false">
      <c r="A3806" s="5" t="s">
        <v>640</v>
      </c>
      <c r="B3806" s="0" t="s">
        <v>86</v>
      </c>
      <c r="C3806" s="38" t="n">
        <f aca="false">Sens!$C$3803-Sens!$C$3805</f>
        <v>13.9842411077374</v>
      </c>
      <c r="D3806" s="38" t="n">
        <f aca="false">Sens!$D$3803-Sens!$D$3805</f>
        <v>18.7462427310026</v>
      </c>
      <c r="E3806" s="38" t="n">
        <f aca="false">Sens!$E$3803-Sens!$E$3805</f>
        <v>30.2913414485108</v>
      </c>
      <c r="F3806" s="38" t="n">
        <f aca="false">Sens!$F$3803-Sens!$F$3805</f>
        <v>0</v>
      </c>
      <c r="G3806" s="38" t="n">
        <f aca="false">Sens!$G$3803-Sens!$G$3805</f>
        <v>30.2913414485108</v>
      </c>
      <c r="H3806" s="38" t="n">
        <f aca="false">Sens!$H$3803-Sens!$H$3805</f>
        <v>0</v>
      </c>
      <c r="I3806" s="38" t="n">
        <f aca="false">Sens!$I$3803-Sens!$I$3805</f>
        <v>0</v>
      </c>
      <c r="J3806" s="38" t="n">
        <f aca="false">Sens!$J$3803-Sens!$J$3805</f>
        <v>0</v>
      </c>
      <c r="K3806" s="38" t="n">
        <f aca="false">Sens!$K$3803-Sens!$K$3805</f>
        <v>0</v>
      </c>
      <c r="L3806" s="38" t="n">
        <f aca="false">Sens!$L$3803-Sens!$L$3805</f>
        <v>0</v>
      </c>
      <c r="M3806" s="38" t="n">
        <f aca="false">Sens!$M$3803-Sens!$M$3805</f>
        <v>0</v>
      </c>
      <c r="P3806" s="5" t="s">
        <v>641</v>
      </c>
      <c r="R3806" s="38" t="n">
        <f aca="false">Sens!$R$3803-Sens!$R$3805</f>
        <v>0</v>
      </c>
      <c r="S3806" s="38" t="n">
        <f aca="false">Sens!$S$3803-Sens!$S$3805</f>
        <v>13.9842411077374</v>
      </c>
      <c r="T3806" s="38" t="n">
        <f aca="false">Sens!$T$3803-Sens!$T$3805</f>
        <v>18.7462427310026</v>
      </c>
      <c r="U3806" s="38" t="n">
        <f aca="false">Sens!$U$3803-Sens!$U$3805</f>
        <v>30.2913414485108</v>
      </c>
      <c r="V3806" s="38" t="n">
        <f aca="false">Sens!$V$3803-Sens!$V$3805</f>
        <v>0</v>
      </c>
      <c r="W3806" s="38" t="n">
        <f aca="false">Sens!$W$3803-Sens!$W$3805</f>
        <v>0</v>
      </c>
      <c r="X3806" s="38" t="n">
        <f aca="false">Sens!$X$3803-Sens!$X$3805</f>
        <v>0</v>
      </c>
      <c r="Y3806" s="38" t="n">
        <f aca="false">Sens!$Y$3803-Sens!$Y$3805</f>
        <v>0</v>
      </c>
      <c r="Z3806" s="38" t="n">
        <f aca="false">Sens!$Z$3803-Sens!$Z$3805</f>
        <v>0</v>
      </c>
      <c r="AA3806" s="38" t="n">
        <f aca="false">Sens!$AA$3803-Sens!$AA$3805</f>
        <v>0</v>
      </c>
    </row>
    <row r="3807" customFormat="false" ht="17.15" hidden="false" customHeight="false" outlineLevel="0" collapsed="false">
      <c r="A3807" s="5" t="s">
        <v>642</v>
      </c>
      <c r="B3807" s="0" t="s">
        <v>86</v>
      </c>
      <c r="R3807" s="38" t="n">
        <f aca="false">Sens!$R$3806*Sens!$C$3802</f>
        <v>0</v>
      </c>
      <c r="S3807" s="38" t="n">
        <f aca="false">Sens!$S$3806*Sens!$C$3802</f>
        <v>10.219074499801</v>
      </c>
      <c r="T3807" s="38" t="n">
        <f aca="false">Sens!$T$3806*Sens!$C$3802</f>
        <v>13.6989379390402</v>
      </c>
      <c r="U3807" s="38" t="n">
        <f aca="false">Sens!$U$3806*Sens!$E$3802</f>
        <v>23.0454203705653</v>
      </c>
      <c r="V3807" s="38" t="n">
        <f aca="false">Sens!$V$3806*Sens!$E$3802</f>
        <v>0</v>
      </c>
      <c r="W3807" s="38" t="n">
        <f aca="false">Sens!$W$3806*Sens!$E$3802</f>
        <v>0</v>
      </c>
      <c r="X3807" s="38" t="n">
        <f aca="false">Sens!$X$3806*Sens!$E$3802</f>
        <v>0</v>
      </c>
      <c r="Y3807" s="38" t="n">
        <f aca="false">Sens!$Y$3806*Sens!$E$3802</f>
        <v>0</v>
      </c>
      <c r="Z3807" s="38" t="n">
        <f aca="false">Sens!$Z$3806*Sens!$E$3802</f>
        <v>0</v>
      </c>
      <c r="AA3807" s="38" t="n">
        <f aca="false">Sens!$AA$3806*Sens!$E$3802</f>
        <v>0</v>
      </c>
    </row>
    <row r="3808" customFormat="false" ht="17.15" hidden="false" customHeight="false" outlineLevel="0" collapsed="false">
      <c r="A3808" s="5" t="s">
        <v>643</v>
      </c>
      <c r="B3808" s="0" t="s">
        <v>86</v>
      </c>
      <c r="R3808" s="38" t="n">
        <f aca="false">SUMPRODUCT(--(Sens!$R$3773:$AA$3773=2023-cip_lag),Sens!$R$3807:$AA$3807)</f>
        <v>0</v>
      </c>
      <c r="S3808" s="38" t="n">
        <f aca="false">SUMPRODUCT(--(Sens!$R$3773:$AA$3773=2024-cip_lag),Sens!$R$3807:$AA$3807)</f>
        <v>0</v>
      </c>
      <c r="T3808" s="38" t="n">
        <f aca="false">SUMPRODUCT(--(Sens!$R$3773:$AA$3773=2025-cip_lag),Sens!$R$3807:$AA$3807)</f>
        <v>10.219074499801</v>
      </c>
      <c r="U3808" s="38" t="n">
        <f aca="false">SUMPRODUCT(--(Sens!$R$3773:$AA$3773=2026-cip_lag),Sens!$R$3807:$AA$3807)</f>
        <v>13.6989379390402</v>
      </c>
      <c r="V3808" s="38" t="n">
        <f aca="false">SUMPRODUCT(--(Sens!$R$3773:$AA$3773=2027-cip_lag),Sens!$R$3807:$AA$3807)</f>
        <v>23.0454203705653</v>
      </c>
      <c r="W3808" s="38" t="n">
        <f aca="false">SUMPRODUCT(--(Sens!$R$3773:$AA$3773=2028-cip_lag),Sens!$R$3807:$AA$3807)</f>
        <v>0</v>
      </c>
      <c r="X3808" s="38" t="n">
        <f aca="false">SUMPRODUCT(--(Sens!$R$3773:$AA$3773=2029-cip_lag),Sens!$R$3807:$AA$3807)</f>
        <v>0</v>
      </c>
      <c r="Y3808" s="38" t="n">
        <f aca="false">SUMPRODUCT(--(Sens!$R$3773:$AA$3773=2030-cip_lag),Sens!$R$3807:$AA$3807)</f>
        <v>0</v>
      </c>
      <c r="Z3808" s="38" t="n">
        <f aca="false">SUMPRODUCT(--(Sens!$R$3773:$AA$3773=2031-cip_lag),Sens!$R$3807:$AA$3807)</f>
        <v>0</v>
      </c>
      <c r="AA3808" s="38" t="n">
        <f aca="false">SUMPRODUCT(--(Sens!$R$3773:$AA$3773=2032-cip_lag),Sens!$R$3807:$AA$3807)</f>
        <v>0</v>
      </c>
    </row>
    <row r="3809" customFormat="false" ht="15" hidden="false" customHeight="false" outlineLevel="0" collapsed="false">
      <c r="A3809" s="5" t="s">
        <v>644</v>
      </c>
      <c r="B3809" s="0" t="s">
        <v>86</v>
      </c>
      <c r="R3809" s="38" t="n">
        <f aca="false">SUMPRODUCT(--(Sens!$R$3773:$AA$3773=2023-cip_lag),Sens!$R$3806:$AA$3806)-Sens!$R$3808</f>
        <v>0</v>
      </c>
      <c r="S3809" s="38" t="n">
        <f aca="false">SUMPRODUCT(--(Sens!$R$3773:$AA$3773=2024-cip_lag),Sens!$R$3806:$AA$3806)-Sens!$S$3808</f>
        <v>0</v>
      </c>
      <c r="T3809" s="38" t="n">
        <f aca="false">SUMPRODUCT(--(Sens!$R$3773:$AA$3773=2025-cip_lag),Sens!$R$3806:$AA$3806)-Sens!$T$3808</f>
        <v>3.76516660793636</v>
      </c>
      <c r="U3809" s="38" t="n">
        <f aca="false">SUMPRODUCT(--(Sens!$R$3773:$AA$3773=2026-cip_lag),Sens!$R$3806:$AA$3806)-Sens!$U$3808</f>
        <v>5.04730479196242</v>
      </c>
      <c r="V3809" s="38" t="n">
        <f aca="false">SUMPRODUCT(--(Sens!$R$3773:$AA$3773=2027-cip_lag),Sens!$R$3806:$AA$3806)-Sens!$V$3808</f>
        <v>7.24592107794548</v>
      </c>
      <c r="W3809" s="38" t="n">
        <f aca="false">SUMPRODUCT(--(Sens!$R$3773:$AA$3773=2028-cip_lag),Sens!$R$3806:$AA$3806)-Sens!$W$3808</f>
        <v>0</v>
      </c>
      <c r="X3809" s="38" t="n">
        <f aca="false">SUMPRODUCT(--(Sens!$R$3773:$AA$3773=2029-cip_lag),Sens!$R$3806:$AA$3806)-Sens!$X$3808</f>
        <v>0</v>
      </c>
      <c r="Y3809" s="38" t="n">
        <f aca="false">SUMPRODUCT(--(Sens!$R$3773:$AA$3773=2030-cip_lag),Sens!$R$3806:$AA$3806)-Sens!$Y$3808</f>
        <v>0</v>
      </c>
      <c r="Z3809" s="38" t="n">
        <f aca="false">SUMPRODUCT(--(Sens!$R$3773:$AA$3773=2031-cip_lag),Sens!$R$3806:$AA$3806)-Sens!$Z$3808</f>
        <v>0</v>
      </c>
      <c r="AA3809" s="38" t="n">
        <f aca="false">SUMPRODUCT(--(Sens!$R$3773:$AA$3773=2032-cip_lag),Sens!$R$3806:$AA$3806)-Sens!$AA$3808</f>
        <v>0</v>
      </c>
    </row>
    <row r="3810" customFormat="false" ht="17.15" hidden="false" customHeight="false" outlineLevel="0" collapsed="false">
      <c r="A3810" s="5" t="s">
        <v>645</v>
      </c>
      <c r="B3810" s="0" t="s">
        <v>86</v>
      </c>
      <c r="C3810" s="38" t="n">
        <f aca="false">Sens!$C$3805*Sens!$C$3802</f>
        <v>8.2530642</v>
      </c>
      <c r="D3810" s="38" t="n">
        <f aca="false">Sens!$D$3805*Sens!$D$3802</f>
        <v>37.1387889</v>
      </c>
      <c r="E3810" s="38" t="n">
        <f aca="false">Sens!$E$3805*Sens!$E$3802</f>
        <v>25.7897792</v>
      </c>
      <c r="F3810" s="38" t="n">
        <f aca="false">Sens!$F$3805*Sens!$F$3802</f>
        <v>67.4948715189913</v>
      </c>
      <c r="G3810" s="38" t="n">
        <f aca="false">Sens!$E$3810+Sens!$F$3810</f>
        <v>93.2846507189913</v>
      </c>
      <c r="H3810" s="38" t="n">
        <f aca="false">(Sens!$H$3805-Sens!$H$3804)*Sens!$H$3802+Sens!$H$3804</f>
        <v>152.52478394475</v>
      </c>
      <c r="I3810" s="38" t="n">
        <f aca="false">(Sens!$I$3805-Sens!$I$3804)*Sens!$I$3802+Sens!$I$3804</f>
        <v>158.5998889105</v>
      </c>
      <c r="J3810" s="38" t="n">
        <f aca="false">(Sens!$J$3805-Sens!$J$3804)*Sens!$J$3802+Sens!$J$3804</f>
        <v>163.8366571105</v>
      </c>
      <c r="K3810" s="38" t="n">
        <f aca="false">(Sens!$K$3805-Sens!$K$3804)*Sens!$K$3802+Sens!$K$3804</f>
        <v>122.665498273534</v>
      </c>
      <c r="L3810" s="38" t="n">
        <f aca="false">(Sens!$L$3805-Sens!$L$3804)*Sens!$L$3802+Sens!$L$3804</f>
        <v>112.914948636568</v>
      </c>
      <c r="M3810" s="38" t="n">
        <f aca="false">(Sens!$M$3805-Sens!$M$3804)*Sens!$M$3802+Sens!$M$3804</f>
        <v>126.605482654852</v>
      </c>
      <c r="R3810" s="38" t="n">
        <f aca="false">Sens!$R$3805*Sens!$C$3802</f>
        <v>1.09927679019314</v>
      </c>
      <c r="S3810" s="38" t="n">
        <f aca="false">Sens!$C$3810</f>
        <v>8.2530642</v>
      </c>
      <c r="T3810" s="38" t="n">
        <f aca="false">Sens!$D$3810</f>
        <v>37.1387889</v>
      </c>
      <c r="U3810" s="38" t="n">
        <f aca="false">Sens!$G$3810</f>
        <v>93.2846507189913</v>
      </c>
      <c r="V3810" s="38" t="n">
        <f aca="false">Sens!$H$3810</f>
        <v>152.52478394475</v>
      </c>
      <c r="W3810" s="38" t="n">
        <f aca="false">Sens!$I$3810</f>
        <v>158.5998889105</v>
      </c>
      <c r="X3810" s="38" t="n">
        <f aca="false">Sens!$J$3810</f>
        <v>163.8366571105</v>
      </c>
      <c r="Y3810" s="38" t="n">
        <f aca="false">Sens!$K$3810</f>
        <v>122.665498273534</v>
      </c>
      <c r="Z3810" s="38" t="n">
        <f aca="false">Sens!$L$3810</f>
        <v>112.914948636568</v>
      </c>
      <c r="AA3810" s="38" t="n">
        <f aca="false">Sens!$M$3810</f>
        <v>126.605482654852</v>
      </c>
    </row>
    <row r="3811" customFormat="false" ht="15" hidden="false" customHeight="false" outlineLevel="0" collapsed="false">
      <c r="A3811" s="5" t="s">
        <v>646</v>
      </c>
      <c r="B3811" s="0" t="s">
        <v>86</v>
      </c>
      <c r="C3811" s="38" t="n">
        <f aca="false">Sens!$C$3805-Sens!$C$3810</f>
        <v>3.0408</v>
      </c>
      <c r="D3811" s="38" t="n">
        <f aca="false">Sens!$D$3805-Sens!$D$3810</f>
        <v>13.6836</v>
      </c>
      <c r="E3811" s="38" t="n">
        <f aca="false">Sens!$E$3805-Sens!$E$3810</f>
        <v>8.1088</v>
      </c>
      <c r="F3811" s="38" t="n">
        <f aca="false">Sens!$F$3805-Sens!$F$3810</f>
        <v>21.2216789422221</v>
      </c>
      <c r="G3811" s="38" t="n">
        <f aca="false">Sens!$G$3805-Sens!$G$3810</f>
        <v>29.3304789422221</v>
      </c>
      <c r="H3811" s="38" t="n">
        <f aca="false">Sens!$H$3805-Sens!$H$3810</f>
        <v>46.046581</v>
      </c>
      <c r="I3811" s="38" t="n">
        <f aca="false">Sens!$I$3805-Sens!$I$3810</f>
        <v>46.046581</v>
      </c>
      <c r="J3811" s="38" t="n">
        <f aca="false">Sens!$J$3805-Sens!$J$3810</f>
        <v>46.046581</v>
      </c>
      <c r="K3811" s="38" t="n">
        <f aca="false">Sens!$K$3805-Sens!$K$3810</f>
        <v>32.5728870016667</v>
      </c>
      <c r="L3811" s="38" t="n">
        <f aca="false">Sens!$L$3805-Sens!$L$3810</f>
        <v>19.0991930033334</v>
      </c>
      <c r="M3811" s="38" t="n">
        <f aca="false">Sens!$M$3805-Sens!$M$3810</f>
        <v>5.62549900499998</v>
      </c>
      <c r="R3811" s="38" t="n">
        <f aca="false">Sens!$R$3805-Sens!$R$3810</f>
        <v>0.405023005106309</v>
      </c>
      <c r="S3811" s="38" t="n">
        <f aca="false">Sens!$S$3805-Sens!$S$3810</f>
        <v>3.0408</v>
      </c>
      <c r="T3811" s="38" t="n">
        <f aca="false">Sens!$T$3805-Sens!$T$3810</f>
        <v>13.6836</v>
      </c>
      <c r="U3811" s="38" t="n">
        <f aca="false">Sens!$U$3805-Sens!$U$3810</f>
        <v>29.3304789422221</v>
      </c>
      <c r="V3811" s="38" t="n">
        <f aca="false">Sens!$V$3805-Sens!$V$3810</f>
        <v>46.046581</v>
      </c>
      <c r="W3811" s="38" t="n">
        <f aca="false">Sens!$W$3805-Sens!$W$3810</f>
        <v>46.046581</v>
      </c>
      <c r="X3811" s="38" t="n">
        <f aca="false">Sens!$X$3805-Sens!$X$3810</f>
        <v>46.046581</v>
      </c>
      <c r="Y3811" s="38" t="n">
        <f aca="false">Sens!$Y$3805-Sens!$Y$3810</f>
        <v>32.5728870016667</v>
      </c>
      <c r="Z3811" s="38" t="n">
        <f aca="false">Sens!$Z$3805-Sens!$Z$3810</f>
        <v>19.0991930033334</v>
      </c>
      <c r="AA3811" s="38" t="n">
        <f aca="false">Sens!$AA$3805-Sens!$AA$3810</f>
        <v>5.62549900499998</v>
      </c>
    </row>
    <row r="3812" customFormat="false" ht="17.15" hidden="false" customHeight="false" outlineLevel="0" collapsed="false">
      <c r="A3812" s="0" t="s">
        <v>647</v>
      </c>
      <c r="B3812" s="0" t="s">
        <v>52</v>
      </c>
      <c r="C3812" s="13" t="n">
        <f aca="false">Sens!$C$3803/Sens!$C$3928</f>
        <v>0.325505489553393</v>
      </c>
      <c r="D3812" s="13" t="n">
        <f aca="false">Sens!$D$3803/Sens!$D$3928</f>
        <v>0.54214956071542</v>
      </c>
      <c r="E3812" s="13" t="n">
        <f aca="false">Sens!$E$3803/Sens!$E$3928</f>
        <v>0.666492790452817</v>
      </c>
      <c r="F3812" s="13" t="n">
        <f aca="false">Sens!$F$3803/Sens!$F$3928</f>
        <v>0.71724917504417</v>
      </c>
      <c r="G3812" s="13" t="n">
        <f aca="false">Sens!$G$3803/Sens!$G$3928</f>
        <v>0.69502941413511</v>
      </c>
      <c r="H3812" s="13" t="n">
        <f aca="false">Sens!$H$3803/Sens!$H$3928</f>
        <v>0.726376041178204</v>
      </c>
      <c r="I3812" s="13" t="n">
        <f aca="false">Sens!$I$3803/Sens!$I$3928</f>
        <v>0.713099092661699</v>
      </c>
      <c r="J3812" s="13" t="n">
        <f aca="false">Sens!$J$3803/Sens!$J$3928</f>
        <v>0.701208348786245</v>
      </c>
      <c r="K3812" s="13" t="n">
        <f aca="false">Sens!$K$3803/Sens!$K$3928</f>
        <v>0.618338844562383</v>
      </c>
      <c r="L3812" s="13" t="n">
        <f aca="false">Sens!$L$3803/Sens!$L$3928</f>
        <v>0.562489158462506</v>
      </c>
      <c r="M3812" s="13" t="n">
        <f aca="false">Sens!$M$3803/Sens!$M$3928</f>
        <v>0.545751190895923</v>
      </c>
    </row>
    <row r="3813" customFormat="false" ht="17.15" hidden="false" customHeight="false" outlineLevel="0" collapsed="false">
      <c r="A3813" s="0" t="s">
        <v>648</v>
      </c>
      <c r="B3813" s="0" t="s">
        <v>86</v>
      </c>
      <c r="C3813" s="38" t="n">
        <f aca="false">Sens!$S$3813</f>
        <v>0.183212798365523</v>
      </c>
      <c r="D3813" s="38" t="n">
        <f aca="false">Sens!$T$3813</f>
        <v>1.55872349836552</v>
      </c>
      <c r="E3813" s="38" t="n">
        <f aca="false">Sens!$G$3813/2</f>
        <v>4.72585036583285</v>
      </c>
      <c r="F3813" s="38" t="n">
        <f aca="false">Sens!$G$3813/2</f>
        <v>4.72585036583285</v>
      </c>
      <c r="G3813" s="38" t="n">
        <f aca="false">Sens!$U$3813</f>
        <v>9.4517007316657</v>
      </c>
      <c r="H3813" s="38" t="n">
        <f aca="false">Sens!$V$3813</f>
        <v>27.2822988413376</v>
      </c>
      <c r="I3813" s="38" t="n">
        <f aca="false">Sens!$W$3813</f>
        <v>56.5439995605568</v>
      </c>
      <c r="J3813" s="38" t="n">
        <f aca="false">Sens!$X$3813</f>
        <v>82.9773143789735</v>
      </c>
      <c r="K3813" s="38" t="n">
        <f aca="false">Sens!$Y$3813</f>
        <v>110.100211099025</v>
      </c>
      <c r="L3813" s="38" t="n">
        <f aca="false">Sens!$Z$3813</f>
        <v>129.16895011128</v>
      </c>
      <c r="M3813" s="38" t="n">
        <f aca="false">Sens!$AA$3813</f>
        <v>140.095130984075</v>
      </c>
      <c r="N3813" s="38" t="n">
        <f aca="false">Sens!$D$3813/2</f>
        <v>0.779361749182762</v>
      </c>
      <c r="O3813" s="38" t="n">
        <f aca="false">Sens!$D$3813/2</f>
        <v>0.779361749182762</v>
      </c>
      <c r="R3813" s="38" t="n">
        <f aca="false">(SUMPRODUCT(--(Sens!$R$3773:$AA$3773&lt;Sens!R$3773),--(Sens!$R$3773:$AA$3773&gt;=Sens!R$3773-tk_life),Sens!$R$3810:$AA$3810)+SUMPRODUCT(--(Sens!$R$3773:$AA$3773&lt;Sens!R$3773),--(Sens!$R$3773:$AA$3773&gt;=Sens!R$3773-tk_life),Sens!$R$3808:$AA$3808))/tk_life</f>
        <v>0</v>
      </c>
      <c r="S3813" s="38" t="n">
        <f aca="false">(SUMPRODUCT(--(Sens!$R$3773:$AA$3773&lt;Sens!S$3773),--(Sens!$R$3773:$AA$3773&gt;=Sens!S$3773-tk_life),Sens!$R$3810:$AA$3810)+SUMPRODUCT(--(Sens!$R$3773:$AA$3773&lt;Sens!S$3773),--(Sens!$R$3773:$AA$3773&gt;=Sens!S$3773-tk_life),Sens!$R$3808:$AA$3808))/tk_life</f>
        <v>0.183212798365523</v>
      </c>
      <c r="T3813" s="38" t="n">
        <f aca="false">(SUMPRODUCT(--(Sens!$R$3773:$AA$3773&lt;Sens!T$3773),--(Sens!$R$3773:$AA$3773&gt;=Sens!T$3773-tk_life),Sens!$R$3810:$AA$3810)+SUMPRODUCT(--(Sens!$R$3773:$AA$3773&lt;Sens!T$3773),--(Sens!$R$3773:$AA$3773&gt;=Sens!T$3773-tk_life),Sens!$R$3808:$AA$3808))/tk_life</f>
        <v>1.55872349836552</v>
      </c>
      <c r="U3813" s="38" t="n">
        <f aca="false">(SUMPRODUCT(--(Sens!$R$3773:$AA$3773&lt;Sens!U$3773),--(Sens!$R$3773:$AA$3773&gt;=Sens!U$3773-tk_life),Sens!$R$3810:$AA$3810)+SUMPRODUCT(--(Sens!$R$3773:$AA$3773&lt;Sens!U$3773),--(Sens!$R$3773:$AA$3773&gt;=Sens!U$3773-tk_life),Sens!$R$3808:$AA$3808))/tk_life</f>
        <v>9.4517007316657</v>
      </c>
      <c r="V3813" s="38" t="n">
        <f aca="false">(SUMPRODUCT(--(Sens!$R$3773:$AA$3773&lt;Sens!V$3773),--(Sens!$R$3773:$AA$3773&gt;=Sens!V$3773-tk_life),Sens!$R$3810:$AA$3810)+SUMPRODUCT(--(Sens!$R$3773:$AA$3773&lt;Sens!V$3773),--(Sens!$R$3773:$AA$3773&gt;=Sens!V$3773-tk_life),Sens!$R$3808:$AA$3808))/tk_life</f>
        <v>27.2822988413376</v>
      </c>
      <c r="W3813" s="38" t="n">
        <f aca="false">(SUMPRODUCT(--(Sens!$R$3773:$AA$3773&lt;Sens!W$3773),--(Sens!$R$3773:$AA$3773&gt;=Sens!W$3773-tk_life),Sens!$R$3810:$AA$3810)+SUMPRODUCT(--(Sens!$R$3773:$AA$3773&lt;Sens!W$3773),--(Sens!$R$3773:$AA$3773&gt;=Sens!W$3773-tk_life),Sens!$R$3808:$AA$3808))/tk_life</f>
        <v>56.5439995605568</v>
      </c>
      <c r="X3813" s="38" t="n">
        <f aca="false">(SUMPRODUCT(--(Sens!$R$3773:$AA$3773&lt;Sens!X$3773),--(Sens!$R$3773:$AA$3773&gt;=Sens!X$3773-tk_life),Sens!$R$3810:$AA$3810)+SUMPRODUCT(--(Sens!$R$3773:$AA$3773&lt;Sens!X$3773),--(Sens!$R$3773:$AA$3773&gt;=Sens!X$3773-tk_life),Sens!$R$3808:$AA$3808))/tk_life</f>
        <v>82.9773143789735</v>
      </c>
      <c r="Y3813" s="38" t="n">
        <f aca="false">(SUMPRODUCT(--(Sens!$R$3773:$AA$3773&lt;Sens!Y$3773),--(Sens!$R$3773:$AA$3773&gt;=Sens!Y$3773-tk_life),Sens!$R$3810:$AA$3810)+SUMPRODUCT(--(Sens!$R$3773:$AA$3773&lt;Sens!Y$3773),--(Sens!$R$3773:$AA$3773&gt;=Sens!Y$3773-tk_life),Sens!$R$3808:$AA$3808))/tk_life</f>
        <v>110.100211099025</v>
      </c>
      <c r="Z3813" s="38" t="n">
        <f aca="false">(SUMPRODUCT(--(Sens!$R$3773:$AA$3773&lt;Sens!Z$3773),--(Sens!$R$3773:$AA$3773&gt;=Sens!Z$3773-tk_life),Sens!$R$3810:$AA$3810)+SUMPRODUCT(--(Sens!$R$3773:$AA$3773&lt;Sens!Z$3773),--(Sens!$R$3773:$AA$3773&gt;=Sens!Z$3773-tk_life),Sens!$R$3808:$AA$3808))/tk_life</f>
        <v>129.16895011128</v>
      </c>
      <c r="AA3813" s="38" t="n">
        <f aca="false">(SUMPRODUCT(--(Sens!$R$3773:$AA$3773&lt;Sens!AA$3773),--(Sens!$R$3773:$AA$3773&gt;=Sens!AA$3773-tk_life),Sens!$R$3810:$AA$3810)+SUMPRODUCT(--(Sens!$R$3773:$AA$3773&lt;Sens!AA$3773),--(Sens!$R$3773:$AA$3773&gt;=Sens!AA$3773-tk_life),Sens!$R$3808:$AA$3808))/tk_life</f>
        <v>140.095130984075</v>
      </c>
    </row>
    <row r="3814" customFormat="false" ht="17.15" hidden="false" customHeight="false" outlineLevel="0" collapsed="false">
      <c r="A3814" s="0" t="s">
        <v>649</v>
      </c>
      <c r="B3814" s="0" t="s">
        <v>86</v>
      </c>
      <c r="C3814" s="38" t="n">
        <f aca="false">Sens!$S$3814</f>
        <v>0.0202511502553155</v>
      </c>
      <c r="D3814" s="38" t="n">
        <f aca="false">Sens!$T$3814</f>
        <v>0.172291150255315</v>
      </c>
      <c r="E3814" s="38" t="n">
        <f aca="false">Sens!$G$3814/2</f>
        <v>0.522364740326067</v>
      </c>
      <c r="F3814" s="38" t="n">
        <f aca="false">Sens!$G$3814/2</f>
        <v>0.522364740326067</v>
      </c>
      <c r="G3814" s="38" t="n">
        <f aca="false">Sens!$U$3814</f>
        <v>1.04472948065213</v>
      </c>
      <c r="H3814" s="38" t="n">
        <f aca="false">Sens!$V$3814</f>
        <v>2.76361866736136</v>
      </c>
      <c r="I3814" s="38" t="n">
        <f aca="false">Sens!$W$3814</f>
        <v>5.42824377125863</v>
      </c>
      <c r="J3814" s="38" t="n">
        <f aca="false">Sens!$X$3814</f>
        <v>7.73057282125864</v>
      </c>
      <c r="K3814" s="38" t="n">
        <f aca="false">Sens!$Y$3814</f>
        <v>10.0329018712586</v>
      </c>
      <c r="L3814" s="38" t="n">
        <f aca="false">Sens!$Z$3814</f>
        <v>11.661546221342</v>
      </c>
      <c r="M3814" s="38" t="n">
        <f aca="false">Sens!$AA$3814</f>
        <v>12.6165058715086</v>
      </c>
      <c r="N3814" s="38" t="n">
        <f aca="false">Sens!$D$3814/2</f>
        <v>0.0861455751276577</v>
      </c>
      <c r="O3814" s="38" t="n">
        <f aca="false">Sens!$D$3814/2</f>
        <v>0.0861455751276577</v>
      </c>
      <c r="R3814" s="38" t="n">
        <f aca="false">(SUMPRODUCT(--(Sens!$R$3773:$AA$3773&lt;Sens!R$3773),Sens!$R$3811:$AA$3811)+SUMPRODUCT(--(Sens!$R$3773:$AA$3773&lt;Sens!R$3773),Sens!$R$3809:$AA$3809))/fac_life</f>
        <v>0</v>
      </c>
      <c r="S3814" s="38" t="n">
        <f aca="false">(SUMPRODUCT(--(Sens!$R$3773:$AA$3773&lt;Sens!S$3773),Sens!$R$3811:$AA$3811)+SUMPRODUCT(--(Sens!$R$3773:$AA$3773&lt;Sens!S$3773),Sens!$R$3809:$AA$3809))/fac_life</f>
        <v>0.0202511502553155</v>
      </c>
      <c r="T3814" s="38" t="n">
        <f aca="false">(SUMPRODUCT(--(Sens!$R$3773:$AA$3773&lt;Sens!T$3773),Sens!$R$3811:$AA$3811)+SUMPRODUCT(--(Sens!$R$3773:$AA$3773&lt;Sens!T$3773),Sens!$R$3809:$AA$3809))/fac_life</f>
        <v>0.172291150255315</v>
      </c>
      <c r="U3814" s="38" t="n">
        <f aca="false">(SUMPRODUCT(--(Sens!$R$3773:$AA$3773&lt;Sens!U$3773),Sens!$R$3811:$AA$3811)+SUMPRODUCT(--(Sens!$R$3773:$AA$3773&lt;Sens!U$3773),Sens!$R$3809:$AA$3809))/fac_life</f>
        <v>1.04472948065213</v>
      </c>
      <c r="V3814" s="38" t="n">
        <f aca="false">(SUMPRODUCT(--(Sens!$R$3773:$AA$3773&lt;Sens!V$3773),Sens!$R$3811:$AA$3811)+SUMPRODUCT(--(Sens!$R$3773:$AA$3773&lt;Sens!V$3773),Sens!$R$3809:$AA$3809))/fac_life</f>
        <v>2.76361866736136</v>
      </c>
      <c r="W3814" s="38" t="n">
        <f aca="false">(SUMPRODUCT(--(Sens!$R$3773:$AA$3773&lt;Sens!W$3773),Sens!$R$3811:$AA$3811)+SUMPRODUCT(--(Sens!$R$3773:$AA$3773&lt;Sens!W$3773),Sens!$R$3809:$AA$3809))/fac_life</f>
        <v>5.42824377125863</v>
      </c>
      <c r="X3814" s="38" t="n">
        <f aca="false">(SUMPRODUCT(--(Sens!$R$3773:$AA$3773&lt;Sens!X$3773),Sens!$R$3811:$AA$3811)+SUMPRODUCT(--(Sens!$R$3773:$AA$3773&lt;Sens!X$3773),Sens!$R$3809:$AA$3809))/fac_life</f>
        <v>7.73057282125864</v>
      </c>
      <c r="Y3814" s="38" t="n">
        <f aca="false">(SUMPRODUCT(--(Sens!$R$3773:$AA$3773&lt;Sens!Y$3773),Sens!$R$3811:$AA$3811)+SUMPRODUCT(--(Sens!$R$3773:$AA$3773&lt;Sens!Y$3773),Sens!$R$3809:$AA$3809))/fac_life</f>
        <v>10.0329018712586</v>
      </c>
      <c r="Z3814" s="38" t="n">
        <f aca="false">(SUMPRODUCT(--(Sens!$R$3773:$AA$3773&lt;Sens!Z$3773),Sens!$R$3811:$AA$3811)+SUMPRODUCT(--(Sens!$R$3773:$AA$3773&lt;Sens!Z$3773),Sens!$R$3809:$AA$3809))/fac_life</f>
        <v>11.661546221342</v>
      </c>
      <c r="AA3814" s="38" t="n">
        <f aca="false">(SUMPRODUCT(--(Sens!$R$3773:$AA$3773&lt;Sens!AA$3773),Sens!$R$3811:$AA$3811)+SUMPRODUCT(--(Sens!$R$3773:$AA$3773&lt;Sens!AA$3773),Sens!$R$3809:$AA$3809))/fac_life</f>
        <v>12.6165058715086</v>
      </c>
    </row>
    <row r="3815" customFormat="false" ht="17.15" hidden="false" customHeight="false" outlineLevel="0" collapsed="false">
      <c r="A3815" s="1" t="s">
        <v>650</v>
      </c>
      <c r="B3815" s="8" t="s">
        <v>86</v>
      </c>
      <c r="C3815" s="38" t="n">
        <f aca="false">Sens!$C$3813+Sens!$C$3814</f>
        <v>0.203463948620839</v>
      </c>
      <c r="D3815" s="38" t="n">
        <f aca="false">Sens!$D$3813+Sens!$D$3814</f>
        <v>1.73101464862084</v>
      </c>
      <c r="E3815" s="38" t="n">
        <f aca="false">Sens!$E$3813+Sens!$E$3814</f>
        <v>5.24821510615892</v>
      </c>
      <c r="F3815" s="38" t="n">
        <f aca="false">Sens!$F$3813+Sens!$F$3814</f>
        <v>5.24821510615892</v>
      </c>
      <c r="G3815" s="38" t="n">
        <f aca="false">Sens!$G$3813+Sens!$G$3814</f>
        <v>10.4964302123178</v>
      </c>
      <c r="H3815" s="38" t="n">
        <f aca="false">Sens!$H$3813+Sens!$H$3814</f>
        <v>30.045917508699</v>
      </c>
      <c r="I3815" s="38" t="n">
        <f aca="false">Sens!$I$3813+Sens!$I$3814</f>
        <v>61.9722433318155</v>
      </c>
      <c r="J3815" s="38" t="n">
        <f aca="false">Sens!$J$3813+Sens!$J$3814</f>
        <v>90.7078872002321</v>
      </c>
      <c r="K3815" s="38" t="n">
        <f aca="false">Sens!$K$3813+Sens!$K$3814</f>
        <v>120.133112970283</v>
      </c>
      <c r="L3815" s="38" t="n">
        <f aca="false">Sens!$L$3813+Sens!$L$3814</f>
        <v>140.830496332622</v>
      </c>
      <c r="M3815" s="38" t="n">
        <f aca="false">Sens!$M$3813+Sens!$M$3814</f>
        <v>152.711636855584</v>
      </c>
      <c r="N3815" s="38" t="n">
        <f aca="false">Sens!$N$3813+Sens!$N$3814</f>
        <v>0.865507324310419</v>
      </c>
      <c r="O3815" s="38" t="n">
        <f aca="false">Sens!$O$3813+Sens!$O$3814</f>
        <v>0.865507324310419</v>
      </c>
      <c r="R3815" s="38" t="n">
        <f aca="false">Sens!$R$3813+Sens!$R$3814</f>
        <v>0</v>
      </c>
      <c r="S3815" s="38" t="n">
        <f aca="false">Sens!$S$3813+Sens!$S$3814</f>
        <v>0.203463948620839</v>
      </c>
      <c r="T3815" s="38" t="n">
        <f aca="false">Sens!$T$3813+Sens!$T$3814</f>
        <v>1.73101464862084</v>
      </c>
      <c r="U3815" s="38" t="n">
        <f aca="false">Sens!$U$3813+Sens!$U$3814</f>
        <v>10.4964302123178</v>
      </c>
      <c r="V3815" s="38" t="n">
        <f aca="false">Sens!$V$3813+Sens!$V$3814</f>
        <v>30.045917508699</v>
      </c>
      <c r="W3815" s="38" t="n">
        <f aca="false">Sens!$W$3813+Sens!$W$3814</f>
        <v>61.9722433318155</v>
      </c>
      <c r="X3815" s="38" t="n">
        <f aca="false">Sens!$X$3813+Sens!$X$3814</f>
        <v>90.7078872002321</v>
      </c>
      <c r="Y3815" s="38" t="n">
        <f aca="false">Sens!$Y$3813+Sens!$Y$3814</f>
        <v>120.133112970283</v>
      </c>
      <c r="Z3815" s="38" t="n">
        <f aca="false">Sens!$Z$3813+Sens!$Z$3814</f>
        <v>140.830496332622</v>
      </c>
      <c r="AA3815" s="38" t="n">
        <f aca="false">Sens!$AA$3813+Sens!$AA$3814</f>
        <v>152.711636855584</v>
      </c>
    </row>
    <row r="3816" customFormat="false" ht="17.15" hidden="false" customHeight="false" outlineLevel="0" collapsed="false">
      <c r="A3816" s="0" t="s">
        <v>651</v>
      </c>
      <c r="B3816" s="0" t="s">
        <v>86</v>
      </c>
      <c r="C3816" s="38" t="n">
        <f aca="false">Sens!$S$3816</f>
        <v>26.578941154416</v>
      </c>
      <c r="D3816" s="38" t="n">
        <f aca="false">Sens!$T$3816</f>
        <v>94.4165581367978</v>
      </c>
      <c r="G3816" s="38" t="n">
        <f aca="false">Sens!$U$3816</f>
        <v>236.826599034204</v>
      </c>
      <c r="H3816" s="38" t="n">
        <f aca="false">Sens!$V$3816</f>
        <v>405.352046470255</v>
      </c>
      <c r="I3816" s="38" t="n">
        <f aca="false">Sens!$W$3816</f>
        <v>548.02627304894</v>
      </c>
      <c r="J3816" s="38" t="n">
        <f aca="false">Sens!$X$3816</f>
        <v>667.201623959208</v>
      </c>
      <c r="K3816" s="38" t="n">
        <f aca="false">Sens!$Y$3816</f>
        <v>702.306896264125</v>
      </c>
      <c r="L3816" s="38" t="n">
        <f aca="false">Sens!$Z$3816</f>
        <v>693.490541571405</v>
      </c>
      <c r="M3816" s="38" t="n">
        <f aca="false">Sens!$AA$3816</f>
        <v>673.009886375674</v>
      </c>
      <c r="R3816" s="38" t="n">
        <f aca="false">SUM(Sens!$R$3803:$R$3803)-SUM(Sens!$R$3815:$R$3815)</f>
        <v>1.50429979529945</v>
      </c>
      <c r="S3816" s="38" t="n">
        <f aca="false">SUM(Sens!$R$3803:$S$3803)-SUM(Sens!$R$3815:$S$3815)</f>
        <v>26.578941154416</v>
      </c>
      <c r="T3816" s="38" t="n">
        <f aca="false">SUM(Sens!$R$3803:$T$3803)-SUM(Sens!$R$3815:$T$3815)</f>
        <v>94.4165581367978</v>
      </c>
      <c r="U3816" s="38" t="n">
        <f aca="false">SUM(Sens!$R$3803:$U$3803)-SUM(Sens!$R$3815:$U$3815)</f>
        <v>236.826599034204</v>
      </c>
      <c r="V3816" s="38" t="n">
        <f aca="false">SUM(Sens!$R$3803:$V$3803)-SUM(Sens!$R$3815:$V$3815)</f>
        <v>405.352046470255</v>
      </c>
      <c r="W3816" s="38" t="n">
        <f aca="false">SUM(Sens!$R$3803:$W$3803)-SUM(Sens!$R$3815:$W$3815)</f>
        <v>548.02627304894</v>
      </c>
      <c r="X3816" s="38" t="n">
        <f aca="false">SUM(Sens!$R$3803:$X$3803)-SUM(Sens!$R$3815:$X$3815)</f>
        <v>667.201623959208</v>
      </c>
      <c r="Y3816" s="38" t="n">
        <f aca="false">SUM(Sens!$R$3803:$Y$3803)-SUM(Sens!$R$3815:$Y$3815)</f>
        <v>702.306896264125</v>
      </c>
      <c r="Z3816" s="38" t="n">
        <f aca="false">SUM(Sens!$R$3803:$Z$3803)-SUM(Sens!$R$3815:$Z$3815)</f>
        <v>693.490541571405</v>
      </c>
      <c r="AA3816" s="38" t="n">
        <f aca="false">SUM(Sens!$R$3803:$AA$3803)-SUM(Sens!$R$3815:$AA$3815)</f>
        <v>673.009886375674</v>
      </c>
    </row>
    <row r="3817" customFormat="false" ht="17.15" hidden="false" customHeight="false" outlineLevel="0" collapsed="false">
      <c r="A3817" s="1" t="s">
        <v>652</v>
      </c>
    </row>
    <row r="3818" customFormat="false" ht="17.15" hidden="false" customHeight="false" outlineLevel="0" collapsed="false">
      <c r="A3818" s="0" t="s">
        <v>653</v>
      </c>
      <c r="B3818" s="0" t="s">
        <v>86</v>
      </c>
      <c r="C3818" s="38" t="n">
        <f aca="false">Sens!$C$3794-ext_sh*Sens!$C$3796</f>
        <v>1.80694998843362</v>
      </c>
      <c r="D3818" s="38" t="n">
        <f aca="false">Sens!$D$3794-ext_sh*Sens!$D$3796</f>
        <v>6.77606245662607</v>
      </c>
      <c r="E3818" s="38" t="n">
        <f aca="false">Sens!$E$3794-ext_sh*Sens!$E$3796</f>
        <v>6.62548329092326</v>
      </c>
      <c r="F3818" s="38" t="n">
        <f aca="false">Sens!$F$3794-ext_sh*Sens!$F$3796</f>
        <v>11.7200577158706</v>
      </c>
      <c r="G3818" s="38" t="n">
        <f aca="false">Sens!$G$3794-ext_sh*Sens!$G$3796</f>
        <v>18.3455410067939</v>
      </c>
      <c r="H3818" s="38" t="n">
        <f aca="false">Sens!$H$3794-ext_sh*Sens!$H$3796</f>
        <v>47.5171727060453</v>
      </c>
      <c r="I3818" s="38" t="n">
        <f aca="false">Sens!$I$3794-ext_sh*Sens!$I$3796</f>
        <v>80.5539692643667</v>
      </c>
      <c r="J3818" s="38" t="n">
        <f aca="false">Sens!$J$3794-ext_sh*Sens!$J$3796</f>
        <v>113.759316834883</v>
      </c>
      <c r="K3818" s="38" t="n">
        <f aca="false">Sens!$K$3794-ext_sh*Sens!$K$3796</f>
        <v>142.084411492169</v>
      </c>
      <c r="L3818" s="38" t="n">
        <f aca="false">Sens!$L$3794-ext_sh*Sens!$L$3796</f>
        <v>160.69964615804</v>
      </c>
      <c r="M3818" s="38" t="n">
        <f aca="false">Sens!$M$3794-ext_sh*Sens!$M$3796</f>
        <v>169.577607141793</v>
      </c>
      <c r="N3818" s="38" t="n">
        <f aca="false">Sens!$N$3794-ext_sh*Sens!$N$3796</f>
        <v>2.37162185981912</v>
      </c>
      <c r="O3818" s="38" t="n">
        <f aca="false">Sens!$O$3794-ext_sh*Sens!$O$3796</f>
        <v>4.40444059680694</v>
      </c>
    </row>
    <row r="3819" customFormat="false" ht="17.15" hidden="false" customHeight="false" outlineLevel="0" collapsed="false">
      <c r="A3819" s="1" t="s">
        <v>654</v>
      </c>
      <c r="B3819" s="8" t="s">
        <v>86</v>
      </c>
      <c r="C3819" s="38" t="n">
        <f aca="false">Sens!$C$3818-ext_sh*Sens!$C$3815</f>
        <v>1.64417882953695</v>
      </c>
      <c r="D3819" s="38" t="n">
        <f aca="false">Sens!$D$3818-ext_sh*Sens!$D$3815</f>
        <v>5.39125073772939</v>
      </c>
      <c r="E3819" s="38" t="n">
        <f aca="false">Sens!$E$3818-ext_sh*Sens!$E$3815</f>
        <v>2.42691120599613</v>
      </c>
      <c r="F3819" s="38" t="n">
        <f aca="false">Sens!$F$3818-ext_sh*Sens!$F$3815</f>
        <v>7.52148563094346</v>
      </c>
      <c r="G3819" s="38" t="n">
        <f aca="false">Sens!$G$3818-ext_sh*Sens!$G$3815</f>
        <v>9.94839683693959</v>
      </c>
      <c r="H3819" s="38" t="n">
        <f aca="false">Sens!$H$3818-ext_sh*Sens!$H$3815</f>
        <v>23.4804386990861</v>
      </c>
      <c r="I3819" s="38" t="n">
        <f aca="false">Sens!$I$3818-ext_sh*Sens!$I$3815</f>
        <v>30.9761745989143</v>
      </c>
      <c r="J3819" s="38" t="n">
        <f aca="false">Sens!$J$3818-ext_sh*Sens!$J$3815</f>
        <v>41.1930070746977</v>
      </c>
      <c r="K3819" s="38" t="n">
        <f aca="false">Sens!$K$3818-ext_sh*Sens!$K$3815</f>
        <v>45.9779211159428</v>
      </c>
      <c r="L3819" s="38" t="n">
        <f aca="false">Sens!$L$3818-ext_sh*Sens!$L$3815</f>
        <v>48.0352490919424</v>
      </c>
      <c r="M3819" s="38" t="n">
        <f aca="false">Sens!$M$3818-ext_sh*Sens!$M$3815</f>
        <v>47.4082976573265</v>
      </c>
      <c r="N3819" s="38" t="n">
        <f aca="false">Sens!$N$3818-ext_sh*Sens!$N$3815</f>
        <v>1.67921600037079</v>
      </c>
      <c r="O3819" s="38" t="n">
        <f aca="false">Sens!$O$3818-ext_sh*Sens!$O$3815</f>
        <v>3.71203473735861</v>
      </c>
    </row>
    <row r="3820" customFormat="false" ht="17.15" hidden="false" customHeight="false" outlineLevel="0" collapsed="false">
      <c r="A3820" s="0" t="s">
        <v>655</v>
      </c>
      <c r="B3820" s="0" t="s">
        <v>52</v>
      </c>
      <c r="C3820" s="13" t="n">
        <f aca="false">Sens!$C$3819/Sens!$C$3794</f>
        <v>0.708390794789371</v>
      </c>
      <c r="D3820" s="13" t="n">
        <f aca="false">Sens!$D$3819/Sens!$D$3794</f>
        <v>0.619415573115729</v>
      </c>
      <c r="E3820" s="13" t="n">
        <f aca="false">Sens!$E$3819/Sens!$E$3794</f>
        <v>0.285171627189009</v>
      </c>
      <c r="F3820" s="13" t="n">
        <f aca="false">Sens!$F$3819/Sens!$F$3794</f>
        <v>0.502657732812366</v>
      </c>
      <c r="G3820" s="13" t="n">
        <f aca="false">Sens!$G$3819/Sens!$G$3794</f>
        <v>0.423808778611812</v>
      </c>
      <c r="H3820" s="13" t="n">
        <f aca="false">Sens!$H$3819/Sens!$H$3794</f>
        <v>0.390261631739809</v>
      </c>
      <c r="I3820" s="13" t="n">
        <f aca="false">Sens!$I$3819/Sens!$I$3794</f>
        <v>0.305172864264572</v>
      </c>
      <c r="J3820" s="13" t="n">
        <f aca="false">Sens!$J$3819/Sens!$J$3794</f>
        <v>0.288011814789856</v>
      </c>
      <c r="K3820" s="13" t="n">
        <f aca="false">Sens!$K$3819/Sens!$K$3794</f>
        <v>0.25765427518774</v>
      </c>
      <c r="L3820" s="13" t="n">
        <f aca="false">Sens!$L$3819/Sens!$L$3794</f>
        <v>0.238118778012374</v>
      </c>
      <c r="M3820" s="13" t="n">
        <f aca="false">Sens!$M$3819/Sens!$M$3794</f>
        <v>0.222746255757109</v>
      </c>
      <c r="N3820" s="13" t="n">
        <f aca="false">Sens!$N$3819/Sens!$N$3794</f>
        <v>0.551227795793364</v>
      </c>
      <c r="O3820" s="13" t="n">
        <f aca="false">Sens!$O$3819/Sens!$O$3794</f>
        <v>0.656132068597002</v>
      </c>
    </row>
    <row r="3821" customFormat="false" ht="17.15" hidden="false" customHeight="false" outlineLevel="0" collapsed="false">
      <c r="A3821" s="5" t="s">
        <v>656</v>
      </c>
      <c r="B3821" s="0" t="s">
        <v>86</v>
      </c>
      <c r="C3821" s="39" t="n">
        <v>0</v>
      </c>
      <c r="D3821" s="39" t="n">
        <v>0</v>
      </c>
      <c r="E3821" s="39" t="n">
        <v>0</v>
      </c>
      <c r="F3821" s="38" t="n">
        <f aca="false">IF(internal_ai_reading=2,1,0)*(1-ext_sh)/ext_sh*(mw_open*he_open+Sens!$F$3792*Sens!$F$3789)*Sens!$F$3778/1000</f>
        <v>3.77122048175818</v>
      </c>
      <c r="G3821" s="38" t="n">
        <f aca="false">Sens!$E$3821+Sens!$F$3821</f>
        <v>3.77122048175818</v>
      </c>
      <c r="H3821" s="38" t="n">
        <f aca="false">IF(internal_ai_reading=2,1,0)*(1-ext_sh)/ext_sh*(mw_open*he_open+Sens!$H$3792*Sens!$H$3789)*Sens!$H$3778/1000</f>
        <v>15.1635543609893</v>
      </c>
      <c r="I3821" s="38" t="n">
        <f aca="false">IF(internal_ai_reading=2,1,0)*(1-ext_sh)/ext_sh*(mw_open*he_open+Sens!$I$3792*Sens!$I$3789)*Sens!$I$3778/1000</f>
        <v>25.5818843619889</v>
      </c>
      <c r="J3821" s="38" t="n">
        <f aca="false">IF(internal_ai_reading=2,1,0)*(1-ext_sh)/ext_sh*(mw_open*he_open+Sens!$J$3792*Sens!$J$3789)*Sens!$J$3778/1000</f>
        <v>36.0465624179122</v>
      </c>
      <c r="K3821" s="38" t="n">
        <f aca="false">IF(internal_ai_reading=2,1,0)*(1-ext_sh)/ext_sh*(mw_open*he_open+Sens!$K$3792*Sens!$K$3789)*Sens!$K$3778/1000</f>
        <v>44.9741164026038</v>
      </c>
      <c r="L3821" s="38" t="n">
        <f aca="false">IF(internal_ai_reading=2,1,0)*(1-ext_sh)/ext_sh*(mw_open*he_open+Sens!$L$3792*Sens!$L$3789)*Sens!$L$3778/1000</f>
        <v>50.8413488057813</v>
      </c>
      <c r="M3821" s="38" t="n">
        <f aca="false">IF(internal_ai_reading=2,1,0)*(1-ext_sh)/ext_sh*(mw_open*he_open+Sens!$M$3792*Sens!$M$3789)*Sens!$M$3778/1000</f>
        <v>53.6407214274315</v>
      </c>
      <c r="N3821" s="39" t="n">
        <v>0</v>
      </c>
      <c r="O3821" s="39" t="n">
        <v>0</v>
      </c>
      <c r="P3821" s="8" t="s">
        <v>657</v>
      </c>
    </row>
    <row r="3822" customFormat="false" ht="17.15" hidden="false" customHeight="false" outlineLevel="0" collapsed="false">
      <c r="A3822" s="5" t="s">
        <v>658</v>
      </c>
      <c r="B3822" s="0" t="s">
        <v>86</v>
      </c>
      <c r="C3822" s="38" t="n">
        <f aca="false">(1-ext_sh)*(Sens!$C$3796+Sens!$C$3815)</f>
        <v>0.169206631859174</v>
      </c>
      <c r="D3822" s="38" t="n">
        <f aca="false">(1-ext_sh)*(Sens!$D$3796+Sens!$D$3815)</f>
        <v>0.828129837730442</v>
      </c>
      <c r="E3822" s="38" t="n">
        <f aca="false">(1-ext_sh)*(Sens!$E$3796+Sens!$E$3815)</f>
        <v>1.52086044239347</v>
      </c>
      <c r="F3822" s="38" t="n">
        <f aca="false">(1-ext_sh)*(Sens!$F$3796+Sens!$F$3815)</f>
        <v>1.86048700344425</v>
      </c>
      <c r="G3822" s="38" t="n">
        <f aca="false">(1-ext_sh)*(Sens!$G$3796+Sens!$G$3815)</f>
        <v>3.38134744583772</v>
      </c>
      <c r="H3822" s="38" t="n">
        <f aca="false">(1-ext_sh)*(Sens!$H$3796+Sens!$H$3815)</f>
        <v>9.17136301267211</v>
      </c>
      <c r="I3822" s="38" t="n">
        <f aca="false">(1-ext_sh)*(Sens!$I$3796+Sens!$I$3815)</f>
        <v>17.6318811343794</v>
      </c>
      <c r="J3822" s="38" t="n">
        <f aca="false">(1-ext_sh)*(Sens!$J$3796+Sens!$J$3815)</f>
        <v>25.4581000191451</v>
      </c>
      <c r="K3822" s="38" t="n">
        <f aca="false">(1-ext_sh)*(Sens!$K$3796+Sens!$K$3815)</f>
        <v>33.1175498168092</v>
      </c>
      <c r="L3822" s="38" t="n">
        <f aca="false">(1-ext_sh)*(Sens!$L$3796+Sens!$L$3815)</f>
        <v>38.4232131776135</v>
      </c>
      <c r="M3822" s="38" t="n">
        <f aca="false">(1-ext_sh)*(Sens!$M$3796+Sens!$M$3815)</f>
        <v>41.3567859278847</v>
      </c>
      <c r="N3822" s="38" t="n">
        <f aca="false">(1-ext_sh)*(Sens!$N$3796+Sens!$N$3815)</f>
        <v>0.34177588266428</v>
      </c>
      <c r="O3822" s="38" t="n">
        <f aca="false">(1-ext_sh)*(Sens!$O$3796+Sens!$O$3815)</f>
        <v>0.486353955066162</v>
      </c>
    </row>
    <row r="3823" customFormat="false" ht="17.15" hidden="false" customHeight="false" outlineLevel="0" collapsed="false">
      <c r="A3823" s="0" t="s">
        <v>659</v>
      </c>
      <c r="B3823" s="0" t="s">
        <v>86</v>
      </c>
      <c r="C3823" s="38" t="n">
        <f aca="false">Q!$D$24</f>
        <v>39.834</v>
      </c>
      <c r="D3823" s="38" t="n">
        <f aca="false">Q!$E$24</f>
        <v>45.606</v>
      </c>
      <c r="E3823" s="38" t="n">
        <f aca="false">Q!$P$24</f>
        <v>30.782</v>
      </c>
      <c r="N3823" s="38" t="n">
        <f aca="false">Q!$N$24</f>
        <v>21.707</v>
      </c>
      <c r="O3823" s="38" t="n">
        <f aca="false">Q!$O$24</f>
        <v>23.899</v>
      </c>
    </row>
    <row r="3824" customFormat="false" ht="17.15" hidden="false" customHeight="false" outlineLevel="0" collapsed="false">
      <c r="A3824" s="0" t="s">
        <v>660</v>
      </c>
      <c r="B3824" s="0" t="s">
        <v>86</v>
      </c>
      <c r="C3824" s="38" t="n">
        <f aca="false">Sens!$C$3823-Sens!$C$3819</f>
        <v>38.1898211704631</v>
      </c>
      <c r="D3824" s="38" t="n">
        <f aca="false">Sens!$D$3823-Sens!$D$3819</f>
        <v>40.2147492622706</v>
      </c>
      <c r="E3824" s="38" t="n">
        <f aca="false">Sens!$E$3823-Sens!$E$3819</f>
        <v>28.3550887940039</v>
      </c>
      <c r="F3824" s="38" t="n">
        <f aca="false">Sens!$F$3798*Sens!$F$3825</f>
        <v>25.9529793149447</v>
      </c>
      <c r="G3824" s="38" t="n">
        <f aca="false">Sens!$E$3824+Sens!$F$3824</f>
        <v>54.3080681089486</v>
      </c>
      <c r="H3824" s="38" t="n">
        <f aca="false">Sens!$H$3798*Sens!$H$3825</f>
        <v>58.2264684589333</v>
      </c>
      <c r="I3824" s="38" t="n">
        <f aca="false">Sens!$I$3798*Sens!$I$3825</f>
        <v>64.6461353851744</v>
      </c>
      <c r="J3824" s="38" t="n">
        <f aca="false">Sens!$J$3798*Sens!$J$3825</f>
        <v>70.7957093610231</v>
      </c>
      <c r="K3824" s="38" t="n">
        <f aca="false">Sens!$K$3798*Sens!$K$3825</f>
        <v>76.4593661099049</v>
      </c>
      <c r="L3824" s="38" t="n">
        <f aca="false">Sens!$L$3798*Sens!$L$3825</f>
        <v>82.5761153986973</v>
      </c>
      <c r="M3824" s="38" t="n">
        <f aca="false">Sens!$M$3798*Sens!$M$3825</f>
        <v>89.1822046305931</v>
      </c>
      <c r="N3824" s="38" t="n">
        <f aca="false">Sens!$N$3823-Sens!$N$3819</f>
        <v>20.0277839996292</v>
      </c>
      <c r="O3824" s="38" t="n">
        <f aca="false">Sens!$O$3823-Sens!$O$3819</f>
        <v>20.1869652626414</v>
      </c>
      <c r="P3824" s="5" t="s">
        <v>661</v>
      </c>
    </row>
    <row r="3825" customFormat="false" ht="17.15" hidden="false" customHeight="false" outlineLevel="0" collapsed="false">
      <c r="A3825" s="0" t="s">
        <v>662</v>
      </c>
      <c r="B3825" s="0" t="s">
        <v>52</v>
      </c>
      <c r="C3825" s="13" t="n">
        <f aca="false">Sens!$C$3824/Sens!$C$3798</f>
        <v>0.362900395443635</v>
      </c>
      <c r="D3825" s="13" t="n">
        <f aca="false">Sens!$D$3824/Sens!$D$3798</f>
        <v>0.335063632425483</v>
      </c>
      <c r="E3825" s="13" t="n">
        <f aca="false">Sens!$E$3824/Sens!$E$3798</f>
        <v>0.397638855555478</v>
      </c>
      <c r="F3825" s="13" t="n">
        <f aca="false">(Sens!$O$3824+Sens!$E$3824)/(Sens!$O$3798+Sens!$E$3798)</f>
        <v>0.361616727338133</v>
      </c>
      <c r="G3825" s="13" t="n">
        <f aca="false">Sens!$G$3824/Sens!$G$3798</f>
        <v>0.379569803149143</v>
      </c>
      <c r="H3825" s="13" t="n">
        <f aca="false">Sens!$F$3825</f>
        <v>0.361616727338133</v>
      </c>
      <c r="I3825" s="13" t="n">
        <f aca="false">Sens!$F$3825</f>
        <v>0.361616727338133</v>
      </c>
      <c r="J3825" s="13" t="n">
        <f aca="false">Sens!$F$3825</f>
        <v>0.361616727338133</v>
      </c>
      <c r="K3825" s="13" t="n">
        <f aca="false">Sens!$F$3825</f>
        <v>0.361616727338133</v>
      </c>
      <c r="L3825" s="13" t="n">
        <f aca="false">Sens!$F$3825</f>
        <v>0.361616727338133</v>
      </c>
      <c r="M3825" s="13" t="n">
        <f aca="false">Sens!$F$3825</f>
        <v>0.361616727338133</v>
      </c>
      <c r="N3825" s="13" t="n">
        <f aca="false">Sens!$N$3824/Sens!$N$3798</f>
        <v>0.35078810535806</v>
      </c>
      <c r="O3825" s="13" t="n">
        <f aca="false">Sens!$O$3824/Sens!$O$3798</f>
        <v>0.320796939361619</v>
      </c>
      <c r="P3825" s="8" t="s">
        <v>663</v>
      </c>
    </row>
    <row r="3826" customFormat="false" ht="17.15" hidden="false" customHeight="false" outlineLevel="0" collapsed="false">
      <c r="A3826" s="0" t="s">
        <v>664</v>
      </c>
      <c r="B3826" s="0" t="s">
        <v>52</v>
      </c>
      <c r="D3826" s="13" t="n">
        <f aca="false">(Q!$E$31-ext_sh*Sens!$D$3815)/Sens!$D$3798</f>
        <v>0.167180325480118</v>
      </c>
    </row>
    <row r="3827" customFormat="false" ht="17.15" hidden="false" customHeight="false" outlineLevel="0" collapsed="false">
      <c r="A3827" s="0" t="s">
        <v>665</v>
      </c>
      <c r="B3827" s="0" t="s">
        <v>86</v>
      </c>
      <c r="C3827" s="38" t="n">
        <f aca="false">Q!$D$31</f>
        <v>13.32</v>
      </c>
      <c r="D3827" s="38" t="n">
        <f aca="false">Q!$E$31</f>
        <v>21.45</v>
      </c>
      <c r="E3827" s="38" t="n">
        <f aca="false">Q!$P$31</f>
        <v>15.353</v>
      </c>
      <c r="F3827" s="38" t="n">
        <f aca="false">ext_sh*Sens!$F$3815+Sens!$D$3826*Sens!$F$3798</f>
        <v>16.1969869840094</v>
      </c>
      <c r="G3827" s="38" t="n">
        <f aca="false">Sens!$E$3827+Sens!$F$3827</f>
        <v>31.5499869840094</v>
      </c>
      <c r="H3827" s="38" t="n">
        <f aca="false">ext_sh*Sens!$H$3815+Sens!$D$3826*Sens!$H$3798</f>
        <v>50.9556213609176</v>
      </c>
      <c r="I3827" s="38" t="n">
        <f aca="false">ext_sh*Sens!$I$3815+Sens!$D$3826*Sens!$I$3798</f>
        <v>79.464581248252</v>
      </c>
      <c r="J3827" s="38" t="n">
        <f aca="false">ext_sh*Sens!$J$3815+Sens!$D$3826*Sens!$J$3798</f>
        <v>105.296127931746</v>
      </c>
      <c r="K3827" s="38" t="n">
        <f aca="false">ext_sh*Sens!$K$3815+Sens!$D$3826*Sens!$K$3798</f>
        <v>131.454694001511</v>
      </c>
      <c r="L3827" s="38" t="n">
        <f aca="false">ext_sh*Sens!$L$3815+Sens!$D$3826*Sens!$L$3798</f>
        <v>150.840456981405</v>
      </c>
      <c r="M3827" s="38" t="n">
        <f aca="false">ext_sh*Sens!$M$3815+Sens!$D$3826*Sens!$M$3798</f>
        <v>163.399454192999</v>
      </c>
      <c r="N3827" s="38" t="n">
        <f aca="false">Q!$N$31</f>
        <v>9.234</v>
      </c>
      <c r="O3827" s="38" t="n">
        <f aca="false">Q!$O$31</f>
        <v>12.216</v>
      </c>
    </row>
    <row r="3828" customFormat="false" ht="17.15" hidden="false" customHeight="false" outlineLevel="0" collapsed="false">
      <c r="A3828" s="1" t="s">
        <v>666</v>
      </c>
    </row>
    <row r="3829" customFormat="false" ht="17.15" hidden="false" customHeight="false" outlineLevel="0" collapsed="false">
      <c r="A3829" s="15" t="s">
        <v>667</v>
      </c>
      <c r="B3829" s="14" t="s">
        <v>52</v>
      </c>
      <c r="C3829" s="14"/>
      <c r="D3829" s="14"/>
      <c r="E3829" s="14"/>
      <c r="F3829" s="14"/>
      <c r="G3829" s="17" t="n">
        <f aca="false">Sens!$G$3819*(1-tax)/(ext_sh*(Sens!$D$3816+Sens!$G$3816)/2)</f>
        <v>0.0620504069546486</v>
      </c>
      <c r="H3829" s="17" t="n">
        <f aca="false">Sens!$H$3819*(1-tax)/(ext_sh*(Sens!$G$3816+Sens!$H$3816)/2)</f>
        <v>0.0755420551527686</v>
      </c>
      <c r="I3829" s="17" t="n">
        <f aca="false">Sens!$I$3819*(1-tax)/(ext_sh*(Sens!$H$3816+Sens!$I$3816)/2)</f>
        <v>0.067127575356291</v>
      </c>
      <c r="J3829" s="17" t="n">
        <f aca="false">Sens!$J$3819*(1-tax)/(ext_sh*(Sens!$I$3816+Sens!$J$3816)/2)</f>
        <v>0.0700332392906535</v>
      </c>
      <c r="K3829" s="17" t="n">
        <f aca="false">Sens!$K$3819*(1-tax)/(ext_sh*(Sens!$J$3816+Sens!$K$3816)/2)</f>
        <v>0.0693622290093833</v>
      </c>
      <c r="L3829" s="17" t="n">
        <f aca="false">Sens!$L$3819*(1-tax)/(ext_sh*(Sens!$K$3816+Sens!$L$3816)/2)</f>
        <v>0.0711010638813626</v>
      </c>
      <c r="M3829" s="17" t="n">
        <f aca="false">Sens!$M$3819*(1-tax)/(ext_sh*(Sens!$L$3816+Sens!$M$3816)/2)</f>
        <v>0.071677531066401</v>
      </c>
      <c r="N3829" s="14"/>
      <c r="O3829" s="14"/>
      <c r="P3829" s="8" t="s">
        <v>668</v>
      </c>
    </row>
    <row r="3830" customFormat="false" ht="17.15" hidden="false" customHeight="false" outlineLevel="0" collapsed="false">
      <c r="A3830" s="5" t="s">
        <v>669</v>
      </c>
      <c r="B3830" s="0" t="s">
        <v>57</v>
      </c>
      <c r="H3830" s="36" t="n">
        <f aca="false">Sens!$H$3794*1000/(mw_open*he_open+Sens!$H$3792*Sens!$H$3789)</f>
        <v>0.991949006767191</v>
      </c>
      <c r="I3830" s="36" t="n">
        <f aca="false">Sens!$I$3794*1000/(mw_open*he_open+Sens!$I$3792*Sens!$I$3789)</f>
        <v>0.991949006767191</v>
      </c>
      <c r="J3830" s="36" t="n">
        <f aca="false">Sens!$J$3794*1000/(mw_open*he_open+Sens!$J$3792*Sens!$J$3789)</f>
        <v>0.991949006767191</v>
      </c>
      <c r="K3830" s="36" t="n">
        <f aca="false">Sens!$K$3794*1000/(mw_open*he_open+Sens!$K$3792*Sens!$K$3789)</f>
        <v>0.991949006767191</v>
      </c>
      <c r="L3830" s="36" t="n">
        <f aca="false">Sens!$L$3794*1000/(mw_open*he_open+Sens!$L$3792*Sens!$L$3789)</f>
        <v>0.991949006767191</v>
      </c>
      <c r="M3830" s="36" t="n">
        <f aca="false">Sens!$M$3794*1000/(mw_open*he_open+Sens!$M$3792*Sens!$M$3789)</f>
        <v>0.991949006767191</v>
      </c>
    </row>
    <row r="3831" customFormat="false" ht="17.15" hidden="false" customHeight="false" outlineLevel="0" collapsed="false">
      <c r="A3831" s="5" t="s">
        <v>670</v>
      </c>
      <c r="B3831" s="0" t="s">
        <v>57</v>
      </c>
      <c r="H3831" s="36" t="n">
        <f aca="false">Sens!$H$3830*(Sens!$H$3794+wacc*ext_sh*(Sens!$G$3816+Sens!$H$3816)/2/(1-tax)-Sens!$H$3819)/Sens!$H$3794</f>
        <v>1.18542857552197</v>
      </c>
      <c r="I3831" s="36" t="n">
        <f aca="false">Sens!$I$3830*(Sens!$I$3794+wacc*ext_sh*(Sens!$H$3816+Sens!$I$3816)/2/(1-tax)-Sens!$I$3819)/Sens!$I$3794</f>
        <v>1.20015476648903</v>
      </c>
      <c r="J3831" s="36" t="n">
        <f aca="false">Sens!$J$3830*(Sens!$J$3794+wacc*ext_sh*(Sens!$I$3816+Sens!$J$3816)/2/(1-tax)-Sens!$J$3819)/Sens!$J$3794</f>
        <v>1.16844056931249</v>
      </c>
      <c r="K3831" s="36" t="n">
        <f aca="false">Sens!$K$3830*(Sens!$K$3794+wacc*ext_sh*(Sens!$J$3816+Sens!$K$3816)/2/(1-tax)-Sens!$K$3819)/Sens!$K$3794</f>
        <v>1.15383758356873</v>
      </c>
      <c r="L3831" s="36" t="n">
        <f aca="false">Sens!$L$3830*(Sens!$L$3794+wacc*ext_sh*(Sens!$K$3816+Sens!$L$3816)/2/(1-tax)-Sens!$L$3819)/Sens!$L$3794</f>
        <v>1.13212765595665</v>
      </c>
      <c r="M3831" s="36" t="n">
        <f aca="false">Sens!$M$3830*(Sens!$M$3794+wacc*ext_sh*(Sens!$L$3816+Sens!$M$3816)/2/(1-tax)-Sens!$M$3819)/Sens!$M$3794</f>
        <v>1.12024635139935</v>
      </c>
    </row>
    <row r="3832" customFormat="false" ht="17.15" hidden="false" customHeight="false" outlineLevel="0" collapsed="false">
      <c r="A3832" s="5" t="s">
        <v>671</v>
      </c>
      <c r="B3832" s="0" t="s">
        <v>52</v>
      </c>
      <c r="C3832" s="13" t="n">
        <f aca="false">Sens!$C$3795/tk_pq</f>
        <v>0.195316432429398</v>
      </c>
      <c r="D3832" s="13" t="n">
        <f aca="false">Sens!$D$3795/tk_pq</f>
        <v>0.195316432429398</v>
      </c>
      <c r="E3832" s="13" t="n">
        <f aca="false">Sens!$E$3795/tk_pq</f>
        <v>0.195316432429398</v>
      </c>
      <c r="F3832" s="13" t="n">
        <f aca="false">Sens!$F$3795/tk_pq</f>
        <v>0.202241827274866</v>
      </c>
      <c r="G3832" s="13" t="n">
        <f aca="false">Sens!$G$3795/tk_pq</f>
        <v>0.199675016194063</v>
      </c>
      <c r="H3832" s="13" t="n">
        <f aca="false">Sens!$H$3795/tk_pq</f>
        <v>0.212647947710325</v>
      </c>
      <c r="I3832" s="13" t="n">
        <f aca="false">Sens!$I$3795/tk_pq</f>
        <v>0.219285125475351</v>
      </c>
      <c r="J3832" s="13" t="n">
        <f aca="false">Sens!$J$3795/tk_pq</f>
        <v>0.222492493217189</v>
      </c>
      <c r="K3832" s="13" t="n">
        <f aca="false">Sens!$K$3795/tk_pq</f>
        <v>0.224053502812094</v>
      </c>
      <c r="L3832" s="13" t="n">
        <f aca="false">Sens!$L$3795/tk_pq</f>
        <v>0.224786916785614</v>
      </c>
      <c r="M3832" s="13" t="n">
        <f aca="false">Sens!$M$3795/tk_pq</f>
        <v>0.225048671566937</v>
      </c>
      <c r="N3832" s="13" t="n">
        <f aca="false">Sens!$N$3795/tk_pq</f>
        <v>0.195316432429398</v>
      </c>
      <c r="O3832" s="13" t="n">
        <f aca="false">Sens!$O$3795/tk_pq</f>
        <v>0.195316432429398</v>
      </c>
      <c r="P3832" s="5" t="s">
        <v>672</v>
      </c>
    </row>
    <row r="3835" customFormat="false" ht="17.15" hidden="false" customHeight="false" outlineLevel="0" collapsed="false">
      <c r="A3835" s="1" t="s">
        <v>701</v>
      </c>
    </row>
    <row r="3836" customFormat="false" ht="17.15" hidden="false" customHeight="false" outlineLevel="0" collapsed="false">
      <c r="A3836" s="0" t="s">
        <v>702</v>
      </c>
      <c r="B3836" s="0" t="s">
        <v>86</v>
      </c>
      <c r="C3836" s="38" t="n">
        <f aca="false">Sens!$C$3794</f>
        <v>2.32100535697364</v>
      </c>
      <c r="D3836" s="38" t="n">
        <f aca="false">Sens!$D$3794</f>
        <v>8.70377008865116</v>
      </c>
      <c r="E3836" s="38" t="n">
        <f aca="false">Sens!$E$3794</f>
        <v>8.51035297557002</v>
      </c>
      <c r="F3836" s="38" t="n">
        <f aca="false">Sens!$F$3794</f>
        <v>14.9634336447205</v>
      </c>
      <c r="G3836" s="38" t="n">
        <f aca="false">Sens!$G$3794</f>
        <v>23.4737866202905</v>
      </c>
      <c r="H3836" s="38" t="n">
        <f aca="false">Sens!$H$3794</f>
        <v>60.1658907497746</v>
      </c>
      <c r="I3836" s="38" t="n">
        <f aca="false">Sens!$I$3794</f>
        <v>101.503699136432</v>
      </c>
      <c r="J3836" s="38" t="n">
        <f aca="false">Sens!$J$3794</f>
        <v>143.025407151278</v>
      </c>
      <c r="K3836" s="38" t="n">
        <f aca="false">Sens!$K$3794</f>
        <v>178.44812038318</v>
      </c>
      <c r="L3836" s="38" t="n">
        <f aca="false">Sens!$L$3794</f>
        <v>201.728101802396</v>
      </c>
      <c r="M3836" s="38" t="n">
        <f aca="false">Sens!$M$3794</f>
        <v>212.835441368865</v>
      </c>
      <c r="N3836" s="38" t="n">
        <f aca="false">Sens!$N$3794</f>
        <v>3.04631953102791</v>
      </c>
      <c r="O3836" s="38" t="n">
        <f aca="false">Sens!$O$3794</f>
        <v>5.65745055762326</v>
      </c>
      <c r="P3836" s="8" t="s">
        <v>703</v>
      </c>
    </row>
    <row r="3837" customFormat="false" ht="17.15" hidden="false" customHeight="false" outlineLevel="0" collapsed="false">
      <c r="A3837" s="0" t="s">
        <v>704</v>
      </c>
      <c r="B3837" s="0" t="s">
        <v>86</v>
      </c>
      <c r="C3837" s="38" t="n">
        <f aca="false">Sens!$C$3798</f>
        <v>105.234994643026</v>
      </c>
      <c r="D3837" s="38" t="n">
        <f aca="false">Sens!$D$3798</f>
        <v>120.021229911349</v>
      </c>
      <c r="E3837" s="38" t="n">
        <f aca="false">Sens!$E$3798</f>
        <v>71.30864702443</v>
      </c>
      <c r="F3837" s="38" t="n">
        <f aca="false">Sens!$F$3798</f>
        <v>71.7692997942464</v>
      </c>
      <c r="G3837" s="38" t="n">
        <f aca="false">Sens!$G$3798</f>
        <v>143.077946818676</v>
      </c>
      <c r="H3837" s="38" t="n">
        <f aca="false">Sens!$H$3798</f>
        <v>161.017077079203</v>
      </c>
      <c r="I3837" s="38" t="n">
        <f aca="false">Sens!$I$3798</f>
        <v>178.769759521457</v>
      </c>
      <c r="J3837" s="38" t="n">
        <f aca="false">Sens!$J$3798</f>
        <v>195.775538045907</v>
      </c>
      <c r="K3837" s="38" t="n">
        <f aca="false">Sens!$K$3798</f>
        <v>211.43758108958</v>
      </c>
      <c r="L3837" s="38" t="n">
        <f aca="false">Sens!$L$3798</f>
        <v>228.352587576746</v>
      </c>
      <c r="M3837" s="38" t="n">
        <f aca="false">Sens!$M$3798</f>
        <v>246.620794582886</v>
      </c>
      <c r="N3837" s="38" t="n">
        <f aca="false">Sens!$N$3798</f>
        <v>57.0936804689721</v>
      </c>
      <c r="O3837" s="38" t="n">
        <f aca="false">Sens!$O$3798</f>
        <v>62.9275494423768</v>
      </c>
      <c r="P3837" s="8" t="s">
        <v>703</v>
      </c>
    </row>
    <row r="3838" customFormat="false" ht="17.15" hidden="false" customHeight="false" outlineLevel="0" collapsed="false">
      <c r="A3838" s="1" t="s">
        <v>523</v>
      </c>
      <c r="B3838" s="8" t="s">
        <v>86</v>
      </c>
      <c r="C3838" s="38" t="n">
        <f aca="false">Q!$D$7</f>
        <v>107.556</v>
      </c>
      <c r="D3838" s="38" t="n">
        <f aca="false">Q!$E$7</f>
        <v>128.725</v>
      </c>
      <c r="E3838" s="38" t="n">
        <f aca="false">Q!$P$7</f>
        <v>79.819</v>
      </c>
      <c r="F3838" s="38" t="n">
        <f aca="false">Sens!$F$3836+Sens!$F$3837</f>
        <v>86.7327334389669</v>
      </c>
      <c r="G3838" s="38" t="n">
        <f aca="false">Sens!$G$3836+Sens!$G$3837</f>
        <v>166.551733438967</v>
      </c>
      <c r="H3838" s="38" t="n">
        <f aca="false">Sens!$H$3836+Sens!$H$3837</f>
        <v>221.182967828978</v>
      </c>
      <c r="I3838" s="38" t="n">
        <f aca="false">Sens!$I$3836+Sens!$I$3837</f>
        <v>280.27345865789</v>
      </c>
      <c r="J3838" s="38" t="n">
        <f aca="false">Sens!$J$3836+Sens!$J$3837</f>
        <v>338.800945197185</v>
      </c>
      <c r="K3838" s="38" t="n">
        <f aca="false">Sens!$K$3836+Sens!$K$3837</f>
        <v>389.88570147276</v>
      </c>
      <c r="L3838" s="38" t="n">
        <f aca="false">Sens!$L$3836+Sens!$L$3837</f>
        <v>430.080689379143</v>
      </c>
      <c r="M3838" s="38" t="n">
        <f aca="false">Sens!$M$3836+Sens!$M$3837</f>
        <v>459.456235951751</v>
      </c>
      <c r="N3838" s="38" t="n">
        <f aca="false">Q!$N$7</f>
        <v>60.14</v>
      </c>
      <c r="O3838" s="38" t="n">
        <f aca="false">Q!$O$7</f>
        <v>68.585</v>
      </c>
      <c r="P3838" s="5" t="s">
        <v>705</v>
      </c>
    </row>
    <row r="3839" customFormat="false" ht="15" hidden="false" customHeight="false" outlineLevel="0" collapsed="false">
      <c r="A3839" s="3" t="s">
        <v>706</v>
      </c>
      <c r="B3839" s="8" t="s">
        <v>86</v>
      </c>
      <c r="C3839" s="38" t="n">
        <f aca="false">Q!$D$8</f>
        <v>637.959</v>
      </c>
      <c r="D3839" s="38" t="n">
        <f aca="false">Q!$E$8</f>
        <v>716.924</v>
      </c>
      <c r="E3839" s="38" t="n">
        <f aca="false">Q!$P$8</f>
        <v>382.125</v>
      </c>
      <c r="F3839" s="38" t="n">
        <f aca="false">Sens!$F$3766+Sens!$F$3838</f>
        <v>435.780975084504</v>
      </c>
      <c r="G3839" s="38" t="n">
        <f aca="false">Sens!$G$3766+Sens!$G$3838</f>
        <v>817.905975084504</v>
      </c>
      <c r="H3839" s="38" t="n">
        <f aca="false">Sens!$H$3766+Sens!$H$3838</f>
        <v>942.279857350364</v>
      </c>
      <c r="I3839" s="38" t="n">
        <f aca="false">Sens!$I$3766+Sens!$I$3838</f>
        <v>1068.80284981042</v>
      </c>
      <c r="J3839" s="38" t="n">
        <f aca="false">Sens!$J$3766+Sens!$J$3838</f>
        <v>1189.90935093863</v>
      </c>
      <c r="K3839" s="38" t="n">
        <f aca="false">Sens!$K$3766+Sens!$K$3838</f>
        <v>1296.06215690385</v>
      </c>
      <c r="L3839" s="38" t="n">
        <f aca="false">Sens!$L$3766+Sens!$L$3838</f>
        <v>1395.17379585473</v>
      </c>
      <c r="M3839" s="38" t="n">
        <f aca="false">Sens!$M$3766+Sens!$M$3838</f>
        <v>1487.60414389864</v>
      </c>
      <c r="N3839" s="38" t="n">
        <f aca="false">Q!$N$8</f>
        <v>323.369</v>
      </c>
      <c r="O3839" s="38" t="n">
        <f aca="false">Q!$O$8</f>
        <v>393.555</v>
      </c>
    </row>
    <row r="3840" customFormat="false" ht="17.15" hidden="false" customHeight="false" outlineLevel="0" collapsed="false">
      <c r="A3840" s="24" t="s">
        <v>714</v>
      </c>
      <c r="B3840" s="25" t="s">
        <v>86</v>
      </c>
      <c r="C3840" s="41" t="n">
        <f aca="false">Sens!$C$3766-(Sens!$C$3768+Sens!$C$3769)</f>
        <v>0</v>
      </c>
      <c r="D3840" s="41" t="n">
        <f aca="false">Sens!$D$3766-(Sens!$D$3768+Sens!$D$3769)</f>
        <v>0</v>
      </c>
      <c r="E3840" s="41" t="n">
        <f aca="false">Sens!$E$3766-(Sens!$E$3768+Sens!$E$3769)</f>
        <v>0</v>
      </c>
      <c r="F3840" s="41" t="n">
        <f aca="false">Sens!$F$3766-(Sens!$F$3768+Sens!$F$3769)</f>
        <v>0</v>
      </c>
      <c r="G3840" s="41" t="n">
        <f aca="false">Sens!$G$3766-(Sens!$G$3768+Sens!$G$3769)</f>
        <v>0</v>
      </c>
      <c r="H3840" s="41" t="n">
        <f aca="false">Sens!$H$3766-(Sens!$H$3768+Sens!$H$3769)</f>
        <v>0</v>
      </c>
      <c r="I3840" s="41" t="n">
        <f aca="false">Sens!$I$3766-(Sens!$I$3768+Sens!$I$3769)</f>
        <v>0</v>
      </c>
      <c r="J3840" s="41" t="n">
        <f aca="false">Sens!$J$3766-(Sens!$J$3768+Sens!$J$3769)</f>
        <v>0</v>
      </c>
      <c r="K3840" s="41" t="n">
        <f aca="false">Sens!$K$3766-(Sens!$K$3768+Sens!$K$3769)</f>
        <v>0</v>
      </c>
      <c r="L3840" s="41" t="n">
        <f aca="false">Sens!$L$3766-(Sens!$L$3768+Sens!$L$3769)</f>
        <v>0</v>
      </c>
      <c r="M3840" s="41" t="n">
        <f aca="false">Sens!$M$3766-(Sens!$M$3768+Sens!$M$3769)</f>
        <v>0</v>
      </c>
      <c r="N3840" s="41" t="n">
        <f aca="false">Sens!$N$3766-(Sens!$N$3768+Sens!$N$3769)</f>
        <v>0</v>
      </c>
      <c r="O3840" s="41" t="n">
        <f aca="false">Sens!$O$3766-(Sens!$O$3768+Sens!$O$3769)</f>
        <v>0</v>
      </c>
    </row>
    <row r="3841" customFormat="false" ht="17.15" hidden="false" customHeight="false" outlineLevel="0" collapsed="false">
      <c r="A3841" s="24" t="s">
        <v>715</v>
      </c>
      <c r="B3841" s="25" t="s">
        <v>86</v>
      </c>
      <c r="C3841" s="41" t="n">
        <f aca="false">Sens!$C$3836+Sens!$C$3837-Sens!$C$3838</f>
        <v>0</v>
      </c>
      <c r="D3841" s="41" t="n">
        <f aca="false">Sens!$D$3836+Sens!$D$3837-Sens!$D$3838</f>
        <v>0</v>
      </c>
      <c r="E3841" s="41" t="n">
        <f aca="false">Sens!$E$3836+Sens!$E$3837-Sens!$E$3838</f>
        <v>0</v>
      </c>
      <c r="F3841" s="41" t="n">
        <f aca="false">Sens!$F$3836+Sens!$F$3837-Sens!$F$3838</f>
        <v>0</v>
      </c>
      <c r="G3841" s="41" t="n">
        <f aca="false">Sens!$G$3836+Sens!$G$3837-Sens!$G$3838</f>
        <v>0</v>
      </c>
      <c r="H3841" s="41" t="n">
        <f aca="false">Sens!$H$3836+Sens!$H$3837-Sens!$H$3838</f>
        <v>0</v>
      </c>
      <c r="I3841" s="41" t="n">
        <f aca="false">Sens!$I$3836+Sens!$I$3837-Sens!$I$3838</f>
        <v>0</v>
      </c>
      <c r="J3841" s="41" t="n">
        <f aca="false">Sens!$J$3836+Sens!$J$3837-Sens!$J$3838</f>
        <v>0</v>
      </c>
      <c r="K3841" s="41" t="n">
        <f aca="false">Sens!$K$3836+Sens!$K$3837-Sens!$K$3838</f>
        <v>0</v>
      </c>
      <c r="L3841" s="41" t="n">
        <f aca="false">Sens!$L$3836+Sens!$L$3837-Sens!$L$3838</f>
        <v>0</v>
      </c>
      <c r="M3841" s="41" t="n">
        <f aca="false">Sens!$M$3836+Sens!$M$3837-Sens!$M$3838</f>
        <v>0</v>
      </c>
      <c r="N3841" s="41" t="n">
        <f aca="false">Sens!$N$3836+Sens!$N$3837-Sens!$N$3838</f>
        <v>0</v>
      </c>
      <c r="O3841" s="41" t="n">
        <f aca="false">Sens!$O$3836+Sens!$O$3837-Sens!$O$3838</f>
        <v>0</v>
      </c>
    </row>
    <row r="3842" customFormat="false" ht="17.15" hidden="false" customHeight="false" outlineLevel="0" collapsed="false">
      <c r="A3842" s="24" t="s">
        <v>716</v>
      </c>
      <c r="B3842" s="25" t="s">
        <v>86</v>
      </c>
      <c r="C3842" s="41" t="n">
        <f aca="false">Sens!$C$3768+Sens!$C$3769+Sens!$C$3838-Sens!$C$3839</f>
        <v>0</v>
      </c>
      <c r="D3842" s="41" t="n">
        <f aca="false">Sens!$D$3768+Sens!$D$3769+Sens!$D$3838-Sens!$D$3839</f>
        <v>0</v>
      </c>
      <c r="E3842" s="41" t="n">
        <f aca="false">Sens!$E$3768+Sens!$E$3769+Sens!$E$3838-Sens!$E$3839</f>
        <v>0</v>
      </c>
      <c r="F3842" s="41" t="n">
        <f aca="false">Sens!$F$3768+Sens!$F$3769+Sens!$F$3838-Sens!$F$3839</f>
        <v>0</v>
      </c>
      <c r="G3842" s="41" t="n">
        <f aca="false">Sens!$G$3768+Sens!$G$3769+Sens!$G$3838-Sens!$G$3839</f>
        <v>0</v>
      </c>
      <c r="H3842" s="41" t="n">
        <f aca="false">Sens!$H$3768+Sens!$H$3769+Sens!$H$3838-Sens!$H$3839</f>
        <v>0</v>
      </c>
      <c r="I3842" s="41" t="n">
        <f aca="false">Sens!$I$3768+Sens!$I$3769+Sens!$I$3838-Sens!$I$3839</f>
        <v>0</v>
      </c>
      <c r="J3842" s="41" t="n">
        <f aca="false">Sens!$J$3768+Sens!$J$3769+Sens!$J$3838-Sens!$J$3839</f>
        <v>0</v>
      </c>
      <c r="K3842" s="41" t="n">
        <f aca="false">Sens!$K$3768+Sens!$K$3769+Sens!$K$3838-Sens!$K$3839</f>
        <v>0</v>
      </c>
      <c r="L3842" s="41" t="n">
        <f aca="false">Sens!$L$3768+Sens!$L$3769+Sens!$L$3838-Sens!$L$3839</f>
        <v>0</v>
      </c>
      <c r="M3842" s="41" t="n">
        <f aca="false">Sens!$M$3768+Sens!$M$3769+Sens!$M$3838-Sens!$M$3839</f>
        <v>0</v>
      </c>
      <c r="N3842" s="41" t="n">
        <f aca="false">Sens!$N$3768+Sens!$N$3769+Sens!$N$3838-Sens!$N$3839</f>
        <v>0</v>
      </c>
      <c r="O3842" s="41" t="n">
        <f aca="false">Sens!$O$3768+Sens!$O$3769+Sens!$O$3838-Sens!$O$3839</f>
        <v>0</v>
      </c>
    </row>
    <row r="3843" customFormat="false" ht="15" hidden="false" customHeight="false" outlineLevel="0" collapsed="false">
      <c r="A3843" s="5" t="s">
        <v>710</v>
      </c>
      <c r="B3843" s="0" t="s">
        <v>52</v>
      </c>
      <c r="G3843" s="13" t="n">
        <f aca="false">Sens!$G$3839/Sens!$D$3839-1</f>
        <v>0.140854504918937</v>
      </c>
      <c r="H3843" s="13" t="n">
        <f aca="false">Sens!$H$3839/Sens!$G$3839-1</f>
        <v>0.152063789793209</v>
      </c>
      <c r="I3843" s="13" t="n">
        <f aca="false">Sens!$I$3839/Sens!$H$3839-1</f>
        <v>0.134273264437417</v>
      </c>
      <c r="J3843" s="13" t="n">
        <f aca="false">Sens!$J$3839/Sens!$I$3839-1</f>
        <v>0.113310421234083</v>
      </c>
      <c r="K3843" s="13" t="n">
        <f aca="false">Sens!$K$3839/Sens!$J$3839-1</f>
        <v>0.0892108343223652</v>
      </c>
      <c r="L3843" s="13" t="n">
        <f aca="false">Sens!$L$3839/Sens!$K$3839-1</f>
        <v>0.076471362444261</v>
      </c>
      <c r="M3843" s="13" t="n">
        <f aca="false">Sens!$M$3839/Sens!$L$3839-1</f>
        <v>0.066250060256672</v>
      </c>
    </row>
    <row r="3844" customFormat="false" ht="17.15" hidden="false" customHeight="false" outlineLevel="0" collapsed="false">
      <c r="A3844" s="0" t="s">
        <v>711</v>
      </c>
      <c r="B3844" s="0" t="s">
        <v>52</v>
      </c>
      <c r="C3844" s="13" t="n">
        <f aca="false">Sens!$C$3838/Sens!$C$3839</f>
        <v>0.168593906504964</v>
      </c>
      <c r="D3844" s="13" t="n">
        <f aca="false">Sens!$D$3838/Sens!$D$3839</f>
        <v>0.179551807444025</v>
      </c>
      <c r="E3844" s="13" t="n">
        <f aca="false">Sens!$E$3838/Sens!$E$3839</f>
        <v>0.208881910369643</v>
      </c>
      <c r="F3844" s="13" t="n">
        <f aca="false">Sens!$F$3838/Sens!$F$3839</f>
        <v>0.199028269699356</v>
      </c>
      <c r="G3844" s="13" t="n">
        <f aca="false">Sens!$G$3838/Sens!$G$3839</f>
        <v>0.203631882529968</v>
      </c>
      <c r="H3844" s="13" t="n">
        <f aca="false">Sens!$H$3838/Sens!$H$3839</f>
        <v>0.234731715958496</v>
      </c>
      <c r="I3844" s="13" t="n">
        <f aca="false">Sens!$I$3838/Sens!$I$3839</f>
        <v>0.262231204480418</v>
      </c>
      <c r="J3844" s="13" t="n">
        <f aca="false">Sens!$J$3838/Sens!$J$3839</f>
        <v>0.284728366013706</v>
      </c>
      <c r="K3844" s="13" t="n">
        <f aca="false">Sens!$K$3838/Sens!$K$3839</f>
        <v>0.300823304959505</v>
      </c>
      <c r="L3844" s="13" t="n">
        <f aca="false">Sens!$L$3838/Sens!$L$3839</f>
        <v>0.308263164529735</v>
      </c>
      <c r="M3844" s="13" t="n">
        <f aca="false">Sens!$M$3838/Sens!$M$3839</f>
        <v>0.308856517936036</v>
      </c>
      <c r="N3844" s="13" t="n">
        <f aca="false">Sens!$N$3838/Sens!$N$3839</f>
        <v>0.185979484737251</v>
      </c>
      <c r="O3844" s="13" t="n">
        <f aca="false">Sens!$O$3838/Sens!$O$3839</f>
        <v>0.174270432341096</v>
      </c>
    </row>
    <row r="3845" customFormat="false" ht="17.15" hidden="false" customHeight="false" outlineLevel="0" collapsed="false">
      <c r="A3845" s="0" t="s">
        <v>712</v>
      </c>
      <c r="B3845" s="0" t="s">
        <v>52</v>
      </c>
      <c r="C3845" s="13" t="n">
        <f aca="false">Sens!$C$3836/Sens!$C$3838</f>
        <v>0.0215795060896058</v>
      </c>
      <c r="D3845" s="13" t="n">
        <f aca="false">Sens!$D$3836/Sens!$D$3838</f>
        <v>0.0676152269462122</v>
      </c>
      <c r="E3845" s="13" t="n">
        <f aca="false">Sens!$E$3836/Sens!$E$3838</f>
        <v>0.106620641395783</v>
      </c>
      <c r="F3845" s="13" t="n">
        <f aca="false">Sens!$F$3836/Sens!$F$3838</f>
        <v>0.172523487401099</v>
      </c>
      <c r="G3845" s="13" t="n">
        <f aca="false">Sens!$G$3836/Sens!$G$3838</f>
        <v>0.140939911795589</v>
      </c>
      <c r="H3845" s="13" t="n">
        <f aca="false">Sens!$H$3836/Sens!$H$3838</f>
        <v>0.272018642937714</v>
      </c>
      <c r="I3845" s="13" t="n">
        <f aca="false">Sens!$I$3836/Sens!$I$3838</f>
        <v>0.362159512436497</v>
      </c>
      <c r="J3845" s="13" t="n">
        <f aca="false">Sens!$J$3836/Sens!$J$3838</f>
        <v>0.422151735934609</v>
      </c>
      <c r="K3845" s="13" t="n">
        <f aca="false">Sens!$K$3836/Sens!$K$3838</f>
        <v>0.45769342068485</v>
      </c>
      <c r="L3845" s="13" t="n">
        <f aca="false">Sens!$L$3836/Sens!$L$3838</f>
        <v>0.469047103913472</v>
      </c>
      <c r="M3845" s="13" t="n">
        <f aca="false">Sens!$M$3836/Sens!$M$3838</f>
        <v>0.463233328258093</v>
      </c>
      <c r="N3845" s="13" t="n">
        <f aca="false">Sens!$N$3836/Sens!$N$3838</f>
        <v>0.0506537999838362</v>
      </c>
      <c r="O3845" s="13" t="n">
        <f aca="false">Sens!$O$3836/Sens!$O$3838</f>
        <v>0.0824881615167056</v>
      </c>
    </row>
    <row r="3848" customFormat="false" ht="19.4" hidden="false" customHeight="false" outlineLevel="0" collapsed="false">
      <c r="A3848" s="31" t="s">
        <v>1229</v>
      </c>
    </row>
    <row r="3849" customFormat="false" ht="17.15" hidden="false" customHeight="false" outlineLevel="0" collapsed="false">
      <c r="A3849" s="6" t="s">
        <v>16</v>
      </c>
      <c r="B3849" s="6" t="s">
        <v>17</v>
      </c>
      <c r="C3849" s="20" t="s">
        <v>504</v>
      </c>
      <c r="D3849" s="20" t="s">
        <v>505</v>
      </c>
      <c r="E3849" s="20" t="s">
        <v>587</v>
      </c>
      <c r="F3849" s="20" t="s">
        <v>588</v>
      </c>
      <c r="G3849" s="20" t="s">
        <v>589</v>
      </c>
      <c r="H3849" s="20" t="s">
        <v>590</v>
      </c>
      <c r="I3849" s="20" t="s">
        <v>591</v>
      </c>
      <c r="J3849" s="20" t="s">
        <v>592</v>
      </c>
      <c r="K3849" s="20" t="s">
        <v>593</v>
      </c>
      <c r="L3849" s="20" t="s">
        <v>594</v>
      </c>
      <c r="M3849" s="20" t="s">
        <v>595</v>
      </c>
      <c r="N3849" s="20" t="s">
        <v>596</v>
      </c>
      <c r="O3849" s="20" t="s">
        <v>597</v>
      </c>
      <c r="P3849" s="6" t="s">
        <v>23</v>
      </c>
      <c r="R3849" s="20" t="n">
        <v>2023</v>
      </c>
      <c r="S3849" s="20" t="n">
        <v>2024</v>
      </c>
      <c r="T3849" s="20" t="n">
        <v>2025</v>
      </c>
      <c r="U3849" s="20" t="n">
        <v>2026</v>
      </c>
      <c r="V3849" s="20" t="n">
        <v>2027</v>
      </c>
      <c r="W3849" s="20" t="n">
        <v>2028</v>
      </c>
      <c r="X3849" s="20" t="n">
        <v>2029</v>
      </c>
      <c r="Y3849" s="20" t="n">
        <v>2030</v>
      </c>
      <c r="Z3849" s="20" t="n">
        <v>2031</v>
      </c>
      <c r="AA3849" s="20" t="n">
        <v>2032</v>
      </c>
    </row>
    <row r="3850" customFormat="false" ht="17.15" hidden="false" customHeight="false" outlineLevel="0" collapsed="false">
      <c r="A3850" s="1" t="s">
        <v>727</v>
      </c>
    </row>
    <row r="3851" customFormat="false" ht="15" hidden="false" customHeight="false" outlineLevel="0" collapsed="false">
      <c r="A3851" s="0" t="s">
        <v>526</v>
      </c>
      <c r="B3851" s="0" t="s">
        <v>86</v>
      </c>
      <c r="C3851" s="38" t="n">
        <f aca="false">Sens!$C$3753</f>
        <v>247.029</v>
      </c>
      <c r="D3851" s="38" t="n">
        <f aca="false">Sens!$D$3753</f>
        <v>269.287</v>
      </c>
      <c r="E3851" s="38" t="n">
        <f aca="false">Sens!$E$3753</f>
        <v>134.686</v>
      </c>
      <c r="F3851" s="38" t="n">
        <f aca="false">Sens!$F$3753</f>
        <v>158.293876822267</v>
      </c>
      <c r="G3851" s="38" t="n">
        <f aca="false">Sens!$G$3753</f>
        <v>292.979876822267</v>
      </c>
      <c r="H3851" s="38" t="n">
        <f aca="false">Sens!$H$3753</f>
        <v>318.184543087396</v>
      </c>
      <c r="I3851" s="38" t="n">
        <f aca="false">Sens!$I$3753</f>
        <v>341.736278761793</v>
      </c>
      <c r="J3851" s="38" t="n">
        <f aca="false">Sens!$J$3753</f>
        <v>362.927192787048</v>
      </c>
      <c r="K3851" s="38" t="n">
        <f aca="false">Sens!$K$3753</f>
        <v>381.0735524264</v>
      </c>
      <c r="L3851" s="38" t="n">
        <f aca="false">Sens!$L$3753</f>
        <v>400.12723004772</v>
      </c>
      <c r="M3851" s="38" t="n">
        <f aca="false">Sens!$M$3753</f>
        <v>420.133591550106</v>
      </c>
      <c r="N3851" s="38" t="n">
        <f aca="false">Sens!$N$3753</f>
        <v>118.892</v>
      </c>
      <c r="O3851" s="38" t="n">
        <f aca="false">Sens!$O$3753</f>
        <v>150.395</v>
      </c>
    </row>
    <row r="3852" customFormat="false" ht="15" hidden="false" customHeight="false" outlineLevel="0" collapsed="false">
      <c r="A3852" s="0" t="s">
        <v>527</v>
      </c>
      <c r="B3852" s="0" t="s">
        <v>86</v>
      </c>
      <c r="C3852" s="38" t="n">
        <f aca="false">Sens!$C$3755</f>
        <v>21.215</v>
      </c>
      <c r="D3852" s="38" t="n">
        <f aca="false">Sens!$D$3755</f>
        <v>22.561</v>
      </c>
      <c r="E3852" s="38" t="n">
        <f aca="false">Sens!$E$3755</f>
        <v>11.579</v>
      </c>
      <c r="F3852" s="38" t="n">
        <f aca="false">Sens!$F$3755</f>
        <v>11.5938724610325</v>
      </c>
      <c r="G3852" s="38" t="n">
        <f aca="false">Sens!$G$3755</f>
        <v>23.1728724610325</v>
      </c>
      <c r="H3852" s="38" t="n">
        <f aca="false">Sens!$H$3755</f>
        <v>24.353392759506</v>
      </c>
      <c r="I3852" s="38" t="n">
        <f aca="false">Sens!$I$3755</f>
        <v>25.4240338872015</v>
      </c>
      <c r="J3852" s="38" t="n">
        <f aca="false">Sens!$J$3755</f>
        <v>26.3642491017174</v>
      </c>
      <c r="K3852" s="38" t="n">
        <f aca="false">Sens!$K$3755</f>
        <v>27.155176574769</v>
      </c>
      <c r="L3852" s="38" t="n">
        <f aca="false">Sens!$L$3755</f>
        <v>27.969831872012</v>
      </c>
      <c r="M3852" s="38" t="n">
        <f aca="false">Sens!$M$3755</f>
        <v>28.8089268281724</v>
      </c>
      <c r="N3852" s="38" t="n">
        <f aca="false">Sens!$N$3755</f>
        <v>11.128</v>
      </c>
      <c r="O3852" s="38" t="n">
        <f aca="false">Sens!$O$3755</f>
        <v>11.433</v>
      </c>
    </row>
    <row r="3853" customFormat="false" ht="15" hidden="false" customHeight="false" outlineLevel="0" collapsed="false">
      <c r="A3853" s="0" t="s">
        <v>528</v>
      </c>
      <c r="B3853" s="0" t="s">
        <v>86</v>
      </c>
      <c r="C3853" s="38" t="n">
        <f aca="false">Sens!$C$3757</f>
        <v>156.146</v>
      </c>
      <c r="D3853" s="38" t="n">
        <f aca="false">Sens!$D$3757</f>
        <v>172.162</v>
      </c>
      <c r="E3853" s="38" t="n">
        <f aca="false">Sens!$E$3757</f>
        <v>88.358</v>
      </c>
      <c r="F3853" s="38" t="n">
        <f aca="false">Sens!$F$3757</f>
        <v>102.004388260171</v>
      </c>
      <c r="G3853" s="38" t="n">
        <f aca="false">Sens!$G$3757</f>
        <v>190.362388260171</v>
      </c>
      <c r="H3853" s="38" t="n">
        <f aca="false">Sens!$H$3757</f>
        <v>210.343106588311</v>
      </c>
      <c r="I3853" s="38" t="n">
        <f aca="false">Sens!$I$3757</f>
        <v>229.969728494648</v>
      </c>
      <c r="J3853" s="38" t="n">
        <f aca="false">Sens!$J$3757</f>
        <v>248.747636972598</v>
      </c>
      <c r="K3853" s="38" t="n">
        <f aca="false">Sens!$K$3757</f>
        <v>266.15997156068</v>
      </c>
      <c r="L3853" s="38" t="n">
        <f aca="false">Sens!$L$3757</f>
        <v>284.791169569927</v>
      </c>
      <c r="M3853" s="38" t="n">
        <f aca="false">Sens!$M$3757</f>
        <v>304.726551439822</v>
      </c>
      <c r="N3853" s="38" t="n">
        <f aca="false">Sens!$N$3757</f>
        <v>76.86</v>
      </c>
      <c r="O3853" s="38" t="n">
        <f aca="false">Sens!$O$3757</f>
        <v>95.302</v>
      </c>
    </row>
    <row r="3854" customFormat="false" ht="15" hidden="false" customHeight="false" outlineLevel="0" collapsed="false">
      <c r="A3854" s="0" t="s">
        <v>529</v>
      </c>
      <c r="B3854" s="0" t="s">
        <v>86</v>
      </c>
      <c r="C3854" s="38" t="n">
        <f aca="false">Sens!$C$3759</f>
        <v>56.214</v>
      </c>
      <c r="D3854" s="38" t="n">
        <f aca="false">Sens!$D$3759</f>
        <v>68.635</v>
      </c>
      <c r="E3854" s="38" t="n">
        <f aca="false">Sens!$E$3759</f>
        <v>37.052</v>
      </c>
      <c r="F3854" s="38" t="n">
        <f aca="false">Sens!$F$3759</f>
        <v>46.1572219944148</v>
      </c>
      <c r="G3854" s="38" t="n">
        <f aca="false">Sens!$G$3759</f>
        <v>83.2092219944148</v>
      </c>
      <c r="H3854" s="38" t="n">
        <f aca="false">Sens!$H$3759</f>
        <v>99.8969223878976</v>
      </c>
      <c r="I3854" s="38" t="n">
        <f aca="false">Sens!$I$3759</f>
        <v>116.583111095496</v>
      </c>
      <c r="J3854" s="38" t="n">
        <f aca="false">Sens!$J$3759</f>
        <v>132.148941941952</v>
      </c>
      <c r="K3854" s="38" t="n">
        <f aca="false">Sens!$K$3759</f>
        <v>145.363836136147</v>
      </c>
      <c r="L3854" s="38" t="n">
        <f aca="false">Sens!$L$3759</f>
        <v>159.900219749762</v>
      </c>
      <c r="M3854" s="38" t="n">
        <f aca="false">Sens!$M$3759</f>
        <v>175.890241724738</v>
      </c>
      <c r="N3854" s="38" t="n">
        <f aca="false">Sens!$N$3759</f>
        <v>29.615</v>
      </c>
      <c r="O3854" s="38" t="n">
        <f aca="false">Sens!$O$3759</f>
        <v>39.02</v>
      </c>
    </row>
    <row r="3855" customFormat="false" ht="15" hidden="false" customHeight="false" outlineLevel="0" collapsed="false">
      <c r="A3855" s="0" t="s">
        <v>530</v>
      </c>
      <c r="B3855" s="0" t="s">
        <v>86</v>
      </c>
      <c r="C3855" s="38" t="n">
        <f aca="false">Sens!$C$3761</f>
        <v>44.374</v>
      </c>
      <c r="D3855" s="38" t="n">
        <f aca="false">Sens!$D$3761</f>
        <v>49.619</v>
      </c>
      <c r="E3855" s="38" t="n">
        <f aca="false">Sens!$E$3761</f>
        <v>27.157</v>
      </c>
      <c r="F3855" s="38" t="n">
        <f aca="false">Sens!$F$3761</f>
        <v>27.7764165988154</v>
      </c>
      <c r="G3855" s="38" t="n">
        <f aca="false">Sens!$G$3761</f>
        <v>54.9334165988154</v>
      </c>
      <c r="H3855" s="38" t="n">
        <f aca="false">Sens!$H$3761</f>
        <v>61.1564112561829</v>
      </c>
      <c r="I3855" s="38" t="n">
        <f aca="false">Sens!$I$3761</f>
        <v>67.2020282103945</v>
      </c>
      <c r="J3855" s="38" t="n">
        <f aca="false">Sens!$J$3761</f>
        <v>72.8757274028885</v>
      </c>
      <c r="K3855" s="38" t="n">
        <f aca="false">Sens!$K$3761</f>
        <v>77.9770283210907</v>
      </c>
      <c r="L3855" s="38" t="n">
        <f aca="false">Sens!$L$3761</f>
        <v>83.4354203035671</v>
      </c>
      <c r="M3855" s="38" t="n">
        <f aca="false">Sens!$M$3761</f>
        <v>89.2758997248168</v>
      </c>
      <c r="N3855" s="38" t="n">
        <f aca="false">Sens!$N$3761</f>
        <v>23.923</v>
      </c>
      <c r="O3855" s="38" t="n">
        <f aca="false">Sens!$O$3761</f>
        <v>25.696</v>
      </c>
    </row>
    <row r="3856" customFormat="false" ht="15" hidden="false" customHeight="false" outlineLevel="0" collapsed="false">
      <c r="A3856" s="0" t="s">
        <v>531</v>
      </c>
      <c r="B3856" s="0" t="s">
        <v>86</v>
      </c>
      <c r="C3856" s="38" t="n">
        <f aca="false">Sens!$C$3763</f>
        <v>5.425</v>
      </c>
      <c r="D3856" s="38" t="n">
        <f aca="false">Sens!$D$3763</f>
        <v>5.935</v>
      </c>
      <c r="E3856" s="38" t="n">
        <f aca="false">Sens!$E$3763</f>
        <v>3.474</v>
      </c>
      <c r="F3856" s="38" t="n">
        <f aca="false">Sens!$F$3763</f>
        <v>3.22246550883619</v>
      </c>
      <c r="G3856" s="38" t="n">
        <f aca="false">Sens!$G$3763</f>
        <v>6.69646550883619</v>
      </c>
      <c r="H3856" s="38" t="n">
        <f aca="false">Sens!$H$3763</f>
        <v>7.16251344209196</v>
      </c>
      <c r="I3856" s="38" t="n">
        <f aca="false">Sens!$I$3763</f>
        <v>7.61421070299826</v>
      </c>
      <c r="J3856" s="38" t="n">
        <f aca="false">Sens!$J$3763</f>
        <v>8.04465753523932</v>
      </c>
      <c r="K3856" s="38" t="n">
        <f aca="false">Sens!$K$3763</f>
        <v>8.44689041200128</v>
      </c>
      <c r="L3856" s="38" t="n">
        <f aca="false">Sens!$L$3763</f>
        <v>8.86923493260135</v>
      </c>
      <c r="M3856" s="38" t="n">
        <f aca="false">Sens!$M$3763</f>
        <v>9.31269667923142</v>
      </c>
      <c r="N3856" s="38" t="n">
        <f aca="false">Sens!$N$3763</f>
        <v>2.811</v>
      </c>
      <c r="O3856" s="38" t="n">
        <f aca="false">Sens!$O$3763</f>
        <v>3.124</v>
      </c>
    </row>
    <row r="3857" customFormat="false" ht="17.15" hidden="false" customHeight="false" outlineLevel="0" collapsed="false">
      <c r="A3857" s="0" t="s">
        <v>728</v>
      </c>
      <c r="B3857" s="0" t="s">
        <v>86</v>
      </c>
      <c r="C3857" s="38" t="n">
        <f aca="false">Sens!$C$3838</f>
        <v>107.556</v>
      </c>
      <c r="D3857" s="38" t="n">
        <f aca="false">Sens!$D$3838</f>
        <v>128.725</v>
      </c>
      <c r="E3857" s="38" t="n">
        <f aca="false">Sens!$E$3838</f>
        <v>79.819</v>
      </c>
      <c r="F3857" s="38" t="n">
        <f aca="false">Sens!$F$3838</f>
        <v>86.7327334389669</v>
      </c>
      <c r="G3857" s="38" t="n">
        <f aca="false">Sens!$G$3838</f>
        <v>166.551733438967</v>
      </c>
      <c r="H3857" s="38" t="n">
        <f aca="false">Sens!$H$3838</f>
        <v>221.182967828978</v>
      </c>
      <c r="I3857" s="38" t="n">
        <f aca="false">Sens!$I$3838</f>
        <v>280.27345865789</v>
      </c>
      <c r="J3857" s="38" t="n">
        <f aca="false">Sens!$J$3838</f>
        <v>338.800945197185</v>
      </c>
      <c r="K3857" s="38" t="n">
        <f aca="false">Sens!$K$3838</f>
        <v>389.88570147276</v>
      </c>
      <c r="L3857" s="38" t="n">
        <f aca="false">Sens!$L$3838</f>
        <v>430.080689379143</v>
      </c>
      <c r="M3857" s="38" t="n">
        <f aca="false">Sens!$M$3838</f>
        <v>459.456235951751</v>
      </c>
      <c r="N3857" s="38" t="n">
        <f aca="false">Sens!$N$3838</f>
        <v>60.14</v>
      </c>
      <c r="O3857" s="38" t="n">
        <f aca="false">Sens!$O$3838</f>
        <v>68.585</v>
      </c>
    </row>
    <row r="3858" customFormat="false" ht="15" hidden="false" customHeight="false" outlineLevel="0" collapsed="false">
      <c r="A3858" s="1" t="s">
        <v>519</v>
      </c>
      <c r="B3858" s="8" t="s">
        <v>86</v>
      </c>
      <c r="C3858" s="38" t="n">
        <f aca="false">Sens!$C$3768</f>
        <v>387.497</v>
      </c>
      <c r="D3858" s="38" t="n">
        <f aca="false">Sens!$D$3768</f>
        <v>426.305</v>
      </c>
      <c r="E3858" s="38" t="n">
        <f aca="false">Sens!$E$3768</f>
        <v>220.32</v>
      </c>
      <c r="F3858" s="38" t="n">
        <f aca="false">Sens!$F$3768</f>
        <v>250.639773480586</v>
      </c>
      <c r="G3858" s="38" t="n">
        <f aca="false">Sens!$G$3768</f>
        <v>470.959773480586</v>
      </c>
      <c r="H3858" s="38" t="n">
        <f aca="false">Sens!$H$3768</f>
        <v>521.386990416437</v>
      </c>
      <c r="I3858" s="38" t="n">
        <f aca="false">Sens!$I$3768</f>
        <v>570.143862887555</v>
      </c>
      <c r="J3858" s="38" t="n">
        <f aca="false">Sens!$J$3768</f>
        <v>615.391435791933</v>
      </c>
      <c r="K3858" s="38" t="n">
        <f aca="false">Sens!$K$3768</f>
        <v>655.208227561543</v>
      </c>
      <c r="L3858" s="38" t="n">
        <f aca="false">Sens!$L$3768</f>
        <v>697.807739249767</v>
      </c>
      <c r="M3858" s="38" t="n">
        <f aca="false">Sens!$M$3768</f>
        <v>743.399328463592</v>
      </c>
      <c r="N3858" s="38" t="n">
        <f aca="false">Sens!$N$3768</f>
        <v>192.955</v>
      </c>
      <c r="O3858" s="38" t="n">
        <f aca="false">Sens!$O$3768</f>
        <v>233.35</v>
      </c>
    </row>
    <row r="3859" customFormat="false" ht="15" hidden="false" customHeight="false" outlineLevel="0" collapsed="false">
      <c r="A3859" s="1" t="s">
        <v>522</v>
      </c>
      <c r="B3859" s="8" t="s">
        <v>86</v>
      </c>
      <c r="C3859" s="38" t="n">
        <f aca="false">Sens!$C$3769</f>
        <v>142.906</v>
      </c>
      <c r="D3859" s="38" t="n">
        <f aca="false">Sens!$D$3769</f>
        <v>161.894</v>
      </c>
      <c r="E3859" s="38" t="n">
        <f aca="false">Sens!$E$3769</f>
        <v>81.986</v>
      </c>
      <c r="F3859" s="38" t="n">
        <f aca="false">Sens!$F$3769</f>
        <v>98.408468164951</v>
      </c>
      <c r="G3859" s="38" t="n">
        <f aca="false">Sens!$G$3769</f>
        <v>180.394468164951</v>
      </c>
      <c r="H3859" s="38" t="n">
        <f aca="false">Sens!$H$3769</f>
        <v>199.709899104949</v>
      </c>
      <c r="I3859" s="38" t="n">
        <f aca="false">Sens!$I$3769</f>
        <v>218.385528264976</v>
      </c>
      <c r="J3859" s="38" t="n">
        <f aca="false">Sens!$J$3769</f>
        <v>235.71696994951</v>
      </c>
      <c r="K3859" s="38" t="n">
        <f aca="false">Sens!$K$3769</f>
        <v>250.968227869545</v>
      </c>
      <c r="L3859" s="38" t="n">
        <f aca="false">Sens!$L$3769</f>
        <v>267.285367225822</v>
      </c>
      <c r="M3859" s="38" t="n">
        <f aca="false">Sens!$M$3769</f>
        <v>284.748579483295</v>
      </c>
      <c r="N3859" s="38" t="n">
        <f aca="false">Sens!$N$3769</f>
        <v>70.274</v>
      </c>
      <c r="O3859" s="38" t="n">
        <f aca="false">Sens!$O$3769</f>
        <v>91.62</v>
      </c>
    </row>
    <row r="3860" customFormat="false" ht="15" hidden="false" customHeight="false" outlineLevel="0" collapsed="false">
      <c r="A3860" s="1" t="s">
        <v>523</v>
      </c>
      <c r="B3860" s="8" t="s">
        <v>86</v>
      </c>
      <c r="C3860" s="38" t="n">
        <f aca="false">Sens!$C$3838</f>
        <v>107.556</v>
      </c>
      <c r="D3860" s="38" t="n">
        <f aca="false">Sens!$D$3838</f>
        <v>128.725</v>
      </c>
      <c r="E3860" s="38" t="n">
        <f aca="false">Sens!$E$3838</f>
        <v>79.819</v>
      </c>
      <c r="F3860" s="38" t="n">
        <f aca="false">Sens!$F$3838</f>
        <v>86.7327334389669</v>
      </c>
      <c r="G3860" s="38" t="n">
        <f aca="false">Sens!$G$3838</f>
        <v>166.551733438967</v>
      </c>
      <c r="H3860" s="38" t="n">
        <f aca="false">Sens!$H$3838</f>
        <v>221.182967828978</v>
      </c>
      <c r="I3860" s="38" t="n">
        <f aca="false">Sens!$I$3838</f>
        <v>280.27345865789</v>
      </c>
      <c r="J3860" s="38" t="n">
        <f aca="false">Sens!$J$3838</f>
        <v>338.800945197185</v>
      </c>
      <c r="K3860" s="38" t="n">
        <f aca="false">Sens!$K$3838</f>
        <v>389.88570147276</v>
      </c>
      <c r="L3860" s="38" t="n">
        <f aca="false">Sens!$L$3838</f>
        <v>430.080689379143</v>
      </c>
      <c r="M3860" s="38" t="n">
        <f aca="false">Sens!$M$3838</f>
        <v>459.456235951751</v>
      </c>
      <c r="N3860" s="38" t="n">
        <f aca="false">Sens!$N$3838</f>
        <v>60.14</v>
      </c>
      <c r="O3860" s="38" t="n">
        <f aca="false">Sens!$O$3838</f>
        <v>68.585</v>
      </c>
    </row>
    <row r="3861" customFormat="false" ht="17.15" hidden="false" customHeight="false" outlineLevel="0" collapsed="false">
      <c r="A3861" s="0" t="s">
        <v>702</v>
      </c>
      <c r="B3861" s="0" t="s">
        <v>86</v>
      </c>
      <c r="C3861" s="38" t="n">
        <f aca="false">Sens!$C$3836</f>
        <v>2.32100535697364</v>
      </c>
      <c r="D3861" s="38" t="n">
        <f aca="false">Sens!$D$3836</f>
        <v>8.70377008865116</v>
      </c>
      <c r="E3861" s="38" t="n">
        <f aca="false">Sens!$E$3836</f>
        <v>8.51035297557002</v>
      </c>
      <c r="F3861" s="38" t="n">
        <f aca="false">Sens!$F$3836</f>
        <v>14.9634336447205</v>
      </c>
      <c r="G3861" s="38" t="n">
        <f aca="false">Sens!$G$3836</f>
        <v>23.4737866202905</v>
      </c>
      <c r="H3861" s="38" t="n">
        <f aca="false">Sens!$H$3836</f>
        <v>60.1658907497746</v>
      </c>
      <c r="I3861" s="38" t="n">
        <f aca="false">Sens!$I$3836</f>
        <v>101.503699136432</v>
      </c>
      <c r="J3861" s="38" t="n">
        <f aca="false">Sens!$J$3836</f>
        <v>143.025407151278</v>
      </c>
      <c r="K3861" s="38" t="n">
        <f aca="false">Sens!$K$3836</f>
        <v>178.44812038318</v>
      </c>
      <c r="L3861" s="38" t="n">
        <f aca="false">Sens!$L$3836</f>
        <v>201.728101802396</v>
      </c>
      <c r="M3861" s="38" t="n">
        <f aca="false">Sens!$M$3836</f>
        <v>212.835441368865</v>
      </c>
      <c r="N3861" s="38" t="n">
        <f aca="false">Sens!$N$3836</f>
        <v>3.04631953102791</v>
      </c>
      <c r="O3861" s="38" t="n">
        <f aca="false">Sens!$O$3836</f>
        <v>5.65745055762326</v>
      </c>
    </row>
    <row r="3862" customFormat="false" ht="17.15" hidden="false" customHeight="false" outlineLevel="0" collapsed="false">
      <c r="A3862" s="0" t="s">
        <v>704</v>
      </c>
      <c r="B3862" s="0" t="s">
        <v>86</v>
      </c>
      <c r="C3862" s="38" t="n">
        <f aca="false">Sens!$C$3837</f>
        <v>105.234994643026</v>
      </c>
      <c r="D3862" s="38" t="n">
        <f aca="false">Sens!$D$3837</f>
        <v>120.021229911349</v>
      </c>
      <c r="E3862" s="38" t="n">
        <f aca="false">Sens!$E$3837</f>
        <v>71.30864702443</v>
      </c>
      <c r="F3862" s="38" t="n">
        <f aca="false">Sens!$F$3837</f>
        <v>71.7692997942464</v>
      </c>
      <c r="G3862" s="38" t="n">
        <f aca="false">Sens!$G$3837</f>
        <v>143.077946818676</v>
      </c>
      <c r="H3862" s="38" t="n">
        <f aca="false">Sens!$H$3837</f>
        <v>161.017077079203</v>
      </c>
      <c r="I3862" s="38" t="n">
        <f aca="false">Sens!$I$3837</f>
        <v>178.769759521457</v>
      </c>
      <c r="J3862" s="38" t="n">
        <f aca="false">Sens!$J$3837</f>
        <v>195.775538045907</v>
      </c>
      <c r="K3862" s="38" t="n">
        <f aca="false">Sens!$K$3837</f>
        <v>211.43758108958</v>
      </c>
      <c r="L3862" s="38" t="n">
        <f aca="false">Sens!$L$3837</f>
        <v>228.352587576746</v>
      </c>
      <c r="M3862" s="38" t="n">
        <f aca="false">Sens!$M$3837</f>
        <v>246.620794582886</v>
      </c>
      <c r="N3862" s="38" t="n">
        <f aca="false">Sens!$N$3837</f>
        <v>57.0936804689721</v>
      </c>
      <c r="O3862" s="38" t="n">
        <f aca="false">Sens!$O$3837</f>
        <v>62.9275494423768</v>
      </c>
    </row>
    <row r="3863" customFormat="false" ht="15" hidden="false" customHeight="false" outlineLevel="0" collapsed="false">
      <c r="A3863" s="3" t="s">
        <v>524</v>
      </c>
      <c r="B3863" s="8" t="s">
        <v>86</v>
      </c>
      <c r="C3863" s="38" t="n">
        <f aca="false">Sens!$C$3839</f>
        <v>637.959</v>
      </c>
      <c r="D3863" s="38" t="n">
        <f aca="false">Sens!$D$3839</f>
        <v>716.924</v>
      </c>
      <c r="E3863" s="38" t="n">
        <f aca="false">Sens!$E$3839</f>
        <v>382.125</v>
      </c>
      <c r="F3863" s="38" t="n">
        <f aca="false">Sens!$F$3839</f>
        <v>435.780975084504</v>
      </c>
      <c r="G3863" s="38" t="n">
        <f aca="false">Sens!$G$3839</f>
        <v>817.905975084504</v>
      </c>
      <c r="H3863" s="38" t="n">
        <f aca="false">Sens!$H$3839</f>
        <v>942.279857350364</v>
      </c>
      <c r="I3863" s="38" t="n">
        <f aca="false">Sens!$I$3839</f>
        <v>1068.80284981042</v>
      </c>
      <c r="J3863" s="38" t="n">
        <f aca="false">Sens!$J$3839</f>
        <v>1189.90935093863</v>
      </c>
      <c r="K3863" s="38" t="n">
        <f aca="false">Sens!$K$3839</f>
        <v>1296.06215690385</v>
      </c>
      <c r="L3863" s="38" t="n">
        <f aca="false">Sens!$L$3839</f>
        <v>1395.17379585473</v>
      </c>
      <c r="M3863" s="38" t="n">
        <f aca="false">Sens!$M$3839</f>
        <v>1487.60414389864</v>
      </c>
      <c r="N3863" s="38" t="n">
        <f aca="false">Sens!$N$3839</f>
        <v>323.369</v>
      </c>
      <c r="O3863" s="38" t="n">
        <f aca="false">Sens!$O$3839</f>
        <v>393.555</v>
      </c>
    </row>
    <row r="3864" customFormat="false" ht="17.15" hidden="false" customHeight="false" outlineLevel="0" collapsed="false">
      <c r="A3864" s="24" t="s">
        <v>714</v>
      </c>
      <c r="B3864" s="25" t="s">
        <v>86</v>
      </c>
      <c r="C3864" s="41" t="n">
        <f aca="false">Sens!$C$3851+Sens!$C$3852+Sens!$C$3853+Sens!$C$3854+Sens!$C$3855+Sens!$C$3856-(Sens!$C$3858+Sens!$C$3859)</f>
        <v>0</v>
      </c>
      <c r="D3864" s="41" t="n">
        <f aca="false">Sens!$D$3851+Sens!$D$3852+Sens!$D$3853+Sens!$D$3854+Sens!$D$3855+Sens!$D$3856-(Sens!$D$3858+Sens!$D$3859)</f>
        <v>0</v>
      </c>
      <c r="E3864" s="41" t="n">
        <f aca="false">Sens!$E$3851+Sens!$E$3852+Sens!$E$3853+Sens!$E$3854+Sens!$E$3855+Sens!$E$3856-(Sens!$E$3858+Sens!$E$3859)</f>
        <v>0</v>
      </c>
      <c r="F3864" s="41" t="n">
        <f aca="false">Sens!$F$3851+Sens!$F$3852+Sens!$F$3853+Sens!$F$3854+Sens!$F$3855+Sens!$F$3856-(Sens!$F$3858+Sens!$F$3859)</f>
        <v>0</v>
      </c>
      <c r="G3864" s="41" t="n">
        <f aca="false">Sens!$G$3851+Sens!$G$3852+Sens!$G$3853+Sens!$G$3854+Sens!$G$3855+Sens!$G$3856-(Sens!$G$3858+Sens!$G$3859)</f>
        <v>0</v>
      </c>
      <c r="H3864" s="41" t="n">
        <f aca="false">Sens!$H$3851+Sens!$H$3852+Sens!$H$3853+Sens!$H$3854+Sens!$H$3855+Sens!$H$3856-(Sens!$H$3858+Sens!$H$3859)</f>
        <v>0</v>
      </c>
      <c r="I3864" s="41" t="n">
        <f aca="false">Sens!$I$3851+Sens!$I$3852+Sens!$I$3853+Sens!$I$3854+Sens!$I$3855+Sens!$I$3856-(Sens!$I$3858+Sens!$I$3859)</f>
        <v>0</v>
      </c>
      <c r="J3864" s="41" t="n">
        <f aca="false">Sens!$J$3851+Sens!$J$3852+Sens!$J$3853+Sens!$J$3854+Sens!$J$3855+Sens!$J$3856-(Sens!$J$3858+Sens!$J$3859)</f>
        <v>0</v>
      </c>
      <c r="K3864" s="41" t="n">
        <f aca="false">Sens!$K$3851+Sens!$K$3852+Sens!$K$3853+Sens!$K$3854+Sens!$K$3855+Sens!$K$3856-(Sens!$K$3858+Sens!$K$3859)</f>
        <v>0</v>
      </c>
      <c r="L3864" s="41" t="n">
        <f aca="false">Sens!$L$3851+Sens!$L$3852+Sens!$L$3853+Sens!$L$3854+Sens!$L$3855+Sens!$L$3856-(Sens!$L$3858+Sens!$L$3859)</f>
        <v>0</v>
      </c>
      <c r="M3864" s="41" t="n">
        <f aca="false">Sens!$M$3851+Sens!$M$3852+Sens!$M$3853+Sens!$M$3854+Sens!$M$3855+Sens!$M$3856-(Sens!$M$3858+Sens!$M$3859)</f>
        <v>0</v>
      </c>
      <c r="N3864" s="41" t="n">
        <f aca="false">Sens!$N$3851+Sens!$N$3852+Sens!$N$3853+Sens!$N$3854+Sens!$N$3855+Sens!$N$3856-(Sens!$N$3858+Sens!$N$3859)</f>
        <v>0</v>
      </c>
      <c r="O3864" s="41" t="n">
        <f aca="false">Sens!$O$3851+Sens!$O$3852+Sens!$O$3853+Sens!$O$3854+Sens!$O$3855+Sens!$O$3856-(Sens!$O$3858+Sens!$O$3859)</f>
        <v>0</v>
      </c>
    </row>
    <row r="3865" customFormat="false" ht="17.15" hidden="false" customHeight="false" outlineLevel="0" collapsed="false">
      <c r="A3865" s="24" t="s">
        <v>715</v>
      </c>
      <c r="B3865" s="25" t="s">
        <v>86</v>
      </c>
      <c r="C3865" s="41" t="n">
        <f aca="false">Sens!$C$3861+Sens!$C$3862-Sens!$C$3860</f>
        <v>0</v>
      </c>
      <c r="D3865" s="41" t="n">
        <f aca="false">Sens!$D$3861+Sens!$D$3862-Sens!$D$3860</f>
        <v>0</v>
      </c>
      <c r="E3865" s="41" t="n">
        <f aca="false">Sens!$E$3861+Sens!$E$3862-Sens!$E$3860</f>
        <v>0</v>
      </c>
      <c r="F3865" s="41" t="n">
        <f aca="false">Sens!$F$3861+Sens!$F$3862-Sens!$F$3860</f>
        <v>0</v>
      </c>
      <c r="G3865" s="41" t="n">
        <f aca="false">Sens!$G$3861+Sens!$G$3862-Sens!$G$3860</f>
        <v>0</v>
      </c>
      <c r="H3865" s="41" t="n">
        <f aca="false">Sens!$H$3861+Sens!$H$3862-Sens!$H$3860</f>
        <v>0</v>
      </c>
      <c r="I3865" s="41" t="n">
        <f aca="false">Sens!$I$3861+Sens!$I$3862-Sens!$I$3860</f>
        <v>0</v>
      </c>
      <c r="J3865" s="41" t="n">
        <f aca="false">Sens!$J$3861+Sens!$J$3862-Sens!$J$3860</f>
        <v>0</v>
      </c>
      <c r="K3865" s="41" t="n">
        <f aca="false">Sens!$K$3861+Sens!$K$3862-Sens!$K$3860</f>
        <v>0</v>
      </c>
      <c r="L3865" s="41" t="n">
        <f aca="false">Sens!$L$3861+Sens!$L$3862-Sens!$L$3860</f>
        <v>0</v>
      </c>
      <c r="M3865" s="41" t="n">
        <f aca="false">Sens!$M$3861+Sens!$M$3862-Sens!$M$3860</f>
        <v>0</v>
      </c>
      <c r="N3865" s="41" t="n">
        <f aca="false">Sens!$N$3861+Sens!$N$3862-Sens!$N$3860</f>
        <v>0</v>
      </c>
      <c r="O3865" s="41" t="n">
        <f aca="false">Sens!$O$3861+Sens!$O$3862-Sens!$O$3860</f>
        <v>0</v>
      </c>
    </row>
    <row r="3866" customFormat="false" ht="17.15" hidden="false" customHeight="false" outlineLevel="0" collapsed="false">
      <c r="A3866" s="24" t="s">
        <v>774</v>
      </c>
      <c r="B3866" s="25" t="s">
        <v>86</v>
      </c>
      <c r="C3866" s="41" t="n">
        <f aca="false">Sens!$C$3851+Sens!$C$3852+Sens!$C$3853+Sens!$C$3854+Sens!$C$3855+Sens!$C$3856+Sens!$C$3857-Sens!$C$3863</f>
        <v>0</v>
      </c>
      <c r="D3866" s="41" t="n">
        <f aca="false">Sens!$D$3851+Sens!$D$3852+Sens!$D$3853+Sens!$D$3854+Sens!$D$3855+Sens!$D$3856+Sens!$D$3857-Sens!$D$3863</f>
        <v>0</v>
      </c>
      <c r="E3866" s="41" t="n">
        <f aca="false">Sens!$E$3851+Sens!$E$3852+Sens!$E$3853+Sens!$E$3854+Sens!$E$3855+Sens!$E$3856+Sens!$E$3857-Sens!$E$3863</f>
        <v>0</v>
      </c>
      <c r="F3866" s="41" t="n">
        <f aca="false">Sens!$F$3851+Sens!$F$3852+Sens!$F$3853+Sens!$F$3854+Sens!$F$3855+Sens!$F$3856+Sens!$F$3857-Sens!$F$3863</f>
        <v>0</v>
      </c>
      <c r="G3866" s="41" t="n">
        <f aca="false">Sens!$G$3851+Sens!$G$3852+Sens!$G$3853+Sens!$G$3854+Sens!$G$3855+Sens!$G$3856+Sens!$G$3857-Sens!$G$3863</f>
        <v>0</v>
      </c>
      <c r="H3866" s="41" t="n">
        <f aca="false">Sens!$H$3851+Sens!$H$3852+Sens!$H$3853+Sens!$H$3854+Sens!$H$3855+Sens!$H$3856+Sens!$H$3857-Sens!$H$3863</f>
        <v>0</v>
      </c>
      <c r="I3866" s="41" t="n">
        <f aca="false">Sens!$I$3851+Sens!$I$3852+Sens!$I$3853+Sens!$I$3854+Sens!$I$3855+Sens!$I$3856+Sens!$I$3857-Sens!$I$3863</f>
        <v>0</v>
      </c>
      <c r="J3866" s="41" t="n">
        <f aca="false">Sens!$J$3851+Sens!$J$3852+Sens!$J$3853+Sens!$J$3854+Sens!$J$3855+Sens!$J$3856+Sens!$J$3857-Sens!$J$3863</f>
        <v>0</v>
      </c>
      <c r="K3866" s="41" t="n">
        <f aca="false">Sens!$K$3851+Sens!$K$3852+Sens!$K$3853+Sens!$K$3854+Sens!$K$3855+Sens!$K$3856+Sens!$K$3857-Sens!$K$3863</f>
        <v>0</v>
      </c>
      <c r="L3866" s="41" t="n">
        <f aca="false">Sens!$L$3851+Sens!$L$3852+Sens!$L$3853+Sens!$L$3854+Sens!$L$3855+Sens!$L$3856+Sens!$L$3857-Sens!$L$3863</f>
        <v>0</v>
      </c>
      <c r="M3866" s="41" t="n">
        <f aca="false">Sens!$M$3851+Sens!$M$3852+Sens!$M$3853+Sens!$M$3854+Sens!$M$3855+Sens!$M$3856+Sens!$M$3857-Sens!$M$3863</f>
        <v>0</v>
      </c>
      <c r="N3866" s="41" t="n">
        <f aca="false">Sens!$N$3851+Sens!$N$3852+Sens!$N$3853+Sens!$N$3854+Sens!$N$3855+Sens!$N$3856+Sens!$N$3857-Sens!$N$3863</f>
        <v>0</v>
      </c>
      <c r="O3866" s="41" t="n">
        <f aca="false">Sens!$O$3851+Sens!$O$3852+Sens!$O$3853+Sens!$O$3854+Sens!$O$3855+Sens!$O$3856+Sens!$O$3857-Sens!$O$3863</f>
        <v>0</v>
      </c>
    </row>
    <row r="3867" customFormat="false" ht="17.15" hidden="false" customHeight="false" outlineLevel="0" collapsed="false">
      <c r="A3867" s="24" t="s">
        <v>716</v>
      </c>
      <c r="B3867" s="25" t="s">
        <v>86</v>
      </c>
      <c r="C3867" s="41" t="n">
        <f aca="false">Sens!$C$3858+Sens!$C$3859+Sens!$C$3860-Sens!$C$3863</f>
        <v>0</v>
      </c>
      <c r="D3867" s="41" t="n">
        <f aca="false">Sens!$D$3858+Sens!$D$3859+Sens!$D$3860-Sens!$D$3863</f>
        <v>0</v>
      </c>
      <c r="E3867" s="41" t="n">
        <f aca="false">Sens!$E$3858+Sens!$E$3859+Sens!$E$3860-Sens!$E$3863</f>
        <v>0</v>
      </c>
      <c r="F3867" s="41" t="n">
        <f aca="false">Sens!$F$3858+Sens!$F$3859+Sens!$F$3860-Sens!$F$3863</f>
        <v>0</v>
      </c>
      <c r="G3867" s="41" t="n">
        <f aca="false">Sens!$G$3858+Sens!$G$3859+Sens!$G$3860-Sens!$G$3863</f>
        <v>0</v>
      </c>
      <c r="H3867" s="41" t="n">
        <f aca="false">Sens!$H$3858+Sens!$H$3859+Sens!$H$3860-Sens!$H$3863</f>
        <v>0</v>
      </c>
      <c r="I3867" s="41" t="n">
        <f aca="false">Sens!$I$3858+Sens!$I$3859+Sens!$I$3860-Sens!$I$3863</f>
        <v>0</v>
      </c>
      <c r="J3867" s="41" t="n">
        <f aca="false">Sens!$J$3858+Sens!$J$3859+Sens!$J$3860-Sens!$J$3863</f>
        <v>0</v>
      </c>
      <c r="K3867" s="41" t="n">
        <f aca="false">Sens!$K$3858+Sens!$K$3859+Sens!$K$3860-Sens!$K$3863</f>
        <v>0</v>
      </c>
      <c r="L3867" s="41" t="n">
        <f aca="false">Sens!$L$3858+Sens!$L$3859+Sens!$L$3860-Sens!$L$3863</f>
        <v>0</v>
      </c>
      <c r="M3867" s="41" t="n">
        <f aca="false">Sens!$M$3858+Sens!$M$3859+Sens!$M$3860-Sens!$M$3863</f>
        <v>0</v>
      </c>
      <c r="N3867" s="41" t="n">
        <f aca="false">Sens!$N$3858+Sens!$N$3859+Sens!$N$3860-Sens!$N$3863</f>
        <v>0</v>
      </c>
      <c r="O3867" s="41" t="n">
        <f aca="false">Sens!$O$3858+Sens!$O$3859+Sens!$O$3860-Sens!$O$3863</f>
        <v>0</v>
      </c>
    </row>
    <row r="3868" customFormat="false" ht="17.15" hidden="false" customHeight="false" outlineLevel="0" collapsed="false">
      <c r="A3868" s="1" t="s">
        <v>730</v>
      </c>
    </row>
    <row r="3869" customFormat="false" ht="17.15" hidden="false" customHeight="false" outlineLevel="0" collapsed="false">
      <c r="A3869" s="0" t="s">
        <v>731</v>
      </c>
      <c r="B3869" s="0" t="s">
        <v>86</v>
      </c>
      <c r="C3869" s="38" t="n">
        <f aca="false">Sens!$C$3770*m_ad_lo</f>
        <v>16.4273251531383</v>
      </c>
      <c r="D3869" s="38" t="n">
        <f aca="false">Sens!$D$3770*m_ad_lo</f>
        <v>19.897649383967</v>
      </c>
      <c r="E3869" s="38" t="n">
        <f aca="false">Sens!$E$3770*m_ad_lo</f>
        <v>10.8013689969766</v>
      </c>
      <c r="F3869" s="38" t="n">
        <f aca="false">Sens!$F$3770*m_ad_lo</f>
        <v>13.2575779332205</v>
      </c>
      <c r="G3869" s="38" t="n">
        <f aca="false">Sens!$G$3770*m_ad_lo</f>
        <v>24.0656735376332</v>
      </c>
      <c r="H3869" s="38" t="n">
        <f aca="false">Sens!$H$3770*m_ad_lo</f>
        <v>28.8920706621051</v>
      </c>
      <c r="I3869" s="38" t="n">
        <f aca="false">Sens!$I$3770*m_ad_lo</f>
        <v>33.7180305785597</v>
      </c>
      <c r="J3869" s="38" t="n">
        <f aca="false">Sens!$J$3770*m_ad_lo</f>
        <v>38.2199619091755</v>
      </c>
      <c r="K3869" s="38" t="n">
        <f aca="false">Sens!$K$3770*m_ad_lo</f>
        <v>42.041958100093</v>
      </c>
      <c r="L3869" s="38" t="n">
        <f aca="false">Sens!$L$3770*m_ad_lo</f>
        <v>46.2461539101023</v>
      </c>
      <c r="M3869" s="38" t="n">
        <f aca="false">Sens!$M$3770*m_ad_lo</f>
        <v>50.8707693011125</v>
      </c>
      <c r="N3869" s="38" t="n">
        <f aca="false">Sens!$N$3770*m_ad_lo</f>
        <v>8.68348445649986</v>
      </c>
      <c r="O3869" s="38" t="n">
        <f aca="false">Sens!$O$3770*m_ad_lo</f>
        <v>11.2075785457119</v>
      </c>
    </row>
    <row r="3870" customFormat="false" ht="17.15" hidden="false" customHeight="false" outlineLevel="0" collapsed="false">
      <c r="A3870" s="0" t="s">
        <v>732</v>
      </c>
      <c r="B3870" s="0" t="s">
        <v>86</v>
      </c>
      <c r="C3870" s="38" t="n">
        <f aca="false">Sens!$C$3768-Sens!$C$3770</f>
        <v>346.428687117154</v>
      </c>
      <c r="D3870" s="38" t="n">
        <f aca="false">Sens!$D$3768-Sens!$D$3770</f>
        <v>376.560876540083</v>
      </c>
      <c r="E3870" s="38" t="n">
        <f aca="false">Sens!$E$3768-Sens!$E$3770</f>
        <v>193.316577507559</v>
      </c>
      <c r="F3870" s="38" t="n">
        <f aca="false">Sens!$F$3768-Sens!$F$3770</f>
        <v>217.495828647535</v>
      </c>
      <c r="G3870" s="38" t="n">
        <f aca="false">Sens!$G$3768-Sens!$G$3770</f>
        <v>410.795589636503</v>
      </c>
      <c r="H3870" s="38" t="n">
        <f aca="false">Sens!$H$3768-Sens!$H$3770</f>
        <v>449.156813761174</v>
      </c>
      <c r="I3870" s="38" t="n">
        <f aca="false">Sens!$I$3768-Sens!$I$3770</f>
        <v>485.848786441156</v>
      </c>
      <c r="J3870" s="38" t="n">
        <f aca="false">Sens!$J$3768-Sens!$J$3770</f>
        <v>519.841531018994</v>
      </c>
      <c r="K3870" s="38" t="n">
        <f aca="false">Sens!$K$3768-Sens!$K$3770</f>
        <v>550.103332311311</v>
      </c>
      <c r="L3870" s="38" t="n">
        <f aca="false">Sens!$L$3768-Sens!$L$3770</f>
        <v>582.192354474511</v>
      </c>
      <c r="M3870" s="38" t="n">
        <f aca="false">Sens!$M$3768-Sens!$M$3770</f>
        <v>616.22240521081</v>
      </c>
      <c r="N3870" s="38" t="n">
        <f aca="false">Sens!$N$3768-Sens!$N$3770</f>
        <v>171.24628885875</v>
      </c>
      <c r="O3870" s="38" t="n">
        <f aca="false">Sens!$O$3768-Sens!$O$3770</f>
        <v>205.33105363572</v>
      </c>
    </row>
    <row r="3871" customFormat="false" ht="17.15" hidden="false" customHeight="false" outlineLevel="0" collapsed="false">
      <c r="A3871" s="0" t="s">
        <v>733</v>
      </c>
      <c r="B3871" s="0" t="s">
        <v>86</v>
      </c>
      <c r="C3871" s="38" t="n">
        <f aca="false">Sens!$C$3822*Sens!$C$3767</f>
        <v>0.123617442257179</v>
      </c>
      <c r="D3871" s="38" t="n">
        <f aca="false">Sens!$D$3822*Sens!$D$3767</f>
        <v>0.600198046024689</v>
      </c>
      <c r="E3871" s="38" t="n">
        <f aca="false">Sens!$E$3822*Sens!$E$3767</f>
        <v>1.10840000750276</v>
      </c>
      <c r="F3871" s="38" t="n">
        <f aca="false">Sens!$F$3822*Sens!$F$3767</f>
        <v>1.33595298721025</v>
      </c>
      <c r="G3871" s="38" t="n">
        <f aca="false">Sens!$G$3822*Sens!$G$3767</f>
        <v>2.44487335052545</v>
      </c>
      <c r="H3871" s="38" t="n">
        <f aca="false">Sens!$H$3822*Sens!$H$3767</f>
        <v>6.63132711939388</v>
      </c>
      <c r="I3871" s="38" t="n">
        <f aca="false">Sens!$I$3822*Sens!$I$3767</f>
        <v>12.7486799258504</v>
      </c>
      <c r="J3871" s="38" t="n">
        <f aca="false">Sens!$J$3822*Sens!$J$3767</f>
        <v>18.4074045299415</v>
      </c>
      <c r="K3871" s="38" t="n">
        <f aca="false">Sens!$K$3822*Sens!$K$3767</f>
        <v>23.9455472348705</v>
      </c>
      <c r="L3871" s="38" t="n">
        <f aca="false">Sens!$L$3822*Sens!$L$3767</f>
        <v>27.78179156216</v>
      </c>
      <c r="M3871" s="38" t="n">
        <f aca="false">Sens!$M$3822*Sens!$M$3767</f>
        <v>29.9029027327362</v>
      </c>
      <c r="N3871" s="38" t="n">
        <f aca="false">Sens!$N$3822*Sens!$N$3767</f>
        <v>0.25053229484398</v>
      </c>
      <c r="O3871" s="38" t="n">
        <f aca="false">Sens!$O$3822*Sens!$O$3767</f>
        <v>0.349234376756897</v>
      </c>
    </row>
    <row r="3872" customFormat="false" ht="17.15" hidden="false" customHeight="false" outlineLevel="0" collapsed="false">
      <c r="A3872" s="0" t="s">
        <v>734</v>
      </c>
      <c r="B3872" s="0" t="s">
        <v>52</v>
      </c>
      <c r="C3872" s="28" t="n">
        <f aca="false">(Sens!$C$3873-Sens!$C$3869+Sens!$C$3871)/Sens!$C$3870</f>
        <v>0.0250074333081693</v>
      </c>
      <c r="D3872" s="28" t="n">
        <f aca="false">(Sens!$D$3873-Sens!$D$3869+Sens!$D$3871)/Sens!$D$3870</f>
        <v>0.0274100399300484</v>
      </c>
      <c r="E3872" s="28" t="n">
        <f aca="false">(Sens!$E$3873-Sens!$E$3869+Sens!$E$3871)/Sens!$E$3870</f>
        <v>0.0398156801127169</v>
      </c>
      <c r="F3872" s="28" t="n">
        <f aca="false">Sens!$O$3872+(Sens!$E$3872-Sens!$N$3872)</f>
        <v>0.0373675810884973</v>
      </c>
      <c r="G3872" s="28" t="n">
        <f aca="false">(Sens!$G$3873-Sens!$G$3869+Sens!$G$3871)/Sens!$G$3870</f>
        <v>0.0385060554965939</v>
      </c>
      <c r="H3872" s="28" t="n">
        <f aca="false">Sens!$G$3872+step_na</f>
        <v>0.0415060554965939</v>
      </c>
      <c r="I3872" s="28" t="n">
        <f aca="false">Sens!$H$3872+step_na</f>
        <v>0.0445060554965939</v>
      </c>
      <c r="J3872" s="28" t="n">
        <f aca="false">Sens!$I$3872+step_na</f>
        <v>0.0475060554965939</v>
      </c>
      <c r="K3872" s="28" t="n">
        <f aca="false">Sens!$J$3872+step_na</f>
        <v>0.0505060554965939</v>
      </c>
      <c r="L3872" s="28" t="n">
        <f aca="false">Sens!$K$3872</f>
        <v>0.0505060554965939</v>
      </c>
      <c r="M3872" s="28" t="n">
        <f aca="false">Sens!$L$3872</f>
        <v>0.0505060554965939</v>
      </c>
      <c r="N3872" s="28" t="n">
        <f aca="false">(Sens!$N$3873-Sens!$N$3869+Sens!$N$3871)/Sens!$N$3870</f>
        <v>0.0287600266911855</v>
      </c>
      <c r="O3872" s="28" t="n">
        <f aca="false">(Sens!$O$3873-Sens!$O$3869+Sens!$O$3871)/Sens!$O$3870</f>
        <v>0.026311927666966</v>
      </c>
      <c r="P3872" s="8" t="s">
        <v>735</v>
      </c>
    </row>
    <row r="3873" customFormat="false" ht="17.15" hidden="false" customHeight="false" outlineLevel="0" collapsed="false">
      <c r="A3873" s="1" t="s">
        <v>736</v>
      </c>
      <c r="B3873" s="8" t="s">
        <v>86</v>
      </c>
      <c r="C3873" s="38" t="n">
        <f aca="false">Q!$D$22</f>
        <v>24.967</v>
      </c>
      <c r="D3873" s="38" t="n">
        <f aca="false">Q!$E$22</f>
        <v>29.619</v>
      </c>
      <c r="E3873" s="38" t="n">
        <f aca="false">Q!$P$22</f>
        <v>17.39</v>
      </c>
      <c r="F3873" s="38" t="n">
        <f aca="false">Sens!$F$3869+Sens!$F$3870*Sens!$F$3872-Sens!$F$3871</f>
        <v>20.048917959407</v>
      </c>
      <c r="G3873" s="38" t="n">
        <f aca="false">Sens!$E$3873+Sens!$F$3873</f>
        <v>37.438917959407</v>
      </c>
      <c r="H3873" s="38" t="n">
        <f aca="false">Sens!$H$3869+Sens!$H$3870*Sens!$H$3872-Sens!$H$3871</f>
        <v>40.9034711813558</v>
      </c>
      <c r="I3873" s="38" t="n">
        <f aca="false">Sens!$I$3869+Sens!$I$3870*Sens!$I$3872-Sens!$I$3871</f>
        <v>42.5925637050122</v>
      </c>
      <c r="J3873" s="38" t="n">
        <f aca="false">Sens!$J$3869+Sens!$J$3870*Sens!$J$3872-Sens!$J$3871</f>
        <v>44.5081780012566</v>
      </c>
      <c r="K3873" s="38" t="n">
        <f aca="false">Sens!$K$3869+Sens!$K$3870*Sens!$K$3872-Sens!$K$3871</f>
        <v>45.8799602957988</v>
      </c>
      <c r="L3873" s="38" t="n">
        <f aca="false">Sens!$L$3869+Sens!$L$3870*Sens!$L$3872-Sens!$L$3871</f>
        <v>47.8686017127246</v>
      </c>
      <c r="M3873" s="38" t="n">
        <f aca="false">Sens!$M$3869+Sens!$M$3870*Sens!$M$3872-Sens!$M$3871</f>
        <v>52.0908295641981</v>
      </c>
      <c r="N3873" s="38" t="n">
        <f aca="false">Q!$N$22</f>
        <v>13.358</v>
      </c>
      <c r="O3873" s="38" t="n">
        <f aca="false">Q!$O$22</f>
        <v>16.261</v>
      </c>
    </row>
    <row r="3874" customFormat="false" ht="17.15" hidden="false" customHeight="false" outlineLevel="0" collapsed="false">
      <c r="A3874" s="0" t="s">
        <v>737</v>
      </c>
      <c r="B3874" s="0" t="s">
        <v>86</v>
      </c>
      <c r="C3874" s="38" t="n">
        <f aca="false">Sens!$C$3771*m_ad_lo</f>
        <v>6.05827484686173</v>
      </c>
      <c r="D3874" s="38" t="n">
        <f aca="false">Sens!$D$3771*m_ad_lo</f>
        <v>7.55635061603301</v>
      </c>
      <c r="E3874" s="38" t="n">
        <f aca="false">Sens!$E$3771*m_ad_lo</f>
        <v>4.01943100302343</v>
      </c>
      <c r="F3874" s="38" t="n">
        <f aca="false">Sens!$F$3771*m_ad_lo</f>
        <v>5.20531086454539</v>
      </c>
      <c r="G3874" s="38" t="n">
        <f aca="false">Sens!$G$3771*m_ad_lo</f>
        <v>9.2180152601327</v>
      </c>
      <c r="H3874" s="38" t="n">
        <f aca="false">Sens!$H$3771*m_ad_lo</f>
        <v>11.0666982930539</v>
      </c>
      <c r="I3874" s="38" t="n">
        <f aca="false">Sens!$I$3771*m_ad_lo</f>
        <v>12.9152138596388</v>
      </c>
      <c r="J3874" s="38" t="n">
        <f aca="false">Sens!$J$3771*m_ad_lo</f>
        <v>14.6396148676053</v>
      </c>
      <c r="K3874" s="38" t="n">
        <f aca="false">Sens!$K$3771*m_ad_lo</f>
        <v>16.1035763543658</v>
      </c>
      <c r="L3874" s="38" t="n">
        <f aca="false">Sens!$L$3771*m_ad_lo</f>
        <v>17.7139339898024</v>
      </c>
      <c r="M3874" s="38" t="n">
        <f aca="false">Sens!$M$3771*m_ad_lo</f>
        <v>19.4853273887826</v>
      </c>
      <c r="N3874" s="38" t="n">
        <f aca="false">Sens!$N$3771*m_ad_lo</f>
        <v>3.16251554350015</v>
      </c>
      <c r="O3874" s="38" t="n">
        <f aca="false">Sens!$O$3771*m_ad_lo</f>
        <v>4.40042145428809</v>
      </c>
    </row>
    <row r="3875" customFormat="false" ht="17.15" hidden="false" customHeight="false" outlineLevel="0" collapsed="false">
      <c r="A3875" s="0" t="s">
        <v>738</v>
      </c>
      <c r="B3875" s="0" t="s">
        <v>86</v>
      </c>
      <c r="C3875" s="38" t="n">
        <f aca="false">Sens!$C$3769-Sens!$C$3771</f>
        <v>127.760312882846</v>
      </c>
      <c r="D3875" s="38" t="n">
        <f aca="false">Sens!$D$3769-Sens!$D$3771</f>
        <v>143.003123459917</v>
      </c>
      <c r="E3875" s="38" t="n">
        <f aca="false">Sens!$E$3769-Sens!$E$3771</f>
        <v>71.9374224924414</v>
      </c>
      <c r="F3875" s="38" t="n">
        <f aca="false">Sens!$F$3769-Sens!$F$3771</f>
        <v>85.3951910035875</v>
      </c>
      <c r="G3875" s="38" t="n">
        <f aca="false">Sens!$G$3769-Sens!$G$3771</f>
        <v>157.349430014619</v>
      </c>
      <c r="H3875" s="38" t="n">
        <f aca="false">Sens!$H$3769-Sens!$H$3771</f>
        <v>172.043153372315</v>
      </c>
      <c r="I3875" s="38" t="n">
        <f aca="false">Sens!$I$3769-Sens!$I$3771</f>
        <v>186.097493615879</v>
      </c>
      <c r="J3875" s="38" t="n">
        <f aca="false">Sens!$J$3769-Sens!$J$3771</f>
        <v>199.117932780497</v>
      </c>
      <c r="K3875" s="38" t="n">
        <f aca="false">Sens!$K$3769-Sens!$K$3771</f>
        <v>210.70928698363</v>
      </c>
      <c r="L3875" s="38" t="n">
        <f aca="false">Sens!$L$3769-Sens!$L$3771</f>
        <v>223.000532251316</v>
      </c>
      <c r="M3875" s="38" t="n">
        <f aca="false">Sens!$M$3769-Sens!$M$3771</f>
        <v>236.035261011339</v>
      </c>
      <c r="N3875" s="38" t="n">
        <f aca="false">Sens!$N$3769-Sens!$N$3771</f>
        <v>62.3677111412496</v>
      </c>
      <c r="O3875" s="38" t="n">
        <f aca="false">Sens!$O$3769-Sens!$O$3771</f>
        <v>80.6189463642798</v>
      </c>
    </row>
    <row r="3876" customFormat="false" ht="17.15" hidden="false" customHeight="false" outlineLevel="0" collapsed="false">
      <c r="A3876" s="0" t="s">
        <v>739</v>
      </c>
      <c r="B3876" s="0" t="s">
        <v>86</v>
      </c>
      <c r="C3876" s="38" t="n">
        <f aca="false">Sens!$C$3822*(1-Sens!$C$3767)</f>
        <v>0.0455891896019953</v>
      </c>
      <c r="D3876" s="38" t="n">
        <f aca="false">Sens!$D$3822*(1-Sens!$D$3767)</f>
        <v>0.227931791705753</v>
      </c>
      <c r="E3876" s="38" t="n">
        <f aca="false">Sens!$E$3822*(1-Sens!$E$3767)</f>
        <v>0.412460434890711</v>
      </c>
      <c r="F3876" s="38" t="n">
        <f aca="false">Sens!$F$3822*(1-Sens!$F$3767)</f>
        <v>0.524534016233997</v>
      </c>
      <c r="G3876" s="38" t="n">
        <f aca="false">Sens!$G$3822*(1-Sens!$G$3767)</f>
        <v>0.936474095312266</v>
      </c>
      <c r="H3876" s="38" t="n">
        <f aca="false">Sens!$H$3822*(1-Sens!$H$3767)</f>
        <v>2.54003589327823</v>
      </c>
      <c r="I3876" s="38" t="n">
        <f aca="false">Sens!$I$3822*(1-Sens!$I$3767)</f>
        <v>4.88320120852905</v>
      </c>
      <c r="J3876" s="38" t="n">
        <f aca="false">Sens!$J$3822*(1-Sens!$J$3767)</f>
        <v>7.05069548920359</v>
      </c>
      <c r="K3876" s="38" t="n">
        <f aca="false">Sens!$K$3822*(1-Sens!$K$3767)</f>
        <v>9.17200258193867</v>
      </c>
      <c r="L3876" s="38" t="n">
        <f aca="false">Sens!$L$3822*(1-Sens!$L$3767)</f>
        <v>10.6414216154535</v>
      </c>
      <c r="M3876" s="38" t="n">
        <f aca="false">Sens!$M$3822*(1-Sens!$M$3767)</f>
        <v>11.4538831951485</v>
      </c>
      <c r="N3876" s="38" t="n">
        <f aca="false">Sens!$N$3822*(1-Sens!$N$3767)</f>
        <v>0.0912435878202994</v>
      </c>
      <c r="O3876" s="38" t="n">
        <f aca="false">Sens!$O$3822*(1-Sens!$O$3767)</f>
        <v>0.137119578309265</v>
      </c>
    </row>
    <row r="3877" customFormat="false" ht="17.15" hidden="false" customHeight="false" outlineLevel="0" collapsed="false">
      <c r="A3877" s="0" t="s">
        <v>740</v>
      </c>
      <c r="B3877" s="0" t="s">
        <v>52</v>
      </c>
      <c r="C3877" s="28" t="n">
        <f aca="false">(Sens!$C$3878-Sens!$C$3874+Sens!$C$3876)/Sens!$C$3875</f>
        <v>-0.0173816548124461</v>
      </c>
      <c r="D3877" s="28" t="n">
        <f aca="false">(Sens!$D$3878-Sens!$D$3874+Sens!$D$3876)/Sens!$D$3875</f>
        <v>-0.0180305070402883</v>
      </c>
      <c r="E3877" s="28" t="n">
        <f aca="false">(Sens!$E$3878-Sens!$E$3874+Sens!$E$3876)/Sens!$E$3875</f>
        <v>-0.00647744319977097</v>
      </c>
      <c r="F3877" s="28" t="n">
        <f aca="false">Sens!$O$3877+(Sens!$E$3877-Sens!$N$3877)</f>
        <v>-0.0226035830074215</v>
      </c>
      <c r="G3877" s="28" t="n">
        <f aca="false">(Sens!$G$3878-Sens!$G$3874+Sens!$G$3876)/Sens!$G$3875</f>
        <v>-0.0151891341746277</v>
      </c>
      <c r="H3877" s="28" t="n">
        <f aca="false">Sens!$G$3877+step_in</f>
        <v>-0.0151891341746277</v>
      </c>
      <c r="I3877" s="28" t="n">
        <f aca="false">Sens!$H$3877+step_in</f>
        <v>-0.0151891341746277</v>
      </c>
      <c r="J3877" s="28" t="n">
        <f aca="false">Sens!$I$3877+step_in</f>
        <v>-0.0151891341746277</v>
      </c>
      <c r="K3877" s="28" t="n">
        <f aca="false">Sens!$J$3877+step_in</f>
        <v>-0.0151891341746277</v>
      </c>
      <c r="L3877" s="28" t="n">
        <f aca="false">Sens!$K$3877</f>
        <v>-0.0151891341746277</v>
      </c>
      <c r="M3877" s="28" t="n">
        <f aca="false">Sens!$L$3877</f>
        <v>-0.0151891341746277</v>
      </c>
      <c r="N3877" s="28" t="n">
        <f aca="false">(Sens!$N$3878-Sens!$N$3874+Sens!$N$3876)/Sens!$N$3875</f>
        <v>-0.00898336567796996</v>
      </c>
      <c r="O3877" s="28" t="n">
        <f aca="false">(Sens!$O$3878-Sens!$O$3874+Sens!$O$3876)/Sens!$O$3875</f>
        <v>-0.0251095054856205</v>
      </c>
      <c r="P3877" s="8" t="s">
        <v>735</v>
      </c>
    </row>
    <row r="3878" customFormat="false" ht="17.15" hidden="false" customHeight="false" outlineLevel="0" collapsed="false">
      <c r="A3878" s="1" t="s">
        <v>741</v>
      </c>
      <c r="B3878" s="8" t="s">
        <v>86</v>
      </c>
      <c r="C3878" s="38" t="n">
        <f aca="false">Q!$D$23</f>
        <v>3.792</v>
      </c>
      <c r="D3878" s="38" t="n">
        <f aca="false">Q!$E$23</f>
        <v>4.75</v>
      </c>
      <c r="E3878" s="38" t="n">
        <f aca="false">Q!$P$23</f>
        <v>3.141</v>
      </c>
      <c r="F3878" s="38" t="n">
        <f aca="false">Sens!$F$3874+Sens!$F$3875*Sens!$F$3877-Sens!$F$3876</f>
        <v>2.75053956002719</v>
      </c>
      <c r="G3878" s="38" t="n">
        <f aca="false">Sens!$E$3878+Sens!$F$3878</f>
        <v>5.89153956002719</v>
      </c>
      <c r="H3878" s="38" t="n">
        <f aca="false">Sens!$H$3874+Sens!$H$3875*Sens!$H$3877-Sens!$H$3876</f>
        <v>5.91347585937751</v>
      </c>
      <c r="I3878" s="38" t="n">
        <f aca="false">Sens!$I$3874+Sens!$I$3875*Sens!$I$3877-Sens!$I$3876</f>
        <v>5.20535285101626</v>
      </c>
      <c r="J3878" s="38" t="n">
        <f aca="false">Sens!$J$3874+Sens!$J$3875*Sens!$J$3877-Sens!$J$3876</f>
        <v>4.5644903808242</v>
      </c>
      <c r="K3878" s="38" t="n">
        <f aca="false">Sens!$K$3874+Sens!$K$3875*Sens!$K$3877-Sens!$K$3876</f>
        <v>3.73108214059263</v>
      </c>
      <c r="L3878" s="38" t="n">
        <f aca="false">Sens!$L$3874+Sens!$L$3875*Sens!$L$3877-Sens!$L$3876</f>
        <v>3.68532736897025</v>
      </c>
      <c r="M3878" s="38" t="n">
        <f aca="false">Sens!$M$3874+Sens!$M$3875*Sens!$M$3877-Sens!$M$3876</f>
        <v>4.44627294418965</v>
      </c>
      <c r="N3878" s="38" t="n">
        <f aca="false">Q!$N$23</f>
        <v>2.511</v>
      </c>
      <c r="O3878" s="38" t="n">
        <f aca="false">Q!$O$23</f>
        <v>2.239</v>
      </c>
    </row>
    <row r="3879" customFormat="false" ht="17.15" hidden="false" customHeight="false" outlineLevel="0" collapsed="false">
      <c r="A3879" s="0" t="s">
        <v>742</v>
      </c>
      <c r="B3879" s="0" t="s">
        <v>86</v>
      </c>
      <c r="C3879" s="38" t="n">
        <f aca="false">Sens!$C$3819</f>
        <v>1.64417882953695</v>
      </c>
      <c r="D3879" s="38" t="n">
        <f aca="false">Sens!$D$3819</f>
        <v>5.39125073772939</v>
      </c>
      <c r="E3879" s="38" t="n">
        <f aca="false">Sens!$E$3819</f>
        <v>2.42691120599613</v>
      </c>
      <c r="F3879" s="38" t="n">
        <f aca="false">Sens!$F$3819</f>
        <v>7.52148563094346</v>
      </c>
      <c r="G3879" s="38" t="n">
        <f aca="false">Sens!$G$3819</f>
        <v>9.94839683693959</v>
      </c>
      <c r="H3879" s="38" t="n">
        <f aca="false">Sens!$H$3819</f>
        <v>23.4804386990861</v>
      </c>
      <c r="I3879" s="38" t="n">
        <f aca="false">Sens!$I$3819</f>
        <v>30.9761745989143</v>
      </c>
      <c r="J3879" s="38" t="n">
        <f aca="false">Sens!$J$3819</f>
        <v>41.1930070746977</v>
      </c>
      <c r="K3879" s="38" t="n">
        <f aca="false">Sens!$K$3819</f>
        <v>45.9779211159428</v>
      </c>
      <c r="L3879" s="38" t="n">
        <f aca="false">Sens!$L$3819</f>
        <v>48.0352490919424</v>
      </c>
      <c r="M3879" s="38" t="n">
        <f aca="false">Sens!$M$3819</f>
        <v>47.4082976573265</v>
      </c>
      <c r="N3879" s="38" t="n">
        <f aca="false">Sens!$N$3819</f>
        <v>1.67921600037079</v>
      </c>
      <c r="O3879" s="38" t="n">
        <f aca="false">Sens!$O$3819</f>
        <v>3.71203473735861</v>
      </c>
    </row>
    <row r="3880" customFormat="false" ht="17.15" hidden="false" customHeight="false" outlineLevel="0" collapsed="false">
      <c r="A3880" s="0" t="s">
        <v>660</v>
      </c>
      <c r="B3880" s="0" t="s">
        <v>86</v>
      </c>
      <c r="C3880" s="38" t="n">
        <f aca="false">Sens!$C$3824</f>
        <v>38.1898211704631</v>
      </c>
      <c r="D3880" s="38" t="n">
        <f aca="false">Sens!$D$3824</f>
        <v>40.2147492622706</v>
      </c>
      <c r="E3880" s="38" t="n">
        <f aca="false">Sens!$E$3824</f>
        <v>28.3550887940039</v>
      </c>
      <c r="F3880" s="38" t="n">
        <f aca="false">Sens!$F$3824</f>
        <v>25.9529793149447</v>
      </c>
      <c r="G3880" s="38" t="n">
        <f aca="false">Sens!$G$3824</f>
        <v>54.3080681089486</v>
      </c>
      <c r="H3880" s="38" t="n">
        <f aca="false">Sens!$H$3824</f>
        <v>58.2264684589333</v>
      </c>
      <c r="I3880" s="38" t="n">
        <f aca="false">Sens!$I$3824</f>
        <v>64.6461353851744</v>
      </c>
      <c r="J3880" s="38" t="n">
        <f aca="false">Sens!$J$3824</f>
        <v>70.7957093610231</v>
      </c>
      <c r="K3880" s="38" t="n">
        <f aca="false">Sens!$K$3824</f>
        <v>76.4593661099049</v>
      </c>
      <c r="L3880" s="38" t="n">
        <f aca="false">Sens!$L$3824</f>
        <v>82.5761153986973</v>
      </c>
      <c r="M3880" s="38" t="n">
        <f aca="false">Sens!$M$3824</f>
        <v>89.1822046305931</v>
      </c>
      <c r="N3880" s="38" t="n">
        <f aca="false">Sens!$N$3824</f>
        <v>20.0277839996292</v>
      </c>
      <c r="O3880" s="38" t="n">
        <f aca="false">Sens!$O$3824</f>
        <v>20.1869652626414</v>
      </c>
    </row>
    <row r="3881" customFormat="false" ht="17.15" hidden="false" customHeight="false" outlineLevel="0" collapsed="false">
      <c r="A3881" s="1" t="s">
        <v>743</v>
      </c>
      <c r="B3881" s="8" t="s">
        <v>86</v>
      </c>
      <c r="C3881" s="38" t="n">
        <f aca="false">Q!$D$24</f>
        <v>39.834</v>
      </c>
      <c r="D3881" s="38" t="n">
        <f aca="false">Q!$E$24</f>
        <v>45.606</v>
      </c>
      <c r="E3881" s="38" t="n">
        <f aca="false">Q!$P$24</f>
        <v>30.782</v>
      </c>
      <c r="F3881" s="38" t="n">
        <f aca="false">Sens!$F$3879+Sens!$F$3880</f>
        <v>33.4744649458882</v>
      </c>
      <c r="G3881" s="38" t="n">
        <f aca="false">Sens!$G$3879+Sens!$G$3880</f>
        <v>64.2564649458882</v>
      </c>
      <c r="H3881" s="38" t="n">
        <f aca="false">Sens!$H$3879+Sens!$H$3880</f>
        <v>81.7069071580194</v>
      </c>
      <c r="I3881" s="38" t="n">
        <f aca="false">Sens!$I$3879+Sens!$I$3880</f>
        <v>95.6223099840887</v>
      </c>
      <c r="J3881" s="38" t="n">
        <f aca="false">Sens!$J$3879+Sens!$J$3880</f>
        <v>111.988716435721</v>
      </c>
      <c r="K3881" s="38" t="n">
        <f aca="false">Sens!$K$3879+Sens!$K$3880</f>
        <v>122.437287225848</v>
      </c>
      <c r="L3881" s="38" t="n">
        <f aca="false">Sens!$L$3879+Sens!$L$3880</f>
        <v>130.61136449064</v>
      </c>
      <c r="M3881" s="38" t="n">
        <f aca="false">Sens!$M$3879+Sens!$M$3880</f>
        <v>136.59050228792</v>
      </c>
      <c r="N3881" s="38" t="n">
        <f aca="false">Q!$N$24</f>
        <v>21.707</v>
      </c>
      <c r="O3881" s="38" t="n">
        <f aca="false">Q!$O$24</f>
        <v>23.899</v>
      </c>
    </row>
    <row r="3882" customFormat="false" ht="17.15" hidden="false" customHeight="false" outlineLevel="0" collapsed="false">
      <c r="A3882" s="5" t="s">
        <v>744</v>
      </c>
      <c r="B3882" s="0" t="s">
        <v>86</v>
      </c>
      <c r="C3882" s="38" t="n">
        <f aca="false">Q!$D$26</f>
        <v>0</v>
      </c>
      <c r="D3882" s="38" t="n">
        <f aca="false">Q!$E$26</f>
        <v>0</v>
      </c>
      <c r="E3882" s="38" t="n">
        <f aca="false">Q!$P$26</f>
        <v>0</v>
      </c>
      <c r="F3882" s="39" t="n">
        <v>0</v>
      </c>
      <c r="G3882" s="38" t="n">
        <f aca="false">Sens!$E$3882+Sens!$F$3882</f>
        <v>0</v>
      </c>
      <c r="H3882" s="39" t="n">
        <v>0</v>
      </c>
      <c r="I3882" s="39" t="n">
        <v>0</v>
      </c>
      <c r="J3882" s="39" t="n">
        <v>0</v>
      </c>
      <c r="K3882" s="39" t="n">
        <v>0</v>
      </c>
      <c r="L3882" s="39" t="n">
        <v>0</v>
      </c>
      <c r="M3882" s="39" t="n">
        <v>0</v>
      </c>
      <c r="N3882" s="38" t="n">
        <f aca="false">Q!$N$26</f>
        <v>0</v>
      </c>
      <c r="O3882" s="38" t="n">
        <f aca="false">Q!$O$26</f>
        <v>0</v>
      </c>
    </row>
    <row r="3883" customFormat="false" ht="15" hidden="false" customHeight="false" outlineLevel="0" collapsed="false">
      <c r="A3883" s="3" t="s">
        <v>541</v>
      </c>
      <c r="B3883" s="8" t="s">
        <v>86</v>
      </c>
      <c r="C3883" s="38" t="n">
        <f aca="false">Q!$D$25</f>
        <v>68.593</v>
      </c>
      <c r="D3883" s="38" t="n">
        <f aca="false">Q!$E$25</f>
        <v>79.975</v>
      </c>
      <c r="E3883" s="38" t="n">
        <f aca="false">Q!$P$25</f>
        <v>51.313</v>
      </c>
      <c r="F3883" s="38" t="n">
        <f aca="false">Sens!$F$3873+Sens!$F$3878+Sens!$F$3881+Sens!$F$3882</f>
        <v>56.2739224653223</v>
      </c>
      <c r="G3883" s="38" t="n">
        <f aca="false">Sens!$G$3873+Sens!$G$3878+Sens!$G$3881+Sens!$G$3882</f>
        <v>107.586922465322</v>
      </c>
      <c r="H3883" s="38" t="n">
        <f aca="false">Sens!$H$3873+Sens!$H$3878+Sens!$H$3881+Sens!$H$3882</f>
        <v>128.523854198753</v>
      </c>
      <c r="I3883" s="38" t="n">
        <f aca="false">Sens!$I$3873+Sens!$I$3878+Sens!$I$3881+Sens!$I$3882</f>
        <v>143.420226540117</v>
      </c>
      <c r="J3883" s="38" t="n">
        <f aca="false">Sens!$J$3873+Sens!$J$3878+Sens!$J$3881+Sens!$J$3882</f>
        <v>161.061384817802</v>
      </c>
      <c r="K3883" s="38" t="n">
        <f aca="false">Sens!$K$3873+Sens!$K$3878+Sens!$K$3881+Sens!$K$3882</f>
        <v>172.048329662239</v>
      </c>
      <c r="L3883" s="38" t="n">
        <f aca="false">Sens!$L$3873+Sens!$L$3878+Sens!$L$3881+Sens!$L$3882</f>
        <v>182.165293572335</v>
      </c>
      <c r="M3883" s="38" t="n">
        <f aca="false">Sens!$M$3873+Sens!$M$3878+Sens!$M$3881+Sens!$M$3882</f>
        <v>193.127604796307</v>
      </c>
      <c r="N3883" s="38" t="n">
        <f aca="false">Q!$N$25</f>
        <v>37.576</v>
      </c>
      <c r="O3883" s="38" t="n">
        <f aca="false">Q!$O$25</f>
        <v>42.399</v>
      </c>
    </row>
    <row r="3884" customFormat="false" ht="17.15" hidden="false" customHeight="false" outlineLevel="0" collapsed="false">
      <c r="A3884" s="24" t="s">
        <v>775</v>
      </c>
      <c r="B3884" s="25" t="s">
        <v>86</v>
      </c>
      <c r="C3884" s="41" t="n">
        <f aca="false">Sens!$C$3873+Sens!$C$3878+Sens!$C$3881+Sens!$C$3882-Sens!$C$3883</f>
        <v>0</v>
      </c>
      <c r="D3884" s="41" t="n">
        <f aca="false">Sens!$D$3873+Sens!$D$3878+Sens!$D$3881+Sens!$D$3882-Sens!$D$3883</f>
        <v>0</v>
      </c>
      <c r="E3884" s="41" t="n">
        <f aca="false">Sens!$E$3873+Sens!$E$3878+Sens!$E$3881+Sens!$E$3882-Sens!$E$3883</f>
        <v>0</v>
      </c>
      <c r="F3884" s="41" t="n">
        <f aca="false">Sens!$F$3873+Sens!$F$3878+Sens!$F$3881+Sens!$F$3882-Sens!$F$3883</f>
        <v>0</v>
      </c>
      <c r="G3884" s="41" t="n">
        <f aca="false">Sens!$G$3873+Sens!$G$3878+Sens!$G$3881+Sens!$G$3882-Sens!$G$3883</f>
        <v>0</v>
      </c>
      <c r="H3884" s="41" t="n">
        <f aca="false">Sens!$H$3873+Sens!$H$3878+Sens!$H$3881+Sens!$H$3882-Sens!$H$3883</f>
        <v>0</v>
      </c>
      <c r="I3884" s="41" t="n">
        <f aca="false">Sens!$I$3873+Sens!$I$3878+Sens!$I$3881+Sens!$I$3882-Sens!$I$3883</f>
        <v>0</v>
      </c>
      <c r="J3884" s="41" t="n">
        <f aca="false">Sens!$J$3873+Sens!$J$3878+Sens!$J$3881+Sens!$J$3882-Sens!$J$3883</f>
        <v>0</v>
      </c>
      <c r="K3884" s="41" t="n">
        <f aca="false">Sens!$K$3873+Sens!$K$3878+Sens!$K$3881+Sens!$K$3882-Sens!$K$3883</f>
        <v>0</v>
      </c>
      <c r="L3884" s="41" t="n">
        <f aca="false">Sens!$L$3873+Sens!$L$3878+Sens!$L$3881+Sens!$L$3882-Sens!$L$3883</f>
        <v>0</v>
      </c>
      <c r="M3884" s="41" t="n">
        <f aca="false">Sens!$M$3873+Sens!$M$3878+Sens!$M$3881+Sens!$M$3882-Sens!$M$3883</f>
        <v>0</v>
      </c>
      <c r="N3884" s="41" t="n">
        <f aca="false">Sens!$N$3873+Sens!$N$3878+Sens!$N$3881+Sens!$N$3882-Sens!$N$3883</f>
        <v>0</v>
      </c>
      <c r="O3884" s="41" t="n">
        <f aca="false">Sens!$O$3873+Sens!$O$3878+Sens!$O$3881+Sens!$O$3882-Sens!$O$3883</f>
        <v>0</v>
      </c>
    </row>
    <row r="3885" customFormat="false" ht="17.15" hidden="false" customHeight="false" outlineLevel="0" collapsed="false">
      <c r="A3885" s="5" t="s">
        <v>746</v>
      </c>
      <c r="B3885" s="0" t="s">
        <v>86</v>
      </c>
      <c r="C3885" s="38" t="n">
        <f aca="false">Sens!$C$3821</f>
        <v>0</v>
      </c>
      <c r="D3885" s="38" t="n">
        <f aca="false">Sens!$D$3821</f>
        <v>0</v>
      </c>
      <c r="E3885" s="38" t="n">
        <f aca="false">Sens!$E$3821</f>
        <v>0</v>
      </c>
      <c r="F3885" s="38" t="n">
        <f aca="false">Sens!$F$3821</f>
        <v>3.77122048175818</v>
      </c>
      <c r="G3885" s="38" t="n">
        <f aca="false">Sens!$G$3821</f>
        <v>3.77122048175818</v>
      </c>
      <c r="H3885" s="38" t="n">
        <f aca="false">Sens!$H$3821</f>
        <v>15.1635543609893</v>
      </c>
      <c r="I3885" s="38" t="n">
        <f aca="false">Sens!$I$3821</f>
        <v>25.5818843619889</v>
      </c>
      <c r="J3885" s="38" t="n">
        <f aca="false">Sens!$J$3821</f>
        <v>36.0465624179122</v>
      </c>
      <c r="K3885" s="38" t="n">
        <f aca="false">Sens!$K$3821</f>
        <v>44.9741164026038</v>
      </c>
      <c r="L3885" s="38" t="n">
        <f aca="false">Sens!$L$3821</f>
        <v>50.8413488057813</v>
      </c>
      <c r="M3885" s="38" t="n">
        <f aca="false">Sens!$M$3821</f>
        <v>53.6407214274315</v>
      </c>
      <c r="N3885" s="38" t="n">
        <f aca="false">Sens!$N$3821</f>
        <v>0</v>
      </c>
      <c r="O3885" s="38" t="n">
        <f aca="false">Sens!$O$3821</f>
        <v>0</v>
      </c>
      <c r="P3885" s="5" t="s">
        <v>747</v>
      </c>
    </row>
    <row r="3886" customFormat="false" ht="17.15" hidden="false" customHeight="false" outlineLevel="0" collapsed="false">
      <c r="A3886" s="5" t="s">
        <v>748</v>
      </c>
      <c r="B3886" s="0" t="s">
        <v>86</v>
      </c>
      <c r="C3886" s="38" t="n">
        <f aca="false">Sens!$C$3883+Sens!$C$3885</f>
        <v>68.593</v>
      </c>
      <c r="D3886" s="38" t="n">
        <f aca="false">Sens!$D$3883+Sens!$D$3885</f>
        <v>79.975</v>
      </c>
      <c r="E3886" s="38" t="n">
        <f aca="false">Sens!$E$3883+Sens!$E$3885</f>
        <v>51.313</v>
      </c>
      <c r="F3886" s="38" t="n">
        <f aca="false">Sens!$F$3883+Sens!$F$3885</f>
        <v>60.0451429470805</v>
      </c>
      <c r="G3886" s="38" t="n">
        <f aca="false">Sens!$G$3883+Sens!$G$3885</f>
        <v>111.35814294708</v>
      </c>
      <c r="H3886" s="38" t="n">
        <f aca="false">Sens!$H$3883+Sens!$H$3885</f>
        <v>143.687408559742</v>
      </c>
      <c r="I3886" s="38" t="n">
        <f aca="false">Sens!$I$3883+Sens!$I$3885</f>
        <v>169.002110902106</v>
      </c>
      <c r="J3886" s="38" t="n">
        <f aca="false">Sens!$J$3883+Sens!$J$3885</f>
        <v>197.107947235714</v>
      </c>
      <c r="K3886" s="38" t="n">
        <f aca="false">Sens!$K$3883+Sens!$K$3885</f>
        <v>217.022446064843</v>
      </c>
      <c r="L3886" s="38" t="n">
        <f aca="false">Sens!$L$3883+Sens!$L$3885</f>
        <v>233.006642378116</v>
      </c>
      <c r="M3886" s="38" t="n">
        <f aca="false">Sens!$M$3883+Sens!$M$3885</f>
        <v>246.768326223739</v>
      </c>
      <c r="N3886" s="38" t="n">
        <f aca="false">Sens!$N$3883+Sens!$N$3885</f>
        <v>37.576</v>
      </c>
      <c r="O3886" s="38" t="n">
        <f aca="false">Sens!$O$3883+Sens!$O$3885</f>
        <v>42.399</v>
      </c>
    </row>
    <row r="3887" customFormat="false" ht="17.15" hidden="false" customHeight="false" outlineLevel="0" collapsed="false">
      <c r="A3887" s="0" t="s">
        <v>749</v>
      </c>
      <c r="B3887" s="0" t="s">
        <v>52</v>
      </c>
      <c r="C3887" s="13" t="n">
        <f aca="false">Sens!$C$3873/Sens!$C$3858</f>
        <v>0.0644314665661928</v>
      </c>
      <c r="D3887" s="13" t="n">
        <f aca="false">Sens!$D$3873/Sens!$D$3858</f>
        <v>0.0694784250712518</v>
      </c>
      <c r="E3887" s="13" t="n">
        <f aca="false">Sens!$E$3873/Sens!$E$3858</f>
        <v>0.0789306463326071</v>
      </c>
      <c r="F3887" s="13" t="n">
        <f aca="false">Sens!$F$3873/Sens!$F$3858</f>
        <v>0.0799909674390122</v>
      </c>
      <c r="G3887" s="13" t="n">
        <f aca="false">Sens!$G$3873/Sens!$G$3858</f>
        <v>0.0794949379279635</v>
      </c>
      <c r="H3887" s="13" t="n">
        <f aca="false">Sens!$H$3873/Sens!$H$3858</f>
        <v>0.0784512692744517</v>
      </c>
      <c r="I3887" s="13" t="n">
        <f aca="false">Sens!$I$3873/Sens!$I$3858</f>
        <v>0.0747049411166114</v>
      </c>
      <c r="J3887" s="13" t="n">
        <f aca="false">Sens!$J$3873/Sens!$J$3858</f>
        <v>0.072324987662495</v>
      </c>
      <c r="K3887" s="13" t="n">
        <f aca="false">Sens!$K$3873/Sens!$K$3858</f>
        <v>0.0700234801179893</v>
      </c>
      <c r="L3887" s="13" t="n">
        <f aca="false">Sens!$L$3873/Sens!$L$3858</f>
        <v>0.0685985537566401</v>
      </c>
      <c r="M3887" s="13" t="n">
        <f aca="false">Sens!$M$3873/Sens!$M$3858</f>
        <v>0.0700711280865103</v>
      </c>
      <c r="N3887" s="13" t="n">
        <f aca="false">Sens!$N$3873/Sens!$N$3858</f>
        <v>0.069228576611127</v>
      </c>
      <c r="O3887" s="13" t="n">
        <f aca="false">Sens!$O$3873/Sens!$O$3858</f>
        <v>0.069685022498393</v>
      </c>
    </row>
    <row r="3888" customFormat="false" ht="17.15" hidden="false" customHeight="false" outlineLevel="0" collapsed="false">
      <c r="A3888" s="0" t="s">
        <v>750</v>
      </c>
      <c r="B3888" s="0" t="s">
        <v>52</v>
      </c>
      <c r="C3888" s="13" t="n">
        <f aca="false">Sens!$C$3878/Sens!$C$3859</f>
        <v>0.026534925055631</v>
      </c>
      <c r="D3888" s="13" t="n">
        <f aca="false">Sens!$D$3878/Sens!$D$3859</f>
        <v>0.0293401855535103</v>
      </c>
      <c r="E3888" s="13" t="n">
        <f aca="false">Sens!$E$3878/Sens!$E$3859</f>
        <v>0.03831141902276</v>
      </c>
      <c r="F3888" s="13" t="n">
        <f aca="false">Sens!$F$3878/Sens!$F$3859</f>
        <v>0.0279502324476464</v>
      </c>
      <c r="G3888" s="13" t="n">
        <f aca="false">Sens!$G$3878/Sens!$G$3859</f>
        <v>0.0326592030230108</v>
      </c>
      <c r="H3888" s="13" t="n">
        <f aca="false">Sens!$H$3878/Sens!$H$3859</f>
        <v>0.0296103292119232</v>
      </c>
      <c r="I3888" s="13" t="n">
        <f aca="false">Sens!$I$3878/Sens!$I$3859</f>
        <v>0.0238356126084527</v>
      </c>
      <c r="J3888" s="13" t="n">
        <f aca="false">Sens!$J$3878/Sens!$J$3859</f>
        <v>0.0193642841319482</v>
      </c>
      <c r="K3888" s="13" t="n">
        <f aca="false">Sens!$K$3878/Sens!$K$3859</f>
        <v>0.0148667509519654</v>
      </c>
      <c r="L3888" s="13" t="n">
        <f aca="false">Sens!$L$3878/Sens!$L$3859</f>
        <v>0.0137879877496496</v>
      </c>
      <c r="M3888" s="13" t="n">
        <f aca="false">Sens!$M$3878/Sens!$M$3859</f>
        <v>0.0156147326608542</v>
      </c>
      <c r="N3888" s="13" t="n">
        <f aca="false">Sens!$N$3878/Sens!$N$3859</f>
        <v>0.0357315650169337</v>
      </c>
      <c r="O3888" s="13" t="n">
        <f aca="false">Sens!$O$3878/Sens!$O$3859</f>
        <v>0.0244378956559703</v>
      </c>
    </row>
    <row r="3889" customFormat="false" ht="17.15" hidden="false" customHeight="false" outlineLevel="0" collapsed="false">
      <c r="A3889" s="14" t="s">
        <v>751</v>
      </c>
      <c r="B3889" s="14" t="s">
        <v>52</v>
      </c>
      <c r="C3889" s="17" t="n">
        <f aca="false">Sens!$C$3881/Sens!$C$3860</f>
        <v>0.370355907620217</v>
      </c>
      <c r="D3889" s="17" t="n">
        <f aca="false">Sens!$D$3881/Sens!$D$3860</f>
        <v>0.35429015342785</v>
      </c>
      <c r="E3889" s="17" t="n">
        <f aca="false">Sens!$E$3881/Sens!$E$3860</f>
        <v>0.385647527531039</v>
      </c>
      <c r="F3889" s="17" t="n">
        <f aca="false">Sens!$F$3881/Sens!$F$3860</f>
        <v>0.385949613469105</v>
      </c>
      <c r="G3889" s="17" t="n">
        <f aca="false">Sens!$G$3881/Sens!$G$3860</f>
        <v>0.385804840448779</v>
      </c>
      <c r="H3889" s="17" t="n">
        <f aca="false">Sens!$H$3881/Sens!$H$3860</f>
        <v>0.369408675360557</v>
      </c>
      <c r="I3889" s="17" t="n">
        <f aca="false">Sens!$I$3881/Sens!$I$3860</f>
        <v>0.34117504540738</v>
      </c>
      <c r="J3889" s="17" t="n">
        <f aca="false">Sens!$J$3881/Sens!$J$3860</f>
        <v>0.330544285732563</v>
      </c>
      <c r="K3889" s="17" t="n">
        <f aca="false">Sens!$K$3881/Sens!$K$3860</f>
        <v>0.314033796990635</v>
      </c>
      <c r="L3889" s="17" t="n">
        <f aca="false">Sens!$L$3881/Sens!$L$3860</f>
        <v>0.303690371867633</v>
      </c>
      <c r="M3889" s="17" t="n">
        <f aca="false">Sens!$M$3881/Sens!$M$3860</f>
        <v>0.297287296590884</v>
      </c>
      <c r="N3889" s="17" t="n">
        <f aca="false">Sens!$N$3881/Sens!$N$3860</f>
        <v>0.360941137346192</v>
      </c>
      <c r="O3889" s="17" t="n">
        <f aca="false">Sens!$O$3881/Sens!$O$3860</f>
        <v>0.348458117664212</v>
      </c>
    </row>
    <row r="3890" customFormat="false" ht="17.15" hidden="false" customHeight="false" outlineLevel="0" collapsed="false">
      <c r="A3890" s="0" t="s">
        <v>752</v>
      </c>
      <c r="B3890" s="0" t="s">
        <v>52</v>
      </c>
      <c r="C3890" s="13" t="n">
        <f aca="false">Sens!$C$3879/Sens!$C$3861</f>
        <v>0.708390794789371</v>
      </c>
      <c r="D3890" s="13" t="n">
        <f aca="false">Sens!$D$3879/Sens!$D$3861</f>
        <v>0.619415573115729</v>
      </c>
      <c r="E3890" s="13" t="n">
        <f aca="false">Sens!$E$3879/Sens!$E$3861</f>
        <v>0.285171627189009</v>
      </c>
      <c r="F3890" s="13" t="n">
        <f aca="false">Sens!$F$3879/Sens!$F$3861</f>
        <v>0.502657732812366</v>
      </c>
      <c r="G3890" s="13" t="n">
        <f aca="false">Sens!$G$3879/Sens!$G$3861</f>
        <v>0.423808778611812</v>
      </c>
      <c r="H3890" s="13" t="n">
        <f aca="false">Sens!$H$3879/Sens!$H$3861</f>
        <v>0.390261631739809</v>
      </c>
      <c r="I3890" s="13" t="n">
        <f aca="false">Sens!$I$3879/Sens!$I$3861</f>
        <v>0.305172864264572</v>
      </c>
      <c r="J3890" s="13" t="n">
        <f aca="false">Sens!$J$3879/Sens!$J$3861</f>
        <v>0.288011814789856</v>
      </c>
      <c r="K3890" s="13" t="n">
        <f aca="false">Sens!$K$3879/Sens!$K$3861</f>
        <v>0.25765427518774</v>
      </c>
      <c r="L3890" s="13" t="n">
        <f aca="false">Sens!$L$3879/Sens!$L$3861</f>
        <v>0.238118778012374</v>
      </c>
      <c r="M3890" s="13" t="n">
        <f aca="false">Sens!$M$3879/Sens!$M$3861</f>
        <v>0.222746255757109</v>
      </c>
      <c r="N3890" s="13" t="n">
        <f aca="false">Sens!$N$3879/Sens!$N$3861</f>
        <v>0.551227795793364</v>
      </c>
      <c r="O3890" s="13" t="n">
        <f aca="false">Sens!$O$3879/Sens!$O$3861</f>
        <v>0.656132068597002</v>
      </c>
    </row>
    <row r="3891" customFormat="false" ht="15" hidden="false" customHeight="false" outlineLevel="0" collapsed="false">
      <c r="A3891" s="5" t="s">
        <v>753</v>
      </c>
      <c r="B3891" s="0" t="s">
        <v>52</v>
      </c>
      <c r="C3891" s="13" t="n">
        <f aca="false">Sens!$C$3883/Sens!$C$3863</f>
        <v>0.107519448742004</v>
      </c>
      <c r="D3891" s="13" t="n">
        <f aca="false">Sens!$D$3883/Sens!$D$3863</f>
        <v>0.111552967957552</v>
      </c>
      <c r="E3891" s="13" t="n">
        <f aca="false">Sens!$E$3883/Sens!$E$3863</f>
        <v>0.13428328426562</v>
      </c>
      <c r="F3891" s="13" t="n">
        <f aca="false">Sens!$F$3883/Sens!$F$3863</f>
        <v>0.129133499814695</v>
      </c>
      <c r="G3891" s="13" t="n">
        <f aca="false">Sens!$G$3883/Sens!$G$3863</f>
        <v>0.131539474881825</v>
      </c>
      <c r="H3891" s="13" t="n">
        <f aca="false">Sens!$H$3883/Sens!$H$3863</f>
        <v>0.136396690639397</v>
      </c>
      <c r="I3891" s="13" t="n">
        <f aca="false">Sens!$I$3883/Sens!$I$3863</f>
        <v>0.134187728415541</v>
      </c>
      <c r="J3891" s="13" t="n">
        <f aca="false">Sens!$J$3883/Sens!$J$3863</f>
        <v>0.135356012364095</v>
      </c>
      <c r="K3891" s="13" t="n">
        <f aca="false">Sens!$K$3883/Sens!$K$3863</f>
        <v>0.132746974167693</v>
      </c>
      <c r="L3891" s="13" t="n">
        <f aca="false">Sens!$L$3883/Sens!$L$3863</f>
        <v>0.13056817302158</v>
      </c>
      <c r="M3891" s="13" t="n">
        <f aca="false">Sens!$M$3883/Sens!$M$3863</f>
        <v>0.129824594525643</v>
      </c>
      <c r="N3891" s="13" t="n">
        <f aca="false">Sens!$N$3883/Sens!$N$3863</f>
        <v>0.116201614873411</v>
      </c>
      <c r="O3891" s="13" t="n">
        <f aca="false">Sens!$O$3883/Sens!$O$3863</f>
        <v>0.107733353660861</v>
      </c>
    </row>
    <row r="3892" customFormat="false" ht="17.15" hidden="false" customHeight="false" outlineLevel="0" collapsed="false">
      <c r="A3892" s="1" t="s">
        <v>754</v>
      </c>
    </row>
    <row r="3893" customFormat="false" ht="17.15" hidden="false" customHeight="false" outlineLevel="0" collapsed="false">
      <c r="A3893" s="5" t="s">
        <v>755</v>
      </c>
      <c r="B3893" s="0" t="s">
        <v>52</v>
      </c>
      <c r="D3893" s="28" t="n">
        <f aca="false">(Q!$E$29+Q!$E$30-(1-ext_sh)*Sens!$D$3815)/Sens!$D$3766</f>
        <v>0.0341105596409988</v>
      </c>
    </row>
    <row r="3894" customFormat="false" ht="17.15" hidden="false" customHeight="false" outlineLevel="0" collapsed="false">
      <c r="A3894" s="0" t="s">
        <v>545</v>
      </c>
      <c r="B3894" s="0" t="s">
        <v>86</v>
      </c>
      <c r="C3894" s="38" t="n">
        <f aca="false">Q!$D$29</f>
        <v>14.285</v>
      </c>
      <c r="D3894" s="38" t="n">
        <f aca="false">Q!$E$29</f>
        <v>15.503</v>
      </c>
      <c r="E3894" s="38" t="n">
        <f aca="false">Q!$P$29</f>
        <v>8.78</v>
      </c>
      <c r="F3894" s="38" t="n">
        <f aca="false">(Sens!$D$3893*Sens!$F$3766+(1-ext_sh)*Sens!$F$3815)*Sens!$F$3767</f>
        <v>9.30317620449232</v>
      </c>
      <c r="G3894" s="38" t="n">
        <f aca="false">Sens!$E$3894+Sens!$F$3894</f>
        <v>18.0831762044923</v>
      </c>
      <c r="H3894" s="38" t="n">
        <f aca="false">(Sens!$D$3893*Sens!$H$3766+(1-ext_sh)*Sens!$H$3815)*Sens!$H$3767</f>
        <v>22.1297245338482</v>
      </c>
      <c r="I3894" s="38" t="n">
        <f aca="false">(Sens!$D$3893*Sens!$I$3766+(1-ext_sh)*Sens!$I$3815)*Sens!$I$3767</f>
        <v>28.409695984391</v>
      </c>
      <c r="J3894" s="38" t="n">
        <f aca="false">(Sens!$D$3893*Sens!$J$3766+(1-ext_sh)*Sens!$J$3815)*Sens!$J$3767</f>
        <v>34.1085606174579</v>
      </c>
      <c r="K3894" s="38" t="n">
        <f aca="false">(Sens!$D$3893*Sens!$K$3766+(1-ext_sh)*Sens!$K$3815)*Sens!$K$3767</f>
        <v>39.7218983009068</v>
      </c>
      <c r="L3894" s="38" t="n">
        <f aca="false">(Sens!$D$3893*Sens!$L$3766+(1-ext_sh)*Sens!$L$3815)*Sens!$L$3767</f>
        <v>44.1680279486684</v>
      </c>
      <c r="M3894" s="38" t="n">
        <f aca="false">(Sens!$D$3893*Sens!$M$3766+(1-ext_sh)*Sens!$M$3815)*Sens!$M$3767</f>
        <v>47.4413073313286</v>
      </c>
      <c r="N3894" s="38" t="n">
        <f aca="false">Q!$N$29</f>
        <v>7.272</v>
      </c>
      <c r="O3894" s="38" t="n">
        <f aca="false">Q!$O$29</f>
        <v>8.231</v>
      </c>
    </row>
    <row r="3895" customFormat="false" ht="17.15" hidden="false" customHeight="false" outlineLevel="0" collapsed="false">
      <c r="A3895" s="0" t="s">
        <v>547</v>
      </c>
      <c r="B3895" s="0" t="s">
        <v>86</v>
      </c>
      <c r="C3895" s="38" t="n">
        <f aca="false">Q!$D$30</f>
        <v>4.462</v>
      </c>
      <c r="D3895" s="38" t="n">
        <f aca="false">Q!$E$30</f>
        <v>4.907</v>
      </c>
      <c r="E3895" s="38" t="n">
        <f aca="false">Q!$P$30</f>
        <v>2.57</v>
      </c>
      <c r="F3895" s="38" t="n">
        <f aca="false">(Sens!$D$3893*Sens!$F$3766+(1-ext_sh)*Sens!$F$3815)*(1-Sens!$F$3767)</f>
        <v>3.6526976809753</v>
      </c>
      <c r="G3895" s="38" t="n">
        <f aca="false">Sens!$E$3895+Sens!$F$3895</f>
        <v>6.2226976809753</v>
      </c>
      <c r="H3895" s="38" t="n">
        <f aca="false">(Sens!$D$3893*Sens!$H$3766+(1-ext_sh)*Sens!$H$3815)*(1-Sens!$H$3767)</f>
        <v>8.4764774248495</v>
      </c>
      <c r="I3895" s="38" t="n">
        <f aca="false">(Sens!$D$3893*Sens!$I$3766+(1-ext_sh)*Sens!$I$3815)*(1-Sens!$I$3767)</f>
        <v>10.881931507561</v>
      </c>
      <c r="J3895" s="38" t="n">
        <f aca="false">(Sens!$D$3893*Sens!$J$3766+(1-ext_sh)*Sens!$J$3815)*(1-Sens!$J$3767)</f>
        <v>13.0648008575874</v>
      </c>
      <c r="K3895" s="38" t="n">
        <f aca="false">(Sens!$D$3893*Sens!$K$3766+(1-ext_sh)*Sens!$K$3815)*(1-Sens!$K$3767)</f>
        <v>15.2149103214008</v>
      </c>
      <c r="L3895" s="38" t="n">
        <f aca="false">(Sens!$D$3893*Sens!$L$3766+(1-ext_sh)*Sens!$L$3815)*(1-Sens!$L$3767)</f>
        <v>16.9179372854085</v>
      </c>
      <c r="M3895" s="38" t="n">
        <f aca="false">(Sens!$D$3893*Sens!$M$3766+(1-ext_sh)*Sens!$M$3815)*(1-Sens!$M$3767)</f>
        <v>18.1717205735785</v>
      </c>
      <c r="N3895" s="38" t="n">
        <f aca="false">Q!$N$30</f>
        <v>2.316</v>
      </c>
      <c r="O3895" s="38" t="n">
        <f aca="false">Q!$O$30</f>
        <v>2.591</v>
      </c>
    </row>
    <row r="3896" customFormat="false" ht="17.15" hidden="false" customHeight="false" outlineLevel="0" collapsed="false">
      <c r="A3896" s="0" t="s">
        <v>548</v>
      </c>
      <c r="B3896" s="0" t="s">
        <v>86</v>
      </c>
      <c r="C3896" s="38" t="n">
        <f aca="false">Sens!$C$3827</f>
        <v>13.32</v>
      </c>
      <c r="D3896" s="38" t="n">
        <f aca="false">Sens!$D$3827</f>
        <v>21.45</v>
      </c>
      <c r="E3896" s="38" t="n">
        <f aca="false">Sens!$E$3827</f>
        <v>15.353</v>
      </c>
      <c r="F3896" s="38" t="n">
        <f aca="false">Sens!$F$3827</f>
        <v>16.1969869840094</v>
      </c>
      <c r="G3896" s="38" t="n">
        <f aca="false">Sens!$G$3827</f>
        <v>31.5499869840094</v>
      </c>
      <c r="H3896" s="38" t="n">
        <f aca="false">Sens!$H$3827</f>
        <v>50.9556213609176</v>
      </c>
      <c r="I3896" s="38" t="n">
        <f aca="false">Sens!$I$3827</f>
        <v>79.464581248252</v>
      </c>
      <c r="J3896" s="38" t="n">
        <f aca="false">Sens!$J$3827</f>
        <v>105.296127931746</v>
      </c>
      <c r="K3896" s="38" t="n">
        <f aca="false">Sens!$K$3827</f>
        <v>131.454694001511</v>
      </c>
      <c r="L3896" s="38" t="n">
        <f aca="false">Sens!$L$3827</f>
        <v>150.840456981405</v>
      </c>
      <c r="M3896" s="38" t="n">
        <f aca="false">Sens!$M$3827</f>
        <v>163.399454192999</v>
      </c>
      <c r="N3896" s="38" t="n">
        <f aca="false">Sens!$N$3827</f>
        <v>9.234</v>
      </c>
      <c r="O3896" s="38" t="n">
        <f aca="false">Sens!$O$3827</f>
        <v>12.216</v>
      </c>
    </row>
    <row r="3897" customFormat="false" ht="17.15" hidden="false" customHeight="false" outlineLevel="0" collapsed="false">
      <c r="A3897" s="5" t="s">
        <v>756</v>
      </c>
      <c r="B3897" s="0" t="s">
        <v>86</v>
      </c>
      <c r="C3897" s="38" t="n">
        <f aca="false">Sens!$C$3894+Sens!$C$3895+Sens!$C$3896</f>
        <v>32.067</v>
      </c>
      <c r="D3897" s="38" t="n">
        <f aca="false">Sens!$D$3894+Sens!$D$3895+Sens!$D$3896</f>
        <v>41.86</v>
      </c>
      <c r="E3897" s="38" t="n">
        <f aca="false">Sens!$E$3894+Sens!$E$3895+Sens!$E$3896</f>
        <v>26.703</v>
      </c>
      <c r="F3897" s="38" t="n">
        <f aca="false">Sens!$F$3894+Sens!$F$3895+Sens!$F$3896</f>
        <v>29.152860869477</v>
      </c>
      <c r="G3897" s="38" t="n">
        <f aca="false">Sens!$G$3894+Sens!$G$3895+Sens!$G$3896</f>
        <v>55.855860869477</v>
      </c>
      <c r="H3897" s="38" t="n">
        <f aca="false">Sens!$H$3894+Sens!$H$3895+Sens!$H$3896</f>
        <v>81.5618233196153</v>
      </c>
      <c r="I3897" s="38" t="n">
        <f aca="false">Sens!$I$3894+Sens!$I$3895+Sens!$I$3896</f>
        <v>118.756208740204</v>
      </c>
      <c r="J3897" s="38" t="n">
        <f aca="false">Sens!$J$3894+Sens!$J$3895+Sens!$J$3896</f>
        <v>152.469489406791</v>
      </c>
      <c r="K3897" s="38" t="n">
        <f aca="false">Sens!$K$3894+Sens!$K$3895+Sens!$K$3896</f>
        <v>186.391502623819</v>
      </c>
      <c r="L3897" s="38" t="n">
        <f aca="false">Sens!$L$3894+Sens!$L$3895+Sens!$L$3896</f>
        <v>211.926422215482</v>
      </c>
      <c r="M3897" s="38" t="n">
        <f aca="false">Sens!$M$3894+Sens!$M$3895+Sens!$M$3896</f>
        <v>229.012482097906</v>
      </c>
      <c r="N3897" s="38" t="n">
        <f aca="false">Sens!$N$3894+Sens!$N$3895+Sens!$N$3896</f>
        <v>18.822</v>
      </c>
      <c r="O3897" s="38" t="n">
        <f aca="false">Sens!$O$3894+Sens!$O$3895+Sens!$O$3896</f>
        <v>23.038</v>
      </c>
    </row>
    <row r="3898" customFormat="false" ht="17.15" hidden="false" customHeight="false" outlineLevel="0" collapsed="false">
      <c r="A3898" s="0" t="s">
        <v>757</v>
      </c>
      <c r="B3898" s="0" t="s">
        <v>86</v>
      </c>
      <c r="C3898" s="38" t="n">
        <f aca="false">Sens!$C$3869+Sens!$C$3874</f>
        <v>22.4856</v>
      </c>
      <c r="D3898" s="38" t="n">
        <f aca="false">Sens!$D$3869+Sens!$D$3874</f>
        <v>27.454</v>
      </c>
      <c r="E3898" s="38" t="n">
        <f aca="false">Sens!$E$3869+Sens!$E$3874</f>
        <v>14.8208</v>
      </c>
      <c r="F3898" s="38" t="n">
        <f aca="false">Sens!$F$3869+Sens!$F$3874</f>
        <v>18.4628887977659</v>
      </c>
      <c r="G3898" s="38" t="n">
        <f aca="false">Sens!$G$3869+Sens!$G$3874</f>
        <v>33.2836887977659</v>
      </c>
      <c r="H3898" s="38" t="n">
        <f aca="false">Sens!$H$3869+Sens!$H$3874</f>
        <v>39.958768955159</v>
      </c>
      <c r="I3898" s="38" t="n">
        <f aca="false">Sens!$I$3869+Sens!$I$3874</f>
        <v>46.6332444381985</v>
      </c>
      <c r="J3898" s="38" t="n">
        <f aca="false">Sens!$J$3869+Sens!$J$3874</f>
        <v>52.8595767767807</v>
      </c>
      <c r="K3898" s="38" t="n">
        <f aca="false">Sens!$K$3869+Sens!$K$3874</f>
        <v>58.1455344544588</v>
      </c>
      <c r="L3898" s="38" t="n">
        <f aca="false">Sens!$L$3869+Sens!$L$3874</f>
        <v>63.9600878999047</v>
      </c>
      <c r="M3898" s="38" t="n">
        <f aca="false">Sens!$M$3869+Sens!$M$3874</f>
        <v>70.3560966898951</v>
      </c>
      <c r="N3898" s="38" t="n">
        <f aca="false">Sens!$N$3869+Sens!$N$3874</f>
        <v>11.846</v>
      </c>
      <c r="O3898" s="38" t="n">
        <f aca="false">Sens!$O$3869+Sens!$O$3874</f>
        <v>15.608</v>
      </c>
    </row>
    <row r="3899" customFormat="false" ht="17.15" hidden="false" customHeight="false" outlineLevel="0" collapsed="false">
      <c r="A3899" s="0" t="s">
        <v>758</v>
      </c>
      <c r="B3899" s="0" t="s">
        <v>86</v>
      </c>
      <c r="C3899" s="38" t="n">
        <f aca="false">Sens!$C$3873+Sens!$C$3878+Sens!$C$3894+Sens!$C$3895-Sens!$C$3898</f>
        <v>25.0204</v>
      </c>
      <c r="D3899" s="38" t="n">
        <f aca="false">Sens!$D$3873+Sens!$D$3878+Sens!$D$3894+Sens!$D$3895-Sens!$D$3898</f>
        <v>27.325</v>
      </c>
      <c r="E3899" s="38" t="n">
        <f aca="false">Sens!$E$3873+Sens!$E$3878+Sens!$E$3894+Sens!$E$3895-Sens!$E$3898</f>
        <v>17.0602</v>
      </c>
      <c r="F3899" s="38" t="n">
        <f aca="false">Sens!$F$3873+Sens!$F$3878+Sens!$F$3894+Sens!$F$3895-Sens!$F$3898</f>
        <v>17.2924426071359</v>
      </c>
      <c r="G3899" s="38" t="n">
        <f aca="false">Sens!$G$3873+Sens!$G$3878+Sens!$G$3894+Sens!$G$3895-Sens!$G$3898</f>
        <v>34.3526426071359</v>
      </c>
      <c r="H3899" s="38" t="n">
        <f aca="false">Sens!$H$3873+Sens!$H$3878+Sens!$H$3894+Sens!$H$3895-Sens!$H$3898</f>
        <v>37.4643800442721</v>
      </c>
      <c r="I3899" s="38" t="n">
        <f aca="false">Sens!$I$3873+Sens!$I$3878+Sens!$I$3894+Sens!$I$3895-Sens!$I$3898</f>
        <v>40.4562996097819</v>
      </c>
      <c r="J3899" s="38" t="n">
        <f aca="false">Sens!$J$3873+Sens!$J$3878+Sens!$J$3894+Sens!$J$3895-Sens!$J$3898</f>
        <v>43.3864530803454</v>
      </c>
      <c r="K3899" s="38" t="n">
        <f aca="false">Sens!$K$3873+Sens!$K$3878+Sens!$K$3894+Sens!$K$3895-Sens!$K$3898</f>
        <v>46.4023166042402</v>
      </c>
      <c r="L3899" s="38" t="n">
        <f aca="false">Sens!$L$3873+Sens!$L$3878+Sens!$L$3894+Sens!$L$3895-Sens!$L$3898</f>
        <v>48.679806415867</v>
      </c>
      <c r="M3899" s="38" t="n">
        <f aca="false">Sens!$M$3873+Sens!$M$3878+Sens!$M$3894+Sens!$M$3895-Sens!$M$3898</f>
        <v>51.7940337233997</v>
      </c>
      <c r="N3899" s="38" t="n">
        <f aca="false">Sens!$N$3873+Sens!$N$3878+Sens!$N$3894+Sens!$N$3895-Sens!$N$3898</f>
        <v>13.611</v>
      </c>
      <c r="O3899" s="38" t="n">
        <f aca="false">Sens!$O$3873+Sens!$O$3878+Sens!$O$3894+Sens!$O$3895-Sens!$O$3898</f>
        <v>13.714</v>
      </c>
    </row>
    <row r="3900" customFormat="false" ht="17.15" hidden="false" customHeight="false" outlineLevel="0" collapsed="false">
      <c r="A3900" s="0" t="s">
        <v>759</v>
      </c>
      <c r="B3900" s="0" t="s">
        <v>86</v>
      </c>
      <c r="C3900" s="38" t="n">
        <f aca="false">Sens!$C$3880+Sens!$C$3896-ext_sh*Sens!$C$3815</f>
        <v>51.3470500115664</v>
      </c>
      <c r="D3900" s="38" t="n">
        <f aca="false">Sens!$D$3880+Sens!$D$3896-ext_sh*Sens!$D$3815</f>
        <v>60.2799375433739</v>
      </c>
      <c r="E3900" s="38" t="n">
        <f aca="false">Sens!$E$3880+Sens!$E$3896-ext_sh*Sens!$E$3815</f>
        <v>39.5095167090767</v>
      </c>
      <c r="F3900" s="38" t="n">
        <f aca="false">Sens!$F$3880+Sens!$F$3896-ext_sh*Sens!$F$3815</f>
        <v>37.951394214027</v>
      </c>
      <c r="G3900" s="38" t="n">
        <f aca="false">Sens!$G$3880+Sens!$G$3896-ext_sh*Sens!$G$3815</f>
        <v>77.4609109231037</v>
      </c>
      <c r="H3900" s="38" t="n">
        <f aca="false">Sens!$H$3880+Sens!$H$3896-ext_sh*Sens!$H$3815</f>
        <v>85.1453558128916</v>
      </c>
      <c r="I3900" s="38" t="n">
        <f aca="false">Sens!$I$3880+Sens!$I$3896-ext_sh*Sens!$I$3815</f>
        <v>94.532921967974</v>
      </c>
      <c r="J3900" s="38" t="n">
        <f aca="false">Sens!$J$3880+Sens!$J$3896-ext_sh*Sens!$J$3815</f>
        <v>103.525527532583</v>
      </c>
      <c r="K3900" s="38" t="n">
        <f aca="false">Sens!$K$3880+Sens!$K$3896-ext_sh*Sens!$K$3815</f>
        <v>111.80756973519</v>
      </c>
      <c r="L3900" s="38" t="n">
        <f aca="false">Sens!$L$3880+Sens!$L$3896-ext_sh*Sens!$L$3815</f>
        <v>120.752175314005</v>
      </c>
      <c r="M3900" s="38" t="n">
        <f aca="false">Sens!$M$3880+Sens!$M$3896-ext_sh*Sens!$M$3815</f>
        <v>130.412349339125</v>
      </c>
      <c r="N3900" s="38" t="n">
        <f aca="false">Sens!$N$3880+Sens!$N$3896-ext_sh*Sens!$N$3815</f>
        <v>28.5693781401809</v>
      </c>
      <c r="O3900" s="38" t="n">
        <f aca="false">Sens!$O$3880+Sens!$O$3896-ext_sh*Sens!$O$3815</f>
        <v>31.7105594031931</v>
      </c>
    </row>
    <row r="3901" customFormat="false" ht="17.15" hidden="false" customHeight="false" outlineLevel="0" collapsed="false">
      <c r="A3901" s="0" t="s">
        <v>760</v>
      </c>
      <c r="B3901" s="0" t="s">
        <v>86</v>
      </c>
      <c r="C3901" s="38" t="n">
        <f aca="false">Sens!$C$3818</f>
        <v>1.80694998843362</v>
      </c>
      <c r="D3901" s="38" t="n">
        <f aca="false">Sens!$D$3818</f>
        <v>6.77606245662607</v>
      </c>
      <c r="E3901" s="38" t="n">
        <f aca="false">Sens!$E$3818</f>
        <v>6.62548329092326</v>
      </c>
      <c r="F3901" s="38" t="n">
        <f aca="false">Sens!$F$3818</f>
        <v>11.7200577158706</v>
      </c>
      <c r="G3901" s="38" t="n">
        <f aca="false">Sens!$G$3818</f>
        <v>18.3455410067939</v>
      </c>
      <c r="H3901" s="38" t="n">
        <f aca="false">Sens!$H$3818</f>
        <v>47.5171727060453</v>
      </c>
      <c r="I3901" s="38" t="n">
        <f aca="false">Sens!$I$3818</f>
        <v>80.5539692643667</v>
      </c>
      <c r="J3901" s="38" t="n">
        <f aca="false">Sens!$J$3818</f>
        <v>113.759316834883</v>
      </c>
      <c r="K3901" s="38" t="n">
        <f aca="false">Sens!$K$3818</f>
        <v>142.084411492169</v>
      </c>
      <c r="L3901" s="38" t="n">
        <f aca="false">Sens!$L$3818</f>
        <v>160.69964615804</v>
      </c>
      <c r="M3901" s="38" t="n">
        <f aca="false">Sens!$M$3818</f>
        <v>169.577607141793</v>
      </c>
      <c r="N3901" s="38" t="n">
        <f aca="false">Sens!$N$3818</f>
        <v>2.37162185981912</v>
      </c>
      <c r="O3901" s="38" t="n">
        <f aca="false">Sens!$O$3818</f>
        <v>4.40444059680694</v>
      </c>
    </row>
    <row r="3902" customFormat="false" ht="17.15" hidden="false" customHeight="false" outlineLevel="0" collapsed="false">
      <c r="A3902" s="0" t="s">
        <v>761</v>
      </c>
      <c r="B3902" s="0" t="s">
        <v>86</v>
      </c>
      <c r="C3902" s="38" t="n">
        <f aca="false">Sens!$C$3883+Sens!$C$3897</f>
        <v>100.66</v>
      </c>
      <c r="D3902" s="38" t="n">
        <f aca="false">Sens!$D$3883+Sens!$D$3897</f>
        <v>121.835</v>
      </c>
      <c r="E3902" s="38" t="n">
        <f aca="false">Sens!$E$3883+Sens!$E$3897</f>
        <v>78.016</v>
      </c>
      <c r="F3902" s="38" t="n">
        <f aca="false">Sens!$F$3883+Sens!$F$3897</f>
        <v>85.4267833347993</v>
      </c>
      <c r="G3902" s="38" t="n">
        <f aca="false">Sens!$G$3883+Sens!$G$3897</f>
        <v>163.442783334799</v>
      </c>
      <c r="H3902" s="38" t="n">
        <f aca="false">Sens!$H$3883+Sens!$H$3897</f>
        <v>210.085677518368</v>
      </c>
      <c r="I3902" s="38" t="n">
        <f aca="false">Sens!$I$3883+Sens!$I$3897</f>
        <v>262.176435280321</v>
      </c>
      <c r="J3902" s="38" t="n">
        <f aca="false">Sens!$J$3883+Sens!$J$3897</f>
        <v>313.530874224593</v>
      </c>
      <c r="K3902" s="38" t="n">
        <f aca="false">Sens!$K$3883+Sens!$K$3897</f>
        <v>358.439832286058</v>
      </c>
      <c r="L3902" s="38" t="n">
        <f aca="false">Sens!$L$3883+Sens!$L$3897</f>
        <v>394.091715787817</v>
      </c>
      <c r="M3902" s="38" t="n">
        <f aca="false">Sens!$M$3883+Sens!$M$3897</f>
        <v>422.140086894213</v>
      </c>
      <c r="N3902" s="38" t="n">
        <f aca="false">Sens!$N$3883+Sens!$N$3897</f>
        <v>56.398</v>
      </c>
      <c r="O3902" s="38" t="n">
        <f aca="false">Sens!$O$3883+Sens!$O$3897</f>
        <v>65.437</v>
      </c>
    </row>
    <row r="3903" customFormat="false" ht="17.15" hidden="false" customHeight="false" outlineLevel="0" collapsed="false">
      <c r="A3903" s="1" t="s">
        <v>762</v>
      </c>
    </row>
    <row r="3904" customFormat="false" ht="15" hidden="false" customHeight="false" outlineLevel="0" collapsed="false">
      <c r="A3904" s="5" t="s">
        <v>551</v>
      </c>
      <c r="B3904" s="0" t="s">
        <v>86</v>
      </c>
      <c r="C3904" s="38" t="n">
        <f aca="false">Q!$D$34</f>
        <v>2.406</v>
      </c>
      <c r="D3904" s="38" t="n">
        <f aca="false">Q!$E$34</f>
        <v>2.274</v>
      </c>
      <c r="E3904" s="38" t="n">
        <f aca="false">Q!$P$34</f>
        <v>2.114</v>
      </c>
      <c r="F3904" s="38" t="n">
        <f aca="false">Sens!$F$3942</f>
        <v>3.24888962733561</v>
      </c>
      <c r="G3904" s="38" t="n">
        <f aca="false">Sens!$E$3904+Sens!$F$3904</f>
        <v>5.36288962733561</v>
      </c>
      <c r="H3904" s="38" t="n">
        <f aca="false">Sens!$H$3942</f>
        <v>7.42354172302123</v>
      </c>
      <c r="I3904" s="38" t="n">
        <f aca="false">Sens!$I$3942</f>
        <v>7.90100648344522</v>
      </c>
      <c r="J3904" s="38" t="n">
        <f aca="false">Sens!$J$3942</f>
        <v>8.95611160210525</v>
      </c>
      <c r="K3904" s="38" t="n">
        <f aca="false">Sens!$K$3942</f>
        <v>8.95611160210525</v>
      </c>
      <c r="L3904" s="38" t="n">
        <f aca="false">Sens!$L$3942</f>
        <v>8.95611160210525</v>
      </c>
      <c r="M3904" s="38" t="n">
        <f aca="false">Sens!$M$3942</f>
        <v>8.95611160210525</v>
      </c>
      <c r="N3904" s="38" t="n">
        <f aca="false">Q!$N$34</f>
        <v>1.057</v>
      </c>
      <c r="O3904" s="38" t="n">
        <f aca="false">Q!$O$34</f>
        <v>1.217</v>
      </c>
    </row>
    <row r="3905" customFormat="false" ht="15" hidden="false" customHeight="false" outlineLevel="0" collapsed="false">
      <c r="A3905" s="5" t="s">
        <v>763</v>
      </c>
      <c r="B3905" s="0" t="s">
        <v>86</v>
      </c>
      <c r="F3905" s="38" t="n">
        <f aca="false">Sens!$F$3943</f>
        <v>2.59</v>
      </c>
      <c r="H3905" s="38" t="n">
        <f aca="false">Sens!$H$3943</f>
        <v>4.11219842085451</v>
      </c>
      <c r="I3905" s="38" t="n">
        <f aca="false">Sens!$I$3943</f>
        <v>2.10589651022864</v>
      </c>
      <c r="J3905" s="38" t="n">
        <f aca="false">Sens!$J$3943</f>
        <v>2.10589651022864</v>
      </c>
      <c r="K3905" s="38" t="n">
        <f aca="false">Sens!$K$3943</f>
        <v>3.06972820822983</v>
      </c>
      <c r="L3905" s="38" t="n">
        <f aca="false">Sens!$L$3943</f>
        <v>8.07574530278054</v>
      </c>
      <c r="M3905" s="38" t="n">
        <f aca="false">Sens!$M$3943</f>
        <v>15.5266760613938</v>
      </c>
    </row>
    <row r="3906" customFormat="false" ht="17.15" hidden="false" customHeight="false" outlineLevel="0" collapsed="false">
      <c r="A3906" s="5" t="s">
        <v>764</v>
      </c>
      <c r="B3906" s="0" t="s">
        <v>86</v>
      </c>
      <c r="C3906" s="38" t="n">
        <f aca="false">Q!$D$39</f>
        <v>2.427</v>
      </c>
      <c r="D3906" s="38" t="n">
        <f aca="false">Q!$E$39</f>
        <v>19.61</v>
      </c>
      <c r="E3906" s="38" t="n">
        <f aca="false">Q!$P$39</f>
        <v>71.492</v>
      </c>
      <c r="F3906" s="39" t="n">
        <v>0</v>
      </c>
      <c r="G3906" s="38" t="n">
        <f aca="false">Sens!$E$3906+Sens!$F$3906</f>
        <v>71.492</v>
      </c>
      <c r="H3906" s="39" t="n">
        <v>0</v>
      </c>
      <c r="I3906" s="39" t="n">
        <v>0</v>
      </c>
      <c r="J3906" s="39" t="n">
        <v>0</v>
      </c>
      <c r="K3906" s="39" t="n">
        <v>0</v>
      </c>
      <c r="L3906" s="39" t="n">
        <v>0</v>
      </c>
      <c r="M3906" s="39" t="n">
        <v>0</v>
      </c>
      <c r="N3906" s="38" t="n">
        <f aca="false">Q!$N$39</f>
        <v>6.017</v>
      </c>
      <c r="O3906" s="38" t="n">
        <f aca="false">Q!$O$39</f>
        <v>13.593</v>
      </c>
      <c r="P3906" s="5" t="s">
        <v>765</v>
      </c>
    </row>
    <row r="3907" customFormat="false" ht="15" hidden="false" customHeight="false" outlineLevel="0" collapsed="false">
      <c r="A3907" s="5" t="s">
        <v>554</v>
      </c>
      <c r="B3907" s="0" t="s">
        <v>86</v>
      </c>
      <c r="C3907" s="38" t="n">
        <f aca="false">Q!$D$36</f>
        <v>68.614</v>
      </c>
      <c r="D3907" s="38" t="n">
        <f aca="false">Q!$E$36</f>
        <v>97.311</v>
      </c>
      <c r="E3907" s="38" t="n">
        <f aca="false">Q!$P$36</f>
        <v>120.691</v>
      </c>
      <c r="F3907" s="38" t="n">
        <f aca="false">Sens!$F$3883-Sens!$F$3904+Sens!$F$3905+Sens!$F$3906</f>
        <v>55.6150328379867</v>
      </c>
      <c r="G3907" s="38" t="n">
        <f aca="false">Sens!$E$3907+Sens!$F$3907</f>
        <v>176.306032837987</v>
      </c>
      <c r="H3907" s="38" t="n">
        <f aca="false">Sens!$H$3883-Sens!$H$3904+Sens!$H$3905+Sens!$H$3906</f>
        <v>125.212510896586</v>
      </c>
      <c r="I3907" s="38" t="n">
        <f aca="false">Sens!$I$3883-Sens!$I$3904+Sens!$I$3905+Sens!$I$3906</f>
        <v>137.625116566901</v>
      </c>
      <c r="J3907" s="38" t="n">
        <f aca="false">Sens!$J$3883-Sens!$J$3904+Sens!$J$3905+Sens!$J$3906</f>
        <v>154.211169725925</v>
      </c>
      <c r="K3907" s="38" t="n">
        <f aca="false">Sens!$K$3883-Sens!$K$3904+Sens!$K$3905+Sens!$K$3906</f>
        <v>166.161946268364</v>
      </c>
      <c r="L3907" s="38" t="n">
        <f aca="false">Sens!$L$3883-Sens!$L$3904+Sens!$L$3905+Sens!$L$3906</f>
        <v>181.28492727301</v>
      </c>
      <c r="M3907" s="38" t="n">
        <f aca="false">Sens!$M$3883-Sens!$M$3904+Sens!$M$3905+Sens!$M$3906</f>
        <v>199.698169255596</v>
      </c>
      <c r="N3907" s="38" t="n">
        <f aca="false">Q!$N$36</f>
        <v>42.536</v>
      </c>
      <c r="O3907" s="38" t="n">
        <f aca="false">Q!$O$36</f>
        <v>54.775</v>
      </c>
    </row>
    <row r="3908" customFormat="false" ht="15" hidden="false" customHeight="false" outlineLevel="0" collapsed="false">
      <c r="A3908" s="5" t="s">
        <v>555</v>
      </c>
      <c r="B3908" s="0" t="s">
        <v>86</v>
      </c>
      <c r="C3908" s="38" t="n">
        <f aca="false">Q!$D$37</f>
        <v>9.265</v>
      </c>
      <c r="D3908" s="38" t="n">
        <f aca="false">Q!$E$37</f>
        <v>19.087</v>
      </c>
      <c r="E3908" s="38" t="n">
        <f aca="false">Q!$P$37</f>
        <v>27.759</v>
      </c>
      <c r="F3908" s="38" t="n">
        <f aca="false">Sens!$F$3907*tax</f>
        <v>9.65390914819473</v>
      </c>
      <c r="G3908" s="38" t="n">
        <f aca="false">Sens!$E$3908+Sens!$F$3908</f>
        <v>37.4129091481947</v>
      </c>
      <c r="H3908" s="38" t="n">
        <f aca="false">Sens!$H$3907*tax</f>
        <v>21.7349544310139</v>
      </c>
      <c r="I3908" s="38" t="n">
        <f aca="false">Sens!$I$3907*tax</f>
        <v>23.8895907104289</v>
      </c>
      <c r="J3908" s="38" t="n">
        <f aca="false">Sens!$J$3907*tax</f>
        <v>26.7686728965493</v>
      </c>
      <c r="K3908" s="38" t="n">
        <f aca="false">Sens!$K$3907*tax</f>
        <v>28.8431427854222</v>
      </c>
      <c r="L3908" s="38" t="n">
        <f aca="false">Sens!$L$3907*tax</f>
        <v>31.4682582842125</v>
      </c>
      <c r="M3908" s="38" t="n">
        <f aca="false">Sens!$M$3907*tax</f>
        <v>34.6645121773181</v>
      </c>
      <c r="N3908" s="38" t="n">
        <f aca="false">Q!$N$37</f>
        <v>7.231</v>
      </c>
      <c r="O3908" s="38" t="n">
        <f aca="false">Q!$O$37</f>
        <v>11.856</v>
      </c>
    </row>
    <row r="3909" customFormat="false" ht="15" hidden="false" customHeight="false" outlineLevel="0" collapsed="false">
      <c r="A3909" s="3" t="s">
        <v>556</v>
      </c>
      <c r="B3909" s="8" t="s">
        <v>86</v>
      </c>
      <c r="C3909" s="38" t="n">
        <f aca="false">Q!$D$38</f>
        <v>59.248</v>
      </c>
      <c r="D3909" s="38" t="n">
        <f aca="false">Q!$E$38</f>
        <v>77.67</v>
      </c>
      <c r="E3909" s="38" t="n">
        <f aca="false">Q!$P$38</f>
        <v>92.902</v>
      </c>
      <c r="F3909" s="38" t="n">
        <f aca="false">Sens!$F$3907-Sens!$F$3908</f>
        <v>45.961123689792</v>
      </c>
      <c r="G3909" s="38" t="n">
        <f aca="false">Sens!$E$3909+Sens!$F$3909</f>
        <v>138.863123689792</v>
      </c>
      <c r="H3909" s="38" t="n">
        <f aca="false">Sens!$H$3907-Sens!$H$3908</f>
        <v>103.477556465572</v>
      </c>
      <c r="I3909" s="38" t="n">
        <f aca="false">Sens!$I$3907-Sens!$I$3908</f>
        <v>113.735525856472</v>
      </c>
      <c r="J3909" s="38" t="n">
        <f aca="false">Sens!$J$3907-Sens!$J$3908</f>
        <v>127.442496829376</v>
      </c>
      <c r="K3909" s="38" t="n">
        <f aca="false">Sens!$K$3907-Sens!$K$3908</f>
        <v>137.318803482941</v>
      </c>
      <c r="L3909" s="38" t="n">
        <f aca="false">Sens!$L$3907-Sens!$L$3908</f>
        <v>149.816668988797</v>
      </c>
      <c r="M3909" s="38" t="n">
        <f aca="false">Sens!$M$3907-Sens!$M$3908</f>
        <v>165.033657078278</v>
      </c>
      <c r="N3909" s="38" t="n">
        <f aca="false">Q!$N$38</f>
        <v>35.291</v>
      </c>
      <c r="O3909" s="38" t="n">
        <f aca="false">Q!$O$38</f>
        <v>42.379</v>
      </c>
    </row>
    <row r="3910" customFormat="false" ht="17.15" hidden="false" customHeight="false" outlineLevel="0" collapsed="false">
      <c r="A3910" s="5" t="s">
        <v>559</v>
      </c>
      <c r="B3910" s="5" t="s">
        <v>33</v>
      </c>
      <c r="C3910" s="22" t="n">
        <f aca="false">Q!$D$41</f>
        <v>10.721</v>
      </c>
      <c r="D3910" s="22" t="n">
        <f aca="false">Q!$E$41</f>
        <v>10.827</v>
      </c>
      <c r="E3910" s="22" t="n">
        <f aca="false">(Q!$L$41+Q!$M$41)/2</f>
        <v>10.8885</v>
      </c>
      <c r="F3910" s="22" t="n">
        <f aca="false">Sens!$G$3910</f>
        <v>10.924806</v>
      </c>
      <c r="G3910" s="22" t="n">
        <f aca="false">Q!$M$41*(1+sh_g*0.25)</f>
        <v>10.924806</v>
      </c>
      <c r="H3910" s="22" t="n">
        <f aca="false">Sens!$G$3910*(1+sh_g)</f>
        <v>11.012204448</v>
      </c>
      <c r="I3910" s="22" t="n">
        <f aca="false">Sens!$H$3910*(1+sh_g)</f>
        <v>11.100302083584</v>
      </c>
      <c r="J3910" s="22" t="n">
        <f aca="false">Sens!$I$3910*(1+sh_g)</f>
        <v>11.1891045002527</v>
      </c>
      <c r="K3910" s="22" t="n">
        <f aca="false">Sens!$J$3910*(1+sh_g)</f>
        <v>11.2786173362547</v>
      </c>
      <c r="L3910" s="22" t="n">
        <f aca="false">Sens!$K$3910*(1+sh_g)</f>
        <v>11.3688462749447</v>
      </c>
      <c r="M3910" s="22" t="n">
        <f aca="false">Sens!$L$3910*(1+sh_g)</f>
        <v>11.4597970451443</v>
      </c>
      <c r="P3910" s="5" t="s">
        <v>766</v>
      </c>
    </row>
    <row r="3911" customFormat="false" ht="17.15" hidden="false" customHeight="false" outlineLevel="0" collapsed="false">
      <c r="A3911" s="5" t="s">
        <v>767</v>
      </c>
      <c r="B3911" s="0" t="s">
        <v>86</v>
      </c>
      <c r="C3911" s="38" t="n">
        <f aca="false">Sens!$C$3909+Sens!$C$3885*(1-tax)</f>
        <v>59.248</v>
      </c>
      <c r="D3911" s="38" t="n">
        <f aca="false">Sens!$D$3909+Sens!$D$3885*(1-tax)</f>
        <v>77.67</v>
      </c>
      <c r="E3911" s="38" t="n">
        <f aca="false">Sens!$E$3909+Sens!$E$3885*(1-tax)</f>
        <v>92.902</v>
      </c>
      <c r="F3911" s="38" t="n">
        <f aca="false">Sens!$F$3909+Sens!$F$3885*(1-tax)</f>
        <v>49.0777186494406</v>
      </c>
      <c r="G3911" s="38" t="n">
        <f aca="false">Sens!$G$3909+Sens!$G$3885*(1-tax)</f>
        <v>141.979718649441</v>
      </c>
      <c r="H3911" s="38" t="n">
        <f aca="false">Sens!$H$3909+Sens!$H$3885*(1-tax)</f>
        <v>116.008952420917</v>
      </c>
      <c r="I3911" s="38" t="n">
        <f aca="false">Sens!$I$3909+Sens!$I$3885*(1-tax)</f>
        <v>134.876790931411</v>
      </c>
      <c r="J3911" s="38" t="n">
        <f aca="false">Sens!$J$3909+Sens!$J$3885*(1-tax)</f>
        <v>157.231933773659</v>
      </c>
      <c r="K3911" s="38" t="n">
        <f aca="false">Sens!$K$3909+Sens!$K$3885*(1-tax)</f>
        <v>174.4861091796</v>
      </c>
      <c r="L3911" s="38" t="n">
        <f aca="false">Sens!$L$3909+Sens!$L$3885*(1-tax)</f>
        <v>191.832746329353</v>
      </c>
      <c r="M3911" s="38" t="n">
        <f aca="false">Sens!$M$3909+Sens!$M$3885*(1-tax)</f>
        <v>209.363179269118</v>
      </c>
      <c r="N3911" s="38" t="n">
        <f aca="false">Sens!$N$3909+Sens!$N$3885*(1-tax)</f>
        <v>35.291</v>
      </c>
      <c r="O3911" s="38" t="n">
        <f aca="false">Sens!$O$3909+Sens!$O$3885*(1-tax)</f>
        <v>42.379</v>
      </c>
    </row>
    <row r="3912" customFormat="false" ht="17.15" hidden="false" customHeight="false" outlineLevel="0" collapsed="false">
      <c r="A3912" s="43" t="s">
        <v>768</v>
      </c>
      <c r="B3912" s="14" t="s">
        <v>27</v>
      </c>
      <c r="C3912" s="44" t="n">
        <f aca="false">Sens!$C$3911/Sens!$C$3910</f>
        <v>5.52635015390355</v>
      </c>
      <c r="D3912" s="44" t="n">
        <f aca="false">Sens!$D$3911/Sens!$D$3910</f>
        <v>7.1737323358271</v>
      </c>
      <c r="E3912" s="44" t="n">
        <f aca="false">Sens!$E$3911/Sens!$E$3910</f>
        <v>8.53212104513937</v>
      </c>
      <c r="F3912" s="14"/>
      <c r="G3912" s="44" t="n">
        <f aca="false">Sens!$G$3911/Sens!$G$3910</f>
        <v>12.9960860311332</v>
      </c>
      <c r="H3912" s="44" t="n">
        <f aca="false">Sens!$H$3911/Sens!$H$3910</f>
        <v>10.5345803348199</v>
      </c>
      <c r="I3912" s="44" t="n">
        <f aca="false">Sens!$I$3911/Sens!$I$3910</f>
        <v>12.1507315671055</v>
      </c>
      <c r="J3912" s="44" t="n">
        <f aca="false">Sens!$J$3911/Sens!$J$3910</f>
        <v>14.0522357057358</v>
      </c>
      <c r="K3912" s="44" t="n">
        <f aca="false">Sens!$K$3911/Sens!$K$3910</f>
        <v>15.4705230240165</v>
      </c>
      <c r="L3912" s="44" t="n">
        <f aca="false">Sens!$L$3911/Sens!$L$3910</f>
        <v>16.8735456254804</v>
      </c>
      <c r="M3912" s="44" t="n">
        <f aca="false">Sens!$M$3911/Sens!$M$3910</f>
        <v>18.2693618782567</v>
      </c>
      <c r="N3912" s="14"/>
      <c r="O3912" s="14"/>
    </row>
    <row r="3913" customFormat="false" ht="17.15" hidden="false" customHeight="false" outlineLevel="0" collapsed="false">
      <c r="A3913" s="0" t="s">
        <v>769</v>
      </c>
      <c r="B3913" s="0" t="s">
        <v>27</v>
      </c>
      <c r="C3913" s="30" t="n">
        <f aca="false">Sens!$C$3909/Sens!$C$3910</f>
        <v>5.52635015390355</v>
      </c>
      <c r="D3913" s="30" t="n">
        <f aca="false">Sens!$D$3909/Sens!$D$3910</f>
        <v>7.1737323358271</v>
      </c>
      <c r="E3913" s="30" t="n">
        <f aca="false">Sens!$E$3909/Sens!$E$3910</f>
        <v>8.53212104513937</v>
      </c>
      <c r="G3913" s="30" t="n">
        <f aca="false">Sens!$G$3909/Sens!$G$3910</f>
        <v>12.7108091154929</v>
      </c>
      <c r="H3913" s="30" t="n">
        <f aca="false">Sens!$H$3909/Sens!$H$3910</f>
        <v>9.39662507667712</v>
      </c>
      <c r="I3913" s="30" t="n">
        <f aca="false">Sens!$I$3909/Sens!$I$3910</f>
        <v>10.2461649241666</v>
      </c>
      <c r="J3913" s="30" t="n">
        <f aca="false">Sens!$J$3909/Sens!$J$3910</f>
        <v>11.3898745718657</v>
      </c>
      <c r="K3913" s="30" t="n">
        <f aca="false">Sens!$K$3909/Sens!$K$3910</f>
        <v>12.1751451786147</v>
      </c>
      <c r="L3913" s="30" t="n">
        <f aca="false">Sens!$L$3909/Sens!$L$3910</f>
        <v>13.1778252045655</v>
      </c>
      <c r="M3913" s="30" t="n">
        <f aca="false">Sens!$M$3909/Sens!$M$3910</f>
        <v>14.4010977182362</v>
      </c>
    </row>
    <row r="3914" customFormat="false" ht="17.15" hidden="false" customHeight="false" outlineLevel="0" collapsed="false">
      <c r="A3914" s="0" t="s">
        <v>770</v>
      </c>
      <c r="B3914" s="0" t="s">
        <v>27</v>
      </c>
      <c r="C3914" s="30" t="n">
        <f aca="false">(Sens!$C$3909-Sens!$C$3906*(1-tax))/Sens!$C$3910</f>
        <v>5.33926775917445</v>
      </c>
      <c r="D3914" s="30" t="n">
        <f aca="false">(Sens!$D$3909-Sens!$D$3906*(1-tax))/Sens!$D$3910</f>
        <v>5.67691812755503</v>
      </c>
      <c r="E3914" s="30" t="n">
        <f aca="false">(Sens!$E$3909-Sens!$E$3906*(1-tax))/Sens!$E$3910</f>
        <v>3.10602057006846</v>
      </c>
      <c r="G3914" s="30" t="n">
        <f aca="false">(Sens!$G$3909-Sens!$G$3906*(1-tax))/Sens!$G$3910</f>
        <v>7.30274099759596</v>
      </c>
      <c r="H3914" s="30" t="n">
        <f aca="false">(Sens!$H$3909-Sens!$H$3906*(1-tax))/Sens!$H$3910</f>
        <v>9.39662507667712</v>
      </c>
      <c r="I3914" s="30" t="n">
        <f aca="false">(Sens!$I$3909-Sens!$I$3906*(1-tax))/Sens!$I$3910</f>
        <v>10.2461649241666</v>
      </c>
      <c r="J3914" s="30" t="n">
        <f aca="false">(Sens!$J$3909-Sens!$J$3906*(1-tax))/Sens!$J$3910</f>
        <v>11.3898745718657</v>
      </c>
      <c r="K3914" s="30" t="n">
        <f aca="false">(Sens!$K$3909-Sens!$K$3906*(1-tax))/Sens!$K$3910</f>
        <v>12.1751451786147</v>
      </c>
      <c r="L3914" s="30" t="n">
        <f aca="false">(Sens!$L$3909-Sens!$L$3906*(1-tax))/Sens!$L$3910</f>
        <v>13.1778252045655</v>
      </c>
      <c r="M3914" s="30" t="n">
        <f aca="false">(Sens!$M$3909-Sens!$M$3906*(1-tax))/Sens!$M$3910</f>
        <v>14.4010977182362</v>
      </c>
      <c r="P3914" s="5" t="s">
        <v>771</v>
      </c>
    </row>
    <row r="3915" customFormat="false" ht="17.15" hidden="false" customHeight="false" outlineLevel="0" collapsed="false">
      <c r="A3915" s="0" t="s">
        <v>772</v>
      </c>
      <c r="B3915" s="0" t="s">
        <v>52</v>
      </c>
      <c r="H3915" s="13" t="n">
        <f aca="false">Sens!$H$3912/Sens!$G$3912-1</f>
        <v>-0.189403616628622</v>
      </c>
      <c r="I3915" s="13" t="n">
        <f aca="false">Sens!$I$3912/Sens!$H$3912-1</f>
        <v>0.153413916921183</v>
      </c>
      <c r="J3915" s="13" t="n">
        <f aca="false">Sens!$J$3912/Sens!$I$3912-1</f>
        <v>0.156492975598114</v>
      </c>
      <c r="K3915" s="13" t="n">
        <f aca="false">Sens!$K$3912/Sens!$J$3912-1</f>
        <v>0.10092965617577</v>
      </c>
      <c r="L3915" s="13" t="n">
        <f aca="false">Sens!$L$3912/Sens!$K$3912-1</f>
        <v>0.0906900561335766</v>
      </c>
      <c r="M3915" s="13" t="n">
        <f aca="false">Sens!$M$3912/Sens!$L$3912-1</f>
        <v>0.082722166624456</v>
      </c>
    </row>
    <row r="3918" customFormat="false" ht="19.4" hidden="false" customHeight="false" outlineLevel="0" collapsed="false">
      <c r="A3918" s="31" t="s">
        <v>1230</v>
      </c>
    </row>
    <row r="3919" customFormat="false" ht="17.15" hidden="false" customHeight="false" outlineLevel="0" collapsed="false">
      <c r="A3919" s="6" t="s">
        <v>16</v>
      </c>
      <c r="B3919" s="6" t="s">
        <v>17</v>
      </c>
      <c r="C3919" s="20" t="s">
        <v>504</v>
      </c>
      <c r="D3919" s="20" t="s">
        <v>505</v>
      </c>
      <c r="E3919" s="20" t="s">
        <v>587</v>
      </c>
      <c r="F3919" s="20" t="s">
        <v>588</v>
      </c>
      <c r="G3919" s="20" t="s">
        <v>589</v>
      </c>
      <c r="H3919" s="20" t="s">
        <v>590</v>
      </c>
      <c r="I3919" s="20" t="s">
        <v>591</v>
      </c>
      <c r="J3919" s="20" t="s">
        <v>592</v>
      </c>
      <c r="K3919" s="20" t="s">
        <v>593</v>
      </c>
      <c r="L3919" s="20" t="s">
        <v>594</v>
      </c>
      <c r="M3919" s="20" t="s">
        <v>595</v>
      </c>
      <c r="N3919" s="20" t="s">
        <v>596</v>
      </c>
      <c r="O3919" s="20" t="s">
        <v>597</v>
      </c>
      <c r="P3919" s="6" t="s">
        <v>23</v>
      </c>
      <c r="R3919" s="20" t="n">
        <v>2023</v>
      </c>
      <c r="S3919" s="20" t="n">
        <v>2024</v>
      </c>
      <c r="T3919" s="20" t="n">
        <v>2025</v>
      </c>
      <c r="U3919" s="20" t="n">
        <v>2026</v>
      </c>
      <c r="V3919" s="20" t="n">
        <v>2027</v>
      </c>
      <c r="W3919" s="20" t="n">
        <v>2028</v>
      </c>
      <c r="X3919" s="20" t="n">
        <v>2029</v>
      </c>
      <c r="Y3919" s="20" t="n">
        <v>2030</v>
      </c>
      <c r="Z3919" s="20" t="n">
        <v>2031</v>
      </c>
      <c r="AA3919" s="20" t="n">
        <v>2032</v>
      </c>
    </row>
    <row r="3920" customFormat="false" ht="15" hidden="false" customHeight="false" outlineLevel="0" collapsed="false">
      <c r="A3920" s="5" t="s">
        <v>556</v>
      </c>
      <c r="B3920" s="0" t="s">
        <v>86</v>
      </c>
      <c r="C3920" s="38" t="n">
        <f aca="false">Sens!$C$3909</f>
        <v>59.248</v>
      </c>
      <c r="D3920" s="38" t="n">
        <f aca="false">Sens!$D$3909</f>
        <v>77.67</v>
      </c>
      <c r="E3920" s="38" t="n">
        <f aca="false">Sens!$E$3909</f>
        <v>92.902</v>
      </c>
      <c r="F3920" s="38" t="n">
        <f aca="false">Sens!$F$3909</f>
        <v>45.961123689792</v>
      </c>
      <c r="G3920" s="38" t="n">
        <f aca="false">Sens!$G$3909</f>
        <v>138.863123689792</v>
      </c>
      <c r="H3920" s="38" t="n">
        <f aca="false">Sens!$H$3909</f>
        <v>103.477556465572</v>
      </c>
      <c r="I3920" s="38" t="n">
        <f aca="false">Sens!$I$3909</f>
        <v>113.735525856472</v>
      </c>
      <c r="J3920" s="38" t="n">
        <f aca="false">Sens!$J$3909</f>
        <v>127.442496829376</v>
      </c>
      <c r="K3920" s="38" t="n">
        <f aca="false">Sens!$K$3909</f>
        <v>137.318803482941</v>
      </c>
      <c r="L3920" s="38" t="n">
        <f aca="false">Sens!$L$3909</f>
        <v>149.816668988797</v>
      </c>
      <c r="M3920" s="38" t="n">
        <f aca="false">Sens!$M$3909</f>
        <v>165.033657078278</v>
      </c>
    </row>
    <row r="3921" customFormat="false" ht="17.15" hidden="false" customHeight="false" outlineLevel="0" collapsed="false">
      <c r="A3921" s="5" t="s">
        <v>795</v>
      </c>
      <c r="B3921" s="0" t="s">
        <v>86</v>
      </c>
      <c r="C3921" s="38" t="n">
        <f aca="false">Sens!$C$3897</f>
        <v>32.067</v>
      </c>
      <c r="D3921" s="38" t="n">
        <f aca="false">Sens!$D$3897</f>
        <v>41.86</v>
      </c>
      <c r="E3921" s="38" t="n">
        <f aca="false">Sens!$E$3897</f>
        <v>26.703</v>
      </c>
      <c r="F3921" s="38" t="n">
        <f aca="false">Sens!$F$3897</f>
        <v>29.152860869477</v>
      </c>
      <c r="G3921" s="38" t="n">
        <f aca="false">Sens!$G$3897</f>
        <v>55.855860869477</v>
      </c>
      <c r="H3921" s="38" t="n">
        <f aca="false">Sens!$H$3897</f>
        <v>81.5618233196153</v>
      </c>
      <c r="I3921" s="38" t="n">
        <f aca="false">Sens!$I$3897</f>
        <v>118.756208740204</v>
      </c>
      <c r="J3921" s="38" t="n">
        <f aca="false">Sens!$J$3897</f>
        <v>152.469489406791</v>
      </c>
      <c r="K3921" s="38" t="n">
        <f aca="false">Sens!$K$3897</f>
        <v>186.391502623819</v>
      </c>
      <c r="L3921" s="38" t="n">
        <f aca="false">Sens!$L$3897</f>
        <v>211.926422215482</v>
      </c>
      <c r="M3921" s="38" t="n">
        <f aca="false">Sens!$M$3897</f>
        <v>229.012482097906</v>
      </c>
    </row>
    <row r="3922" customFormat="false" ht="15" hidden="false" customHeight="false" outlineLevel="0" collapsed="false">
      <c r="A3922" s="5" t="s">
        <v>796</v>
      </c>
      <c r="B3922" s="0" t="s">
        <v>86</v>
      </c>
      <c r="C3922" s="38" t="n">
        <f aca="false">Q!$D$48</f>
        <v>22.011</v>
      </c>
      <c r="D3922" s="38" t="n">
        <f aca="false">Q!$E$48</f>
        <v>19.467</v>
      </c>
      <c r="E3922" s="38" t="n">
        <f aca="false">Q!$P$48</f>
        <v>10.07</v>
      </c>
      <c r="F3922" s="38" t="n">
        <f aca="false">sbc_r*Sens!$F$3839</f>
        <v>10.8507035798037</v>
      </c>
      <c r="G3922" s="38" t="n">
        <f aca="false">Sens!$E$3922+Sens!$F$3922</f>
        <v>20.9207035798037</v>
      </c>
      <c r="H3922" s="38" t="n">
        <f aca="false">sbc_r*Sens!$H$3839</f>
        <v>23.46224366345</v>
      </c>
      <c r="I3922" s="38" t="n">
        <f aca="false">sbc_r*Sens!$I$3839</f>
        <v>26.6125957111676</v>
      </c>
      <c r="J3922" s="38" t="n">
        <f aca="false">sbc_r*Sens!$J$3839</f>
        <v>29.6280801413323</v>
      </c>
      <c r="K3922" s="38" t="n">
        <f aca="false">sbc_r*Sens!$K$3839</f>
        <v>32.2712258901105</v>
      </c>
      <c r="L3922" s="38" t="n">
        <f aca="false">sbc_r*Sens!$L$3839</f>
        <v>34.7390505016737</v>
      </c>
      <c r="M3922" s="38" t="n">
        <f aca="false">sbc_r*Sens!$M$3839</f>
        <v>37.0405146906692</v>
      </c>
    </row>
    <row r="3923" customFormat="false" ht="17.15" hidden="false" customHeight="false" outlineLevel="0" collapsed="false">
      <c r="A3923" s="5" t="s">
        <v>797</v>
      </c>
      <c r="B3923" s="0" t="s">
        <v>86</v>
      </c>
      <c r="C3923" s="38" t="n">
        <f aca="false">Q!$D$44-Sens!$C$3920-Sens!$C$3921-Sens!$C$3922</f>
        <v>2.551</v>
      </c>
      <c r="D3923" s="38" t="n">
        <f aca="false">Q!$E$44-Sens!$D$3920-Sens!$D$3921-Sens!$D$3922</f>
        <v>0.51700000000001</v>
      </c>
      <c r="E3923" s="38" t="n">
        <f aca="false">Q!$P$44-Sens!$E$3920-Sens!$E$3921-Sens!$E$3922</f>
        <v>-58.256</v>
      </c>
      <c r="F3923" s="38" t="n">
        <f aca="false">oth_r*Sens!$F$3839</f>
        <v>5.22265251035878</v>
      </c>
      <c r="G3923" s="38" t="n">
        <f aca="false">Sens!$E$3923+Sens!$F$3923</f>
        <v>-53.0333474896412</v>
      </c>
      <c r="H3923" s="38" t="n">
        <f aca="false">oth_r*Sens!$H$3839</f>
        <v>11.2928295263397</v>
      </c>
      <c r="I3923" s="38" t="n">
        <f aca="false">oth_r*Sens!$I$3839</f>
        <v>12.8091546115766</v>
      </c>
      <c r="J3923" s="38" t="n">
        <f aca="false">oth_r*Sens!$J$3839</f>
        <v>14.2605653162668</v>
      </c>
      <c r="K3923" s="38" t="n">
        <f aca="false">oth_r*Sens!$K$3839</f>
        <v>15.5327622460396</v>
      </c>
      <c r="L3923" s="38" t="n">
        <f aca="false">oth_r*Sens!$L$3839</f>
        <v>16.720573737517</v>
      </c>
      <c r="M3923" s="38" t="n">
        <f aca="false">oth_r*Sens!$M$3839</f>
        <v>17.8283127551536</v>
      </c>
      <c r="P3923" s="8" t="s">
        <v>798</v>
      </c>
    </row>
    <row r="3924" customFormat="false" ht="15" hidden="false" customHeight="false" outlineLevel="0" collapsed="false">
      <c r="A3924" s="3" t="s">
        <v>562</v>
      </c>
      <c r="B3924" s="8" t="s">
        <v>86</v>
      </c>
      <c r="C3924" s="38" t="n">
        <f aca="false">Q!$D$44</f>
        <v>115.877</v>
      </c>
      <c r="D3924" s="38" t="n">
        <f aca="false">Q!$E$44</f>
        <v>139.514</v>
      </c>
      <c r="E3924" s="38" t="n">
        <f aca="false">Q!$P$44</f>
        <v>71.419</v>
      </c>
      <c r="F3924" s="38" t="n">
        <f aca="false">Sens!$F$3920+Sens!$F$3921+Sens!$F$3922+Sens!$F$3923</f>
        <v>91.1873406494314</v>
      </c>
      <c r="G3924" s="38" t="n">
        <f aca="false">Sens!$E$3924+Sens!$F$3924</f>
        <v>162.606340649431</v>
      </c>
      <c r="H3924" s="38" t="n">
        <f aca="false">Sens!$H$3920+Sens!$H$3921+Sens!$H$3922+Sens!$H$3923</f>
        <v>219.794452974977</v>
      </c>
      <c r="I3924" s="38" t="n">
        <f aca="false">Sens!$I$3920+Sens!$I$3921+Sens!$I$3922+Sens!$I$3923</f>
        <v>271.91348491942</v>
      </c>
      <c r="J3924" s="38" t="n">
        <f aca="false">Sens!$J$3920+Sens!$J$3921+Sens!$J$3922+Sens!$J$3923</f>
        <v>323.800631693766</v>
      </c>
      <c r="K3924" s="38" t="n">
        <f aca="false">Sens!$K$3920+Sens!$K$3921+Sens!$K$3922+Sens!$K$3923</f>
        <v>371.51429424291</v>
      </c>
      <c r="L3924" s="38" t="n">
        <f aca="false">Sens!$L$3920+Sens!$L$3921+Sens!$L$3922+Sens!$L$3923</f>
        <v>413.20271544347</v>
      </c>
      <c r="M3924" s="38" t="n">
        <f aca="false">Sens!$M$3920+Sens!$M$3921+Sens!$M$3922+Sens!$M$3923</f>
        <v>448.914966622007</v>
      </c>
    </row>
    <row r="3925" customFormat="false" ht="17.15" hidden="false" customHeight="false" outlineLevel="0" collapsed="false">
      <c r="A3925" s="5" t="s">
        <v>799</v>
      </c>
      <c r="B3925" s="0" t="s">
        <v>86</v>
      </c>
      <c r="C3925" s="38" t="n">
        <f aca="false">Sens!$C$3803</f>
        <v>25.2781053077374</v>
      </c>
      <c r="D3925" s="38" t="n">
        <f aca="false">Sens!$D$3803</f>
        <v>69.5686316310026</v>
      </c>
      <c r="E3925" s="38" t="n">
        <f aca="false">Sens!$E$3803</f>
        <v>64.1899206485108</v>
      </c>
      <c r="F3925" s="38" t="n">
        <f aca="false">Sens!$F$3803</f>
        <v>88.7165504612134</v>
      </c>
      <c r="G3925" s="38" t="n">
        <f aca="false">Sens!$G$3803</f>
        <v>152.906471109724</v>
      </c>
      <c r="H3925" s="38" t="n">
        <f aca="false">Sens!$H$3803</f>
        <v>198.57136494475</v>
      </c>
      <c r="I3925" s="38" t="n">
        <f aca="false">Sens!$I$3803</f>
        <v>204.6464699105</v>
      </c>
      <c r="J3925" s="38" t="n">
        <f aca="false">Sens!$J$3803</f>
        <v>209.8832381105</v>
      </c>
      <c r="K3925" s="38" t="n">
        <f aca="false">Sens!$K$3803</f>
        <v>155.238385275201</v>
      </c>
      <c r="L3925" s="38" t="n">
        <f aca="false">Sens!$L$3803</f>
        <v>132.014141639902</v>
      </c>
      <c r="M3925" s="38" t="n">
        <f aca="false">Sens!$M$3803</f>
        <v>132.230981659852</v>
      </c>
    </row>
    <row r="3926" customFormat="false" ht="17.15" hidden="false" customHeight="false" outlineLevel="0" collapsed="false">
      <c r="A3926" s="5" t="s">
        <v>800</v>
      </c>
      <c r="B3926" s="0" t="s">
        <v>86</v>
      </c>
      <c r="C3926" s="38" t="n">
        <f aca="false">cx_awso*Sens!$C$3837</f>
        <v>21.0469989286053</v>
      </c>
      <c r="D3926" s="38" t="n">
        <f aca="false">cx_awso*Sens!$D$3837</f>
        <v>24.0042459822698</v>
      </c>
      <c r="E3926" s="38" t="n">
        <f aca="false">cx_awso*Sens!$E$3837</f>
        <v>14.261729404886</v>
      </c>
      <c r="F3926" s="38" t="n">
        <f aca="false">cx_awso*Sens!$F$3837</f>
        <v>14.3538599588493</v>
      </c>
      <c r="G3926" s="38" t="n">
        <f aca="false">Sens!$E$3926+Sens!$F$3926</f>
        <v>28.6155893637353</v>
      </c>
      <c r="H3926" s="38" t="n">
        <f aca="false">cx_awso*Sens!$H$3837</f>
        <v>32.2034154158406</v>
      </c>
      <c r="I3926" s="38" t="n">
        <f aca="false">cx_awso*Sens!$I$3837</f>
        <v>35.7539519042915</v>
      </c>
      <c r="J3926" s="38" t="n">
        <f aca="false">cx_awso*Sens!$J$3837</f>
        <v>39.1551076091815</v>
      </c>
      <c r="K3926" s="38" t="n">
        <f aca="false">cx_awso*Sens!$K$3837</f>
        <v>42.287516217916</v>
      </c>
      <c r="L3926" s="38" t="n">
        <f aca="false">cx_awso*Sens!$L$3837</f>
        <v>45.6705175153492</v>
      </c>
      <c r="M3926" s="38" t="n">
        <f aca="false">cx_awso*Sens!$M$3837</f>
        <v>49.3241589165772</v>
      </c>
    </row>
    <row r="3927" customFormat="false" ht="17.15" hidden="false" customHeight="false" outlineLevel="0" collapsed="false">
      <c r="A3927" s="5" t="s">
        <v>801</v>
      </c>
      <c r="B3927" s="0" t="s">
        <v>86</v>
      </c>
      <c r="C3927" s="38" t="n">
        <f aca="false">Q!$D$46-Sens!$C$3925-Sens!$C$3926</f>
        <v>31.3328957636573</v>
      </c>
      <c r="D3927" s="38" t="n">
        <f aca="false">Q!$E$46-Sens!$D$3925-Sens!$D$3926</f>
        <v>34.7471223867276</v>
      </c>
      <c r="E3927" s="38" t="n">
        <f aca="false">Q!$P$46-Sens!$E$3925-Sens!$E$3926</f>
        <v>17.8583499466032</v>
      </c>
      <c r="F3927" s="38" t="n">
        <f aca="false">cx_rt*Sens!$F$3766</f>
        <v>20.6195895799373</v>
      </c>
      <c r="G3927" s="38" t="n">
        <f aca="false">Sens!$E$3927+Sens!$F$3927</f>
        <v>38.4779395265405</v>
      </c>
      <c r="H3927" s="38" t="n">
        <f aca="false">cx_rt*Sens!$H$3766</f>
        <v>42.5978994743075</v>
      </c>
      <c r="I3927" s="38" t="n">
        <f aca="false">cx_rt*Sens!$I$3766</f>
        <v>46.5813904136335</v>
      </c>
      <c r="J3927" s="38" t="n">
        <f aca="false">cx_rt*Sens!$J$3766</f>
        <v>50.2781676586844</v>
      </c>
      <c r="K3927" s="38" t="n">
        <f aca="false">cx_rt*Sens!$K$3766</f>
        <v>53.5312440191755</v>
      </c>
      <c r="L3927" s="38" t="n">
        <f aca="false">cx_rt*Sens!$L$3766</f>
        <v>57.0116717051447</v>
      </c>
      <c r="M3927" s="38" t="n">
        <f aca="false">cx_rt*Sens!$M$3766</f>
        <v>60.7365554669226</v>
      </c>
    </row>
    <row r="3928" customFormat="false" ht="15" hidden="false" customHeight="false" outlineLevel="0" collapsed="false">
      <c r="A3928" s="3" t="s">
        <v>802</v>
      </c>
      <c r="B3928" s="8" t="s">
        <v>86</v>
      </c>
      <c r="C3928" s="38" t="n">
        <f aca="false">Q!$D$46</f>
        <v>77.658</v>
      </c>
      <c r="D3928" s="38" t="n">
        <f aca="false">Q!$E$46</f>
        <v>128.32</v>
      </c>
      <c r="E3928" s="38" t="n">
        <f aca="false">Q!$P$46</f>
        <v>96.31</v>
      </c>
      <c r="F3928" s="38" t="n">
        <f aca="false">Sens!$F$3925+Sens!$F$3926+Sens!$F$3927</f>
        <v>123.69</v>
      </c>
      <c r="G3928" s="38" t="n">
        <f aca="false">Sens!$E$3928+Sens!$F$3928</f>
        <v>220</v>
      </c>
      <c r="H3928" s="38" t="n">
        <f aca="false">Sens!$H$3925+Sens!$H$3926+Sens!$H$3927</f>
        <v>273.372679834898</v>
      </c>
      <c r="I3928" s="38" t="n">
        <f aca="false">Sens!$I$3925+Sens!$I$3926+Sens!$I$3927</f>
        <v>286.981812228425</v>
      </c>
      <c r="J3928" s="38" t="n">
        <f aca="false">Sens!$J$3925+Sens!$J$3926+Sens!$J$3927</f>
        <v>299.316513378366</v>
      </c>
      <c r="K3928" s="38" t="n">
        <f aca="false">Sens!$K$3925+Sens!$K$3926+Sens!$K$3927</f>
        <v>251.057145512292</v>
      </c>
      <c r="L3928" s="38" t="n">
        <f aca="false">Sens!$L$3925+Sens!$L$3926+Sens!$L$3927</f>
        <v>234.696330860396</v>
      </c>
      <c r="M3928" s="38" t="n">
        <f aca="false">Sens!$M$3925+Sens!$M$3926+Sens!$M$3927</f>
        <v>242.291696043352</v>
      </c>
    </row>
    <row r="3929" customFormat="false" ht="17.15" hidden="false" customHeight="false" outlineLevel="0" collapsed="false">
      <c r="A3929" s="5" t="s">
        <v>570</v>
      </c>
      <c r="B3929" s="0" t="s">
        <v>86</v>
      </c>
      <c r="C3929" s="38" t="n">
        <f aca="false">Q!$D$50</f>
        <v>2.043</v>
      </c>
      <c r="D3929" s="38" t="n">
        <f aca="false">Q!$E$50</f>
        <v>1.557</v>
      </c>
      <c r="E3929" s="38" t="n">
        <f aca="false">lease_pr/2</f>
        <v>0.8</v>
      </c>
      <c r="F3929" s="38" t="n">
        <f aca="false">lease_pr/2</f>
        <v>0.8</v>
      </c>
      <c r="G3929" s="38" t="n">
        <f aca="false">Sens!$E$3929+Sens!$F$3929</f>
        <v>1.6</v>
      </c>
      <c r="H3929" s="38" t="n">
        <f aca="false">lease_pr</f>
        <v>1.6</v>
      </c>
      <c r="I3929" s="38" t="n">
        <f aca="false">lease_pr</f>
        <v>1.6</v>
      </c>
      <c r="J3929" s="38" t="n">
        <f aca="false">lease_pr</f>
        <v>1.6</v>
      </c>
      <c r="K3929" s="38" t="n">
        <f aca="false">lease_pr</f>
        <v>1.6</v>
      </c>
      <c r="L3929" s="38" t="n">
        <f aca="false">lease_pr</f>
        <v>1.6</v>
      </c>
      <c r="M3929" s="38" t="n">
        <f aca="false">lease_pr</f>
        <v>1.6</v>
      </c>
      <c r="P3929" s="8" t="s">
        <v>803</v>
      </c>
    </row>
    <row r="3930" customFormat="false" ht="15" hidden="false" customHeight="false" outlineLevel="0" collapsed="false">
      <c r="A3930" s="47" t="s">
        <v>804</v>
      </c>
      <c r="B3930" s="14" t="s">
        <v>86</v>
      </c>
      <c r="C3930" s="48" t="n">
        <f aca="false">Sens!$C$3924-Sens!$C$3928-Sens!$C$3929</f>
        <v>36.176</v>
      </c>
      <c r="D3930" s="48" t="n">
        <f aca="false">Sens!$D$3924-Sens!$D$3928-Sens!$D$3929</f>
        <v>9.63700000000002</v>
      </c>
      <c r="E3930" s="48" t="n">
        <f aca="false">Sens!$E$3924-Sens!$E$3928-Sens!$E$3929</f>
        <v>-25.691</v>
      </c>
      <c r="F3930" s="48" t="n">
        <f aca="false">Sens!$F$3924-Sens!$F$3928-Sens!$F$3929</f>
        <v>-33.3026593505686</v>
      </c>
      <c r="G3930" s="48" t="n">
        <f aca="false">Sens!$G$3924-Sens!$G$3928-Sens!$G$3929</f>
        <v>-58.9936593505686</v>
      </c>
      <c r="H3930" s="48" t="n">
        <f aca="false">Sens!$H$3924-Sens!$H$3928-Sens!$H$3929</f>
        <v>-55.178226859921</v>
      </c>
      <c r="I3930" s="48" t="n">
        <f aca="false">Sens!$I$3924-Sens!$I$3928-Sens!$I$3929</f>
        <v>-16.6683273090053</v>
      </c>
      <c r="J3930" s="48" t="n">
        <f aca="false">Sens!$J$3924-Sens!$J$3928-Sens!$J$3929</f>
        <v>22.8841183153998</v>
      </c>
      <c r="K3930" s="48" t="n">
        <f aca="false">Sens!$K$3924-Sens!$K$3928-Sens!$K$3929</f>
        <v>118.857148730618</v>
      </c>
      <c r="L3930" s="48" t="n">
        <f aca="false">Sens!$L$3924-Sens!$L$3928-Sens!$L$3929</f>
        <v>176.906384583075</v>
      </c>
      <c r="M3930" s="48" t="n">
        <f aca="false">Sens!$M$3924-Sens!$M$3928-Sens!$M$3929</f>
        <v>205.023270578654</v>
      </c>
      <c r="N3930" s="14"/>
      <c r="O3930" s="14"/>
    </row>
    <row r="3931" customFormat="false" ht="17.15" hidden="false" customHeight="false" outlineLevel="0" collapsed="false">
      <c r="A3931" s="5" t="s">
        <v>805</v>
      </c>
      <c r="B3931" s="0" t="s">
        <v>86</v>
      </c>
      <c r="C3931" s="38" t="n">
        <f aca="false">dps*Sens!$C$3910</f>
        <v>0</v>
      </c>
      <c r="D3931" s="38" t="n">
        <f aca="false">dps*Sens!$D$3910</f>
        <v>0</v>
      </c>
      <c r="E3931" s="38" t="n">
        <f aca="false">dps*Sens!$E$3910</f>
        <v>0</v>
      </c>
      <c r="F3931" s="38" t="n">
        <f aca="false">0</f>
        <v>0</v>
      </c>
      <c r="G3931" s="38" t="n">
        <f aca="false">dps*Sens!$G$3910</f>
        <v>0</v>
      </c>
      <c r="H3931" s="38" t="n">
        <f aca="false">dps*Sens!$H$3910</f>
        <v>0</v>
      </c>
      <c r="I3931" s="38" t="n">
        <f aca="false">dps*Sens!$I$3910</f>
        <v>0</v>
      </c>
      <c r="J3931" s="38" t="n">
        <f aca="false">dps*Sens!$J$3910</f>
        <v>0</v>
      </c>
      <c r="K3931" s="38" t="n">
        <f aca="false">dps*Sens!$K$3910</f>
        <v>0</v>
      </c>
      <c r="L3931" s="38" t="n">
        <f aca="false">dps*Sens!$L$3910</f>
        <v>0</v>
      </c>
      <c r="M3931" s="38" t="n">
        <f aca="false">dps*Sens!$M$3910</f>
        <v>0</v>
      </c>
      <c r="P3931" s="8" t="s">
        <v>806</v>
      </c>
    </row>
    <row r="3932" customFormat="false" ht="17.15" hidden="false" customHeight="false" outlineLevel="0" collapsed="false">
      <c r="A3932" s="5" t="s">
        <v>807</v>
      </c>
      <c r="B3932" s="0" t="s">
        <v>86</v>
      </c>
      <c r="C3932" s="38" t="n">
        <f aca="false">0</f>
        <v>0</v>
      </c>
      <c r="D3932" s="38" t="n">
        <f aca="false">0</f>
        <v>0</v>
      </c>
      <c r="E3932" s="38" t="n">
        <f aca="false">0</f>
        <v>0</v>
      </c>
      <c r="F3932" s="38" t="n">
        <f aca="false">0</f>
        <v>0</v>
      </c>
      <c r="G3932" s="38" t="n">
        <f aca="false">0</f>
        <v>0</v>
      </c>
      <c r="H3932" s="38" t="n">
        <f aca="false">0</f>
        <v>0</v>
      </c>
      <c r="I3932" s="38" t="n">
        <f aca="false">0</f>
        <v>0</v>
      </c>
      <c r="J3932" s="38" t="n">
        <f aca="false">0</f>
        <v>0</v>
      </c>
      <c r="K3932" s="38" t="n">
        <f aca="false">0</f>
        <v>0</v>
      </c>
      <c r="L3932" s="38" t="n">
        <f aca="false">0</f>
        <v>0</v>
      </c>
      <c r="M3932" s="38" t="n">
        <f aca="false">0</f>
        <v>0</v>
      </c>
      <c r="P3932" s="8" t="s">
        <v>808</v>
      </c>
    </row>
    <row r="3933" customFormat="false" ht="15" hidden="false" customHeight="false" outlineLevel="0" collapsed="false">
      <c r="A3933" s="3" t="s">
        <v>809</v>
      </c>
      <c r="B3933" s="8" t="s">
        <v>86</v>
      </c>
      <c r="C3933" s="38" t="n">
        <f aca="false">Sens!$C$3930-Sens!$C$3931</f>
        <v>36.176</v>
      </c>
      <c r="D3933" s="38" t="n">
        <f aca="false">Sens!$D$3930-Sens!$D$3931</f>
        <v>9.63700000000002</v>
      </c>
      <c r="E3933" s="38" t="n">
        <f aca="false">Sens!$E$3930-Sens!$E$3931</f>
        <v>-25.691</v>
      </c>
      <c r="F3933" s="38" t="n">
        <f aca="false">Sens!$F$3930-Sens!$F$3931</f>
        <v>-33.3026593505686</v>
      </c>
      <c r="G3933" s="38" t="n">
        <f aca="false">Sens!$G$3930-Sens!$G$3931</f>
        <v>-58.9936593505686</v>
      </c>
      <c r="H3933" s="38" t="n">
        <f aca="false">Sens!$H$3930-Sens!$H$3931</f>
        <v>-55.178226859921</v>
      </c>
      <c r="I3933" s="38" t="n">
        <f aca="false">Sens!$I$3930-Sens!$I$3931</f>
        <v>-16.6683273090053</v>
      </c>
      <c r="J3933" s="38" t="n">
        <f aca="false">Sens!$J$3930-Sens!$J$3931</f>
        <v>22.8841183153998</v>
      </c>
      <c r="K3933" s="38" t="n">
        <f aca="false">Sens!$K$3930-Sens!$K$3931</f>
        <v>118.857148730618</v>
      </c>
      <c r="L3933" s="38" t="n">
        <f aca="false">Sens!$L$3930-Sens!$L$3931</f>
        <v>176.906384583075</v>
      </c>
      <c r="M3933" s="38" t="n">
        <f aca="false">Sens!$M$3930-Sens!$M$3931</f>
        <v>205.023270578654</v>
      </c>
    </row>
    <row r="3934" customFormat="false" ht="17.15" hidden="false" customHeight="false" outlineLevel="0" collapsed="false">
      <c r="A3934" s="5" t="s">
        <v>810</v>
      </c>
      <c r="B3934" s="0" t="s">
        <v>86</v>
      </c>
      <c r="E3934" s="38" t="n">
        <f aca="false">Q!$P$53</f>
        <v>39.767</v>
      </c>
      <c r="F3934" s="38" t="n">
        <f aca="false">inv_2h26</f>
        <v>21.3</v>
      </c>
      <c r="G3934" s="38" t="n">
        <f aca="false">Sens!$E$3934+Sens!$F$3934</f>
        <v>61.067</v>
      </c>
      <c r="H3934" s="39" t="n">
        <v>0</v>
      </c>
      <c r="I3934" s="39" t="n">
        <v>0</v>
      </c>
      <c r="J3934" s="39" t="n">
        <v>0</v>
      </c>
      <c r="K3934" s="39" t="n">
        <v>0</v>
      </c>
      <c r="L3934" s="39" t="n">
        <v>0</v>
      </c>
      <c r="M3934" s="39" t="n">
        <v>0</v>
      </c>
    </row>
    <row r="3935" customFormat="false" ht="17.15" hidden="false" customHeight="false" outlineLevel="0" collapsed="false">
      <c r="A3935" s="5" t="s">
        <v>811</v>
      </c>
      <c r="B3935" s="0" t="s">
        <v>86</v>
      </c>
      <c r="F3935" s="38" t="n">
        <f aca="false">iss_2h26</f>
        <v>29.249999</v>
      </c>
      <c r="G3935" s="38" t="n">
        <f aca="false">Sens!$F$3935</f>
        <v>29.249999</v>
      </c>
      <c r="H3935" s="39" t="n">
        <v>0</v>
      </c>
      <c r="I3935" s="39" t="n">
        <v>0</v>
      </c>
      <c r="J3935" s="39" t="n">
        <v>0</v>
      </c>
      <c r="K3935" s="39" t="n">
        <v>0</v>
      </c>
      <c r="L3935" s="39" t="n">
        <v>0</v>
      </c>
      <c r="M3935" s="39" t="n">
        <v>0</v>
      </c>
    </row>
    <row r="3936" customFormat="false" ht="17.15" hidden="false" customHeight="false" outlineLevel="0" collapsed="false">
      <c r="A3936" s="5" t="s">
        <v>812</v>
      </c>
      <c r="B3936" s="0" t="s">
        <v>86</v>
      </c>
      <c r="F3936" s="38" t="n">
        <f aca="false">cash_q2</f>
        <v>122.988</v>
      </c>
      <c r="G3936" s="38" t="n">
        <f aca="false">cash_q2</f>
        <v>122.988</v>
      </c>
      <c r="H3936" s="38" t="n">
        <f aca="false">Sens!$G$3939</f>
        <v>97.6353396494314</v>
      </c>
      <c r="I3936" s="38" t="n">
        <f aca="false">Sens!$H$3939</f>
        <v>50</v>
      </c>
      <c r="J3936" s="38" t="n">
        <f aca="false">Sens!$I$3939</f>
        <v>50</v>
      </c>
      <c r="K3936" s="38" t="n">
        <f aca="false">Sens!$J$3939</f>
        <v>72.8841183153998</v>
      </c>
      <c r="L3936" s="38" t="n">
        <f aca="false">Sens!$K$3939</f>
        <v>191.741267046018</v>
      </c>
      <c r="M3936" s="38" t="n">
        <f aca="false">Sens!$L$3939</f>
        <v>368.647651629093</v>
      </c>
    </row>
    <row r="3937" customFormat="false" ht="15" hidden="false" customHeight="false" outlineLevel="0" collapsed="false">
      <c r="A3937" s="5" t="s">
        <v>813</v>
      </c>
      <c r="B3937" s="0" t="s">
        <v>86</v>
      </c>
      <c r="F3937" s="38" t="n">
        <f aca="false">Sens!$F$3936+Sens!$F$3933-Sens!$F$3932-Sens!$F$3934+Sens!$F$3935</f>
        <v>97.6353396494314</v>
      </c>
      <c r="H3937" s="38" t="n">
        <f aca="false">Sens!$H$3936+Sens!$H$3933-Sens!$H$3932-Sens!$H$3934+Sens!$H$3935</f>
        <v>42.4571127895104</v>
      </c>
      <c r="I3937" s="38" t="n">
        <f aca="false">Sens!$I$3936+Sens!$I$3933-Sens!$I$3932-Sens!$I$3934+Sens!$I$3935</f>
        <v>33.3316726909947</v>
      </c>
      <c r="J3937" s="38" t="n">
        <f aca="false">Sens!$J$3936+Sens!$J$3933-Sens!$J$3932-Sens!$J$3934+Sens!$J$3935</f>
        <v>72.8841183153998</v>
      </c>
      <c r="K3937" s="38" t="n">
        <f aca="false">Sens!$K$3936+Sens!$K$3933-Sens!$K$3932-Sens!$K$3934+Sens!$K$3935</f>
        <v>191.741267046018</v>
      </c>
      <c r="L3937" s="38" t="n">
        <f aca="false">Sens!$L$3936+Sens!$L$3933-Sens!$L$3932-Sens!$L$3934+Sens!$L$3935</f>
        <v>368.647651629093</v>
      </c>
      <c r="M3937" s="38" t="n">
        <f aca="false">Sens!$M$3936+Sens!$M$3933-Sens!$M$3932-Sens!$M$3934+Sens!$M$3935</f>
        <v>573.670922207747</v>
      </c>
    </row>
    <row r="3938" customFormat="false" ht="17.15" hidden="false" customHeight="false" outlineLevel="0" collapsed="false">
      <c r="A3938" s="5" t="s">
        <v>814</v>
      </c>
      <c r="B3938" s="0" t="s">
        <v>86</v>
      </c>
      <c r="F3938" s="38" t="n">
        <f aca="false">MAX(0,min_cash-Sens!$F$3937)</f>
        <v>0</v>
      </c>
      <c r="G3938" s="38" t="n">
        <f aca="false">Sens!$F$3938</f>
        <v>0</v>
      </c>
      <c r="H3938" s="38" t="n">
        <f aca="false">MAX(0,min_cash-Sens!$H$3937)</f>
        <v>7.5428872104896</v>
      </c>
      <c r="I3938" s="38" t="n">
        <f aca="false">MAX(0,min_cash-Sens!$I$3937)</f>
        <v>16.6683273090053</v>
      </c>
      <c r="J3938" s="38" t="n">
        <f aca="false">MAX(0,min_cash-Sens!$J$3937)</f>
        <v>0</v>
      </c>
      <c r="K3938" s="38" t="n">
        <f aca="false">MAX(0,min_cash-Sens!$K$3937)</f>
        <v>0</v>
      </c>
      <c r="L3938" s="38" t="n">
        <f aca="false">MAX(0,min_cash-Sens!$L$3937)</f>
        <v>0</v>
      </c>
      <c r="M3938" s="38" t="n">
        <f aca="false">MAX(0,min_cash-Sens!$M$3937)</f>
        <v>0</v>
      </c>
      <c r="P3938" s="5" t="s">
        <v>815</v>
      </c>
    </row>
    <row r="3939" customFormat="false" ht="15" hidden="false" customHeight="false" outlineLevel="0" collapsed="false">
      <c r="A3939" s="5" t="s">
        <v>816</v>
      </c>
      <c r="B3939" s="0" t="s">
        <v>86</v>
      </c>
      <c r="D3939" s="38" t="n">
        <f aca="false">Q!$E$61</f>
        <v>123.029</v>
      </c>
      <c r="E3939" s="38" t="n">
        <f aca="false">Q!$M$61</f>
        <v>122.988</v>
      </c>
      <c r="F3939" s="38" t="n">
        <f aca="false">Sens!$F$3937+Sens!$F$3938</f>
        <v>97.6353396494314</v>
      </c>
      <c r="G3939" s="38" t="n">
        <f aca="false">Sens!$F$3939</f>
        <v>97.6353396494314</v>
      </c>
      <c r="H3939" s="38" t="n">
        <f aca="false">Sens!$H$3937+Sens!$H$3938</f>
        <v>50</v>
      </c>
      <c r="I3939" s="38" t="n">
        <f aca="false">Sens!$I$3937+Sens!$I$3938</f>
        <v>50</v>
      </c>
      <c r="J3939" s="38" t="n">
        <f aca="false">Sens!$J$3937+Sens!$J$3938</f>
        <v>72.8841183153998</v>
      </c>
      <c r="K3939" s="38" t="n">
        <f aca="false">Sens!$K$3937+Sens!$K$3938</f>
        <v>191.741267046018</v>
      </c>
      <c r="L3939" s="38" t="n">
        <f aca="false">Sens!$L$3937+Sens!$L$3938</f>
        <v>368.647651629093</v>
      </c>
      <c r="M3939" s="38" t="n">
        <f aca="false">Sens!$M$3937+Sens!$M$3938</f>
        <v>573.670922207747</v>
      </c>
    </row>
    <row r="3940" customFormat="false" ht="15" hidden="false" customHeight="false" outlineLevel="0" collapsed="false">
      <c r="A3940" s="5" t="s">
        <v>817</v>
      </c>
      <c r="B3940" s="0" t="s">
        <v>86</v>
      </c>
      <c r="D3940" s="38" t="n">
        <f aca="false">Q!$E$62</f>
        <v>68.836</v>
      </c>
      <c r="E3940" s="38" t="n">
        <f aca="false">Q!$M$62</f>
        <v>132.995</v>
      </c>
      <c r="F3940" s="38" t="n">
        <f aca="false">debt_q2+Sens!$F$3935+Sens!$F$3938</f>
        <v>162.244999</v>
      </c>
      <c r="G3940" s="38" t="n">
        <f aca="false">Sens!$F$3940</f>
        <v>162.244999</v>
      </c>
      <c r="H3940" s="38" t="n">
        <f aca="false">Sens!$G$3940+Sens!$H$3938</f>
        <v>169.78788621049</v>
      </c>
      <c r="I3940" s="38" t="n">
        <f aca="false">Sens!$H$3940+Sens!$I$3938</f>
        <v>186.456213519495</v>
      </c>
      <c r="J3940" s="38" t="n">
        <f aca="false">Sens!$I$3940+Sens!$J$3938</f>
        <v>186.456213519495</v>
      </c>
      <c r="K3940" s="38" t="n">
        <f aca="false">Sens!$J$3940+Sens!$K$3938</f>
        <v>186.456213519495</v>
      </c>
      <c r="L3940" s="38" t="n">
        <f aca="false">Sens!$K$3940+Sens!$L$3938</f>
        <v>186.456213519495</v>
      </c>
      <c r="M3940" s="38" t="n">
        <f aca="false">Sens!$L$3940+Sens!$M$3938</f>
        <v>186.456213519495</v>
      </c>
    </row>
    <row r="3941" customFormat="false" ht="15" hidden="false" customHeight="false" outlineLevel="0" collapsed="false">
      <c r="A3941" s="5" t="s">
        <v>818</v>
      </c>
      <c r="B3941" s="0" t="s">
        <v>86</v>
      </c>
      <c r="D3941" s="38" t="n">
        <f aca="false">Sens!$D$3940-Sens!$D$3939</f>
        <v>-54.193</v>
      </c>
      <c r="E3941" s="38" t="n">
        <f aca="false">Sens!$E$3940-Sens!$E$3939</f>
        <v>10.007</v>
      </c>
      <c r="F3941" s="38" t="n">
        <f aca="false">Sens!$F$3940-Sens!$F$3939</f>
        <v>64.6096593505686</v>
      </c>
      <c r="G3941" s="38" t="n">
        <f aca="false">Sens!$G$3940-Sens!$G$3939</f>
        <v>64.6096593505686</v>
      </c>
      <c r="H3941" s="38" t="n">
        <f aca="false">Sens!$H$3940-Sens!$H$3939</f>
        <v>119.78788621049</v>
      </c>
      <c r="I3941" s="38" t="n">
        <f aca="false">Sens!$I$3940-Sens!$I$3939</f>
        <v>136.456213519495</v>
      </c>
      <c r="J3941" s="38" t="n">
        <f aca="false">Sens!$J$3940-Sens!$J$3939</f>
        <v>113.572095204095</v>
      </c>
      <c r="K3941" s="38" t="n">
        <f aca="false">Sens!$K$3940-Sens!$K$3939</f>
        <v>-5.28505352652306</v>
      </c>
      <c r="L3941" s="38" t="n">
        <f aca="false">Sens!$L$3940-Sens!$L$3939</f>
        <v>-182.191438109598</v>
      </c>
      <c r="M3941" s="38" t="n">
        <f aca="false">Sens!$M$3940-Sens!$M$3939</f>
        <v>-387.214708688252</v>
      </c>
    </row>
    <row r="3942" customFormat="false" ht="17.15" hidden="false" customHeight="false" outlineLevel="0" collapsed="false">
      <c r="A3942" s="5" t="s">
        <v>819</v>
      </c>
      <c r="B3942" s="0" t="s">
        <v>86</v>
      </c>
      <c r="F3942" s="38" t="n">
        <f aca="false">debt_q2*kd_book*0.5+iss_2h26*kd_new*iss_t</f>
        <v>3.24888962733561</v>
      </c>
      <c r="H3942" s="38" t="n">
        <f aca="false">debt_q2*kd_book+(Sens!$G$3940-debt_q2)*kd_new</f>
        <v>7.42354172302123</v>
      </c>
      <c r="I3942" s="38" t="n">
        <f aca="false">debt_q2*kd_book+(Sens!$H$3940-debt_q2)*kd_new</f>
        <v>7.90100648344522</v>
      </c>
      <c r="J3942" s="38" t="n">
        <f aca="false">debt_q2*kd_book+(Sens!$I$3940-debt_q2)*kd_new</f>
        <v>8.95611160210525</v>
      </c>
      <c r="K3942" s="38" t="n">
        <f aca="false">debt_q2*kd_book+(Sens!$J$3940-debt_q2)*kd_new</f>
        <v>8.95611160210525</v>
      </c>
      <c r="L3942" s="38" t="n">
        <f aca="false">debt_q2*kd_book+(Sens!$K$3940-debt_q2)*kd_new</f>
        <v>8.95611160210525</v>
      </c>
      <c r="M3942" s="38" t="n">
        <f aca="false">debt_q2*kd_book+(Sens!$L$3940-debt_q2)*kd_new</f>
        <v>8.95611160210525</v>
      </c>
    </row>
    <row r="3943" customFormat="false" ht="17.15" hidden="false" customHeight="false" outlineLevel="0" collapsed="false">
      <c r="A3943" s="5" t="s">
        <v>820</v>
      </c>
      <c r="B3943" s="0" t="s">
        <v>86</v>
      </c>
      <c r="F3943" s="38" t="n">
        <f aca="false">cash_q2*y_cash*0.5</f>
        <v>2.59</v>
      </c>
      <c r="H3943" s="38" t="n">
        <f aca="false">Sens!$G$3939*y_cash</f>
        <v>4.11219842085451</v>
      </c>
      <c r="I3943" s="38" t="n">
        <f aca="false">Sens!$H$3939*y_cash</f>
        <v>2.10589651022864</v>
      </c>
      <c r="J3943" s="38" t="n">
        <f aca="false">Sens!$I$3939*y_cash</f>
        <v>2.10589651022864</v>
      </c>
      <c r="K3943" s="38" t="n">
        <f aca="false">Sens!$J$3939*y_cash</f>
        <v>3.06972820822983</v>
      </c>
      <c r="L3943" s="38" t="n">
        <f aca="false">Sens!$K$3939*y_cash</f>
        <v>8.07574530278054</v>
      </c>
      <c r="M3943" s="38" t="n">
        <f aca="false">Sens!$L$3939*y_cash</f>
        <v>15.5266760613938</v>
      </c>
    </row>
    <row r="3944" customFormat="false" ht="17.15" hidden="false" customHeight="false" outlineLevel="0" collapsed="false">
      <c r="A3944" s="47" t="s">
        <v>821</v>
      </c>
      <c r="B3944" s="14" t="s">
        <v>86</v>
      </c>
      <c r="C3944" s="14"/>
      <c r="D3944" s="14"/>
      <c r="E3944" s="14"/>
      <c r="F3944" s="14"/>
      <c r="G3944" s="48" t="n">
        <f aca="false">SUM(Sens!$G$3933:$K$3933)</f>
        <v>10.901053526523</v>
      </c>
      <c r="H3944" s="14"/>
      <c r="I3944" s="14"/>
      <c r="J3944" s="14"/>
      <c r="K3944" s="14"/>
      <c r="L3944" s="14"/>
      <c r="M3944" s="14"/>
      <c r="N3944" s="14"/>
      <c r="O3944" s="14"/>
    </row>
    <row r="3945" customFormat="false" ht="17.15" hidden="false" customHeight="false" outlineLevel="0" collapsed="false">
      <c r="A3945" s="0" t="s">
        <v>787</v>
      </c>
      <c r="B3945" s="0" t="s">
        <v>86</v>
      </c>
      <c r="G3945" s="38" t="n">
        <f aca="false">SUM(Sens!$G$3938:$K$3938)</f>
        <v>24.2112145194949</v>
      </c>
    </row>
    <row r="3946" customFormat="false" ht="17.15" hidden="false" customHeight="false" outlineLevel="0" collapsed="false">
      <c r="A3946" s="24" t="s">
        <v>824</v>
      </c>
      <c r="B3946" s="25" t="s">
        <v>86</v>
      </c>
      <c r="C3946" s="25"/>
      <c r="D3946" s="25"/>
      <c r="E3946" s="25"/>
      <c r="F3946" s="25"/>
      <c r="G3946" s="41" t="n">
        <f aca="false">Sens!$G$3944-(Sens!$G$3933+Sens!$H$3933+Sens!$I$3933+Sens!$J$3933+Sens!$K$3933)</f>
        <v>0</v>
      </c>
      <c r="H3946" s="25"/>
      <c r="I3946" s="25"/>
      <c r="J3946" s="25"/>
      <c r="K3946" s="25"/>
      <c r="L3946" s="25"/>
      <c r="M3946" s="25"/>
      <c r="N3946" s="25"/>
      <c r="O3946" s="25"/>
    </row>
    <row r="3949" customFormat="false" ht="19.4" hidden="false" customHeight="false" outlineLevel="0" collapsed="false">
      <c r="A3949" s="31" t="s">
        <v>1231</v>
      </c>
    </row>
    <row r="3950" customFormat="false" ht="17.15" hidden="false" customHeight="false" outlineLevel="0" collapsed="false">
      <c r="A3950" s="6" t="s">
        <v>16</v>
      </c>
      <c r="B3950" s="6" t="s">
        <v>17</v>
      </c>
      <c r="C3950" s="20" t="s">
        <v>504</v>
      </c>
      <c r="D3950" s="20" t="s">
        <v>505</v>
      </c>
      <c r="E3950" s="20" t="s">
        <v>587</v>
      </c>
      <c r="F3950" s="20" t="s">
        <v>588</v>
      </c>
      <c r="G3950" s="20" t="s">
        <v>589</v>
      </c>
      <c r="H3950" s="20" t="s">
        <v>590</v>
      </c>
      <c r="I3950" s="20" t="s">
        <v>591</v>
      </c>
      <c r="J3950" s="20" t="s">
        <v>592</v>
      </c>
      <c r="K3950" s="20" t="s">
        <v>593</v>
      </c>
      <c r="L3950" s="20" t="s">
        <v>594</v>
      </c>
      <c r="M3950" s="20" t="s">
        <v>595</v>
      </c>
      <c r="N3950" s="20" t="s">
        <v>596</v>
      </c>
      <c r="O3950" s="20" t="s">
        <v>597</v>
      </c>
      <c r="P3950" s="6" t="s">
        <v>23</v>
      </c>
      <c r="R3950" s="20" t="n">
        <v>2023</v>
      </c>
      <c r="S3950" s="20" t="n">
        <v>2024</v>
      </c>
      <c r="T3950" s="20" t="n">
        <v>2025</v>
      </c>
      <c r="U3950" s="20" t="n">
        <v>2026</v>
      </c>
      <c r="V3950" s="20" t="n">
        <v>2027</v>
      </c>
      <c r="W3950" s="20" t="n">
        <v>2028</v>
      </c>
      <c r="X3950" s="20" t="n">
        <v>2029</v>
      </c>
      <c r="Y3950" s="20" t="n">
        <v>2030</v>
      </c>
      <c r="Z3950" s="20" t="n">
        <v>2031</v>
      </c>
      <c r="AA3950" s="20" t="n">
        <v>2032</v>
      </c>
    </row>
    <row r="3951" customFormat="false" ht="17.15" hidden="false" customHeight="false" outlineLevel="0" collapsed="false">
      <c r="A3951" s="1" t="s">
        <v>926</v>
      </c>
    </row>
    <row r="3952" customFormat="false" ht="17.15" hidden="false" customHeight="false" outlineLevel="0" collapsed="false">
      <c r="A3952" s="0" t="s">
        <v>927</v>
      </c>
      <c r="B3952" s="0" t="s">
        <v>86</v>
      </c>
      <c r="H3952" s="38" t="n">
        <f aca="false">Sens!$H$3886*(1-tax)</f>
        <v>118.745497763497</v>
      </c>
      <c r="I3952" s="38" t="n">
        <f aca="false">Sens!$I$3886*(1-tax)</f>
        <v>139.66595948321</v>
      </c>
      <c r="J3952" s="38" t="n">
        <f aca="false">Sens!$J$3886*(1-tax)</f>
        <v>162.89305752156</v>
      </c>
      <c r="K3952" s="38" t="n">
        <f aca="false">Sens!$K$3886*(1-tax)</f>
        <v>179.35070749854</v>
      </c>
      <c r="L3952" s="38" t="n">
        <f aca="false">Sens!$L$3886*(1-tax)</f>
        <v>192.560294661356</v>
      </c>
      <c r="M3952" s="38" t="n">
        <f aca="false">Sens!$M$3886*(1-tax)</f>
        <v>203.933163131128</v>
      </c>
    </row>
    <row r="3953" customFormat="false" ht="15" hidden="false" customHeight="false" outlineLevel="0" collapsed="false">
      <c r="A3953" s="5" t="s">
        <v>928</v>
      </c>
      <c r="B3953" s="0" t="s">
        <v>86</v>
      </c>
      <c r="H3953" s="38" t="n">
        <f aca="false">Sens!$H$3897</f>
        <v>81.5618233196153</v>
      </c>
      <c r="I3953" s="38" t="n">
        <f aca="false">Sens!$I$3897</f>
        <v>118.756208740204</v>
      </c>
      <c r="J3953" s="38" t="n">
        <f aca="false">Sens!$J$3897</f>
        <v>152.469489406791</v>
      </c>
      <c r="K3953" s="38" t="n">
        <f aca="false">Sens!$K$3897</f>
        <v>186.391502623819</v>
      </c>
      <c r="L3953" s="38" t="n">
        <f aca="false">Sens!$L$3897</f>
        <v>211.926422215482</v>
      </c>
      <c r="M3953" s="38" t="n">
        <f aca="false">Sens!$M$3897</f>
        <v>229.012482097906</v>
      </c>
    </row>
    <row r="3954" customFormat="false" ht="15" hidden="false" customHeight="false" outlineLevel="0" collapsed="false">
      <c r="A3954" s="5" t="s">
        <v>929</v>
      </c>
      <c r="B3954" s="0" t="s">
        <v>86</v>
      </c>
      <c r="H3954" s="38" t="n">
        <f aca="false">Sens!$H$3928</f>
        <v>273.372679834898</v>
      </c>
      <c r="I3954" s="38" t="n">
        <f aca="false">Sens!$I$3928</f>
        <v>286.981812228425</v>
      </c>
      <c r="J3954" s="38" t="n">
        <f aca="false">Sens!$J$3928</f>
        <v>299.316513378366</v>
      </c>
      <c r="K3954" s="38" t="n">
        <f aca="false">Sens!$K$3928</f>
        <v>251.057145512292</v>
      </c>
      <c r="L3954" s="38" t="n">
        <f aca="false">Sens!$L$3928</f>
        <v>234.696330860396</v>
      </c>
      <c r="M3954" s="38" t="n">
        <f aca="false">Sens!$M$3928</f>
        <v>242.291696043352</v>
      </c>
    </row>
    <row r="3955" customFormat="false" ht="15" hidden="false" customHeight="false" outlineLevel="0" collapsed="false">
      <c r="A3955" s="5" t="s">
        <v>930</v>
      </c>
      <c r="B3955" s="0" t="s">
        <v>86</v>
      </c>
      <c r="H3955" s="38" t="n">
        <f aca="false">Sens!$H$3929</f>
        <v>1.6</v>
      </c>
      <c r="I3955" s="38" t="n">
        <f aca="false">Sens!$I$3929</f>
        <v>1.6</v>
      </c>
      <c r="J3955" s="38" t="n">
        <f aca="false">Sens!$J$3929</f>
        <v>1.6</v>
      </c>
      <c r="K3955" s="38" t="n">
        <f aca="false">Sens!$K$3929</f>
        <v>1.6</v>
      </c>
      <c r="L3955" s="38" t="n">
        <f aca="false">Sens!$L$3929</f>
        <v>1.6</v>
      </c>
      <c r="M3955" s="38" t="n">
        <f aca="false">Sens!$M$3929</f>
        <v>1.6</v>
      </c>
    </row>
    <row r="3956" customFormat="false" ht="15" hidden="false" customHeight="false" outlineLevel="0" collapsed="false">
      <c r="A3956" s="5" t="s">
        <v>931</v>
      </c>
      <c r="B3956" s="0" t="s">
        <v>86</v>
      </c>
      <c r="H3956" s="38" t="n">
        <f aca="false">Sens!$H$3923</f>
        <v>11.2928295263397</v>
      </c>
      <c r="I3956" s="38" t="n">
        <f aca="false">Sens!$I$3923</f>
        <v>12.8091546115766</v>
      </c>
      <c r="J3956" s="38" t="n">
        <f aca="false">Sens!$J$3923</f>
        <v>14.2605653162668</v>
      </c>
      <c r="K3956" s="38" t="n">
        <f aca="false">Sens!$K$3923</f>
        <v>15.5327622460396</v>
      </c>
      <c r="L3956" s="38" t="n">
        <f aca="false">Sens!$L$3923</f>
        <v>16.720573737517</v>
      </c>
      <c r="M3956" s="38" t="n">
        <f aca="false">Sens!$M$3923</f>
        <v>17.8283127551536</v>
      </c>
    </row>
    <row r="3957" customFormat="false" ht="17.15" hidden="false" customHeight="false" outlineLevel="0" collapsed="false">
      <c r="A3957" s="1" t="s">
        <v>932</v>
      </c>
      <c r="B3957" s="8" t="s">
        <v>86</v>
      </c>
      <c r="H3957" s="38" t="n">
        <f aca="false">Sens!$H$3952+Sens!$H$3953-Sens!$H$3954-Sens!$H$3955+Sens!$H$3956</f>
        <v>-63.3725292254459</v>
      </c>
      <c r="I3957" s="38" t="n">
        <f aca="false">Sens!$I$3952+Sens!$I$3953-Sens!$I$3954-Sens!$I$3955+Sens!$I$3956</f>
        <v>-17.3504893934346</v>
      </c>
      <c r="J3957" s="38" t="n">
        <f aca="false">Sens!$J$3952+Sens!$J$3953-Sens!$J$3954-Sens!$J$3955+Sens!$J$3956</f>
        <v>28.7065988662521</v>
      </c>
      <c r="K3957" s="38" t="n">
        <f aca="false">Sens!$K$3952+Sens!$K$3953-Sens!$K$3954-Sens!$K$3955+Sens!$K$3956</f>
        <v>128.617826856106</v>
      </c>
      <c r="L3957" s="38" t="n">
        <f aca="false">Sens!$L$3952+Sens!$L$3953-Sens!$L$3954-Sens!$L$3955+Sens!$L$3956</f>
        <v>184.910959753959</v>
      </c>
      <c r="M3957" s="38" t="n">
        <f aca="false">Sens!$M$3952+Sens!$M$3953-Sens!$M$3954-Sens!$M$3955+Sens!$M$3956</f>
        <v>206.882261940836</v>
      </c>
    </row>
    <row r="3958" customFormat="false" ht="15" hidden="false" customHeight="false" outlineLevel="0" collapsed="false">
      <c r="A3958" s="5" t="s">
        <v>933</v>
      </c>
      <c r="B3958" s="0" t="s">
        <v>57</v>
      </c>
      <c r="H3958" s="40" t="n">
        <f aca="false">1/(1+wacc)^(2027-2026-0.5)</f>
        <v>0.947751320380232</v>
      </c>
      <c r="I3958" s="40" t="n">
        <f aca="false">1/(1+wacc)^(2028-2026-0.5)</f>
        <v>0.851301099754987</v>
      </c>
      <c r="J3958" s="40" t="n">
        <f aca="false">1/(1+wacc)^(2029-2026-0.5)</f>
        <v>0.764666370660713</v>
      </c>
      <c r="K3958" s="40" t="n">
        <f aca="false">1/(1+wacc)^(2030-2026-0.5)</f>
        <v>0.686848235703811</v>
      </c>
      <c r="L3958" s="40" t="n">
        <f aca="false">1/(1+wacc)^(2031-2026-0.5)</f>
        <v>0.616949452715975</v>
      </c>
      <c r="M3958" s="40" t="n">
        <f aca="false">1/(1+wacc)^(2032-2026-0.5)</f>
        <v>0.554164089562688</v>
      </c>
    </row>
    <row r="3959" customFormat="false" ht="15" hidden="false" customHeight="false" outlineLevel="0" collapsed="false">
      <c r="A3959" s="5" t="s">
        <v>934</v>
      </c>
      <c r="B3959" s="0" t="s">
        <v>86</v>
      </c>
      <c r="H3959" s="38" t="n">
        <f aca="false">Sens!$H$3957*Sens!$H$3958</f>
        <v>-60.0613982492512</v>
      </c>
      <c r="I3959" s="38" t="n">
        <f aca="false">Sens!$I$3957*Sens!$I$3958</f>
        <v>-14.7704907019181</v>
      </c>
      <c r="J3959" s="38" t="n">
        <f aca="false">Sens!$J$3957*Sens!$J$3958</f>
        <v>21.9509707690699</v>
      </c>
      <c r="K3959" s="38" t="n">
        <f aca="false">Sens!$K$3957*Sens!$K$3958</f>
        <v>88.3409274561748</v>
      </c>
      <c r="L3959" s="38" t="n">
        <f aca="false">Sens!$L$3957*Sens!$L$3958</f>
        <v>114.080715421391</v>
      </c>
      <c r="M3959" s="38" t="n">
        <f aca="false">Sens!$M$3957*Sens!$M$3958</f>
        <v>114.646720335113</v>
      </c>
    </row>
    <row r="3960" customFormat="false" ht="15" hidden="false" customHeight="false" outlineLevel="0" collapsed="false">
      <c r="A3960" s="5" t="s">
        <v>935</v>
      </c>
      <c r="B3960" s="0" t="s">
        <v>86</v>
      </c>
      <c r="C3960" s="38" t="n">
        <f aca="false">SUM(Sens!$H$3959:$M$3959)</f>
        <v>264.187445030579</v>
      </c>
    </row>
    <row r="3961" customFormat="false" ht="17.15" hidden="false" customHeight="false" outlineLevel="0" collapsed="false">
      <c r="A3961" s="5" t="s">
        <v>936</v>
      </c>
      <c r="B3961" s="0" t="s">
        <v>86</v>
      </c>
      <c r="C3961" s="38" t="n">
        <f aca="false">Sens!$M$3952*(1+tg)*(1-tg/ronic)/(wacc-tg)</f>
        <v>1853.9800186288</v>
      </c>
    </row>
    <row r="3962" customFormat="false" ht="15" hidden="false" customHeight="false" outlineLevel="0" collapsed="false">
      <c r="A3962" s="5" t="s">
        <v>937</v>
      </c>
      <c r="B3962" s="0" t="s">
        <v>86</v>
      </c>
      <c r="C3962" s="38" t="n">
        <f aca="false">Sens!$C$3961/(1+wacc)^6</f>
        <v>973.728377621581</v>
      </c>
    </row>
    <row r="3963" customFormat="false" ht="17.15" hidden="false" customHeight="false" outlineLevel="0" collapsed="false">
      <c r="A3963" s="5" t="s">
        <v>938</v>
      </c>
      <c r="B3963" s="0" t="s">
        <v>86</v>
      </c>
      <c r="C3963" s="38" t="n">
        <f aca="false">Sens!$C$3960+Sens!$C$3962</f>
        <v>1237.91582265216</v>
      </c>
    </row>
    <row r="3964" customFormat="false" ht="17.15" hidden="false" customHeight="false" outlineLevel="0" collapsed="false">
      <c r="A3964" s="5" t="s">
        <v>939</v>
      </c>
      <c r="B3964" s="0" t="s">
        <v>52</v>
      </c>
      <c r="C3964" s="13" t="n">
        <f aca="false">Sens!$C$3962/Sens!$C$3963</f>
        <v>0.786586906640733</v>
      </c>
    </row>
    <row r="3965" customFormat="false" ht="17.15" hidden="false" customHeight="false" outlineLevel="0" collapsed="false">
      <c r="A3965" s="5" t="s">
        <v>940</v>
      </c>
      <c r="B3965" s="0" t="s">
        <v>86</v>
      </c>
      <c r="C3965" s="38" t="n">
        <f aca="false">Sens!$G$3941+fin_debt</f>
        <v>89.1306593505686</v>
      </c>
    </row>
    <row r="3966" customFormat="false" ht="17.15" hidden="false" customHeight="false" outlineLevel="0" collapsed="false">
      <c r="A3966" s="5" t="s">
        <v>941</v>
      </c>
      <c r="B3966" s="0" t="s">
        <v>86</v>
      </c>
      <c r="C3966" s="38" t="n">
        <f aca="false">(ant_val*ant_sh+oai_val*oai_sh)*(1-liq_disc)</f>
        <v>178.944</v>
      </c>
    </row>
    <row r="3967" customFormat="false" ht="15" hidden="false" customHeight="false" outlineLevel="0" collapsed="false">
      <c r="A3967" s="5" t="s">
        <v>942</v>
      </c>
      <c r="B3967" s="0" t="s">
        <v>86</v>
      </c>
      <c r="C3967" s="38" t="n">
        <f aca="false">Sens!$C$3963-Sens!$C$3965+Sens!$C$3966</f>
        <v>1327.72916330159</v>
      </c>
    </row>
    <row r="3968" customFormat="false" ht="17.15" hidden="false" customHeight="false" outlineLevel="0" collapsed="false">
      <c r="A3968" s="5" t="s">
        <v>943</v>
      </c>
      <c r="B3968" s="0" t="s">
        <v>27</v>
      </c>
      <c r="C3968" s="30" t="n">
        <f aca="false">Sens!$C$3967/sh_out</f>
        <v>123.093872781897</v>
      </c>
    </row>
    <row r="3969" customFormat="false" ht="17.15" hidden="false" customHeight="false" outlineLevel="0" collapsed="false">
      <c r="A3969" s="1" t="s">
        <v>944</v>
      </c>
      <c r="B3969" s="8" t="s">
        <v>27</v>
      </c>
      <c r="C3969" s="30" t="n">
        <f aca="false">Sens!$C$3968*(1+ke)^tp_yf-dps*tp_yf</f>
        <v>134.833193437202</v>
      </c>
    </row>
    <row r="3970" customFormat="false" ht="17.15" hidden="false" customHeight="false" outlineLevel="0" collapsed="false">
      <c r="A3970" s="3" t="s">
        <v>945</v>
      </c>
    </row>
    <row r="3971" customFormat="false" ht="17.15" hidden="false" customHeight="false" outlineLevel="0" collapsed="false">
      <c r="A3971" s="5" t="s">
        <v>946</v>
      </c>
      <c r="B3971" s="0" t="s">
        <v>86</v>
      </c>
      <c r="C3971" s="38" t="n">
        <f aca="false">(1-tp_yf)*(Sens!$H$3898+sbc_ab*Sens!$H$3922*Sens!$H$3759/Sens!$H$3839)+tp_yf*(Sens!$I$3898+sbc_ab*Sens!$I$3922*Sens!$I$3759/Sens!$I$3839)</f>
        <v>48.2735047325511</v>
      </c>
    </row>
    <row r="3972" customFormat="false" ht="15" hidden="false" customHeight="false" outlineLevel="0" collapsed="false">
      <c r="A3972" s="5" t="s">
        <v>947</v>
      </c>
      <c r="B3972" s="0" t="s">
        <v>57</v>
      </c>
      <c r="C3972" s="30" t="n">
        <f aca="false">m_ads*m_x</f>
        <v>9.11</v>
      </c>
    </row>
    <row r="3973" customFormat="false" ht="17.15" hidden="false" customHeight="false" outlineLevel="0" collapsed="false">
      <c r="A3973" s="5" t="s">
        <v>948</v>
      </c>
      <c r="B3973" s="0" t="s">
        <v>86</v>
      </c>
      <c r="C3973" s="38" t="n">
        <f aca="false">Sens!$C$3971*Sens!$C$3972</f>
        <v>439.77162811354</v>
      </c>
    </row>
    <row r="3974" customFormat="false" ht="17.15" hidden="false" customHeight="false" outlineLevel="0" collapsed="false">
      <c r="A3974" s="5" t="s">
        <v>949</v>
      </c>
      <c r="B3974" s="0" t="s">
        <v>86</v>
      </c>
      <c r="C3974" s="38" t="n">
        <f aca="false">(1-tp_yf)*(Sens!$H$3899+sbc_ab*Sens!$H$3922*(Sens!$H$3766-Sens!$H$3759)/Sens!$H$3839+IF(internal_ai_reading=2,1,0)*(1-ext_sh)*Sens!$H$3796)+tp_yf*(Sens!$I$3899+sbc_ab*Sens!$I$3922*(Sens!$I$3766-Sens!$I$3759)/Sens!$I$3839+IF(internal_ai_reading=2,1,0)*(1-ext_sh)*Sens!$I$3796)</f>
        <v>61.2974304034542</v>
      </c>
    </row>
    <row r="3975" customFormat="false" ht="17.15" hidden="false" customHeight="false" outlineLevel="0" collapsed="false">
      <c r="A3975" s="5" t="s">
        <v>950</v>
      </c>
      <c r="B3975" s="0" t="s">
        <v>57</v>
      </c>
      <c r="C3975" s="30" t="n">
        <f aca="false">m_retail*m_x</f>
        <v>17.72</v>
      </c>
    </row>
    <row r="3976" customFormat="false" ht="17.15" hidden="false" customHeight="false" outlineLevel="0" collapsed="false">
      <c r="A3976" s="5" t="s">
        <v>951</v>
      </c>
      <c r="B3976" s="0" t="s">
        <v>86</v>
      </c>
      <c r="C3976" s="38" t="n">
        <f aca="false">Sens!$C$3974*Sens!$C$3975</f>
        <v>1086.19046674921</v>
      </c>
    </row>
    <row r="3977" customFormat="false" ht="17.15" hidden="false" customHeight="false" outlineLevel="0" collapsed="false">
      <c r="A3977" s="0" t="s">
        <v>952</v>
      </c>
      <c r="B3977" s="0" t="s">
        <v>86</v>
      </c>
      <c r="C3977" s="38" t="n">
        <f aca="false">(1-tp_yf)*(Sens!$H$3900+sbc_ab*Sens!$H$3922*Sens!$H$3837/Sens!$H$3839)+tp_yf*(Sens!$I$3900+sbc_ab*Sens!$I$3922*Sens!$I$3837/Sens!$I$3839)</f>
        <v>97.2337130506861</v>
      </c>
    </row>
    <row r="3978" customFormat="false" ht="17.15" hidden="false" customHeight="false" outlineLevel="0" collapsed="false">
      <c r="A3978" s="0" t="s">
        <v>953</v>
      </c>
      <c r="B3978" s="0" t="s">
        <v>57</v>
      </c>
      <c r="C3978" s="30" t="n">
        <f aca="false">m_cloud*m_x</f>
        <v>13.82</v>
      </c>
    </row>
    <row r="3979" customFormat="false" ht="17.15" hidden="false" customHeight="false" outlineLevel="0" collapsed="false">
      <c r="A3979" s="0" t="s">
        <v>954</v>
      </c>
      <c r="B3979" s="0" t="s">
        <v>86</v>
      </c>
      <c r="C3979" s="38" t="n">
        <f aca="false">Sens!$C$3977*Sens!$C$3978</f>
        <v>1343.76991436048</v>
      </c>
    </row>
    <row r="3980" customFormat="false" ht="17.15" hidden="false" customHeight="false" outlineLevel="0" collapsed="false">
      <c r="A3980" s="0" t="s">
        <v>955</v>
      </c>
      <c r="B3980" s="0" t="s">
        <v>86</v>
      </c>
      <c r="H3980" s="38" t="n">
        <f aca="false">Sens!$H$3818-tax*Sens!$H$3819-ext_sh*Sens!$H$3803</f>
        <v>-115.41576008619</v>
      </c>
      <c r="I3980" s="38" t="n">
        <f aca="false">Sens!$I$3818-tax*Sens!$I$3819-ext_sh*Sens!$I$3803</f>
        <v>-88.5401912683161</v>
      </c>
      <c r="J3980" s="38" t="n">
        <f aca="false">Sens!$J$3818-tax*Sens!$J$3819-ext_sh*Sens!$J$3803</f>
        <v>-61.2977422866746</v>
      </c>
      <c r="K3980" s="38" t="n">
        <f aca="false">Sens!$K$3818-tax*Sens!$K$3819-ext_sh*Sens!$K$3803</f>
        <v>9.91264760007891</v>
      </c>
      <c r="L3980" s="38" t="n">
        <f aca="false">Sens!$L$3818-tax*Sens!$L$3819-ext_sh*Sens!$L$3803</f>
        <v>46.750156871371</v>
      </c>
      <c r="M3980" s="38" t="n">
        <f aca="false">Sens!$M$3818-tax*Sens!$M$3819-ext_sh*Sens!$M$3803</f>
        <v>55.5634749071557</v>
      </c>
    </row>
    <row r="3981" customFormat="false" ht="17.15" hidden="false" customHeight="false" outlineLevel="0" collapsed="false">
      <c r="A3981" s="5" t="s">
        <v>956</v>
      </c>
      <c r="B3981" s="0" t="s">
        <v>86</v>
      </c>
      <c r="H3981" s="38" t="n">
        <f aca="false">Sens!$H$3980*Sens!$H$3958</f>
        <v>-109.385439014374</v>
      </c>
      <c r="I3981" s="38" t="n">
        <f aca="false">Sens!$I$3980*Sens!$I$3958</f>
        <v>-75.3743621992344</v>
      </c>
      <c r="J3981" s="38" t="n">
        <f aca="false">Sens!$J$3980*Sens!$J$3958</f>
        <v>-46.8723221240472</v>
      </c>
      <c r="K3981" s="38" t="n">
        <f aca="false">Sens!$K$3980*Sens!$K$3958</f>
        <v>6.80848451526782</v>
      </c>
      <c r="L3981" s="38" t="n">
        <f aca="false">Sens!$L$3980*Sens!$L$3958</f>
        <v>28.8424836961783</v>
      </c>
      <c r="M3981" s="38" t="n">
        <f aca="false">Sens!$M$3980*Sens!$M$3958</f>
        <v>30.7912824848632</v>
      </c>
    </row>
    <row r="3982" customFormat="false" ht="17.15" hidden="false" customHeight="false" outlineLevel="0" collapsed="false">
      <c r="A3982" s="5" t="s">
        <v>957</v>
      </c>
      <c r="B3982" s="0" t="s">
        <v>86</v>
      </c>
      <c r="C3982" s="38" t="n">
        <f aca="false">Sens!$M$3819*(1-tax)*(1+tg)*(1-tg/ronic)/(wacc-tg)</f>
        <v>356.180381489473</v>
      </c>
    </row>
    <row r="3983" customFormat="false" ht="17.15" hidden="false" customHeight="false" outlineLevel="0" collapsed="false">
      <c r="A3983" s="0" t="s">
        <v>958</v>
      </c>
      <c r="B3983" s="0" t="s">
        <v>86</v>
      </c>
      <c r="C3983" s="38" t="n">
        <f aca="false">(SUM(Sens!$I$3981:$M$3981)+Sens!$C$3982/(1+wacc)^6)*(1+wacc)^tp_yf</f>
        <v>143.3703803388</v>
      </c>
    </row>
    <row r="3984" customFormat="false" ht="17.15" hidden="false" customHeight="false" outlineLevel="0" collapsed="false">
      <c r="A3984" s="5" t="s">
        <v>959</v>
      </c>
      <c r="B3984" s="0" t="s">
        <v>86</v>
      </c>
      <c r="C3984" s="38" t="n">
        <f aca="false">(1-tp_yf)*(Sens!$H$3901)+tp_yf*(Sens!$I$3901)</f>
        <v>74.6707041238437</v>
      </c>
    </row>
    <row r="3985" customFormat="false" ht="17.15" hidden="false" customHeight="false" outlineLevel="0" collapsed="false">
      <c r="A3985" s="5" t="s">
        <v>960</v>
      </c>
      <c r="B3985" s="0" t="s">
        <v>86</v>
      </c>
      <c r="C3985" s="38" t="n">
        <f aca="false">Sens!$C$3984*m_ai</f>
        <v>448.024224743062</v>
      </c>
    </row>
    <row r="3986" customFormat="false" ht="17.15" hidden="false" customHeight="false" outlineLevel="0" collapsed="false">
      <c r="A3986" s="0" t="s">
        <v>961</v>
      </c>
      <c r="B3986" s="0" t="s">
        <v>86</v>
      </c>
      <c r="C3986" s="38" t="n">
        <f aca="false">IF(ai_leg=1,Sens!$C$3983,Sens!$C$3985)</f>
        <v>143.3703803388</v>
      </c>
    </row>
    <row r="3987" customFormat="false" ht="17.15" hidden="false" customHeight="false" outlineLevel="0" collapsed="false">
      <c r="A3987" s="5" t="s">
        <v>962</v>
      </c>
      <c r="B3987" s="0" t="s">
        <v>86</v>
      </c>
      <c r="C3987" s="38" t="n">
        <f aca="false">Sens!$C$3973+Sens!$C$3976+Sens!$C$3979+Sens!$C$3986</f>
        <v>3013.10238956203</v>
      </c>
    </row>
    <row r="3988" customFormat="false" ht="17.15" hidden="false" customHeight="false" outlineLevel="0" collapsed="false">
      <c r="A3988" s="5" t="s">
        <v>963</v>
      </c>
      <c r="B3988" s="0" t="s">
        <v>86</v>
      </c>
      <c r="C3988" s="38" t="n">
        <f aca="false">Sens!$H$3941+fin_debt</f>
        <v>144.30888621049</v>
      </c>
    </row>
    <row r="3989" customFormat="false" ht="15" hidden="false" customHeight="false" outlineLevel="0" collapsed="false">
      <c r="A3989" s="5" t="s">
        <v>964</v>
      </c>
      <c r="B3989" s="0" t="s">
        <v>86</v>
      </c>
      <c r="C3989" s="38" t="n">
        <f aca="false">Sens!$C$3987-Sens!$C$3988+Sens!$C$3966</f>
        <v>3047.73750335154</v>
      </c>
    </row>
    <row r="3990" customFormat="false" ht="15" hidden="false" customHeight="false" outlineLevel="0" collapsed="false">
      <c r="A3990" s="3" t="s">
        <v>965</v>
      </c>
      <c r="B3990" s="8" t="s">
        <v>27</v>
      </c>
      <c r="C3990" s="30" t="n">
        <f aca="false">Sens!$C$3989/sh_val</f>
        <v>276.305597769161</v>
      </c>
    </row>
    <row r="3991" customFormat="false" ht="17.15" hidden="false" customHeight="false" outlineLevel="0" collapsed="false">
      <c r="A3991" s="47" t="s">
        <v>966</v>
      </c>
      <c r="B3991" s="14" t="s">
        <v>27</v>
      </c>
      <c r="C3991" s="44" t="n">
        <f aca="false">w_dcf*Sens!$C$3969+(1-w_dcf)*Sens!$C$3990</f>
        <v>205.569395603181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</row>
    <row r="3992" customFormat="false" ht="17.15" hidden="false" customHeight="false" outlineLevel="0" collapsed="false">
      <c r="A3992" s="5" t="s">
        <v>967</v>
      </c>
      <c r="B3992" s="0" t="s">
        <v>27</v>
      </c>
      <c r="C3992" s="30" t="n">
        <f aca="false">v022_wdcf*Sens!$C$3969+(1-v022_wdcf)*Sens!$C$3990</f>
        <v>212.643015819779</v>
      </c>
    </row>
    <row r="3993" customFormat="false" ht="17.15" hidden="false" customHeight="false" outlineLevel="0" collapsed="false">
      <c r="A3993" s="5" t="s">
        <v>968</v>
      </c>
      <c r="B3993" s="0" t="s">
        <v>27</v>
      </c>
      <c r="C3993" s="30" t="n">
        <f aca="false">(Sens!$C$3989-Sens!$C$3986+Sens!$C$3985)/sh_val</f>
        <v>303.925286964252</v>
      </c>
    </row>
    <row r="3996" customFormat="false" ht="19.4" hidden="false" customHeight="false" outlineLevel="0" collapsed="false">
      <c r="A3996" s="31" t="s">
        <v>1232</v>
      </c>
    </row>
    <row r="3997" customFormat="false" ht="17.15" hidden="false" customHeight="false" outlineLevel="0" collapsed="false">
      <c r="A3997" s="6" t="s">
        <v>16</v>
      </c>
      <c r="B3997" s="6" t="s">
        <v>17</v>
      </c>
      <c r="C3997" s="20" t="s">
        <v>504</v>
      </c>
      <c r="D3997" s="20" t="s">
        <v>505</v>
      </c>
      <c r="E3997" s="20" t="s">
        <v>587</v>
      </c>
      <c r="F3997" s="20" t="s">
        <v>588</v>
      </c>
      <c r="G3997" s="20" t="s">
        <v>589</v>
      </c>
      <c r="H3997" s="20" t="s">
        <v>590</v>
      </c>
      <c r="I3997" s="20" t="s">
        <v>591</v>
      </c>
      <c r="J3997" s="20" t="s">
        <v>592</v>
      </c>
      <c r="K3997" s="20" t="s">
        <v>593</v>
      </c>
      <c r="L3997" s="20" t="s">
        <v>594</v>
      </c>
      <c r="M3997" s="20" t="s">
        <v>595</v>
      </c>
      <c r="N3997" s="20" t="s">
        <v>596</v>
      </c>
      <c r="O3997" s="20" t="s">
        <v>597</v>
      </c>
      <c r="P3997" s="6" t="s">
        <v>23</v>
      </c>
      <c r="R3997" s="20" t="n">
        <v>2023</v>
      </c>
      <c r="S3997" s="20" t="n">
        <v>2024</v>
      </c>
      <c r="T3997" s="20" t="n">
        <v>2025</v>
      </c>
      <c r="U3997" s="20" t="n">
        <v>2026</v>
      </c>
      <c r="V3997" s="20" t="n">
        <v>2027</v>
      </c>
      <c r="W3997" s="20" t="n">
        <v>2028</v>
      </c>
      <c r="X3997" s="20" t="n">
        <v>2029</v>
      </c>
      <c r="Y3997" s="20" t="n">
        <v>2030</v>
      </c>
      <c r="Z3997" s="20" t="n">
        <v>2031</v>
      </c>
      <c r="AA3997" s="20" t="n">
        <v>2032</v>
      </c>
    </row>
    <row r="3998" customFormat="false" ht="17.15" hidden="false" customHeight="false" outlineLevel="0" collapsed="false">
      <c r="A3998" s="1" t="s">
        <v>677</v>
      </c>
    </row>
    <row r="3999" customFormat="false" ht="17.15" hidden="false" customHeight="false" outlineLevel="0" collapsed="false">
      <c r="A3999" s="0" t="s">
        <v>526</v>
      </c>
      <c r="B3999" s="0" t="s">
        <v>86</v>
      </c>
      <c r="C3999" s="38" t="n">
        <f aca="false">Q!$D$10</f>
        <v>247.029</v>
      </c>
      <c r="D3999" s="38" t="n">
        <f aca="false">Q!$E$10</f>
        <v>269.287</v>
      </c>
      <c r="E3999" s="38" t="n">
        <f aca="false">Q!$P$10</f>
        <v>134.686</v>
      </c>
      <c r="F3999" s="38" t="n">
        <f aca="false">Sens!$O$3999*(1+Sens!$F$4000)*Sens!$F$4011</f>
        <v>158.293876822267</v>
      </c>
      <c r="G3999" s="38" t="n">
        <f aca="false">Sens!$E$3999+Sens!$F$3999</f>
        <v>292.979876822267</v>
      </c>
      <c r="H3999" s="38" t="n">
        <f aca="false">Sens!$G$3999*(1+Sens!$H$4000)</f>
        <v>318.184543087396</v>
      </c>
      <c r="I3999" s="38" t="n">
        <f aca="false">Sens!$H$3999*(1+Sens!$I$4000)</f>
        <v>341.736278761793</v>
      </c>
      <c r="J3999" s="38" t="n">
        <f aca="false">Sens!$I$3999*(1+Sens!$J$4000)</f>
        <v>362.927192787048</v>
      </c>
      <c r="K3999" s="38" t="n">
        <f aca="false">Sens!$J$3999*(1+Sens!$K$4000)</f>
        <v>381.0735524264</v>
      </c>
      <c r="L3999" s="38" t="n">
        <f aca="false">Sens!$K$3999*(1+Sens!$L$4000)</f>
        <v>400.12723004772</v>
      </c>
      <c r="M3999" s="38" t="n">
        <f aca="false">Sens!$L$3999*(1+Sens!$M$4000)</f>
        <v>420.133591550106</v>
      </c>
      <c r="N3999" s="38" t="n">
        <f aca="false">Q!$N$10</f>
        <v>118.892</v>
      </c>
      <c r="O3999" s="38" t="n">
        <f aca="false">Q!$O$10</f>
        <v>150.395</v>
      </c>
      <c r="P3999" s="8" t="s">
        <v>678</v>
      </c>
    </row>
    <row r="4000" customFormat="false" ht="17.15" hidden="false" customHeight="false" outlineLevel="0" collapsed="false">
      <c r="A4000" s="0" t="s">
        <v>679</v>
      </c>
      <c r="B4000" s="0" t="s">
        <v>52</v>
      </c>
      <c r="E4000" s="13" t="n">
        <f aca="false">Sens!$E$3999/Sens!$N$3999-1</f>
        <v>0.132843252699929</v>
      </c>
      <c r="F4000" s="13" t="n">
        <f aca="false">Sens!$O$3999/(Q!$F$10+Q!$G$10)-1</f>
        <v>0.0980382135842941</v>
      </c>
      <c r="G4000" s="13" t="n">
        <f aca="false">Sens!$G$3999/Sens!$D$3999-1</f>
        <v>0.0879837378791657</v>
      </c>
      <c r="H4000" s="13" t="n">
        <f aca="false">Sens!$F$4000+(g_os-Sens!$F$4000)*1/4</f>
        <v>0.0860286601882206</v>
      </c>
      <c r="I4000" s="13" t="n">
        <f aca="false">Sens!$F$4000+(g_os-Sens!$F$4000)*2/4</f>
        <v>0.074019106792147</v>
      </c>
      <c r="J4000" s="13" t="n">
        <f aca="false">Sens!$F$4000+(g_os-Sens!$F$4000)*3/4</f>
        <v>0.0620095533960735</v>
      </c>
      <c r="K4000" s="13" t="n">
        <f aca="false">Sens!$F$4000+(g_os-Sens!$F$4000)*4/4</f>
        <v>0.05</v>
      </c>
      <c r="L4000" s="13" t="n">
        <f aca="false">g_os</f>
        <v>0.05</v>
      </c>
      <c r="M4000" s="13" t="n">
        <f aca="false">g_os</f>
        <v>0.05</v>
      </c>
      <c r="P4000" s="8" t="s">
        <v>680</v>
      </c>
    </row>
    <row r="4001" customFormat="false" ht="17.15" hidden="false" customHeight="false" outlineLevel="0" collapsed="false">
      <c r="A4001" s="0" t="s">
        <v>527</v>
      </c>
      <c r="B4001" s="0" t="s">
        <v>86</v>
      </c>
      <c r="C4001" s="38" t="n">
        <f aca="false">Q!$D$11</f>
        <v>21.215</v>
      </c>
      <c r="D4001" s="38" t="n">
        <f aca="false">Q!$E$11</f>
        <v>22.561</v>
      </c>
      <c r="E4001" s="38" t="n">
        <f aca="false">Q!$P$11</f>
        <v>11.579</v>
      </c>
      <c r="F4001" s="38" t="n">
        <f aca="false">Sens!$O$4001*(1+Sens!$F$4002)*Sens!$F$4011</f>
        <v>11.5938724610325</v>
      </c>
      <c r="G4001" s="38" t="n">
        <f aca="false">Sens!$E$4001+Sens!$F$4001</f>
        <v>23.1728724610325</v>
      </c>
      <c r="H4001" s="38" t="n">
        <f aca="false">Sens!$G$4001*(1+Sens!$H$4002)</f>
        <v>24.353392759506</v>
      </c>
      <c r="I4001" s="38" t="n">
        <f aca="false">Sens!$H$4001*(1+Sens!$I$4002)</f>
        <v>25.4240338872015</v>
      </c>
      <c r="J4001" s="38" t="n">
        <f aca="false">Sens!$I$4001*(1+Sens!$J$4002)</f>
        <v>26.3642491017174</v>
      </c>
      <c r="K4001" s="38" t="n">
        <f aca="false">Sens!$J$4001*(1+Sens!$K$4002)</f>
        <v>27.155176574769</v>
      </c>
      <c r="L4001" s="38" t="n">
        <f aca="false">Sens!$K$4001*(1+Sens!$L$4002)</f>
        <v>27.969831872012</v>
      </c>
      <c r="M4001" s="38" t="n">
        <f aca="false">Sens!$L$4001*(1+Sens!$M$4002)</f>
        <v>28.8089268281724</v>
      </c>
      <c r="N4001" s="38" t="n">
        <f aca="false">Q!$N$11</f>
        <v>11.128</v>
      </c>
      <c r="O4001" s="38" t="n">
        <f aca="false">Q!$O$11</f>
        <v>11.433</v>
      </c>
      <c r="P4001" s="8" t="s">
        <v>678</v>
      </c>
    </row>
    <row r="4002" customFormat="false" ht="17.15" hidden="false" customHeight="false" outlineLevel="0" collapsed="false">
      <c r="A4002" s="0" t="s">
        <v>681</v>
      </c>
      <c r="B4002" s="0" t="s">
        <v>52</v>
      </c>
      <c r="E4002" s="13" t="n">
        <f aca="false">Sens!$E$4001/Sens!$N$4001-1</f>
        <v>0.0405283968368082</v>
      </c>
      <c r="F4002" s="13" t="n">
        <f aca="false">Sens!$O$4001/(Q!$F$11+Q!$G$11)-1</f>
        <v>0.0579254187100955</v>
      </c>
      <c r="G4002" s="13" t="n">
        <f aca="false">Sens!$G$4001/Sens!$D$4001-1</f>
        <v>0.0271208040881397</v>
      </c>
      <c r="H4002" s="13" t="n">
        <f aca="false">Sens!$F$4002+(g_ps-Sens!$F$4002)*1/4</f>
        <v>0.0509440640325716</v>
      </c>
      <c r="I4002" s="13" t="n">
        <f aca="false">Sens!$F$4002+(g_ps-Sens!$F$4002)*2/4</f>
        <v>0.0439627093550477</v>
      </c>
      <c r="J4002" s="13" t="n">
        <f aca="false">Sens!$F$4002+(g_ps-Sens!$F$4002)*3/4</f>
        <v>0.0369813546775239</v>
      </c>
      <c r="K4002" s="13" t="n">
        <f aca="false">Sens!$F$4002+(g_ps-Sens!$F$4002)*4/4</f>
        <v>0.03</v>
      </c>
      <c r="L4002" s="13" t="n">
        <f aca="false">g_ps</f>
        <v>0.03</v>
      </c>
      <c r="M4002" s="13" t="n">
        <f aca="false">g_ps</f>
        <v>0.03</v>
      </c>
      <c r="P4002" s="8" t="s">
        <v>682</v>
      </c>
    </row>
    <row r="4003" customFormat="false" ht="17.15" hidden="false" customHeight="false" outlineLevel="0" collapsed="false">
      <c r="A4003" s="0" t="s">
        <v>528</v>
      </c>
      <c r="B4003" s="0" t="s">
        <v>86</v>
      </c>
      <c r="C4003" s="38" t="n">
        <f aca="false">Q!$D$12</f>
        <v>156.146</v>
      </c>
      <c r="D4003" s="38" t="n">
        <f aca="false">Q!$E$12</f>
        <v>172.162</v>
      </c>
      <c r="E4003" s="38" t="n">
        <f aca="false">Q!$P$12</f>
        <v>88.358</v>
      </c>
      <c r="F4003" s="38" t="n">
        <f aca="false">Sens!$O$4003*(1+Sens!$F$4004)*Sens!$F$4011</f>
        <v>102.004388260171</v>
      </c>
      <c r="G4003" s="38" t="n">
        <f aca="false">Sens!$E$4003+Sens!$F$4003</f>
        <v>190.362388260171</v>
      </c>
      <c r="H4003" s="38" t="n">
        <f aca="false">Sens!$G$4003*(1+Sens!$H$4004)</f>
        <v>210.343106588311</v>
      </c>
      <c r="I4003" s="38" t="n">
        <f aca="false">Sens!$H$4003*(1+Sens!$I$4004)</f>
        <v>229.969728494648</v>
      </c>
      <c r="J4003" s="38" t="n">
        <f aca="false">Sens!$I$4003*(1+Sens!$J$4004)</f>
        <v>248.747636972598</v>
      </c>
      <c r="K4003" s="38" t="n">
        <f aca="false">Sens!$J$4003*(1+Sens!$K$4004)</f>
        <v>266.15997156068</v>
      </c>
      <c r="L4003" s="38" t="n">
        <f aca="false">Sens!$K$4003*(1+Sens!$L$4004)</f>
        <v>284.791169569927</v>
      </c>
      <c r="M4003" s="38" t="n">
        <f aca="false">Sens!$L$4003*(1+Sens!$M$4004)</f>
        <v>304.726551439822</v>
      </c>
      <c r="N4003" s="38" t="n">
        <f aca="false">Q!$N$12</f>
        <v>76.86</v>
      </c>
      <c r="O4003" s="38" t="n">
        <f aca="false">Q!$O$12</f>
        <v>95.302</v>
      </c>
      <c r="P4003" s="8" t="s">
        <v>678</v>
      </c>
    </row>
    <row r="4004" customFormat="false" ht="17.15" hidden="false" customHeight="false" outlineLevel="0" collapsed="false">
      <c r="A4004" s="0" t="s">
        <v>683</v>
      </c>
      <c r="B4004" s="0" t="s">
        <v>52</v>
      </c>
      <c r="E4004" s="13" t="n">
        <f aca="false">Sens!$E$4003/Sens!$N$4003-1</f>
        <v>0.1495966692688</v>
      </c>
      <c r="F4004" s="13" t="n">
        <f aca="false">Sens!$O$4003/(Q!$F$12+Q!$G$12)-1</f>
        <v>0.11661530890813</v>
      </c>
      <c r="G4004" s="13" t="n">
        <f aca="false">Sens!$G$4003/Sens!$D$4003-1</f>
        <v>0.105716640490767</v>
      </c>
      <c r="H4004" s="13" t="n">
        <f aca="false">Sens!$F$4004+(g_sp-Sens!$F$4004)*1/4</f>
        <v>0.104961481681098</v>
      </c>
      <c r="I4004" s="13" t="n">
        <f aca="false">Sens!$F$4004+(g_sp-Sens!$F$4004)*2/4</f>
        <v>0.0933076544540651</v>
      </c>
      <c r="J4004" s="13" t="n">
        <f aca="false">Sens!$F$4004+(g_sp-Sens!$F$4004)*3/4</f>
        <v>0.0816538272270325</v>
      </c>
      <c r="K4004" s="13" t="n">
        <f aca="false">Sens!$F$4004+(g_sp-Sens!$F$4004)*4/4</f>
        <v>0.07</v>
      </c>
      <c r="L4004" s="13" t="n">
        <f aca="false">g_sp</f>
        <v>0.07</v>
      </c>
      <c r="M4004" s="13" t="n">
        <f aca="false">g_sp</f>
        <v>0.07</v>
      </c>
      <c r="P4004" s="8" t="s">
        <v>684</v>
      </c>
    </row>
    <row r="4005" customFormat="false" ht="17.15" hidden="false" customHeight="false" outlineLevel="0" collapsed="false">
      <c r="A4005" s="0" t="s">
        <v>529</v>
      </c>
      <c r="B4005" s="0" t="s">
        <v>86</v>
      </c>
      <c r="C4005" s="38" t="n">
        <f aca="false">Q!$D$13</f>
        <v>56.214</v>
      </c>
      <c r="D4005" s="38" t="n">
        <f aca="false">Q!$E$13</f>
        <v>68.635</v>
      </c>
      <c r="E4005" s="38" t="n">
        <f aca="false">Q!$P$13</f>
        <v>37.052</v>
      </c>
      <c r="F4005" s="38" t="n">
        <f aca="false">Sens!$O$4005*(1+Sens!$F$4006)*Sens!$F$4011</f>
        <v>46.1572219944148</v>
      </c>
      <c r="G4005" s="38" t="n">
        <f aca="false">Sens!$E$4005+Sens!$F$4005</f>
        <v>83.2092219944148</v>
      </c>
      <c r="H4005" s="38" t="n">
        <f aca="false">Sens!$G$4005*(1+Sens!$H$4006)</f>
        <v>99.8969223878976</v>
      </c>
      <c r="I4005" s="38" t="n">
        <f aca="false">Sens!$H$4005*(1+Sens!$I$4006)</f>
        <v>116.583111095496</v>
      </c>
      <c r="J4005" s="38" t="n">
        <f aca="false">Sens!$I$4005*(1+Sens!$J$4006)</f>
        <v>132.148941941952</v>
      </c>
      <c r="K4005" s="38" t="n">
        <f aca="false">Sens!$J$4005*(1+Sens!$K$4006)</f>
        <v>145.363836136147</v>
      </c>
      <c r="L4005" s="38" t="n">
        <f aca="false">Sens!$K$4005*(1+Sens!$L$4006)</f>
        <v>159.900219749762</v>
      </c>
      <c r="M4005" s="38" t="n">
        <f aca="false">Sens!$L$4005*(1+Sens!$M$4006)</f>
        <v>175.890241724738</v>
      </c>
      <c r="N4005" s="38" t="n">
        <f aca="false">Q!$N$13</f>
        <v>29.615</v>
      </c>
      <c r="O4005" s="38" t="n">
        <f aca="false">Q!$O$13</f>
        <v>39.02</v>
      </c>
      <c r="P4005" s="8" t="s">
        <v>678</v>
      </c>
    </row>
    <row r="4006" customFormat="false" ht="17.15" hidden="false" customHeight="false" outlineLevel="0" collapsed="false">
      <c r="A4006" s="0" t="s">
        <v>685</v>
      </c>
      <c r="B4006" s="0" t="s">
        <v>52</v>
      </c>
      <c r="E4006" s="13" t="n">
        <f aca="false">Sens!$E$4005/Sens!$N$4005-1</f>
        <v>0.25112274185379</v>
      </c>
      <c r="F4006" s="13" t="n">
        <f aca="false">Sens!$O$4005/(Q!$F$13+Q!$G$13)-1</f>
        <v>0.234068123596572</v>
      </c>
      <c r="G4006" s="13" t="n">
        <f aca="false">Sens!$G$4005/Sens!$D$4005-1</f>
        <v>0.212343876949294</v>
      </c>
      <c r="H4006" s="13" t="n">
        <f aca="false">Sens!$F$4006+(g_ad-Sens!$F$4006)*1/4</f>
        <v>0.200551092697429</v>
      </c>
      <c r="I4006" s="13" t="n">
        <f aca="false">Sens!$F$4006+(g_ad-Sens!$F$4006)*2/4</f>
        <v>0.167034061798286</v>
      </c>
      <c r="J4006" s="13" t="n">
        <f aca="false">Sens!$F$4006+(g_ad-Sens!$F$4006)*3/4</f>
        <v>0.133517030899143</v>
      </c>
      <c r="K4006" s="13" t="n">
        <f aca="false">Sens!$F$4006+(g_ad-Sens!$F$4006)*4/4</f>
        <v>0.1</v>
      </c>
      <c r="L4006" s="13" t="n">
        <f aca="false">g_ad</f>
        <v>0.1</v>
      </c>
      <c r="M4006" s="13" t="n">
        <f aca="false">g_ad</f>
        <v>0.1</v>
      </c>
      <c r="P4006" s="8" t="s">
        <v>686</v>
      </c>
    </row>
    <row r="4007" customFormat="false" ht="17.15" hidden="false" customHeight="false" outlineLevel="0" collapsed="false">
      <c r="A4007" s="0" t="s">
        <v>530</v>
      </c>
      <c r="B4007" s="0" t="s">
        <v>86</v>
      </c>
      <c r="C4007" s="38" t="n">
        <f aca="false">Q!$D$14</f>
        <v>44.374</v>
      </c>
      <c r="D4007" s="38" t="n">
        <f aca="false">Q!$E$14</f>
        <v>49.619</v>
      </c>
      <c r="E4007" s="38" t="n">
        <f aca="false">Q!$P$14</f>
        <v>27.157</v>
      </c>
      <c r="F4007" s="38" t="n">
        <f aca="false">Sens!$O$4007*(1+Sens!$F$4008)*Sens!$F$4011</f>
        <v>27.7764165988154</v>
      </c>
      <c r="G4007" s="38" t="n">
        <f aca="false">Sens!$E$4007+Sens!$F$4007</f>
        <v>54.9334165988154</v>
      </c>
      <c r="H4007" s="38" t="n">
        <f aca="false">Sens!$G$4007*(1+Sens!$H$4008)</f>
        <v>61.1564112561829</v>
      </c>
      <c r="I4007" s="38" t="n">
        <f aca="false">Sens!$H$4007*(1+Sens!$I$4008)</f>
        <v>67.2020282103945</v>
      </c>
      <c r="J4007" s="38" t="n">
        <f aca="false">Sens!$I$4007*(1+Sens!$J$4008)</f>
        <v>72.8757274028885</v>
      </c>
      <c r="K4007" s="38" t="n">
        <f aca="false">Sens!$J$4007*(1+Sens!$K$4008)</f>
        <v>77.9770283210907</v>
      </c>
      <c r="L4007" s="38" t="n">
        <f aca="false">Sens!$K$4007*(1+Sens!$L$4008)</f>
        <v>83.4354203035671</v>
      </c>
      <c r="M4007" s="38" t="n">
        <f aca="false">Sens!$L$4007*(1+Sens!$M$4008)</f>
        <v>89.2758997248168</v>
      </c>
      <c r="N4007" s="38" t="n">
        <f aca="false">Q!$N$14</f>
        <v>23.923</v>
      </c>
      <c r="O4007" s="38" t="n">
        <f aca="false">Q!$O$14</f>
        <v>25.696</v>
      </c>
      <c r="P4007" s="8" t="s">
        <v>678</v>
      </c>
    </row>
    <row r="4008" customFormat="false" ht="17.15" hidden="false" customHeight="false" outlineLevel="0" collapsed="false">
      <c r="A4008" s="0" t="s">
        <v>687</v>
      </c>
      <c r="B4008" s="0" t="s">
        <v>52</v>
      </c>
      <c r="E4008" s="13" t="n">
        <f aca="false">Sens!$E$4007/Sens!$N$4007-1</f>
        <v>0.135183714417088</v>
      </c>
      <c r="F4008" s="13" t="n">
        <f aca="false">Sens!$O$4007/(Q!$F$14+Q!$G$14)-1</f>
        <v>0.127709997366804</v>
      </c>
      <c r="G4008" s="13" t="n">
        <f aca="false">Sens!$G$4007/Sens!$D$4007-1</f>
        <v>0.107104468022641</v>
      </c>
      <c r="H4008" s="13" t="n">
        <f aca="false">Sens!$F$4008+(g_sub-Sens!$F$4008)*1/4</f>
        <v>0.113282498025103</v>
      </c>
      <c r="I4008" s="13" t="n">
        <f aca="false">Sens!$F$4008+(g_sub-Sens!$F$4008)*2/4</f>
        <v>0.0988549986834021</v>
      </c>
      <c r="J4008" s="13" t="n">
        <f aca="false">Sens!$F$4008+(g_sub-Sens!$F$4008)*3/4</f>
        <v>0.084427499341701</v>
      </c>
      <c r="K4008" s="13" t="n">
        <f aca="false">Sens!$F$4008+(g_sub-Sens!$F$4008)*4/4</f>
        <v>0.07</v>
      </c>
      <c r="L4008" s="13" t="n">
        <f aca="false">g_sub</f>
        <v>0.07</v>
      </c>
      <c r="M4008" s="13" t="n">
        <f aca="false">g_sub</f>
        <v>0.07</v>
      </c>
      <c r="P4008" s="8" t="s">
        <v>688</v>
      </c>
    </row>
    <row r="4009" customFormat="false" ht="17.15" hidden="false" customHeight="false" outlineLevel="0" collapsed="false">
      <c r="A4009" s="0" t="s">
        <v>531</v>
      </c>
      <c r="B4009" s="0" t="s">
        <v>86</v>
      </c>
      <c r="C4009" s="38" t="n">
        <f aca="false">Q!$D$15</f>
        <v>5.425</v>
      </c>
      <c r="D4009" s="38" t="n">
        <f aca="false">Q!$E$15</f>
        <v>5.935</v>
      </c>
      <c r="E4009" s="38" t="n">
        <f aca="false">Q!$P$15</f>
        <v>3.474</v>
      </c>
      <c r="F4009" s="38" t="n">
        <f aca="false">Sens!$O$4009*(1+Sens!$F$4010)*Sens!$F$4011</f>
        <v>3.22246550883619</v>
      </c>
      <c r="G4009" s="38" t="n">
        <f aca="false">Sens!$E$4009+Sens!$F$4009</f>
        <v>6.69646550883619</v>
      </c>
      <c r="H4009" s="38" t="n">
        <f aca="false">Sens!$G$4009*(1+Sens!$H$4010)</f>
        <v>7.16251344209196</v>
      </c>
      <c r="I4009" s="38" t="n">
        <f aca="false">Sens!$H$4009*(1+Sens!$I$4010)</f>
        <v>7.61421070299826</v>
      </c>
      <c r="J4009" s="38" t="n">
        <f aca="false">Sens!$I$4009*(1+Sens!$J$4010)</f>
        <v>8.04465753523932</v>
      </c>
      <c r="K4009" s="38" t="n">
        <f aca="false">Sens!$J$4009*(1+Sens!$K$4010)</f>
        <v>8.44689041200128</v>
      </c>
      <c r="L4009" s="38" t="n">
        <f aca="false">Sens!$K$4009*(1+Sens!$L$4010)</f>
        <v>8.86923493260135</v>
      </c>
      <c r="M4009" s="38" t="n">
        <f aca="false">Sens!$L$4009*(1+Sens!$M$4010)</f>
        <v>9.31269667923142</v>
      </c>
      <c r="N4009" s="38" t="n">
        <f aca="false">Q!$N$15</f>
        <v>2.811</v>
      </c>
      <c r="O4009" s="38" t="n">
        <f aca="false">Q!$O$15</f>
        <v>3.124</v>
      </c>
      <c r="P4009" s="8" t="s">
        <v>678</v>
      </c>
    </row>
    <row r="4010" customFormat="false" ht="17.15" hidden="false" customHeight="false" outlineLevel="0" collapsed="false">
      <c r="A4010" s="0" t="s">
        <v>689</v>
      </c>
      <c r="B4010" s="0" t="s">
        <v>52</v>
      </c>
      <c r="E4010" s="13" t="n">
        <f aca="false">Sens!$E$4009/Sens!$N$4009-1</f>
        <v>0.235859124866596</v>
      </c>
      <c r="F4010" s="13" t="n">
        <f aca="false">Sens!$O$4009/(Q!$F$15+Q!$G$15)-1</f>
        <v>0.0761281433000345</v>
      </c>
      <c r="G4010" s="13" t="n">
        <f aca="false">Sens!$G$4009/Sens!$D$4009-1</f>
        <v>0.128300843948811</v>
      </c>
      <c r="H4010" s="13" t="n">
        <f aca="false">Sens!$F$4010+(g_ot-Sens!$F$4010)*1/4</f>
        <v>0.0695961074750259</v>
      </c>
      <c r="I4010" s="13" t="n">
        <f aca="false">Sens!$F$4010+(g_ot-Sens!$F$4010)*2/4</f>
        <v>0.0630640716500172</v>
      </c>
      <c r="J4010" s="13" t="n">
        <f aca="false">Sens!$F$4010+(g_ot-Sens!$F$4010)*3/4</f>
        <v>0.0565320358250086</v>
      </c>
      <c r="K4010" s="13" t="n">
        <f aca="false">Sens!$F$4010+(g_ot-Sens!$F$4010)*4/4</f>
        <v>0.05</v>
      </c>
      <c r="L4010" s="13" t="n">
        <f aca="false">g_ot</f>
        <v>0.05</v>
      </c>
      <c r="M4010" s="13" t="n">
        <f aca="false">g_ot</f>
        <v>0.05</v>
      </c>
      <c r="P4010" s="8" t="s">
        <v>690</v>
      </c>
    </row>
    <row r="4011" customFormat="false" ht="17.15" hidden="false" customHeight="false" outlineLevel="0" collapsed="false">
      <c r="A4011" s="0" t="s">
        <v>691</v>
      </c>
      <c r="B4011" s="0" t="s">
        <v>57</v>
      </c>
      <c r="F4011" s="40" t="n">
        <f aca="false">(g26q3_mid*Q!$O$8/Q!$J$8-Thesis!$F$89-Thesis!$F$93)/(Sens!$O$3999*(1+Sens!$F$4000)+Sens!$O$4001*(1+Sens!$F$4002)+Sens!$O$4003*(1+Sens!$F$4004)+Sens!$O$4005*(1+Sens!$F$4006)+Sens!$O$4007*(1+Sens!$F$4008)+Sens!$O$4009*(1+Sens!$F$4010))</f>
        <v>0.958546670622329</v>
      </c>
      <c r="P4011" s="8" t="s">
        <v>692</v>
      </c>
    </row>
    <row r="4012" customFormat="false" ht="17.15" hidden="false" customHeight="false" outlineLevel="0" collapsed="false">
      <c r="A4012" s="3" t="s">
        <v>693</v>
      </c>
      <c r="B4012" s="8" t="s">
        <v>86</v>
      </c>
      <c r="C4012" s="38" t="n">
        <f aca="false">Sens!$C$3999+Sens!$C$4001+Sens!$C$4003+Sens!$C$4005+Sens!$C$4007+Sens!$C$4009</f>
        <v>530.403</v>
      </c>
      <c r="D4012" s="38" t="n">
        <f aca="false">Sens!$D$3999+Sens!$D$4001+Sens!$D$4003+Sens!$D$4005+Sens!$D$4007+Sens!$D$4009</f>
        <v>588.199</v>
      </c>
      <c r="E4012" s="38" t="n">
        <f aca="false">Sens!$E$3999+Sens!$E$4001+Sens!$E$4003+Sens!$E$4005+Sens!$E$4007+Sens!$E$4009</f>
        <v>302.306</v>
      </c>
      <c r="F4012" s="38" t="n">
        <f aca="false">Sens!$F$3999+Sens!$F$4001+Sens!$F$4003+Sens!$F$4005+Sens!$F$4007+Sens!$F$4009</f>
        <v>349.048241645537</v>
      </c>
      <c r="G4012" s="38" t="n">
        <f aca="false">Sens!$G$3999+Sens!$G$4001+Sens!$G$4003+Sens!$G$4005+Sens!$G$4007+Sens!$G$4009</f>
        <v>651.354241645537</v>
      </c>
      <c r="H4012" s="38" t="n">
        <f aca="false">Sens!$H$3999+Sens!$H$4001+Sens!$H$4003+Sens!$H$4005+Sens!$H$4007+Sens!$H$4009</f>
        <v>721.096889521386</v>
      </c>
      <c r="I4012" s="38" t="n">
        <f aca="false">Sens!$I$3999+Sens!$I$4001+Sens!$I$4003+Sens!$I$4005+Sens!$I$4007+Sens!$I$4009</f>
        <v>788.529391152531</v>
      </c>
      <c r="J4012" s="38" t="n">
        <f aca="false">Sens!$J$3999+Sens!$J$4001+Sens!$J$4003+Sens!$J$4005+Sens!$J$4007+Sens!$J$4009</f>
        <v>851.108405741443</v>
      </c>
      <c r="K4012" s="38" t="n">
        <f aca="false">Sens!$K$3999+Sens!$K$4001+Sens!$K$4003+Sens!$K$4005+Sens!$K$4007+Sens!$K$4009</f>
        <v>906.176455431088</v>
      </c>
      <c r="L4012" s="38" t="n">
        <f aca="false">Sens!$L$3999+Sens!$L$4001+Sens!$L$4003+Sens!$L$4005+Sens!$L$4007+Sens!$L$4009</f>
        <v>965.093106475589</v>
      </c>
      <c r="M4012" s="38" t="n">
        <f aca="false">Sens!$M$3999+Sens!$M$4001+Sens!$M$4003+Sens!$M$4005+Sens!$M$4007+Sens!$M$4009</f>
        <v>1028.14790794689</v>
      </c>
      <c r="N4012" s="38" t="n">
        <f aca="false">Sens!$N$3999+Sens!$N$4001+Sens!$N$4003+Sens!$N$4005+Sens!$N$4007+Sens!$N$4009</f>
        <v>263.229</v>
      </c>
      <c r="O4012" s="38" t="n">
        <f aca="false">Sens!$O$3999+Sens!$O$4001+Sens!$O$4003+Sens!$O$4005+Sens!$O$4007+Sens!$O$4009</f>
        <v>324.97</v>
      </c>
    </row>
    <row r="4013" customFormat="false" ht="17.15" hidden="false" customHeight="false" outlineLevel="0" collapsed="false">
      <c r="A4013" s="5" t="s">
        <v>694</v>
      </c>
      <c r="B4013" s="0" t="s">
        <v>52</v>
      </c>
      <c r="C4013" s="13" t="n">
        <f aca="false">Q!$D$5/(Q!$D$5+Q!$D$6)</f>
        <v>0.730570905519011</v>
      </c>
      <c r="D4013" s="13" t="n">
        <f aca="false">Q!$E$5/(Q!$E$5+Q!$E$6)</f>
        <v>0.724763217890544</v>
      </c>
      <c r="E4013" s="13" t="n">
        <f aca="false">Q!$P$5/(Q!$P$5+Q!$P$6)</f>
        <v>0.728797972914861</v>
      </c>
      <c r="F4013" s="13" t="n">
        <f aca="false">Sens!$O$4013</f>
        <v>0.718066283041511</v>
      </c>
      <c r="G4013" s="13" t="n">
        <f aca="false">Sens!$G$4014/Sens!$G$4012</f>
        <v>0.723047066202847</v>
      </c>
      <c r="H4013" s="13" t="n">
        <f aca="false">Sens!$G$4013</f>
        <v>0.723047066202847</v>
      </c>
      <c r="I4013" s="13" t="n">
        <f aca="false">Sens!$G$4013</f>
        <v>0.723047066202847</v>
      </c>
      <c r="J4013" s="13" t="n">
        <f aca="false">Sens!$G$4013</f>
        <v>0.723047066202847</v>
      </c>
      <c r="K4013" s="13" t="n">
        <f aca="false">Sens!$G$4013</f>
        <v>0.723047066202847</v>
      </c>
      <c r="L4013" s="13" t="n">
        <f aca="false">Sens!$G$4013</f>
        <v>0.723047066202847</v>
      </c>
      <c r="M4013" s="13" t="n">
        <f aca="false">Sens!$G$4013</f>
        <v>0.723047066202847</v>
      </c>
      <c r="N4013" s="13" t="n">
        <f aca="false">Q!$N$5/(Q!$N$5+Q!$N$6)</f>
        <v>0.733030935041352</v>
      </c>
      <c r="O4013" s="13" t="n">
        <f aca="false">Q!$O$5/(Q!$O$5+Q!$O$6)</f>
        <v>0.718066283041511</v>
      </c>
      <c r="P4013" s="8" t="s">
        <v>695</v>
      </c>
    </row>
    <row r="4014" customFormat="false" ht="17.15" hidden="false" customHeight="false" outlineLevel="0" collapsed="false">
      <c r="A4014" s="1" t="s">
        <v>519</v>
      </c>
      <c r="B4014" s="8" t="s">
        <v>86</v>
      </c>
      <c r="C4014" s="38" t="n">
        <f aca="false">Q!$D$5</f>
        <v>387.497</v>
      </c>
      <c r="D4014" s="38" t="n">
        <f aca="false">Q!$E$5</f>
        <v>426.305</v>
      </c>
      <c r="E4014" s="38" t="n">
        <f aca="false">Q!$P$5</f>
        <v>220.32</v>
      </c>
      <c r="F4014" s="38" t="n">
        <f aca="false">Sens!$F$4012*Sens!$F$4013</f>
        <v>250.639773480586</v>
      </c>
      <c r="G4014" s="38" t="n">
        <f aca="false">Sens!$E$4014+Sens!$F$4014</f>
        <v>470.959773480586</v>
      </c>
      <c r="H4014" s="38" t="n">
        <f aca="false">Sens!$H$4012*Sens!$H$4013</f>
        <v>521.386990416437</v>
      </c>
      <c r="I4014" s="38" t="n">
        <f aca="false">Sens!$I$4012*Sens!$I$4013</f>
        <v>570.143862887555</v>
      </c>
      <c r="J4014" s="38" t="n">
        <f aca="false">Sens!$J$4012*Sens!$J$4013</f>
        <v>615.391435791933</v>
      </c>
      <c r="K4014" s="38" t="n">
        <f aca="false">Sens!$K$4012*Sens!$K$4013</f>
        <v>655.208227561543</v>
      </c>
      <c r="L4014" s="38" t="n">
        <f aca="false">Sens!$L$4012*Sens!$L$4013</f>
        <v>697.807739249767</v>
      </c>
      <c r="M4014" s="38" t="n">
        <f aca="false">Sens!$M$4012*Sens!$M$4013</f>
        <v>743.399328463592</v>
      </c>
      <c r="N4014" s="38" t="n">
        <f aca="false">Q!$N$5</f>
        <v>192.955</v>
      </c>
      <c r="O4014" s="38" t="n">
        <f aca="false">Q!$O$5</f>
        <v>233.35</v>
      </c>
      <c r="P4014" s="5" t="s">
        <v>696</v>
      </c>
    </row>
    <row r="4015" customFormat="false" ht="17.15" hidden="false" customHeight="false" outlineLevel="0" collapsed="false">
      <c r="A4015" s="1" t="s">
        <v>522</v>
      </c>
      <c r="B4015" s="8" t="s">
        <v>86</v>
      </c>
      <c r="C4015" s="38" t="n">
        <f aca="false">Q!$D$6</f>
        <v>142.906</v>
      </c>
      <c r="D4015" s="38" t="n">
        <f aca="false">Q!$E$6</f>
        <v>161.894</v>
      </c>
      <c r="E4015" s="38" t="n">
        <f aca="false">Q!$P$6</f>
        <v>81.986</v>
      </c>
      <c r="F4015" s="38" t="n">
        <f aca="false">Sens!$F$4012*(1-Sens!$F$4013)</f>
        <v>98.408468164951</v>
      </c>
      <c r="G4015" s="38" t="n">
        <f aca="false">Sens!$E$4015+Sens!$F$4015</f>
        <v>180.394468164951</v>
      </c>
      <c r="H4015" s="38" t="n">
        <f aca="false">Sens!$H$4012*(1-Sens!$H$4013)</f>
        <v>199.709899104949</v>
      </c>
      <c r="I4015" s="38" t="n">
        <f aca="false">Sens!$I$4012*(1-Sens!$I$4013)</f>
        <v>218.385528264976</v>
      </c>
      <c r="J4015" s="38" t="n">
        <f aca="false">Sens!$J$4012*(1-Sens!$J$4013)</f>
        <v>235.71696994951</v>
      </c>
      <c r="K4015" s="38" t="n">
        <f aca="false">Sens!$K$4012*(1-Sens!$K$4013)</f>
        <v>250.968227869545</v>
      </c>
      <c r="L4015" s="38" t="n">
        <f aca="false">Sens!$L$4012*(1-Sens!$L$4013)</f>
        <v>267.285367225822</v>
      </c>
      <c r="M4015" s="38" t="n">
        <f aca="false">Sens!$M$4012*(1-Sens!$M$4013)</f>
        <v>284.748579483295</v>
      </c>
      <c r="N4015" s="38" t="n">
        <f aca="false">Q!$N$6</f>
        <v>70.274</v>
      </c>
      <c r="O4015" s="38" t="n">
        <f aca="false">Q!$O$6</f>
        <v>91.62</v>
      </c>
      <c r="P4015" s="5" t="s">
        <v>697</v>
      </c>
    </row>
    <row r="4016" customFormat="false" ht="17.15" hidden="false" customHeight="false" outlineLevel="0" collapsed="false">
      <c r="A4016" s="5" t="s">
        <v>698</v>
      </c>
      <c r="B4016" s="0" t="s">
        <v>86</v>
      </c>
      <c r="C4016" s="38" t="n">
        <f aca="false">Sens!$C$4005*Sens!$C$4013</f>
        <v>41.0683128828457</v>
      </c>
      <c r="D4016" s="38" t="n">
        <f aca="false">Sens!$D$4005*Sens!$D$4013</f>
        <v>49.7441234599175</v>
      </c>
      <c r="E4016" s="38" t="n">
        <f aca="false">Sens!$E$4005*Sens!$E$4013</f>
        <v>27.0034224924414</v>
      </c>
      <c r="F4016" s="38" t="n">
        <f aca="false">Sens!$F$4005*Sens!$F$4013</f>
        <v>33.1439448330513</v>
      </c>
      <c r="G4016" s="38" t="n">
        <f aca="false">Sens!$G$4005*Sens!$G$4013</f>
        <v>60.164183844083</v>
      </c>
      <c r="H4016" s="38" t="n">
        <f aca="false">Sens!$H$4005*Sens!$H$4013</f>
        <v>72.2301766552629</v>
      </c>
      <c r="I4016" s="38" t="n">
        <f aca="false">Sens!$I$4005*Sens!$I$4013</f>
        <v>84.2950764463991</v>
      </c>
      <c r="J4016" s="38" t="n">
        <f aca="false">Sens!$J$4005*Sens!$J$4013</f>
        <v>95.5499047729386</v>
      </c>
      <c r="K4016" s="38" t="n">
        <f aca="false">Sens!$K$4005*Sens!$K$4013</f>
        <v>105.104895250232</v>
      </c>
      <c r="L4016" s="38" t="n">
        <f aca="false">Sens!$L$4005*Sens!$L$4013</f>
        <v>115.615384775256</v>
      </c>
      <c r="M4016" s="38" t="n">
        <f aca="false">Sens!$M$4005*Sens!$M$4013</f>
        <v>127.176923252781</v>
      </c>
      <c r="N4016" s="38" t="n">
        <f aca="false">Sens!$N$4005*Sens!$N$4013</f>
        <v>21.7087111412496</v>
      </c>
      <c r="O4016" s="38" t="n">
        <f aca="false">Sens!$O$4005*Sens!$O$4013</f>
        <v>28.0189463642798</v>
      </c>
      <c r="P4016" s="5" t="s">
        <v>699</v>
      </c>
    </row>
    <row r="4017" customFormat="false" ht="15" hidden="false" customHeight="false" outlineLevel="0" collapsed="false">
      <c r="A4017" s="5" t="s">
        <v>700</v>
      </c>
      <c r="B4017" s="0" t="s">
        <v>86</v>
      </c>
      <c r="C4017" s="38" t="n">
        <f aca="false">Sens!$C$4005-Sens!$C$4016</f>
        <v>15.1456871171543</v>
      </c>
      <c r="D4017" s="38" t="n">
        <f aca="false">Sens!$D$4005-Sens!$D$4016</f>
        <v>18.8908765400825</v>
      </c>
      <c r="E4017" s="38" t="n">
        <f aca="false">Sens!$E$4005-Sens!$E$4016</f>
        <v>10.0485775075586</v>
      </c>
      <c r="F4017" s="38" t="n">
        <f aca="false">Sens!$F$4005-Sens!$F$4016</f>
        <v>13.0132771613635</v>
      </c>
      <c r="G4017" s="38" t="n">
        <f aca="false">Sens!$G$4005-Sens!$G$4016</f>
        <v>23.0450381503318</v>
      </c>
      <c r="H4017" s="38" t="n">
        <f aca="false">Sens!$H$4005-Sens!$H$4016</f>
        <v>27.6667457326347</v>
      </c>
      <c r="I4017" s="38" t="n">
        <f aca="false">Sens!$I$4005-Sens!$I$4016</f>
        <v>32.2880346490971</v>
      </c>
      <c r="J4017" s="38" t="n">
        <f aca="false">Sens!$J$4005-Sens!$J$4016</f>
        <v>36.5990371690132</v>
      </c>
      <c r="K4017" s="38" t="n">
        <f aca="false">Sens!$K$4005-Sens!$K$4016</f>
        <v>40.2589408859145</v>
      </c>
      <c r="L4017" s="38" t="n">
        <f aca="false">Sens!$L$4005-Sens!$L$4016</f>
        <v>44.2848349745059</v>
      </c>
      <c r="M4017" s="38" t="n">
        <f aca="false">Sens!$M$4005-Sens!$M$4016</f>
        <v>48.7133184719565</v>
      </c>
      <c r="N4017" s="38" t="n">
        <f aca="false">Sens!$N$4005-Sens!$N$4016</f>
        <v>7.90628885875037</v>
      </c>
      <c r="O4017" s="38" t="n">
        <f aca="false">Sens!$O$4005-Sens!$O$4016</f>
        <v>11.0010536357202</v>
      </c>
    </row>
    <row r="4018" customFormat="false" ht="19.4" hidden="false" customHeight="false" outlineLevel="0" collapsed="false">
      <c r="A4018" s="31" t="s">
        <v>1233</v>
      </c>
    </row>
    <row r="4019" customFormat="false" ht="17.15" hidden="false" customHeight="false" outlineLevel="0" collapsed="false">
      <c r="A4019" s="6" t="s">
        <v>16</v>
      </c>
      <c r="B4019" s="6" t="s">
        <v>17</v>
      </c>
      <c r="C4019" s="20" t="s">
        <v>504</v>
      </c>
      <c r="D4019" s="20" t="s">
        <v>505</v>
      </c>
      <c r="E4019" s="20" t="s">
        <v>587</v>
      </c>
      <c r="F4019" s="20" t="s">
        <v>588</v>
      </c>
      <c r="G4019" s="20" t="s">
        <v>589</v>
      </c>
      <c r="H4019" s="20" t="s">
        <v>590</v>
      </c>
      <c r="I4019" s="20" t="s">
        <v>591</v>
      </c>
      <c r="J4019" s="20" t="s">
        <v>592</v>
      </c>
      <c r="K4019" s="20" t="s">
        <v>593</v>
      </c>
      <c r="L4019" s="20" t="s">
        <v>594</v>
      </c>
      <c r="M4019" s="20" t="s">
        <v>595</v>
      </c>
      <c r="N4019" s="20" t="s">
        <v>596</v>
      </c>
      <c r="O4019" s="20" t="s">
        <v>597</v>
      </c>
      <c r="P4019" s="6" t="s">
        <v>23</v>
      </c>
      <c r="R4019" s="20" t="n">
        <v>2023</v>
      </c>
      <c r="S4019" s="20" t="n">
        <v>2024</v>
      </c>
      <c r="T4019" s="20" t="n">
        <v>2025</v>
      </c>
      <c r="U4019" s="20" t="n">
        <v>2026</v>
      </c>
      <c r="V4019" s="20" t="n">
        <v>2027</v>
      </c>
      <c r="W4019" s="20" t="n">
        <v>2028</v>
      </c>
      <c r="X4019" s="20" t="n">
        <v>2029</v>
      </c>
      <c r="Y4019" s="20" t="n">
        <v>2030</v>
      </c>
      <c r="Z4019" s="20" t="n">
        <v>2031</v>
      </c>
      <c r="AA4019" s="20" t="n">
        <v>2032</v>
      </c>
    </row>
    <row r="4020" customFormat="false" ht="17.15" hidden="false" customHeight="false" outlineLevel="0" collapsed="false">
      <c r="A4020" s="1" t="s">
        <v>598</v>
      </c>
    </row>
    <row r="4021" customFormat="false" ht="17.15" hidden="false" customHeight="false" outlineLevel="0" collapsed="false">
      <c r="A4021" s="5" t="s">
        <v>599</v>
      </c>
      <c r="B4021" s="0" t="s">
        <v>144</v>
      </c>
      <c r="H4021" s="32" t="n">
        <f aca="false">pace_B</f>
        <v>3634.3</v>
      </c>
      <c r="I4021" s="32" t="n">
        <f aca="false">pace_B</f>
        <v>3634.3</v>
      </c>
      <c r="J4021" s="32" t="n">
        <f aca="false">pace_B</f>
        <v>3634.3</v>
      </c>
      <c r="K4021" s="32" t="n">
        <f aca="false">pace_B+(Sens!$J$4022*tg-pace_B)*1/3</f>
        <v>2570.86716666667</v>
      </c>
      <c r="L4021" s="32" t="n">
        <f aca="false">pace_B+(Sens!$J$4022*tg-pace_B)*2/3</f>
        <v>1507.43433333333</v>
      </c>
      <c r="M4021" s="32" t="n">
        <f aca="false">pace_B+(Sens!$J$4022*tg-pace_B)*3/3</f>
        <v>444.0015</v>
      </c>
      <c r="P4021" s="5" t="s">
        <v>600</v>
      </c>
    </row>
    <row r="4022" customFormat="false" ht="17.15" hidden="false" customHeight="false" outlineLevel="0" collapsed="false">
      <c r="A4022" s="15" t="s">
        <v>601</v>
      </c>
      <c r="B4022" s="14" t="s">
        <v>129</v>
      </c>
      <c r="C4022" s="33" t="n">
        <f aca="false">mw_ye24</f>
        <v>360</v>
      </c>
      <c r="D4022" s="33" t="n">
        <f aca="false">mw_ye25</f>
        <v>1440</v>
      </c>
      <c r="E4022" s="33" t="n">
        <f aca="false">mw_open</f>
        <v>2080</v>
      </c>
      <c r="F4022" s="33" t="n">
        <f aca="false">Sens!$E$4022+pace_B*0.5</f>
        <v>3897.15</v>
      </c>
      <c r="G4022" s="33" t="n">
        <f aca="false">Sens!$F$4022</f>
        <v>3897.15</v>
      </c>
      <c r="H4022" s="33" t="n">
        <f aca="false">Sens!$G$4022+Sens!$H$4021</f>
        <v>7531.45</v>
      </c>
      <c r="I4022" s="33" t="n">
        <f aca="false">Sens!$H$4022+Sens!$I$4021</f>
        <v>11165.75</v>
      </c>
      <c r="J4022" s="33" t="n">
        <f aca="false">Sens!$I$4022+Sens!$J$4021</f>
        <v>14800.05</v>
      </c>
      <c r="K4022" s="33" t="n">
        <f aca="false">Sens!$J$4022+Sens!$K$4021</f>
        <v>17370.9171666667</v>
      </c>
      <c r="L4022" s="33" t="n">
        <f aca="false">Sens!$K$4022+Sens!$L$4021</f>
        <v>18878.3515</v>
      </c>
      <c r="M4022" s="33" t="n">
        <f aca="false">Sens!$L$4022+Sens!$M$4021</f>
        <v>19322.353</v>
      </c>
      <c r="N4022" s="33" t="n">
        <f aca="false">(mw_ye24+mw_ye25)/2</f>
        <v>900</v>
      </c>
      <c r="O4022" s="33" t="n">
        <f aca="false">mw_ye25</f>
        <v>1440</v>
      </c>
      <c r="P4022" s="5" t="s">
        <v>602</v>
      </c>
    </row>
    <row r="4023" customFormat="false" ht="17.15" hidden="false" customHeight="false" outlineLevel="0" collapsed="false">
      <c r="A4023" s="5" t="s">
        <v>603</v>
      </c>
      <c r="B4023" s="0" t="s">
        <v>129</v>
      </c>
      <c r="C4023" s="32" t="n">
        <f aca="false">(mw_ye23+mw_ye24)/2</f>
        <v>240</v>
      </c>
      <c r="D4023" s="32" t="n">
        <f aca="false">(Sens!$C$4022+Sens!$D$4022)/2</f>
        <v>900</v>
      </c>
      <c r="E4023" s="32" t="n">
        <f aca="false">(Sens!$D$4022+Sens!$E$4022)/2</f>
        <v>1760</v>
      </c>
      <c r="F4023" s="32" t="n">
        <f aca="false">(Sens!$E$4022+Sens!$F$4022)/2</f>
        <v>2988.575</v>
      </c>
      <c r="G4023" s="32" t="n">
        <f aca="false">(Sens!$E$4023+Sens!$F$4023)/2</f>
        <v>2374.2875</v>
      </c>
      <c r="H4023" s="32" t="n">
        <f aca="false">(Sens!$G$4022+Sens!$H$4022)/2</f>
        <v>5714.3</v>
      </c>
      <c r="I4023" s="32" t="n">
        <f aca="false">(Sens!$H$4022+Sens!$I$4022)/2</f>
        <v>9348.6</v>
      </c>
      <c r="J4023" s="32" t="n">
        <f aca="false">(Sens!$I$4022+Sens!$J$4022)/2</f>
        <v>12982.9</v>
      </c>
      <c r="K4023" s="32" t="n">
        <f aca="false">(Sens!$J$4022+Sens!$K$4022)/2</f>
        <v>16085.4835833333</v>
      </c>
      <c r="L4023" s="32" t="n">
        <f aca="false">(Sens!$K$4022+Sens!$L$4022)/2</f>
        <v>18124.6343333333</v>
      </c>
      <c r="M4023" s="32" t="n">
        <f aca="false">(Sens!$L$4022+Sens!$M$4022)/2</f>
        <v>19100.35225</v>
      </c>
      <c r="N4023" s="32" t="n">
        <f aca="false">(Sens!$C$4022+Sens!$N$4022)/2</f>
        <v>630</v>
      </c>
      <c r="O4023" s="32" t="n">
        <f aca="false">(Sens!$N$4022+Sens!$O$4022)/2</f>
        <v>1170</v>
      </c>
    </row>
    <row r="4024" customFormat="false" ht="15" hidden="false" customHeight="false" outlineLevel="0" collapsed="false">
      <c r="A4024" s="5" t="s">
        <v>604</v>
      </c>
      <c r="B4024" s="5" t="s">
        <v>123</v>
      </c>
      <c r="C4024" s="34" t="n">
        <v>1</v>
      </c>
      <c r="D4024" s="34" t="n">
        <v>1</v>
      </c>
      <c r="E4024" s="34" t="n">
        <v>0.5</v>
      </c>
      <c r="F4024" s="34" t="n">
        <v>0.5</v>
      </c>
      <c r="G4024" s="34" t="n">
        <v>1</v>
      </c>
      <c r="H4024" s="34" t="n">
        <v>1</v>
      </c>
      <c r="I4024" s="34" t="n">
        <v>1</v>
      </c>
      <c r="J4024" s="34" t="n">
        <v>1</v>
      </c>
      <c r="K4024" s="34" t="n">
        <v>1</v>
      </c>
      <c r="L4024" s="34" t="n">
        <v>1</v>
      </c>
      <c r="M4024" s="34" t="n">
        <v>1</v>
      </c>
      <c r="N4024" s="34" t="n">
        <v>0.5</v>
      </c>
      <c r="O4024" s="34" t="n">
        <v>0.5</v>
      </c>
    </row>
    <row r="4025" customFormat="false" ht="17.15" hidden="false" customHeight="false" outlineLevel="0" collapsed="false">
      <c r="A4025" s="5" t="s">
        <v>605</v>
      </c>
      <c r="B4025" s="0" t="s">
        <v>129</v>
      </c>
      <c r="C4025" s="32" t="n">
        <f aca="false">Sens!$C$4022-mw_ye23</f>
        <v>240</v>
      </c>
      <c r="D4025" s="32" t="n">
        <f aca="false">Sens!$D$4022-Sens!$C$4022</f>
        <v>1080</v>
      </c>
      <c r="E4025" s="32" t="n">
        <f aca="false">Sens!$E$4022-Sens!$D$4022</f>
        <v>640</v>
      </c>
      <c r="F4025" s="32" t="n">
        <f aca="false">Sens!$F$4022-Sens!$E$4022</f>
        <v>1817.15</v>
      </c>
      <c r="G4025" s="32" t="n">
        <f aca="false">Sens!$E$4025+Sens!$F$4025</f>
        <v>2457.15</v>
      </c>
      <c r="H4025" s="32" t="n">
        <f aca="false">Sens!$H$4022-Sens!$G$4022</f>
        <v>3634.3</v>
      </c>
      <c r="I4025" s="32" t="n">
        <f aca="false">Sens!$I$4022-Sens!$H$4022</f>
        <v>3634.3</v>
      </c>
      <c r="J4025" s="32" t="n">
        <f aca="false">Sens!$J$4022-Sens!$I$4022</f>
        <v>3634.3</v>
      </c>
      <c r="K4025" s="32" t="n">
        <f aca="false">Sens!$K$4022-Sens!$J$4022</f>
        <v>2570.86716666667</v>
      </c>
      <c r="L4025" s="32" t="n">
        <f aca="false">Sens!$L$4022-Sens!$K$4022</f>
        <v>1507.43433333333</v>
      </c>
      <c r="M4025" s="32" t="n">
        <f aca="false">Sens!$M$4022-Sens!$L$4022</f>
        <v>444.001499999999</v>
      </c>
      <c r="N4025" s="32" t="n">
        <f aca="false">Sens!$N$4022-Sens!$C$4022</f>
        <v>540</v>
      </c>
      <c r="O4025" s="32" t="n">
        <f aca="false">Sens!$O$4022-Sens!$N$4022</f>
        <v>540</v>
      </c>
    </row>
    <row r="4026" customFormat="false" ht="17.15" hidden="false" customHeight="false" outlineLevel="0" collapsed="false">
      <c r="A4026" s="5" t="s">
        <v>606</v>
      </c>
      <c r="B4026" s="0" t="s">
        <v>129</v>
      </c>
      <c r="C4026" s="32" t="n">
        <f aca="false">Sens!$C$4025/ext_sh</f>
        <v>300</v>
      </c>
      <c r="D4026" s="32" t="n">
        <f aca="false">Sens!$D$4025/ext_sh</f>
        <v>1350</v>
      </c>
      <c r="E4026" s="32" t="n">
        <f aca="false">Sens!$E$4025/ext_sh</f>
        <v>800</v>
      </c>
      <c r="F4026" s="32" t="n">
        <f aca="false">Sens!$F$4025/ext_sh</f>
        <v>2271.4375</v>
      </c>
      <c r="G4026" s="32" t="n">
        <f aca="false">Sens!$G$4025/ext_sh</f>
        <v>3071.4375</v>
      </c>
      <c r="H4026" s="32" t="n">
        <f aca="false">Sens!$H$4025/ext_sh</f>
        <v>4542.875</v>
      </c>
      <c r="I4026" s="32" t="n">
        <f aca="false">Sens!$I$4025/ext_sh</f>
        <v>4542.875</v>
      </c>
      <c r="J4026" s="32" t="n">
        <f aca="false">Sens!$J$4025/ext_sh</f>
        <v>4542.875</v>
      </c>
      <c r="K4026" s="32" t="n">
        <f aca="false">Sens!$K$4025/ext_sh</f>
        <v>3213.58395833333</v>
      </c>
      <c r="L4026" s="32" t="n">
        <f aca="false">Sens!$L$4025/ext_sh</f>
        <v>1884.29291666667</v>
      </c>
      <c r="M4026" s="32" t="n">
        <f aca="false">Sens!$M$4025/ext_sh</f>
        <v>555.001874999998</v>
      </c>
      <c r="N4026" s="32" t="n">
        <f aca="false">Sens!$N$4025/ext_sh</f>
        <v>675</v>
      </c>
      <c r="O4026" s="32" t="n">
        <f aca="false">Sens!$O$4025/ext_sh</f>
        <v>675</v>
      </c>
      <c r="P4026" s="8" t="s">
        <v>607</v>
      </c>
      <c r="R4026" s="32" t="n">
        <f aca="false">mw_ye23/ext_sh</f>
        <v>150</v>
      </c>
      <c r="S4026" s="32" t="n">
        <f aca="false">Sens!$C$4026</f>
        <v>300</v>
      </c>
      <c r="T4026" s="32" t="n">
        <f aca="false">Sens!$D$4026</f>
        <v>1350</v>
      </c>
      <c r="U4026" s="32" t="n">
        <f aca="false">Sens!$G$4026</f>
        <v>3071.4375</v>
      </c>
      <c r="V4026" s="32" t="n">
        <f aca="false">Sens!$H$4026</f>
        <v>4542.875</v>
      </c>
      <c r="W4026" s="32" t="n">
        <f aca="false">Sens!$I$4026</f>
        <v>4542.875</v>
      </c>
      <c r="X4026" s="32" t="n">
        <f aca="false">Sens!$J$4026</f>
        <v>4542.875</v>
      </c>
      <c r="Y4026" s="32" t="n">
        <f aca="false">Sens!$K$4026</f>
        <v>3213.58395833333</v>
      </c>
      <c r="Z4026" s="32" t="n">
        <f aca="false">Sens!$L$4026</f>
        <v>1884.29291666667</v>
      </c>
      <c r="AA4026" s="32" t="n">
        <f aca="false">Sens!$M$4026</f>
        <v>555.001874999998</v>
      </c>
    </row>
    <row r="4027" customFormat="false" ht="17.15" hidden="false" customHeight="false" outlineLevel="0" collapsed="false">
      <c r="A4027" s="1" t="s">
        <v>608</v>
      </c>
    </row>
    <row r="4028" customFormat="false" ht="17.15" hidden="false" customHeight="false" outlineLevel="0" collapsed="false">
      <c r="A4028" s="0" t="s">
        <v>609</v>
      </c>
      <c r="B4028" s="0" t="s">
        <v>52</v>
      </c>
      <c r="F4028" s="35" t="n">
        <f aca="false">na_vr26</f>
        <v>0</v>
      </c>
      <c r="G4028" s="35" t="n">
        <f aca="false">na_vr26</f>
        <v>0</v>
      </c>
      <c r="H4028" s="35" t="n">
        <f aca="false">na_vr27</f>
        <v>0.5</v>
      </c>
      <c r="I4028" s="35" t="n">
        <f aca="false">na_vr28</f>
        <v>1</v>
      </c>
      <c r="J4028" s="35" t="n">
        <f aca="false">na_vr28</f>
        <v>1</v>
      </c>
      <c r="K4028" s="35" t="n">
        <f aca="false">na_vr28</f>
        <v>1</v>
      </c>
      <c r="L4028" s="35" t="n">
        <f aca="false">na_vr28</f>
        <v>1</v>
      </c>
      <c r="M4028" s="35" t="n">
        <f aca="false">na_vr28</f>
        <v>1</v>
      </c>
    </row>
    <row r="4029" customFormat="false" ht="17.15" hidden="false" customHeight="false" outlineLevel="0" collapsed="false">
      <c r="A4029" s="5" t="s">
        <v>610</v>
      </c>
      <c r="B4029" s="0" t="s">
        <v>173</v>
      </c>
      <c r="F4029" s="36" t="n">
        <f aca="false">cust_sh*tk_he_gb300*cf_chip+(1-cust_sh)*((1-Sens!$F$4028)*tk_he_gb300+Sens!$F$4028*tk_he_vr200)</f>
        <v>10.8864110021101</v>
      </c>
      <c r="G4029" s="36" t="n">
        <f aca="false">cust_sh*tk_he_gb300*cf_chip+(1-cust_sh)*((1-Sens!$G$4028)*tk_he_gb300+Sens!$G$4028*tk_he_vr200)</f>
        <v>10.8864110021101</v>
      </c>
      <c r="H4029" s="36" t="n">
        <f aca="false">cust_sh*tk_he_gb300*cf_chip+(1-cust_sh)*((1-Sens!$H$4028)*tk_he_gb300+Sens!$H$4028*tk_he_vr200)</f>
        <v>11.2211760027286</v>
      </c>
      <c r="I4029" s="36" t="n">
        <f aca="false">cust_sh*tk_he_gb300*cf_chip+(1-cust_sh)*((1-Sens!$I$4028)*tk_he_gb300+Sens!$I$4028*tk_he_vr200)</f>
        <v>11.5559410033471</v>
      </c>
      <c r="J4029" s="36" t="n">
        <f aca="false">cust_sh*tk_he_gb300*cf_chip+(1-cust_sh)*((1-Sens!$J$4028)*tk_he_gb300+Sens!$J$4028*tk_he_vr200)</f>
        <v>11.5559410033471</v>
      </c>
      <c r="K4029" s="36" t="n">
        <f aca="false">cust_sh*tk_he_gb300*cf_chip+(1-cust_sh)*((1-Sens!$K$4028)*tk_he_gb300+Sens!$K$4028*tk_he_vr200)</f>
        <v>11.5559410033471</v>
      </c>
      <c r="L4029" s="36" t="n">
        <f aca="false">cust_sh*tk_he_gb300*cf_chip+(1-cust_sh)*((1-Sens!$L$4028)*tk_he_gb300+Sens!$L$4028*tk_he_vr200)</f>
        <v>11.5559410033471</v>
      </c>
      <c r="M4029" s="36" t="n">
        <f aca="false">cust_sh*tk_he_gb300*cf_chip+(1-cust_sh)*((1-Sens!$M$4028)*tk_he_gb300+Sens!$M$4028*tk_he_vr200)</f>
        <v>11.5559410033471</v>
      </c>
    </row>
    <row r="4030" customFormat="false" ht="17.15" hidden="false" customHeight="false" outlineLevel="0" collapsed="false">
      <c r="A4030" s="5" t="s">
        <v>611</v>
      </c>
      <c r="B4030" s="0" t="s">
        <v>173</v>
      </c>
      <c r="F4030" s="36" t="n">
        <f aca="false">cust_sh*tk_ox_gb300+(1-cust_sh)*((1-Sens!$F$4028)*tk_ox_gb300+Sens!$F$4028*tk_ox_vr200)</f>
        <v>1.98263481314457</v>
      </c>
      <c r="G4030" s="36" t="n">
        <f aca="false">cust_sh*tk_ox_gb300+(1-cust_sh)*((1-Sens!$G$4028)*tk_ox_gb300+Sens!$G$4028*tk_ox_vr200)</f>
        <v>1.98263481314457</v>
      </c>
      <c r="H4030" s="36" t="n">
        <f aca="false">cust_sh*tk_ox_gb300+(1-cust_sh)*((1-Sens!$H$4028)*tk_ox_gb300+Sens!$H$4028*tk_ox_vr200)</f>
        <v>2.01034999693694</v>
      </c>
      <c r="I4030" s="36" t="n">
        <f aca="false">cust_sh*tk_ox_gb300+(1-cust_sh)*((1-Sens!$I$4028)*tk_ox_gb300+Sens!$I$4028*tk_ox_vr200)</f>
        <v>2.0380651807293</v>
      </c>
      <c r="J4030" s="36" t="n">
        <f aca="false">cust_sh*tk_ox_gb300+(1-cust_sh)*((1-Sens!$J$4028)*tk_ox_gb300+Sens!$J$4028*tk_ox_vr200)</f>
        <v>2.0380651807293</v>
      </c>
      <c r="K4030" s="36" t="n">
        <f aca="false">cust_sh*tk_ox_gb300+(1-cust_sh)*((1-Sens!$K$4028)*tk_ox_gb300+Sens!$K$4028*tk_ox_vr200)</f>
        <v>2.0380651807293</v>
      </c>
      <c r="L4030" s="36" t="n">
        <f aca="false">cust_sh*tk_ox_gb300+(1-cust_sh)*((1-Sens!$L$4028)*tk_ox_gb300+Sens!$L$4028*tk_ox_vr200)</f>
        <v>2.0380651807293</v>
      </c>
      <c r="M4030" s="36" t="n">
        <f aca="false">cust_sh*tk_ox_gb300+(1-cust_sh)*((1-Sens!$M$4028)*tk_ox_gb300+Sens!$M$4028*tk_ox_vr200)</f>
        <v>2.0380651807293</v>
      </c>
    </row>
    <row r="4031" customFormat="false" ht="17.15" hidden="false" customHeight="false" outlineLevel="0" collapsed="false">
      <c r="A4031" s="5" t="s">
        <v>612</v>
      </c>
      <c r="B4031" s="0" t="s">
        <v>192</v>
      </c>
      <c r="F4031" s="36" t="n">
        <f aca="false">cust_sh*tk_cx_gb300*cf_cx+(1-cust_sh)*((1-Sens!$F$4028)*tk_cx_gb300+Sens!$F$4028*tk_cx_vr200)</f>
        <v>32.237224</v>
      </c>
      <c r="G4031" s="36" t="n">
        <f aca="false">cust_sh*tk_cx_gb300*cf_cx+(1-cust_sh)*((1-Sens!$G$4028)*tk_cx_gb300+Sens!$G$4028*tk_cx_vr200)</f>
        <v>32.237224</v>
      </c>
      <c r="H4031" s="36" t="n">
        <f aca="false">cust_sh*tk_cx_gb300*cf_cx+(1-cust_sh)*((1-Sens!$H$4028)*tk_cx_gb300+Sens!$H$4028*tk_cx_vr200)</f>
        <v>33.574506</v>
      </c>
      <c r="I4031" s="36" t="n">
        <f aca="false">cust_sh*tk_cx_gb300*cf_cx+(1-cust_sh)*((1-Sens!$I$4028)*tk_cx_gb300+Sens!$I$4028*tk_cx_vr200)</f>
        <v>34.911788</v>
      </c>
      <c r="J4031" s="36" t="n">
        <f aca="false">cust_sh*tk_cx_gb300*cf_cx+(1-cust_sh)*((1-Sens!$J$4028)*tk_cx_gb300+Sens!$J$4028*tk_cx_vr200)</f>
        <v>34.911788</v>
      </c>
      <c r="K4031" s="36" t="n">
        <f aca="false">cust_sh*tk_cx_gb300*cf_cx+(1-cust_sh)*((1-Sens!$K$4028)*tk_cx_gb300+Sens!$K$4028*tk_cx_vr200)</f>
        <v>34.911788</v>
      </c>
      <c r="L4031" s="36" t="n">
        <f aca="false">cust_sh*tk_cx_gb300*cf_cx+(1-cust_sh)*((1-Sens!$L$4028)*tk_cx_gb300+Sens!$L$4028*tk_cx_vr200)</f>
        <v>34.911788</v>
      </c>
      <c r="M4031" s="36" t="n">
        <f aca="false">cust_sh*tk_cx_gb300*cf_cx+(1-cust_sh)*((1-Sens!$M$4028)*tk_cx_gb300+Sens!$M$4028*tk_cx_vr200)</f>
        <v>34.911788</v>
      </c>
    </row>
    <row r="4032" customFormat="false" ht="17.15" hidden="false" customHeight="false" outlineLevel="0" collapsed="false">
      <c r="A4032" s="5" t="s">
        <v>613</v>
      </c>
      <c r="B4032" s="0" t="s">
        <v>129</v>
      </c>
      <c r="F4032" s="32" t="n">
        <f aca="false">Sens!$F$4022-mw_open</f>
        <v>1817.15</v>
      </c>
      <c r="G4032" s="32" t="n">
        <f aca="false">Sens!$F$4032</f>
        <v>1817.15</v>
      </c>
      <c r="H4032" s="32" t="n">
        <f aca="false">Sens!$H$4022-mw_open</f>
        <v>5451.45</v>
      </c>
      <c r="I4032" s="32" t="n">
        <f aca="false">Sens!$I$4022-mw_open</f>
        <v>9085.75</v>
      </c>
      <c r="J4032" s="32" t="n">
        <f aca="false">Sens!$J$4022-mw_open</f>
        <v>12720.05</v>
      </c>
      <c r="K4032" s="32" t="n">
        <f aca="false">Sens!$K$4022-mw_open</f>
        <v>15290.9171666667</v>
      </c>
      <c r="L4032" s="32" t="n">
        <f aca="false">Sens!$L$4022-mw_open</f>
        <v>16798.3515</v>
      </c>
      <c r="M4032" s="32" t="n">
        <f aca="false">Sens!$M$4022-mw_open</f>
        <v>17242.353</v>
      </c>
    </row>
    <row r="4033" customFormat="false" ht="17.15" hidden="false" customHeight="false" outlineLevel="0" collapsed="false">
      <c r="A4033" s="0" t="s">
        <v>614</v>
      </c>
      <c r="B4033" s="0" t="s">
        <v>615</v>
      </c>
      <c r="F4033" s="32" t="n">
        <f aca="false">Sens!$F$4025*Sens!$F$4029</f>
        <v>19782.2417524844</v>
      </c>
      <c r="G4033" s="32" t="n">
        <f aca="false">Sens!$F$4033</f>
        <v>19782.2417524844</v>
      </c>
      <c r="H4033" s="32" t="n">
        <f aca="false">Sens!$G$4033+Sens!$H$4025*Sens!$H$4029</f>
        <v>60563.3616992009</v>
      </c>
      <c r="I4033" s="32" t="n">
        <f aca="false">Sens!$H$4033+Sens!$I$4025*Sens!$I$4029</f>
        <v>102561.118087665</v>
      </c>
      <c r="J4033" s="32" t="n">
        <f aca="false">Sens!$I$4033+Sens!$J$4025*Sens!$J$4029</f>
        <v>144558.87447613</v>
      </c>
      <c r="K4033" s="32" t="n">
        <f aca="false">Sens!$J$4033+Sens!$K$4025*Sens!$K$4029</f>
        <v>174267.663781572</v>
      </c>
      <c r="L4033" s="32" t="n">
        <f aca="false">Sens!$K$4033+Sens!$L$4025*Sens!$L$4029</f>
        <v>191687.486003992</v>
      </c>
      <c r="M4033" s="32" t="n">
        <f aca="false">Sens!$L$4033+Sens!$M$4025*Sens!$M$4029</f>
        <v>196818.341143389</v>
      </c>
    </row>
    <row r="4034" customFormat="false" ht="17.15" hidden="false" customHeight="false" outlineLevel="0" collapsed="false">
      <c r="A4034" s="0" t="s">
        <v>616</v>
      </c>
      <c r="B4034" s="0" t="s">
        <v>615</v>
      </c>
      <c r="F4034" s="32" t="n">
        <f aca="false">Sens!$F$4025*Sens!$F$4030</f>
        <v>3602.74485070566</v>
      </c>
      <c r="G4034" s="32" t="n">
        <f aca="false">Sens!$F$4034</f>
        <v>3602.74485070566</v>
      </c>
      <c r="H4034" s="32" t="n">
        <f aca="false">Sens!$G$4034+Sens!$H$4025*Sens!$H$4030</f>
        <v>10908.9598445736</v>
      </c>
      <c r="I4034" s="32" t="n">
        <f aca="false">Sens!$H$4034+Sens!$I$4025*Sens!$I$4030</f>
        <v>18315.9001308981</v>
      </c>
      <c r="J4034" s="32" t="n">
        <f aca="false">Sens!$I$4034+Sens!$J$4025*Sens!$J$4030</f>
        <v>25722.8404172225</v>
      </c>
      <c r="K4034" s="32" t="n">
        <f aca="false">Sens!$J$4034+Sens!$K$4025*Sens!$K$4030</f>
        <v>30962.4352738861</v>
      </c>
      <c r="L4034" s="32" t="n">
        <f aca="false">Sens!$K$4034+Sens!$L$4025*Sens!$L$4030</f>
        <v>34034.6847008886</v>
      </c>
      <c r="M4034" s="32" t="n">
        <f aca="false">Sens!$L$4034+Sens!$M$4025*Sens!$M$4030</f>
        <v>34939.5886982302</v>
      </c>
    </row>
    <row r="4035" customFormat="false" ht="17.15" hidden="false" customHeight="false" outlineLevel="0" collapsed="false">
      <c r="A4035" s="5" t="s">
        <v>617</v>
      </c>
      <c r="B4035" s="0" t="s">
        <v>173</v>
      </c>
      <c r="F4035" s="36" t="n">
        <f aca="false">IF(Sens!$F$4032&gt;0,Sens!$F$4033/Sens!$F$4032,Sens!$F$4029)</f>
        <v>10.8864110021101</v>
      </c>
      <c r="G4035" s="36" t="n">
        <f aca="false">IF(Sens!$G$4032&gt;0,Sens!$G$4033/Sens!$G$4032,Sens!$G$4029)</f>
        <v>10.8864110021101</v>
      </c>
      <c r="H4035" s="36" t="n">
        <f aca="false">IF(Sens!$H$4032&gt;0,Sens!$H$4033/Sens!$H$4032,Sens!$H$4029)</f>
        <v>11.1095876691891</v>
      </c>
      <c r="I4035" s="36" t="n">
        <f aca="false">IF(Sens!$I$4032&gt;0,Sens!$I$4033/Sens!$I$4032,Sens!$I$4029)</f>
        <v>11.2881290028523</v>
      </c>
      <c r="J4035" s="36" t="n">
        <f aca="false">IF(Sens!$J$4032&gt;0,Sens!$J$4033/Sens!$J$4032,Sens!$J$4029)</f>
        <v>11.3646467172794</v>
      </c>
      <c r="K4035" s="36" t="n">
        <f aca="false">IF(Sens!$K$4032&gt;0,Sens!$K$4033/Sens!$K$4032,Sens!$K$4029)</f>
        <v>11.3968090914432</v>
      </c>
      <c r="L4035" s="36" t="n">
        <f aca="false">IF(Sens!$L$4032&gt;0,Sens!$L$4033/Sens!$L$4032,Sens!$L$4029)</f>
        <v>11.4110891181192</v>
      </c>
      <c r="M4035" s="36" t="n">
        <f aca="false">IF(Sens!$M$4032&gt;0,Sens!$M$4033/Sens!$M$4032,Sens!$M$4029)</f>
        <v>11.4148191458201</v>
      </c>
    </row>
    <row r="4036" customFormat="false" ht="17.15" hidden="false" customHeight="false" outlineLevel="0" collapsed="false">
      <c r="A4036" s="5" t="s">
        <v>618</v>
      </c>
      <c r="B4036" s="0" t="s">
        <v>173</v>
      </c>
      <c r="F4036" s="36" t="n">
        <f aca="false">IF(Sens!$F$4032&gt;0,Sens!$F$4034/Sens!$F$4032,Sens!$F$4030)</f>
        <v>1.98263481314457</v>
      </c>
      <c r="G4036" s="36" t="n">
        <f aca="false">IF(Sens!$G$4032&gt;0,Sens!$G$4034/Sens!$G$4032,Sens!$G$4030)</f>
        <v>1.98263481314457</v>
      </c>
      <c r="H4036" s="36" t="n">
        <f aca="false">IF(Sens!$H$4032&gt;0,Sens!$H$4034/Sens!$H$4032,Sens!$H$4030)</f>
        <v>2.00111160233948</v>
      </c>
      <c r="I4036" s="36" t="n">
        <f aca="false">IF(Sens!$I$4032&gt;0,Sens!$I$4034/Sens!$I$4032,Sens!$I$4030)</f>
        <v>2.01589303369541</v>
      </c>
      <c r="J4036" s="36" t="n">
        <f aca="false">IF(Sens!$J$4032&gt;0,Sens!$J$4034/Sens!$J$4032,Sens!$J$4030)</f>
        <v>2.02222793284795</v>
      </c>
      <c r="K4036" s="36" t="n">
        <f aca="false">IF(Sens!$K$4032&gt;0,Sens!$K$4034/Sens!$K$4032,Sens!$K$4030)</f>
        <v>2.02489065478573</v>
      </c>
      <c r="L4036" s="36" t="n">
        <f aca="false">IF(Sens!$L$4032&gt;0,Sens!$L$4034/Sens!$L$4032,Sens!$L$4030)</f>
        <v>2.0260728977417</v>
      </c>
      <c r="M4036" s="36" t="n">
        <f aca="false">IF(Sens!$M$4032&gt;0,Sens!$M$4034/Sens!$M$4032,Sens!$M$4030)</f>
        <v>2.02638170661685</v>
      </c>
    </row>
    <row r="4037" customFormat="false" ht="17.15" hidden="false" customHeight="false" outlineLevel="0" collapsed="false">
      <c r="A4037" s="15" t="s">
        <v>619</v>
      </c>
      <c r="B4037" s="14" t="s">
        <v>173</v>
      </c>
      <c r="C4037" s="14"/>
      <c r="D4037" s="14"/>
      <c r="E4037" s="14"/>
      <c r="F4037" s="37" t="n">
        <f aca="false">Sens!$F$4035*k_B</f>
        <v>10.7987645808025</v>
      </c>
      <c r="G4037" s="37" t="n">
        <f aca="false">Sens!$G$4035*k_B</f>
        <v>10.7987645808025</v>
      </c>
      <c r="H4037" s="37" t="n">
        <f aca="false">Sens!$H$4035*k_B</f>
        <v>11.0201444540452</v>
      </c>
      <c r="I4037" s="37" t="n">
        <f aca="false">Sens!$I$4035*k_B</f>
        <v>11.1972483526393</v>
      </c>
      <c r="J4037" s="37" t="n">
        <f aca="false">Sens!$J$4035*k_B</f>
        <v>11.2731500234653</v>
      </c>
      <c r="K4037" s="37" t="n">
        <f aca="false">Sens!$K$4035*k_B</f>
        <v>11.3050534585724</v>
      </c>
      <c r="L4037" s="37" t="n">
        <f aca="false">Sens!$L$4035*k_B</f>
        <v>11.3192185168503</v>
      </c>
      <c r="M4037" s="37" t="n">
        <f aca="false">Sens!$M$4035*k_B</f>
        <v>11.3229185141234</v>
      </c>
      <c r="N4037" s="14"/>
      <c r="O4037" s="14"/>
      <c r="P4037" s="5" t="s">
        <v>620</v>
      </c>
    </row>
    <row r="4038" customFormat="false" ht="17.15" hidden="false" customHeight="false" outlineLevel="0" collapsed="false">
      <c r="A4038" s="5" t="s">
        <v>621</v>
      </c>
      <c r="B4038" s="0" t="s">
        <v>129</v>
      </c>
      <c r="F4038" s="32" t="n">
        <f aca="false">Sens!$F$4032/2</f>
        <v>908.575</v>
      </c>
      <c r="H4038" s="32" t="n">
        <f aca="false">(Sens!$G$4032+Sens!$H$4032)/2</f>
        <v>3634.3</v>
      </c>
      <c r="I4038" s="32" t="n">
        <f aca="false">(Sens!$H$4032+Sens!$I$4032)/2</f>
        <v>7268.6</v>
      </c>
      <c r="J4038" s="32" t="n">
        <f aca="false">(Sens!$I$4032+Sens!$J$4032)/2</f>
        <v>10902.9</v>
      </c>
      <c r="K4038" s="32" t="n">
        <f aca="false">(Sens!$J$4032+Sens!$K$4032)/2</f>
        <v>14005.4835833333</v>
      </c>
      <c r="L4038" s="32" t="n">
        <f aca="false">(Sens!$K$4032+Sens!$L$4032)/2</f>
        <v>16044.6343333333</v>
      </c>
      <c r="M4038" s="32" t="n">
        <f aca="false">(Sens!$L$4032+Sens!$M$4032)/2</f>
        <v>17020.35225</v>
      </c>
    </row>
    <row r="4039" customFormat="false" ht="17.15" hidden="false" customHeight="false" outlineLevel="0" collapsed="false">
      <c r="A4039" s="1" t="s">
        <v>622</v>
      </c>
    </row>
    <row r="4040" customFormat="false" ht="17.15" hidden="false" customHeight="false" outlineLevel="0" collapsed="false">
      <c r="A4040" s="1" t="s">
        <v>623</v>
      </c>
      <c r="B4040" s="8" t="s">
        <v>86</v>
      </c>
      <c r="C4040" s="38" t="n">
        <f aca="false">Sens!$C$4023*rpm_open*Sens!$C$4024/1000</f>
        <v>2.32100535697364</v>
      </c>
      <c r="D4040" s="38" t="n">
        <f aca="false">Sens!$D$4023*rpm_open*Sens!$D$4024/1000</f>
        <v>8.70377008865116</v>
      </c>
      <c r="E4040" s="38" t="n">
        <f aca="false">Sens!$E$4023*rpm_open*Sens!$E$4024/1000</f>
        <v>8.51035297557002</v>
      </c>
      <c r="F4040" s="38" t="n">
        <f aca="false">(mw_open*rpm_open+Sens!$F$4038*Sens!$F$4037)*Sens!$F$4024/1000</f>
        <v>14.9634336447205</v>
      </c>
      <c r="G4040" s="38" t="n">
        <f aca="false">Sens!$E$4040+Sens!$F$4040</f>
        <v>23.4737866202905</v>
      </c>
      <c r="H4040" s="38" t="n">
        <f aca="false">(mw_open*rpm_open+Sens!$H$4038*Sens!$H$4037)/1000</f>
        <v>60.1658907497746</v>
      </c>
      <c r="I4040" s="38" t="n">
        <f aca="false">(mw_open*rpm_open+Sens!$I$4038*Sens!$I$4037)/1000</f>
        <v>101.503699136432</v>
      </c>
      <c r="J4040" s="38" t="n">
        <f aca="false">(mw_open*rpm_open+Sens!$J$4038*Sens!$J$4037)/1000</f>
        <v>143.025407151278</v>
      </c>
      <c r="K4040" s="38" t="n">
        <f aca="false">(mw_open*rpm_open+Sens!$K$4038*Sens!$K$4037)/1000</f>
        <v>178.44812038318</v>
      </c>
      <c r="L4040" s="38" t="n">
        <f aca="false">(mw_open*rpm_open+Sens!$L$4038*Sens!$L$4037)/1000</f>
        <v>201.728101802396</v>
      </c>
      <c r="M4040" s="38" t="n">
        <f aca="false">(mw_open*rpm_open+Sens!$M$4038*Sens!$M$4037)/1000</f>
        <v>212.835441368865</v>
      </c>
      <c r="N4040" s="38" t="n">
        <f aca="false">Sens!$N$4023*rpm_open*Sens!$N$4024/1000</f>
        <v>3.04631953102791</v>
      </c>
      <c r="O4040" s="38" t="n">
        <f aca="false">Sens!$O$4023*rpm_open*Sens!$O$4024/1000</f>
        <v>5.65745055762326</v>
      </c>
      <c r="P4040" s="5" t="s">
        <v>624</v>
      </c>
    </row>
    <row r="4041" customFormat="false" ht="17.15" hidden="false" customHeight="false" outlineLevel="0" collapsed="false">
      <c r="A4041" s="5" t="s">
        <v>625</v>
      </c>
      <c r="B4041" s="0" t="s">
        <v>173</v>
      </c>
      <c r="C4041" s="36" t="n">
        <f aca="false">Sens!$C$4040*1000/(Sens!$C$4023*Sens!$C$4024)</f>
        <v>9.67085565405685</v>
      </c>
      <c r="D4041" s="36" t="n">
        <f aca="false">Sens!$D$4040*1000/(Sens!$D$4023*Sens!$D$4024)</f>
        <v>9.67085565405685</v>
      </c>
      <c r="E4041" s="36" t="n">
        <f aca="false">Sens!$E$4040*1000/(Sens!$E$4023*Sens!$E$4024)</f>
        <v>9.67085565405685</v>
      </c>
      <c r="F4041" s="36" t="n">
        <f aca="false">Sens!$F$4040*1000/(Sens!$F$4023*Sens!$F$4024)</f>
        <v>10.0137581588017</v>
      </c>
      <c r="G4041" s="36" t="n">
        <f aca="false">Sens!$G$4040*1000/(Sens!$G$4023*Sens!$G$4024)</f>
        <v>9.88666562928478</v>
      </c>
      <c r="H4041" s="36" t="n">
        <f aca="false">Sens!$H$4040*1000/(Sens!$H$4023*Sens!$H$4024)</f>
        <v>10.5290045586992</v>
      </c>
      <c r="I4041" s="36" t="n">
        <f aca="false">Sens!$I$4040*1000/(Sens!$I$4023*Sens!$I$4024)</f>
        <v>10.8576363451674</v>
      </c>
      <c r="J4041" s="36" t="n">
        <f aca="false">Sens!$J$4040*1000/(Sens!$J$4023*Sens!$J$4024)</f>
        <v>11.0164452588619</v>
      </c>
      <c r="K4041" s="36" t="n">
        <f aca="false">Sens!$K$4040*1000/(Sens!$K$4023*Sens!$K$4024)</f>
        <v>11.0937367508227</v>
      </c>
      <c r="L4041" s="36" t="n">
        <f aca="false">Sens!$L$4040*1000/(Sens!$L$4023*Sens!$L$4024)</f>
        <v>11.1300508519168</v>
      </c>
      <c r="M4041" s="36" t="n">
        <f aca="false">Sens!$M$4040*1000/(Sens!$M$4023*Sens!$M$4024)</f>
        <v>11.1430113216297</v>
      </c>
      <c r="N4041" s="36" t="n">
        <f aca="false">Sens!$N$4040*1000/(Sens!$N$4023*Sens!$N$4024)</f>
        <v>9.67085565405685</v>
      </c>
      <c r="O4041" s="36" t="n">
        <f aca="false">Sens!$O$4040*1000/(Sens!$O$4023*Sens!$O$4024)</f>
        <v>9.67085565405685</v>
      </c>
    </row>
    <row r="4042" customFormat="false" ht="17.15" hidden="false" customHeight="false" outlineLevel="0" collapsed="false">
      <c r="A4042" s="0" t="s">
        <v>626</v>
      </c>
      <c r="B4042" s="0" t="s">
        <v>86</v>
      </c>
      <c r="C4042" s="38" t="n">
        <f aca="false">Sens!$C$4023/ext_sh*(ox_open+rent_mw)*Sens!$C$4024/1000</f>
        <v>0.642569210675032</v>
      </c>
      <c r="D4042" s="38" t="n">
        <f aca="false">Sens!$D$4023/ext_sh*(ox_open+rent_mw)*Sens!$D$4024/1000</f>
        <v>2.40963454003137</v>
      </c>
      <c r="E4042" s="38" t="n">
        <f aca="false">Sens!$E$4023/ext_sh*(ox_open+rent_mw)*Sens!$E$4024/1000</f>
        <v>2.35608710580845</v>
      </c>
      <c r="F4042" s="38" t="n">
        <f aca="false">((mw_open*ox_open+Sens!$F$4038*Sens!$F$4036)/ext_sh+Sens!$F$4023/ext_sh*rent_mw)*Sens!$F$4024/1000</f>
        <v>4.05421991106232</v>
      </c>
      <c r="G4042" s="38" t="n">
        <f aca="false">Sens!$E$4042+Sens!$F$4042</f>
        <v>6.41030701687077</v>
      </c>
      <c r="H4042" s="38" t="n">
        <f aca="false">((mw_open*ox_open+Sens!$H$4038*Sens!$H$4036)/ext_sh+Sens!$H$4023/ext_sh*rent_mw)*Sens!$H$4024/1000</f>
        <v>15.8108975546616</v>
      </c>
      <c r="I4042" s="38" t="n">
        <f aca="false">((mw_open*ox_open+Sens!$I$4038*Sens!$I$4036)/ext_sh+Sens!$I$4023/ext_sh*rent_mw)*Sens!$I$4024/1000</f>
        <v>26.1871623400817</v>
      </c>
      <c r="J4042" s="38" t="n">
        <f aca="false">((mw_open*ox_open+Sens!$J$4038*Sens!$J$4036)/ext_sh+Sens!$J$4023/ext_sh*rent_mw)*Sens!$J$4024/1000</f>
        <v>36.5826128954935</v>
      </c>
      <c r="K4042" s="38" t="n">
        <f aca="false">((mw_open*ox_open+Sens!$K$4038*Sens!$K$4036)/ext_sh+Sens!$K$4023/ext_sh*rent_mw)*Sens!$K$4024/1000</f>
        <v>45.4546361137628</v>
      </c>
      <c r="L4042" s="38" t="n">
        <f aca="false">((mw_open*ox_open+Sens!$L$4038*Sens!$L$4036)/ext_sh+Sens!$L$4023/ext_sh*rent_mw)*Sens!$L$4024/1000</f>
        <v>51.2855695554452</v>
      </c>
      <c r="M4042" s="38" t="n">
        <f aca="false">((mw_open*ox_open+Sens!$M$4038*Sens!$M$4036)/ext_sh+Sens!$M$4023/ext_sh*rent_mw)*Sens!$M$4024/1000</f>
        <v>54.0722927838398</v>
      </c>
      <c r="N4042" s="38" t="n">
        <f aca="false">Sens!$N$4023/ext_sh*(ox_open+rent_mw)*Sens!$N$4024/1000</f>
        <v>0.84337208901098</v>
      </c>
      <c r="O4042" s="38" t="n">
        <f aca="false">Sens!$O$4023/ext_sh*(ox_open+rent_mw)*Sens!$O$4024/1000</f>
        <v>1.56626245102039</v>
      </c>
    </row>
    <row r="4043" customFormat="false" ht="17.15" hidden="false" customHeight="false" outlineLevel="0" collapsed="false">
      <c r="A4043" s="0" t="s">
        <v>627</v>
      </c>
      <c r="B4043" s="0" t="s">
        <v>86</v>
      </c>
      <c r="C4043" s="38" t="n">
        <f aca="false">Q!$D$7</f>
        <v>107.556</v>
      </c>
      <c r="D4043" s="38" t="n">
        <f aca="false">Q!$E$7</f>
        <v>128.725</v>
      </c>
      <c r="E4043" s="38" t="n">
        <f aca="false">Q!$P$7</f>
        <v>79.819</v>
      </c>
      <c r="N4043" s="38" t="n">
        <f aca="false">Q!$N$7</f>
        <v>60.14</v>
      </c>
      <c r="O4043" s="38" t="n">
        <f aca="false">Q!$O$7</f>
        <v>68.585</v>
      </c>
    </row>
    <row r="4044" customFormat="false" ht="17.15" hidden="false" customHeight="false" outlineLevel="0" collapsed="false">
      <c r="A4044" s="1" t="s">
        <v>628</v>
      </c>
      <c r="B4044" s="8" t="s">
        <v>86</v>
      </c>
      <c r="C4044" s="38" t="n">
        <f aca="false">Sens!$C$4043-Sens!$C$4040</f>
        <v>105.234994643026</v>
      </c>
      <c r="D4044" s="38" t="n">
        <f aca="false">Sens!$D$4043-Sens!$D$4040</f>
        <v>120.021229911349</v>
      </c>
      <c r="E4044" s="38" t="n">
        <f aca="false">Sens!$E$4043-Sens!$E$4040</f>
        <v>71.30864702443</v>
      </c>
      <c r="F4044" s="38" t="n">
        <f aca="false">Sens!$O$4044*(1+Sens!$F$4045)</f>
        <v>71.7692997942464</v>
      </c>
      <c r="G4044" s="38" t="n">
        <f aca="false">Sens!$E$4044+Sens!$F$4044</f>
        <v>143.077946818676</v>
      </c>
      <c r="H4044" s="38" t="n">
        <f aca="false">Sens!$G$4044*(1+Sens!$H$4045)</f>
        <v>161.017077079203</v>
      </c>
      <c r="I4044" s="38" t="n">
        <f aca="false">Sens!$H$4044*(1+Sens!$I$4045)</f>
        <v>178.769759521457</v>
      </c>
      <c r="J4044" s="38" t="n">
        <f aca="false">Sens!$I$4044*(1+Sens!$J$4045)</f>
        <v>195.775538045907</v>
      </c>
      <c r="K4044" s="38" t="n">
        <f aca="false">Sens!$J$4044*(1+Sens!$K$4045)</f>
        <v>211.43758108958</v>
      </c>
      <c r="L4044" s="38" t="n">
        <f aca="false">Sens!$K$4044*(1+Sens!$L$4045)</f>
        <v>228.352587576746</v>
      </c>
      <c r="M4044" s="38" t="n">
        <f aca="false">Sens!$L$4044*(1+Sens!$M$4045)</f>
        <v>246.620794582886</v>
      </c>
      <c r="N4044" s="38" t="n">
        <f aca="false">Sens!$N$4043-Sens!$N$4040</f>
        <v>57.0936804689721</v>
      </c>
      <c r="O4044" s="38" t="n">
        <f aca="false">Sens!$O$4043-Sens!$O$4040</f>
        <v>62.9275494423768</v>
      </c>
      <c r="P4044" s="5" t="s">
        <v>629</v>
      </c>
    </row>
    <row r="4045" customFormat="false" ht="17.15" hidden="false" customHeight="false" outlineLevel="0" collapsed="false">
      <c r="A4045" s="0" t="s">
        <v>630</v>
      </c>
      <c r="B4045" s="0" t="s">
        <v>52</v>
      </c>
      <c r="D4045" s="13" t="n">
        <f aca="false">Sens!$D$4044/Sens!$C$4044-1</f>
        <v>0.140506827776062</v>
      </c>
      <c r="E4045" s="13" t="n">
        <f aca="false">Sens!$E$4044/Sens!$N$4044-1</f>
        <v>0.248976181579029</v>
      </c>
      <c r="F4045" s="13" t="n">
        <f aca="false">Sens!$D$4045</f>
        <v>0.140506827776062</v>
      </c>
      <c r="G4045" s="13" t="n">
        <f aca="false">Sens!$G$4044/Sens!$D$4044-1</f>
        <v>0.19210532106993</v>
      </c>
      <c r="H4045" s="13" t="n">
        <f aca="false">Sens!$F$4045+(g_awso_lt-Sens!$F$4045)*1/4</f>
        <v>0.125380120832046</v>
      </c>
      <c r="I4045" s="13" t="n">
        <f aca="false">Sens!$F$4045+(g_awso_lt-Sens!$F$4045)*2/4</f>
        <v>0.110253413888031</v>
      </c>
      <c r="J4045" s="13" t="n">
        <f aca="false">Sens!$F$4045+(g_awso_lt-Sens!$F$4045)*3/4</f>
        <v>0.0951267069440154</v>
      </c>
      <c r="K4045" s="13" t="n">
        <f aca="false">Sens!$F$4045+(g_awso_lt-Sens!$F$4045)*4/4</f>
        <v>0.08</v>
      </c>
      <c r="L4045" s="13" t="n">
        <f aca="false">g_awso_lt</f>
        <v>0.08</v>
      </c>
      <c r="M4045" s="13" t="n">
        <f aca="false">g_awso_lt</f>
        <v>0.08</v>
      </c>
      <c r="P4045" s="5" t="s">
        <v>631</v>
      </c>
    </row>
    <row r="4046" customFormat="false" ht="17.15" hidden="false" customHeight="false" outlineLevel="0" collapsed="false">
      <c r="A4046" s="1" t="s">
        <v>632</v>
      </c>
    </row>
    <row r="4047" customFormat="false" ht="17.15" hidden="false" customHeight="false" outlineLevel="0" collapsed="false">
      <c r="A4047" s="0" t="s">
        <v>633</v>
      </c>
      <c r="B4047" s="0" t="s">
        <v>86</v>
      </c>
      <c r="F4047" s="38" t="n">
        <f aca="false">cx_rt*Sens!$F$4012+cx_awso*Sens!$F$4044</f>
        <v>34.9734495387866</v>
      </c>
    </row>
    <row r="4048" customFormat="false" ht="17.15" hidden="false" customHeight="false" outlineLevel="0" collapsed="false">
      <c r="A4048" s="0" t="s">
        <v>634</v>
      </c>
      <c r="B4048" s="0" t="s">
        <v>52</v>
      </c>
      <c r="C4048" s="13" t="n">
        <f aca="false">tk_cx_h100/(tk_cx_h100+tk_fac*(1-colo_sh))</f>
        <v>0.730756458006641</v>
      </c>
      <c r="D4048" s="13" t="n">
        <f aca="false">tk_cx_h100/(tk_cx_h100+tk_fac*(1-colo_sh))</f>
        <v>0.730756458006641</v>
      </c>
      <c r="E4048" s="13" t="n">
        <f aca="false">Sens!$F$4048</f>
        <v>0.760792334328868</v>
      </c>
      <c r="F4048" s="13" t="n">
        <f aca="false">Sens!$F$4031/(Sens!$F$4031+tk_fac*(1-colo_sh))</f>
        <v>0.760792334328868</v>
      </c>
      <c r="G4048" s="13" t="n">
        <f aca="false">Sens!$G$4031/(Sens!$G$4031+tk_fac*(1-colo_sh))</f>
        <v>0.760792334328868</v>
      </c>
      <c r="H4048" s="13" t="n">
        <f aca="false">Sens!$H$4031/(Sens!$H$4031+tk_fac*(1-colo_sh))</f>
        <v>0.768110668862996</v>
      </c>
      <c r="I4048" s="13" t="n">
        <f aca="false">Sens!$I$4031/(Sens!$I$4031+tk_fac*(1-colo_sh))</f>
        <v>0.77499450139483</v>
      </c>
      <c r="J4048" s="13" t="n">
        <f aca="false">Sens!$J$4031/(Sens!$J$4031+tk_fac*(1-colo_sh))</f>
        <v>0.77499450139483</v>
      </c>
      <c r="K4048" s="13" t="n">
        <f aca="false">Sens!$K$4031/(Sens!$K$4031+tk_fac*(1-colo_sh))</f>
        <v>0.77499450139483</v>
      </c>
      <c r="L4048" s="13" t="n">
        <f aca="false">Sens!$L$4031/(Sens!$L$4031+tk_fac*(1-colo_sh))</f>
        <v>0.77499450139483</v>
      </c>
      <c r="M4048" s="13" t="n">
        <f aca="false">Sens!$M$4031/(Sens!$M$4031+tk_fac*(1-colo_sh))</f>
        <v>0.77499450139483</v>
      </c>
    </row>
    <row r="4049" customFormat="false" ht="17.15" hidden="false" customHeight="false" outlineLevel="0" collapsed="false">
      <c r="A4049" s="1" t="s">
        <v>635</v>
      </c>
      <c r="B4049" s="8" t="s">
        <v>86</v>
      </c>
      <c r="C4049" s="38" t="n">
        <f aca="false">Q!$D$46-cx_rt*Q!$D$16-cx_awso*Sens!$C$4044</f>
        <v>25.2781053077374</v>
      </c>
      <c r="D4049" s="38" t="n">
        <f aca="false">Q!$E$46-cx_rt*Q!$E$16-cx_awso*Sens!$D$4044</f>
        <v>69.5686316310026</v>
      </c>
      <c r="E4049" s="38" t="n">
        <f aca="false">Q!$P$46-cx_rt*Q!$P$16-cx_awso*Sens!$E$4044</f>
        <v>64.1899206485108</v>
      </c>
      <c r="F4049" s="38" t="n">
        <f aca="false">capex_g26-Q!$P$46-Sens!$F$4047</f>
        <v>88.7165504612134</v>
      </c>
      <c r="G4049" s="38" t="n">
        <f aca="false">Sens!$E$4049+Sens!$F$4049</f>
        <v>152.906471109724</v>
      </c>
      <c r="H4049" s="38" t="n">
        <f aca="false">Sens!$H$4026*(Sens!$H$4031+tk_fac*(1-colo_sh))/1000+Sens!$H$4050</f>
        <v>198.57136494475</v>
      </c>
      <c r="I4049" s="38" t="n">
        <f aca="false">Sens!$I$4026*(Sens!$I$4031+tk_fac*(1-colo_sh))/1000+Sens!$I$4050</f>
        <v>204.6464699105</v>
      </c>
      <c r="J4049" s="38" t="n">
        <f aca="false">Sens!$J$4026*(Sens!$J$4031+tk_fac*(1-colo_sh))/1000+Sens!$J$4050</f>
        <v>209.8832381105</v>
      </c>
      <c r="K4049" s="38" t="n">
        <f aca="false">Sens!$K$4026*(Sens!$K$4031+tk_fac*(1-colo_sh))/1000+Sens!$K$4050</f>
        <v>155.238385275201</v>
      </c>
      <c r="L4049" s="38" t="n">
        <f aca="false">Sens!$L$4026*(Sens!$L$4031+tk_fac*(1-colo_sh))/1000+Sens!$L$4050</f>
        <v>132.014141639902</v>
      </c>
      <c r="M4049" s="38" t="n">
        <f aca="false">Sens!$M$4026*(Sens!$M$4031+tk_fac*(1-colo_sh))/1000+Sens!$M$4050</f>
        <v>132.230981659852</v>
      </c>
      <c r="P4049" s="5" t="s">
        <v>636</v>
      </c>
      <c r="R4049" s="38" t="n">
        <f aca="false">Q!$C$46-cx_rt*Q!$C$16-cx_awso*(Q!$C$7-mw_ye23/2*rpm_open/1000)</f>
        <v>1.50429979529945</v>
      </c>
      <c r="S4049" s="38" t="n">
        <f aca="false">Sens!$C$4049</f>
        <v>25.2781053077374</v>
      </c>
      <c r="T4049" s="38" t="n">
        <f aca="false">Sens!$D$4049</f>
        <v>69.5686316310026</v>
      </c>
      <c r="U4049" s="38" t="n">
        <f aca="false">Sens!$G$4049</f>
        <v>152.906471109724</v>
      </c>
      <c r="V4049" s="38" t="n">
        <f aca="false">Sens!$H$4049</f>
        <v>198.57136494475</v>
      </c>
      <c r="W4049" s="38" t="n">
        <f aca="false">Sens!$I$4049</f>
        <v>204.6464699105</v>
      </c>
      <c r="X4049" s="38" t="n">
        <f aca="false">Sens!$J$4049</f>
        <v>209.8832381105</v>
      </c>
      <c r="Y4049" s="38" t="n">
        <f aca="false">Sens!$K$4049</f>
        <v>155.238385275201</v>
      </c>
      <c r="Z4049" s="38" t="n">
        <f aca="false">Sens!$L$4049</f>
        <v>132.014141639902</v>
      </c>
      <c r="AA4049" s="38" t="n">
        <f aca="false">Sens!$M$4049</f>
        <v>132.230981659852</v>
      </c>
    </row>
    <row r="4050" customFormat="false" ht="17.15" hidden="false" customHeight="false" outlineLevel="0" collapsed="false">
      <c r="A4050" s="0" t="s">
        <v>637</v>
      </c>
      <c r="B4050" s="0" t="s">
        <v>86</v>
      </c>
      <c r="H4050" s="38" t="n">
        <f aca="false">SUMPRODUCT(--(Sens!$R$4019:$AA$4019=2027-tk_life),Sens!$R$4026:$AA$4026)*Sens!$H$4031/1000</f>
        <v>0</v>
      </c>
      <c r="I4050" s="38" t="n">
        <f aca="false">SUMPRODUCT(--(Sens!$R$4019:$AA$4019=2028-tk_life),Sens!$R$4026:$AA$4026)*Sens!$I$4031/1000</f>
        <v>0</v>
      </c>
      <c r="J4050" s="38" t="n">
        <f aca="false">SUMPRODUCT(--(Sens!$R$4019:$AA$4019=2029-tk_life),Sens!$R$4026:$AA$4026)*Sens!$J$4031/1000</f>
        <v>5.2367682</v>
      </c>
      <c r="K4050" s="38" t="n">
        <f aca="false">SUMPRODUCT(--(Sens!$R$4019:$AA$4019=2030-tk_life),Sens!$R$4026:$AA$4026)*Sens!$K$4031/1000</f>
        <v>10.4735364</v>
      </c>
      <c r="L4050" s="38" t="n">
        <f aca="false">SUMPRODUCT(--(Sens!$R$4019:$AA$4019=2031-tk_life),Sens!$R$4026:$AA$4026)*Sens!$L$4031/1000</f>
        <v>47.1309138</v>
      </c>
      <c r="M4050" s="38" t="n">
        <f aca="false">SUMPRODUCT(--(Sens!$R$4019:$AA$4019=2032-tk_life),Sens!$R$4026:$AA$4026)*Sens!$M$4031/1000</f>
        <v>107.22937485525</v>
      </c>
    </row>
    <row r="4051" customFormat="false" ht="17.15" hidden="false" customHeight="false" outlineLevel="0" collapsed="false">
      <c r="A4051" s="0" t="s">
        <v>638</v>
      </c>
      <c r="B4051" s="0" t="s">
        <v>86</v>
      </c>
      <c r="C4051" s="38" t="n">
        <f aca="false">MIN(Sens!$C$4049,Sens!$C$4026*(tk_cx_h100+tk_fac*(1-colo_sh))/1000)</f>
        <v>11.2938642</v>
      </c>
      <c r="D4051" s="38" t="n">
        <f aca="false">MIN(Sens!$D$4049,Sens!$D$4026*(tk_cx_h100+tk_fac*(1-colo_sh))/1000)</f>
        <v>50.8223889</v>
      </c>
      <c r="E4051" s="38" t="n">
        <f aca="false">MIN(Sens!$E$4049,Sens!$E$4026*(Sens!$F$4031+tk_fac*(1-colo_sh))/1000)</f>
        <v>33.8985792</v>
      </c>
      <c r="F4051" s="38" t="n">
        <f aca="false">Sens!$F$4049</f>
        <v>88.7165504612134</v>
      </c>
      <c r="G4051" s="38" t="n">
        <f aca="false">Sens!$E$4051+Sens!$F$4051</f>
        <v>122.615129661213</v>
      </c>
      <c r="H4051" s="38" t="n">
        <f aca="false">Sens!$H$4049</f>
        <v>198.57136494475</v>
      </c>
      <c r="I4051" s="38" t="n">
        <f aca="false">Sens!$I$4049</f>
        <v>204.6464699105</v>
      </c>
      <c r="J4051" s="38" t="n">
        <f aca="false">Sens!$J$4049</f>
        <v>209.8832381105</v>
      </c>
      <c r="K4051" s="38" t="n">
        <f aca="false">Sens!$K$4049</f>
        <v>155.238385275201</v>
      </c>
      <c r="L4051" s="38" t="n">
        <f aca="false">Sens!$L$4049</f>
        <v>132.014141639902</v>
      </c>
      <c r="M4051" s="38" t="n">
        <f aca="false">Sens!$M$4049</f>
        <v>132.230981659852</v>
      </c>
      <c r="P4051" s="5" t="s">
        <v>639</v>
      </c>
      <c r="R4051" s="38" t="n">
        <f aca="false">MIN(Sens!$R$4049,Sens!$R$4026*(tk_cx_h100+tk_fac*(1-colo_sh))/1000)</f>
        <v>1.50429979529945</v>
      </c>
      <c r="S4051" s="38" t="n">
        <f aca="false">Sens!$C$4051</f>
        <v>11.2938642</v>
      </c>
      <c r="T4051" s="38" t="n">
        <f aca="false">Sens!$D$4051</f>
        <v>50.8223889</v>
      </c>
      <c r="U4051" s="38" t="n">
        <f aca="false">Sens!$G$4051</f>
        <v>122.615129661213</v>
      </c>
      <c r="V4051" s="38" t="n">
        <f aca="false">Sens!$H$4051</f>
        <v>198.57136494475</v>
      </c>
      <c r="W4051" s="38" t="n">
        <f aca="false">Sens!$I$4051</f>
        <v>204.6464699105</v>
      </c>
      <c r="X4051" s="38" t="n">
        <f aca="false">Sens!$J$4051</f>
        <v>209.8832381105</v>
      </c>
      <c r="Y4051" s="38" t="n">
        <f aca="false">Sens!$K$4051</f>
        <v>155.238385275201</v>
      </c>
      <c r="Z4051" s="38" t="n">
        <f aca="false">Sens!$L$4051</f>
        <v>132.014141639902</v>
      </c>
      <c r="AA4051" s="38" t="n">
        <f aca="false">Sens!$M$4051</f>
        <v>132.230981659852</v>
      </c>
    </row>
    <row r="4052" customFormat="false" ht="17.15" hidden="false" customHeight="false" outlineLevel="0" collapsed="false">
      <c r="A4052" s="5" t="s">
        <v>640</v>
      </c>
      <c r="B4052" s="0" t="s">
        <v>86</v>
      </c>
      <c r="C4052" s="38" t="n">
        <f aca="false">Sens!$C$4049-Sens!$C$4051</f>
        <v>13.9842411077374</v>
      </c>
      <c r="D4052" s="38" t="n">
        <f aca="false">Sens!$D$4049-Sens!$D$4051</f>
        <v>18.7462427310026</v>
      </c>
      <c r="E4052" s="38" t="n">
        <f aca="false">Sens!$E$4049-Sens!$E$4051</f>
        <v>30.2913414485108</v>
      </c>
      <c r="F4052" s="38" t="n">
        <f aca="false">Sens!$F$4049-Sens!$F$4051</f>
        <v>0</v>
      </c>
      <c r="G4052" s="38" t="n">
        <f aca="false">Sens!$G$4049-Sens!$G$4051</f>
        <v>30.2913414485108</v>
      </c>
      <c r="H4052" s="38" t="n">
        <f aca="false">Sens!$H$4049-Sens!$H$4051</f>
        <v>0</v>
      </c>
      <c r="I4052" s="38" t="n">
        <f aca="false">Sens!$I$4049-Sens!$I$4051</f>
        <v>0</v>
      </c>
      <c r="J4052" s="38" t="n">
        <f aca="false">Sens!$J$4049-Sens!$J$4051</f>
        <v>0</v>
      </c>
      <c r="K4052" s="38" t="n">
        <f aca="false">Sens!$K$4049-Sens!$K$4051</f>
        <v>0</v>
      </c>
      <c r="L4052" s="38" t="n">
        <f aca="false">Sens!$L$4049-Sens!$L$4051</f>
        <v>0</v>
      </c>
      <c r="M4052" s="38" t="n">
        <f aca="false">Sens!$M$4049-Sens!$M$4051</f>
        <v>0</v>
      </c>
      <c r="P4052" s="5" t="s">
        <v>641</v>
      </c>
      <c r="R4052" s="38" t="n">
        <f aca="false">Sens!$R$4049-Sens!$R$4051</f>
        <v>0</v>
      </c>
      <c r="S4052" s="38" t="n">
        <f aca="false">Sens!$S$4049-Sens!$S$4051</f>
        <v>13.9842411077374</v>
      </c>
      <c r="T4052" s="38" t="n">
        <f aca="false">Sens!$T$4049-Sens!$T$4051</f>
        <v>18.7462427310026</v>
      </c>
      <c r="U4052" s="38" t="n">
        <f aca="false">Sens!$U$4049-Sens!$U$4051</f>
        <v>30.2913414485108</v>
      </c>
      <c r="V4052" s="38" t="n">
        <f aca="false">Sens!$V$4049-Sens!$V$4051</f>
        <v>0</v>
      </c>
      <c r="W4052" s="38" t="n">
        <f aca="false">Sens!$W$4049-Sens!$W$4051</f>
        <v>0</v>
      </c>
      <c r="X4052" s="38" t="n">
        <f aca="false">Sens!$X$4049-Sens!$X$4051</f>
        <v>0</v>
      </c>
      <c r="Y4052" s="38" t="n">
        <f aca="false">Sens!$Y$4049-Sens!$Y$4051</f>
        <v>0</v>
      </c>
      <c r="Z4052" s="38" t="n">
        <f aca="false">Sens!$Z$4049-Sens!$Z$4051</f>
        <v>0</v>
      </c>
      <c r="AA4052" s="38" t="n">
        <f aca="false">Sens!$AA$4049-Sens!$AA$4051</f>
        <v>0</v>
      </c>
    </row>
    <row r="4053" customFormat="false" ht="17.15" hidden="false" customHeight="false" outlineLevel="0" collapsed="false">
      <c r="A4053" s="5" t="s">
        <v>642</v>
      </c>
      <c r="B4053" s="0" t="s">
        <v>86</v>
      </c>
      <c r="R4053" s="38" t="n">
        <f aca="false">Sens!$R$4052*Sens!$C$4048</f>
        <v>0</v>
      </c>
      <c r="S4053" s="38" t="n">
        <f aca="false">Sens!$S$4052*Sens!$C$4048</f>
        <v>10.219074499801</v>
      </c>
      <c r="T4053" s="38" t="n">
        <f aca="false">Sens!$T$4052*Sens!$C$4048</f>
        <v>13.6989379390402</v>
      </c>
      <c r="U4053" s="38" t="n">
        <f aca="false">Sens!$U$4052*Sens!$E$4048</f>
        <v>23.0454203705653</v>
      </c>
      <c r="V4053" s="38" t="n">
        <f aca="false">Sens!$V$4052*Sens!$E$4048</f>
        <v>0</v>
      </c>
      <c r="W4053" s="38" t="n">
        <f aca="false">Sens!$W$4052*Sens!$E$4048</f>
        <v>0</v>
      </c>
      <c r="X4053" s="38" t="n">
        <f aca="false">Sens!$X$4052*Sens!$E$4048</f>
        <v>0</v>
      </c>
      <c r="Y4053" s="38" t="n">
        <f aca="false">Sens!$Y$4052*Sens!$E$4048</f>
        <v>0</v>
      </c>
      <c r="Z4053" s="38" t="n">
        <f aca="false">Sens!$Z$4052*Sens!$E$4048</f>
        <v>0</v>
      </c>
      <c r="AA4053" s="38" t="n">
        <f aca="false">Sens!$AA$4052*Sens!$E$4048</f>
        <v>0</v>
      </c>
    </row>
    <row r="4054" customFormat="false" ht="17.15" hidden="false" customHeight="false" outlineLevel="0" collapsed="false">
      <c r="A4054" s="5" t="s">
        <v>643</v>
      </c>
      <c r="B4054" s="0" t="s">
        <v>86</v>
      </c>
      <c r="R4054" s="38" t="n">
        <f aca="false">SUMPRODUCT(--(Sens!$R$4019:$AA$4019=2023-cip_lag),Sens!$R$4053:$AA$4053)</f>
        <v>0</v>
      </c>
      <c r="S4054" s="38" t="n">
        <f aca="false">SUMPRODUCT(--(Sens!$R$4019:$AA$4019=2024-cip_lag),Sens!$R$4053:$AA$4053)</f>
        <v>0</v>
      </c>
      <c r="T4054" s="38" t="n">
        <f aca="false">SUMPRODUCT(--(Sens!$R$4019:$AA$4019=2025-cip_lag),Sens!$R$4053:$AA$4053)</f>
        <v>10.219074499801</v>
      </c>
      <c r="U4054" s="38" t="n">
        <f aca="false">SUMPRODUCT(--(Sens!$R$4019:$AA$4019=2026-cip_lag),Sens!$R$4053:$AA$4053)</f>
        <v>13.6989379390402</v>
      </c>
      <c r="V4054" s="38" t="n">
        <f aca="false">SUMPRODUCT(--(Sens!$R$4019:$AA$4019=2027-cip_lag),Sens!$R$4053:$AA$4053)</f>
        <v>23.0454203705653</v>
      </c>
      <c r="W4054" s="38" t="n">
        <f aca="false">SUMPRODUCT(--(Sens!$R$4019:$AA$4019=2028-cip_lag),Sens!$R$4053:$AA$4053)</f>
        <v>0</v>
      </c>
      <c r="X4054" s="38" t="n">
        <f aca="false">SUMPRODUCT(--(Sens!$R$4019:$AA$4019=2029-cip_lag),Sens!$R$4053:$AA$4053)</f>
        <v>0</v>
      </c>
      <c r="Y4054" s="38" t="n">
        <f aca="false">SUMPRODUCT(--(Sens!$R$4019:$AA$4019=2030-cip_lag),Sens!$R$4053:$AA$4053)</f>
        <v>0</v>
      </c>
      <c r="Z4054" s="38" t="n">
        <f aca="false">SUMPRODUCT(--(Sens!$R$4019:$AA$4019=2031-cip_lag),Sens!$R$4053:$AA$4053)</f>
        <v>0</v>
      </c>
      <c r="AA4054" s="38" t="n">
        <f aca="false">SUMPRODUCT(--(Sens!$R$4019:$AA$4019=2032-cip_lag),Sens!$R$4053:$AA$4053)</f>
        <v>0</v>
      </c>
    </row>
    <row r="4055" customFormat="false" ht="15" hidden="false" customHeight="false" outlineLevel="0" collapsed="false">
      <c r="A4055" s="5" t="s">
        <v>644</v>
      </c>
      <c r="B4055" s="0" t="s">
        <v>86</v>
      </c>
      <c r="R4055" s="38" t="n">
        <f aca="false">SUMPRODUCT(--(Sens!$R$4019:$AA$4019=2023-cip_lag),Sens!$R$4052:$AA$4052)-Sens!$R$4054</f>
        <v>0</v>
      </c>
      <c r="S4055" s="38" t="n">
        <f aca="false">SUMPRODUCT(--(Sens!$R$4019:$AA$4019=2024-cip_lag),Sens!$R$4052:$AA$4052)-Sens!$S$4054</f>
        <v>0</v>
      </c>
      <c r="T4055" s="38" t="n">
        <f aca="false">SUMPRODUCT(--(Sens!$R$4019:$AA$4019=2025-cip_lag),Sens!$R$4052:$AA$4052)-Sens!$T$4054</f>
        <v>3.76516660793636</v>
      </c>
      <c r="U4055" s="38" t="n">
        <f aca="false">SUMPRODUCT(--(Sens!$R$4019:$AA$4019=2026-cip_lag),Sens!$R$4052:$AA$4052)-Sens!$U$4054</f>
        <v>5.04730479196242</v>
      </c>
      <c r="V4055" s="38" t="n">
        <f aca="false">SUMPRODUCT(--(Sens!$R$4019:$AA$4019=2027-cip_lag),Sens!$R$4052:$AA$4052)-Sens!$V$4054</f>
        <v>7.24592107794548</v>
      </c>
      <c r="W4055" s="38" t="n">
        <f aca="false">SUMPRODUCT(--(Sens!$R$4019:$AA$4019=2028-cip_lag),Sens!$R$4052:$AA$4052)-Sens!$W$4054</f>
        <v>0</v>
      </c>
      <c r="X4055" s="38" t="n">
        <f aca="false">SUMPRODUCT(--(Sens!$R$4019:$AA$4019=2029-cip_lag),Sens!$R$4052:$AA$4052)-Sens!$X$4054</f>
        <v>0</v>
      </c>
      <c r="Y4055" s="38" t="n">
        <f aca="false">SUMPRODUCT(--(Sens!$R$4019:$AA$4019=2030-cip_lag),Sens!$R$4052:$AA$4052)-Sens!$Y$4054</f>
        <v>0</v>
      </c>
      <c r="Z4055" s="38" t="n">
        <f aca="false">SUMPRODUCT(--(Sens!$R$4019:$AA$4019=2031-cip_lag),Sens!$R$4052:$AA$4052)-Sens!$Z$4054</f>
        <v>0</v>
      </c>
      <c r="AA4055" s="38" t="n">
        <f aca="false">SUMPRODUCT(--(Sens!$R$4019:$AA$4019=2032-cip_lag),Sens!$R$4052:$AA$4052)-Sens!$AA$4054</f>
        <v>0</v>
      </c>
    </row>
    <row r="4056" customFormat="false" ht="17.15" hidden="false" customHeight="false" outlineLevel="0" collapsed="false">
      <c r="A4056" s="5" t="s">
        <v>645</v>
      </c>
      <c r="B4056" s="0" t="s">
        <v>86</v>
      </c>
      <c r="C4056" s="38" t="n">
        <f aca="false">Sens!$C$4051*Sens!$C$4048</f>
        <v>8.2530642</v>
      </c>
      <c r="D4056" s="38" t="n">
        <f aca="false">Sens!$D$4051*Sens!$D$4048</f>
        <v>37.1387889</v>
      </c>
      <c r="E4056" s="38" t="n">
        <f aca="false">Sens!$E$4051*Sens!$E$4048</f>
        <v>25.7897792</v>
      </c>
      <c r="F4056" s="38" t="n">
        <f aca="false">Sens!$F$4051*Sens!$F$4048</f>
        <v>67.4948715189913</v>
      </c>
      <c r="G4056" s="38" t="n">
        <f aca="false">Sens!$E$4056+Sens!$F$4056</f>
        <v>93.2846507189913</v>
      </c>
      <c r="H4056" s="38" t="n">
        <f aca="false">(Sens!$H$4051-Sens!$H$4050)*Sens!$H$4048+Sens!$H$4050</f>
        <v>152.52478394475</v>
      </c>
      <c r="I4056" s="38" t="n">
        <f aca="false">(Sens!$I$4051-Sens!$I$4050)*Sens!$I$4048+Sens!$I$4050</f>
        <v>158.5998889105</v>
      </c>
      <c r="J4056" s="38" t="n">
        <f aca="false">(Sens!$J$4051-Sens!$J$4050)*Sens!$J$4048+Sens!$J$4050</f>
        <v>163.8366571105</v>
      </c>
      <c r="K4056" s="38" t="n">
        <f aca="false">(Sens!$K$4051-Sens!$K$4050)*Sens!$K$4048+Sens!$K$4050</f>
        <v>122.665498273534</v>
      </c>
      <c r="L4056" s="38" t="n">
        <f aca="false">(Sens!$L$4051-Sens!$L$4050)*Sens!$L$4048+Sens!$L$4050</f>
        <v>112.914948636568</v>
      </c>
      <c r="M4056" s="38" t="n">
        <f aca="false">(Sens!$M$4051-Sens!$M$4050)*Sens!$M$4048+Sens!$M$4050</f>
        <v>126.605482654852</v>
      </c>
      <c r="R4056" s="38" t="n">
        <f aca="false">Sens!$R$4051*Sens!$C$4048</f>
        <v>1.09927679019314</v>
      </c>
      <c r="S4056" s="38" t="n">
        <f aca="false">Sens!$C$4056</f>
        <v>8.2530642</v>
      </c>
      <c r="T4056" s="38" t="n">
        <f aca="false">Sens!$D$4056</f>
        <v>37.1387889</v>
      </c>
      <c r="U4056" s="38" t="n">
        <f aca="false">Sens!$G$4056</f>
        <v>93.2846507189913</v>
      </c>
      <c r="V4056" s="38" t="n">
        <f aca="false">Sens!$H$4056</f>
        <v>152.52478394475</v>
      </c>
      <c r="W4056" s="38" t="n">
        <f aca="false">Sens!$I$4056</f>
        <v>158.5998889105</v>
      </c>
      <c r="X4056" s="38" t="n">
        <f aca="false">Sens!$J$4056</f>
        <v>163.8366571105</v>
      </c>
      <c r="Y4056" s="38" t="n">
        <f aca="false">Sens!$K$4056</f>
        <v>122.665498273534</v>
      </c>
      <c r="Z4056" s="38" t="n">
        <f aca="false">Sens!$L$4056</f>
        <v>112.914948636568</v>
      </c>
      <c r="AA4056" s="38" t="n">
        <f aca="false">Sens!$M$4056</f>
        <v>126.605482654852</v>
      </c>
    </row>
    <row r="4057" customFormat="false" ht="15" hidden="false" customHeight="false" outlineLevel="0" collapsed="false">
      <c r="A4057" s="5" t="s">
        <v>646</v>
      </c>
      <c r="B4057" s="0" t="s">
        <v>86</v>
      </c>
      <c r="C4057" s="38" t="n">
        <f aca="false">Sens!$C$4051-Sens!$C$4056</f>
        <v>3.0408</v>
      </c>
      <c r="D4057" s="38" t="n">
        <f aca="false">Sens!$D$4051-Sens!$D$4056</f>
        <v>13.6836</v>
      </c>
      <c r="E4057" s="38" t="n">
        <f aca="false">Sens!$E$4051-Sens!$E$4056</f>
        <v>8.1088</v>
      </c>
      <c r="F4057" s="38" t="n">
        <f aca="false">Sens!$F$4051-Sens!$F$4056</f>
        <v>21.2216789422221</v>
      </c>
      <c r="G4057" s="38" t="n">
        <f aca="false">Sens!$G$4051-Sens!$G$4056</f>
        <v>29.3304789422221</v>
      </c>
      <c r="H4057" s="38" t="n">
        <f aca="false">Sens!$H$4051-Sens!$H$4056</f>
        <v>46.046581</v>
      </c>
      <c r="I4057" s="38" t="n">
        <f aca="false">Sens!$I$4051-Sens!$I$4056</f>
        <v>46.046581</v>
      </c>
      <c r="J4057" s="38" t="n">
        <f aca="false">Sens!$J$4051-Sens!$J$4056</f>
        <v>46.046581</v>
      </c>
      <c r="K4057" s="38" t="n">
        <f aca="false">Sens!$K$4051-Sens!$K$4056</f>
        <v>32.5728870016667</v>
      </c>
      <c r="L4057" s="38" t="n">
        <f aca="false">Sens!$L$4051-Sens!$L$4056</f>
        <v>19.0991930033334</v>
      </c>
      <c r="M4057" s="38" t="n">
        <f aca="false">Sens!$M$4051-Sens!$M$4056</f>
        <v>5.62549900499998</v>
      </c>
      <c r="R4057" s="38" t="n">
        <f aca="false">Sens!$R$4051-Sens!$R$4056</f>
        <v>0.405023005106309</v>
      </c>
      <c r="S4057" s="38" t="n">
        <f aca="false">Sens!$S$4051-Sens!$S$4056</f>
        <v>3.0408</v>
      </c>
      <c r="T4057" s="38" t="n">
        <f aca="false">Sens!$T$4051-Sens!$T$4056</f>
        <v>13.6836</v>
      </c>
      <c r="U4057" s="38" t="n">
        <f aca="false">Sens!$U$4051-Sens!$U$4056</f>
        <v>29.3304789422221</v>
      </c>
      <c r="V4057" s="38" t="n">
        <f aca="false">Sens!$V$4051-Sens!$V$4056</f>
        <v>46.046581</v>
      </c>
      <c r="W4057" s="38" t="n">
        <f aca="false">Sens!$W$4051-Sens!$W$4056</f>
        <v>46.046581</v>
      </c>
      <c r="X4057" s="38" t="n">
        <f aca="false">Sens!$X$4051-Sens!$X$4056</f>
        <v>46.046581</v>
      </c>
      <c r="Y4057" s="38" t="n">
        <f aca="false">Sens!$Y$4051-Sens!$Y$4056</f>
        <v>32.5728870016667</v>
      </c>
      <c r="Z4057" s="38" t="n">
        <f aca="false">Sens!$Z$4051-Sens!$Z$4056</f>
        <v>19.0991930033334</v>
      </c>
      <c r="AA4057" s="38" t="n">
        <f aca="false">Sens!$AA$4051-Sens!$AA$4056</f>
        <v>5.62549900499998</v>
      </c>
    </row>
    <row r="4058" customFormat="false" ht="17.15" hidden="false" customHeight="false" outlineLevel="0" collapsed="false">
      <c r="A4058" s="0" t="s">
        <v>647</v>
      </c>
      <c r="B4058" s="0" t="s">
        <v>52</v>
      </c>
      <c r="C4058" s="13" t="n">
        <f aca="false">Sens!$C$4049/Sens!$C$4174</f>
        <v>0.325505489553393</v>
      </c>
      <c r="D4058" s="13" t="n">
        <f aca="false">Sens!$D$4049/Sens!$D$4174</f>
        <v>0.54214956071542</v>
      </c>
      <c r="E4058" s="13" t="n">
        <f aca="false">Sens!$E$4049/Sens!$E$4174</f>
        <v>0.666492790452817</v>
      </c>
      <c r="F4058" s="13" t="n">
        <f aca="false">Sens!$F$4049/Sens!$F$4174</f>
        <v>0.71724917504417</v>
      </c>
      <c r="G4058" s="13" t="n">
        <f aca="false">Sens!$G$4049/Sens!$G$4174</f>
        <v>0.69502941413511</v>
      </c>
      <c r="H4058" s="13" t="n">
        <f aca="false">Sens!$H$4049/Sens!$H$4174</f>
        <v>0.726376041178204</v>
      </c>
      <c r="I4058" s="13" t="n">
        <f aca="false">Sens!$I$4049/Sens!$I$4174</f>
        <v>0.713099092661699</v>
      </c>
      <c r="J4058" s="13" t="n">
        <f aca="false">Sens!$J$4049/Sens!$J$4174</f>
        <v>0.701208348786245</v>
      </c>
      <c r="K4058" s="13" t="n">
        <f aca="false">Sens!$K$4049/Sens!$K$4174</f>
        <v>0.618338844562383</v>
      </c>
      <c r="L4058" s="13" t="n">
        <f aca="false">Sens!$L$4049/Sens!$L$4174</f>
        <v>0.562489158462506</v>
      </c>
      <c r="M4058" s="13" t="n">
        <f aca="false">Sens!$M$4049/Sens!$M$4174</f>
        <v>0.545751190895923</v>
      </c>
    </row>
    <row r="4059" customFormat="false" ht="17.15" hidden="false" customHeight="false" outlineLevel="0" collapsed="false">
      <c r="A4059" s="0" t="s">
        <v>648</v>
      </c>
      <c r="B4059" s="0" t="s">
        <v>86</v>
      </c>
      <c r="C4059" s="38" t="n">
        <f aca="false">Sens!$S$4059</f>
        <v>0.183212798365523</v>
      </c>
      <c r="D4059" s="38" t="n">
        <f aca="false">Sens!$T$4059</f>
        <v>1.55872349836552</v>
      </c>
      <c r="E4059" s="38" t="n">
        <f aca="false">Sens!$G$4059/2</f>
        <v>4.72585036583285</v>
      </c>
      <c r="F4059" s="38" t="n">
        <f aca="false">Sens!$G$4059/2</f>
        <v>4.72585036583285</v>
      </c>
      <c r="G4059" s="38" t="n">
        <f aca="false">Sens!$U$4059</f>
        <v>9.4517007316657</v>
      </c>
      <c r="H4059" s="38" t="n">
        <f aca="false">Sens!$V$4059</f>
        <v>27.2822988413376</v>
      </c>
      <c r="I4059" s="38" t="n">
        <f aca="false">Sens!$W$4059</f>
        <v>56.5439995605568</v>
      </c>
      <c r="J4059" s="38" t="n">
        <f aca="false">Sens!$X$4059</f>
        <v>82.9773143789735</v>
      </c>
      <c r="K4059" s="38" t="n">
        <f aca="false">Sens!$Y$4059</f>
        <v>110.100211099025</v>
      </c>
      <c r="L4059" s="38" t="n">
        <f aca="false">Sens!$Z$4059</f>
        <v>129.16895011128</v>
      </c>
      <c r="M4059" s="38" t="n">
        <f aca="false">Sens!$AA$4059</f>
        <v>140.095130984075</v>
      </c>
      <c r="N4059" s="38" t="n">
        <f aca="false">Sens!$D$4059/2</f>
        <v>0.779361749182762</v>
      </c>
      <c r="O4059" s="38" t="n">
        <f aca="false">Sens!$D$4059/2</f>
        <v>0.779361749182762</v>
      </c>
      <c r="R4059" s="38" t="n">
        <f aca="false">(SUMPRODUCT(--(Sens!$R$4019:$AA$4019&lt;Sens!R$4019),--(Sens!$R$4019:$AA$4019&gt;=Sens!R$4019-tk_life),Sens!$R$4056:$AA$4056)+SUMPRODUCT(--(Sens!$R$4019:$AA$4019&lt;Sens!R$4019),--(Sens!$R$4019:$AA$4019&gt;=Sens!R$4019-tk_life),Sens!$R$4054:$AA$4054))/tk_life</f>
        <v>0</v>
      </c>
      <c r="S4059" s="38" t="n">
        <f aca="false">(SUMPRODUCT(--(Sens!$R$4019:$AA$4019&lt;Sens!S$4019),--(Sens!$R$4019:$AA$4019&gt;=Sens!S$4019-tk_life),Sens!$R$4056:$AA$4056)+SUMPRODUCT(--(Sens!$R$4019:$AA$4019&lt;Sens!S$4019),--(Sens!$R$4019:$AA$4019&gt;=Sens!S$4019-tk_life),Sens!$R$4054:$AA$4054))/tk_life</f>
        <v>0.183212798365523</v>
      </c>
      <c r="T4059" s="38" t="n">
        <f aca="false">(SUMPRODUCT(--(Sens!$R$4019:$AA$4019&lt;Sens!T$4019),--(Sens!$R$4019:$AA$4019&gt;=Sens!T$4019-tk_life),Sens!$R$4056:$AA$4056)+SUMPRODUCT(--(Sens!$R$4019:$AA$4019&lt;Sens!T$4019),--(Sens!$R$4019:$AA$4019&gt;=Sens!T$4019-tk_life),Sens!$R$4054:$AA$4054))/tk_life</f>
        <v>1.55872349836552</v>
      </c>
      <c r="U4059" s="38" t="n">
        <f aca="false">(SUMPRODUCT(--(Sens!$R$4019:$AA$4019&lt;Sens!U$4019),--(Sens!$R$4019:$AA$4019&gt;=Sens!U$4019-tk_life),Sens!$R$4056:$AA$4056)+SUMPRODUCT(--(Sens!$R$4019:$AA$4019&lt;Sens!U$4019),--(Sens!$R$4019:$AA$4019&gt;=Sens!U$4019-tk_life),Sens!$R$4054:$AA$4054))/tk_life</f>
        <v>9.4517007316657</v>
      </c>
      <c r="V4059" s="38" t="n">
        <f aca="false">(SUMPRODUCT(--(Sens!$R$4019:$AA$4019&lt;Sens!V$4019),--(Sens!$R$4019:$AA$4019&gt;=Sens!V$4019-tk_life),Sens!$R$4056:$AA$4056)+SUMPRODUCT(--(Sens!$R$4019:$AA$4019&lt;Sens!V$4019),--(Sens!$R$4019:$AA$4019&gt;=Sens!V$4019-tk_life),Sens!$R$4054:$AA$4054))/tk_life</f>
        <v>27.2822988413376</v>
      </c>
      <c r="W4059" s="38" t="n">
        <f aca="false">(SUMPRODUCT(--(Sens!$R$4019:$AA$4019&lt;Sens!W$4019),--(Sens!$R$4019:$AA$4019&gt;=Sens!W$4019-tk_life),Sens!$R$4056:$AA$4056)+SUMPRODUCT(--(Sens!$R$4019:$AA$4019&lt;Sens!W$4019),--(Sens!$R$4019:$AA$4019&gt;=Sens!W$4019-tk_life),Sens!$R$4054:$AA$4054))/tk_life</f>
        <v>56.5439995605568</v>
      </c>
      <c r="X4059" s="38" t="n">
        <f aca="false">(SUMPRODUCT(--(Sens!$R$4019:$AA$4019&lt;Sens!X$4019),--(Sens!$R$4019:$AA$4019&gt;=Sens!X$4019-tk_life),Sens!$R$4056:$AA$4056)+SUMPRODUCT(--(Sens!$R$4019:$AA$4019&lt;Sens!X$4019),--(Sens!$R$4019:$AA$4019&gt;=Sens!X$4019-tk_life),Sens!$R$4054:$AA$4054))/tk_life</f>
        <v>82.9773143789735</v>
      </c>
      <c r="Y4059" s="38" t="n">
        <f aca="false">(SUMPRODUCT(--(Sens!$R$4019:$AA$4019&lt;Sens!Y$4019),--(Sens!$R$4019:$AA$4019&gt;=Sens!Y$4019-tk_life),Sens!$R$4056:$AA$4056)+SUMPRODUCT(--(Sens!$R$4019:$AA$4019&lt;Sens!Y$4019),--(Sens!$R$4019:$AA$4019&gt;=Sens!Y$4019-tk_life),Sens!$R$4054:$AA$4054))/tk_life</f>
        <v>110.100211099025</v>
      </c>
      <c r="Z4059" s="38" t="n">
        <f aca="false">(SUMPRODUCT(--(Sens!$R$4019:$AA$4019&lt;Sens!Z$4019),--(Sens!$R$4019:$AA$4019&gt;=Sens!Z$4019-tk_life),Sens!$R$4056:$AA$4056)+SUMPRODUCT(--(Sens!$R$4019:$AA$4019&lt;Sens!Z$4019),--(Sens!$R$4019:$AA$4019&gt;=Sens!Z$4019-tk_life),Sens!$R$4054:$AA$4054))/tk_life</f>
        <v>129.16895011128</v>
      </c>
      <c r="AA4059" s="38" t="n">
        <f aca="false">(SUMPRODUCT(--(Sens!$R$4019:$AA$4019&lt;Sens!AA$4019),--(Sens!$R$4019:$AA$4019&gt;=Sens!AA$4019-tk_life),Sens!$R$4056:$AA$4056)+SUMPRODUCT(--(Sens!$R$4019:$AA$4019&lt;Sens!AA$4019),--(Sens!$R$4019:$AA$4019&gt;=Sens!AA$4019-tk_life),Sens!$R$4054:$AA$4054))/tk_life</f>
        <v>140.095130984075</v>
      </c>
    </row>
    <row r="4060" customFormat="false" ht="17.15" hidden="false" customHeight="false" outlineLevel="0" collapsed="false">
      <c r="A4060" s="0" t="s">
        <v>649</v>
      </c>
      <c r="B4060" s="0" t="s">
        <v>86</v>
      </c>
      <c r="C4060" s="38" t="n">
        <f aca="false">Sens!$S$4060</f>
        <v>0.0202511502553155</v>
      </c>
      <c r="D4060" s="38" t="n">
        <f aca="false">Sens!$T$4060</f>
        <v>0.172291150255315</v>
      </c>
      <c r="E4060" s="38" t="n">
        <f aca="false">Sens!$G$4060/2</f>
        <v>0.522364740326067</v>
      </c>
      <c r="F4060" s="38" t="n">
        <f aca="false">Sens!$G$4060/2</f>
        <v>0.522364740326067</v>
      </c>
      <c r="G4060" s="38" t="n">
        <f aca="false">Sens!$U$4060</f>
        <v>1.04472948065213</v>
      </c>
      <c r="H4060" s="38" t="n">
        <f aca="false">Sens!$V$4060</f>
        <v>2.76361866736136</v>
      </c>
      <c r="I4060" s="38" t="n">
        <f aca="false">Sens!$W$4060</f>
        <v>5.42824377125863</v>
      </c>
      <c r="J4060" s="38" t="n">
        <f aca="false">Sens!$X$4060</f>
        <v>7.73057282125864</v>
      </c>
      <c r="K4060" s="38" t="n">
        <f aca="false">Sens!$Y$4060</f>
        <v>10.0329018712586</v>
      </c>
      <c r="L4060" s="38" t="n">
        <f aca="false">Sens!$Z$4060</f>
        <v>11.661546221342</v>
      </c>
      <c r="M4060" s="38" t="n">
        <f aca="false">Sens!$AA$4060</f>
        <v>12.6165058715086</v>
      </c>
      <c r="N4060" s="38" t="n">
        <f aca="false">Sens!$D$4060/2</f>
        <v>0.0861455751276577</v>
      </c>
      <c r="O4060" s="38" t="n">
        <f aca="false">Sens!$D$4060/2</f>
        <v>0.0861455751276577</v>
      </c>
      <c r="R4060" s="38" t="n">
        <f aca="false">(SUMPRODUCT(--(Sens!$R$4019:$AA$4019&lt;Sens!R$4019),Sens!$R$4057:$AA$4057)+SUMPRODUCT(--(Sens!$R$4019:$AA$4019&lt;Sens!R$4019),Sens!$R$4055:$AA$4055))/fac_life</f>
        <v>0</v>
      </c>
      <c r="S4060" s="38" t="n">
        <f aca="false">(SUMPRODUCT(--(Sens!$R$4019:$AA$4019&lt;Sens!S$4019),Sens!$R$4057:$AA$4057)+SUMPRODUCT(--(Sens!$R$4019:$AA$4019&lt;Sens!S$4019),Sens!$R$4055:$AA$4055))/fac_life</f>
        <v>0.0202511502553155</v>
      </c>
      <c r="T4060" s="38" t="n">
        <f aca="false">(SUMPRODUCT(--(Sens!$R$4019:$AA$4019&lt;Sens!T$4019),Sens!$R$4057:$AA$4057)+SUMPRODUCT(--(Sens!$R$4019:$AA$4019&lt;Sens!T$4019),Sens!$R$4055:$AA$4055))/fac_life</f>
        <v>0.172291150255315</v>
      </c>
      <c r="U4060" s="38" t="n">
        <f aca="false">(SUMPRODUCT(--(Sens!$R$4019:$AA$4019&lt;Sens!U$4019),Sens!$R$4057:$AA$4057)+SUMPRODUCT(--(Sens!$R$4019:$AA$4019&lt;Sens!U$4019),Sens!$R$4055:$AA$4055))/fac_life</f>
        <v>1.04472948065213</v>
      </c>
      <c r="V4060" s="38" t="n">
        <f aca="false">(SUMPRODUCT(--(Sens!$R$4019:$AA$4019&lt;Sens!V$4019),Sens!$R$4057:$AA$4057)+SUMPRODUCT(--(Sens!$R$4019:$AA$4019&lt;Sens!V$4019),Sens!$R$4055:$AA$4055))/fac_life</f>
        <v>2.76361866736136</v>
      </c>
      <c r="W4060" s="38" t="n">
        <f aca="false">(SUMPRODUCT(--(Sens!$R$4019:$AA$4019&lt;Sens!W$4019),Sens!$R$4057:$AA$4057)+SUMPRODUCT(--(Sens!$R$4019:$AA$4019&lt;Sens!W$4019),Sens!$R$4055:$AA$4055))/fac_life</f>
        <v>5.42824377125863</v>
      </c>
      <c r="X4060" s="38" t="n">
        <f aca="false">(SUMPRODUCT(--(Sens!$R$4019:$AA$4019&lt;Sens!X$4019),Sens!$R$4057:$AA$4057)+SUMPRODUCT(--(Sens!$R$4019:$AA$4019&lt;Sens!X$4019),Sens!$R$4055:$AA$4055))/fac_life</f>
        <v>7.73057282125864</v>
      </c>
      <c r="Y4060" s="38" t="n">
        <f aca="false">(SUMPRODUCT(--(Sens!$R$4019:$AA$4019&lt;Sens!Y$4019),Sens!$R$4057:$AA$4057)+SUMPRODUCT(--(Sens!$R$4019:$AA$4019&lt;Sens!Y$4019),Sens!$R$4055:$AA$4055))/fac_life</f>
        <v>10.0329018712586</v>
      </c>
      <c r="Z4060" s="38" t="n">
        <f aca="false">(SUMPRODUCT(--(Sens!$R$4019:$AA$4019&lt;Sens!Z$4019),Sens!$R$4057:$AA$4057)+SUMPRODUCT(--(Sens!$R$4019:$AA$4019&lt;Sens!Z$4019),Sens!$R$4055:$AA$4055))/fac_life</f>
        <v>11.661546221342</v>
      </c>
      <c r="AA4060" s="38" t="n">
        <f aca="false">(SUMPRODUCT(--(Sens!$R$4019:$AA$4019&lt;Sens!AA$4019),Sens!$R$4057:$AA$4057)+SUMPRODUCT(--(Sens!$R$4019:$AA$4019&lt;Sens!AA$4019),Sens!$R$4055:$AA$4055))/fac_life</f>
        <v>12.6165058715086</v>
      </c>
    </row>
    <row r="4061" customFormat="false" ht="17.15" hidden="false" customHeight="false" outlineLevel="0" collapsed="false">
      <c r="A4061" s="1" t="s">
        <v>650</v>
      </c>
      <c r="B4061" s="8" t="s">
        <v>86</v>
      </c>
      <c r="C4061" s="38" t="n">
        <f aca="false">Sens!$C$4059+Sens!$C$4060</f>
        <v>0.203463948620839</v>
      </c>
      <c r="D4061" s="38" t="n">
        <f aca="false">Sens!$D$4059+Sens!$D$4060</f>
        <v>1.73101464862084</v>
      </c>
      <c r="E4061" s="38" t="n">
        <f aca="false">Sens!$E$4059+Sens!$E$4060</f>
        <v>5.24821510615892</v>
      </c>
      <c r="F4061" s="38" t="n">
        <f aca="false">Sens!$F$4059+Sens!$F$4060</f>
        <v>5.24821510615892</v>
      </c>
      <c r="G4061" s="38" t="n">
        <f aca="false">Sens!$G$4059+Sens!$G$4060</f>
        <v>10.4964302123178</v>
      </c>
      <c r="H4061" s="38" t="n">
        <f aca="false">Sens!$H$4059+Sens!$H$4060</f>
        <v>30.045917508699</v>
      </c>
      <c r="I4061" s="38" t="n">
        <f aca="false">Sens!$I$4059+Sens!$I$4060</f>
        <v>61.9722433318155</v>
      </c>
      <c r="J4061" s="38" t="n">
        <f aca="false">Sens!$J$4059+Sens!$J$4060</f>
        <v>90.7078872002321</v>
      </c>
      <c r="K4061" s="38" t="n">
        <f aca="false">Sens!$K$4059+Sens!$K$4060</f>
        <v>120.133112970283</v>
      </c>
      <c r="L4061" s="38" t="n">
        <f aca="false">Sens!$L$4059+Sens!$L$4060</f>
        <v>140.830496332622</v>
      </c>
      <c r="M4061" s="38" t="n">
        <f aca="false">Sens!$M$4059+Sens!$M$4060</f>
        <v>152.711636855584</v>
      </c>
      <c r="N4061" s="38" t="n">
        <f aca="false">Sens!$N$4059+Sens!$N$4060</f>
        <v>0.865507324310419</v>
      </c>
      <c r="O4061" s="38" t="n">
        <f aca="false">Sens!$O$4059+Sens!$O$4060</f>
        <v>0.865507324310419</v>
      </c>
      <c r="R4061" s="38" t="n">
        <f aca="false">Sens!$R$4059+Sens!$R$4060</f>
        <v>0</v>
      </c>
      <c r="S4061" s="38" t="n">
        <f aca="false">Sens!$S$4059+Sens!$S$4060</f>
        <v>0.203463948620839</v>
      </c>
      <c r="T4061" s="38" t="n">
        <f aca="false">Sens!$T$4059+Sens!$T$4060</f>
        <v>1.73101464862084</v>
      </c>
      <c r="U4061" s="38" t="n">
        <f aca="false">Sens!$U$4059+Sens!$U$4060</f>
        <v>10.4964302123178</v>
      </c>
      <c r="V4061" s="38" t="n">
        <f aca="false">Sens!$V$4059+Sens!$V$4060</f>
        <v>30.045917508699</v>
      </c>
      <c r="W4061" s="38" t="n">
        <f aca="false">Sens!$W$4059+Sens!$W$4060</f>
        <v>61.9722433318155</v>
      </c>
      <c r="X4061" s="38" t="n">
        <f aca="false">Sens!$X$4059+Sens!$X$4060</f>
        <v>90.7078872002321</v>
      </c>
      <c r="Y4061" s="38" t="n">
        <f aca="false">Sens!$Y$4059+Sens!$Y$4060</f>
        <v>120.133112970283</v>
      </c>
      <c r="Z4061" s="38" t="n">
        <f aca="false">Sens!$Z$4059+Sens!$Z$4060</f>
        <v>140.830496332622</v>
      </c>
      <c r="AA4061" s="38" t="n">
        <f aca="false">Sens!$AA$4059+Sens!$AA$4060</f>
        <v>152.711636855584</v>
      </c>
    </row>
    <row r="4062" customFormat="false" ht="17.15" hidden="false" customHeight="false" outlineLevel="0" collapsed="false">
      <c r="A4062" s="0" t="s">
        <v>651</v>
      </c>
      <c r="B4062" s="0" t="s">
        <v>86</v>
      </c>
      <c r="C4062" s="38" t="n">
        <f aca="false">Sens!$S$4062</f>
        <v>26.578941154416</v>
      </c>
      <c r="D4062" s="38" t="n">
        <f aca="false">Sens!$T$4062</f>
        <v>94.4165581367978</v>
      </c>
      <c r="G4062" s="38" t="n">
        <f aca="false">Sens!$U$4062</f>
        <v>236.826599034204</v>
      </c>
      <c r="H4062" s="38" t="n">
        <f aca="false">Sens!$V$4062</f>
        <v>405.352046470255</v>
      </c>
      <c r="I4062" s="38" t="n">
        <f aca="false">Sens!$W$4062</f>
        <v>548.02627304894</v>
      </c>
      <c r="J4062" s="38" t="n">
        <f aca="false">Sens!$X$4062</f>
        <v>667.201623959208</v>
      </c>
      <c r="K4062" s="38" t="n">
        <f aca="false">Sens!$Y$4062</f>
        <v>702.306896264125</v>
      </c>
      <c r="L4062" s="38" t="n">
        <f aca="false">Sens!$Z$4062</f>
        <v>693.490541571405</v>
      </c>
      <c r="M4062" s="38" t="n">
        <f aca="false">Sens!$AA$4062</f>
        <v>673.009886375674</v>
      </c>
      <c r="R4062" s="38" t="n">
        <f aca="false">SUM(Sens!$R$4049:$R$4049)-SUM(Sens!$R$4061:$R$4061)</f>
        <v>1.50429979529945</v>
      </c>
      <c r="S4062" s="38" t="n">
        <f aca="false">SUM(Sens!$R$4049:$S$4049)-SUM(Sens!$R$4061:$S$4061)</f>
        <v>26.578941154416</v>
      </c>
      <c r="T4062" s="38" t="n">
        <f aca="false">SUM(Sens!$R$4049:$T$4049)-SUM(Sens!$R$4061:$T$4061)</f>
        <v>94.4165581367978</v>
      </c>
      <c r="U4062" s="38" t="n">
        <f aca="false">SUM(Sens!$R$4049:$U$4049)-SUM(Sens!$R$4061:$U$4061)</f>
        <v>236.826599034204</v>
      </c>
      <c r="V4062" s="38" t="n">
        <f aca="false">SUM(Sens!$R$4049:$V$4049)-SUM(Sens!$R$4061:$V$4061)</f>
        <v>405.352046470255</v>
      </c>
      <c r="W4062" s="38" t="n">
        <f aca="false">SUM(Sens!$R$4049:$W$4049)-SUM(Sens!$R$4061:$W$4061)</f>
        <v>548.02627304894</v>
      </c>
      <c r="X4062" s="38" t="n">
        <f aca="false">SUM(Sens!$R$4049:$X$4049)-SUM(Sens!$R$4061:$X$4061)</f>
        <v>667.201623959208</v>
      </c>
      <c r="Y4062" s="38" t="n">
        <f aca="false">SUM(Sens!$R$4049:$Y$4049)-SUM(Sens!$R$4061:$Y$4061)</f>
        <v>702.306896264125</v>
      </c>
      <c r="Z4062" s="38" t="n">
        <f aca="false">SUM(Sens!$R$4049:$Z$4049)-SUM(Sens!$R$4061:$Z$4061)</f>
        <v>693.490541571405</v>
      </c>
      <c r="AA4062" s="38" t="n">
        <f aca="false">SUM(Sens!$R$4049:$AA$4049)-SUM(Sens!$R$4061:$AA$4061)</f>
        <v>673.009886375674</v>
      </c>
    </row>
    <row r="4063" customFormat="false" ht="17.15" hidden="false" customHeight="false" outlineLevel="0" collapsed="false">
      <c r="A4063" s="1" t="s">
        <v>652</v>
      </c>
    </row>
    <row r="4064" customFormat="false" ht="17.15" hidden="false" customHeight="false" outlineLevel="0" collapsed="false">
      <c r="A4064" s="0" t="s">
        <v>653</v>
      </c>
      <c r="B4064" s="0" t="s">
        <v>86</v>
      </c>
      <c r="C4064" s="38" t="n">
        <f aca="false">Sens!$C$4040-ext_sh*Sens!$C$4042</f>
        <v>1.80694998843362</v>
      </c>
      <c r="D4064" s="38" t="n">
        <f aca="false">Sens!$D$4040-ext_sh*Sens!$D$4042</f>
        <v>6.77606245662607</v>
      </c>
      <c r="E4064" s="38" t="n">
        <f aca="false">Sens!$E$4040-ext_sh*Sens!$E$4042</f>
        <v>6.62548329092326</v>
      </c>
      <c r="F4064" s="38" t="n">
        <f aca="false">Sens!$F$4040-ext_sh*Sens!$F$4042</f>
        <v>11.7200577158706</v>
      </c>
      <c r="G4064" s="38" t="n">
        <f aca="false">Sens!$G$4040-ext_sh*Sens!$G$4042</f>
        <v>18.3455410067939</v>
      </c>
      <c r="H4064" s="38" t="n">
        <f aca="false">Sens!$H$4040-ext_sh*Sens!$H$4042</f>
        <v>47.5171727060453</v>
      </c>
      <c r="I4064" s="38" t="n">
        <f aca="false">Sens!$I$4040-ext_sh*Sens!$I$4042</f>
        <v>80.5539692643667</v>
      </c>
      <c r="J4064" s="38" t="n">
        <f aca="false">Sens!$J$4040-ext_sh*Sens!$J$4042</f>
        <v>113.759316834883</v>
      </c>
      <c r="K4064" s="38" t="n">
        <f aca="false">Sens!$K$4040-ext_sh*Sens!$K$4042</f>
        <v>142.084411492169</v>
      </c>
      <c r="L4064" s="38" t="n">
        <f aca="false">Sens!$L$4040-ext_sh*Sens!$L$4042</f>
        <v>160.69964615804</v>
      </c>
      <c r="M4064" s="38" t="n">
        <f aca="false">Sens!$M$4040-ext_sh*Sens!$M$4042</f>
        <v>169.577607141793</v>
      </c>
      <c r="N4064" s="38" t="n">
        <f aca="false">Sens!$N$4040-ext_sh*Sens!$N$4042</f>
        <v>2.37162185981912</v>
      </c>
      <c r="O4064" s="38" t="n">
        <f aca="false">Sens!$O$4040-ext_sh*Sens!$O$4042</f>
        <v>4.40444059680694</v>
      </c>
    </row>
    <row r="4065" customFormat="false" ht="17.15" hidden="false" customHeight="false" outlineLevel="0" collapsed="false">
      <c r="A4065" s="1" t="s">
        <v>654</v>
      </c>
      <c r="B4065" s="8" t="s">
        <v>86</v>
      </c>
      <c r="C4065" s="38" t="n">
        <f aca="false">Sens!$C$4064-ext_sh*Sens!$C$4061</f>
        <v>1.64417882953695</v>
      </c>
      <c r="D4065" s="38" t="n">
        <f aca="false">Sens!$D$4064-ext_sh*Sens!$D$4061</f>
        <v>5.39125073772939</v>
      </c>
      <c r="E4065" s="38" t="n">
        <f aca="false">Sens!$E$4064-ext_sh*Sens!$E$4061</f>
        <v>2.42691120599613</v>
      </c>
      <c r="F4065" s="38" t="n">
        <f aca="false">Sens!$F$4064-ext_sh*Sens!$F$4061</f>
        <v>7.52148563094346</v>
      </c>
      <c r="G4065" s="38" t="n">
        <f aca="false">Sens!$G$4064-ext_sh*Sens!$G$4061</f>
        <v>9.94839683693959</v>
      </c>
      <c r="H4065" s="38" t="n">
        <f aca="false">Sens!$H$4064-ext_sh*Sens!$H$4061</f>
        <v>23.4804386990861</v>
      </c>
      <c r="I4065" s="38" t="n">
        <f aca="false">Sens!$I$4064-ext_sh*Sens!$I$4061</f>
        <v>30.9761745989143</v>
      </c>
      <c r="J4065" s="38" t="n">
        <f aca="false">Sens!$J$4064-ext_sh*Sens!$J$4061</f>
        <v>41.1930070746977</v>
      </c>
      <c r="K4065" s="38" t="n">
        <f aca="false">Sens!$K$4064-ext_sh*Sens!$K$4061</f>
        <v>45.9779211159428</v>
      </c>
      <c r="L4065" s="38" t="n">
        <f aca="false">Sens!$L$4064-ext_sh*Sens!$L$4061</f>
        <v>48.0352490919424</v>
      </c>
      <c r="M4065" s="38" t="n">
        <f aca="false">Sens!$M$4064-ext_sh*Sens!$M$4061</f>
        <v>47.4082976573265</v>
      </c>
      <c r="N4065" s="38" t="n">
        <f aca="false">Sens!$N$4064-ext_sh*Sens!$N$4061</f>
        <v>1.67921600037079</v>
      </c>
      <c r="O4065" s="38" t="n">
        <f aca="false">Sens!$O$4064-ext_sh*Sens!$O$4061</f>
        <v>3.71203473735861</v>
      </c>
    </row>
    <row r="4066" customFormat="false" ht="17.15" hidden="false" customHeight="false" outlineLevel="0" collapsed="false">
      <c r="A4066" s="0" t="s">
        <v>655</v>
      </c>
      <c r="B4066" s="0" t="s">
        <v>52</v>
      </c>
      <c r="C4066" s="13" t="n">
        <f aca="false">Sens!$C$4065/Sens!$C$4040</f>
        <v>0.708390794789371</v>
      </c>
      <c r="D4066" s="13" t="n">
        <f aca="false">Sens!$D$4065/Sens!$D$4040</f>
        <v>0.619415573115729</v>
      </c>
      <c r="E4066" s="13" t="n">
        <f aca="false">Sens!$E$4065/Sens!$E$4040</f>
        <v>0.285171627189009</v>
      </c>
      <c r="F4066" s="13" t="n">
        <f aca="false">Sens!$F$4065/Sens!$F$4040</f>
        <v>0.502657732812366</v>
      </c>
      <c r="G4066" s="13" t="n">
        <f aca="false">Sens!$G$4065/Sens!$G$4040</f>
        <v>0.423808778611812</v>
      </c>
      <c r="H4066" s="13" t="n">
        <f aca="false">Sens!$H$4065/Sens!$H$4040</f>
        <v>0.390261631739809</v>
      </c>
      <c r="I4066" s="13" t="n">
        <f aca="false">Sens!$I$4065/Sens!$I$4040</f>
        <v>0.305172864264572</v>
      </c>
      <c r="J4066" s="13" t="n">
        <f aca="false">Sens!$J$4065/Sens!$J$4040</f>
        <v>0.288011814789856</v>
      </c>
      <c r="K4066" s="13" t="n">
        <f aca="false">Sens!$K$4065/Sens!$K$4040</f>
        <v>0.25765427518774</v>
      </c>
      <c r="L4066" s="13" t="n">
        <f aca="false">Sens!$L$4065/Sens!$L$4040</f>
        <v>0.238118778012374</v>
      </c>
      <c r="M4066" s="13" t="n">
        <f aca="false">Sens!$M$4065/Sens!$M$4040</f>
        <v>0.222746255757109</v>
      </c>
      <c r="N4066" s="13" t="n">
        <f aca="false">Sens!$N$4065/Sens!$N$4040</f>
        <v>0.551227795793364</v>
      </c>
      <c r="O4066" s="13" t="n">
        <f aca="false">Sens!$O$4065/Sens!$O$4040</f>
        <v>0.656132068597002</v>
      </c>
    </row>
    <row r="4067" customFormat="false" ht="17.15" hidden="false" customHeight="false" outlineLevel="0" collapsed="false">
      <c r="A4067" s="5" t="s">
        <v>656</v>
      </c>
      <c r="B4067" s="0" t="s">
        <v>86</v>
      </c>
      <c r="C4067" s="39" t="n">
        <v>0</v>
      </c>
      <c r="D4067" s="39" t="n">
        <v>0</v>
      </c>
      <c r="E4067" s="39" t="n">
        <v>0</v>
      </c>
      <c r="F4067" s="38" t="n">
        <f aca="false">IF(internal_ai_reading=2,1,0)*(1-ext_sh)/ext_sh*(mw_open*he_open+Sens!$F$4038*Sens!$F$4035)*Sens!$F$4024/1000</f>
        <v>3.77122048175818</v>
      </c>
      <c r="G4067" s="38" t="n">
        <f aca="false">Sens!$E$4067+Sens!$F$4067</f>
        <v>3.77122048175818</v>
      </c>
      <c r="H4067" s="38" t="n">
        <f aca="false">IF(internal_ai_reading=2,1,0)*(1-ext_sh)/ext_sh*(mw_open*he_open+Sens!$H$4038*Sens!$H$4035)*Sens!$H$4024/1000</f>
        <v>15.1635543609893</v>
      </c>
      <c r="I4067" s="38" t="n">
        <f aca="false">IF(internal_ai_reading=2,1,0)*(1-ext_sh)/ext_sh*(mw_open*he_open+Sens!$I$4038*Sens!$I$4035)*Sens!$I$4024/1000</f>
        <v>25.5818843619889</v>
      </c>
      <c r="J4067" s="38" t="n">
        <f aca="false">IF(internal_ai_reading=2,1,0)*(1-ext_sh)/ext_sh*(mw_open*he_open+Sens!$J$4038*Sens!$J$4035)*Sens!$J$4024/1000</f>
        <v>36.0465624179122</v>
      </c>
      <c r="K4067" s="38" t="n">
        <f aca="false">IF(internal_ai_reading=2,1,0)*(1-ext_sh)/ext_sh*(mw_open*he_open+Sens!$K$4038*Sens!$K$4035)*Sens!$K$4024/1000</f>
        <v>44.9741164026038</v>
      </c>
      <c r="L4067" s="38" t="n">
        <f aca="false">IF(internal_ai_reading=2,1,0)*(1-ext_sh)/ext_sh*(mw_open*he_open+Sens!$L$4038*Sens!$L$4035)*Sens!$L$4024/1000</f>
        <v>50.8413488057813</v>
      </c>
      <c r="M4067" s="38" t="n">
        <f aca="false">IF(internal_ai_reading=2,1,0)*(1-ext_sh)/ext_sh*(mw_open*he_open+Sens!$M$4038*Sens!$M$4035)*Sens!$M$4024/1000</f>
        <v>53.6407214274315</v>
      </c>
      <c r="N4067" s="39" t="n">
        <v>0</v>
      </c>
      <c r="O4067" s="39" t="n">
        <v>0</v>
      </c>
      <c r="P4067" s="8" t="s">
        <v>657</v>
      </c>
    </row>
    <row r="4068" customFormat="false" ht="17.15" hidden="false" customHeight="false" outlineLevel="0" collapsed="false">
      <c r="A4068" s="5" t="s">
        <v>658</v>
      </c>
      <c r="B4068" s="0" t="s">
        <v>86</v>
      </c>
      <c r="C4068" s="38" t="n">
        <f aca="false">(1-ext_sh)*(Sens!$C$4042+Sens!$C$4061)</f>
        <v>0.169206631859174</v>
      </c>
      <c r="D4068" s="38" t="n">
        <f aca="false">(1-ext_sh)*(Sens!$D$4042+Sens!$D$4061)</f>
        <v>0.828129837730442</v>
      </c>
      <c r="E4068" s="38" t="n">
        <f aca="false">(1-ext_sh)*(Sens!$E$4042+Sens!$E$4061)</f>
        <v>1.52086044239347</v>
      </c>
      <c r="F4068" s="38" t="n">
        <f aca="false">(1-ext_sh)*(Sens!$F$4042+Sens!$F$4061)</f>
        <v>1.86048700344425</v>
      </c>
      <c r="G4068" s="38" t="n">
        <f aca="false">(1-ext_sh)*(Sens!$G$4042+Sens!$G$4061)</f>
        <v>3.38134744583772</v>
      </c>
      <c r="H4068" s="38" t="n">
        <f aca="false">(1-ext_sh)*(Sens!$H$4042+Sens!$H$4061)</f>
        <v>9.17136301267211</v>
      </c>
      <c r="I4068" s="38" t="n">
        <f aca="false">(1-ext_sh)*(Sens!$I$4042+Sens!$I$4061)</f>
        <v>17.6318811343794</v>
      </c>
      <c r="J4068" s="38" t="n">
        <f aca="false">(1-ext_sh)*(Sens!$J$4042+Sens!$J$4061)</f>
        <v>25.4581000191451</v>
      </c>
      <c r="K4068" s="38" t="n">
        <f aca="false">(1-ext_sh)*(Sens!$K$4042+Sens!$K$4061)</f>
        <v>33.1175498168092</v>
      </c>
      <c r="L4068" s="38" t="n">
        <f aca="false">(1-ext_sh)*(Sens!$L$4042+Sens!$L$4061)</f>
        <v>38.4232131776135</v>
      </c>
      <c r="M4068" s="38" t="n">
        <f aca="false">(1-ext_sh)*(Sens!$M$4042+Sens!$M$4061)</f>
        <v>41.3567859278847</v>
      </c>
      <c r="N4068" s="38" t="n">
        <f aca="false">(1-ext_sh)*(Sens!$N$4042+Sens!$N$4061)</f>
        <v>0.34177588266428</v>
      </c>
      <c r="O4068" s="38" t="n">
        <f aca="false">(1-ext_sh)*(Sens!$O$4042+Sens!$O$4061)</f>
        <v>0.486353955066162</v>
      </c>
    </row>
    <row r="4069" customFormat="false" ht="17.15" hidden="false" customHeight="false" outlineLevel="0" collapsed="false">
      <c r="A4069" s="0" t="s">
        <v>659</v>
      </c>
      <c r="B4069" s="0" t="s">
        <v>86</v>
      </c>
      <c r="C4069" s="38" t="n">
        <f aca="false">Q!$D$24</f>
        <v>39.834</v>
      </c>
      <c r="D4069" s="38" t="n">
        <f aca="false">Q!$E$24</f>
        <v>45.606</v>
      </c>
      <c r="E4069" s="38" t="n">
        <f aca="false">Q!$P$24</f>
        <v>30.782</v>
      </c>
      <c r="N4069" s="38" t="n">
        <f aca="false">Q!$N$24</f>
        <v>21.707</v>
      </c>
      <c r="O4069" s="38" t="n">
        <f aca="false">Q!$O$24</f>
        <v>23.899</v>
      </c>
    </row>
    <row r="4070" customFormat="false" ht="17.15" hidden="false" customHeight="false" outlineLevel="0" collapsed="false">
      <c r="A4070" s="0" t="s">
        <v>660</v>
      </c>
      <c r="B4070" s="0" t="s">
        <v>86</v>
      </c>
      <c r="C4070" s="38" t="n">
        <f aca="false">Sens!$C$4069-Sens!$C$4065</f>
        <v>38.1898211704631</v>
      </c>
      <c r="D4070" s="38" t="n">
        <f aca="false">Sens!$D$4069-Sens!$D$4065</f>
        <v>40.2147492622706</v>
      </c>
      <c r="E4070" s="38" t="n">
        <f aca="false">Sens!$E$4069-Sens!$E$4065</f>
        <v>28.3550887940039</v>
      </c>
      <c r="F4070" s="38" t="n">
        <f aca="false">Sens!$F$4044*Sens!$F$4071</f>
        <v>25.9529793149447</v>
      </c>
      <c r="G4070" s="38" t="n">
        <f aca="false">Sens!$E$4070+Sens!$F$4070</f>
        <v>54.3080681089486</v>
      </c>
      <c r="H4070" s="38" t="n">
        <f aca="false">Sens!$H$4044*Sens!$H$4071</f>
        <v>58.2264684589333</v>
      </c>
      <c r="I4070" s="38" t="n">
        <f aca="false">Sens!$I$4044*Sens!$I$4071</f>
        <v>64.6461353851744</v>
      </c>
      <c r="J4070" s="38" t="n">
        <f aca="false">Sens!$J$4044*Sens!$J$4071</f>
        <v>70.7957093610231</v>
      </c>
      <c r="K4070" s="38" t="n">
        <f aca="false">Sens!$K$4044*Sens!$K$4071</f>
        <v>76.4593661099049</v>
      </c>
      <c r="L4070" s="38" t="n">
        <f aca="false">Sens!$L$4044*Sens!$L$4071</f>
        <v>82.5761153986973</v>
      </c>
      <c r="M4070" s="38" t="n">
        <f aca="false">Sens!$M$4044*Sens!$M$4071</f>
        <v>89.1822046305931</v>
      </c>
      <c r="N4070" s="38" t="n">
        <f aca="false">Sens!$N$4069-Sens!$N$4065</f>
        <v>20.0277839996292</v>
      </c>
      <c r="O4070" s="38" t="n">
        <f aca="false">Sens!$O$4069-Sens!$O$4065</f>
        <v>20.1869652626414</v>
      </c>
      <c r="P4070" s="5" t="s">
        <v>661</v>
      </c>
    </row>
    <row r="4071" customFormat="false" ht="17.15" hidden="false" customHeight="false" outlineLevel="0" collapsed="false">
      <c r="A4071" s="0" t="s">
        <v>662</v>
      </c>
      <c r="B4071" s="0" t="s">
        <v>52</v>
      </c>
      <c r="C4071" s="13" t="n">
        <f aca="false">Sens!$C$4070/Sens!$C$4044</f>
        <v>0.362900395443635</v>
      </c>
      <c r="D4071" s="13" t="n">
        <f aca="false">Sens!$D$4070/Sens!$D$4044</f>
        <v>0.335063632425483</v>
      </c>
      <c r="E4071" s="13" t="n">
        <f aca="false">Sens!$E$4070/Sens!$E$4044</f>
        <v>0.397638855555478</v>
      </c>
      <c r="F4071" s="13" t="n">
        <f aca="false">(Sens!$O$4070+Sens!$E$4070)/(Sens!$O$4044+Sens!$E$4044)</f>
        <v>0.361616727338133</v>
      </c>
      <c r="G4071" s="13" t="n">
        <f aca="false">Sens!$G$4070/Sens!$G$4044</f>
        <v>0.379569803149143</v>
      </c>
      <c r="H4071" s="13" t="n">
        <f aca="false">Sens!$F$4071</f>
        <v>0.361616727338133</v>
      </c>
      <c r="I4071" s="13" t="n">
        <f aca="false">Sens!$F$4071</f>
        <v>0.361616727338133</v>
      </c>
      <c r="J4071" s="13" t="n">
        <f aca="false">Sens!$F$4071</f>
        <v>0.361616727338133</v>
      </c>
      <c r="K4071" s="13" t="n">
        <f aca="false">Sens!$F$4071</f>
        <v>0.361616727338133</v>
      </c>
      <c r="L4071" s="13" t="n">
        <f aca="false">Sens!$F$4071</f>
        <v>0.361616727338133</v>
      </c>
      <c r="M4071" s="13" t="n">
        <f aca="false">Sens!$F$4071</f>
        <v>0.361616727338133</v>
      </c>
      <c r="N4071" s="13" t="n">
        <f aca="false">Sens!$N$4070/Sens!$N$4044</f>
        <v>0.35078810535806</v>
      </c>
      <c r="O4071" s="13" t="n">
        <f aca="false">Sens!$O$4070/Sens!$O$4044</f>
        <v>0.320796939361619</v>
      </c>
      <c r="P4071" s="8" t="s">
        <v>663</v>
      </c>
    </row>
    <row r="4072" customFormat="false" ht="17.15" hidden="false" customHeight="false" outlineLevel="0" collapsed="false">
      <c r="A4072" s="0" t="s">
        <v>664</v>
      </c>
      <c r="B4072" s="0" t="s">
        <v>52</v>
      </c>
      <c r="D4072" s="13" t="n">
        <f aca="false">(Q!$E$31-ext_sh*Sens!$D$4061)/Sens!$D$4044</f>
        <v>0.167180325480118</v>
      </c>
    </row>
    <row r="4073" customFormat="false" ht="17.15" hidden="false" customHeight="false" outlineLevel="0" collapsed="false">
      <c r="A4073" s="0" t="s">
        <v>665</v>
      </c>
      <c r="B4073" s="0" t="s">
        <v>86</v>
      </c>
      <c r="C4073" s="38" t="n">
        <f aca="false">Q!$D$31</f>
        <v>13.32</v>
      </c>
      <c r="D4073" s="38" t="n">
        <f aca="false">Q!$E$31</f>
        <v>21.45</v>
      </c>
      <c r="E4073" s="38" t="n">
        <f aca="false">Q!$P$31</f>
        <v>15.353</v>
      </c>
      <c r="F4073" s="38" t="n">
        <f aca="false">ext_sh*Sens!$F$4061+Sens!$D$4072*Sens!$F$4044</f>
        <v>16.1969869840094</v>
      </c>
      <c r="G4073" s="38" t="n">
        <f aca="false">Sens!$E$4073+Sens!$F$4073</f>
        <v>31.5499869840094</v>
      </c>
      <c r="H4073" s="38" t="n">
        <f aca="false">ext_sh*Sens!$H$4061+Sens!$D$4072*Sens!$H$4044</f>
        <v>50.9556213609176</v>
      </c>
      <c r="I4073" s="38" t="n">
        <f aca="false">ext_sh*Sens!$I$4061+Sens!$D$4072*Sens!$I$4044</f>
        <v>79.464581248252</v>
      </c>
      <c r="J4073" s="38" t="n">
        <f aca="false">ext_sh*Sens!$J$4061+Sens!$D$4072*Sens!$J$4044</f>
        <v>105.296127931746</v>
      </c>
      <c r="K4073" s="38" t="n">
        <f aca="false">ext_sh*Sens!$K$4061+Sens!$D$4072*Sens!$K$4044</f>
        <v>131.454694001511</v>
      </c>
      <c r="L4073" s="38" t="n">
        <f aca="false">ext_sh*Sens!$L$4061+Sens!$D$4072*Sens!$L$4044</f>
        <v>150.840456981405</v>
      </c>
      <c r="M4073" s="38" t="n">
        <f aca="false">ext_sh*Sens!$M$4061+Sens!$D$4072*Sens!$M$4044</f>
        <v>163.399454192999</v>
      </c>
      <c r="N4073" s="38" t="n">
        <f aca="false">Q!$N$31</f>
        <v>9.234</v>
      </c>
      <c r="O4073" s="38" t="n">
        <f aca="false">Q!$O$31</f>
        <v>12.216</v>
      </c>
    </row>
    <row r="4074" customFormat="false" ht="17.15" hidden="false" customHeight="false" outlineLevel="0" collapsed="false">
      <c r="A4074" s="1" t="s">
        <v>666</v>
      </c>
    </row>
    <row r="4075" customFormat="false" ht="17.15" hidden="false" customHeight="false" outlineLevel="0" collapsed="false">
      <c r="A4075" s="15" t="s">
        <v>667</v>
      </c>
      <c r="B4075" s="14" t="s">
        <v>52</v>
      </c>
      <c r="C4075" s="14"/>
      <c r="D4075" s="14"/>
      <c r="E4075" s="14"/>
      <c r="F4075" s="14"/>
      <c r="G4075" s="17" t="n">
        <f aca="false">Sens!$G$4065*(1-tax)/(ext_sh*(Sens!$D$4062+Sens!$G$4062)/2)</f>
        <v>0.0620504069546486</v>
      </c>
      <c r="H4075" s="17" t="n">
        <f aca="false">Sens!$H$4065*(1-tax)/(ext_sh*(Sens!$G$4062+Sens!$H$4062)/2)</f>
        <v>0.0755420551527686</v>
      </c>
      <c r="I4075" s="17" t="n">
        <f aca="false">Sens!$I$4065*(1-tax)/(ext_sh*(Sens!$H$4062+Sens!$I$4062)/2)</f>
        <v>0.067127575356291</v>
      </c>
      <c r="J4075" s="17" t="n">
        <f aca="false">Sens!$J$4065*(1-tax)/(ext_sh*(Sens!$I$4062+Sens!$J$4062)/2)</f>
        <v>0.0700332392906535</v>
      </c>
      <c r="K4075" s="17" t="n">
        <f aca="false">Sens!$K$4065*(1-tax)/(ext_sh*(Sens!$J$4062+Sens!$K$4062)/2)</f>
        <v>0.0693622290093833</v>
      </c>
      <c r="L4075" s="17" t="n">
        <f aca="false">Sens!$L$4065*(1-tax)/(ext_sh*(Sens!$K$4062+Sens!$L$4062)/2)</f>
        <v>0.0711010638813626</v>
      </c>
      <c r="M4075" s="17" t="n">
        <f aca="false">Sens!$M$4065*(1-tax)/(ext_sh*(Sens!$L$4062+Sens!$M$4062)/2)</f>
        <v>0.071677531066401</v>
      </c>
      <c r="N4075" s="14"/>
      <c r="O4075" s="14"/>
      <c r="P4075" s="8" t="s">
        <v>668</v>
      </c>
    </row>
    <row r="4076" customFormat="false" ht="17.15" hidden="false" customHeight="false" outlineLevel="0" collapsed="false">
      <c r="A4076" s="5" t="s">
        <v>669</v>
      </c>
      <c r="B4076" s="0" t="s">
        <v>57</v>
      </c>
      <c r="H4076" s="36" t="n">
        <f aca="false">Sens!$H$4040*1000/(mw_open*he_open+Sens!$H$4038*Sens!$H$4035)</f>
        <v>0.991949006767191</v>
      </c>
      <c r="I4076" s="36" t="n">
        <f aca="false">Sens!$I$4040*1000/(mw_open*he_open+Sens!$I$4038*Sens!$I$4035)</f>
        <v>0.991949006767191</v>
      </c>
      <c r="J4076" s="36" t="n">
        <f aca="false">Sens!$J$4040*1000/(mw_open*he_open+Sens!$J$4038*Sens!$J$4035)</f>
        <v>0.991949006767191</v>
      </c>
      <c r="K4076" s="36" t="n">
        <f aca="false">Sens!$K$4040*1000/(mw_open*he_open+Sens!$K$4038*Sens!$K$4035)</f>
        <v>0.991949006767191</v>
      </c>
      <c r="L4076" s="36" t="n">
        <f aca="false">Sens!$L$4040*1000/(mw_open*he_open+Sens!$L$4038*Sens!$L$4035)</f>
        <v>0.991949006767191</v>
      </c>
      <c r="M4076" s="36" t="n">
        <f aca="false">Sens!$M$4040*1000/(mw_open*he_open+Sens!$M$4038*Sens!$M$4035)</f>
        <v>0.991949006767191</v>
      </c>
    </row>
    <row r="4077" customFormat="false" ht="17.15" hidden="false" customHeight="false" outlineLevel="0" collapsed="false">
      <c r="A4077" s="5" t="s">
        <v>670</v>
      </c>
      <c r="B4077" s="0" t="s">
        <v>57</v>
      </c>
      <c r="H4077" s="36" t="n">
        <f aca="false">Sens!$H$4076*(Sens!$H$4040+wacc*ext_sh*(Sens!$G$4062+Sens!$H$4062)/2/(1-tax)-Sens!$H$4065)/Sens!$H$4040</f>
        <v>1.18542857552197</v>
      </c>
      <c r="I4077" s="36" t="n">
        <f aca="false">Sens!$I$4076*(Sens!$I$4040+wacc*ext_sh*(Sens!$H$4062+Sens!$I$4062)/2/(1-tax)-Sens!$I$4065)/Sens!$I$4040</f>
        <v>1.20015476648903</v>
      </c>
      <c r="J4077" s="36" t="n">
        <f aca="false">Sens!$J$4076*(Sens!$J$4040+wacc*ext_sh*(Sens!$I$4062+Sens!$J$4062)/2/(1-tax)-Sens!$J$4065)/Sens!$J$4040</f>
        <v>1.16844056931249</v>
      </c>
      <c r="K4077" s="36" t="n">
        <f aca="false">Sens!$K$4076*(Sens!$K$4040+wacc*ext_sh*(Sens!$J$4062+Sens!$K$4062)/2/(1-tax)-Sens!$K$4065)/Sens!$K$4040</f>
        <v>1.15383758356873</v>
      </c>
      <c r="L4077" s="36" t="n">
        <f aca="false">Sens!$L$4076*(Sens!$L$4040+wacc*ext_sh*(Sens!$K$4062+Sens!$L$4062)/2/(1-tax)-Sens!$L$4065)/Sens!$L$4040</f>
        <v>1.13212765595665</v>
      </c>
      <c r="M4077" s="36" t="n">
        <f aca="false">Sens!$M$4076*(Sens!$M$4040+wacc*ext_sh*(Sens!$L$4062+Sens!$M$4062)/2/(1-tax)-Sens!$M$4065)/Sens!$M$4040</f>
        <v>1.12024635139935</v>
      </c>
    </row>
    <row r="4078" customFormat="false" ht="17.15" hidden="false" customHeight="false" outlineLevel="0" collapsed="false">
      <c r="A4078" s="5" t="s">
        <v>671</v>
      </c>
      <c r="B4078" s="0" t="s">
        <v>52</v>
      </c>
      <c r="C4078" s="13" t="n">
        <f aca="false">Sens!$C$4041/tk_pq</f>
        <v>0.195316432429398</v>
      </c>
      <c r="D4078" s="13" t="n">
        <f aca="false">Sens!$D$4041/tk_pq</f>
        <v>0.195316432429398</v>
      </c>
      <c r="E4078" s="13" t="n">
        <f aca="false">Sens!$E$4041/tk_pq</f>
        <v>0.195316432429398</v>
      </c>
      <c r="F4078" s="13" t="n">
        <f aca="false">Sens!$F$4041/tk_pq</f>
        <v>0.202241827274866</v>
      </c>
      <c r="G4078" s="13" t="n">
        <f aca="false">Sens!$G$4041/tk_pq</f>
        <v>0.199675016194063</v>
      </c>
      <c r="H4078" s="13" t="n">
        <f aca="false">Sens!$H$4041/tk_pq</f>
        <v>0.212647947710325</v>
      </c>
      <c r="I4078" s="13" t="n">
        <f aca="false">Sens!$I$4041/tk_pq</f>
        <v>0.219285125475351</v>
      </c>
      <c r="J4078" s="13" t="n">
        <f aca="false">Sens!$J$4041/tk_pq</f>
        <v>0.222492493217189</v>
      </c>
      <c r="K4078" s="13" t="n">
        <f aca="false">Sens!$K$4041/tk_pq</f>
        <v>0.224053502812094</v>
      </c>
      <c r="L4078" s="13" t="n">
        <f aca="false">Sens!$L$4041/tk_pq</f>
        <v>0.224786916785614</v>
      </c>
      <c r="M4078" s="13" t="n">
        <f aca="false">Sens!$M$4041/tk_pq</f>
        <v>0.225048671566937</v>
      </c>
      <c r="N4078" s="13" t="n">
        <f aca="false">Sens!$N$4041/tk_pq</f>
        <v>0.195316432429398</v>
      </c>
      <c r="O4078" s="13" t="n">
        <f aca="false">Sens!$O$4041/tk_pq</f>
        <v>0.195316432429398</v>
      </c>
      <c r="P4078" s="5" t="s">
        <v>672</v>
      </c>
    </row>
    <row r="4081" customFormat="false" ht="17.15" hidden="false" customHeight="false" outlineLevel="0" collapsed="false">
      <c r="A4081" s="1" t="s">
        <v>701</v>
      </c>
    </row>
    <row r="4082" customFormat="false" ht="17.15" hidden="false" customHeight="false" outlineLevel="0" collapsed="false">
      <c r="A4082" s="0" t="s">
        <v>702</v>
      </c>
      <c r="B4082" s="0" t="s">
        <v>86</v>
      </c>
      <c r="C4082" s="38" t="n">
        <f aca="false">Sens!$C$4040</f>
        <v>2.32100535697364</v>
      </c>
      <c r="D4082" s="38" t="n">
        <f aca="false">Sens!$D$4040</f>
        <v>8.70377008865116</v>
      </c>
      <c r="E4082" s="38" t="n">
        <f aca="false">Sens!$E$4040</f>
        <v>8.51035297557002</v>
      </c>
      <c r="F4082" s="38" t="n">
        <f aca="false">Sens!$F$4040</f>
        <v>14.9634336447205</v>
      </c>
      <c r="G4082" s="38" t="n">
        <f aca="false">Sens!$G$4040</f>
        <v>23.4737866202905</v>
      </c>
      <c r="H4082" s="38" t="n">
        <f aca="false">Sens!$H$4040</f>
        <v>60.1658907497746</v>
      </c>
      <c r="I4082" s="38" t="n">
        <f aca="false">Sens!$I$4040</f>
        <v>101.503699136432</v>
      </c>
      <c r="J4082" s="38" t="n">
        <f aca="false">Sens!$J$4040</f>
        <v>143.025407151278</v>
      </c>
      <c r="K4082" s="38" t="n">
        <f aca="false">Sens!$K$4040</f>
        <v>178.44812038318</v>
      </c>
      <c r="L4082" s="38" t="n">
        <f aca="false">Sens!$L$4040</f>
        <v>201.728101802396</v>
      </c>
      <c r="M4082" s="38" t="n">
        <f aca="false">Sens!$M$4040</f>
        <v>212.835441368865</v>
      </c>
      <c r="N4082" s="38" t="n">
        <f aca="false">Sens!$N$4040</f>
        <v>3.04631953102791</v>
      </c>
      <c r="O4082" s="38" t="n">
        <f aca="false">Sens!$O$4040</f>
        <v>5.65745055762326</v>
      </c>
      <c r="P4082" s="8" t="s">
        <v>703</v>
      </c>
    </row>
    <row r="4083" customFormat="false" ht="17.15" hidden="false" customHeight="false" outlineLevel="0" collapsed="false">
      <c r="A4083" s="0" t="s">
        <v>704</v>
      </c>
      <c r="B4083" s="0" t="s">
        <v>86</v>
      </c>
      <c r="C4083" s="38" t="n">
        <f aca="false">Sens!$C$4044</f>
        <v>105.234994643026</v>
      </c>
      <c r="D4083" s="38" t="n">
        <f aca="false">Sens!$D$4044</f>
        <v>120.021229911349</v>
      </c>
      <c r="E4083" s="38" t="n">
        <f aca="false">Sens!$E$4044</f>
        <v>71.30864702443</v>
      </c>
      <c r="F4083" s="38" t="n">
        <f aca="false">Sens!$F$4044</f>
        <v>71.7692997942464</v>
      </c>
      <c r="G4083" s="38" t="n">
        <f aca="false">Sens!$G$4044</f>
        <v>143.077946818676</v>
      </c>
      <c r="H4083" s="38" t="n">
        <f aca="false">Sens!$H$4044</f>
        <v>161.017077079203</v>
      </c>
      <c r="I4083" s="38" t="n">
        <f aca="false">Sens!$I$4044</f>
        <v>178.769759521457</v>
      </c>
      <c r="J4083" s="38" t="n">
        <f aca="false">Sens!$J$4044</f>
        <v>195.775538045907</v>
      </c>
      <c r="K4083" s="38" t="n">
        <f aca="false">Sens!$K$4044</f>
        <v>211.43758108958</v>
      </c>
      <c r="L4083" s="38" t="n">
        <f aca="false">Sens!$L$4044</f>
        <v>228.352587576746</v>
      </c>
      <c r="M4083" s="38" t="n">
        <f aca="false">Sens!$M$4044</f>
        <v>246.620794582886</v>
      </c>
      <c r="N4083" s="38" t="n">
        <f aca="false">Sens!$N$4044</f>
        <v>57.0936804689721</v>
      </c>
      <c r="O4083" s="38" t="n">
        <f aca="false">Sens!$O$4044</f>
        <v>62.9275494423768</v>
      </c>
      <c r="P4083" s="8" t="s">
        <v>703</v>
      </c>
    </row>
    <row r="4084" customFormat="false" ht="17.15" hidden="false" customHeight="false" outlineLevel="0" collapsed="false">
      <c r="A4084" s="1" t="s">
        <v>523</v>
      </c>
      <c r="B4084" s="8" t="s">
        <v>86</v>
      </c>
      <c r="C4084" s="38" t="n">
        <f aca="false">Q!$D$7</f>
        <v>107.556</v>
      </c>
      <c r="D4084" s="38" t="n">
        <f aca="false">Q!$E$7</f>
        <v>128.725</v>
      </c>
      <c r="E4084" s="38" t="n">
        <f aca="false">Q!$P$7</f>
        <v>79.819</v>
      </c>
      <c r="F4084" s="38" t="n">
        <f aca="false">Sens!$F$4082+Sens!$F$4083</f>
        <v>86.7327334389669</v>
      </c>
      <c r="G4084" s="38" t="n">
        <f aca="false">Sens!$G$4082+Sens!$G$4083</f>
        <v>166.551733438967</v>
      </c>
      <c r="H4084" s="38" t="n">
        <f aca="false">Sens!$H$4082+Sens!$H$4083</f>
        <v>221.182967828978</v>
      </c>
      <c r="I4084" s="38" t="n">
        <f aca="false">Sens!$I$4082+Sens!$I$4083</f>
        <v>280.27345865789</v>
      </c>
      <c r="J4084" s="38" t="n">
        <f aca="false">Sens!$J$4082+Sens!$J$4083</f>
        <v>338.800945197185</v>
      </c>
      <c r="K4084" s="38" t="n">
        <f aca="false">Sens!$K$4082+Sens!$K$4083</f>
        <v>389.88570147276</v>
      </c>
      <c r="L4084" s="38" t="n">
        <f aca="false">Sens!$L$4082+Sens!$L$4083</f>
        <v>430.080689379143</v>
      </c>
      <c r="M4084" s="38" t="n">
        <f aca="false">Sens!$M$4082+Sens!$M$4083</f>
        <v>459.456235951751</v>
      </c>
      <c r="N4084" s="38" t="n">
        <f aca="false">Q!$N$7</f>
        <v>60.14</v>
      </c>
      <c r="O4084" s="38" t="n">
        <f aca="false">Q!$O$7</f>
        <v>68.585</v>
      </c>
      <c r="P4084" s="5" t="s">
        <v>705</v>
      </c>
    </row>
    <row r="4085" customFormat="false" ht="15" hidden="false" customHeight="false" outlineLevel="0" collapsed="false">
      <c r="A4085" s="3" t="s">
        <v>706</v>
      </c>
      <c r="B4085" s="8" t="s">
        <v>86</v>
      </c>
      <c r="C4085" s="38" t="n">
        <f aca="false">Q!$D$8</f>
        <v>637.959</v>
      </c>
      <c r="D4085" s="38" t="n">
        <f aca="false">Q!$E$8</f>
        <v>716.924</v>
      </c>
      <c r="E4085" s="38" t="n">
        <f aca="false">Q!$P$8</f>
        <v>382.125</v>
      </c>
      <c r="F4085" s="38" t="n">
        <f aca="false">Sens!$F$4012+Sens!$F$4084</f>
        <v>435.780975084504</v>
      </c>
      <c r="G4085" s="38" t="n">
        <f aca="false">Sens!$G$4012+Sens!$G$4084</f>
        <v>817.905975084504</v>
      </c>
      <c r="H4085" s="38" t="n">
        <f aca="false">Sens!$H$4012+Sens!$H$4084</f>
        <v>942.279857350364</v>
      </c>
      <c r="I4085" s="38" t="n">
        <f aca="false">Sens!$I$4012+Sens!$I$4084</f>
        <v>1068.80284981042</v>
      </c>
      <c r="J4085" s="38" t="n">
        <f aca="false">Sens!$J$4012+Sens!$J$4084</f>
        <v>1189.90935093863</v>
      </c>
      <c r="K4085" s="38" t="n">
        <f aca="false">Sens!$K$4012+Sens!$K$4084</f>
        <v>1296.06215690385</v>
      </c>
      <c r="L4085" s="38" t="n">
        <f aca="false">Sens!$L$4012+Sens!$L$4084</f>
        <v>1395.17379585473</v>
      </c>
      <c r="M4085" s="38" t="n">
        <f aca="false">Sens!$M$4012+Sens!$M$4084</f>
        <v>1487.60414389864</v>
      </c>
      <c r="N4085" s="38" t="n">
        <f aca="false">Q!$N$8</f>
        <v>323.369</v>
      </c>
      <c r="O4085" s="38" t="n">
        <f aca="false">Q!$O$8</f>
        <v>393.555</v>
      </c>
    </row>
    <row r="4086" customFormat="false" ht="17.15" hidden="false" customHeight="false" outlineLevel="0" collapsed="false">
      <c r="A4086" s="24" t="s">
        <v>714</v>
      </c>
      <c r="B4086" s="25" t="s">
        <v>86</v>
      </c>
      <c r="C4086" s="41" t="n">
        <f aca="false">Sens!$C$4012-(Sens!$C$4014+Sens!$C$4015)</f>
        <v>0</v>
      </c>
      <c r="D4086" s="41" t="n">
        <f aca="false">Sens!$D$4012-(Sens!$D$4014+Sens!$D$4015)</f>
        <v>0</v>
      </c>
      <c r="E4086" s="41" t="n">
        <f aca="false">Sens!$E$4012-(Sens!$E$4014+Sens!$E$4015)</f>
        <v>0</v>
      </c>
      <c r="F4086" s="41" t="n">
        <f aca="false">Sens!$F$4012-(Sens!$F$4014+Sens!$F$4015)</f>
        <v>0</v>
      </c>
      <c r="G4086" s="41" t="n">
        <f aca="false">Sens!$G$4012-(Sens!$G$4014+Sens!$G$4015)</f>
        <v>0</v>
      </c>
      <c r="H4086" s="41" t="n">
        <f aca="false">Sens!$H$4012-(Sens!$H$4014+Sens!$H$4015)</f>
        <v>0</v>
      </c>
      <c r="I4086" s="41" t="n">
        <f aca="false">Sens!$I$4012-(Sens!$I$4014+Sens!$I$4015)</f>
        <v>0</v>
      </c>
      <c r="J4086" s="41" t="n">
        <f aca="false">Sens!$J$4012-(Sens!$J$4014+Sens!$J$4015)</f>
        <v>0</v>
      </c>
      <c r="K4086" s="41" t="n">
        <f aca="false">Sens!$K$4012-(Sens!$K$4014+Sens!$K$4015)</f>
        <v>0</v>
      </c>
      <c r="L4086" s="41" t="n">
        <f aca="false">Sens!$L$4012-(Sens!$L$4014+Sens!$L$4015)</f>
        <v>0</v>
      </c>
      <c r="M4086" s="41" t="n">
        <f aca="false">Sens!$M$4012-(Sens!$M$4014+Sens!$M$4015)</f>
        <v>0</v>
      </c>
      <c r="N4086" s="41" t="n">
        <f aca="false">Sens!$N$4012-(Sens!$N$4014+Sens!$N$4015)</f>
        <v>0</v>
      </c>
      <c r="O4086" s="41" t="n">
        <f aca="false">Sens!$O$4012-(Sens!$O$4014+Sens!$O$4015)</f>
        <v>0</v>
      </c>
    </row>
    <row r="4087" customFormat="false" ht="17.15" hidden="false" customHeight="false" outlineLevel="0" collapsed="false">
      <c r="A4087" s="24" t="s">
        <v>715</v>
      </c>
      <c r="B4087" s="25" t="s">
        <v>86</v>
      </c>
      <c r="C4087" s="41" t="n">
        <f aca="false">Sens!$C$4082+Sens!$C$4083-Sens!$C$4084</f>
        <v>0</v>
      </c>
      <c r="D4087" s="41" t="n">
        <f aca="false">Sens!$D$4082+Sens!$D$4083-Sens!$D$4084</f>
        <v>0</v>
      </c>
      <c r="E4087" s="41" t="n">
        <f aca="false">Sens!$E$4082+Sens!$E$4083-Sens!$E$4084</f>
        <v>0</v>
      </c>
      <c r="F4087" s="41" t="n">
        <f aca="false">Sens!$F$4082+Sens!$F$4083-Sens!$F$4084</f>
        <v>0</v>
      </c>
      <c r="G4087" s="41" t="n">
        <f aca="false">Sens!$G$4082+Sens!$G$4083-Sens!$G$4084</f>
        <v>0</v>
      </c>
      <c r="H4087" s="41" t="n">
        <f aca="false">Sens!$H$4082+Sens!$H$4083-Sens!$H$4084</f>
        <v>0</v>
      </c>
      <c r="I4087" s="41" t="n">
        <f aca="false">Sens!$I$4082+Sens!$I$4083-Sens!$I$4084</f>
        <v>0</v>
      </c>
      <c r="J4087" s="41" t="n">
        <f aca="false">Sens!$J$4082+Sens!$J$4083-Sens!$J$4084</f>
        <v>0</v>
      </c>
      <c r="K4087" s="41" t="n">
        <f aca="false">Sens!$K$4082+Sens!$K$4083-Sens!$K$4084</f>
        <v>0</v>
      </c>
      <c r="L4087" s="41" t="n">
        <f aca="false">Sens!$L$4082+Sens!$L$4083-Sens!$L$4084</f>
        <v>0</v>
      </c>
      <c r="M4087" s="41" t="n">
        <f aca="false">Sens!$M$4082+Sens!$M$4083-Sens!$M$4084</f>
        <v>0</v>
      </c>
      <c r="N4087" s="41" t="n">
        <f aca="false">Sens!$N$4082+Sens!$N$4083-Sens!$N$4084</f>
        <v>0</v>
      </c>
      <c r="O4087" s="41" t="n">
        <f aca="false">Sens!$O$4082+Sens!$O$4083-Sens!$O$4084</f>
        <v>0</v>
      </c>
    </row>
    <row r="4088" customFormat="false" ht="17.15" hidden="false" customHeight="false" outlineLevel="0" collapsed="false">
      <c r="A4088" s="24" t="s">
        <v>716</v>
      </c>
      <c r="B4088" s="25" t="s">
        <v>86</v>
      </c>
      <c r="C4088" s="41" t="n">
        <f aca="false">Sens!$C$4014+Sens!$C$4015+Sens!$C$4084-Sens!$C$4085</f>
        <v>0</v>
      </c>
      <c r="D4088" s="41" t="n">
        <f aca="false">Sens!$D$4014+Sens!$D$4015+Sens!$D$4084-Sens!$D$4085</f>
        <v>0</v>
      </c>
      <c r="E4088" s="41" t="n">
        <f aca="false">Sens!$E$4014+Sens!$E$4015+Sens!$E$4084-Sens!$E$4085</f>
        <v>0</v>
      </c>
      <c r="F4088" s="41" t="n">
        <f aca="false">Sens!$F$4014+Sens!$F$4015+Sens!$F$4084-Sens!$F$4085</f>
        <v>0</v>
      </c>
      <c r="G4088" s="41" t="n">
        <f aca="false">Sens!$G$4014+Sens!$G$4015+Sens!$G$4084-Sens!$G$4085</f>
        <v>0</v>
      </c>
      <c r="H4088" s="41" t="n">
        <f aca="false">Sens!$H$4014+Sens!$H$4015+Sens!$H$4084-Sens!$H$4085</f>
        <v>0</v>
      </c>
      <c r="I4088" s="41" t="n">
        <f aca="false">Sens!$I$4014+Sens!$I$4015+Sens!$I$4084-Sens!$I$4085</f>
        <v>0</v>
      </c>
      <c r="J4088" s="41" t="n">
        <f aca="false">Sens!$J$4014+Sens!$J$4015+Sens!$J$4084-Sens!$J$4085</f>
        <v>0</v>
      </c>
      <c r="K4088" s="41" t="n">
        <f aca="false">Sens!$K$4014+Sens!$K$4015+Sens!$K$4084-Sens!$K$4085</f>
        <v>0</v>
      </c>
      <c r="L4088" s="41" t="n">
        <f aca="false">Sens!$L$4014+Sens!$L$4015+Sens!$L$4084-Sens!$L$4085</f>
        <v>0</v>
      </c>
      <c r="M4088" s="41" t="n">
        <f aca="false">Sens!$M$4014+Sens!$M$4015+Sens!$M$4084-Sens!$M$4085</f>
        <v>0</v>
      </c>
      <c r="N4088" s="41" t="n">
        <f aca="false">Sens!$N$4014+Sens!$N$4015+Sens!$N$4084-Sens!$N$4085</f>
        <v>0</v>
      </c>
      <c r="O4088" s="41" t="n">
        <f aca="false">Sens!$O$4014+Sens!$O$4015+Sens!$O$4084-Sens!$O$4085</f>
        <v>0</v>
      </c>
    </row>
    <row r="4089" customFormat="false" ht="15" hidden="false" customHeight="false" outlineLevel="0" collapsed="false">
      <c r="A4089" s="5" t="s">
        <v>710</v>
      </c>
      <c r="B4089" s="0" t="s">
        <v>52</v>
      </c>
      <c r="G4089" s="13" t="n">
        <f aca="false">Sens!$G$4085/Sens!$D$4085-1</f>
        <v>0.140854504918937</v>
      </c>
      <c r="H4089" s="13" t="n">
        <f aca="false">Sens!$H$4085/Sens!$G$4085-1</f>
        <v>0.152063789793209</v>
      </c>
      <c r="I4089" s="13" t="n">
        <f aca="false">Sens!$I$4085/Sens!$H$4085-1</f>
        <v>0.134273264437417</v>
      </c>
      <c r="J4089" s="13" t="n">
        <f aca="false">Sens!$J$4085/Sens!$I$4085-1</f>
        <v>0.113310421234083</v>
      </c>
      <c r="K4089" s="13" t="n">
        <f aca="false">Sens!$K$4085/Sens!$J$4085-1</f>
        <v>0.0892108343223652</v>
      </c>
      <c r="L4089" s="13" t="n">
        <f aca="false">Sens!$L$4085/Sens!$K$4085-1</f>
        <v>0.076471362444261</v>
      </c>
      <c r="M4089" s="13" t="n">
        <f aca="false">Sens!$M$4085/Sens!$L$4085-1</f>
        <v>0.066250060256672</v>
      </c>
    </row>
    <row r="4090" customFormat="false" ht="17.15" hidden="false" customHeight="false" outlineLevel="0" collapsed="false">
      <c r="A4090" s="0" t="s">
        <v>711</v>
      </c>
      <c r="B4090" s="0" t="s">
        <v>52</v>
      </c>
      <c r="C4090" s="13" t="n">
        <f aca="false">Sens!$C$4084/Sens!$C$4085</f>
        <v>0.168593906504964</v>
      </c>
      <c r="D4090" s="13" t="n">
        <f aca="false">Sens!$D$4084/Sens!$D$4085</f>
        <v>0.179551807444025</v>
      </c>
      <c r="E4090" s="13" t="n">
        <f aca="false">Sens!$E$4084/Sens!$E$4085</f>
        <v>0.208881910369643</v>
      </c>
      <c r="F4090" s="13" t="n">
        <f aca="false">Sens!$F$4084/Sens!$F$4085</f>
        <v>0.199028269699356</v>
      </c>
      <c r="G4090" s="13" t="n">
        <f aca="false">Sens!$G$4084/Sens!$G$4085</f>
        <v>0.203631882529968</v>
      </c>
      <c r="H4090" s="13" t="n">
        <f aca="false">Sens!$H$4084/Sens!$H$4085</f>
        <v>0.234731715958496</v>
      </c>
      <c r="I4090" s="13" t="n">
        <f aca="false">Sens!$I$4084/Sens!$I$4085</f>
        <v>0.262231204480418</v>
      </c>
      <c r="J4090" s="13" t="n">
        <f aca="false">Sens!$J$4084/Sens!$J$4085</f>
        <v>0.284728366013706</v>
      </c>
      <c r="K4090" s="13" t="n">
        <f aca="false">Sens!$K$4084/Sens!$K$4085</f>
        <v>0.300823304959505</v>
      </c>
      <c r="L4090" s="13" t="n">
        <f aca="false">Sens!$L$4084/Sens!$L$4085</f>
        <v>0.308263164529735</v>
      </c>
      <c r="M4090" s="13" t="n">
        <f aca="false">Sens!$M$4084/Sens!$M$4085</f>
        <v>0.308856517936036</v>
      </c>
      <c r="N4090" s="13" t="n">
        <f aca="false">Sens!$N$4084/Sens!$N$4085</f>
        <v>0.185979484737251</v>
      </c>
      <c r="O4090" s="13" t="n">
        <f aca="false">Sens!$O$4084/Sens!$O$4085</f>
        <v>0.174270432341096</v>
      </c>
    </row>
    <row r="4091" customFormat="false" ht="17.15" hidden="false" customHeight="false" outlineLevel="0" collapsed="false">
      <c r="A4091" s="0" t="s">
        <v>712</v>
      </c>
      <c r="B4091" s="0" t="s">
        <v>52</v>
      </c>
      <c r="C4091" s="13" t="n">
        <f aca="false">Sens!$C$4082/Sens!$C$4084</f>
        <v>0.0215795060896058</v>
      </c>
      <c r="D4091" s="13" t="n">
        <f aca="false">Sens!$D$4082/Sens!$D$4084</f>
        <v>0.0676152269462122</v>
      </c>
      <c r="E4091" s="13" t="n">
        <f aca="false">Sens!$E$4082/Sens!$E$4084</f>
        <v>0.106620641395783</v>
      </c>
      <c r="F4091" s="13" t="n">
        <f aca="false">Sens!$F$4082/Sens!$F$4084</f>
        <v>0.172523487401099</v>
      </c>
      <c r="G4091" s="13" t="n">
        <f aca="false">Sens!$G$4082/Sens!$G$4084</f>
        <v>0.140939911795589</v>
      </c>
      <c r="H4091" s="13" t="n">
        <f aca="false">Sens!$H$4082/Sens!$H$4084</f>
        <v>0.272018642937714</v>
      </c>
      <c r="I4091" s="13" t="n">
        <f aca="false">Sens!$I$4082/Sens!$I$4084</f>
        <v>0.362159512436497</v>
      </c>
      <c r="J4091" s="13" t="n">
        <f aca="false">Sens!$J$4082/Sens!$J$4084</f>
        <v>0.422151735934609</v>
      </c>
      <c r="K4091" s="13" t="n">
        <f aca="false">Sens!$K$4082/Sens!$K$4084</f>
        <v>0.45769342068485</v>
      </c>
      <c r="L4091" s="13" t="n">
        <f aca="false">Sens!$L$4082/Sens!$L$4084</f>
        <v>0.469047103913472</v>
      </c>
      <c r="M4091" s="13" t="n">
        <f aca="false">Sens!$M$4082/Sens!$M$4084</f>
        <v>0.463233328258093</v>
      </c>
      <c r="N4091" s="13" t="n">
        <f aca="false">Sens!$N$4082/Sens!$N$4084</f>
        <v>0.0506537999838362</v>
      </c>
      <c r="O4091" s="13" t="n">
        <f aca="false">Sens!$O$4082/Sens!$O$4084</f>
        <v>0.0824881615167056</v>
      </c>
    </row>
    <row r="4094" customFormat="false" ht="19.4" hidden="false" customHeight="false" outlineLevel="0" collapsed="false">
      <c r="A4094" s="31" t="s">
        <v>1234</v>
      </c>
    </row>
    <row r="4095" customFormat="false" ht="17.15" hidden="false" customHeight="false" outlineLevel="0" collapsed="false">
      <c r="A4095" s="6" t="s">
        <v>16</v>
      </c>
      <c r="B4095" s="6" t="s">
        <v>17</v>
      </c>
      <c r="C4095" s="20" t="s">
        <v>504</v>
      </c>
      <c r="D4095" s="20" t="s">
        <v>505</v>
      </c>
      <c r="E4095" s="20" t="s">
        <v>587</v>
      </c>
      <c r="F4095" s="20" t="s">
        <v>588</v>
      </c>
      <c r="G4095" s="20" t="s">
        <v>589</v>
      </c>
      <c r="H4095" s="20" t="s">
        <v>590</v>
      </c>
      <c r="I4095" s="20" t="s">
        <v>591</v>
      </c>
      <c r="J4095" s="20" t="s">
        <v>592</v>
      </c>
      <c r="K4095" s="20" t="s">
        <v>593</v>
      </c>
      <c r="L4095" s="20" t="s">
        <v>594</v>
      </c>
      <c r="M4095" s="20" t="s">
        <v>595</v>
      </c>
      <c r="N4095" s="20" t="s">
        <v>596</v>
      </c>
      <c r="O4095" s="20" t="s">
        <v>597</v>
      </c>
      <c r="P4095" s="6" t="s">
        <v>23</v>
      </c>
      <c r="R4095" s="20" t="n">
        <v>2023</v>
      </c>
      <c r="S4095" s="20" t="n">
        <v>2024</v>
      </c>
      <c r="T4095" s="20" t="n">
        <v>2025</v>
      </c>
      <c r="U4095" s="20" t="n">
        <v>2026</v>
      </c>
      <c r="V4095" s="20" t="n">
        <v>2027</v>
      </c>
      <c r="W4095" s="20" t="n">
        <v>2028</v>
      </c>
      <c r="X4095" s="20" t="n">
        <v>2029</v>
      </c>
      <c r="Y4095" s="20" t="n">
        <v>2030</v>
      </c>
      <c r="Z4095" s="20" t="n">
        <v>2031</v>
      </c>
      <c r="AA4095" s="20" t="n">
        <v>2032</v>
      </c>
    </row>
    <row r="4096" customFormat="false" ht="17.15" hidden="false" customHeight="false" outlineLevel="0" collapsed="false">
      <c r="A4096" s="1" t="s">
        <v>727</v>
      </c>
    </row>
    <row r="4097" customFormat="false" ht="15" hidden="false" customHeight="false" outlineLevel="0" collapsed="false">
      <c r="A4097" s="0" t="s">
        <v>526</v>
      </c>
      <c r="B4097" s="0" t="s">
        <v>86</v>
      </c>
      <c r="C4097" s="38" t="n">
        <f aca="false">Sens!$C$3999</f>
        <v>247.029</v>
      </c>
      <c r="D4097" s="38" t="n">
        <f aca="false">Sens!$D$3999</f>
        <v>269.287</v>
      </c>
      <c r="E4097" s="38" t="n">
        <f aca="false">Sens!$E$3999</f>
        <v>134.686</v>
      </c>
      <c r="F4097" s="38" t="n">
        <f aca="false">Sens!$F$3999</f>
        <v>158.293876822267</v>
      </c>
      <c r="G4097" s="38" t="n">
        <f aca="false">Sens!$G$3999</f>
        <v>292.979876822267</v>
      </c>
      <c r="H4097" s="38" t="n">
        <f aca="false">Sens!$H$3999</f>
        <v>318.184543087396</v>
      </c>
      <c r="I4097" s="38" t="n">
        <f aca="false">Sens!$I$3999</f>
        <v>341.736278761793</v>
      </c>
      <c r="J4097" s="38" t="n">
        <f aca="false">Sens!$J$3999</f>
        <v>362.927192787048</v>
      </c>
      <c r="K4097" s="38" t="n">
        <f aca="false">Sens!$K$3999</f>
        <v>381.0735524264</v>
      </c>
      <c r="L4097" s="38" t="n">
        <f aca="false">Sens!$L$3999</f>
        <v>400.12723004772</v>
      </c>
      <c r="M4097" s="38" t="n">
        <f aca="false">Sens!$M$3999</f>
        <v>420.133591550106</v>
      </c>
      <c r="N4097" s="38" t="n">
        <f aca="false">Sens!$N$3999</f>
        <v>118.892</v>
      </c>
      <c r="O4097" s="38" t="n">
        <f aca="false">Sens!$O$3999</f>
        <v>150.395</v>
      </c>
    </row>
    <row r="4098" customFormat="false" ht="15" hidden="false" customHeight="false" outlineLevel="0" collapsed="false">
      <c r="A4098" s="0" t="s">
        <v>527</v>
      </c>
      <c r="B4098" s="0" t="s">
        <v>86</v>
      </c>
      <c r="C4098" s="38" t="n">
        <f aca="false">Sens!$C$4001</f>
        <v>21.215</v>
      </c>
      <c r="D4098" s="38" t="n">
        <f aca="false">Sens!$D$4001</f>
        <v>22.561</v>
      </c>
      <c r="E4098" s="38" t="n">
        <f aca="false">Sens!$E$4001</f>
        <v>11.579</v>
      </c>
      <c r="F4098" s="38" t="n">
        <f aca="false">Sens!$F$4001</f>
        <v>11.5938724610325</v>
      </c>
      <c r="G4098" s="38" t="n">
        <f aca="false">Sens!$G$4001</f>
        <v>23.1728724610325</v>
      </c>
      <c r="H4098" s="38" t="n">
        <f aca="false">Sens!$H$4001</f>
        <v>24.353392759506</v>
      </c>
      <c r="I4098" s="38" t="n">
        <f aca="false">Sens!$I$4001</f>
        <v>25.4240338872015</v>
      </c>
      <c r="J4098" s="38" t="n">
        <f aca="false">Sens!$J$4001</f>
        <v>26.3642491017174</v>
      </c>
      <c r="K4098" s="38" t="n">
        <f aca="false">Sens!$K$4001</f>
        <v>27.155176574769</v>
      </c>
      <c r="L4098" s="38" t="n">
        <f aca="false">Sens!$L$4001</f>
        <v>27.969831872012</v>
      </c>
      <c r="M4098" s="38" t="n">
        <f aca="false">Sens!$M$4001</f>
        <v>28.8089268281724</v>
      </c>
      <c r="N4098" s="38" t="n">
        <f aca="false">Sens!$N$4001</f>
        <v>11.128</v>
      </c>
      <c r="O4098" s="38" t="n">
        <f aca="false">Sens!$O$4001</f>
        <v>11.433</v>
      </c>
    </row>
    <row r="4099" customFormat="false" ht="15" hidden="false" customHeight="false" outlineLevel="0" collapsed="false">
      <c r="A4099" s="0" t="s">
        <v>528</v>
      </c>
      <c r="B4099" s="0" t="s">
        <v>86</v>
      </c>
      <c r="C4099" s="38" t="n">
        <f aca="false">Sens!$C$4003</f>
        <v>156.146</v>
      </c>
      <c r="D4099" s="38" t="n">
        <f aca="false">Sens!$D$4003</f>
        <v>172.162</v>
      </c>
      <c r="E4099" s="38" t="n">
        <f aca="false">Sens!$E$4003</f>
        <v>88.358</v>
      </c>
      <c r="F4099" s="38" t="n">
        <f aca="false">Sens!$F$4003</f>
        <v>102.004388260171</v>
      </c>
      <c r="G4099" s="38" t="n">
        <f aca="false">Sens!$G$4003</f>
        <v>190.362388260171</v>
      </c>
      <c r="H4099" s="38" t="n">
        <f aca="false">Sens!$H$4003</f>
        <v>210.343106588311</v>
      </c>
      <c r="I4099" s="38" t="n">
        <f aca="false">Sens!$I$4003</f>
        <v>229.969728494648</v>
      </c>
      <c r="J4099" s="38" t="n">
        <f aca="false">Sens!$J$4003</f>
        <v>248.747636972598</v>
      </c>
      <c r="K4099" s="38" t="n">
        <f aca="false">Sens!$K$4003</f>
        <v>266.15997156068</v>
      </c>
      <c r="L4099" s="38" t="n">
        <f aca="false">Sens!$L$4003</f>
        <v>284.791169569927</v>
      </c>
      <c r="M4099" s="38" t="n">
        <f aca="false">Sens!$M$4003</f>
        <v>304.726551439822</v>
      </c>
      <c r="N4099" s="38" t="n">
        <f aca="false">Sens!$N$4003</f>
        <v>76.86</v>
      </c>
      <c r="O4099" s="38" t="n">
        <f aca="false">Sens!$O$4003</f>
        <v>95.302</v>
      </c>
    </row>
    <row r="4100" customFormat="false" ht="15" hidden="false" customHeight="false" outlineLevel="0" collapsed="false">
      <c r="A4100" s="0" t="s">
        <v>529</v>
      </c>
      <c r="B4100" s="0" t="s">
        <v>86</v>
      </c>
      <c r="C4100" s="38" t="n">
        <f aca="false">Sens!$C$4005</f>
        <v>56.214</v>
      </c>
      <c r="D4100" s="38" t="n">
        <f aca="false">Sens!$D$4005</f>
        <v>68.635</v>
      </c>
      <c r="E4100" s="38" t="n">
        <f aca="false">Sens!$E$4005</f>
        <v>37.052</v>
      </c>
      <c r="F4100" s="38" t="n">
        <f aca="false">Sens!$F$4005</f>
        <v>46.1572219944148</v>
      </c>
      <c r="G4100" s="38" t="n">
        <f aca="false">Sens!$G$4005</f>
        <v>83.2092219944148</v>
      </c>
      <c r="H4100" s="38" t="n">
        <f aca="false">Sens!$H$4005</f>
        <v>99.8969223878976</v>
      </c>
      <c r="I4100" s="38" t="n">
        <f aca="false">Sens!$I$4005</f>
        <v>116.583111095496</v>
      </c>
      <c r="J4100" s="38" t="n">
        <f aca="false">Sens!$J$4005</f>
        <v>132.148941941952</v>
      </c>
      <c r="K4100" s="38" t="n">
        <f aca="false">Sens!$K$4005</f>
        <v>145.363836136147</v>
      </c>
      <c r="L4100" s="38" t="n">
        <f aca="false">Sens!$L$4005</f>
        <v>159.900219749762</v>
      </c>
      <c r="M4100" s="38" t="n">
        <f aca="false">Sens!$M$4005</f>
        <v>175.890241724738</v>
      </c>
      <c r="N4100" s="38" t="n">
        <f aca="false">Sens!$N$4005</f>
        <v>29.615</v>
      </c>
      <c r="O4100" s="38" t="n">
        <f aca="false">Sens!$O$4005</f>
        <v>39.02</v>
      </c>
    </row>
    <row r="4101" customFormat="false" ht="15" hidden="false" customHeight="false" outlineLevel="0" collapsed="false">
      <c r="A4101" s="0" t="s">
        <v>530</v>
      </c>
      <c r="B4101" s="0" t="s">
        <v>86</v>
      </c>
      <c r="C4101" s="38" t="n">
        <f aca="false">Sens!$C$4007</f>
        <v>44.374</v>
      </c>
      <c r="D4101" s="38" t="n">
        <f aca="false">Sens!$D$4007</f>
        <v>49.619</v>
      </c>
      <c r="E4101" s="38" t="n">
        <f aca="false">Sens!$E$4007</f>
        <v>27.157</v>
      </c>
      <c r="F4101" s="38" t="n">
        <f aca="false">Sens!$F$4007</f>
        <v>27.7764165988154</v>
      </c>
      <c r="G4101" s="38" t="n">
        <f aca="false">Sens!$G$4007</f>
        <v>54.9334165988154</v>
      </c>
      <c r="H4101" s="38" t="n">
        <f aca="false">Sens!$H$4007</f>
        <v>61.1564112561829</v>
      </c>
      <c r="I4101" s="38" t="n">
        <f aca="false">Sens!$I$4007</f>
        <v>67.2020282103945</v>
      </c>
      <c r="J4101" s="38" t="n">
        <f aca="false">Sens!$J$4007</f>
        <v>72.8757274028885</v>
      </c>
      <c r="K4101" s="38" t="n">
        <f aca="false">Sens!$K$4007</f>
        <v>77.9770283210907</v>
      </c>
      <c r="L4101" s="38" t="n">
        <f aca="false">Sens!$L$4007</f>
        <v>83.4354203035671</v>
      </c>
      <c r="M4101" s="38" t="n">
        <f aca="false">Sens!$M$4007</f>
        <v>89.2758997248168</v>
      </c>
      <c r="N4101" s="38" t="n">
        <f aca="false">Sens!$N$4007</f>
        <v>23.923</v>
      </c>
      <c r="O4101" s="38" t="n">
        <f aca="false">Sens!$O$4007</f>
        <v>25.696</v>
      </c>
    </row>
    <row r="4102" customFormat="false" ht="15" hidden="false" customHeight="false" outlineLevel="0" collapsed="false">
      <c r="A4102" s="0" t="s">
        <v>531</v>
      </c>
      <c r="B4102" s="0" t="s">
        <v>86</v>
      </c>
      <c r="C4102" s="38" t="n">
        <f aca="false">Sens!$C$4009</f>
        <v>5.425</v>
      </c>
      <c r="D4102" s="38" t="n">
        <f aca="false">Sens!$D$4009</f>
        <v>5.935</v>
      </c>
      <c r="E4102" s="38" t="n">
        <f aca="false">Sens!$E$4009</f>
        <v>3.474</v>
      </c>
      <c r="F4102" s="38" t="n">
        <f aca="false">Sens!$F$4009</f>
        <v>3.22246550883619</v>
      </c>
      <c r="G4102" s="38" t="n">
        <f aca="false">Sens!$G$4009</f>
        <v>6.69646550883619</v>
      </c>
      <c r="H4102" s="38" t="n">
        <f aca="false">Sens!$H$4009</f>
        <v>7.16251344209196</v>
      </c>
      <c r="I4102" s="38" t="n">
        <f aca="false">Sens!$I$4009</f>
        <v>7.61421070299826</v>
      </c>
      <c r="J4102" s="38" t="n">
        <f aca="false">Sens!$J$4009</f>
        <v>8.04465753523932</v>
      </c>
      <c r="K4102" s="38" t="n">
        <f aca="false">Sens!$K$4009</f>
        <v>8.44689041200128</v>
      </c>
      <c r="L4102" s="38" t="n">
        <f aca="false">Sens!$L$4009</f>
        <v>8.86923493260135</v>
      </c>
      <c r="M4102" s="38" t="n">
        <f aca="false">Sens!$M$4009</f>
        <v>9.31269667923142</v>
      </c>
      <c r="N4102" s="38" t="n">
        <f aca="false">Sens!$N$4009</f>
        <v>2.811</v>
      </c>
      <c r="O4102" s="38" t="n">
        <f aca="false">Sens!$O$4009</f>
        <v>3.124</v>
      </c>
    </row>
    <row r="4103" customFormat="false" ht="17.15" hidden="false" customHeight="false" outlineLevel="0" collapsed="false">
      <c r="A4103" s="0" t="s">
        <v>728</v>
      </c>
      <c r="B4103" s="0" t="s">
        <v>86</v>
      </c>
      <c r="C4103" s="38" t="n">
        <f aca="false">Sens!$C$4084</f>
        <v>107.556</v>
      </c>
      <c r="D4103" s="38" t="n">
        <f aca="false">Sens!$D$4084</f>
        <v>128.725</v>
      </c>
      <c r="E4103" s="38" t="n">
        <f aca="false">Sens!$E$4084</f>
        <v>79.819</v>
      </c>
      <c r="F4103" s="38" t="n">
        <f aca="false">Sens!$F$4084</f>
        <v>86.7327334389669</v>
      </c>
      <c r="G4103" s="38" t="n">
        <f aca="false">Sens!$G$4084</f>
        <v>166.551733438967</v>
      </c>
      <c r="H4103" s="38" t="n">
        <f aca="false">Sens!$H$4084</f>
        <v>221.182967828978</v>
      </c>
      <c r="I4103" s="38" t="n">
        <f aca="false">Sens!$I$4084</f>
        <v>280.27345865789</v>
      </c>
      <c r="J4103" s="38" t="n">
        <f aca="false">Sens!$J$4084</f>
        <v>338.800945197185</v>
      </c>
      <c r="K4103" s="38" t="n">
        <f aca="false">Sens!$K$4084</f>
        <v>389.88570147276</v>
      </c>
      <c r="L4103" s="38" t="n">
        <f aca="false">Sens!$L$4084</f>
        <v>430.080689379143</v>
      </c>
      <c r="M4103" s="38" t="n">
        <f aca="false">Sens!$M$4084</f>
        <v>459.456235951751</v>
      </c>
      <c r="N4103" s="38" t="n">
        <f aca="false">Sens!$N$4084</f>
        <v>60.14</v>
      </c>
      <c r="O4103" s="38" t="n">
        <f aca="false">Sens!$O$4084</f>
        <v>68.585</v>
      </c>
    </row>
    <row r="4104" customFormat="false" ht="15" hidden="false" customHeight="false" outlineLevel="0" collapsed="false">
      <c r="A4104" s="1" t="s">
        <v>519</v>
      </c>
      <c r="B4104" s="8" t="s">
        <v>86</v>
      </c>
      <c r="C4104" s="38" t="n">
        <f aca="false">Sens!$C$4014</f>
        <v>387.497</v>
      </c>
      <c r="D4104" s="38" t="n">
        <f aca="false">Sens!$D$4014</f>
        <v>426.305</v>
      </c>
      <c r="E4104" s="38" t="n">
        <f aca="false">Sens!$E$4014</f>
        <v>220.32</v>
      </c>
      <c r="F4104" s="38" t="n">
        <f aca="false">Sens!$F$4014</f>
        <v>250.639773480586</v>
      </c>
      <c r="G4104" s="38" t="n">
        <f aca="false">Sens!$G$4014</f>
        <v>470.959773480586</v>
      </c>
      <c r="H4104" s="38" t="n">
        <f aca="false">Sens!$H$4014</f>
        <v>521.386990416437</v>
      </c>
      <c r="I4104" s="38" t="n">
        <f aca="false">Sens!$I$4014</f>
        <v>570.143862887555</v>
      </c>
      <c r="J4104" s="38" t="n">
        <f aca="false">Sens!$J$4014</f>
        <v>615.391435791933</v>
      </c>
      <c r="K4104" s="38" t="n">
        <f aca="false">Sens!$K$4014</f>
        <v>655.208227561543</v>
      </c>
      <c r="L4104" s="38" t="n">
        <f aca="false">Sens!$L$4014</f>
        <v>697.807739249767</v>
      </c>
      <c r="M4104" s="38" t="n">
        <f aca="false">Sens!$M$4014</f>
        <v>743.399328463592</v>
      </c>
      <c r="N4104" s="38" t="n">
        <f aca="false">Sens!$N$4014</f>
        <v>192.955</v>
      </c>
      <c r="O4104" s="38" t="n">
        <f aca="false">Sens!$O$4014</f>
        <v>233.35</v>
      </c>
    </row>
    <row r="4105" customFormat="false" ht="15" hidden="false" customHeight="false" outlineLevel="0" collapsed="false">
      <c r="A4105" s="1" t="s">
        <v>522</v>
      </c>
      <c r="B4105" s="8" t="s">
        <v>86</v>
      </c>
      <c r="C4105" s="38" t="n">
        <f aca="false">Sens!$C$4015</f>
        <v>142.906</v>
      </c>
      <c r="D4105" s="38" t="n">
        <f aca="false">Sens!$D$4015</f>
        <v>161.894</v>
      </c>
      <c r="E4105" s="38" t="n">
        <f aca="false">Sens!$E$4015</f>
        <v>81.986</v>
      </c>
      <c r="F4105" s="38" t="n">
        <f aca="false">Sens!$F$4015</f>
        <v>98.408468164951</v>
      </c>
      <c r="G4105" s="38" t="n">
        <f aca="false">Sens!$G$4015</f>
        <v>180.394468164951</v>
      </c>
      <c r="H4105" s="38" t="n">
        <f aca="false">Sens!$H$4015</f>
        <v>199.709899104949</v>
      </c>
      <c r="I4105" s="38" t="n">
        <f aca="false">Sens!$I$4015</f>
        <v>218.385528264976</v>
      </c>
      <c r="J4105" s="38" t="n">
        <f aca="false">Sens!$J$4015</f>
        <v>235.71696994951</v>
      </c>
      <c r="K4105" s="38" t="n">
        <f aca="false">Sens!$K$4015</f>
        <v>250.968227869545</v>
      </c>
      <c r="L4105" s="38" t="n">
        <f aca="false">Sens!$L$4015</f>
        <v>267.285367225822</v>
      </c>
      <c r="M4105" s="38" t="n">
        <f aca="false">Sens!$M$4015</f>
        <v>284.748579483295</v>
      </c>
      <c r="N4105" s="38" t="n">
        <f aca="false">Sens!$N$4015</f>
        <v>70.274</v>
      </c>
      <c r="O4105" s="38" t="n">
        <f aca="false">Sens!$O$4015</f>
        <v>91.62</v>
      </c>
    </row>
    <row r="4106" customFormat="false" ht="15" hidden="false" customHeight="false" outlineLevel="0" collapsed="false">
      <c r="A4106" s="1" t="s">
        <v>523</v>
      </c>
      <c r="B4106" s="8" t="s">
        <v>86</v>
      </c>
      <c r="C4106" s="38" t="n">
        <f aca="false">Sens!$C$4084</f>
        <v>107.556</v>
      </c>
      <c r="D4106" s="38" t="n">
        <f aca="false">Sens!$D$4084</f>
        <v>128.725</v>
      </c>
      <c r="E4106" s="38" t="n">
        <f aca="false">Sens!$E$4084</f>
        <v>79.819</v>
      </c>
      <c r="F4106" s="38" t="n">
        <f aca="false">Sens!$F$4084</f>
        <v>86.7327334389669</v>
      </c>
      <c r="G4106" s="38" t="n">
        <f aca="false">Sens!$G$4084</f>
        <v>166.551733438967</v>
      </c>
      <c r="H4106" s="38" t="n">
        <f aca="false">Sens!$H$4084</f>
        <v>221.182967828978</v>
      </c>
      <c r="I4106" s="38" t="n">
        <f aca="false">Sens!$I$4084</f>
        <v>280.27345865789</v>
      </c>
      <c r="J4106" s="38" t="n">
        <f aca="false">Sens!$J$4084</f>
        <v>338.800945197185</v>
      </c>
      <c r="K4106" s="38" t="n">
        <f aca="false">Sens!$K$4084</f>
        <v>389.88570147276</v>
      </c>
      <c r="L4106" s="38" t="n">
        <f aca="false">Sens!$L$4084</f>
        <v>430.080689379143</v>
      </c>
      <c r="M4106" s="38" t="n">
        <f aca="false">Sens!$M$4084</f>
        <v>459.456235951751</v>
      </c>
      <c r="N4106" s="38" t="n">
        <f aca="false">Sens!$N$4084</f>
        <v>60.14</v>
      </c>
      <c r="O4106" s="38" t="n">
        <f aca="false">Sens!$O$4084</f>
        <v>68.585</v>
      </c>
    </row>
    <row r="4107" customFormat="false" ht="17.15" hidden="false" customHeight="false" outlineLevel="0" collapsed="false">
      <c r="A4107" s="0" t="s">
        <v>702</v>
      </c>
      <c r="B4107" s="0" t="s">
        <v>86</v>
      </c>
      <c r="C4107" s="38" t="n">
        <f aca="false">Sens!$C$4082</f>
        <v>2.32100535697364</v>
      </c>
      <c r="D4107" s="38" t="n">
        <f aca="false">Sens!$D$4082</f>
        <v>8.70377008865116</v>
      </c>
      <c r="E4107" s="38" t="n">
        <f aca="false">Sens!$E$4082</f>
        <v>8.51035297557002</v>
      </c>
      <c r="F4107" s="38" t="n">
        <f aca="false">Sens!$F$4082</f>
        <v>14.9634336447205</v>
      </c>
      <c r="G4107" s="38" t="n">
        <f aca="false">Sens!$G$4082</f>
        <v>23.4737866202905</v>
      </c>
      <c r="H4107" s="38" t="n">
        <f aca="false">Sens!$H$4082</f>
        <v>60.1658907497746</v>
      </c>
      <c r="I4107" s="38" t="n">
        <f aca="false">Sens!$I$4082</f>
        <v>101.503699136432</v>
      </c>
      <c r="J4107" s="38" t="n">
        <f aca="false">Sens!$J$4082</f>
        <v>143.025407151278</v>
      </c>
      <c r="K4107" s="38" t="n">
        <f aca="false">Sens!$K$4082</f>
        <v>178.44812038318</v>
      </c>
      <c r="L4107" s="38" t="n">
        <f aca="false">Sens!$L$4082</f>
        <v>201.728101802396</v>
      </c>
      <c r="M4107" s="38" t="n">
        <f aca="false">Sens!$M$4082</f>
        <v>212.835441368865</v>
      </c>
      <c r="N4107" s="38" t="n">
        <f aca="false">Sens!$N$4082</f>
        <v>3.04631953102791</v>
      </c>
      <c r="O4107" s="38" t="n">
        <f aca="false">Sens!$O$4082</f>
        <v>5.65745055762326</v>
      </c>
    </row>
    <row r="4108" customFormat="false" ht="17.15" hidden="false" customHeight="false" outlineLevel="0" collapsed="false">
      <c r="A4108" s="0" t="s">
        <v>704</v>
      </c>
      <c r="B4108" s="0" t="s">
        <v>86</v>
      </c>
      <c r="C4108" s="38" t="n">
        <f aca="false">Sens!$C$4083</f>
        <v>105.234994643026</v>
      </c>
      <c r="D4108" s="38" t="n">
        <f aca="false">Sens!$D$4083</f>
        <v>120.021229911349</v>
      </c>
      <c r="E4108" s="38" t="n">
        <f aca="false">Sens!$E$4083</f>
        <v>71.30864702443</v>
      </c>
      <c r="F4108" s="38" t="n">
        <f aca="false">Sens!$F$4083</f>
        <v>71.7692997942464</v>
      </c>
      <c r="G4108" s="38" t="n">
        <f aca="false">Sens!$G$4083</f>
        <v>143.077946818676</v>
      </c>
      <c r="H4108" s="38" t="n">
        <f aca="false">Sens!$H$4083</f>
        <v>161.017077079203</v>
      </c>
      <c r="I4108" s="38" t="n">
        <f aca="false">Sens!$I$4083</f>
        <v>178.769759521457</v>
      </c>
      <c r="J4108" s="38" t="n">
        <f aca="false">Sens!$J$4083</f>
        <v>195.775538045907</v>
      </c>
      <c r="K4108" s="38" t="n">
        <f aca="false">Sens!$K$4083</f>
        <v>211.43758108958</v>
      </c>
      <c r="L4108" s="38" t="n">
        <f aca="false">Sens!$L$4083</f>
        <v>228.352587576746</v>
      </c>
      <c r="M4108" s="38" t="n">
        <f aca="false">Sens!$M$4083</f>
        <v>246.620794582886</v>
      </c>
      <c r="N4108" s="38" t="n">
        <f aca="false">Sens!$N$4083</f>
        <v>57.0936804689721</v>
      </c>
      <c r="O4108" s="38" t="n">
        <f aca="false">Sens!$O$4083</f>
        <v>62.9275494423768</v>
      </c>
    </row>
    <row r="4109" customFormat="false" ht="15" hidden="false" customHeight="false" outlineLevel="0" collapsed="false">
      <c r="A4109" s="3" t="s">
        <v>524</v>
      </c>
      <c r="B4109" s="8" t="s">
        <v>86</v>
      </c>
      <c r="C4109" s="38" t="n">
        <f aca="false">Sens!$C$4085</f>
        <v>637.959</v>
      </c>
      <c r="D4109" s="38" t="n">
        <f aca="false">Sens!$D$4085</f>
        <v>716.924</v>
      </c>
      <c r="E4109" s="38" t="n">
        <f aca="false">Sens!$E$4085</f>
        <v>382.125</v>
      </c>
      <c r="F4109" s="38" t="n">
        <f aca="false">Sens!$F$4085</f>
        <v>435.780975084504</v>
      </c>
      <c r="G4109" s="38" t="n">
        <f aca="false">Sens!$G$4085</f>
        <v>817.905975084504</v>
      </c>
      <c r="H4109" s="38" t="n">
        <f aca="false">Sens!$H$4085</f>
        <v>942.279857350364</v>
      </c>
      <c r="I4109" s="38" t="n">
        <f aca="false">Sens!$I$4085</f>
        <v>1068.80284981042</v>
      </c>
      <c r="J4109" s="38" t="n">
        <f aca="false">Sens!$J$4085</f>
        <v>1189.90935093863</v>
      </c>
      <c r="K4109" s="38" t="n">
        <f aca="false">Sens!$K$4085</f>
        <v>1296.06215690385</v>
      </c>
      <c r="L4109" s="38" t="n">
        <f aca="false">Sens!$L$4085</f>
        <v>1395.17379585473</v>
      </c>
      <c r="M4109" s="38" t="n">
        <f aca="false">Sens!$M$4085</f>
        <v>1487.60414389864</v>
      </c>
      <c r="N4109" s="38" t="n">
        <f aca="false">Sens!$N$4085</f>
        <v>323.369</v>
      </c>
      <c r="O4109" s="38" t="n">
        <f aca="false">Sens!$O$4085</f>
        <v>393.555</v>
      </c>
    </row>
    <row r="4110" customFormat="false" ht="17.15" hidden="false" customHeight="false" outlineLevel="0" collapsed="false">
      <c r="A4110" s="24" t="s">
        <v>714</v>
      </c>
      <c r="B4110" s="25" t="s">
        <v>86</v>
      </c>
      <c r="C4110" s="41" t="n">
        <f aca="false">Sens!$C$4097+Sens!$C$4098+Sens!$C$4099+Sens!$C$4100+Sens!$C$4101+Sens!$C$4102-(Sens!$C$4104+Sens!$C$4105)</f>
        <v>0</v>
      </c>
      <c r="D4110" s="41" t="n">
        <f aca="false">Sens!$D$4097+Sens!$D$4098+Sens!$D$4099+Sens!$D$4100+Sens!$D$4101+Sens!$D$4102-(Sens!$D$4104+Sens!$D$4105)</f>
        <v>0</v>
      </c>
      <c r="E4110" s="41" t="n">
        <f aca="false">Sens!$E$4097+Sens!$E$4098+Sens!$E$4099+Sens!$E$4100+Sens!$E$4101+Sens!$E$4102-(Sens!$E$4104+Sens!$E$4105)</f>
        <v>0</v>
      </c>
      <c r="F4110" s="41" t="n">
        <f aca="false">Sens!$F$4097+Sens!$F$4098+Sens!$F$4099+Sens!$F$4100+Sens!$F$4101+Sens!$F$4102-(Sens!$F$4104+Sens!$F$4105)</f>
        <v>0</v>
      </c>
      <c r="G4110" s="41" t="n">
        <f aca="false">Sens!$G$4097+Sens!$G$4098+Sens!$G$4099+Sens!$G$4100+Sens!$G$4101+Sens!$G$4102-(Sens!$G$4104+Sens!$G$4105)</f>
        <v>0</v>
      </c>
      <c r="H4110" s="41" t="n">
        <f aca="false">Sens!$H$4097+Sens!$H$4098+Sens!$H$4099+Sens!$H$4100+Sens!$H$4101+Sens!$H$4102-(Sens!$H$4104+Sens!$H$4105)</f>
        <v>0</v>
      </c>
      <c r="I4110" s="41" t="n">
        <f aca="false">Sens!$I$4097+Sens!$I$4098+Sens!$I$4099+Sens!$I$4100+Sens!$I$4101+Sens!$I$4102-(Sens!$I$4104+Sens!$I$4105)</f>
        <v>0</v>
      </c>
      <c r="J4110" s="41" t="n">
        <f aca="false">Sens!$J$4097+Sens!$J$4098+Sens!$J$4099+Sens!$J$4100+Sens!$J$4101+Sens!$J$4102-(Sens!$J$4104+Sens!$J$4105)</f>
        <v>0</v>
      </c>
      <c r="K4110" s="41" t="n">
        <f aca="false">Sens!$K$4097+Sens!$K$4098+Sens!$K$4099+Sens!$K$4100+Sens!$K$4101+Sens!$K$4102-(Sens!$K$4104+Sens!$K$4105)</f>
        <v>0</v>
      </c>
      <c r="L4110" s="41" t="n">
        <f aca="false">Sens!$L$4097+Sens!$L$4098+Sens!$L$4099+Sens!$L$4100+Sens!$L$4101+Sens!$L$4102-(Sens!$L$4104+Sens!$L$4105)</f>
        <v>0</v>
      </c>
      <c r="M4110" s="41" t="n">
        <f aca="false">Sens!$M$4097+Sens!$M$4098+Sens!$M$4099+Sens!$M$4100+Sens!$M$4101+Sens!$M$4102-(Sens!$M$4104+Sens!$M$4105)</f>
        <v>0</v>
      </c>
      <c r="N4110" s="41" t="n">
        <f aca="false">Sens!$N$4097+Sens!$N$4098+Sens!$N$4099+Sens!$N$4100+Sens!$N$4101+Sens!$N$4102-(Sens!$N$4104+Sens!$N$4105)</f>
        <v>0</v>
      </c>
      <c r="O4110" s="41" t="n">
        <f aca="false">Sens!$O$4097+Sens!$O$4098+Sens!$O$4099+Sens!$O$4100+Sens!$O$4101+Sens!$O$4102-(Sens!$O$4104+Sens!$O$4105)</f>
        <v>0</v>
      </c>
    </row>
    <row r="4111" customFormat="false" ht="17.15" hidden="false" customHeight="false" outlineLevel="0" collapsed="false">
      <c r="A4111" s="24" t="s">
        <v>715</v>
      </c>
      <c r="B4111" s="25" t="s">
        <v>86</v>
      </c>
      <c r="C4111" s="41" t="n">
        <f aca="false">Sens!$C$4107+Sens!$C$4108-Sens!$C$4106</f>
        <v>0</v>
      </c>
      <c r="D4111" s="41" t="n">
        <f aca="false">Sens!$D$4107+Sens!$D$4108-Sens!$D$4106</f>
        <v>0</v>
      </c>
      <c r="E4111" s="41" t="n">
        <f aca="false">Sens!$E$4107+Sens!$E$4108-Sens!$E$4106</f>
        <v>0</v>
      </c>
      <c r="F4111" s="41" t="n">
        <f aca="false">Sens!$F$4107+Sens!$F$4108-Sens!$F$4106</f>
        <v>0</v>
      </c>
      <c r="G4111" s="41" t="n">
        <f aca="false">Sens!$G$4107+Sens!$G$4108-Sens!$G$4106</f>
        <v>0</v>
      </c>
      <c r="H4111" s="41" t="n">
        <f aca="false">Sens!$H$4107+Sens!$H$4108-Sens!$H$4106</f>
        <v>0</v>
      </c>
      <c r="I4111" s="41" t="n">
        <f aca="false">Sens!$I$4107+Sens!$I$4108-Sens!$I$4106</f>
        <v>0</v>
      </c>
      <c r="J4111" s="41" t="n">
        <f aca="false">Sens!$J$4107+Sens!$J$4108-Sens!$J$4106</f>
        <v>0</v>
      </c>
      <c r="K4111" s="41" t="n">
        <f aca="false">Sens!$K$4107+Sens!$K$4108-Sens!$K$4106</f>
        <v>0</v>
      </c>
      <c r="L4111" s="41" t="n">
        <f aca="false">Sens!$L$4107+Sens!$L$4108-Sens!$L$4106</f>
        <v>0</v>
      </c>
      <c r="M4111" s="41" t="n">
        <f aca="false">Sens!$M$4107+Sens!$M$4108-Sens!$M$4106</f>
        <v>0</v>
      </c>
      <c r="N4111" s="41" t="n">
        <f aca="false">Sens!$N$4107+Sens!$N$4108-Sens!$N$4106</f>
        <v>0</v>
      </c>
      <c r="O4111" s="41" t="n">
        <f aca="false">Sens!$O$4107+Sens!$O$4108-Sens!$O$4106</f>
        <v>0</v>
      </c>
    </row>
    <row r="4112" customFormat="false" ht="17.15" hidden="false" customHeight="false" outlineLevel="0" collapsed="false">
      <c r="A4112" s="24" t="s">
        <v>774</v>
      </c>
      <c r="B4112" s="25" t="s">
        <v>86</v>
      </c>
      <c r="C4112" s="41" t="n">
        <f aca="false">Sens!$C$4097+Sens!$C$4098+Sens!$C$4099+Sens!$C$4100+Sens!$C$4101+Sens!$C$4102+Sens!$C$4103-Sens!$C$4109</f>
        <v>0</v>
      </c>
      <c r="D4112" s="41" t="n">
        <f aca="false">Sens!$D$4097+Sens!$D$4098+Sens!$D$4099+Sens!$D$4100+Sens!$D$4101+Sens!$D$4102+Sens!$D$4103-Sens!$D$4109</f>
        <v>0</v>
      </c>
      <c r="E4112" s="41" t="n">
        <f aca="false">Sens!$E$4097+Sens!$E$4098+Sens!$E$4099+Sens!$E$4100+Sens!$E$4101+Sens!$E$4102+Sens!$E$4103-Sens!$E$4109</f>
        <v>0</v>
      </c>
      <c r="F4112" s="41" t="n">
        <f aca="false">Sens!$F$4097+Sens!$F$4098+Sens!$F$4099+Sens!$F$4100+Sens!$F$4101+Sens!$F$4102+Sens!$F$4103-Sens!$F$4109</f>
        <v>0</v>
      </c>
      <c r="G4112" s="41" t="n">
        <f aca="false">Sens!$G$4097+Sens!$G$4098+Sens!$G$4099+Sens!$G$4100+Sens!$G$4101+Sens!$G$4102+Sens!$G$4103-Sens!$G$4109</f>
        <v>0</v>
      </c>
      <c r="H4112" s="41" t="n">
        <f aca="false">Sens!$H$4097+Sens!$H$4098+Sens!$H$4099+Sens!$H$4100+Sens!$H$4101+Sens!$H$4102+Sens!$H$4103-Sens!$H$4109</f>
        <v>0</v>
      </c>
      <c r="I4112" s="41" t="n">
        <f aca="false">Sens!$I$4097+Sens!$I$4098+Sens!$I$4099+Sens!$I$4100+Sens!$I$4101+Sens!$I$4102+Sens!$I$4103-Sens!$I$4109</f>
        <v>0</v>
      </c>
      <c r="J4112" s="41" t="n">
        <f aca="false">Sens!$J$4097+Sens!$J$4098+Sens!$J$4099+Sens!$J$4100+Sens!$J$4101+Sens!$J$4102+Sens!$J$4103-Sens!$J$4109</f>
        <v>0</v>
      </c>
      <c r="K4112" s="41" t="n">
        <f aca="false">Sens!$K$4097+Sens!$K$4098+Sens!$K$4099+Sens!$K$4100+Sens!$K$4101+Sens!$K$4102+Sens!$K$4103-Sens!$K$4109</f>
        <v>0</v>
      </c>
      <c r="L4112" s="41" t="n">
        <f aca="false">Sens!$L$4097+Sens!$L$4098+Sens!$L$4099+Sens!$L$4100+Sens!$L$4101+Sens!$L$4102+Sens!$L$4103-Sens!$L$4109</f>
        <v>0</v>
      </c>
      <c r="M4112" s="41" t="n">
        <f aca="false">Sens!$M$4097+Sens!$M$4098+Sens!$M$4099+Sens!$M$4100+Sens!$M$4101+Sens!$M$4102+Sens!$M$4103-Sens!$M$4109</f>
        <v>0</v>
      </c>
      <c r="N4112" s="41" t="n">
        <f aca="false">Sens!$N$4097+Sens!$N$4098+Sens!$N$4099+Sens!$N$4100+Sens!$N$4101+Sens!$N$4102+Sens!$N$4103-Sens!$N$4109</f>
        <v>0</v>
      </c>
      <c r="O4112" s="41" t="n">
        <f aca="false">Sens!$O$4097+Sens!$O$4098+Sens!$O$4099+Sens!$O$4100+Sens!$O$4101+Sens!$O$4102+Sens!$O$4103-Sens!$O$4109</f>
        <v>0</v>
      </c>
    </row>
    <row r="4113" customFormat="false" ht="17.15" hidden="false" customHeight="false" outlineLevel="0" collapsed="false">
      <c r="A4113" s="24" t="s">
        <v>716</v>
      </c>
      <c r="B4113" s="25" t="s">
        <v>86</v>
      </c>
      <c r="C4113" s="41" t="n">
        <f aca="false">Sens!$C$4104+Sens!$C$4105+Sens!$C$4106-Sens!$C$4109</f>
        <v>0</v>
      </c>
      <c r="D4113" s="41" t="n">
        <f aca="false">Sens!$D$4104+Sens!$D$4105+Sens!$D$4106-Sens!$D$4109</f>
        <v>0</v>
      </c>
      <c r="E4113" s="41" t="n">
        <f aca="false">Sens!$E$4104+Sens!$E$4105+Sens!$E$4106-Sens!$E$4109</f>
        <v>0</v>
      </c>
      <c r="F4113" s="41" t="n">
        <f aca="false">Sens!$F$4104+Sens!$F$4105+Sens!$F$4106-Sens!$F$4109</f>
        <v>0</v>
      </c>
      <c r="G4113" s="41" t="n">
        <f aca="false">Sens!$G$4104+Sens!$G$4105+Sens!$G$4106-Sens!$G$4109</f>
        <v>0</v>
      </c>
      <c r="H4113" s="41" t="n">
        <f aca="false">Sens!$H$4104+Sens!$H$4105+Sens!$H$4106-Sens!$H$4109</f>
        <v>0</v>
      </c>
      <c r="I4113" s="41" t="n">
        <f aca="false">Sens!$I$4104+Sens!$I$4105+Sens!$I$4106-Sens!$I$4109</f>
        <v>0</v>
      </c>
      <c r="J4113" s="41" t="n">
        <f aca="false">Sens!$J$4104+Sens!$J$4105+Sens!$J$4106-Sens!$J$4109</f>
        <v>0</v>
      </c>
      <c r="K4113" s="41" t="n">
        <f aca="false">Sens!$K$4104+Sens!$K$4105+Sens!$K$4106-Sens!$K$4109</f>
        <v>0</v>
      </c>
      <c r="L4113" s="41" t="n">
        <f aca="false">Sens!$L$4104+Sens!$L$4105+Sens!$L$4106-Sens!$L$4109</f>
        <v>0</v>
      </c>
      <c r="M4113" s="41" t="n">
        <f aca="false">Sens!$M$4104+Sens!$M$4105+Sens!$M$4106-Sens!$M$4109</f>
        <v>0</v>
      </c>
      <c r="N4113" s="41" t="n">
        <f aca="false">Sens!$N$4104+Sens!$N$4105+Sens!$N$4106-Sens!$N$4109</f>
        <v>0</v>
      </c>
      <c r="O4113" s="41" t="n">
        <f aca="false">Sens!$O$4104+Sens!$O$4105+Sens!$O$4106-Sens!$O$4109</f>
        <v>0</v>
      </c>
    </row>
    <row r="4114" customFormat="false" ht="17.15" hidden="false" customHeight="false" outlineLevel="0" collapsed="false">
      <c r="A4114" s="1" t="s">
        <v>730</v>
      </c>
    </row>
    <row r="4115" customFormat="false" ht="17.15" hidden="false" customHeight="false" outlineLevel="0" collapsed="false">
      <c r="A4115" s="0" t="s">
        <v>731</v>
      </c>
      <c r="B4115" s="0" t="s">
        <v>86</v>
      </c>
      <c r="C4115" s="38" t="n">
        <f aca="false">Sens!$C$4016*m_ad_hi</f>
        <v>24.6409877297074</v>
      </c>
      <c r="D4115" s="38" t="n">
        <f aca="false">Sens!$D$4016*m_ad_hi</f>
        <v>29.8464740759505</v>
      </c>
      <c r="E4115" s="38" t="n">
        <f aca="false">Sens!$E$4016*m_ad_hi</f>
        <v>16.2020534954649</v>
      </c>
      <c r="F4115" s="38" t="n">
        <f aca="false">Sens!$F$4016*m_ad_hi</f>
        <v>19.8863668998308</v>
      </c>
      <c r="G4115" s="38" t="n">
        <f aca="false">Sens!$G$4016*m_ad_hi</f>
        <v>36.0985103064498</v>
      </c>
      <c r="H4115" s="38" t="n">
        <f aca="false">Sens!$H$4016*m_ad_hi</f>
        <v>43.3381059931577</v>
      </c>
      <c r="I4115" s="38" t="n">
        <f aca="false">Sens!$I$4016*m_ad_hi</f>
        <v>50.5770458678395</v>
      </c>
      <c r="J4115" s="38" t="n">
        <f aca="false">Sens!$J$4016*m_ad_hi</f>
        <v>57.3299428637632</v>
      </c>
      <c r="K4115" s="38" t="n">
        <f aca="false">Sens!$K$4016*m_ad_hi</f>
        <v>63.0629371501395</v>
      </c>
      <c r="L4115" s="38" t="n">
        <f aca="false">Sens!$L$4016*m_ad_hi</f>
        <v>69.3692308651534</v>
      </c>
      <c r="M4115" s="38" t="n">
        <f aca="false">Sens!$M$4016*m_ad_hi</f>
        <v>76.3061539516688</v>
      </c>
      <c r="N4115" s="38" t="n">
        <f aca="false">Sens!$N$4016*m_ad_hi</f>
        <v>13.0252266847498</v>
      </c>
      <c r="O4115" s="38" t="n">
        <f aca="false">Sens!$O$4016*m_ad_hi</f>
        <v>16.8113678185679</v>
      </c>
    </row>
    <row r="4116" customFormat="false" ht="17.15" hidden="false" customHeight="false" outlineLevel="0" collapsed="false">
      <c r="A4116" s="0" t="s">
        <v>732</v>
      </c>
      <c r="B4116" s="0" t="s">
        <v>86</v>
      </c>
      <c r="C4116" s="38" t="n">
        <f aca="false">Sens!$C$4014-Sens!$C$4016</f>
        <v>346.428687117154</v>
      </c>
      <c r="D4116" s="38" t="n">
        <f aca="false">Sens!$D$4014-Sens!$D$4016</f>
        <v>376.560876540083</v>
      </c>
      <c r="E4116" s="38" t="n">
        <f aca="false">Sens!$E$4014-Sens!$E$4016</f>
        <v>193.316577507559</v>
      </c>
      <c r="F4116" s="38" t="n">
        <f aca="false">Sens!$F$4014-Sens!$F$4016</f>
        <v>217.495828647535</v>
      </c>
      <c r="G4116" s="38" t="n">
        <f aca="false">Sens!$G$4014-Sens!$G$4016</f>
        <v>410.795589636503</v>
      </c>
      <c r="H4116" s="38" t="n">
        <f aca="false">Sens!$H$4014-Sens!$H$4016</f>
        <v>449.156813761174</v>
      </c>
      <c r="I4116" s="38" t="n">
        <f aca="false">Sens!$I$4014-Sens!$I$4016</f>
        <v>485.848786441156</v>
      </c>
      <c r="J4116" s="38" t="n">
        <f aca="false">Sens!$J$4014-Sens!$J$4016</f>
        <v>519.841531018994</v>
      </c>
      <c r="K4116" s="38" t="n">
        <f aca="false">Sens!$K$4014-Sens!$K$4016</f>
        <v>550.103332311311</v>
      </c>
      <c r="L4116" s="38" t="n">
        <f aca="false">Sens!$L$4014-Sens!$L$4016</f>
        <v>582.192354474511</v>
      </c>
      <c r="M4116" s="38" t="n">
        <f aca="false">Sens!$M$4014-Sens!$M$4016</f>
        <v>616.22240521081</v>
      </c>
      <c r="N4116" s="38" t="n">
        <f aca="false">Sens!$N$4014-Sens!$N$4016</f>
        <v>171.24628885875</v>
      </c>
      <c r="O4116" s="38" t="n">
        <f aca="false">Sens!$O$4014-Sens!$O$4016</f>
        <v>205.33105363572</v>
      </c>
    </row>
    <row r="4117" customFormat="false" ht="17.15" hidden="false" customHeight="false" outlineLevel="0" collapsed="false">
      <c r="A4117" s="0" t="s">
        <v>733</v>
      </c>
      <c r="B4117" s="0" t="s">
        <v>86</v>
      </c>
      <c r="C4117" s="38" t="n">
        <f aca="false">Sens!$C$4068*Sens!$C$4013</f>
        <v>0.123617442257179</v>
      </c>
      <c r="D4117" s="38" t="n">
        <f aca="false">Sens!$D$4068*Sens!$D$4013</f>
        <v>0.600198046024689</v>
      </c>
      <c r="E4117" s="38" t="n">
        <f aca="false">Sens!$E$4068*Sens!$E$4013</f>
        <v>1.10840000750276</v>
      </c>
      <c r="F4117" s="38" t="n">
        <f aca="false">Sens!$F$4068*Sens!$F$4013</f>
        <v>1.33595298721025</v>
      </c>
      <c r="G4117" s="38" t="n">
        <f aca="false">Sens!$G$4068*Sens!$G$4013</f>
        <v>2.44487335052545</v>
      </c>
      <c r="H4117" s="38" t="n">
        <f aca="false">Sens!$H$4068*Sens!$H$4013</f>
        <v>6.63132711939388</v>
      </c>
      <c r="I4117" s="38" t="n">
        <f aca="false">Sens!$I$4068*Sens!$I$4013</f>
        <v>12.7486799258504</v>
      </c>
      <c r="J4117" s="38" t="n">
        <f aca="false">Sens!$J$4068*Sens!$J$4013</f>
        <v>18.4074045299415</v>
      </c>
      <c r="K4117" s="38" t="n">
        <f aca="false">Sens!$K$4068*Sens!$K$4013</f>
        <v>23.9455472348705</v>
      </c>
      <c r="L4117" s="38" t="n">
        <f aca="false">Sens!$L$4068*Sens!$L$4013</f>
        <v>27.78179156216</v>
      </c>
      <c r="M4117" s="38" t="n">
        <f aca="false">Sens!$M$4068*Sens!$M$4013</f>
        <v>29.9029027327362</v>
      </c>
      <c r="N4117" s="38" t="n">
        <f aca="false">Sens!$N$4068*Sens!$N$4013</f>
        <v>0.25053229484398</v>
      </c>
      <c r="O4117" s="38" t="n">
        <f aca="false">Sens!$O$4068*Sens!$O$4013</f>
        <v>0.349234376756897</v>
      </c>
    </row>
    <row r="4118" customFormat="false" ht="17.15" hidden="false" customHeight="false" outlineLevel="0" collapsed="false">
      <c r="A4118" s="0" t="s">
        <v>734</v>
      </c>
      <c r="B4118" s="0" t="s">
        <v>52</v>
      </c>
      <c r="C4118" s="28" t="n">
        <f aca="false">(Sens!$C$4119-Sens!$C$4115+Sens!$C$4117)/Sens!$C$4116</f>
        <v>0.00129789976774559</v>
      </c>
      <c r="D4118" s="28" t="n">
        <f aca="false">(Sens!$D$4119-Sens!$D$4115+Sens!$D$4117)/Sens!$D$4116</f>
        <v>0.000989810660891991</v>
      </c>
      <c r="E4118" s="28" t="n">
        <f aca="false">(Sens!$E$4119-Sens!$E$4115+Sens!$E$4117)/Sens!$E$4116</f>
        <v>0.0118786838751484</v>
      </c>
      <c r="F4118" s="28" t="n">
        <f aca="false">Sens!$O$4118+(Sens!$E$4118-Sens!$N$4118)</f>
        <v>0.00749288905407745</v>
      </c>
      <c r="G4118" s="28" t="n">
        <f aca="false">(Sens!$G$4119-Sens!$G$4115+Sens!$G$4117)/Sens!$G$4116</f>
        <v>0.00953381479568051</v>
      </c>
      <c r="H4118" s="28" t="n">
        <f aca="false">Sens!$G$4118+step_na</f>
        <v>0.0125338147956805</v>
      </c>
      <c r="I4118" s="28" t="n">
        <f aca="false">Sens!$H$4118+step_na</f>
        <v>0.0155338147956805</v>
      </c>
      <c r="J4118" s="28" t="n">
        <f aca="false">Sens!$I$4118+step_na</f>
        <v>0.0185338147956805</v>
      </c>
      <c r="K4118" s="28" t="n">
        <f aca="false">Sens!$J$4118+step_na</f>
        <v>0.0215338147956805</v>
      </c>
      <c r="L4118" s="28" t="n">
        <f aca="false">Sens!$K$4118</f>
        <v>0.0215338147956805</v>
      </c>
      <c r="M4118" s="28" t="n">
        <f aca="false">Sens!$L$4118</f>
        <v>0.0215338147956805</v>
      </c>
      <c r="N4118" s="28" t="n">
        <f aca="false">(Sens!$N$4119-Sens!$N$4115+Sens!$N$4117)/Sens!$N$4116</f>
        <v>0.00340623796277027</v>
      </c>
      <c r="O4118" s="28" t="n">
        <f aca="false">(Sens!$O$4119-Sens!$O$4115+Sens!$O$4117)/Sens!$O$4116</f>
        <v>-0.000979556858300641</v>
      </c>
      <c r="P4118" s="8" t="s">
        <v>735</v>
      </c>
    </row>
    <row r="4119" customFormat="false" ht="17.15" hidden="false" customHeight="false" outlineLevel="0" collapsed="false">
      <c r="A4119" s="1" t="s">
        <v>736</v>
      </c>
      <c r="B4119" s="8" t="s">
        <v>86</v>
      </c>
      <c r="C4119" s="38" t="n">
        <f aca="false">Q!$D$22</f>
        <v>24.967</v>
      </c>
      <c r="D4119" s="38" t="n">
        <f aca="false">Q!$E$22</f>
        <v>29.619</v>
      </c>
      <c r="E4119" s="38" t="n">
        <f aca="false">Q!$P$22</f>
        <v>17.39</v>
      </c>
      <c r="F4119" s="38" t="n">
        <f aca="false">Sens!$F$4115+Sens!$F$4116*Sens!$F$4118-Sens!$F$4117</f>
        <v>20.1800860264012</v>
      </c>
      <c r="G4119" s="38" t="n">
        <f aca="false">Sens!$E$4119+Sens!$F$4119</f>
        <v>37.5700860264012</v>
      </c>
      <c r="H4119" s="38" t="n">
        <f aca="false">Sens!$H$4115+Sens!$H$4116*Sens!$H$4118-Sens!$H$4117</f>
        <v>42.3364271916644</v>
      </c>
      <c r="I4119" s="38" t="n">
        <f aca="false">Sens!$I$4115+Sens!$I$4116*Sens!$I$4118-Sens!$I$4117</f>
        <v>45.3754510092722</v>
      </c>
      <c r="J4119" s="38" t="n">
        <f aca="false">Sens!$J$4115+Sens!$J$4116*Sens!$J$4118-Sens!$J$4117</f>
        <v>48.5571849928307</v>
      </c>
      <c r="K4119" s="38" t="n">
        <f aca="false">Sens!$K$4115+Sens!$K$4116*Sens!$K$4118-Sens!$K$4117</f>
        <v>50.9632131917474</v>
      </c>
      <c r="L4119" s="38" t="n">
        <f aca="false">Sens!$L$4115+Sens!$L$4116*Sens!$L$4118-Sens!$L$4117</f>
        <v>54.1242616397087</v>
      </c>
      <c r="M4119" s="38" t="n">
        <f aca="false">Sens!$M$4115+Sens!$M$4116*Sens!$M$4118-Sens!$M$4117</f>
        <v>59.672870365691</v>
      </c>
      <c r="N4119" s="38" t="n">
        <f aca="false">Q!$N$22</f>
        <v>13.358</v>
      </c>
      <c r="O4119" s="38" t="n">
        <f aca="false">Q!$O$22</f>
        <v>16.261</v>
      </c>
    </row>
    <row r="4120" customFormat="false" ht="17.15" hidden="false" customHeight="false" outlineLevel="0" collapsed="false">
      <c r="A4120" s="0" t="s">
        <v>737</v>
      </c>
      <c r="B4120" s="0" t="s">
        <v>86</v>
      </c>
      <c r="C4120" s="38" t="n">
        <f aca="false">Sens!$C$4017*m_ad_hi</f>
        <v>9.08741227029259</v>
      </c>
      <c r="D4120" s="38" t="n">
        <f aca="false">Sens!$D$4017*m_ad_hi</f>
        <v>11.3345259240495</v>
      </c>
      <c r="E4120" s="38" t="n">
        <f aca="false">Sens!$E$4017*m_ad_hi</f>
        <v>6.02914650453514</v>
      </c>
      <c r="F4120" s="38" t="n">
        <f aca="false">Sens!$F$4017*m_ad_hi</f>
        <v>7.80796629681808</v>
      </c>
      <c r="G4120" s="38" t="n">
        <f aca="false">Sens!$G$4017*m_ad_hi</f>
        <v>13.827022890199</v>
      </c>
      <c r="H4120" s="38" t="n">
        <f aca="false">Sens!$H$4017*m_ad_hi</f>
        <v>16.6000474395808</v>
      </c>
      <c r="I4120" s="38" t="n">
        <f aca="false">Sens!$I$4017*m_ad_hi</f>
        <v>19.3728207894582</v>
      </c>
      <c r="J4120" s="38" t="n">
        <f aca="false">Sens!$J$4017*m_ad_hi</f>
        <v>21.9594223014079</v>
      </c>
      <c r="K4120" s="38" t="n">
        <f aca="false">Sens!$K$4017*m_ad_hi</f>
        <v>24.1553645315487</v>
      </c>
      <c r="L4120" s="38" t="n">
        <f aca="false">Sens!$L$4017*m_ad_hi</f>
        <v>26.5709009847036</v>
      </c>
      <c r="M4120" s="38" t="n">
        <f aca="false">Sens!$M$4017*m_ad_hi</f>
        <v>29.2279910831739</v>
      </c>
      <c r="N4120" s="38" t="n">
        <f aca="false">Sens!$N$4017*m_ad_hi</f>
        <v>4.74377331525022</v>
      </c>
      <c r="O4120" s="38" t="n">
        <f aca="false">Sens!$O$4017*m_ad_hi</f>
        <v>6.60063218143213</v>
      </c>
    </row>
    <row r="4121" customFormat="false" ht="17.15" hidden="false" customHeight="false" outlineLevel="0" collapsed="false">
      <c r="A4121" s="0" t="s">
        <v>738</v>
      </c>
      <c r="B4121" s="0" t="s">
        <v>86</v>
      </c>
      <c r="C4121" s="38" t="n">
        <f aca="false">Sens!$C$4015-Sens!$C$4017</f>
        <v>127.760312882846</v>
      </c>
      <c r="D4121" s="38" t="n">
        <f aca="false">Sens!$D$4015-Sens!$D$4017</f>
        <v>143.003123459917</v>
      </c>
      <c r="E4121" s="38" t="n">
        <f aca="false">Sens!$E$4015-Sens!$E$4017</f>
        <v>71.9374224924414</v>
      </c>
      <c r="F4121" s="38" t="n">
        <f aca="false">Sens!$F$4015-Sens!$F$4017</f>
        <v>85.3951910035875</v>
      </c>
      <c r="G4121" s="38" t="n">
        <f aca="false">Sens!$G$4015-Sens!$G$4017</f>
        <v>157.349430014619</v>
      </c>
      <c r="H4121" s="38" t="n">
        <f aca="false">Sens!$H$4015-Sens!$H$4017</f>
        <v>172.043153372315</v>
      </c>
      <c r="I4121" s="38" t="n">
        <f aca="false">Sens!$I$4015-Sens!$I$4017</f>
        <v>186.097493615879</v>
      </c>
      <c r="J4121" s="38" t="n">
        <f aca="false">Sens!$J$4015-Sens!$J$4017</f>
        <v>199.117932780497</v>
      </c>
      <c r="K4121" s="38" t="n">
        <f aca="false">Sens!$K$4015-Sens!$K$4017</f>
        <v>210.70928698363</v>
      </c>
      <c r="L4121" s="38" t="n">
        <f aca="false">Sens!$L$4015-Sens!$L$4017</f>
        <v>223.000532251316</v>
      </c>
      <c r="M4121" s="38" t="n">
        <f aca="false">Sens!$M$4015-Sens!$M$4017</f>
        <v>236.035261011339</v>
      </c>
      <c r="N4121" s="38" t="n">
        <f aca="false">Sens!$N$4015-Sens!$N$4017</f>
        <v>62.3677111412496</v>
      </c>
      <c r="O4121" s="38" t="n">
        <f aca="false">Sens!$O$4015-Sens!$O$4017</f>
        <v>80.6189463642798</v>
      </c>
    </row>
    <row r="4122" customFormat="false" ht="17.15" hidden="false" customHeight="false" outlineLevel="0" collapsed="false">
      <c r="A4122" s="0" t="s">
        <v>739</v>
      </c>
      <c r="B4122" s="0" t="s">
        <v>86</v>
      </c>
      <c r="C4122" s="38" t="n">
        <f aca="false">Sens!$C$4068*(1-Sens!$C$4013)</f>
        <v>0.0455891896019953</v>
      </c>
      <c r="D4122" s="38" t="n">
        <f aca="false">Sens!$D$4068*(1-Sens!$D$4013)</f>
        <v>0.227931791705753</v>
      </c>
      <c r="E4122" s="38" t="n">
        <f aca="false">Sens!$E$4068*(1-Sens!$E$4013)</f>
        <v>0.412460434890711</v>
      </c>
      <c r="F4122" s="38" t="n">
        <f aca="false">Sens!$F$4068*(1-Sens!$F$4013)</f>
        <v>0.524534016233997</v>
      </c>
      <c r="G4122" s="38" t="n">
        <f aca="false">Sens!$G$4068*(1-Sens!$G$4013)</f>
        <v>0.936474095312266</v>
      </c>
      <c r="H4122" s="38" t="n">
        <f aca="false">Sens!$H$4068*(1-Sens!$H$4013)</f>
        <v>2.54003589327823</v>
      </c>
      <c r="I4122" s="38" t="n">
        <f aca="false">Sens!$I$4068*(1-Sens!$I$4013)</f>
        <v>4.88320120852905</v>
      </c>
      <c r="J4122" s="38" t="n">
        <f aca="false">Sens!$J$4068*(1-Sens!$J$4013)</f>
        <v>7.05069548920359</v>
      </c>
      <c r="K4122" s="38" t="n">
        <f aca="false">Sens!$K$4068*(1-Sens!$K$4013)</f>
        <v>9.17200258193867</v>
      </c>
      <c r="L4122" s="38" t="n">
        <f aca="false">Sens!$L$4068*(1-Sens!$L$4013)</f>
        <v>10.6414216154535</v>
      </c>
      <c r="M4122" s="38" t="n">
        <f aca="false">Sens!$M$4068*(1-Sens!$M$4013)</f>
        <v>11.4538831951485</v>
      </c>
      <c r="N4122" s="38" t="n">
        <f aca="false">Sens!$N$4068*(1-Sens!$N$4013)</f>
        <v>0.0912435878202994</v>
      </c>
      <c r="O4122" s="38" t="n">
        <f aca="false">Sens!$O$4068*(1-Sens!$O$4013)</f>
        <v>0.137119578309265</v>
      </c>
    </row>
    <row r="4123" customFormat="false" ht="17.15" hidden="false" customHeight="false" outlineLevel="0" collapsed="false">
      <c r="A4123" s="0" t="s">
        <v>740</v>
      </c>
      <c r="B4123" s="0" t="s">
        <v>52</v>
      </c>
      <c r="C4123" s="28" t="n">
        <f aca="false">(Sens!$C$4124-Sens!$C$4120+Sens!$C$4122)/Sens!$C$4121</f>
        <v>-0.0410911883528698</v>
      </c>
      <c r="D4123" s="28" t="n">
        <f aca="false">(Sens!$D$4124-Sens!$D$4120+Sens!$D$4122)/Sens!$D$4121</f>
        <v>-0.0444507363094447</v>
      </c>
      <c r="E4123" s="28" t="n">
        <f aca="false">(Sens!$E$4124-Sens!$E$4120+Sens!$E$4122)/Sens!$E$4121</f>
        <v>-0.0344144394373395</v>
      </c>
      <c r="F4123" s="28" t="n">
        <f aca="false">Sens!$O$4123+(Sens!$E$4123-Sens!$N$4123)</f>
        <v>-0.0524782750418414</v>
      </c>
      <c r="G4123" s="28" t="n">
        <f aca="false">(Sens!$G$4124-Sens!$G$4120+Sens!$G$4122)/Sens!$G$4121</f>
        <v>-0.0441533778317091</v>
      </c>
      <c r="H4123" s="28" t="n">
        <f aca="false">Sens!$G$4123+step_in</f>
        <v>-0.0441533778317091</v>
      </c>
      <c r="I4123" s="28" t="n">
        <f aca="false">Sens!$H$4123+step_in</f>
        <v>-0.0441533778317091</v>
      </c>
      <c r="J4123" s="28" t="n">
        <f aca="false">Sens!$I$4123+step_in</f>
        <v>-0.0441533778317091</v>
      </c>
      <c r="K4123" s="28" t="n">
        <f aca="false">Sens!$J$4123+step_in</f>
        <v>-0.0441533778317091</v>
      </c>
      <c r="L4123" s="28" t="n">
        <f aca="false">Sens!$K$4123</f>
        <v>-0.0441533778317091</v>
      </c>
      <c r="M4123" s="28" t="n">
        <f aca="false">Sens!$L$4123</f>
        <v>-0.0441533778317091</v>
      </c>
      <c r="N4123" s="28" t="n">
        <f aca="false">(Sens!$N$4124-Sens!$N$4120+Sens!$N$4122)/Sens!$N$4121</f>
        <v>-0.0343371544063852</v>
      </c>
      <c r="O4123" s="28" t="n">
        <f aca="false">(Sens!$O$4124-Sens!$O$4120+Sens!$O$4122)/Sens!$O$4121</f>
        <v>-0.0524009900108871</v>
      </c>
      <c r="P4123" s="8" t="s">
        <v>735</v>
      </c>
    </row>
    <row r="4124" customFormat="false" ht="17.15" hidden="false" customHeight="false" outlineLevel="0" collapsed="false">
      <c r="A4124" s="1" t="s">
        <v>741</v>
      </c>
      <c r="B4124" s="8" t="s">
        <v>86</v>
      </c>
      <c r="C4124" s="38" t="n">
        <f aca="false">Q!$D$23</f>
        <v>3.792</v>
      </c>
      <c r="D4124" s="38" t="n">
        <f aca="false">Q!$E$23</f>
        <v>4.75</v>
      </c>
      <c r="E4124" s="38" t="n">
        <f aca="false">Q!$P$23</f>
        <v>3.141</v>
      </c>
      <c r="F4124" s="38" t="n">
        <f aca="false">Sens!$F$4120+Sens!$F$4121*Sens!$F$4123-Sens!$F$4122</f>
        <v>2.80203995984723</v>
      </c>
      <c r="G4124" s="38" t="n">
        <f aca="false">Sens!$E$4124+Sens!$F$4124</f>
        <v>5.94303995984723</v>
      </c>
      <c r="H4124" s="38" t="n">
        <f aca="false">Sens!$H$4120+Sens!$H$4121*Sens!$H$4123-Sens!$H$4122</f>
        <v>6.46372519209611</v>
      </c>
      <c r="I4124" s="38" t="n">
        <f aca="false">Sens!$I$4120+Sens!$I$4121*Sens!$I$4123-Sens!$I$4122</f>
        <v>6.27278663177321</v>
      </c>
      <c r="J4124" s="38" t="n">
        <f aca="false">Sens!$J$4120+Sens!$J$4121*Sens!$J$4123-Sens!$J$4122</f>
        <v>6.11699749307817</v>
      </c>
      <c r="K4124" s="38" t="n">
        <f aca="false">Sens!$K$4120+Sens!$K$4121*Sens!$K$4123-Sens!$K$4122</f>
        <v>5.67983518877178</v>
      </c>
      <c r="L4124" s="38" t="n">
        <f aca="false">Sens!$L$4120+Sens!$L$4121*Sens!$L$4123-Sens!$L$4122</f>
        <v>6.08325261208548</v>
      </c>
      <c r="M4124" s="38" t="n">
        <f aca="false">Sens!$M$4120+Sens!$M$4121*Sens!$M$4123-Sens!$M$4122</f>
        <v>7.35235382698574</v>
      </c>
      <c r="N4124" s="38" t="n">
        <f aca="false">Q!$N$23</f>
        <v>2.511</v>
      </c>
      <c r="O4124" s="38" t="n">
        <f aca="false">Q!$O$23</f>
        <v>2.239</v>
      </c>
    </row>
    <row r="4125" customFormat="false" ht="17.15" hidden="false" customHeight="false" outlineLevel="0" collapsed="false">
      <c r="A4125" s="0" t="s">
        <v>742</v>
      </c>
      <c r="B4125" s="0" t="s">
        <v>86</v>
      </c>
      <c r="C4125" s="38" t="n">
        <f aca="false">Sens!$C$4065</f>
        <v>1.64417882953695</v>
      </c>
      <c r="D4125" s="38" t="n">
        <f aca="false">Sens!$D$4065</f>
        <v>5.39125073772939</v>
      </c>
      <c r="E4125" s="38" t="n">
        <f aca="false">Sens!$E$4065</f>
        <v>2.42691120599613</v>
      </c>
      <c r="F4125" s="38" t="n">
        <f aca="false">Sens!$F$4065</f>
        <v>7.52148563094346</v>
      </c>
      <c r="G4125" s="38" t="n">
        <f aca="false">Sens!$G$4065</f>
        <v>9.94839683693959</v>
      </c>
      <c r="H4125" s="38" t="n">
        <f aca="false">Sens!$H$4065</f>
        <v>23.4804386990861</v>
      </c>
      <c r="I4125" s="38" t="n">
        <f aca="false">Sens!$I$4065</f>
        <v>30.9761745989143</v>
      </c>
      <c r="J4125" s="38" t="n">
        <f aca="false">Sens!$J$4065</f>
        <v>41.1930070746977</v>
      </c>
      <c r="K4125" s="38" t="n">
        <f aca="false">Sens!$K$4065</f>
        <v>45.9779211159428</v>
      </c>
      <c r="L4125" s="38" t="n">
        <f aca="false">Sens!$L$4065</f>
        <v>48.0352490919424</v>
      </c>
      <c r="M4125" s="38" t="n">
        <f aca="false">Sens!$M$4065</f>
        <v>47.4082976573265</v>
      </c>
      <c r="N4125" s="38" t="n">
        <f aca="false">Sens!$N$4065</f>
        <v>1.67921600037079</v>
      </c>
      <c r="O4125" s="38" t="n">
        <f aca="false">Sens!$O$4065</f>
        <v>3.71203473735861</v>
      </c>
    </row>
    <row r="4126" customFormat="false" ht="17.15" hidden="false" customHeight="false" outlineLevel="0" collapsed="false">
      <c r="A4126" s="0" t="s">
        <v>660</v>
      </c>
      <c r="B4126" s="0" t="s">
        <v>86</v>
      </c>
      <c r="C4126" s="38" t="n">
        <f aca="false">Sens!$C$4070</f>
        <v>38.1898211704631</v>
      </c>
      <c r="D4126" s="38" t="n">
        <f aca="false">Sens!$D$4070</f>
        <v>40.2147492622706</v>
      </c>
      <c r="E4126" s="38" t="n">
        <f aca="false">Sens!$E$4070</f>
        <v>28.3550887940039</v>
      </c>
      <c r="F4126" s="38" t="n">
        <f aca="false">Sens!$F$4070</f>
        <v>25.9529793149447</v>
      </c>
      <c r="G4126" s="38" t="n">
        <f aca="false">Sens!$G$4070</f>
        <v>54.3080681089486</v>
      </c>
      <c r="H4126" s="38" t="n">
        <f aca="false">Sens!$H$4070</f>
        <v>58.2264684589333</v>
      </c>
      <c r="I4126" s="38" t="n">
        <f aca="false">Sens!$I$4070</f>
        <v>64.6461353851744</v>
      </c>
      <c r="J4126" s="38" t="n">
        <f aca="false">Sens!$J$4070</f>
        <v>70.7957093610231</v>
      </c>
      <c r="K4126" s="38" t="n">
        <f aca="false">Sens!$K$4070</f>
        <v>76.4593661099049</v>
      </c>
      <c r="L4126" s="38" t="n">
        <f aca="false">Sens!$L$4070</f>
        <v>82.5761153986973</v>
      </c>
      <c r="M4126" s="38" t="n">
        <f aca="false">Sens!$M$4070</f>
        <v>89.1822046305931</v>
      </c>
      <c r="N4126" s="38" t="n">
        <f aca="false">Sens!$N$4070</f>
        <v>20.0277839996292</v>
      </c>
      <c r="O4126" s="38" t="n">
        <f aca="false">Sens!$O$4070</f>
        <v>20.1869652626414</v>
      </c>
    </row>
    <row r="4127" customFormat="false" ht="17.15" hidden="false" customHeight="false" outlineLevel="0" collapsed="false">
      <c r="A4127" s="1" t="s">
        <v>743</v>
      </c>
      <c r="B4127" s="8" t="s">
        <v>86</v>
      </c>
      <c r="C4127" s="38" t="n">
        <f aca="false">Q!$D$24</f>
        <v>39.834</v>
      </c>
      <c r="D4127" s="38" t="n">
        <f aca="false">Q!$E$24</f>
        <v>45.606</v>
      </c>
      <c r="E4127" s="38" t="n">
        <f aca="false">Q!$P$24</f>
        <v>30.782</v>
      </c>
      <c r="F4127" s="38" t="n">
        <f aca="false">Sens!$F$4125+Sens!$F$4126</f>
        <v>33.4744649458882</v>
      </c>
      <c r="G4127" s="38" t="n">
        <f aca="false">Sens!$G$4125+Sens!$G$4126</f>
        <v>64.2564649458882</v>
      </c>
      <c r="H4127" s="38" t="n">
        <f aca="false">Sens!$H$4125+Sens!$H$4126</f>
        <v>81.7069071580194</v>
      </c>
      <c r="I4127" s="38" t="n">
        <f aca="false">Sens!$I$4125+Sens!$I$4126</f>
        <v>95.6223099840887</v>
      </c>
      <c r="J4127" s="38" t="n">
        <f aca="false">Sens!$J$4125+Sens!$J$4126</f>
        <v>111.988716435721</v>
      </c>
      <c r="K4127" s="38" t="n">
        <f aca="false">Sens!$K$4125+Sens!$K$4126</f>
        <v>122.437287225848</v>
      </c>
      <c r="L4127" s="38" t="n">
        <f aca="false">Sens!$L$4125+Sens!$L$4126</f>
        <v>130.61136449064</v>
      </c>
      <c r="M4127" s="38" t="n">
        <f aca="false">Sens!$M$4125+Sens!$M$4126</f>
        <v>136.59050228792</v>
      </c>
      <c r="N4127" s="38" t="n">
        <f aca="false">Q!$N$24</f>
        <v>21.707</v>
      </c>
      <c r="O4127" s="38" t="n">
        <f aca="false">Q!$O$24</f>
        <v>23.899</v>
      </c>
    </row>
    <row r="4128" customFormat="false" ht="17.15" hidden="false" customHeight="false" outlineLevel="0" collapsed="false">
      <c r="A4128" s="5" t="s">
        <v>744</v>
      </c>
      <c r="B4128" s="0" t="s">
        <v>86</v>
      </c>
      <c r="C4128" s="38" t="n">
        <f aca="false">Q!$D$26</f>
        <v>0</v>
      </c>
      <c r="D4128" s="38" t="n">
        <f aca="false">Q!$E$26</f>
        <v>0</v>
      </c>
      <c r="E4128" s="38" t="n">
        <f aca="false">Q!$P$26</f>
        <v>0</v>
      </c>
      <c r="F4128" s="39" t="n">
        <v>0</v>
      </c>
      <c r="G4128" s="38" t="n">
        <f aca="false">Sens!$E$4128+Sens!$F$4128</f>
        <v>0</v>
      </c>
      <c r="H4128" s="39" t="n">
        <v>0</v>
      </c>
      <c r="I4128" s="39" t="n">
        <v>0</v>
      </c>
      <c r="J4128" s="39" t="n">
        <v>0</v>
      </c>
      <c r="K4128" s="39" t="n">
        <v>0</v>
      </c>
      <c r="L4128" s="39" t="n">
        <v>0</v>
      </c>
      <c r="M4128" s="39" t="n">
        <v>0</v>
      </c>
      <c r="N4128" s="38" t="n">
        <f aca="false">Q!$N$26</f>
        <v>0</v>
      </c>
      <c r="O4128" s="38" t="n">
        <f aca="false">Q!$O$26</f>
        <v>0</v>
      </c>
    </row>
    <row r="4129" customFormat="false" ht="15" hidden="false" customHeight="false" outlineLevel="0" collapsed="false">
      <c r="A4129" s="3" t="s">
        <v>541</v>
      </c>
      <c r="B4129" s="8" t="s">
        <v>86</v>
      </c>
      <c r="C4129" s="38" t="n">
        <f aca="false">Q!$D$25</f>
        <v>68.593</v>
      </c>
      <c r="D4129" s="38" t="n">
        <f aca="false">Q!$E$25</f>
        <v>79.975</v>
      </c>
      <c r="E4129" s="38" t="n">
        <f aca="false">Q!$P$25</f>
        <v>51.313</v>
      </c>
      <c r="F4129" s="38" t="n">
        <f aca="false">Sens!$F$4119+Sens!$F$4124+Sens!$F$4127+Sens!$F$4128</f>
        <v>56.4565909321366</v>
      </c>
      <c r="G4129" s="38" t="n">
        <f aca="false">Sens!$G$4119+Sens!$G$4124+Sens!$G$4127+Sens!$G$4128</f>
        <v>107.769590932137</v>
      </c>
      <c r="H4129" s="38" t="n">
        <f aca="false">Sens!$H$4119+Sens!$H$4124+Sens!$H$4127+Sens!$H$4128</f>
        <v>130.50705954178</v>
      </c>
      <c r="I4129" s="38" t="n">
        <f aca="false">Sens!$I$4119+Sens!$I$4124+Sens!$I$4127+Sens!$I$4128</f>
        <v>147.270547625134</v>
      </c>
      <c r="J4129" s="38" t="n">
        <f aca="false">Sens!$J$4119+Sens!$J$4124+Sens!$J$4127+Sens!$J$4128</f>
        <v>166.66289892163</v>
      </c>
      <c r="K4129" s="38" t="n">
        <f aca="false">Sens!$K$4119+Sens!$K$4124+Sens!$K$4127+Sens!$K$4128</f>
        <v>179.080335606367</v>
      </c>
      <c r="L4129" s="38" t="n">
        <f aca="false">Sens!$L$4119+Sens!$L$4124+Sens!$L$4127+Sens!$L$4128</f>
        <v>190.818878742434</v>
      </c>
      <c r="M4129" s="38" t="n">
        <f aca="false">Sens!$M$4119+Sens!$M$4124+Sens!$M$4127+Sens!$M$4128</f>
        <v>203.615726480596</v>
      </c>
      <c r="N4129" s="38" t="n">
        <f aca="false">Q!$N$25</f>
        <v>37.576</v>
      </c>
      <c r="O4129" s="38" t="n">
        <f aca="false">Q!$O$25</f>
        <v>42.399</v>
      </c>
    </row>
    <row r="4130" customFormat="false" ht="17.15" hidden="false" customHeight="false" outlineLevel="0" collapsed="false">
      <c r="A4130" s="24" t="s">
        <v>775</v>
      </c>
      <c r="B4130" s="25" t="s">
        <v>86</v>
      </c>
      <c r="C4130" s="41" t="n">
        <f aca="false">Sens!$C$4119+Sens!$C$4124+Sens!$C$4127+Sens!$C$4128-Sens!$C$4129</f>
        <v>0</v>
      </c>
      <c r="D4130" s="41" t="n">
        <f aca="false">Sens!$D$4119+Sens!$D$4124+Sens!$D$4127+Sens!$D$4128-Sens!$D$4129</f>
        <v>0</v>
      </c>
      <c r="E4130" s="41" t="n">
        <f aca="false">Sens!$E$4119+Sens!$E$4124+Sens!$E$4127+Sens!$E$4128-Sens!$E$4129</f>
        <v>0</v>
      </c>
      <c r="F4130" s="41" t="n">
        <f aca="false">Sens!$F$4119+Sens!$F$4124+Sens!$F$4127+Sens!$F$4128-Sens!$F$4129</f>
        <v>0</v>
      </c>
      <c r="G4130" s="41" t="n">
        <f aca="false">Sens!$G$4119+Sens!$G$4124+Sens!$G$4127+Sens!$G$4128-Sens!$G$4129</f>
        <v>0</v>
      </c>
      <c r="H4130" s="41" t="n">
        <f aca="false">Sens!$H$4119+Sens!$H$4124+Sens!$H$4127+Sens!$H$4128-Sens!$H$4129</f>
        <v>0</v>
      </c>
      <c r="I4130" s="41" t="n">
        <f aca="false">Sens!$I$4119+Sens!$I$4124+Sens!$I$4127+Sens!$I$4128-Sens!$I$4129</f>
        <v>0</v>
      </c>
      <c r="J4130" s="41" t="n">
        <f aca="false">Sens!$J$4119+Sens!$J$4124+Sens!$J$4127+Sens!$J$4128-Sens!$J$4129</f>
        <v>0</v>
      </c>
      <c r="K4130" s="41" t="n">
        <f aca="false">Sens!$K$4119+Sens!$K$4124+Sens!$K$4127+Sens!$K$4128-Sens!$K$4129</f>
        <v>0</v>
      </c>
      <c r="L4130" s="41" t="n">
        <f aca="false">Sens!$L$4119+Sens!$L$4124+Sens!$L$4127+Sens!$L$4128-Sens!$L$4129</f>
        <v>0</v>
      </c>
      <c r="M4130" s="41" t="n">
        <f aca="false">Sens!$M$4119+Sens!$M$4124+Sens!$M$4127+Sens!$M$4128-Sens!$M$4129</f>
        <v>0</v>
      </c>
      <c r="N4130" s="41" t="n">
        <f aca="false">Sens!$N$4119+Sens!$N$4124+Sens!$N$4127+Sens!$N$4128-Sens!$N$4129</f>
        <v>0</v>
      </c>
      <c r="O4130" s="41" t="n">
        <f aca="false">Sens!$O$4119+Sens!$O$4124+Sens!$O$4127+Sens!$O$4128-Sens!$O$4129</f>
        <v>0</v>
      </c>
    </row>
    <row r="4131" customFormat="false" ht="17.15" hidden="false" customHeight="false" outlineLevel="0" collapsed="false">
      <c r="A4131" s="5" t="s">
        <v>746</v>
      </c>
      <c r="B4131" s="0" t="s">
        <v>86</v>
      </c>
      <c r="C4131" s="38" t="n">
        <f aca="false">Sens!$C$4067</f>
        <v>0</v>
      </c>
      <c r="D4131" s="38" t="n">
        <f aca="false">Sens!$D$4067</f>
        <v>0</v>
      </c>
      <c r="E4131" s="38" t="n">
        <f aca="false">Sens!$E$4067</f>
        <v>0</v>
      </c>
      <c r="F4131" s="38" t="n">
        <f aca="false">Sens!$F$4067</f>
        <v>3.77122048175818</v>
      </c>
      <c r="G4131" s="38" t="n">
        <f aca="false">Sens!$G$4067</f>
        <v>3.77122048175818</v>
      </c>
      <c r="H4131" s="38" t="n">
        <f aca="false">Sens!$H$4067</f>
        <v>15.1635543609893</v>
      </c>
      <c r="I4131" s="38" t="n">
        <f aca="false">Sens!$I$4067</f>
        <v>25.5818843619889</v>
      </c>
      <c r="J4131" s="38" t="n">
        <f aca="false">Sens!$J$4067</f>
        <v>36.0465624179122</v>
      </c>
      <c r="K4131" s="38" t="n">
        <f aca="false">Sens!$K$4067</f>
        <v>44.9741164026038</v>
      </c>
      <c r="L4131" s="38" t="n">
        <f aca="false">Sens!$L$4067</f>
        <v>50.8413488057813</v>
      </c>
      <c r="M4131" s="38" t="n">
        <f aca="false">Sens!$M$4067</f>
        <v>53.6407214274315</v>
      </c>
      <c r="N4131" s="38" t="n">
        <f aca="false">Sens!$N$4067</f>
        <v>0</v>
      </c>
      <c r="O4131" s="38" t="n">
        <f aca="false">Sens!$O$4067</f>
        <v>0</v>
      </c>
      <c r="P4131" s="5" t="s">
        <v>747</v>
      </c>
    </row>
    <row r="4132" customFormat="false" ht="17.15" hidden="false" customHeight="false" outlineLevel="0" collapsed="false">
      <c r="A4132" s="5" t="s">
        <v>748</v>
      </c>
      <c r="B4132" s="0" t="s">
        <v>86</v>
      </c>
      <c r="C4132" s="38" t="n">
        <f aca="false">Sens!$C$4129+Sens!$C$4131</f>
        <v>68.593</v>
      </c>
      <c r="D4132" s="38" t="n">
        <f aca="false">Sens!$D$4129+Sens!$D$4131</f>
        <v>79.975</v>
      </c>
      <c r="E4132" s="38" t="n">
        <f aca="false">Sens!$E$4129+Sens!$E$4131</f>
        <v>51.313</v>
      </c>
      <c r="F4132" s="38" t="n">
        <f aca="false">Sens!$F$4129+Sens!$F$4131</f>
        <v>60.2278114138947</v>
      </c>
      <c r="G4132" s="38" t="n">
        <f aca="false">Sens!$G$4129+Sens!$G$4131</f>
        <v>111.540811413895</v>
      </c>
      <c r="H4132" s="38" t="n">
        <f aca="false">Sens!$H$4129+Sens!$H$4131</f>
        <v>145.670613902769</v>
      </c>
      <c r="I4132" s="38" t="n">
        <f aca="false">Sens!$I$4129+Sens!$I$4131</f>
        <v>172.852431987123</v>
      </c>
      <c r="J4132" s="38" t="n">
        <f aca="false">Sens!$J$4129+Sens!$J$4131</f>
        <v>202.709461339542</v>
      </c>
      <c r="K4132" s="38" t="n">
        <f aca="false">Sens!$K$4129+Sens!$K$4131</f>
        <v>224.054452008971</v>
      </c>
      <c r="L4132" s="38" t="n">
        <f aca="false">Sens!$L$4129+Sens!$L$4131</f>
        <v>241.660227548215</v>
      </c>
      <c r="M4132" s="38" t="n">
        <f aca="false">Sens!$M$4129+Sens!$M$4131</f>
        <v>257.256447908028</v>
      </c>
      <c r="N4132" s="38" t="n">
        <f aca="false">Sens!$N$4129+Sens!$N$4131</f>
        <v>37.576</v>
      </c>
      <c r="O4132" s="38" t="n">
        <f aca="false">Sens!$O$4129+Sens!$O$4131</f>
        <v>42.399</v>
      </c>
    </row>
    <row r="4133" customFormat="false" ht="17.15" hidden="false" customHeight="false" outlineLevel="0" collapsed="false">
      <c r="A4133" s="0" t="s">
        <v>749</v>
      </c>
      <c r="B4133" s="0" t="s">
        <v>52</v>
      </c>
      <c r="C4133" s="13" t="n">
        <f aca="false">Sens!$C$4119/Sens!$C$4104</f>
        <v>0.0644314665661928</v>
      </c>
      <c r="D4133" s="13" t="n">
        <f aca="false">Sens!$D$4119/Sens!$D$4104</f>
        <v>0.0694784250712518</v>
      </c>
      <c r="E4133" s="13" t="n">
        <f aca="false">Sens!$E$4119/Sens!$E$4104</f>
        <v>0.0789306463326071</v>
      </c>
      <c r="F4133" s="13" t="n">
        <f aca="false">Sens!$F$4119/Sens!$F$4104</f>
        <v>0.0805143004486646</v>
      </c>
      <c r="G4133" s="13" t="n">
        <f aca="false">Sens!$G$4119/Sens!$G$4104</f>
        <v>0.0797734501797102</v>
      </c>
      <c r="H4133" s="13" t="n">
        <f aca="false">Sens!$H$4119/Sens!$H$4104</f>
        <v>0.0811996232545999</v>
      </c>
      <c r="I4133" s="13" t="n">
        <f aca="false">Sens!$I$4119/Sens!$I$4104</f>
        <v>0.0795859676178277</v>
      </c>
      <c r="J4133" s="13" t="n">
        <f aca="false">Sens!$J$4119/Sens!$J$4104</f>
        <v>0.0789045511014361</v>
      </c>
      <c r="K4133" s="13" t="n">
        <f aca="false">Sens!$K$4119/Sens!$K$4104</f>
        <v>0.0777817051861738</v>
      </c>
      <c r="L4133" s="13" t="n">
        <f aca="false">Sens!$L$4119/Sens!$L$4104</f>
        <v>0.0775632865549747</v>
      </c>
      <c r="M4133" s="13" t="n">
        <f aca="false">Sens!$M$4119/Sens!$M$4104</f>
        <v>0.0802702774685295</v>
      </c>
      <c r="N4133" s="13" t="n">
        <f aca="false">Sens!$N$4119/Sens!$N$4104</f>
        <v>0.069228576611127</v>
      </c>
      <c r="O4133" s="13" t="n">
        <f aca="false">Sens!$O$4119/Sens!$O$4104</f>
        <v>0.069685022498393</v>
      </c>
    </row>
    <row r="4134" customFormat="false" ht="17.15" hidden="false" customHeight="false" outlineLevel="0" collapsed="false">
      <c r="A4134" s="0" t="s">
        <v>750</v>
      </c>
      <c r="B4134" s="0" t="s">
        <v>52</v>
      </c>
      <c r="C4134" s="13" t="n">
        <f aca="false">Sens!$C$4124/Sens!$C$4105</f>
        <v>0.026534925055631</v>
      </c>
      <c r="D4134" s="13" t="n">
        <f aca="false">Sens!$D$4124/Sens!$D$4105</f>
        <v>0.0293401855535103</v>
      </c>
      <c r="E4134" s="13" t="n">
        <f aca="false">Sens!$E$4124/Sens!$E$4105</f>
        <v>0.03831141902276</v>
      </c>
      <c r="F4134" s="13" t="n">
        <f aca="false">Sens!$F$4124/Sens!$F$4105</f>
        <v>0.0284735654572988</v>
      </c>
      <c r="G4134" s="13" t="n">
        <f aca="false">Sens!$G$4124/Sens!$G$4105</f>
        <v>0.0329446907119844</v>
      </c>
      <c r="H4134" s="13" t="n">
        <f aca="false">Sens!$H$4124/Sens!$H$4105</f>
        <v>0.0323655723680445</v>
      </c>
      <c r="I4134" s="13" t="n">
        <f aca="false">Sens!$I$4124/Sens!$I$4105</f>
        <v>0.0287234538003003</v>
      </c>
      <c r="J4134" s="13" t="n">
        <f aca="false">Sens!$J$4124/Sens!$J$4105</f>
        <v>0.025950602938721</v>
      </c>
      <c r="K4134" s="13" t="n">
        <f aca="false">Sens!$K$4124/Sens!$K$4105</f>
        <v>0.0226316902222548</v>
      </c>
      <c r="L4134" s="13" t="n">
        <f aca="false">Sens!$L$4124/Sens!$L$4105</f>
        <v>0.0227593926118144</v>
      </c>
      <c r="M4134" s="13" t="n">
        <f aca="false">Sens!$M$4124/Sens!$M$4105</f>
        <v>0.025820510993689</v>
      </c>
      <c r="N4134" s="13" t="n">
        <f aca="false">Sens!$N$4124/Sens!$N$4105</f>
        <v>0.0357315650169337</v>
      </c>
      <c r="O4134" s="13" t="n">
        <f aca="false">Sens!$O$4124/Sens!$O$4105</f>
        <v>0.0244378956559703</v>
      </c>
    </row>
    <row r="4135" customFormat="false" ht="17.15" hidden="false" customHeight="false" outlineLevel="0" collapsed="false">
      <c r="A4135" s="14" t="s">
        <v>751</v>
      </c>
      <c r="B4135" s="14" t="s">
        <v>52</v>
      </c>
      <c r="C4135" s="17" t="n">
        <f aca="false">Sens!$C$4127/Sens!$C$4106</f>
        <v>0.370355907620217</v>
      </c>
      <c r="D4135" s="17" t="n">
        <f aca="false">Sens!$D$4127/Sens!$D$4106</f>
        <v>0.35429015342785</v>
      </c>
      <c r="E4135" s="17" t="n">
        <f aca="false">Sens!$E$4127/Sens!$E$4106</f>
        <v>0.385647527531039</v>
      </c>
      <c r="F4135" s="17" t="n">
        <f aca="false">Sens!$F$4127/Sens!$F$4106</f>
        <v>0.385949613469105</v>
      </c>
      <c r="G4135" s="17" t="n">
        <f aca="false">Sens!$G$4127/Sens!$G$4106</f>
        <v>0.385804840448779</v>
      </c>
      <c r="H4135" s="17" t="n">
        <f aca="false">Sens!$H$4127/Sens!$H$4106</f>
        <v>0.369408675360557</v>
      </c>
      <c r="I4135" s="17" t="n">
        <f aca="false">Sens!$I$4127/Sens!$I$4106</f>
        <v>0.34117504540738</v>
      </c>
      <c r="J4135" s="17" t="n">
        <f aca="false">Sens!$J$4127/Sens!$J$4106</f>
        <v>0.330544285732563</v>
      </c>
      <c r="K4135" s="17" t="n">
        <f aca="false">Sens!$K$4127/Sens!$K$4106</f>
        <v>0.314033796990635</v>
      </c>
      <c r="L4135" s="17" t="n">
        <f aca="false">Sens!$L$4127/Sens!$L$4106</f>
        <v>0.303690371867633</v>
      </c>
      <c r="M4135" s="17" t="n">
        <f aca="false">Sens!$M$4127/Sens!$M$4106</f>
        <v>0.297287296590884</v>
      </c>
      <c r="N4135" s="17" t="n">
        <f aca="false">Sens!$N$4127/Sens!$N$4106</f>
        <v>0.360941137346192</v>
      </c>
      <c r="O4135" s="17" t="n">
        <f aca="false">Sens!$O$4127/Sens!$O$4106</f>
        <v>0.348458117664212</v>
      </c>
    </row>
    <row r="4136" customFormat="false" ht="17.15" hidden="false" customHeight="false" outlineLevel="0" collapsed="false">
      <c r="A4136" s="0" t="s">
        <v>752</v>
      </c>
      <c r="B4136" s="0" t="s">
        <v>52</v>
      </c>
      <c r="C4136" s="13" t="n">
        <f aca="false">Sens!$C$4125/Sens!$C$4107</f>
        <v>0.708390794789371</v>
      </c>
      <c r="D4136" s="13" t="n">
        <f aca="false">Sens!$D$4125/Sens!$D$4107</f>
        <v>0.619415573115729</v>
      </c>
      <c r="E4136" s="13" t="n">
        <f aca="false">Sens!$E$4125/Sens!$E$4107</f>
        <v>0.285171627189009</v>
      </c>
      <c r="F4136" s="13" t="n">
        <f aca="false">Sens!$F$4125/Sens!$F$4107</f>
        <v>0.502657732812366</v>
      </c>
      <c r="G4136" s="13" t="n">
        <f aca="false">Sens!$G$4125/Sens!$G$4107</f>
        <v>0.423808778611812</v>
      </c>
      <c r="H4136" s="13" t="n">
        <f aca="false">Sens!$H$4125/Sens!$H$4107</f>
        <v>0.390261631739809</v>
      </c>
      <c r="I4136" s="13" t="n">
        <f aca="false">Sens!$I$4125/Sens!$I$4107</f>
        <v>0.305172864264572</v>
      </c>
      <c r="J4136" s="13" t="n">
        <f aca="false">Sens!$J$4125/Sens!$J$4107</f>
        <v>0.288011814789856</v>
      </c>
      <c r="K4136" s="13" t="n">
        <f aca="false">Sens!$K$4125/Sens!$K$4107</f>
        <v>0.25765427518774</v>
      </c>
      <c r="L4136" s="13" t="n">
        <f aca="false">Sens!$L$4125/Sens!$L$4107</f>
        <v>0.238118778012374</v>
      </c>
      <c r="M4136" s="13" t="n">
        <f aca="false">Sens!$M$4125/Sens!$M$4107</f>
        <v>0.222746255757109</v>
      </c>
      <c r="N4136" s="13" t="n">
        <f aca="false">Sens!$N$4125/Sens!$N$4107</f>
        <v>0.551227795793364</v>
      </c>
      <c r="O4136" s="13" t="n">
        <f aca="false">Sens!$O$4125/Sens!$O$4107</f>
        <v>0.656132068597002</v>
      </c>
    </row>
    <row r="4137" customFormat="false" ht="15" hidden="false" customHeight="false" outlineLevel="0" collapsed="false">
      <c r="A4137" s="5" t="s">
        <v>753</v>
      </c>
      <c r="B4137" s="0" t="s">
        <v>52</v>
      </c>
      <c r="C4137" s="13" t="n">
        <f aca="false">Sens!$C$4129/Sens!$C$4109</f>
        <v>0.107519448742004</v>
      </c>
      <c r="D4137" s="13" t="n">
        <f aca="false">Sens!$D$4129/Sens!$D$4109</f>
        <v>0.111552967957552</v>
      </c>
      <c r="E4137" s="13" t="n">
        <f aca="false">Sens!$E$4129/Sens!$E$4109</f>
        <v>0.13428328426562</v>
      </c>
      <c r="F4137" s="13" t="n">
        <f aca="false">Sens!$F$4129/Sens!$F$4109</f>
        <v>0.12955267476096</v>
      </c>
      <c r="G4137" s="13" t="n">
        <f aca="false">Sens!$G$4129/Sens!$G$4109</f>
        <v>0.131762811637367</v>
      </c>
      <c r="H4137" s="13" t="n">
        <f aca="false">Sens!$H$4129/Sens!$H$4109</f>
        <v>0.138501378888389</v>
      </c>
      <c r="I4137" s="13" t="n">
        <f aca="false">Sens!$I$4129/Sens!$I$4109</f>
        <v>0.137790189885119</v>
      </c>
      <c r="J4137" s="13" t="n">
        <f aca="false">Sens!$J$4129/Sens!$J$4109</f>
        <v>0.14006352567123</v>
      </c>
      <c r="K4137" s="13" t="n">
        <f aca="false">Sens!$K$4129/Sens!$K$4109</f>
        <v>0.138172644461876</v>
      </c>
      <c r="L4137" s="13" t="n">
        <f aca="false">Sens!$L$4129/Sens!$L$4109</f>
        <v>0.136770687142623</v>
      </c>
      <c r="M4137" s="13" t="n">
        <f aca="false">Sens!$M$4129/Sens!$M$4109</f>
        <v>0.136874939019039</v>
      </c>
      <c r="N4137" s="13" t="n">
        <f aca="false">Sens!$N$4129/Sens!$N$4109</f>
        <v>0.116201614873411</v>
      </c>
      <c r="O4137" s="13" t="n">
        <f aca="false">Sens!$O$4129/Sens!$O$4109</f>
        <v>0.107733353660861</v>
      </c>
    </row>
    <row r="4138" customFormat="false" ht="17.15" hidden="false" customHeight="false" outlineLevel="0" collapsed="false">
      <c r="A4138" s="1" t="s">
        <v>754</v>
      </c>
    </row>
    <row r="4139" customFormat="false" ht="17.15" hidden="false" customHeight="false" outlineLevel="0" collapsed="false">
      <c r="A4139" s="5" t="s">
        <v>755</v>
      </c>
      <c r="B4139" s="0" t="s">
        <v>52</v>
      </c>
      <c r="D4139" s="28" t="n">
        <f aca="false">(Q!$E$29+Q!$E$30-(1-ext_sh)*Sens!$D$4061)/Sens!$D$4012</f>
        <v>0.0341105596409988</v>
      </c>
    </row>
    <row r="4140" customFormat="false" ht="17.15" hidden="false" customHeight="false" outlineLevel="0" collapsed="false">
      <c r="A4140" s="0" t="s">
        <v>545</v>
      </c>
      <c r="B4140" s="0" t="s">
        <v>86</v>
      </c>
      <c r="C4140" s="38" t="n">
        <f aca="false">Q!$D$29</f>
        <v>14.285</v>
      </c>
      <c r="D4140" s="38" t="n">
        <f aca="false">Q!$E$29</f>
        <v>15.503</v>
      </c>
      <c r="E4140" s="38" t="n">
        <f aca="false">Q!$P$29</f>
        <v>8.78</v>
      </c>
      <c r="F4140" s="38" t="n">
        <f aca="false">(Sens!$D$4139*Sens!$F$4012+(1-ext_sh)*Sens!$F$4061)*Sens!$F$4013</f>
        <v>9.30317620449232</v>
      </c>
      <c r="G4140" s="38" t="n">
        <f aca="false">Sens!$E$4140+Sens!$F$4140</f>
        <v>18.0831762044923</v>
      </c>
      <c r="H4140" s="38" t="n">
        <f aca="false">(Sens!$D$4139*Sens!$H$4012+(1-ext_sh)*Sens!$H$4061)*Sens!$H$4013</f>
        <v>22.1297245338482</v>
      </c>
      <c r="I4140" s="38" t="n">
        <f aca="false">(Sens!$D$4139*Sens!$I$4012+(1-ext_sh)*Sens!$I$4061)*Sens!$I$4013</f>
        <v>28.409695984391</v>
      </c>
      <c r="J4140" s="38" t="n">
        <f aca="false">(Sens!$D$4139*Sens!$J$4012+(1-ext_sh)*Sens!$J$4061)*Sens!$J$4013</f>
        <v>34.1085606174579</v>
      </c>
      <c r="K4140" s="38" t="n">
        <f aca="false">(Sens!$D$4139*Sens!$K$4012+(1-ext_sh)*Sens!$K$4061)*Sens!$K$4013</f>
        <v>39.7218983009068</v>
      </c>
      <c r="L4140" s="38" t="n">
        <f aca="false">(Sens!$D$4139*Sens!$L$4012+(1-ext_sh)*Sens!$L$4061)*Sens!$L$4013</f>
        <v>44.1680279486684</v>
      </c>
      <c r="M4140" s="38" t="n">
        <f aca="false">(Sens!$D$4139*Sens!$M$4012+(1-ext_sh)*Sens!$M$4061)*Sens!$M$4013</f>
        <v>47.4413073313286</v>
      </c>
      <c r="N4140" s="38" t="n">
        <f aca="false">Q!$N$29</f>
        <v>7.272</v>
      </c>
      <c r="O4140" s="38" t="n">
        <f aca="false">Q!$O$29</f>
        <v>8.231</v>
      </c>
    </row>
    <row r="4141" customFormat="false" ht="17.15" hidden="false" customHeight="false" outlineLevel="0" collapsed="false">
      <c r="A4141" s="0" t="s">
        <v>547</v>
      </c>
      <c r="B4141" s="0" t="s">
        <v>86</v>
      </c>
      <c r="C4141" s="38" t="n">
        <f aca="false">Q!$D$30</f>
        <v>4.462</v>
      </c>
      <c r="D4141" s="38" t="n">
        <f aca="false">Q!$E$30</f>
        <v>4.907</v>
      </c>
      <c r="E4141" s="38" t="n">
        <f aca="false">Q!$P$30</f>
        <v>2.57</v>
      </c>
      <c r="F4141" s="38" t="n">
        <f aca="false">(Sens!$D$4139*Sens!$F$4012+(1-ext_sh)*Sens!$F$4061)*(1-Sens!$F$4013)</f>
        <v>3.6526976809753</v>
      </c>
      <c r="G4141" s="38" t="n">
        <f aca="false">Sens!$E$4141+Sens!$F$4141</f>
        <v>6.2226976809753</v>
      </c>
      <c r="H4141" s="38" t="n">
        <f aca="false">(Sens!$D$4139*Sens!$H$4012+(1-ext_sh)*Sens!$H$4061)*(1-Sens!$H$4013)</f>
        <v>8.4764774248495</v>
      </c>
      <c r="I4141" s="38" t="n">
        <f aca="false">(Sens!$D$4139*Sens!$I$4012+(1-ext_sh)*Sens!$I$4061)*(1-Sens!$I$4013)</f>
        <v>10.881931507561</v>
      </c>
      <c r="J4141" s="38" t="n">
        <f aca="false">(Sens!$D$4139*Sens!$J$4012+(1-ext_sh)*Sens!$J$4061)*(1-Sens!$J$4013)</f>
        <v>13.0648008575874</v>
      </c>
      <c r="K4141" s="38" t="n">
        <f aca="false">(Sens!$D$4139*Sens!$K$4012+(1-ext_sh)*Sens!$K$4061)*(1-Sens!$K$4013)</f>
        <v>15.2149103214008</v>
      </c>
      <c r="L4141" s="38" t="n">
        <f aca="false">(Sens!$D$4139*Sens!$L$4012+(1-ext_sh)*Sens!$L$4061)*(1-Sens!$L$4013)</f>
        <v>16.9179372854085</v>
      </c>
      <c r="M4141" s="38" t="n">
        <f aca="false">(Sens!$D$4139*Sens!$M$4012+(1-ext_sh)*Sens!$M$4061)*(1-Sens!$M$4013)</f>
        <v>18.1717205735785</v>
      </c>
      <c r="N4141" s="38" t="n">
        <f aca="false">Q!$N$30</f>
        <v>2.316</v>
      </c>
      <c r="O4141" s="38" t="n">
        <f aca="false">Q!$O$30</f>
        <v>2.591</v>
      </c>
    </row>
    <row r="4142" customFormat="false" ht="17.15" hidden="false" customHeight="false" outlineLevel="0" collapsed="false">
      <c r="A4142" s="0" t="s">
        <v>548</v>
      </c>
      <c r="B4142" s="0" t="s">
        <v>86</v>
      </c>
      <c r="C4142" s="38" t="n">
        <f aca="false">Sens!$C$4073</f>
        <v>13.32</v>
      </c>
      <c r="D4142" s="38" t="n">
        <f aca="false">Sens!$D$4073</f>
        <v>21.45</v>
      </c>
      <c r="E4142" s="38" t="n">
        <f aca="false">Sens!$E$4073</f>
        <v>15.353</v>
      </c>
      <c r="F4142" s="38" t="n">
        <f aca="false">Sens!$F$4073</f>
        <v>16.1969869840094</v>
      </c>
      <c r="G4142" s="38" t="n">
        <f aca="false">Sens!$G$4073</f>
        <v>31.5499869840094</v>
      </c>
      <c r="H4142" s="38" t="n">
        <f aca="false">Sens!$H$4073</f>
        <v>50.9556213609176</v>
      </c>
      <c r="I4142" s="38" t="n">
        <f aca="false">Sens!$I$4073</f>
        <v>79.464581248252</v>
      </c>
      <c r="J4142" s="38" t="n">
        <f aca="false">Sens!$J$4073</f>
        <v>105.296127931746</v>
      </c>
      <c r="K4142" s="38" t="n">
        <f aca="false">Sens!$K$4073</f>
        <v>131.454694001511</v>
      </c>
      <c r="L4142" s="38" t="n">
        <f aca="false">Sens!$L$4073</f>
        <v>150.840456981405</v>
      </c>
      <c r="M4142" s="38" t="n">
        <f aca="false">Sens!$M$4073</f>
        <v>163.399454192999</v>
      </c>
      <c r="N4142" s="38" t="n">
        <f aca="false">Sens!$N$4073</f>
        <v>9.234</v>
      </c>
      <c r="O4142" s="38" t="n">
        <f aca="false">Sens!$O$4073</f>
        <v>12.216</v>
      </c>
    </row>
    <row r="4143" customFormat="false" ht="17.15" hidden="false" customHeight="false" outlineLevel="0" collapsed="false">
      <c r="A4143" s="5" t="s">
        <v>756</v>
      </c>
      <c r="B4143" s="0" t="s">
        <v>86</v>
      </c>
      <c r="C4143" s="38" t="n">
        <f aca="false">Sens!$C$4140+Sens!$C$4141+Sens!$C$4142</f>
        <v>32.067</v>
      </c>
      <c r="D4143" s="38" t="n">
        <f aca="false">Sens!$D$4140+Sens!$D$4141+Sens!$D$4142</f>
        <v>41.86</v>
      </c>
      <c r="E4143" s="38" t="n">
        <f aca="false">Sens!$E$4140+Sens!$E$4141+Sens!$E$4142</f>
        <v>26.703</v>
      </c>
      <c r="F4143" s="38" t="n">
        <f aca="false">Sens!$F$4140+Sens!$F$4141+Sens!$F$4142</f>
        <v>29.152860869477</v>
      </c>
      <c r="G4143" s="38" t="n">
        <f aca="false">Sens!$G$4140+Sens!$G$4141+Sens!$G$4142</f>
        <v>55.855860869477</v>
      </c>
      <c r="H4143" s="38" t="n">
        <f aca="false">Sens!$H$4140+Sens!$H$4141+Sens!$H$4142</f>
        <v>81.5618233196153</v>
      </c>
      <c r="I4143" s="38" t="n">
        <f aca="false">Sens!$I$4140+Sens!$I$4141+Sens!$I$4142</f>
        <v>118.756208740204</v>
      </c>
      <c r="J4143" s="38" t="n">
        <f aca="false">Sens!$J$4140+Sens!$J$4141+Sens!$J$4142</f>
        <v>152.469489406791</v>
      </c>
      <c r="K4143" s="38" t="n">
        <f aca="false">Sens!$K$4140+Sens!$K$4141+Sens!$K$4142</f>
        <v>186.391502623819</v>
      </c>
      <c r="L4143" s="38" t="n">
        <f aca="false">Sens!$L$4140+Sens!$L$4141+Sens!$L$4142</f>
        <v>211.926422215482</v>
      </c>
      <c r="M4143" s="38" t="n">
        <f aca="false">Sens!$M$4140+Sens!$M$4141+Sens!$M$4142</f>
        <v>229.012482097906</v>
      </c>
      <c r="N4143" s="38" t="n">
        <f aca="false">Sens!$N$4140+Sens!$N$4141+Sens!$N$4142</f>
        <v>18.822</v>
      </c>
      <c r="O4143" s="38" t="n">
        <f aca="false">Sens!$O$4140+Sens!$O$4141+Sens!$O$4142</f>
        <v>23.038</v>
      </c>
    </row>
    <row r="4144" customFormat="false" ht="17.15" hidden="false" customHeight="false" outlineLevel="0" collapsed="false">
      <c r="A4144" s="0" t="s">
        <v>757</v>
      </c>
      <c r="B4144" s="0" t="s">
        <v>86</v>
      </c>
      <c r="C4144" s="38" t="n">
        <f aca="false">Sens!$C$4115+Sens!$C$4120</f>
        <v>33.7284</v>
      </c>
      <c r="D4144" s="38" t="n">
        <f aca="false">Sens!$D$4115+Sens!$D$4120</f>
        <v>41.181</v>
      </c>
      <c r="E4144" s="38" t="n">
        <f aca="false">Sens!$E$4115+Sens!$E$4120</f>
        <v>22.2312</v>
      </c>
      <c r="F4144" s="38" t="n">
        <f aca="false">Sens!$F$4115+Sens!$F$4120</f>
        <v>27.6943331966489</v>
      </c>
      <c r="G4144" s="38" t="n">
        <f aca="false">Sens!$G$4115+Sens!$G$4120</f>
        <v>49.9255331966489</v>
      </c>
      <c r="H4144" s="38" t="n">
        <f aca="false">Sens!$H$4115+Sens!$H$4120</f>
        <v>59.9381534327385</v>
      </c>
      <c r="I4144" s="38" t="n">
        <f aca="false">Sens!$I$4115+Sens!$I$4120</f>
        <v>69.9498666572977</v>
      </c>
      <c r="J4144" s="38" t="n">
        <f aca="false">Sens!$J$4115+Sens!$J$4120</f>
        <v>79.2893651651711</v>
      </c>
      <c r="K4144" s="38" t="n">
        <f aca="false">Sens!$K$4115+Sens!$K$4120</f>
        <v>87.2183016816882</v>
      </c>
      <c r="L4144" s="38" t="n">
        <f aca="false">Sens!$L$4115+Sens!$L$4120</f>
        <v>95.940131849857</v>
      </c>
      <c r="M4144" s="38" t="n">
        <f aca="false">Sens!$M$4115+Sens!$M$4120</f>
        <v>105.534145034843</v>
      </c>
      <c r="N4144" s="38" t="n">
        <f aca="false">Sens!$N$4115+Sens!$N$4120</f>
        <v>17.769</v>
      </c>
      <c r="O4144" s="38" t="n">
        <f aca="false">Sens!$O$4115+Sens!$O$4120</f>
        <v>23.412</v>
      </c>
    </row>
    <row r="4145" customFormat="false" ht="17.15" hidden="false" customHeight="false" outlineLevel="0" collapsed="false">
      <c r="A4145" s="0" t="s">
        <v>758</v>
      </c>
      <c r="B4145" s="0" t="s">
        <v>86</v>
      </c>
      <c r="C4145" s="38" t="n">
        <f aca="false">Sens!$C$4119+Sens!$C$4124+Sens!$C$4140+Sens!$C$4141-Sens!$C$4144</f>
        <v>13.7776</v>
      </c>
      <c r="D4145" s="38" t="n">
        <f aca="false">Sens!$D$4119+Sens!$D$4124+Sens!$D$4140+Sens!$D$4141-Sens!$D$4144</f>
        <v>13.598</v>
      </c>
      <c r="E4145" s="38" t="n">
        <f aca="false">Sens!$E$4119+Sens!$E$4124+Sens!$E$4140+Sens!$E$4141-Sens!$E$4144</f>
        <v>9.6498</v>
      </c>
      <c r="F4145" s="38" t="n">
        <f aca="false">Sens!$F$4119+Sens!$F$4124+Sens!$F$4140+Sens!$F$4141-Sens!$F$4144</f>
        <v>8.24366667506715</v>
      </c>
      <c r="G4145" s="38" t="n">
        <f aca="false">Sens!$G$4119+Sens!$G$4124+Sens!$G$4140+Sens!$G$4141-Sens!$G$4144</f>
        <v>17.8934666750672</v>
      </c>
      <c r="H4145" s="38" t="n">
        <f aca="false">Sens!$H$4119+Sens!$H$4124+Sens!$H$4140+Sens!$H$4141-Sens!$H$4144</f>
        <v>19.4682009097197</v>
      </c>
      <c r="I4145" s="38" t="n">
        <f aca="false">Sens!$I$4119+Sens!$I$4124+Sens!$I$4140+Sens!$I$4141-Sens!$I$4144</f>
        <v>20.9899984756996</v>
      </c>
      <c r="J4145" s="38" t="n">
        <f aca="false">Sens!$J$4119+Sens!$J$4124+Sens!$J$4140+Sens!$J$4141-Sens!$J$4144</f>
        <v>22.5581787957831</v>
      </c>
      <c r="K4145" s="38" t="n">
        <f aca="false">Sens!$K$4119+Sens!$K$4124+Sens!$K$4140+Sens!$K$4141-Sens!$K$4144</f>
        <v>24.3615553211387</v>
      </c>
      <c r="L4145" s="38" t="n">
        <f aca="false">Sens!$L$4119+Sens!$L$4124+Sens!$L$4140+Sens!$L$4141-Sens!$L$4144</f>
        <v>25.353347636014</v>
      </c>
      <c r="M4145" s="38" t="n">
        <f aca="false">Sens!$M$4119+Sens!$M$4124+Sens!$M$4140+Sens!$M$4141-Sens!$M$4144</f>
        <v>27.1041070627411</v>
      </c>
      <c r="N4145" s="38" t="n">
        <f aca="false">Sens!$N$4119+Sens!$N$4124+Sens!$N$4140+Sens!$N$4141-Sens!$N$4144</f>
        <v>7.688</v>
      </c>
      <c r="O4145" s="38" t="n">
        <f aca="false">Sens!$O$4119+Sens!$O$4124+Sens!$O$4140+Sens!$O$4141-Sens!$O$4144</f>
        <v>5.91000000000001</v>
      </c>
    </row>
    <row r="4146" customFormat="false" ht="17.15" hidden="false" customHeight="false" outlineLevel="0" collapsed="false">
      <c r="A4146" s="0" t="s">
        <v>759</v>
      </c>
      <c r="B4146" s="0" t="s">
        <v>86</v>
      </c>
      <c r="C4146" s="38" t="n">
        <f aca="false">Sens!$C$4126+Sens!$C$4142-ext_sh*Sens!$C$4061</f>
        <v>51.3470500115664</v>
      </c>
      <c r="D4146" s="38" t="n">
        <f aca="false">Sens!$D$4126+Sens!$D$4142-ext_sh*Sens!$D$4061</f>
        <v>60.2799375433739</v>
      </c>
      <c r="E4146" s="38" t="n">
        <f aca="false">Sens!$E$4126+Sens!$E$4142-ext_sh*Sens!$E$4061</f>
        <v>39.5095167090767</v>
      </c>
      <c r="F4146" s="38" t="n">
        <f aca="false">Sens!$F$4126+Sens!$F$4142-ext_sh*Sens!$F$4061</f>
        <v>37.951394214027</v>
      </c>
      <c r="G4146" s="38" t="n">
        <f aca="false">Sens!$G$4126+Sens!$G$4142-ext_sh*Sens!$G$4061</f>
        <v>77.4609109231037</v>
      </c>
      <c r="H4146" s="38" t="n">
        <f aca="false">Sens!$H$4126+Sens!$H$4142-ext_sh*Sens!$H$4061</f>
        <v>85.1453558128916</v>
      </c>
      <c r="I4146" s="38" t="n">
        <f aca="false">Sens!$I$4126+Sens!$I$4142-ext_sh*Sens!$I$4061</f>
        <v>94.532921967974</v>
      </c>
      <c r="J4146" s="38" t="n">
        <f aca="false">Sens!$J$4126+Sens!$J$4142-ext_sh*Sens!$J$4061</f>
        <v>103.525527532583</v>
      </c>
      <c r="K4146" s="38" t="n">
        <f aca="false">Sens!$K$4126+Sens!$K$4142-ext_sh*Sens!$K$4061</f>
        <v>111.80756973519</v>
      </c>
      <c r="L4146" s="38" t="n">
        <f aca="false">Sens!$L$4126+Sens!$L$4142-ext_sh*Sens!$L$4061</f>
        <v>120.752175314005</v>
      </c>
      <c r="M4146" s="38" t="n">
        <f aca="false">Sens!$M$4126+Sens!$M$4142-ext_sh*Sens!$M$4061</f>
        <v>130.412349339125</v>
      </c>
      <c r="N4146" s="38" t="n">
        <f aca="false">Sens!$N$4126+Sens!$N$4142-ext_sh*Sens!$N$4061</f>
        <v>28.5693781401809</v>
      </c>
      <c r="O4146" s="38" t="n">
        <f aca="false">Sens!$O$4126+Sens!$O$4142-ext_sh*Sens!$O$4061</f>
        <v>31.7105594031931</v>
      </c>
    </row>
    <row r="4147" customFormat="false" ht="17.15" hidden="false" customHeight="false" outlineLevel="0" collapsed="false">
      <c r="A4147" s="0" t="s">
        <v>760</v>
      </c>
      <c r="B4147" s="0" t="s">
        <v>86</v>
      </c>
      <c r="C4147" s="38" t="n">
        <f aca="false">Sens!$C$4064</f>
        <v>1.80694998843362</v>
      </c>
      <c r="D4147" s="38" t="n">
        <f aca="false">Sens!$D$4064</f>
        <v>6.77606245662607</v>
      </c>
      <c r="E4147" s="38" t="n">
        <f aca="false">Sens!$E$4064</f>
        <v>6.62548329092326</v>
      </c>
      <c r="F4147" s="38" t="n">
        <f aca="false">Sens!$F$4064</f>
        <v>11.7200577158706</v>
      </c>
      <c r="G4147" s="38" t="n">
        <f aca="false">Sens!$G$4064</f>
        <v>18.3455410067939</v>
      </c>
      <c r="H4147" s="38" t="n">
        <f aca="false">Sens!$H$4064</f>
        <v>47.5171727060453</v>
      </c>
      <c r="I4147" s="38" t="n">
        <f aca="false">Sens!$I$4064</f>
        <v>80.5539692643667</v>
      </c>
      <c r="J4147" s="38" t="n">
        <f aca="false">Sens!$J$4064</f>
        <v>113.759316834883</v>
      </c>
      <c r="K4147" s="38" t="n">
        <f aca="false">Sens!$K$4064</f>
        <v>142.084411492169</v>
      </c>
      <c r="L4147" s="38" t="n">
        <f aca="false">Sens!$L$4064</f>
        <v>160.69964615804</v>
      </c>
      <c r="M4147" s="38" t="n">
        <f aca="false">Sens!$M$4064</f>
        <v>169.577607141793</v>
      </c>
      <c r="N4147" s="38" t="n">
        <f aca="false">Sens!$N$4064</f>
        <v>2.37162185981912</v>
      </c>
      <c r="O4147" s="38" t="n">
        <f aca="false">Sens!$O$4064</f>
        <v>4.40444059680694</v>
      </c>
    </row>
    <row r="4148" customFormat="false" ht="17.15" hidden="false" customHeight="false" outlineLevel="0" collapsed="false">
      <c r="A4148" s="0" t="s">
        <v>761</v>
      </c>
      <c r="B4148" s="0" t="s">
        <v>86</v>
      </c>
      <c r="C4148" s="38" t="n">
        <f aca="false">Sens!$C$4129+Sens!$C$4143</f>
        <v>100.66</v>
      </c>
      <c r="D4148" s="38" t="n">
        <f aca="false">Sens!$D$4129+Sens!$D$4143</f>
        <v>121.835</v>
      </c>
      <c r="E4148" s="38" t="n">
        <f aca="false">Sens!$E$4129+Sens!$E$4143</f>
        <v>78.016</v>
      </c>
      <c r="F4148" s="38" t="n">
        <f aca="false">Sens!$F$4129+Sens!$F$4143</f>
        <v>85.6094518016136</v>
      </c>
      <c r="G4148" s="38" t="n">
        <f aca="false">Sens!$G$4129+Sens!$G$4143</f>
        <v>163.625451801614</v>
      </c>
      <c r="H4148" s="38" t="n">
        <f aca="false">Sens!$H$4129+Sens!$H$4143</f>
        <v>212.068882861395</v>
      </c>
      <c r="I4148" s="38" t="n">
        <f aca="false">Sens!$I$4129+Sens!$I$4143</f>
        <v>266.026756365338</v>
      </c>
      <c r="J4148" s="38" t="n">
        <f aca="false">Sens!$J$4129+Sens!$J$4143</f>
        <v>319.132388328421</v>
      </c>
      <c r="K4148" s="38" t="n">
        <f aca="false">Sens!$K$4129+Sens!$K$4143</f>
        <v>365.471838230186</v>
      </c>
      <c r="L4148" s="38" t="n">
        <f aca="false">Sens!$L$4129+Sens!$L$4143</f>
        <v>402.745300957916</v>
      </c>
      <c r="M4148" s="38" t="n">
        <f aca="false">Sens!$M$4129+Sens!$M$4143</f>
        <v>432.628208578502</v>
      </c>
      <c r="N4148" s="38" t="n">
        <f aca="false">Sens!$N$4129+Sens!$N$4143</f>
        <v>56.398</v>
      </c>
      <c r="O4148" s="38" t="n">
        <f aca="false">Sens!$O$4129+Sens!$O$4143</f>
        <v>65.437</v>
      </c>
    </row>
    <row r="4149" customFormat="false" ht="17.15" hidden="false" customHeight="false" outlineLevel="0" collapsed="false">
      <c r="A4149" s="1" t="s">
        <v>762</v>
      </c>
    </row>
    <row r="4150" customFormat="false" ht="15" hidden="false" customHeight="false" outlineLevel="0" collapsed="false">
      <c r="A4150" s="5" t="s">
        <v>551</v>
      </c>
      <c r="B4150" s="0" t="s">
        <v>86</v>
      </c>
      <c r="C4150" s="38" t="n">
        <f aca="false">Q!$D$34</f>
        <v>2.406</v>
      </c>
      <c r="D4150" s="38" t="n">
        <f aca="false">Q!$E$34</f>
        <v>2.274</v>
      </c>
      <c r="E4150" s="38" t="n">
        <f aca="false">Q!$P$34</f>
        <v>2.114</v>
      </c>
      <c r="F4150" s="38" t="n">
        <f aca="false">Sens!$F$4188</f>
        <v>3.24888962733561</v>
      </c>
      <c r="G4150" s="38" t="n">
        <f aca="false">Sens!$E$4150+Sens!$F$4150</f>
        <v>5.36288962733561</v>
      </c>
      <c r="H4150" s="38" t="n">
        <f aca="false">Sens!$H$4188</f>
        <v>7.42354172302123</v>
      </c>
      <c r="I4150" s="38" t="n">
        <f aca="false">Sens!$I$4188</f>
        <v>7.78737247042243</v>
      </c>
      <c r="J4150" s="38" t="n">
        <f aca="false">Sens!$J$4188</f>
        <v>8.63511477571945</v>
      </c>
      <c r="K4150" s="38" t="n">
        <f aca="false">Sens!$K$4188</f>
        <v>8.63511477571945</v>
      </c>
      <c r="L4150" s="38" t="n">
        <f aca="false">Sens!$L$4188</f>
        <v>8.63511477571945</v>
      </c>
      <c r="M4150" s="38" t="n">
        <f aca="false">Sens!$M$4188</f>
        <v>8.63511477571945</v>
      </c>
      <c r="N4150" s="38" t="n">
        <f aca="false">Q!$N$34</f>
        <v>1.057</v>
      </c>
      <c r="O4150" s="38" t="n">
        <f aca="false">Q!$O$34</f>
        <v>1.217</v>
      </c>
    </row>
    <row r="4151" customFormat="false" ht="15" hidden="false" customHeight="false" outlineLevel="0" collapsed="false">
      <c r="A4151" s="5" t="s">
        <v>763</v>
      </c>
      <c r="B4151" s="0" t="s">
        <v>86</v>
      </c>
      <c r="F4151" s="38" t="n">
        <f aca="false">Sens!$F$4189</f>
        <v>2.59</v>
      </c>
      <c r="H4151" s="38" t="n">
        <f aca="false">Sens!$H$4189</f>
        <v>4.11855654559769</v>
      </c>
      <c r="I4151" s="38" t="n">
        <f aca="false">Sens!$I$4189</f>
        <v>2.10589651022864</v>
      </c>
      <c r="J4151" s="38" t="n">
        <f aca="false">Sens!$J$4189</f>
        <v>2.10589651022864</v>
      </c>
      <c r="K4151" s="38" t="n">
        <f aca="false">Sens!$K$4189</f>
        <v>3.27587250857817</v>
      </c>
      <c r="L4151" s="38" t="n">
        <f aca="false">Sens!$L$4189</f>
        <v>8.54500014906362</v>
      </c>
      <c r="M4151" s="38" t="n">
        <f aca="false">Sens!$M$4189</f>
        <v>16.3246416794248</v>
      </c>
    </row>
    <row r="4152" customFormat="false" ht="17.15" hidden="false" customHeight="false" outlineLevel="0" collapsed="false">
      <c r="A4152" s="5" t="s">
        <v>764</v>
      </c>
      <c r="B4152" s="0" t="s">
        <v>86</v>
      </c>
      <c r="C4152" s="38" t="n">
        <f aca="false">Q!$D$39</f>
        <v>2.427</v>
      </c>
      <c r="D4152" s="38" t="n">
        <f aca="false">Q!$E$39</f>
        <v>19.61</v>
      </c>
      <c r="E4152" s="38" t="n">
        <f aca="false">Q!$P$39</f>
        <v>71.492</v>
      </c>
      <c r="F4152" s="39" t="n">
        <v>0</v>
      </c>
      <c r="G4152" s="38" t="n">
        <f aca="false">Sens!$E$4152+Sens!$F$4152</f>
        <v>71.492</v>
      </c>
      <c r="H4152" s="39" t="n">
        <v>0</v>
      </c>
      <c r="I4152" s="39" t="n">
        <v>0</v>
      </c>
      <c r="J4152" s="39" t="n">
        <v>0</v>
      </c>
      <c r="K4152" s="39" t="n">
        <v>0</v>
      </c>
      <c r="L4152" s="39" t="n">
        <v>0</v>
      </c>
      <c r="M4152" s="39" t="n">
        <v>0</v>
      </c>
      <c r="N4152" s="38" t="n">
        <f aca="false">Q!$N$39</f>
        <v>6.017</v>
      </c>
      <c r="O4152" s="38" t="n">
        <f aca="false">Q!$O$39</f>
        <v>13.593</v>
      </c>
      <c r="P4152" s="5" t="s">
        <v>765</v>
      </c>
    </row>
    <row r="4153" customFormat="false" ht="15" hidden="false" customHeight="false" outlineLevel="0" collapsed="false">
      <c r="A4153" s="5" t="s">
        <v>554</v>
      </c>
      <c r="B4153" s="0" t="s">
        <v>86</v>
      </c>
      <c r="C4153" s="38" t="n">
        <f aca="false">Q!$D$36</f>
        <v>68.614</v>
      </c>
      <c r="D4153" s="38" t="n">
        <f aca="false">Q!$E$36</f>
        <v>97.311</v>
      </c>
      <c r="E4153" s="38" t="n">
        <f aca="false">Q!$P$36</f>
        <v>120.691</v>
      </c>
      <c r="F4153" s="38" t="n">
        <f aca="false">Sens!$F$4129-Sens!$F$4150+Sens!$F$4151+Sens!$F$4152</f>
        <v>55.7977013048009</v>
      </c>
      <c r="G4153" s="38" t="n">
        <f aca="false">Sens!$E$4153+Sens!$F$4153</f>
        <v>176.488701304801</v>
      </c>
      <c r="H4153" s="38" t="n">
        <f aca="false">Sens!$H$4129-Sens!$H$4150+Sens!$H$4151+Sens!$H$4152</f>
        <v>127.202074364356</v>
      </c>
      <c r="I4153" s="38" t="n">
        <f aca="false">Sens!$I$4129-Sens!$I$4150+Sens!$I$4151+Sens!$I$4152</f>
        <v>141.58907166494</v>
      </c>
      <c r="J4153" s="38" t="n">
        <f aca="false">Sens!$J$4129-Sens!$J$4150+Sens!$J$4151+Sens!$J$4152</f>
        <v>160.133680656139</v>
      </c>
      <c r="K4153" s="38" t="n">
        <f aca="false">Sens!$K$4129-Sens!$K$4150+Sens!$K$4151+Sens!$K$4152</f>
        <v>173.721093339226</v>
      </c>
      <c r="L4153" s="38" t="n">
        <f aca="false">Sens!$L$4129-Sens!$L$4150+Sens!$L$4151+Sens!$L$4152</f>
        <v>190.728764115778</v>
      </c>
      <c r="M4153" s="38" t="n">
        <f aca="false">Sens!$M$4129-Sens!$M$4150+Sens!$M$4151+Sens!$M$4152</f>
        <v>211.305253384302</v>
      </c>
      <c r="N4153" s="38" t="n">
        <f aca="false">Q!$N$36</f>
        <v>42.536</v>
      </c>
      <c r="O4153" s="38" t="n">
        <f aca="false">Q!$O$36</f>
        <v>54.775</v>
      </c>
    </row>
    <row r="4154" customFormat="false" ht="15" hidden="false" customHeight="false" outlineLevel="0" collapsed="false">
      <c r="A4154" s="5" t="s">
        <v>555</v>
      </c>
      <c r="B4154" s="0" t="s">
        <v>86</v>
      </c>
      <c r="C4154" s="38" t="n">
        <f aca="false">Q!$D$37</f>
        <v>9.265</v>
      </c>
      <c r="D4154" s="38" t="n">
        <f aca="false">Q!$E$37</f>
        <v>19.087</v>
      </c>
      <c r="E4154" s="38" t="n">
        <f aca="false">Q!$P$37</f>
        <v>27.759</v>
      </c>
      <c r="F4154" s="38" t="n">
        <f aca="false">Sens!$F$4153*tax</f>
        <v>9.68561756753527</v>
      </c>
      <c r="G4154" s="38" t="n">
        <f aca="false">Sens!$E$4154+Sens!$F$4154</f>
        <v>37.4446175675353</v>
      </c>
      <c r="H4154" s="38" t="n">
        <f aca="false">Sens!$H$4153*tax</f>
        <v>22.0803118637493</v>
      </c>
      <c r="I4154" s="38" t="n">
        <f aca="false">Sens!$I$4153*tax</f>
        <v>24.5776719796692</v>
      </c>
      <c r="J4154" s="38" t="n">
        <f aca="false">Sens!$J$4153*tax</f>
        <v>27.7967291527784</v>
      </c>
      <c r="K4154" s="38" t="n">
        <f aca="false">Sens!$K$4153*tax</f>
        <v>30.1552937513765</v>
      </c>
      <c r="L4154" s="38" t="n">
        <f aca="false">Sens!$L$4153*tax</f>
        <v>33.1075622320506</v>
      </c>
      <c r="M4154" s="38" t="n">
        <f aca="false">Sens!$M$4153*tax</f>
        <v>36.6793223812499</v>
      </c>
      <c r="N4154" s="38" t="n">
        <f aca="false">Q!$N$37</f>
        <v>7.231</v>
      </c>
      <c r="O4154" s="38" t="n">
        <f aca="false">Q!$O$37</f>
        <v>11.856</v>
      </c>
    </row>
    <row r="4155" customFormat="false" ht="15" hidden="false" customHeight="false" outlineLevel="0" collapsed="false">
      <c r="A4155" s="3" t="s">
        <v>556</v>
      </c>
      <c r="B4155" s="8" t="s">
        <v>86</v>
      </c>
      <c r="C4155" s="38" t="n">
        <f aca="false">Q!$D$38</f>
        <v>59.248</v>
      </c>
      <c r="D4155" s="38" t="n">
        <f aca="false">Q!$E$38</f>
        <v>77.67</v>
      </c>
      <c r="E4155" s="38" t="n">
        <f aca="false">Q!$P$38</f>
        <v>92.902</v>
      </c>
      <c r="F4155" s="38" t="n">
        <f aca="false">Sens!$F$4153-Sens!$F$4154</f>
        <v>46.1120837372657</v>
      </c>
      <c r="G4155" s="38" t="n">
        <f aca="false">Sens!$E$4155+Sens!$F$4155</f>
        <v>139.014083737266</v>
      </c>
      <c r="H4155" s="38" t="n">
        <f aca="false">Sens!$H$4153-Sens!$H$4154</f>
        <v>105.121762500607</v>
      </c>
      <c r="I4155" s="38" t="n">
        <f aca="false">Sens!$I$4153-Sens!$I$4154</f>
        <v>117.011399685271</v>
      </c>
      <c r="J4155" s="38" t="n">
        <f aca="false">Sens!$J$4153-Sens!$J$4154</f>
        <v>132.33695150336</v>
      </c>
      <c r="K4155" s="38" t="n">
        <f aca="false">Sens!$K$4153-Sens!$K$4154</f>
        <v>143.565799587849</v>
      </c>
      <c r="L4155" s="38" t="n">
        <f aca="false">Sens!$L$4153-Sens!$L$4154</f>
        <v>157.621201883727</v>
      </c>
      <c r="M4155" s="38" t="n">
        <f aca="false">Sens!$M$4153-Sens!$M$4154</f>
        <v>174.625931003052</v>
      </c>
      <c r="N4155" s="38" t="n">
        <f aca="false">Q!$N$38</f>
        <v>35.291</v>
      </c>
      <c r="O4155" s="38" t="n">
        <f aca="false">Q!$O$38</f>
        <v>42.379</v>
      </c>
    </row>
    <row r="4156" customFormat="false" ht="17.15" hidden="false" customHeight="false" outlineLevel="0" collapsed="false">
      <c r="A4156" s="5" t="s">
        <v>559</v>
      </c>
      <c r="B4156" s="5" t="s">
        <v>33</v>
      </c>
      <c r="C4156" s="22" t="n">
        <f aca="false">Q!$D$41</f>
        <v>10.721</v>
      </c>
      <c r="D4156" s="22" t="n">
        <f aca="false">Q!$E$41</f>
        <v>10.827</v>
      </c>
      <c r="E4156" s="22" t="n">
        <f aca="false">(Q!$L$41+Q!$M$41)/2</f>
        <v>10.8885</v>
      </c>
      <c r="F4156" s="22" t="n">
        <f aca="false">Sens!$G$4156</f>
        <v>10.924806</v>
      </c>
      <c r="G4156" s="22" t="n">
        <f aca="false">Q!$M$41*(1+sh_g*0.25)</f>
        <v>10.924806</v>
      </c>
      <c r="H4156" s="22" t="n">
        <f aca="false">Sens!$G$4156*(1+sh_g)</f>
        <v>11.012204448</v>
      </c>
      <c r="I4156" s="22" t="n">
        <f aca="false">Sens!$H$4156*(1+sh_g)</f>
        <v>11.100302083584</v>
      </c>
      <c r="J4156" s="22" t="n">
        <f aca="false">Sens!$I$4156*(1+sh_g)</f>
        <v>11.1891045002527</v>
      </c>
      <c r="K4156" s="22" t="n">
        <f aca="false">Sens!$J$4156*(1+sh_g)</f>
        <v>11.2786173362547</v>
      </c>
      <c r="L4156" s="22" t="n">
        <f aca="false">Sens!$K$4156*(1+sh_g)</f>
        <v>11.3688462749447</v>
      </c>
      <c r="M4156" s="22" t="n">
        <f aca="false">Sens!$L$4156*(1+sh_g)</f>
        <v>11.4597970451443</v>
      </c>
      <c r="P4156" s="5" t="s">
        <v>766</v>
      </c>
    </row>
    <row r="4157" customFormat="false" ht="17.15" hidden="false" customHeight="false" outlineLevel="0" collapsed="false">
      <c r="A4157" s="5" t="s">
        <v>767</v>
      </c>
      <c r="B4157" s="0" t="s">
        <v>86</v>
      </c>
      <c r="C4157" s="38" t="n">
        <f aca="false">Sens!$C$4155+Sens!$C$4131*(1-tax)</f>
        <v>59.248</v>
      </c>
      <c r="D4157" s="38" t="n">
        <f aca="false">Sens!$D$4155+Sens!$D$4131*(1-tax)</f>
        <v>77.67</v>
      </c>
      <c r="E4157" s="38" t="n">
        <f aca="false">Sens!$E$4155+Sens!$E$4131*(1-tax)</f>
        <v>92.902</v>
      </c>
      <c r="F4157" s="38" t="n">
        <f aca="false">Sens!$F$4155+Sens!$F$4131*(1-tax)</f>
        <v>49.2286786969143</v>
      </c>
      <c r="G4157" s="38" t="n">
        <f aca="false">Sens!$G$4155+Sens!$G$4131*(1-tax)</f>
        <v>142.130678696914</v>
      </c>
      <c r="H4157" s="38" t="n">
        <f aca="false">Sens!$H$4155+Sens!$H$4131*(1-tax)</f>
        <v>117.653158455952</v>
      </c>
      <c r="I4157" s="38" t="n">
        <f aca="false">Sens!$I$4155+Sens!$I$4131*(1-tax)</f>
        <v>138.15266476021</v>
      </c>
      <c r="J4157" s="38" t="n">
        <f aca="false">Sens!$J$4155+Sens!$J$4131*(1-tax)</f>
        <v>162.126388447644</v>
      </c>
      <c r="K4157" s="38" t="n">
        <f aca="false">Sens!$K$4155+Sens!$K$4131*(1-tax)</f>
        <v>180.733105284508</v>
      </c>
      <c r="L4157" s="38" t="n">
        <f aca="false">Sens!$L$4155+Sens!$L$4131*(1-tax)</f>
        <v>199.637279224283</v>
      </c>
      <c r="M4157" s="38" t="n">
        <f aca="false">Sens!$M$4155+Sens!$M$4131*(1-tax)</f>
        <v>218.955453193892</v>
      </c>
      <c r="N4157" s="38" t="n">
        <f aca="false">Sens!$N$4155+Sens!$N$4131*(1-tax)</f>
        <v>35.291</v>
      </c>
      <c r="O4157" s="38" t="n">
        <f aca="false">Sens!$O$4155+Sens!$O$4131*(1-tax)</f>
        <v>42.379</v>
      </c>
    </row>
    <row r="4158" customFormat="false" ht="17.15" hidden="false" customHeight="false" outlineLevel="0" collapsed="false">
      <c r="A4158" s="43" t="s">
        <v>768</v>
      </c>
      <c r="B4158" s="14" t="s">
        <v>27</v>
      </c>
      <c r="C4158" s="44" t="n">
        <f aca="false">Sens!$C$4157/Sens!$C$4156</f>
        <v>5.52635015390355</v>
      </c>
      <c r="D4158" s="44" t="n">
        <f aca="false">Sens!$D$4157/Sens!$D$4156</f>
        <v>7.1737323358271</v>
      </c>
      <c r="E4158" s="44" t="n">
        <f aca="false">Sens!$E$4157/Sens!$E$4156</f>
        <v>8.53212104513937</v>
      </c>
      <c r="F4158" s="14"/>
      <c r="G4158" s="44" t="n">
        <f aca="false">Sens!$G$4157/Sens!$G$4156</f>
        <v>13.0099041298229</v>
      </c>
      <c r="H4158" s="44" t="n">
        <f aca="false">Sens!$H$4157/Sens!$H$4156</f>
        <v>10.6838879546338</v>
      </c>
      <c r="I4158" s="44" t="n">
        <f aca="false">Sens!$I$4157/Sens!$I$4156</f>
        <v>12.4458473039685</v>
      </c>
      <c r="J4158" s="44" t="n">
        <f aca="false">Sens!$J$4157/Sens!$J$4156</f>
        <v>14.4896661251115</v>
      </c>
      <c r="K4158" s="44" t="n">
        <f aca="false">Sens!$K$4157/Sens!$K$4156</f>
        <v>16.0244026281083</v>
      </c>
      <c r="L4158" s="44" t="n">
        <f aca="false">Sens!$L$4157/Sens!$L$4156</f>
        <v>17.5600297863341</v>
      </c>
      <c r="M4158" s="44" t="n">
        <f aca="false">Sens!$M$4157/Sens!$M$4156</f>
        <v>19.1063988595389</v>
      </c>
      <c r="N4158" s="14"/>
      <c r="O4158" s="14"/>
    </row>
    <row r="4159" customFormat="false" ht="17.15" hidden="false" customHeight="false" outlineLevel="0" collapsed="false">
      <c r="A4159" s="0" t="s">
        <v>769</v>
      </c>
      <c r="B4159" s="0" t="s">
        <v>27</v>
      </c>
      <c r="C4159" s="30" t="n">
        <f aca="false">Sens!$C$4155/Sens!$C$4156</f>
        <v>5.52635015390355</v>
      </c>
      <c r="D4159" s="30" t="n">
        <f aca="false">Sens!$D$4155/Sens!$D$4156</f>
        <v>7.1737323358271</v>
      </c>
      <c r="E4159" s="30" t="n">
        <f aca="false">Sens!$E$4155/Sens!$E$4156</f>
        <v>8.53212104513937</v>
      </c>
      <c r="G4159" s="30" t="n">
        <f aca="false">Sens!$G$4155/Sens!$G$4156</f>
        <v>12.7246272141826</v>
      </c>
      <c r="H4159" s="30" t="n">
        <f aca="false">Sens!$H$4155/Sens!$H$4156</f>
        <v>9.54593269649102</v>
      </c>
      <c r="I4159" s="30" t="n">
        <f aca="false">Sens!$I$4155/Sens!$I$4156</f>
        <v>10.5412806610296</v>
      </c>
      <c r="J4159" s="30" t="n">
        <f aca="false">Sens!$J$4155/Sens!$J$4156</f>
        <v>11.8273049912414</v>
      </c>
      <c r="K4159" s="30" t="n">
        <f aca="false">Sens!$K$4155/Sens!$K$4156</f>
        <v>12.7290247827065</v>
      </c>
      <c r="L4159" s="30" t="n">
        <f aca="false">Sens!$L$4155/Sens!$L$4156</f>
        <v>13.8643093654192</v>
      </c>
      <c r="M4159" s="30" t="n">
        <f aca="false">Sens!$M$4155/Sens!$M$4156</f>
        <v>15.2381346995184</v>
      </c>
    </row>
    <row r="4160" customFormat="false" ht="17.15" hidden="false" customHeight="false" outlineLevel="0" collapsed="false">
      <c r="A4160" s="0" t="s">
        <v>770</v>
      </c>
      <c r="B4160" s="0" t="s">
        <v>27</v>
      </c>
      <c r="C4160" s="30" t="n">
        <f aca="false">(Sens!$C$4155-Sens!$C$4152*(1-tax))/Sens!$C$4156</f>
        <v>5.33926775917445</v>
      </c>
      <c r="D4160" s="30" t="n">
        <f aca="false">(Sens!$D$4155-Sens!$D$4152*(1-tax))/Sens!$D$4156</f>
        <v>5.67691812755503</v>
      </c>
      <c r="E4160" s="30" t="n">
        <f aca="false">(Sens!$E$4155-Sens!$E$4152*(1-tax))/Sens!$E$4156</f>
        <v>3.10602057006846</v>
      </c>
      <c r="G4160" s="30" t="n">
        <f aca="false">(Sens!$G$4155-Sens!$G$4152*(1-tax))/Sens!$G$4156</f>
        <v>7.31655909628565</v>
      </c>
      <c r="H4160" s="30" t="n">
        <f aca="false">(Sens!$H$4155-Sens!$H$4152*(1-tax))/Sens!$H$4156</f>
        <v>9.54593269649102</v>
      </c>
      <c r="I4160" s="30" t="n">
        <f aca="false">(Sens!$I$4155-Sens!$I$4152*(1-tax))/Sens!$I$4156</f>
        <v>10.5412806610296</v>
      </c>
      <c r="J4160" s="30" t="n">
        <f aca="false">(Sens!$J$4155-Sens!$J$4152*(1-tax))/Sens!$J$4156</f>
        <v>11.8273049912414</v>
      </c>
      <c r="K4160" s="30" t="n">
        <f aca="false">(Sens!$K$4155-Sens!$K$4152*(1-tax))/Sens!$K$4156</f>
        <v>12.7290247827065</v>
      </c>
      <c r="L4160" s="30" t="n">
        <f aca="false">(Sens!$L$4155-Sens!$L$4152*(1-tax))/Sens!$L$4156</f>
        <v>13.8643093654192</v>
      </c>
      <c r="M4160" s="30" t="n">
        <f aca="false">(Sens!$M$4155-Sens!$M$4152*(1-tax))/Sens!$M$4156</f>
        <v>15.2381346995184</v>
      </c>
      <c r="P4160" s="5" t="s">
        <v>771</v>
      </c>
    </row>
    <row r="4161" customFormat="false" ht="17.15" hidden="false" customHeight="false" outlineLevel="0" collapsed="false">
      <c r="A4161" s="0" t="s">
        <v>772</v>
      </c>
      <c r="B4161" s="0" t="s">
        <v>52</v>
      </c>
      <c r="H4161" s="13" t="n">
        <f aca="false">Sens!$H$4158/Sens!$G$4158-1</f>
        <v>-0.178788110348727</v>
      </c>
      <c r="I4161" s="13" t="n">
        <f aca="false">Sens!$I$4158/Sens!$H$4158-1</f>
        <v>0.164917430509983</v>
      </c>
      <c r="J4161" s="13" t="n">
        <f aca="false">Sens!$J$4158/Sens!$I$4158-1</f>
        <v>0.164216928845919</v>
      </c>
      <c r="K4161" s="13" t="n">
        <f aca="false">Sens!$K$4158/Sens!$J$4158-1</f>
        <v>0.105919383493386</v>
      </c>
      <c r="L4161" s="13" t="n">
        <f aca="false">Sens!$L$4158/Sens!$K$4158-1</f>
        <v>0.0958305400746797</v>
      </c>
      <c r="M4161" s="13" t="n">
        <f aca="false">Sens!$M$4158/Sens!$L$4158-1</f>
        <v>0.088061870738299</v>
      </c>
    </row>
    <row r="4164" customFormat="false" ht="19.4" hidden="false" customHeight="false" outlineLevel="0" collapsed="false">
      <c r="A4164" s="31" t="s">
        <v>1235</v>
      </c>
    </row>
    <row r="4165" customFormat="false" ht="17.15" hidden="false" customHeight="false" outlineLevel="0" collapsed="false">
      <c r="A4165" s="6" t="s">
        <v>16</v>
      </c>
      <c r="B4165" s="6" t="s">
        <v>17</v>
      </c>
      <c r="C4165" s="20" t="s">
        <v>504</v>
      </c>
      <c r="D4165" s="20" t="s">
        <v>505</v>
      </c>
      <c r="E4165" s="20" t="s">
        <v>587</v>
      </c>
      <c r="F4165" s="20" t="s">
        <v>588</v>
      </c>
      <c r="G4165" s="20" t="s">
        <v>589</v>
      </c>
      <c r="H4165" s="20" t="s">
        <v>590</v>
      </c>
      <c r="I4165" s="20" t="s">
        <v>591</v>
      </c>
      <c r="J4165" s="20" t="s">
        <v>592</v>
      </c>
      <c r="K4165" s="20" t="s">
        <v>593</v>
      </c>
      <c r="L4165" s="20" t="s">
        <v>594</v>
      </c>
      <c r="M4165" s="20" t="s">
        <v>595</v>
      </c>
      <c r="N4165" s="20" t="s">
        <v>596</v>
      </c>
      <c r="O4165" s="20" t="s">
        <v>597</v>
      </c>
      <c r="P4165" s="6" t="s">
        <v>23</v>
      </c>
      <c r="R4165" s="20" t="n">
        <v>2023</v>
      </c>
      <c r="S4165" s="20" t="n">
        <v>2024</v>
      </c>
      <c r="T4165" s="20" t="n">
        <v>2025</v>
      </c>
      <c r="U4165" s="20" t="n">
        <v>2026</v>
      </c>
      <c r="V4165" s="20" t="n">
        <v>2027</v>
      </c>
      <c r="W4165" s="20" t="n">
        <v>2028</v>
      </c>
      <c r="X4165" s="20" t="n">
        <v>2029</v>
      </c>
      <c r="Y4165" s="20" t="n">
        <v>2030</v>
      </c>
      <c r="Z4165" s="20" t="n">
        <v>2031</v>
      </c>
      <c r="AA4165" s="20" t="n">
        <v>2032</v>
      </c>
    </row>
    <row r="4166" customFormat="false" ht="15" hidden="false" customHeight="false" outlineLevel="0" collapsed="false">
      <c r="A4166" s="5" t="s">
        <v>556</v>
      </c>
      <c r="B4166" s="0" t="s">
        <v>86</v>
      </c>
      <c r="C4166" s="38" t="n">
        <f aca="false">Sens!$C$4155</f>
        <v>59.248</v>
      </c>
      <c r="D4166" s="38" t="n">
        <f aca="false">Sens!$D$4155</f>
        <v>77.67</v>
      </c>
      <c r="E4166" s="38" t="n">
        <f aca="false">Sens!$E$4155</f>
        <v>92.902</v>
      </c>
      <c r="F4166" s="38" t="n">
        <f aca="false">Sens!$F$4155</f>
        <v>46.1120837372657</v>
      </c>
      <c r="G4166" s="38" t="n">
        <f aca="false">Sens!$G$4155</f>
        <v>139.014083737266</v>
      </c>
      <c r="H4166" s="38" t="n">
        <f aca="false">Sens!$H$4155</f>
        <v>105.121762500607</v>
      </c>
      <c r="I4166" s="38" t="n">
        <f aca="false">Sens!$I$4155</f>
        <v>117.011399685271</v>
      </c>
      <c r="J4166" s="38" t="n">
        <f aca="false">Sens!$J$4155</f>
        <v>132.33695150336</v>
      </c>
      <c r="K4166" s="38" t="n">
        <f aca="false">Sens!$K$4155</f>
        <v>143.565799587849</v>
      </c>
      <c r="L4166" s="38" t="n">
        <f aca="false">Sens!$L$4155</f>
        <v>157.621201883727</v>
      </c>
      <c r="M4166" s="38" t="n">
        <f aca="false">Sens!$M$4155</f>
        <v>174.625931003052</v>
      </c>
    </row>
    <row r="4167" customFormat="false" ht="17.15" hidden="false" customHeight="false" outlineLevel="0" collapsed="false">
      <c r="A4167" s="5" t="s">
        <v>795</v>
      </c>
      <c r="B4167" s="0" t="s">
        <v>86</v>
      </c>
      <c r="C4167" s="38" t="n">
        <f aca="false">Sens!$C$4143</f>
        <v>32.067</v>
      </c>
      <c r="D4167" s="38" t="n">
        <f aca="false">Sens!$D$4143</f>
        <v>41.86</v>
      </c>
      <c r="E4167" s="38" t="n">
        <f aca="false">Sens!$E$4143</f>
        <v>26.703</v>
      </c>
      <c r="F4167" s="38" t="n">
        <f aca="false">Sens!$F$4143</f>
        <v>29.152860869477</v>
      </c>
      <c r="G4167" s="38" t="n">
        <f aca="false">Sens!$G$4143</f>
        <v>55.855860869477</v>
      </c>
      <c r="H4167" s="38" t="n">
        <f aca="false">Sens!$H$4143</f>
        <v>81.5618233196153</v>
      </c>
      <c r="I4167" s="38" t="n">
        <f aca="false">Sens!$I$4143</f>
        <v>118.756208740204</v>
      </c>
      <c r="J4167" s="38" t="n">
        <f aca="false">Sens!$J$4143</f>
        <v>152.469489406791</v>
      </c>
      <c r="K4167" s="38" t="n">
        <f aca="false">Sens!$K$4143</f>
        <v>186.391502623819</v>
      </c>
      <c r="L4167" s="38" t="n">
        <f aca="false">Sens!$L$4143</f>
        <v>211.926422215482</v>
      </c>
      <c r="M4167" s="38" t="n">
        <f aca="false">Sens!$M$4143</f>
        <v>229.012482097906</v>
      </c>
    </row>
    <row r="4168" customFormat="false" ht="15" hidden="false" customHeight="false" outlineLevel="0" collapsed="false">
      <c r="A4168" s="5" t="s">
        <v>796</v>
      </c>
      <c r="B4168" s="0" t="s">
        <v>86</v>
      </c>
      <c r="C4168" s="38" t="n">
        <f aca="false">Q!$D$48</f>
        <v>22.011</v>
      </c>
      <c r="D4168" s="38" t="n">
        <f aca="false">Q!$E$48</f>
        <v>19.467</v>
      </c>
      <c r="E4168" s="38" t="n">
        <f aca="false">Q!$P$48</f>
        <v>10.07</v>
      </c>
      <c r="F4168" s="38" t="n">
        <f aca="false">sbc_r*Sens!$F$4085</f>
        <v>10.8507035798037</v>
      </c>
      <c r="G4168" s="38" t="n">
        <f aca="false">Sens!$E$4168+Sens!$F$4168</f>
        <v>20.9207035798037</v>
      </c>
      <c r="H4168" s="38" t="n">
        <f aca="false">sbc_r*Sens!$H$4085</f>
        <v>23.46224366345</v>
      </c>
      <c r="I4168" s="38" t="n">
        <f aca="false">sbc_r*Sens!$I$4085</f>
        <v>26.6125957111676</v>
      </c>
      <c r="J4168" s="38" t="n">
        <f aca="false">sbc_r*Sens!$J$4085</f>
        <v>29.6280801413323</v>
      </c>
      <c r="K4168" s="38" t="n">
        <f aca="false">sbc_r*Sens!$K$4085</f>
        <v>32.2712258901105</v>
      </c>
      <c r="L4168" s="38" t="n">
        <f aca="false">sbc_r*Sens!$L$4085</f>
        <v>34.7390505016737</v>
      </c>
      <c r="M4168" s="38" t="n">
        <f aca="false">sbc_r*Sens!$M$4085</f>
        <v>37.0405146906692</v>
      </c>
    </row>
    <row r="4169" customFormat="false" ht="17.15" hidden="false" customHeight="false" outlineLevel="0" collapsed="false">
      <c r="A4169" s="5" t="s">
        <v>797</v>
      </c>
      <c r="B4169" s="0" t="s">
        <v>86</v>
      </c>
      <c r="C4169" s="38" t="n">
        <f aca="false">Q!$D$44-Sens!$C$4166-Sens!$C$4167-Sens!$C$4168</f>
        <v>2.551</v>
      </c>
      <c r="D4169" s="38" t="n">
        <f aca="false">Q!$E$44-Sens!$D$4166-Sens!$D$4167-Sens!$D$4168</f>
        <v>0.51700000000001</v>
      </c>
      <c r="E4169" s="38" t="n">
        <f aca="false">Q!$P$44-Sens!$E$4166-Sens!$E$4167-Sens!$E$4168</f>
        <v>-58.256</v>
      </c>
      <c r="F4169" s="38" t="n">
        <f aca="false">oth_r*Sens!$F$4085</f>
        <v>5.22265251035878</v>
      </c>
      <c r="G4169" s="38" t="n">
        <f aca="false">Sens!$E$4169+Sens!$F$4169</f>
        <v>-53.0333474896412</v>
      </c>
      <c r="H4169" s="38" t="n">
        <f aca="false">oth_r*Sens!$H$4085</f>
        <v>11.2928295263397</v>
      </c>
      <c r="I4169" s="38" t="n">
        <f aca="false">oth_r*Sens!$I$4085</f>
        <v>12.8091546115766</v>
      </c>
      <c r="J4169" s="38" t="n">
        <f aca="false">oth_r*Sens!$J$4085</f>
        <v>14.2605653162668</v>
      </c>
      <c r="K4169" s="38" t="n">
        <f aca="false">oth_r*Sens!$K$4085</f>
        <v>15.5327622460396</v>
      </c>
      <c r="L4169" s="38" t="n">
        <f aca="false">oth_r*Sens!$L$4085</f>
        <v>16.720573737517</v>
      </c>
      <c r="M4169" s="38" t="n">
        <f aca="false">oth_r*Sens!$M$4085</f>
        <v>17.8283127551536</v>
      </c>
      <c r="P4169" s="8" t="s">
        <v>798</v>
      </c>
    </row>
    <row r="4170" customFormat="false" ht="15" hidden="false" customHeight="false" outlineLevel="0" collapsed="false">
      <c r="A4170" s="3" t="s">
        <v>562</v>
      </c>
      <c r="B4170" s="8" t="s">
        <v>86</v>
      </c>
      <c r="C4170" s="38" t="n">
        <f aca="false">Q!$D$44</f>
        <v>115.877</v>
      </c>
      <c r="D4170" s="38" t="n">
        <f aca="false">Q!$E$44</f>
        <v>139.514</v>
      </c>
      <c r="E4170" s="38" t="n">
        <f aca="false">Q!$P$44</f>
        <v>71.419</v>
      </c>
      <c r="F4170" s="38" t="n">
        <f aca="false">Sens!$F$4166+Sens!$F$4167+Sens!$F$4168+Sens!$F$4169</f>
        <v>91.3383006969051</v>
      </c>
      <c r="G4170" s="38" t="n">
        <f aca="false">Sens!$E$4170+Sens!$F$4170</f>
        <v>162.757300696905</v>
      </c>
      <c r="H4170" s="38" t="n">
        <f aca="false">Sens!$H$4166+Sens!$H$4167+Sens!$H$4168+Sens!$H$4169</f>
        <v>221.438659010012</v>
      </c>
      <c r="I4170" s="38" t="n">
        <f aca="false">Sens!$I$4166+Sens!$I$4167+Sens!$I$4168+Sens!$I$4169</f>
        <v>275.189358748219</v>
      </c>
      <c r="J4170" s="38" t="n">
        <f aca="false">Sens!$J$4166+Sens!$J$4167+Sens!$J$4168+Sens!$J$4169</f>
        <v>328.69508636775</v>
      </c>
      <c r="K4170" s="38" t="n">
        <f aca="false">Sens!$K$4166+Sens!$K$4167+Sens!$K$4168+Sens!$K$4169</f>
        <v>377.761290347818</v>
      </c>
      <c r="L4170" s="38" t="n">
        <f aca="false">Sens!$L$4166+Sens!$L$4167+Sens!$L$4168+Sens!$L$4169</f>
        <v>421.0072483384</v>
      </c>
      <c r="M4170" s="38" t="n">
        <f aca="false">Sens!$M$4166+Sens!$M$4167+Sens!$M$4168+Sens!$M$4169</f>
        <v>458.507240546781</v>
      </c>
    </row>
    <row r="4171" customFormat="false" ht="17.15" hidden="false" customHeight="false" outlineLevel="0" collapsed="false">
      <c r="A4171" s="5" t="s">
        <v>799</v>
      </c>
      <c r="B4171" s="0" t="s">
        <v>86</v>
      </c>
      <c r="C4171" s="38" t="n">
        <f aca="false">Sens!$C$4049</f>
        <v>25.2781053077374</v>
      </c>
      <c r="D4171" s="38" t="n">
        <f aca="false">Sens!$D$4049</f>
        <v>69.5686316310026</v>
      </c>
      <c r="E4171" s="38" t="n">
        <f aca="false">Sens!$E$4049</f>
        <v>64.1899206485108</v>
      </c>
      <c r="F4171" s="38" t="n">
        <f aca="false">Sens!$F$4049</f>
        <v>88.7165504612134</v>
      </c>
      <c r="G4171" s="38" t="n">
        <f aca="false">Sens!$G$4049</f>
        <v>152.906471109724</v>
      </c>
      <c r="H4171" s="38" t="n">
        <f aca="false">Sens!$H$4049</f>
        <v>198.57136494475</v>
      </c>
      <c r="I4171" s="38" t="n">
        <f aca="false">Sens!$I$4049</f>
        <v>204.6464699105</v>
      </c>
      <c r="J4171" s="38" t="n">
        <f aca="false">Sens!$J$4049</f>
        <v>209.8832381105</v>
      </c>
      <c r="K4171" s="38" t="n">
        <f aca="false">Sens!$K$4049</f>
        <v>155.238385275201</v>
      </c>
      <c r="L4171" s="38" t="n">
        <f aca="false">Sens!$L$4049</f>
        <v>132.014141639902</v>
      </c>
      <c r="M4171" s="38" t="n">
        <f aca="false">Sens!$M$4049</f>
        <v>132.230981659852</v>
      </c>
    </row>
    <row r="4172" customFormat="false" ht="17.15" hidden="false" customHeight="false" outlineLevel="0" collapsed="false">
      <c r="A4172" s="5" t="s">
        <v>800</v>
      </c>
      <c r="B4172" s="0" t="s">
        <v>86</v>
      </c>
      <c r="C4172" s="38" t="n">
        <f aca="false">cx_awso*Sens!$C$4083</f>
        <v>21.0469989286053</v>
      </c>
      <c r="D4172" s="38" t="n">
        <f aca="false">cx_awso*Sens!$D$4083</f>
        <v>24.0042459822698</v>
      </c>
      <c r="E4172" s="38" t="n">
        <f aca="false">cx_awso*Sens!$E$4083</f>
        <v>14.261729404886</v>
      </c>
      <c r="F4172" s="38" t="n">
        <f aca="false">cx_awso*Sens!$F$4083</f>
        <v>14.3538599588493</v>
      </c>
      <c r="G4172" s="38" t="n">
        <f aca="false">Sens!$E$4172+Sens!$F$4172</f>
        <v>28.6155893637353</v>
      </c>
      <c r="H4172" s="38" t="n">
        <f aca="false">cx_awso*Sens!$H$4083</f>
        <v>32.2034154158406</v>
      </c>
      <c r="I4172" s="38" t="n">
        <f aca="false">cx_awso*Sens!$I$4083</f>
        <v>35.7539519042915</v>
      </c>
      <c r="J4172" s="38" t="n">
        <f aca="false">cx_awso*Sens!$J$4083</f>
        <v>39.1551076091815</v>
      </c>
      <c r="K4172" s="38" t="n">
        <f aca="false">cx_awso*Sens!$K$4083</f>
        <v>42.287516217916</v>
      </c>
      <c r="L4172" s="38" t="n">
        <f aca="false">cx_awso*Sens!$L$4083</f>
        <v>45.6705175153492</v>
      </c>
      <c r="M4172" s="38" t="n">
        <f aca="false">cx_awso*Sens!$M$4083</f>
        <v>49.3241589165772</v>
      </c>
    </row>
    <row r="4173" customFormat="false" ht="17.15" hidden="false" customHeight="false" outlineLevel="0" collapsed="false">
      <c r="A4173" s="5" t="s">
        <v>801</v>
      </c>
      <c r="B4173" s="0" t="s">
        <v>86</v>
      </c>
      <c r="C4173" s="38" t="n">
        <f aca="false">Q!$D$46-Sens!$C$4171-Sens!$C$4172</f>
        <v>31.3328957636573</v>
      </c>
      <c r="D4173" s="38" t="n">
        <f aca="false">Q!$E$46-Sens!$D$4171-Sens!$D$4172</f>
        <v>34.7471223867276</v>
      </c>
      <c r="E4173" s="38" t="n">
        <f aca="false">Q!$P$46-Sens!$E$4171-Sens!$E$4172</f>
        <v>17.8583499466032</v>
      </c>
      <c r="F4173" s="38" t="n">
        <f aca="false">cx_rt*Sens!$F$4012</f>
        <v>20.6195895799373</v>
      </c>
      <c r="G4173" s="38" t="n">
        <f aca="false">Sens!$E$4173+Sens!$F$4173</f>
        <v>38.4779395265405</v>
      </c>
      <c r="H4173" s="38" t="n">
        <f aca="false">cx_rt*Sens!$H$4012</f>
        <v>42.5978994743075</v>
      </c>
      <c r="I4173" s="38" t="n">
        <f aca="false">cx_rt*Sens!$I$4012</f>
        <v>46.5813904136335</v>
      </c>
      <c r="J4173" s="38" t="n">
        <f aca="false">cx_rt*Sens!$J$4012</f>
        <v>50.2781676586844</v>
      </c>
      <c r="K4173" s="38" t="n">
        <f aca="false">cx_rt*Sens!$K$4012</f>
        <v>53.5312440191755</v>
      </c>
      <c r="L4173" s="38" t="n">
        <f aca="false">cx_rt*Sens!$L$4012</f>
        <v>57.0116717051447</v>
      </c>
      <c r="M4173" s="38" t="n">
        <f aca="false">cx_rt*Sens!$M$4012</f>
        <v>60.7365554669226</v>
      </c>
    </row>
    <row r="4174" customFormat="false" ht="15" hidden="false" customHeight="false" outlineLevel="0" collapsed="false">
      <c r="A4174" s="3" t="s">
        <v>802</v>
      </c>
      <c r="B4174" s="8" t="s">
        <v>86</v>
      </c>
      <c r="C4174" s="38" t="n">
        <f aca="false">Q!$D$46</f>
        <v>77.658</v>
      </c>
      <c r="D4174" s="38" t="n">
        <f aca="false">Q!$E$46</f>
        <v>128.32</v>
      </c>
      <c r="E4174" s="38" t="n">
        <f aca="false">Q!$P$46</f>
        <v>96.31</v>
      </c>
      <c r="F4174" s="38" t="n">
        <f aca="false">Sens!$F$4171+Sens!$F$4172+Sens!$F$4173</f>
        <v>123.69</v>
      </c>
      <c r="G4174" s="38" t="n">
        <f aca="false">Sens!$E$4174+Sens!$F$4174</f>
        <v>220</v>
      </c>
      <c r="H4174" s="38" t="n">
        <f aca="false">Sens!$H$4171+Sens!$H$4172+Sens!$H$4173</f>
        <v>273.372679834898</v>
      </c>
      <c r="I4174" s="38" t="n">
        <f aca="false">Sens!$I$4171+Sens!$I$4172+Sens!$I$4173</f>
        <v>286.981812228425</v>
      </c>
      <c r="J4174" s="38" t="n">
        <f aca="false">Sens!$J$4171+Sens!$J$4172+Sens!$J$4173</f>
        <v>299.316513378366</v>
      </c>
      <c r="K4174" s="38" t="n">
        <f aca="false">Sens!$K$4171+Sens!$K$4172+Sens!$K$4173</f>
        <v>251.057145512292</v>
      </c>
      <c r="L4174" s="38" t="n">
        <f aca="false">Sens!$L$4171+Sens!$L$4172+Sens!$L$4173</f>
        <v>234.696330860396</v>
      </c>
      <c r="M4174" s="38" t="n">
        <f aca="false">Sens!$M$4171+Sens!$M$4172+Sens!$M$4173</f>
        <v>242.291696043352</v>
      </c>
    </row>
    <row r="4175" customFormat="false" ht="17.15" hidden="false" customHeight="false" outlineLevel="0" collapsed="false">
      <c r="A4175" s="5" t="s">
        <v>570</v>
      </c>
      <c r="B4175" s="0" t="s">
        <v>86</v>
      </c>
      <c r="C4175" s="38" t="n">
        <f aca="false">Q!$D$50</f>
        <v>2.043</v>
      </c>
      <c r="D4175" s="38" t="n">
        <f aca="false">Q!$E$50</f>
        <v>1.557</v>
      </c>
      <c r="E4175" s="38" t="n">
        <f aca="false">lease_pr/2</f>
        <v>0.8</v>
      </c>
      <c r="F4175" s="38" t="n">
        <f aca="false">lease_pr/2</f>
        <v>0.8</v>
      </c>
      <c r="G4175" s="38" t="n">
        <f aca="false">Sens!$E$4175+Sens!$F$4175</f>
        <v>1.6</v>
      </c>
      <c r="H4175" s="38" t="n">
        <f aca="false">lease_pr</f>
        <v>1.6</v>
      </c>
      <c r="I4175" s="38" t="n">
        <f aca="false">lease_pr</f>
        <v>1.6</v>
      </c>
      <c r="J4175" s="38" t="n">
        <f aca="false">lease_pr</f>
        <v>1.6</v>
      </c>
      <c r="K4175" s="38" t="n">
        <f aca="false">lease_pr</f>
        <v>1.6</v>
      </c>
      <c r="L4175" s="38" t="n">
        <f aca="false">lease_pr</f>
        <v>1.6</v>
      </c>
      <c r="M4175" s="38" t="n">
        <f aca="false">lease_pr</f>
        <v>1.6</v>
      </c>
      <c r="P4175" s="8" t="s">
        <v>803</v>
      </c>
    </row>
    <row r="4176" customFormat="false" ht="15" hidden="false" customHeight="false" outlineLevel="0" collapsed="false">
      <c r="A4176" s="47" t="s">
        <v>804</v>
      </c>
      <c r="B4176" s="14" t="s">
        <v>86</v>
      </c>
      <c r="C4176" s="48" t="n">
        <f aca="false">Sens!$C$4170-Sens!$C$4174-Sens!$C$4175</f>
        <v>36.176</v>
      </c>
      <c r="D4176" s="48" t="n">
        <f aca="false">Sens!$D$4170-Sens!$D$4174-Sens!$D$4175</f>
        <v>9.63700000000002</v>
      </c>
      <c r="E4176" s="48" t="n">
        <f aca="false">Sens!$E$4170-Sens!$E$4174-Sens!$E$4175</f>
        <v>-25.691</v>
      </c>
      <c r="F4176" s="48" t="n">
        <f aca="false">Sens!$F$4170-Sens!$F$4174-Sens!$F$4175</f>
        <v>-33.1516993030949</v>
      </c>
      <c r="G4176" s="48" t="n">
        <f aca="false">Sens!$G$4170-Sens!$G$4174-Sens!$G$4175</f>
        <v>-58.8426993030949</v>
      </c>
      <c r="H4176" s="48" t="n">
        <f aca="false">Sens!$H$4170-Sens!$H$4174-Sens!$H$4175</f>
        <v>-53.5340208248862</v>
      </c>
      <c r="I4176" s="48" t="n">
        <f aca="false">Sens!$I$4170-Sens!$I$4174-Sens!$I$4175</f>
        <v>-13.3924534802058</v>
      </c>
      <c r="J4176" s="48" t="n">
        <f aca="false">Sens!$J$4170-Sens!$J$4174-Sens!$J$4175</f>
        <v>27.7785729893846</v>
      </c>
      <c r="K4176" s="48" t="n">
        <f aca="false">Sens!$K$4170-Sens!$K$4174-Sens!$K$4175</f>
        <v>125.104144835526</v>
      </c>
      <c r="L4176" s="48" t="n">
        <f aca="false">Sens!$L$4170-Sens!$L$4174-Sens!$L$4175</f>
        <v>184.710917478005</v>
      </c>
      <c r="M4176" s="48" t="n">
        <f aca="false">Sens!$M$4170-Sens!$M$4174-Sens!$M$4175</f>
        <v>214.615544503428</v>
      </c>
      <c r="N4176" s="14"/>
      <c r="O4176" s="14"/>
    </row>
    <row r="4177" customFormat="false" ht="17.15" hidden="false" customHeight="false" outlineLevel="0" collapsed="false">
      <c r="A4177" s="5" t="s">
        <v>805</v>
      </c>
      <c r="B4177" s="0" t="s">
        <v>86</v>
      </c>
      <c r="C4177" s="38" t="n">
        <f aca="false">dps*Sens!$C$4156</f>
        <v>0</v>
      </c>
      <c r="D4177" s="38" t="n">
        <f aca="false">dps*Sens!$D$4156</f>
        <v>0</v>
      </c>
      <c r="E4177" s="38" t="n">
        <f aca="false">dps*Sens!$E$4156</f>
        <v>0</v>
      </c>
      <c r="F4177" s="38" t="n">
        <f aca="false">0</f>
        <v>0</v>
      </c>
      <c r="G4177" s="38" t="n">
        <f aca="false">dps*Sens!$G$4156</f>
        <v>0</v>
      </c>
      <c r="H4177" s="38" t="n">
        <f aca="false">dps*Sens!$H$4156</f>
        <v>0</v>
      </c>
      <c r="I4177" s="38" t="n">
        <f aca="false">dps*Sens!$I$4156</f>
        <v>0</v>
      </c>
      <c r="J4177" s="38" t="n">
        <f aca="false">dps*Sens!$J$4156</f>
        <v>0</v>
      </c>
      <c r="K4177" s="38" t="n">
        <f aca="false">dps*Sens!$K$4156</f>
        <v>0</v>
      </c>
      <c r="L4177" s="38" t="n">
        <f aca="false">dps*Sens!$L$4156</f>
        <v>0</v>
      </c>
      <c r="M4177" s="38" t="n">
        <f aca="false">dps*Sens!$M$4156</f>
        <v>0</v>
      </c>
      <c r="P4177" s="8" t="s">
        <v>806</v>
      </c>
    </row>
    <row r="4178" customFormat="false" ht="17.15" hidden="false" customHeight="false" outlineLevel="0" collapsed="false">
      <c r="A4178" s="5" t="s">
        <v>807</v>
      </c>
      <c r="B4178" s="0" t="s">
        <v>86</v>
      </c>
      <c r="C4178" s="38" t="n">
        <f aca="false">0</f>
        <v>0</v>
      </c>
      <c r="D4178" s="38" t="n">
        <f aca="false">0</f>
        <v>0</v>
      </c>
      <c r="E4178" s="38" t="n">
        <f aca="false">0</f>
        <v>0</v>
      </c>
      <c r="F4178" s="38" t="n">
        <f aca="false">0</f>
        <v>0</v>
      </c>
      <c r="G4178" s="38" t="n">
        <f aca="false">0</f>
        <v>0</v>
      </c>
      <c r="H4178" s="38" t="n">
        <f aca="false">0</f>
        <v>0</v>
      </c>
      <c r="I4178" s="38" t="n">
        <f aca="false">0</f>
        <v>0</v>
      </c>
      <c r="J4178" s="38" t="n">
        <f aca="false">0</f>
        <v>0</v>
      </c>
      <c r="K4178" s="38" t="n">
        <f aca="false">0</f>
        <v>0</v>
      </c>
      <c r="L4178" s="38" t="n">
        <f aca="false">0</f>
        <v>0</v>
      </c>
      <c r="M4178" s="38" t="n">
        <f aca="false">0</f>
        <v>0</v>
      </c>
      <c r="P4178" s="8" t="s">
        <v>808</v>
      </c>
    </row>
    <row r="4179" customFormat="false" ht="15" hidden="false" customHeight="false" outlineLevel="0" collapsed="false">
      <c r="A4179" s="3" t="s">
        <v>809</v>
      </c>
      <c r="B4179" s="8" t="s">
        <v>86</v>
      </c>
      <c r="C4179" s="38" t="n">
        <f aca="false">Sens!$C$4176-Sens!$C$4177</f>
        <v>36.176</v>
      </c>
      <c r="D4179" s="38" t="n">
        <f aca="false">Sens!$D$4176-Sens!$D$4177</f>
        <v>9.63700000000002</v>
      </c>
      <c r="E4179" s="38" t="n">
        <f aca="false">Sens!$E$4176-Sens!$E$4177</f>
        <v>-25.691</v>
      </c>
      <c r="F4179" s="38" t="n">
        <f aca="false">Sens!$F$4176-Sens!$F$4177</f>
        <v>-33.1516993030949</v>
      </c>
      <c r="G4179" s="38" t="n">
        <f aca="false">Sens!$G$4176-Sens!$G$4177</f>
        <v>-58.8426993030949</v>
      </c>
      <c r="H4179" s="38" t="n">
        <f aca="false">Sens!$H$4176-Sens!$H$4177</f>
        <v>-53.5340208248862</v>
      </c>
      <c r="I4179" s="38" t="n">
        <f aca="false">Sens!$I$4176-Sens!$I$4177</f>
        <v>-13.3924534802058</v>
      </c>
      <c r="J4179" s="38" t="n">
        <f aca="false">Sens!$J$4176-Sens!$J$4177</f>
        <v>27.7785729893846</v>
      </c>
      <c r="K4179" s="38" t="n">
        <f aca="false">Sens!$K$4176-Sens!$K$4177</f>
        <v>125.104144835526</v>
      </c>
      <c r="L4179" s="38" t="n">
        <f aca="false">Sens!$L$4176-Sens!$L$4177</f>
        <v>184.710917478005</v>
      </c>
      <c r="M4179" s="38" t="n">
        <f aca="false">Sens!$M$4176-Sens!$M$4177</f>
        <v>214.615544503428</v>
      </c>
    </row>
    <row r="4180" customFormat="false" ht="17.15" hidden="false" customHeight="false" outlineLevel="0" collapsed="false">
      <c r="A4180" s="5" t="s">
        <v>810</v>
      </c>
      <c r="B4180" s="0" t="s">
        <v>86</v>
      </c>
      <c r="E4180" s="38" t="n">
        <f aca="false">Q!$P$53</f>
        <v>39.767</v>
      </c>
      <c r="F4180" s="38" t="n">
        <f aca="false">inv_2h26</f>
        <v>21.3</v>
      </c>
      <c r="G4180" s="38" t="n">
        <f aca="false">Sens!$E$4180+Sens!$F$4180</f>
        <v>61.067</v>
      </c>
      <c r="H4180" s="39" t="n">
        <v>0</v>
      </c>
      <c r="I4180" s="39" t="n">
        <v>0</v>
      </c>
      <c r="J4180" s="39" t="n">
        <v>0</v>
      </c>
      <c r="K4180" s="39" t="n">
        <v>0</v>
      </c>
      <c r="L4180" s="39" t="n">
        <v>0</v>
      </c>
      <c r="M4180" s="39" t="n">
        <v>0</v>
      </c>
    </row>
    <row r="4181" customFormat="false" ht="17.15" hidden="false" customHeight="false" outlineLevel="0" collapsed="false">
      <c r="A4181" s="5" t="s">
        <v>811</v>
      </c>
      <c r="B4181" s="0" t="s">
        <v>86</v>
      </c>
      <c r="F4181" s="38" t="n">
        <f aca="false">iss_2h26</f>
        <v>29.249999</v>
      </c>
      <c r="G4181" s="38" t="n">
        <f aca="false">Sens!$F$4181</f>
        <v>29.249999</v>
      </c>
      <c r="H4181" s="39" t="n">
        <v>0</v>
      </c>
      <c r="I4181" s="39" t="n">
        <v>0</v>
      </c>
      <c r="J4181" s="39" t="n">
        <v>0</v>
      </c>
      <c r="K4181" s="39" t="n">
        <v>0</v>
      </c>
      <c r="L4181" s="39" t="n">
        <v>0</v>
      </c>
      <c r="M4181" s="39" t="n">
        <v>0</v>
      </c>
    </row>
    <row r="4182" customFormat="false" ht="17.15" hidden="false" customHeight="false" outlineLevel="0" collapsed="false">
      <c r="A4182" s="5" t="s">
        <v>812</v>
      </c>
      <c r="B4182" s="0" t="s">
        <v>86</v>
      </c>
      <c r="F4182" s="38" t="n">
        <f aca="false">cash_q2</f>
        <v>122.988</v>
      </c>
      <c r="G4182" s="38" t="n">
        <f aca="false">cash_q2</f>
        <v>122.988</v>
      </c>
      <c r="H4182" s="38" t="n">
        <f aca="false">Sens!$G$4185</f>
        <v>97.7862996969051</v>
      </c>
      <c r="I4182" s="38" t="n">
        <f aca="false">Sens!$H$4185</f>
        <v>50</v>
      </c>
      <c r="J4182" s="38" t="n">
        <f aca="false">Sens!$I$4185</f>
        <v>50</v>
      </c>
      <c r="K4182" s="38" t="n">
        <f aca="false">Sens!$J$4185</f>
        <v>77.7785729893846</v>
      </c>
      <c r="L4182" s="38" t="n">
        <f aca="false">Sens!$K$4185</f>
        <v>202.88271782491</v>
      </c>
      <c r="M4182" s="38" t="n">
        <f aca="false">Sens!$L$4185</f>
        <v>387.593635302915</v>
      </c>
    </row>
    <row r="4183" customFormat="false" ht="15" hidden="false" customHeight="false" outlineLevel="0" collapsed="false">
      <c r="A4183" s="5" t="s">
        <v>813</v>
      </c>
      <c r="B4183" s="0" t="s">
        <v>86</v>
      </c>
      <c r="F4183" s="38" t="n">
        <f aca="false">Sens!$F$4182+Sens!$F$4179-Sens!$F$4178-Sens!$F$4180+Sens!$F$4181</f>
        <v>97.7862996969051</v>
      </c>
      <c r="H4183" s="38" t="n">
        <f aca="false">Sens!$H$4182+Sens!$H$4179-Sens!$H$4178-Sens!$H$4180+Sens!$H$4181</f>
        <v>44.252278872019</v>
      </c>
      <c r="I4183" s="38" t="n">
        <f aca="false">Sens!$I$4182+Sens!$I$4179-Sens!$I$4178-Sens!$I$4180+Sens!$I$4181</f>
        <v>36.6075465197942</v>
      </c>
      <c r="J4183" s="38" t="n">
        <f aca="false">Sens!$J$4182+Sens!$J$4179-Sens!$J$4178-Sens!$J$4180+Sens!$J$4181</f>
        <v>77.7785729893846</v>
      </c>
      <c r="K4183" s="38" t="n">
        <f aca="false">Sens!$K$4182+Sens!$K$4179-Sens!$K$4178-Sens!$K$4180+Sens!$K$4181</f>
        <v>202.88271782491</v>
      </c>
      <c r="L4183" s="38" t="n">
        <f aca="false">Sens!$L$4182+Sens!$L$4179-Sens!$L$4178-Sens!$L$4180+Sens!$L$4181</f>
        <v>387.593635302915</v>
      </c>
      <c r="M4183" s="38" t="n">
        <f aca="false">Sens!$M$4182+Sens!$M$4179-Sens!$M$4178-Sens!$M$4180+Sens!$M$4181</f>
        <v>602.209179806344</v>
      </c>
    </row>
    <row r="4184" customFormat="false" ht="17.15" hidden="false" customHeight="false" outlineLevel="0" collapsed="false">
      <c r="A4184" s="5" t="s">
        <v>814</v>
      </c>
      <c r="B4184" s="0" t="s">
        <v>86</v>
      </c>
      <c r="F4184" s="38" t="n">
        <f aca="false">MAX(0,min_cash-Sens!$F$4183)</f>
        <v>0</v>
      </c>
      <c r="G4184" s="38" t="n">
        <f aca="false">Sens!$F$4184</f>
        <v>0</v>
      </c>
      <c r="H4184" s="38" t="n">
        <f aca="false">MAX(0,min_cash-Sens!$H$4183)</f>
        <v>5.74772112798102</v>
      </c>
      <c r="I4184" s="38" t="n">
        <f aca="false">MAX(0,min_cash-Sens!$I$4183)</f>
        <v>13.3924534802058</v>
      </c>
      <c r="J4184" s="38" t="n">
        <f aca="false">MAX(0,min_cash-Sens!$J$4183)</f>
        <v>0</v>
      </c>
      <c r="K4184" s="38" t="n">
        <f aca="false">MAX(0,min_cash-Sens!$K$4183)</f>
        <v>0</v>
      </c>
      <c r="L4184" s="38" t="n">
        <f aca="false">MAX(0,min_cash-Sens!$L$4183)</f>
        <v>0</v>
      </c>
      <c r="M4184" s="38" t="n">
        <f aca="false">MAX(0,min_cash-Sens!$M$4183)</f>
        <v>0</v>
      </c>
      <c r="P4184" s="5" t="s">
        <v>815</v>
      </c>
    </row>
    <row r="4185" customFormat="false" ht="15" hidden="false" customHeight="false" outlineLevel="0" collapsed="false">
      <c r="A4185" s="5" t="s">
        <v>816</v>
      </c>
      <c r="B4185" s="0" t="s">
        <v>86</v>
      </c>
      <c r="D4185" s="38" t="n">
        <f aca="false">Q!$E$61</f>
        <v>123.029</v>
      </c>
      <c r="E4185" s="38" t="n">
        <f aca="false">Q!$M$61</f>
        <v>122.988</v>
      </c>
      <c r="F4185" s="38" t="n">
        <f aca="false">Sens!$F$4183+Sens!$F$4184</f>
        <v>97.7862996969051</v>
      </c>
      <c r="G4185" s="38" t="n">
        <f aca="false">Sens!$F$4185</f>
        <v>97.7862996969051</v>
      </c>
      <c r="H4185" s="38" t="n">
        <f aca="false">Sens!$H$4183+Sens!$H$4184</f>
        <v>50</v>
      </c>
      <c r="I4185" s="38" t="n">
        <f aca="false">Sens!$I$4183+Sens!$I$4184</f>
        <v>50</v>
      </c>
      <c r="J4185" s="38" t="n">
        <f aca="false">Sens!$J$4183+Sens!$J$4184</f>
        <v>77.7785729893846</v>
      </c>
      <c r="K4185" s="38" t="n">
        <f aca="false">Sens!$K$4183+Sens!$K$4184</f>
        <v>202.88271782491</v>
      </c>
      <c r="L4185" s="38" t="n">
        <f aca="false">Sens!$L$4183+Sens!$L$4184</f>
        <v>387.593635302915</v>
      </c>
      <c r="M4185" s="38" t="n">
        <f aca="false">Sens!$M$4183+Sens!$M$4184</f>
        <v>602.209179806344</v>
      </c>
    </row>
    <row r="4186" customFormat="false" ht="15" hidden="false" customHeight="false" outlineLevel="0" collapsed="false">
      <c r="A4186" s="5" t="s">
        <v>817</v>
      </c>
      <c r="B4186" s="0" t="s">
        <v>86</v>
      </c>
      <c r="D4186" s="38" t="n">
        <f aca="false">Q!$E$62</f>
        <v>68.836</v>
      </c>
      <c r="E4186" s="38" t="n">
        <f aca="false">Q!$M$62</f>
        <v>132.995</v>
      </c>
      <c r="F4186" s="38" t="n">
        <f aca="false">debt_q2+Sens!$F$4181+Sens!$F$4184</f>
        <v>162.244999</v>
      </c>
      <c r="G4186" s="38" t="n">
        <f aca="false">Sens!$F$4186</f>
        <v>162.244999</v>
      </c>
      <c r="H4186" s="38" t="n">
        <f aca="false">Sens!$G$4186+Sens!$H$4184</f>
        <v>167.992720127981</v>
      </c>
      <c r="I4186" s="38" t="n">
        <f aca="false">Sens!$H$4186+Sens!$I$4184</f>
        <v>181.385173608187</v>
      </c>
      <c r="J4186" s="38" t="n">
        <f aca="false">Sens!$I$4186+Sens!$J$4184</f>
        <v>181.385173608187</v>
      </c>
      <c r="K4186" s="38" t="n">
        <f aca="false">Sens!$J$4186+Sens!$K$4184</f>
        <v>181.385173608187</v>
      </c>
      <c r="L4186" s="38" t="n">
        <f aca="false">Sens!$K$4186+Sens!$L$4184</f>
        <v>181.385173608187</v>
      </c>
      <c r="M4186" s="38" t="n">
        <f aca="false">Sens!$L$4186+Sens!$M$4184</f>
        <v>181.385173608187</v>
      </c>
    </row>
    <row r="4187" customFormat="false" ht="15" hidden="false" customHeight="false" outlineLevel="0" collapsed="false">
      <c r="A4187" s="5" t="s">
        <v>818</v>
      </c>
      <c r="B4187" s="0" t="s">
        <v>86</v>
      </c>
      <c r="D4187" s="38" t="n">
        <f aca="false">Sens!$D$4186-Sens!$D$4185</f>
        <v>-54.193</v>
      </c>
      <c r="E4187" s="38" t="n">
        <f aca="false">Sens!$E$4186-Sens!$E$4185</f>
        <v>10.007</v>
      </c>
      <c r="F4187" s="38" t="n">
        <f aca="false">Sens!$F$4186-Sens!$F$4185</f>
        <v>64.4586993030949</v>
      </c>
      <c r="G4187" s="38" t="n">
        <f aca="false">Sens!$G$4186-Sens!$G$4185</f>
        <v>64.4586993030949</v>
      </c>
      <c r="H4187" s="38" t="n">
        <f aca="false">Sens!$H$4186-Sens!$H$4185</f>
        <v>117.992720127981</v>
      </c>
      <c r="I4187" s="38" t="n">
        <f aca="false">Sens!$I$4186-Sens!$I$4185</f>
        <v>131.385173608187</v>
      </c>
      <c r="J4187" s="38" t="n">
        <f aca="false">Sens!$J$4186-Sens!$J$4185</f>
        <v>103.606600618802</v>
      </c>
      <c r="K4187" s="38" t="n">
        <f aca="false">Sens!$K$4186-Sens!$K$4185</f>
        <v>-21.4975442167236</v>
      </c>
      <c r="L4187" s="38" t="n">
        <f aca="false">Sens!$L$4186-Sens!$L$4185</f>
        <v>-206.208461694728</v>
      </c>
      <c r="M4187" s="38" t="n">
        <f aca="false">Sens!$M$4186-Sens!$M$4185</f>
        <v>-420.824006198157</v>
      </c>
    </row>
    <row r="4188" customFormat="false" ht="17.15" hidden="false" customHeight="false" outlineLevel="0" collapsed="false">
      <c r="A4188" s="5" t="s">
        <v>819</v>
      </c>
      <c r="B4188" s="0" t="s">
        <v>86</v>
      </c>
      <c r="F4188" s="38" t="n">
        <f aca="false">debt_q2*kd_book*0.5+iss_2h26*kd_new*iss_t</f>
        <v>3.24888962733561</v>
      </c>
      <c r="H4188" s="38" t="n">
        <f aca="false">debt_q2*kd_book+(Sens!$G$4186-debt_q2)*kd_new</f>
        <v>7.42354172302123</v>
      </c>
      <c r="I4188" s="38" t="n">
        <f aca="false">debt_q2*kd_book+(Sens!$H$4186-debt_q2)*kd_new</f>
        <v>7.78737247042243</v>
      </c>
      <c r="J4188" s="38" t="n">
        <f aca="false">debt_q2*kd_book+(Sens!$I$4186-debt_q2)*kd_new</f>
        <v>8.63511477571945</v>
      </c>
      <c r="K4188" s="38" t="n">
        <f aca="false">debt_q2*kd_book+(Sens!$J$4186-debt_q2)*kd_new</f>
        <v>8.63511477571945</v>
      </c>
      <c r="L4188" s="38" t="n">
        <f aca="false">debt_q2*kd_book+(Sens!$K$4186-debt_q2)*kd_new</f>
        <v>8.63511477571945</v>
      </c>
      <c r="M4188" s="38" t="n">
        <f aca="false">debt_q2*kd_book+(Sens!$L$4186-debt_q2)*kd_new</f>
        <v>8.63511477571945</v>
      </c>
    </row>
    <row r="4189" customFormat="false" ht="17.15" hidden="false" customHeight="false" outlineLevel="0" collapsed="false">
      <c r="A4189" s="5" t="s">
        <v>820</v>
      </c>
      <c r="B4189" s="0" t="s">
        <v>86</v>
      </c>
      <c r="F4189" s="38" t="n">
        <f aca="false">cash_q2*y_cash*0.5</f>
        <v>2.59</v>
      </c>
      <c r="H4189" s="38" t="n">
        <f aca="false">Sens!$G$4185*y_cash</f>
        <v>4.11855654559769</v>
      </c>
      <c r="I4189" s="38" t="n">
        <f aca="false">Sens!$H$4185*y_cash</f>
        <v>2.10589651022864</v>
      </c>
      <c r="J4189" s="38" t="n">
        <f aca="false">Sens!$I$4185*y_cash</f>
        <v>2.10589651022864</v>
      </c>
      <c r="K4189" s="38" t="n">
        <f aca="false">Sens!$J$4185*y_cash</f>
        <v>3.27587250857817</v>
      </c>
      <c r="L4189" s="38" t="n">
        <f aca="false">Sens!$K$4185*y_cash</f>
        <v>8.54500014906362</v>
      </c>
      <c r="M4189" s="38" t="n">
        <f aca="false">Sens!$L$4185*y_cash</f>
        <v>16.3246416794248</v>
      </c>
    </row>
    <row r="4190" customFormat="false" ht="17.15" hidden="false" customHeight="false" outlineLevel="0" collapsed="false">
      <c r="A4190" s="47" t="s">
        <v>821</v>
      </c>
      <c r="B4190" s="14" t="s">
        <v>86</v>
      </c>
      <c r="C4190" s="14"/>
      <c r="D4190" s="14"/>
      <c r="E4190" s="14"/>
      <c r="F4190" s="14"/>
      <c r="G4190" s="48" t="n">
        <f aca="false">SUM(Sens!$G$4179:$K$4179)</f>
        <v>27.1135442167236</v>
      </c>
      <c r="H4190" s="14"/>
      <c r="I4190" s="14"/>
      <c r="J4190" s="14"/>
      <c r="K4190" s="14"/>
      <c r="L4190" s="14"/>
      <c r="M4190" s="14"/>
      <c r="N4190" s="14"/>
      <c r="O4190" s="14"/>
    </row>
    <row r="4191" customFormat="false" ht="17.15" hidden="false" customHeight="false" outlineLevel="0" collapsed="false">
      <c r="A4191" s="0" t="s">
        <v>787</v>
      </c>
      <c r="B4191" s="0" t="s">
        <v>86</v>
      </c>
      <c r="G4191" s="38" t="n">
        <f aca="false">SUM(Sens!$G$4184:$K$4184)</f>
        <v>19.1401746081868</v>
      </c>
    </row>
    <row r="4192" customFormat="false" ht="17.15" hidden="false" customHeight="false" outlineLevel="0" collapsed="false">
      <c r="A4192" s="24" t="s">
        <v>824</v>
      </c>
      <c r="B4192" s="25" t="s">
        <v>86</v>
      </c>
      <c r="C4192" s="25"/>
      <c r="D4192" s="25"/>
      <c r="E4192" s="25"/>
      <c r="F4192" s="25"/>
      <c r="G4192" s="41" t="n">
        <f aca="false">Sens!$G$4190-(Sens!$G$4179+Sens!$H$4179+Sens!$I$4179+Sens!$J$4179+Sens!$K$4179)</f>
        <v>0</v>
      </c>
      <c r="H4192" s="25"/>
      <c r="I4192" s="25"/>
      <c r="J4192" s="25"/>
      <c r="K4192" s="25"/>
      <c r="L4192" s="25"/>
      <c r="M4192" s="25"/>
      <c r="N4192" s="25"/>
      <c r="O4192" s="25"/>
    </row>
    <row r="4195" customFormat="false" ht="19.4" hidden="false" customHeight="false" outlineLevel="0" collapsed="false">
      <c r="A4195" s="31" t="s">
        <v>1236</v>
      </c>
    </row>
    <row r="4196" customFormat="false" ht="17.15" hidden="false" customHeight="false" outlineLevel="0" collapsed="false">
      <c r="A4196" s="6" t="s">
        <v>16</v>
      </c>
      <c r="B4196" s="6" t="s">
        <v>17</v>
      </c>
      <c r="C4196" s="20" t="s">
        <v>504</v>
      </c>
      <c r="D4196" s="20" t="s">
        <v>505</v>
      </c>
      <c r="E4196" s="20" t="s">
        <v>587</v>
      </c>
      <c r="F4196" s="20" t="s">
        <v>588</v>
      </c>
      <c r="G4196" s="20" t="s">
        <v>589</v>
      </c>
      <c r="H4196" s="20" t="s">
        <v>590</v>
      </c>
      <c r="I4196" s="20" t="s">
        <v>591</v>
      </c>
      <c r="J4196" s="20" t="s">
        <v>592</v>
      </c>
      <c r="K4196" s="20" t="s">
        <v>593</v>
      </c>
      <c r="L4196" s="20" t="s">
        <v>594</v>
      </c>
      <c r="M4196" s="20" t="s">
        <v>595</v>
      </c>
      <c r="N4196" s="20" t="s">
        <v>596</v>
      </c>
      <c r="O4196" s="20" t="s">
        <v>597</v>
      </c>
      <c r="P4196" s="6" t="s">
        <v>23</v>
      </c>
      <c r="R4196" s="20" t="n">
        <v>2023</v>
      </c>
      <c r="S4196" s="20" t="n">
        <v>2024</v>
      </c>
      <c r="T4196" s="20" t="n">
        <v>2025</v>
      </c>
      <c r="U4196" s="20" t="n">
        <v>2026</v>
      </c>
      <c r="V4196" s="20" t="n">
        <v>2027</v>
      </c>
      <c r="W4196" s="20" t="n">
        <v>2028</v>
      </c>
      <c r="X4196" s="20" t="n">
        <v>2029</v>
      </c>
      <c r="Y4196" s="20" t="n">
        <v>2030</v>
      </c>
      <c r="Z4196" s="20" t="n">
        <v>2031</v>
      </c>
      <c r="AA4196" s="20" t="n">
        <v>2032</v>
      </c>
    </row>
    <row r="4197" customFormat="false" ht="17.15" hidden="false" customHeight="false" outlineLevel="0" collapsed="false">
      <c r="A4197" s="1" t="s">
        <v>926</v>
      </c>
    </row>
    <row r="4198" customFormat="false" ht="17.15" hidden="false" customHeight="false" outlineLevel="0" collapsed="false">
      <c r="A4198" s="0" t="s">
        <v>927</v>
      </c>
      <c r="B4198" s="0" t="s">
        <v>86</v>
      </c>
      <c r="H4198" s="38" t="n">
        <f aca="false">Sens!$H$4132*(1-tax)</f>
        <v>120.384449345863</v>
      </c>
      <c r="I4198" s="38" t="n">
        <f aca="false">Sens!$I$4132*(1-tax)</f>
        <v>142.847924405345</v>
      </c>
      <c r="J4198" s="38" t="n">
        <f aca="false">Sens!$J$4132*(1-tax)</f>
        <v>167.522235451314</v>
      </c>
      <c r="K4198" s="38" t="n">
        <f aca="false">Sens!$K$4132*(1-tax)</f>
        <v>185.16206601966</v>
      </c>
      <c r="L4198" s="38" t="n">
        <f aca="false">Sens!$L$4132*(1-tax)</f>
        <v>199.711751346129</v>
      </c>
      <c r="M4198" s="38" t="n">
        <f aca="false">Sens!$M$4132*(1-tax)</f>
        <v>212.600709177706</v>
      </c>
    </row>
    <row r="4199" customFormat="false" ht="15" hidden="false" customHeight="false" outlineLevel="0" collapsed="false">
      <c r="A4199" s="5" t="s">
        <v>928</v>
      </c>
      <c r="B4199" s="0" t="s">
        <v>86</v>
      </c>
      <c r="H4199" s="38" t="n">
        <f aca="false">Sens!$H$4143</f>
        <v>81.5618233196153</v>
      </c>
      <c r="I4199" s="38" t="n">
        <f aca="false">Sens!$I$4143</f>
        <v>118.756208740204</v>
      </c>
      <c r="J4199" s="38" t="n">
        <f aca="false">Sens!$J$4143</f>
        <v>152.469489406791</v>
      </c>
      <c r="K4199" s="38" t="n">
        <f aca="false">Sens!$K$4143</f>
        <v>186.391502623819</v>
      </c>
      <c r="L4199" s="38" t="n">
        <f aca="false">Sens!$L$4143</f>
        <v>211.926422215482</v>
      </c>
      <c r="M4199" s="38" t="n">
        <f aca="false">Sens!$M$4143</f>
        <v>229.012482097906</v>
      </c>
    </row>
    <row r="4200" customFormat="false" ht="15" hidden="false" customHeight="false" outlineLevel="0" collapsed="false">
      <c r="A4200" s="5" t="s">
        <v>929</v>
      </c>
      <c r="B4200" s="0" t="s">
        <v>86</v>
      </c>
      <c r="H4200" s="38" t="n">
        <f aca="false">Sens!$H$4174</f>
        <v>273.372679834898</v>
      </c>
      <c r="I4200" s="38" t="n">
        <f aca="false">Sens!$I$4174</f>
        <v>286.981812228425</v>
      </c>
      <c r="J4200" s="38" t="n">
        <f aca="false">Sens!$J$4174</f>
        <v>299.316513378366</v>
      </c>
      <c r="K4200" s="38" t="n">
        <f aca="false">Sens!$K$4174</f>
        <v>251.057145512292</v>
      </c>
      <c r="L4200" s="38" t="n">
        <f aca="false">Sens!$L$4174</f>
        <v>234.696330860396</v>
      </c>
      <c r="M4200" s="38" t="n">
        <f aca="false">Sens!$M$4174</f>
        <v>242.291696043352</v>
      </c>
    </row>
    <row r="4201" customFormat="false" ht="15" hidden="false" customHeight="false" outlineLevel="0" collapsed="false">
      <c r="A4201" s="5" t="s">
        <v>930</v>
      </c>
      <c r="B4201" s="0" t="s">
        <v>86</v>
      </c>
      <c r="H4201" s="38" t="n">
        <f aca="false">Sens!$H$4175</f>
        <v>1.6</v>
      </c>
      <c r="I4201" s="38" t="n">
        <f aca="false">Sens!$I$4175</f>
        <v>1.6</v>
      </c>
      <c r="J4201" s="38" t="n">
        <f aca="false">Sens!$J$4175</f>
        <v>1.6</v>
      </c>
      <c r="K4201" s="38" t="n">
        <f aca="false">Sens!$K$4175</f>
        <v>1.6</v>
      </c>
      <c r="L4201" s="38" t="n">
        <f aca="false">Sens!$L$4175</f>
        <v>1.6</v>
      </c>
      <c r="M4201" s="38" t="n">
        <f aca="false">Sens!$M$4175</f>
        <v>1.6</v>
      </c>
    </row>
    <row r="4202" customFormat="false" ht="15" hidden="false" customHeight="false" outlineLevel="0" collapsed="false">
      <c r="A4202" s="5" t="s">
        <v>931</v>
      </c>
      <c r="B4202" s="0" t="s">
        <v>86</v>
      </c>
      <c r="H4202" s="38" t="n">
        <f aca="false">Sens!$H$4169</f>
        <v>11.2928295263397</v>
      </c>
      <c r="I4202" s="38" t="n">
        <f aca="false">Sens!$I$4169</f>
        <v>12.8091546115766</v>
      </c>
      <c r="J4202" s="38" t="n">
        <f aca="false">Sens!$J$4169</f>
        <v>14.2605653162668</v>
      </c>
      <c r="K4202" s="38" t="n">
        <f aca="false">Sens!$K$4169</f>
        <v>15.5327622460396</v>
      </c>
      <c r="L4202" s="38" t="n">
        <f aca="false">Sens!$L$4169</f>
        <v>16.720573737517</v>
      </c>
      <c r="M4202" s="38" t="n">
        <f aca="false">Sens!$M$4169</f>
        <v>17.8283127551536</v>
      </c>
    </row>
    <row r="4203" customFormat="false" ht="17.15" hidden="false" customHeight="false" outlineLevel="0" collapsed="false">
      <c r="A4203" s="1" t="s">
        <v>932</v>
      </c>
      <c r="B4203" s="8" t="s">
        <v>86</v>
      </c>
      <c r="H4203" s="38" t="n">
        <f aca="false">Sens!$H$4198+Sens!$H$4199-Sens!$H$4200-Sens!$H$4201+Sens!$H$4202</f>
        <v>-61.7335776430804</v>
      </c>
      <c r="I4203" s="38" t="n">
        <f aca="false">Sens!$I$4198+Sens!$I$4199-Sens!$I$4200-Sens!$I$4201+Sens!$I$4202</f>
        <v>-14.1685244712993</v>
      </c>
      <c r="J4203" s="38" t="n">
        <f aca="false">Sens!$J$4198+Sens!$J$4199-Sens!$J$4200-Sens!$J$4201+Sens!$J$4202</f>
        <v>33.3357767960061</v>
      </c>
      <c r="K4203" s="38" t="n">
        <f aca="false">Sens!$K$4198+Sens!$K$4199-Sens!$K$4200-Sens!$K$4201+Sens!$K$4202</f>
        <v>134.429185377226</v>
      </c>
      <c r="L4203" s="38" t="n">
        <f aca="false">Sens!$L$4198+Sens!$L$4199-Sens!$L$4200-Sens!$L$4201+Sens!$L$4202</f>
        <v>192.062416438732</v>
      </c>
      <c r="M4203" s="38" t="n">
        <f aca="false">Sens!$M$4198+Sens!$M$4199-Sens!$M$4200-Sens!$M$4201+Sens!$M$4202</f>
        <v>215.549807987414</v>
      </c>
    </row>
    <row r="4204" customFormat="false" ht="15" hidden="false" customHeight="false" outlineLevel="0" collapsed="false">
      <c r="A4204" s="5" t="s">
        <v>933</v>
      </c>
      <c r="B4204" s="0" t="s">
        <v>57</v>
      </c>
      <c r="H4204" s="40" t="n">
        <f aca="false">1/(1+wacc)^(2027-2026-0.5)</f>
        <v>0.947751320380232</v>
      </c>
      <c r="I4204" s="40" t="n">
        <f aca="false">1/(1+wacc)^(2028-2026-0.5)</f>
        <v>0.851301099754987</v>
      </c>
      <c r="J4204" s="40" t="n">
        <f aca="false">1/(1+wacc)^(2029-2026-0.5)</f>
        <v>0.764666370660713</v>
      </c>
      <c r="K4204" s="40" t="n">
        <f aca="false">1/(1+wacc)^(2030-2026-0.5)</f>
        <v>0.686848235703811</v>
      </c>
      <c r="L4204" s="40" t="n">
        <f aca="false">1/(1+wacc)^(2031-2026-0.5)</f>
        <v>0.616949452715975</v>
      </c>
      <c r="M4204" s="40" t="n">
        <f aca="false">1/(1+wacc)^(2032-2026-0.5)</f>
        <v>0.554164089562688</v>
      </c>
    </row>
    <row r="4205" customFormat="false" ht="15" hidden="false" customHeight="false" outlineLevel="0" collapsed="false">
      <c r="A4205" s="5" t="s">
        <v>934</v>
      </c>
      <c r="B4205" s="0" t="s">
        <v>86</v>
      </c>
      <c r="H4205" s="38" t="n">
        <f aca="false">Sens!$H$4203*Sens!$H$4204</f>
        <v>-58.5080797230251</v>
      </c>
      <c r="I4205" s="38" t="n">
        <f aca="false">Sens!$I$4203*Sens!$I$4204</f>
        <v>-12.0616804643225</v>
      </c>
      <c r="J4205" s="38" t="n">
        <f aca="false">Sens!$J$4203*Sens!$J$4204</f>
        <v>25.4907474557576</v>
      </c>
      <c r="K4205" s="38" t="n">
        <f aca="false">Sens!$K$4203*Sens!$K$4204</f>
        <v>92.3324488034485</v>
      </c>
      <c r="L4205" s="38" t="n">
        <f aca="false">Sens!$L$4203*Sens!$L$4204</f>
        <v>118.492802709184</v>
      </c>
      <c r="M4205" s="38" t="n">
        <f aca="false">Sens!$M$4203*Sens!$M$4204</f>
        <v>119.449963098757</v>
      </c>
    </row>
    <row r="4206" customFormat="false" ht="15" hidden="false" customHeight="false" outlineLevel="0" collapsed="false">
      <c r="A4206" s="5" t="s">
        <v>935</v>
      </c>
      <c r="B4206" s="0" t="s">
        <v>86</v>
      </c>
      <c r="C4206" s="38" t="n">
        <f aca="false">SUM(Sens!$H$4205:$M$4205)</f>
        <v>285.196201879799</v>
      </c>
    </row>
    <row r="4207" customFormat="false" ht="17.15" hidden="false" customHeight="false" outlineLevel="0" collapsed="false">
      <c r="A4207" s="5" t="s">
        <v>936</v>
      </c>
      <c r="B4207" s="0" t="s">
        <v>86</v>
      </c>
      <c r="C4207" s="38" t="n">
        <f aca="false">Sens!$M$4198*(1+tg)*(1-tg/ronic)/(wacc-tg)</f>
        <v>1932.77768416871</v>
      </c>
    </row>
    <row r="4208" customFormat="false" ht="15" hidden="false" customHeight="false" outlineLevel="0" collapsed="false">
      <c r="A4208" s="5" t="s">
        <v>937</v>
      </c>
      <c r="B4208" s="0" t="s">
        <v>86</v>
      </c>
      <c r="C4208" s="38" t="n">
        <f aca="false">Sens!$C$4207/(1+wacc)^6</f>
        <v>1015.1136796505</v>
      </c>
    </row>
    <row r="4209" customFormat="false" ht="17.15" hidden="false" customHeight="false" outlineLevel="0" collapsed="false">
      <c r="A4209" s="5" t="s">
        <v>938</v>
      </c>
      <c r="B4209" s="0" t="s">
        <v>86</v>
      </c>
      <c r="C4209" s="38" t="n">
        <f aca="false">Sens!$C$4206+Sens!$C$4208</f>
        <v>1300.3098815303</v>
      </c>
    </row>
    <row r="4210" customFormat="false" ht="17.15" hidden="false" customHeight="false" outlineLevel="0" collapsed="false">
      <c r="A4210" s="5" t="s">
        <v>939</v>
      </c>
      <c r="B4210" s="0" t="s">
        <v>52</v>
      </c>
      <c r="C4210" s="13" t="n">
        <f aca="false">Sens!$C$4208/Sens!$C$4209</f>
        <v>0.780670587887743</v>
      </c>
    </row>
    <row r="4211" customFormat="false" ht="17.15" hidden="false" customHeight="false" outlineLevel="0" collapsed="false">
      <c r="A4211" s="5" t="s">
        <v>940</v>
      </c>
      <c r="B4211" s="0" t="s">
        <v>86</v>
      </c>
      <c r="C4211" s="38" t="n">
        <f aca="false">Sens!$G$4187+fin_debt</f>
        <v>88.9796993030949</v>
      </c>
    </row>
    <row r="4212" customFormat="false" ht="17.15" hidden="false" customHeight="false" outlineLevel="0" collapsed="false">
      <c r="A4212" s="5" t="s">
        <v>941</v>
      </c>
      <c r="B4212" s="0" t="s">
        <v>86</v>
      </c>
      <c r="C4212" s="38" t="n">
        <f aca="false">(ant_val*ant_sh+oai_val*oai_sh)*(1-liq_disc)</f>
        <v>178.944</v>
      </c>
    </row>
    <row r="4213" customFormat="false" ht="15" hidden="false" customHeight="false" outlineLevel="0" collapsed="false">
      <c r="A4213" s="5" t="s">
        <v>942</v>
      </c>
      <c r="B4213" s="0" t="s">
        <v>86</v>
      </c>
      <c r="C4213" s="38" t="n">
        <f aca="false">Sens!$C$4209-Sens!$C$4211+Sens!$C$4212</f>
        <v>1390.27418222721</v>
      </c>
    </row>
    <row r="4214" customFormat="false" ht="17.15" hidden="false" customHeight="false" outlineLevel="0" collapsed="false">
      <c r="A4214" s="5" t="s">
        <v>943</v>
      </c>
      <c r="B4214" s="0" t="s">
        <v>27</v>
      </c>
      <c r="C4214" s="30" t="n">
        <f aca="false">Sens!$C$4213/sh_out</f>
        <v>128.892426293839</v>
      </c>
    </row>
    <row r="4215" customFormat="false" ht="17.15" hidden="false" customHeight="false" outlineLevel="0" collapsed="false">
      <c r="A4215" s="1" t="s">
        <v>944</v>
      </c>
      <c r="B4215" s="8" t="s">
        <v>27</v>
      </c>
      <c r="C4215" s="30" t="n">
        <f aca="false">Sens!$C$4214*(1+ke)^tp_yf-dps*tp_yf</f>
        <v>141.1847483088</v>
      </c>
    </row>
    <row r="4216" customFormat="false" ht="17.15" hidden="false" customHeight="false" outlineLevel="0" collapsed="false">
      <c r="A4216" s="3" t="s">
        <v>945</v>
      </c>
    </row>
    <row r="4217" customFormat="false" ht="17.15" hidden="false" customHeight="false" outlineLevel="0" collapsed="false">
      <c r="A4217" s="5" t="s">
        <v>946</v>
      </c>
      <c r="B4217" s="0" t="s">
        <v>86</v>
      </c>
      <c r="C4217" s="38" t="n">
        <f aca="false">(1-tp_yf)*(Sens!$H$4144+sbc_ab*Sens!$H$4168*Sens!$H$4005/Sens!$H$4085)+tp_yf*(Sens!$I$4144+sbc_ab*Sens!$I$4168*Sens!$I$4005/Sens!$I$4085)</f>
        <v>70.9958243401468</v>
      </c>
    </row>
    <row r="4218" customFormat="false" ht="15" hidden="false" customHeight="false" outlineLevel="0" collapsed="false">
      <c r="A4218" s="5" t="s">
        <v>947</v>
      </c>
      <c r="B4218" s="0" t="s">
        <v>57</v>
      </c>
      <c r="C4218" s="30" t="n">
        <f aca="false">m_ads*m_x</f>
        <v>9.11</v>
      </c>
    </row>
    <row r="4219" customFormat="false" ht="17.15" hidden="false" customHeight="false" outlineLevel="0" collapsed="false">
      <c r="A4219" s="5" t="s">
        <v>948</v>
      </c>
      <c r="B4219" s="0" t="s">
        <v>86</v>
      </c>
      <c r="C4219" s="38" t="n">
        <f aca="false">Sens!$C$4217*Sens!$C$4218</f>
        <v>646.771959738738</v>
      </c>
    </row>
    <row r="4220" customFormat="false" ht="17.15" hidden="false" customHeight="false" outlineLevel="0" collapsed="false">
      <c r="A4220" s="5" t="s">
        <v>949</v>
      </c>
      <c r="B4220" s="0" t="s">
        <v>86</v>
      </c>
      <c r="C4220" s="38" t="n">
        <f aca="false">(1-tp_yf)*(Sens!$H$4145+sbc_ab*Sens!$H$4168*(Sens!$H$4012-Sens!$H$4005)/Sens!$H$4085+IF(internal_ai_reading=2,1,0)*(1-ext_sh)*Sens!$H$4042)+tp_yf*(Sens!$I$4145+sbc_ab*Sens!$I$4168*(Sens!$I$4012-Sens!$I$4005)/Sens!$I$4085+IF(internal_ai_reading=2,1,0)*(1-ext_sh)*Sens!$I$4042)</f>
        <v>42.0929318172334</v>
      </c>
    </row>
    <row r="4221" customFormat="false" ht="17.15" hidden="false" customHeight="false" outlineLevel="0" collapsed="false">
      <c r="A4221" s="5" t="s">
        <v>950</v>
      </c>
      <c r="B4221" s="0" t="s">
        <v>57</v>
      </c>
      <c r="C4221" s="30" t="n">
        <f aca="false">m_retail*m_x</f>
        <v>17.72</v>
      </c>
    </row>
    <row r="4222" customFormat="false" ht="17.15" hidden="false" customHeight="false" outlineLevel="0" collapsed="false">
      <c r="A4222" s="5" t="s">
        <v>951</v>
      </c>
      <c r="B4222" s="0" t="s">
        <v>86</v>
      </c>
      <c r="C4222" s="38" t="n">
        <f aca="false">Sens!$C$4220*Sens!$C$4221</f>
        <v>745.886751801376</v>
      </c>
    </row>
    <row r="4223" customFormat="false" ht="17.15" hidden="false" customHeight="false" outlineLevel="0" collapsed="false">
      <c r="A4223" s="0" t="s">
        <v>952</v>
      </c>
      <c r="B4223" s="0" t="s">
        <v>86</v>
      </c>
      <c r="C4223" s="38" t="n">
        <f aca="false">(1-tp_yf)*(Sens!$H$4146+sbc_ab*Sens!$H$4168*Sens!$H$4083/Sens!$H$4085)+tp_yf*(Sens!$I$4146+sbc_ab*Sens!$I$4168*Sens!$I$4083/Sens!$I$4085)</f>
        <v>97.2337130506861</v>
      </c>
    </row>
    <row r="4224" customFormat="false" ht="17.15" hidden="false" customHeight="false" outlineLevel="0" collapsed="false">
      <c r="A4224" s="0" t="s">
        <v>953</v>
      </c>
      <c r="B4224" s="0" t="s">
        <v>57</v>
      </c>
      <c r="C4224" s="30" t="n">
        <f aca="false">m_cloud*m_x</f>
        <v>13.82</v>
      </c>
    </row>
    <row r="4225" customFormat="false" ht="17.15" hidden="false" customHeight="false" outlineLevel="0" collapsed="false">
      <c r="A4225" s="0" t="s">
        <v>954</v>
      </c>
      <c r="B4225" s="0" t="s">
        <v>86</v>
      </c>
      <c r="C4225" s="38" t="n">
        <f aca="false">Sens!$C$4223*Sens!$C$4224</f>
        <v>1343.76991436048</v>
      </c>
    </row>
    <row r="4226" customFormat="false" ht="17.15" hidden="false" customHeight="false" outlineLevel="0" collapsed="false">
      <c r="A4226" s="0" t="s">
        <v>955</v>
      </c>
      <c r="B4226" s="0" t="s">
        <v>86</v>
      </c>
      <c r="H4226" s="38" t="n">
        <f aca="false">Sens!$H$4064-tax*Sens!$H$4065-ext_sh*Sens!$H$4049</f>
        <v>-115.41576008619</v>
      </c>
      <c r="I4226" s="38" t="n">
        <f aca="false">Sens!$I$4064-tax*Sens!$I$4065-ext_sh*Sens!$I$4049</f>
        <v>-88.5401912683161</v>
      </c>
      <c r="J4226" s="38" t="n">
        <f aca="false">Sens!$J$4064-tax*Sens!$J$4065-ext_sh*Sens!$J$4049</f>
        <v>-61.2977422866746</v>
      </c>
      <c r="K4226" s="38" t="n">
        <f aca="false">Sens!$K$4064-tax*Sens!$K$4065-ext_sh*Sens!$K$4049</f>
        <v>9.91264760007891</v>
      </c>
      <c r="L4226" s="38" t="n">
        <f aca="false">Sens!$L$4064-tax*Sens!$L$4065-ext_sh*Sens!$L$4049</f>
        <v>46.750156871371</v>
      </c>
      <c r="M4226" s="38" t="n">
        <f aca="false">Sens!$M$4064-tax*Sens!$M$4065-ext_sh*Sens!$M$4049</f>
        <v>55.5634749071557</v>
      </c>
    </row>
    <row r="4227" customFormat="false" ht="17.15" hidden="false" customHeight="false" outlineLevel="0" collapsed="false">
      <c r="A4227" s="5" t="s">
        <v>956</v>
      </c>
      <c r="B4227" s="0" t="s">
        <v>86</v>
      </c>
      <c r="H4227" s="38" t="n">
        <f aca="false">Sens!$H$4226*Sens!$H$4204</f>
        <v>-109.385439014374</v>
      </c>
      <c r="I4227" s="38" t="n">
        <f aca="false">Sens!$I$4226*Sens!$I$4204</f>
        <v>-75.3743621992344</v>
      </c>
      <c r="J4227" s="38" t="n">
        <f aca="false">Sens!$J$4226*Sens!$J$4204</f>
        <v>-46.8723221240472</v>
      </c>
      <c r="K4227" s="38" t="n">
        <f aca="false">Sens!$K$4226*Sens!$K$4204</f>
        <v>6.80848451526782</v>
      </c>
      <c r="L4227" s="38" t="n">
        <f aca="false">Sens!$L$4226*Sens!$L$4204</f>
        <v>28.8424836961783</v>
      </c>
      <c r="M4227" s="38" t="n">
        <f aca="false">Sens!$M$4226*Sens!$M$4204</f>
        <v>30.7912824848632</v>
      </c>
    </row>
    <row r="4228" customFormat="false" ht="17.15" hidden="false" customHeight="false" outlineLevel="0" collapsed="false">
      <c r="A4228" s="5" t="s">
        <v>957</v>
      </c>
      <c r="B4228" s="0" t="s">
        <v>86</v>
      </c>
      <c r="C4228" s="38" t="n">
        <f aca="false">Sens!$M$4065*(1-tax)*(1+tg)*(1-tg/ronic)/(wacc-tg)</f>
        <v>356.180381489473</v>
      </c>
    </row>
    <row r="4229" customFormat="false" ht="17.15" hidden="false" customHeight="false" outlineLevel="0" collapsed="false">
      <c r="A4229" s="0" t="s">
        <v>958</v>
      </c>
      <c r="B4229" s="0" t="s">
        <v>86</v>
      </c>
      <c r="C4229" s="38" t="n">
        <f aca="false">(SUM(Sens!$I$4227:$M$4227)+Sens!$C$4228/(1+wacc)^6)*(1+wacc)^tp_yf</f>
        <v>143.3703803388</v>
      </c>
    </row>
    <row r="4230" customFormat="false" ht="17.15" hidden="false" customHeight="false" outlineLevel="0" collapsed="false">
      <c r="A4230" s="5" t="s">
        <v>959</v>
      </c>
      <c r="B4230" s="0" t="s">
        <v>86</v>
      </c>
      <c r="C4230" s="38" t="n">
        <f aca="false">(1-tp_yf)*(Sens!$H$4147)+tp_yf*(Sens!$I$4147)</f>
        <v>74.6707041238437</v>
      </c>
    </row>
    <row r="4231" customFormat="false" ht="17.15" hidden="false" customHeight="false" outlineLevel="0" collapsed="false">
      <c r="A4231" s="5" t="s">
        <v>960</v>
      </c>
      <c r="B4231" s="0" t="s">
        <v>86</v>
      </c>
      <c r="C4231" s="38" t="n">
        <f aca="false">Sens!$C$4230*m_ai</f>
        <v>448.024224743062</v>
      </c>
    </row>
    <row r="4232" customFormat="false" ht="17.15" hidden="false" customHeight="false" outlineLevel="0" collapsed="false">
      <c r="A4232" s="0" t="s">
        <v>961</v>
      </c>
      <c r="B4232" s="0" t="s">
        <v>86</v>
      </c>
      <c r="C4232" s="38" t="n">
        <f aca="false">IF(ai_leg=1,Sens!$C$4229,Sens!$C$4231)</f>
        <v>143.3703803388</v>
      </c>
    </row>
    <row r="4233" customFormat="false" ht="17.15" hidden="false" customHeight="false" outlineLevel="0" collapsed="false">
      <c r="A4233" s="5" t="s">
        <v>962</v>
      </c>
      <c r="B4233" s="0" t="s">
        <v>86</v>
      </c>
      <c r="C4233" s="38" t="n">
        <f aca="false">Sens!$C$4219+Sens!$C$4222+Sens!$C$4225+Sens!$C$4232</f>
        <v>2879.7990062394</v>
      </c>
    </row>
    <row r="4234" customFormat="false" ht="17.15" hidden="false" customHeight="false" outlineLevel="0" collapsed="false">
      <c r="A4234" s="5" t="s">
        <v>963</v>
      </c>
      <c r="B4234" s="0" t="s">
        <v>86</v>
      </c>
      <c r="C4234" s="38" t="n">
        <f aca="false">Sens!$H$4187+fin_debt</f>
        <v>142.513720127981</v>
      </c>
    </row>
    <row r="4235" customFormat="false" ht="15" hidden="false" customHeight="false" outlineLevel="0" collapsed="false">
      <c r="A4235" s="5" t="s">
        <v>964</v>
      </c>
      <c r="B4235" s="0" t="s">
        <v>86</v>
      </c>
      <c r="C4235" s="38" t="n">
        <f aca="false">Sens!$C$4233-Sens!$C$4234+Sens!$C$4212</f>
        <v>2916.22928611141</v>
      </c>
    </row>
    <row r="4236" customFormat="false" ht="15" hidden="false" customHeight="false" outlineLevel="0" collapsed="false">
      <c r="A4236" s="3" t="s">
        <v>965</v>
      </c>
      <c r="B4236" s="8" t="s">
        <v>27</v>
      </c>
      <c r="C4236" s="30" t="n">
        <f aca="false">Sens!$C$4235/sh_val</f>
        <v>264.383161359814</v>
      </c>
    </row>
    <row r="4237" customFormat="false" ht="17.15" hidden="false" customHeight="false" outlineLevel="0" collapsed="false">
      <c r="A4237" s="47" t="s">
        <v>966</v>
      </c>
      <c r="B4237" s="14" t="s">
        <v>27</v>
      </c>
      <c r="C4237" s="44" t="n">
        <f aca="false">w_dcf*Sens!$C$4215+(1-w_dcf)*Sens!$C$4236</f>
        <v>202.783954834307</v>
      </c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</row>
    <row r="4238" customFormat="false" ht="17.15" hidden="false" customHeight="false" outlineLevel="0" collapsed="false">
      <c r="A4238" s="5" t="s">
        <v>967</v>
      </c>
      <c r="B4238" s="0" t="s">
        <v>27</v>
      </c>
      <c r="C4238" s="30" t="n">
        <f aca="false">v022_wdcf*Sens!$C$4215+(1-v022_wdcf)*Sens!$C$4236</f>
        <v>208.943875486857</v>
      </c>
    </row>
    <row r="4239" customFormat="false" ht="17.15" hidden="false" customHeight="false" outlineLevel="0" collapsed="false">
      <c r="A4239" s="5" t="s">
        <v>968</v>
      </c>
      <c r="B4239" s="0" t="s">
        <v>27</v>
      </c>
      <c r="C4239" s="30" t="n">
        <f aca="false">(Sens!$C$4235-Sens!$C$4232+Sens!$C$4231)/sh_val</f>
        <v>292.002850554905</v>
      </c>
    </row>
    <row r="4242" customFormat="false" ht="19.4" hidden="false" customHeight="false" outlineLevel="0" collapsed="false">
      <c r="A4242" s="31" t="s">
        <v>1237</v>
      </c>
    </row>
    <row r="4243" customFormat="false" ht="17.15" hidden="false" customHeight="false" outlineLevel="0" collapsed="false">
      <c r="A4243" s="6" t="s">
        <v>16</v>
      </c>
      <c r="B4243" s="6" t="s">
        <v>17</v>
      </c>
      <c r="C4243" s="20" t="s">
        <v>504</v>
      </c>
      <c r="D4243" s="20" t="s">
        <v>505</v>
      </c>
      <c r="E4243" s="20" t="s">
        <v>587</v>
      </c>
      <c r="F4243" s="20" t="s">
        <v>588</v>
      </c>
      <c r="G4243" s="20" t="s">
        <v>589</v>
      </c>
      <c r="H4243" s="20" t="s">
        <v>590</v>
      </c>
      <c r="I4243" s="20" t="s">
        <v>591</v>
      </c>
      <c r="J4243" s="20" t="s">
        <v>592</v>
      </c>
      <c r="K4243" s="20" t="s">
        <v>593</v>
      </c>
      <c r="L4243" s="20" t="s">
        <v>594</v>
      </c>
      <c r="M4243" s="20" t="s">
        <v>595</v>
      </c>
      <c r="N4243" s="20" t="s">
        <v>596</v>
      </c>
      <c r="O4243" s="20" t="s">
        <v>597</v>
      </c>
      <c r="P4243" s="6" t="s">
        <v>23</v>
      </c>
      <c r="R4243" s="20" t="n">
        <v>2023</v>
      </c>
      <c r="S4243" s="20" t="n">
        <v>2024</v>
      </c>
      <c r="T4243" s="20" t="n">
        <v>2025</v>
      </c>
      <c r="U4243" s="20" t="n">
        <v>2026</v>
      </c>
      <c r="V4243" s="20" t="n">
        <v>2027</v>
      </c>
      <c r="W4243" s="20" t="n">
        <v>2028</v>
      </c>
      <c r="X4243" s="20" t="n">
        <v>2029</v>
      </c>
      <c r="Y4243" s="20" t="n">
        <v>2030</v>
      </c>
      <c r="Z4243" s="20" t="n">
        <v>2031</v>
      </c>
      <c r="AA4243" s="20" t="n">
        <v>2032</v>
      </c>
    </row>
    <row r="4244" customFormat="false" ht="17.15" hidden="false" customHeight="false" outlineLevel="0" collapsed="false">
      <c r="A4244" s="1" t="s">
        <v>677</v>
      </c>
    </row>
    <row r="4245" customFormat="false" ht="17.15" hidden="false" customHeight="false" outlineLevel="0" collapsed="false">
      <c r="A4245" s="0" t="s">
        <v>526</v>
      </c>
      <c r="B4245" s="0" t="s">
        <v>86</v>
      </c>
      <c r="C4245" s="38" t="n">
        <f aca="false">Q!$D$10</f>
        <v>247.029</v>
      </c>
      <c r="D4245" s="38" t="n">
        <f aca="false">Q!$E$10</f>
        <v>269.287</v>
      </c>
      <c r="E4245" s="38" t="n">
        <f aca="false">Q!$P$10</f>
        <v>134.686</v>
      </c>
      <c r="F4245" s="38" t="n">
        <f aca="false">Sens!$O$4245*(1+Sens!$F$4246)*Sens!$F$4257</f>
        <v>158.293876822267</v>
      </c>
      <c r="G4245" s="38" t="n">
        <f aca="false">Sens!$E$4245+Sens!$F$4245</f>
        <v>292.979876822267</v>
      </c>
      <c r="H4245" s="38" t="n">
        <f aca="false">Sens!$G$4245*(1+Sens!$H$4246)</f>
        <v>318.184543087396</v>
      </c>
      <c r="I4245" s="38" t="n">
        <f aca="false">Sens!$H$4245*(1+Sens!$I$4246)</f>
        <v>341.736278761793</v>
      </c>
      <c r="J4245" s="38" t="n">
        <f aca="false">Sens!$I$4245*(1+Sens!$J$4246)</f>
        <v>362.927192787048</v>
      </c>
      <c r="K4245" s="38" t="n">
        <f aca="false">Sens!$J$4245*(1+Sens!$K$4246)</f>
        <v>381.0735524264</v>
      </c>
      <c r="L4245" s="38" t="n">
        <f aca="false">Sens!$K$4245*(1+Sens!$L$4246)</f>
        <v>400.12723004772</v>
      </c>
      <c r="M4245" s="38" t="n">
        <f aca="false">Sens!$L$4245*(1+Sens!$M$4246)</f>
        <v>420.133591550106</v>
      </c>
      <c r="N4245" s="38" t="n">
        <f aca="false">Q!$N$10</f>
        <v>118.892</v>
      </c>
      <c r="O4245" s="38" t="n">
        <f aca="false">Q!$O$10</f>
        <v>150.395</v>
      </c>
      <c r="P4245" s="8" t="s">
        <v>678</v>
      </c>
    </row>
    <row r="4246" customFormat="false" ht="17.15" hidden="false" customHeight="false" outlineLevel="0" collapsed="false">
      <c r="A4246" s="0" t="s">
        <v>679</v>
      </c>
      <c r="B4246" s="0" t="s">
        <v>52</v>
      </c>
      <c r="E4246" s="13" t="n">
        <f aca="false">Sens!$E$4245/Sens!$N$4245-1</f>
        <v>0.132843252699929</v>
      </c>
      <c r="F4246" s="13" t="n">
        <f aca="false">Sens!$O$4245/(Q!$F$10+Q!$G$10)-1</f>
        <v>0.0980382135842941</v>
      </c>
      <c r="G4246" s="13" t="n">
        <f aca="false">Sens!$G$4245/Sens!$D$4245-1</f>
        <v>0.0879837378791657</v>
      </c>
      <c r="H4246" s="13" t="n">
        <f aca="false">Sens!$F$4246+(g_os-Sens!$F$4246)*1/4</f>
        <v>0.0860286601882206</v>
      </c>
      <c r="I4246" s="13" t="n">
        <f aca="false">Sens!$F$4246+(g_os-Sens!$F$4246)*2/4</f>
        <v>0.074019106792147</v>
      </c>
      <c r="J4246" s="13" t="n">
        <f aca="false">Sens!$F$4246+(g_os-Sens!$F$4246)*3/4</f>
        <v>0.0620095533960735</v>
      </c>
      <c r="K4246" s="13" t="n">
        <f aca="false">Sens!$F$4246+(g_os-Sens!$F$4246)*4/4</f>
        <v>0.05</v>
      </c>
      <c r="L4246" s="13" t="n">
        <f aca="false">g_os</f>
        <v>0.05</v>
      </c>
      <c r="M4246" s="13" t="n">
        <f aca="false">g_os</f>
        <v>0.05</v>
      </c>
      <c r="P4246" s="8" t="s">
        <v>680</v>
      </c>
    </row>
    <row r="4247" customFormat="false" ht="17.15" hidden="false" customHeight="false" outlineLevel="0" collapsed="false">
      <c r="A4247" s="0" t="s">
        <v>527</v>
      </c>
      <c r="B4247" s="0" t="s">
        <v>86</v>
      </c>
      <c r="C4247" s="38" t="n">
        <f aca="false">Q!$D$11</f>
        <v>21.215</v>
      </c>
      <c r="D4247" s="38" t="n">
        <f aca="false">Q!$E$11</f>
        <v>22.561</v>
      </c>
      <c r="E4247" s="38" t="n">
        <f aca="false">Q!$P$11</f>
        <v>11.579</v>
      </c>
      <c r="F4247" s="38" t="n">
        <f aca="false">Sens!$O$4247*(1+Sens!$F$4248)*Sens!$F$4257</f>
        <v>11.5938724610325</v>
      </c>
      <c r="G4247" s="38" t="n">
        <f aca="false">Sens!$E$4247+Sens!$F$4247</f>
        <v>23.1728724610325</v>
      </c>
      <c r="H4247" s="38" t="n">
        <f aca="false">Sens!$G$4247*(1+Sens!$H$4248)</f>
        <v>24.353392759506</v>
      </c>
      <c r="I4247" s="38" t="n">
        <f aca="false">Sens!$H$4247*(1+Sens!$I$4248)</f>
        <v>25.4240338872015</v>
      </c>
      <c r="J4247" s="38" t="n">
        <f aca="false">Sens!$I$4247*(1+Sens!$J$4248)</f>
        <v>26.3642491017174</v>
      </c>
      <c r="K4247" s="38" t="n">
        <f aca="false">Sens!$J$4247*(1+Sens!$K$4248)</f>
        <v>27.155176574769</v>
      </c>
      <c r="L4247" s="38" t="n">
        <f aca="false">Sens!$K$4247*(1+Sens!$L$4248)</f>
        <v>27.969831872012</v>
      </c>
      <c r="M4247" s="38" t="n">
        <f aca="false">Sens!$L$4247*(1+Sens!$M$4248)</f>
        <v>28.8089268281724</v>
      </c>
      <c r="N4247" s="38" t="n">
        <f aca="false">Q!$N$11</f>
        <v>11.128</v>
      </c>
      <c r="O4247" s="38" t="n">
        <f aca="false">Q!$O$11</f>
        <v>11.433</v>
      </c>
      <c r="P4247" s="8" t="s">
        <v>678</v>
      </c>
    </row>
    <row r="4248" customFormat="false" ht="17.15" hidden="false" customHeight="false" outlineLevel="0" collapsed="false">
      <c r="A4248" s="0" t="s">
        <v>681</v>
      </c>
      <c r="B4248" s="0" t="s">
        <v>52</v>
      </c>
      <c r="E4248" s="13" t="n">
        <f aca="false">Sens!$E$4247/Sens!$N$4247-1</f>
        <v>0.0405283968368082</v>
      </c>
      <c r="F4248" s="13" t="n">
        <f aca="false">Sens!$O$4247/(Q!$F$11+Q!$G$11)-1</f>
        <v>0.0579254187100955</v>
      </c>
      <c r="G4248" s="13" t="n">
        <f aca="false">Sens!$G$4247/Sens!$D$4247-1</f>
        <v>0.0271208040881397</v>
      </c>
      <c r="H4248" s="13" t="n">
        <f aca="false">Sens!$F$4248+(g_ps-Sens!$F$4248)*1/4</f>
        <v>0.0509440640325716</v>
      </c>
      <c r="I4248" s="13" t="n">
        <f aca="false">Sens!$F$4248+(g_ps-Sens!$F$4248)*2/4</f>
        <v>0.0439627093550477</v>
      </c>
      <c r="J4248" s="13" t="n">
        <f aca="false">Sens!$F$4248+(g_ps-Sens!$F$4248)*3/4</f>
        <v>0.0369813546775239</v>
      </c>
      <c r="K4248" s="13" t="n">
        <f aca="false">Sens!$F$4248+(g_ps-Sens!$F$4248)*4/4</f>
        <v>0.03</v>
      </c>
      <c r="L4248" s="13" t="n">
        <f aca="false">g_ps</f>
        <v>0.03</v>
      </c>
      <c r="M4248" s="13" t="n">
        <f aca="false">g_ps</f>
        <v>0.03</v>
      </c>
      <c r="P4248" s="8" t="s">
        <v>682</v>
      </c>
    </row>
    <row r="4249" customFormat="false" ht="17.15" hidden="false" customHeight="false" outlineLevel="0" collapsed="false">
      <c r="A4249" s="0" t="s">
        <v>528</v>
      </c>
      <c r="B4249" s="0" t="s">
        <v>86</v>
      </c>
      <c r="C4249" s="38" t="n">
        <f aca="false">Q!$D$12</f>
        <v>156.146</v>
      </c>
      <c r="D4249" s="38" t="n">
        <f aca="false">Q!$E$12</f>
        <v>172.162</v>
      </c>
      <c r="E4249" s="38" t="n">
        <f aca="false">Q!$P$12</f>
        <v>88.358</v>
      </c>
      <c r="F4249" s="38" t="n">
        <f aca="false">Sens!$O$4249*(1+Sens!$F$4250)*Sens!$F$4257</f>
        <v>102.004388260171</v>
      </c>
      <c r="G4249" s="38" t="n">
        <f aca="false">Sens!$E$4249+Sens!$F$4249</f>
        <v>190.362388260171</v>
      </c>
      <c r="H4249" s="38" t="n">
        <f aca="false">Sens!$G$4249*(1+Sens!$H$4250)</f>
        <v>210.343106588311</v>
      </c>
      <c r="I4249" s="38" t="n">
        <f aca="false">Sens!$H$4249*(1+Sens!$I$4250)</f>
        <v>229.969728494648</v>
      </c>
      <c r="J4249" s="38" t="n">
        <f aca="false">Sens!$I$4249*(1+Sens!$J$4250)</f>
        <v>248.747636972598</v>
      </c>
      <c r="K4249" s="38" t="n">
        <f aca="false">Sens!$J$4249*(1+Sens!$K$4250)</f>
        <v>266.15997156068</v>
      </c>
      <c r="L4249" s="38" t="n">
        <f aca="false">Sens!$K$4249*(1+Sens!$L$4250)</f>
        <v>284.791169569927</v>
      </c>
      <c r="M4249" s="38" t="n">
        <f aca="false">Sens!$L$4249*(1+Sens!$M$4250)</f>
        <v>304.726551439822</v>
      </c>
      <c r="N4249" s="38" t="n">
        <f aca="false">Q!$N$12</f>
        <v>76.86</v>
      </c>
      <c r="O4249" s="38" t="n">
        <f aca="false">Q!$O$12</f>
        <v>95.302</v>
      </c>
      <c r="P4249" s="8" t="s">
        <v>678</v>
      </c>
    </row>
    <row r="4250" customFormat="false" ht="17.15" hidden="false" customHeight="false" outlineLevel="0" collapsed="false">
      <c r="A4250" s="0" t="s">
        <v>683</v>
      </c>
      <c r="B4250" s="0" t="s">
        <v>52</v>
      </c>
      <c r="E4250" s="13" t="n">
        <f aca="false">Sens!$E$4249/Sens!$N$4249-1</f>
        <v>0.1495966692688</v>
      </c>
      <c r="F4250" s="13" t="n">
        <f aca="false">Sens!$O$4249/(Q!$F$12+Q!$G$12)-1</f>
        <v>0.11661530890813</v>
      </c>
      <c r="G4250" s="13" t="n">
        <f aca="false">Sens!$G$4249/Sens!$D$4249-1</f>
        <v>0.105716640490767</v>
      </c>
      <c r="H4250" s="13" t="n">
        <f aca="false">Sens!$F$4250+(g_sp-Sens!$F$4250)*1/4</f>
        <v>0.104961481681098</v>
      </c>
      <c r="I4250" s="13" t="n">
        <f aca="false">Sens!$F$4250+(g_sp-Sens!$F$4250)*2/4</f>
        <v>0.0933076544540651</v>
      </c>
      <c r="J4250" s="13" t="n">
        <f aca="false">Sens!$F$4250+(g_sp-Sens!$F$4250)*3/4</f>
        <v>0.0816538272270325</v>
      </c>
      <c r="K4250" s="13" t="n">
        <f aca="false">Sens!$F$4250+(g_sp-Sens!$F$4250)*4/4</f>
        <v>0.07</v>
      </c>
      <c r="L4250" s="13" t="n">
        <f aca="false">g_sp</f>
        <v>0.07</v>
      </c>
      <c r="M4250" s="13" t="n">
        <f aca="false">g_sp</f>
        <v>0.07</v>
      </c>
      <c r="P4250" s="8" t="s">
        <v>684</v>
      </c>
    </row>
    <row r="4251" customFormat="false" ht="17.15" hidden="false" customHeight="false" outlineLevel="0" collapsed="false">
      <c r="A4251" s="0" t="s">
        <v>529</v>
      </c>
      <c r="B4251" s="0" t="s">
        <v>86</v>
      </c>
      <c r="C4251" s="38" t="n">
        <f aca="false">Q!$D$13</f>
        <v>56.214</v>
      </c>
      <c r="D4251" s="38" t="n">
        <f aca="false">Q!$E$13</f>
        <v>68.635</v>
      </c>
      <c r="E4251" s="38" t="n">
        <f aca="false">Q!$P$13</f>
        <v>37.052</v>
      </c>
      <c r="F4251" s="38" t="n">
        <f aca="false">Sens!$O$4251*(1+Sens!$F$4252)*Sens!$F$4257</f>
        <v>46.1572219944148</v>
      </c>
      <c r="G4251" s="38" t="n">
        <f aca="false">Sens!$E$4251+Sens!$F$4251</f>
        <v>83.2092219944148</v>
      </c>
      <c r="H4251" s="38" t="n">
        <f aca="false">Sens!$G$4251*(1+Sens!$H$4252)</f>
        <v>99.2728532229395</v>
      </c>
      <c r="I4251" s="38" t="n">
        <f aca="false">Sens!$H$4251*(1+Sens!$I$4252)</f>
        <v>114.365708324728</v>
      </c>
      <c r="J4251" s="38" t="n">
        <f aca="false">Sens!$I$4251*(1+Sens!$J$4252)</f>
        <v>127.062249699617</v>
      </c>
      <c r="K4251" s="38" t="n">
        <f aca="false">Sens!$J$4251*(1+Sens!$K$4252)</f>
        <v>135.95660717859</v>
      </c>
      <c r="L4251" s="38" t="n">
        <f aca="false">Sens!$K$4251*(1+Sens!$L$4252)</f>
        <v>145.473569681091</v>
      </c>
      <c r="M4251" s="38" t="n">
        <f aca="false">Sens!$L$4251*(1+Sens!$M$4252)</f>
        <v>155.656719558768</v>
      </c>
      <c r="N4251" s="38" t="n">
        <f aca="false">Q!$N$13</f>
        <v>29.615</v>
      </c>
      <c r="O4251" s="38" t="n">
        <f aca="false">Q!$O$13</f>
        <v>39.02</v>
      </c>
      <c r="P4251" s="8" t="s">
        <v>678</v>
      </c>
    </row>
    <row r="4252" customFormat="false" ht="17.15" hidden="false" customHeight="false" outlineLevel="0" collapsed="false">
      <c r="A4252" s="0" t="s">
        <v>685</v>
      </c>
      <c r="B4252" s="0" t="s">
        <v>52</v>
      </c>
      <c r="E4252" s="13" t="n">
        <f aca="false">Sens!$E$4251/Sens!$N$4251-1</f>
        <v>0.25112274185379</v>
      </c>
      <c r="F4252" s="13" t="n">
        <f aca="false">Sens!$O$4251/(Q!$F$13+Q!$G$13)-1</f>
        <v>0.234068123596572</v>
      </c>
      <c r="G4252" s="13" t="n">
        <f aca="false">Sens!$G$4251/Sens!$D$4251-1</f>
        <v>0.212343876949294</v>
      </c>
      <c r="H4252" s="13" t="n">
        <f aca="false">Sens!$F$4252+(g_ad_lo-Sens!$F$4252)*1/4</f>
        <v>0.193051092697429</v>
      </c>
      <c r="I4252" s="13" t="n">
        <f aca="false">Sens!$F$4252+(g_ad_lo-Sens!$F$4252)*2/4</f>
        <v>0.152034061798286</v>
      </c>
      <c r="J4252" s="13" t="n">
        <f aca="false">Sens!$F$4252+(g_ad_lo-Sens!$F$4252)*3/4</f>
        <v>0.111017030899143</v>
      </c>
      <c r="K4252" s="13" t="n">
        <f aca="false">Sens!$F$4252+(g_ad_lo-Sens!$F$4252)*4/4</f>
        <v>0.07</v>
      </c>
      <c r="L4252" s="13" t="n">
        <f aca="false">g_ad_lo</f>
        <v>0.07</v>
      </c>
      <c r="M4252" s="13" t="n">
        <f aca="false">g_ad_lo</f>
        <v>0.07</v>
      </c>
      <c r="P4252" s="8" t="s">
        <v>686</v>
      </c>
    </row>
    <row r="4253" customFormat="false" ht="17.15" hidden="false" customHeight="false" outlineLevel="0" collapsed="false">
      <c r="A4253" s="0" t="s">
        <v>530</v>
      </c>
      <c r="B4253" s="0" t="s">
        <v>86</v>
      </c>
      <c r="C4253" s="38" t="n">
        <f aca="false">Q!$D$14</f>
        <v>44.374</v>
      </c>
      <c r="D4253" s="38" t="n">
        <f aca="false">Q!$E$14</f>
        <v>49.619</v>
      </c>
      <c r="E4253" s="38" t="n">
        <f aca="false">Q!$P$14</f>
        <v>27.157</v>
      </c>
      <c r="F4253" s="38" t="n">
        <f aca="false">Sens!$O$4253*(1+Sens!$F$4254)*Sens!$F$4257</f>
        <v>27.7764165988154</v>
      </c>
      <c r="G4253" s="38" t="n">
        <f aca="false">Sens!$E$4253+Sens!$F$4253</f>
        <v>54.9334165988154</v>
      </c>
      <c r="H4253" s="38" t="n">
        <f aca="false">Sens!$G$4253*(1+Sens!$H$4254)</f>
        <v>61.1564112561829</v>
      </c>
      <c r="I4253" s="38" t="n">
        <f aca="false">Sens!$H$4253*(1+Sens!$I$4254)</f>
        <v>67.2020282103945</v>
      </c>
      <c r="J4253" s="38" t="n">
        <f aca="false">Sens!$I$4253*(1+Sens!$J$4254)</f>
        <v>72.8757274028885</v>
      </c>
      <c r="K4253" s="38" t="n">
        <f aca="false">Sens!$J$4253*(1+Sens!$K$4254)</f>
        <v>77.9770283210907</v>
      </c>
      <c r="L4253" s="38" t="n">
        <f aca="false">Sens!$K$4253*(1+Sens!$L$4254)</f>
        <v>83.4354203035671</v>
      </c>
      <c r="M4253" s="38" t="n">
        <f aca="false">Sens!$L$4253*(1+Sens!$M$4254)</f>
        <v>89.2758997248168</v>
      </c>
      <c r="N4253" s="38" t="n">
        <f aca="false">Q!$N$14</f>
        <v>23.923</v>
      </c>
      <c r="O4253" s="38" t="n">
        <f aca="false">Q!$O$14</f>
        <v>25.696</v>
      </c>
      <c r="P4253" s="8" t="s">
        <v>678</v>
      </c>
    </row>
    <row r="4254" customFormat="false" ht="17.15" hidden="false" customHeight="false" outlineLevel="0" collapsed="false">
      <c r="A4254" s="0" t="s">
        <v>687</v>
      </c>
      <c r="B4254" s="0" t="s">
        <v>52</v>
      </c>
      <c r="E4254" s="13" t="n">
        <f aca="false">Sens!$E$4253/Sens!$N$4253-1</f>
        <v>0.135183714417088</v>
      </c>
      <c r="F4254" s="13" t="n">
        <f aca="false">Sens!$O$4253/(Q!$F$14+Q!$G$14)-1</f>
        <v>0.127709997366804</v>
      </c>
      <c r="G4254" s="13" t="n">
        <f aca="false">Sens!$G$4253/Sens!$D$4253-1</f>
        <v>0.107104468022641</v>
      </c>
      <c r="H4254" s="13" t="n">
        <f aca="false">Sens!$F$4254+(g_sub-Sens!$F$4254)*1/4</f>
        <v>0.113282498025103</v>
      </c>
      <c r="I4254" s="13" t="n">
        <f aca="false">Sens!$F$4254+(g_sub-Sens!$F$4254)*2/4</f>
        <v>0.0988549986834021</v>
      </c>
      <c r="J4254" s="13" t="n">
        <f aca="false">Sens!$F$4254+(g_sub-Sens!$F$4254)*3/4</f>
        <v>0.084427499341701</v>
      </c>
      <c r="K4254" s="13" t="n">
        <f aca="false">Sens!$F$4254+(g_sub-Sens!$F$4254)*4/4</f>
        <v>0.07</v>
      </c>
      <c r="L4254" s="13" t="n">
        <f aca="false">g_sub</f>
        <v>0.07</v>
      </c>
      <c r="M4254" s="13" t="n">
        <f aca="false">g_sub</f>
        <v>0.07</v>
      </c>
      <c r="P4254" s="8" t="s">
        <v>688</v>
      </c>
    </row>
    <row r="4255" customFormat="false" ht="17.15" hidden="false" customHeight="false" outlineLevel="0" collapsed="false">
      <c r="A4255" s="0" t="s">
        <v>531</v>
      </c>
      <c r="B4255" s="0" t="s">
        <v>86</v>
      </c>
      <c r="C4255" s="38" t="n">
        <f aca="false">Q!$D$15</f>
        <v>5.425</v>
      </c>
      <c r="D4255" s="38" t="n">
        <f aca="false">Q!$E$15</f>
        <v>5.935</v>
      </c>
      <c r="E4255" s="38" t="n">
        <f aca="false">Q!$P$15</f>
        <v>3.474</v>
      </c>
      <c r="F4255" s="38" t="n">
        <f aca="false">Sens!$O$4255*(1+Sens!$F$4256)*Sens!$F$4257</f>
        <v>3.22246550883619</v>
      </c>
      <c r="G4255" s="38" t="n">
        <f aca="false">Sens!$E$4255+Sens!$F$4255</f>
        <v>6.69646550883619</v>
      </c>
      <c r="H4255" s="38" t="n">
        <f aca="false">Sens!$G$4255*(1+Sens!$H$4256)</f>
        <v>7.16251344209196</v>
      </c>
      <c r="I4255" s="38" t="n">
        <f aca="false">Sens!$H$4255*(1+Sens!$I$4256)</f>
        <v>7.61421070299826</v>
      </c>
      <c r="J4255" s="38" t="n">
        <f aca="false">Sens!$I$4255*(1+Sens!$J$4256)</f>
        <v>8.04465753523932</v>
      </c>
      <c r="K4255" s="38" t="n">
        <f aca="false">Sens!$J$4255*(1+Sens!$K$4256)</f>
        <v>8.44689041200128</v>
      </c>
      <c r="L4255" s="38" t="n">
        <f aca="false">Sens!$K$4255*(1+Sens!$L$4256)</f>
        <v>8.86923493260135</v>
      </c>
      <c r="M4255" s="38" t="n">
        <f aca="false">Sens!$L$4255*(1+Sens!$M$4256)</f>
        <v>9.31269667923142</v>
      </c>
      <c r="N4255" s="38" t="n">
        <f aca="false">Q!$N$15</f>
        <v>2.811</v>
      </c>
      <c r="O4255" s="38" t="n">
        <f aca="false">Q!$O$15</f>
        <v>3.124</v>
      </c>
      <c r="P4255" s="8" t="s">
        <v>678</v>
      </c>
    </row>
    <row r="4256" customFormat="false" ht="17.15" hidden="false" customHeight="false" outlineLevel="0" collapsed="false">
      <c r="A4256" s="0" t="s">
        <v>689</v>
      </c>
      <c r="B4256" s="0" t="s">
        <v>52</v>
      </c>
      <c r="E4256" s="13" t="n">
        <f aca="false">Sens!$E$4255/Sens!$N$4255-1</f>
        <v>0.235859124866596</v>
      </c>
      <c r="F4256" s="13" t="n">
        <f aca="false">Sens!$O$4255/(Q!$F$15+Q!$G$15)-1</f>
        <v>0.0761281433000345</v>
      </c>
      <c r="G4256" s="13" t="n">
        <f aca="false">Sens!$G$4255/Sens!$D$4255-1</f>
        <v>0.128300843948811</v>
      </c>
      <c r="H4256" s="13" t="n">
        <f aca="false">Sens!$F$4256+(g_ot-Sens!$F$4256)*1/4</f>
        <v>0.0695961074750259</v>
      </c>
      <c r="I4256" s="13" t="n">
        <f aca="false">Sens!$F$4256+(g_ot-Sens!$F$4256)*2/4</f>
        <v>0.0630640716500172</v>
      </c>
      <c r="J4256" s="13" t="n">
        <f aca="false">Sens!$F$4256+(g_ot-Sens!$F$4256)*3/4</f>
        <v>0.0565320358250086</v>
      </c>
      <c r="K4256" s="13" t="n">
        <f aca="false">Sens!$F$4256+(g_ot-Sens!$F$4256)*4/4</f>
        <v>0.05</v>
      </c>
      <c r="L4256" s="13" t="n">
        <f aca="false">g_ot</f>
        <v>0.05</v>
      </c>
      <c r="M4256" s="13" t="n">
        <f aca="false">g_ot</f>
        <v>0.05</v>
      </c>
      <c r="P4256" s="8" t="s">
        <v>690</v>
      </c>
    </row>
    <row r="4257" customFormat="false" ht="17.15" hidden="false" customHeight="false" outlineLevel="0" collapsed="false">
      <c r="A4257" s="0" t="s">
        <v>691</v>
      </c>
      <c r="B4257" s="0" t="s">
        <v>57</v>
      </c>
      <c r="F4257" s="40" t="n">
        <f aca="false">(g26q3_mid*Q!$O$8/Q!$J$8-Thesis!$F$89-Thesis!$F$93)/(Sens!$O$4245*(1+Sens!$F$4246)+Sens!$O$4247*(1+Sens!$F$4248)+Sens!$O$4249*(1+Sens!$F$4250)+Sens!$O$4251*(1+Sens!$F$4252)+Sens!$O$4253*(1+Sens!$F$4254)+Sens!$O$4255*(1+Sens!$F$4256))</f>
        <v>0.958546670622329</v>
      </c>
      <c r="P4257" s="8" t="s">
        <v>692</v>
      </c>
    </row>
    <row r="4258" customFormat="false" ht="17.15" hidden="false" customHeight="false" outlineLevel="0" collapsed="false">
      <c r="A4258" s="3" t="s">
        <v>693</v>
      </c>
      <c r="B4258" s="8" t="s">
        <v>86</v>
      </c>
      <c r="C4258" s="38" t="n">
        <f aca="false">Sens!$C$4245+Sens!$C$4247+Sens!$C$4249+Sens!$C$4251+Sens!$C$4253+Sens!$C$4255</f>
        <v>530.403</v>
      </c>
      <c r="D4258" s="38" t="n">
        <f aca="false">Sens!$D$4245+Sens!$D$4247+Sens!$D$4249+Sens!$D$4251+Sens!$D$4253+Sens!$D$4255</f>
        <v>588.199</v>
      </c>
      <c r="E4258" s="38" t="n">
        <f aca="false">Sens!$E$4245+Sens!$E$4247+Sens!$E$4249+Sens!$E$4251+Sens!$E$4253+Sens!$E$4255</f>
        <v>302.306</v>
      </c>
      <c r="F4258" s="38" t="n">
        <f aca="false">Sens!$F$4245+Sens!$F$4247+Sens!$F$4249+Sens!$F$4251+Sens!$F$4253+Sens!$F$4255</f>
        <v>349.048241645537</v>
      </c>
      <c r="G4258" s="38" t="n">
        <f aca="false">Sens!$G$4245+Sens!$G$4247+Sens!$G$4249+Sens!$G$4251+Sens!$G$4253+Sens!$G$4255</f>
        <v>651.354241645537</v>
      </c>
      <c r="H4258" s="38" t="n">
        <f aca="false">Sens!$H$4245+Sens!$H$4247+Sens!$H$4249+Sens!$H$4251+Sens!$H$4253+Sens!$H$4255</f>
        <v>720.472820356428</v>
      </c>
      <c r="I4258" s="38" t="n">
        <f aca="false">Sens!$I$4245+Sens!$I$4247+Sens!$I$4249+Sens!$I$4251+Sens!$I$4253+Sens!$I$4255</f>
        <v>786.311988381763</v>
      </c>
      <c r="J4258" s="38" t="n">
        <f aca="false">Sens!$J$4245+Sens!$J$4247+Sens!$J$4249+Sens!$J$4251+Sens!$J$4253+Sens!$J$4255</f>
        <v>846.021713499108</v>
      </c>
      <c r="K4258" s="38" t="n">
        <f aca="false">Sens!$K$4245+Sens!$K$4247+Sens!$K$4249+Sens!$K$4251+Sens!$K$4253+Sens!$K$4255</f>
        <v>896.769226473531</v>
      </c>
      <c r="L4258" s="38" t="n">
        <f aca="false">Sens!$L$4245+Sens!$L$4247+Sens!$L$4249+Sens!$L$4251+Sens!$L$4253+Sens!$L$4255</f>
        <v>950.666456406919</v>
      </c>
      <c r="M4258" s="38" t="n">
        <f aca="false">Sens!$M$4245+Sens!$M$4247+Sens!$M$4249+Sens!$M$4251+Sens!$M$4253+Sens!$M$4255</f>
        <v>1007.91438578092</v>
      </c>
      <c r="N4258" s="38" t="n">
        <f aca="false">Sens!$N$4245+Sens!$N$4247+Sens!$N$4249+Sens!$N$4251+Sens!$N$4253+Sens!$N$4255</f>
        <v>263.229</v>
      </c>
      <c r="O4258" s="38" t="n">
        <f aca="false">Sens!$O$4245+Sens!$O$4247+Sens!$O$4249+Sens!$O$4251+Sens!$O$4253+Sens!$O$4255</f>
        <v>324.97</v>
      </c>
    </row>
    <row r="4259" customFormat="false" ht="17.15" hidden="false" customHeight="false" outlineLevel="0" collapsed="false">
      <c r="A4259" s="5" t="s">
        <v>694</v>
      </c>
      <c r="B4259" s="0" t="s">
        <v>52</v>
      </c>
      <c r="C4259" s="13" t="n">
        <f aca="false">Q!$D$5/(Q!$D$5+Q!$D$6)</f>
        <v>0.730570905519011</v>
      </c>
      <c r="D4259" s="13" t="n">
        <f aca="false">Q!$E$5/(Q!$E$5+Q!$E$6)</f>
        <v>0.724763217890544</v>
      </c>
      <c r="E4259" s="13" t="n">
        <f aca="false">Q!$P$5/(Q!$P$5+Q!$P$6)</f>
        <v>0.728797972914861</v>
      </c>
      <c r="F4259" s="13" t="n">
        <f aca="false">Sens!$O$4259</f>
        <v>0.718066283041511</v>
      </c>
      <c r="G4259" s="13" t="n">
        <f aca="false">Sens!$G$4260/Sens!$G$4258</f>
        <v>0.723047066202847</v>
      </c>
      <c r="H4259" s="13" t="n">
        <f aca="false">Sens!$G$4259</f>
        <v>0.723047066202847</v>
      </c>
      <c r="I4259" s="13" t="n">
        <f aca="false">Sens!$G$4259</f>
        <v>0.723047066202847</v>
      </c>
      <c r="J4259" s="13" t="n">
        <f aca="false">Sens!$G$4259</f>
        <v>0.723047066202847</v>
      </c>
      <c r="K4259" s="13" t="n">
        <f aca="false">Sens!$G$4259</f>
        <v>0.723047066202847</v>
      </c>
      <c r="L4259" s="13" t="n">
        <f aca="false">Sens!$G$4259</f>
        <v>0.723047066202847</v>
      </c>
      <c r="M4259" s="13" t="n">
        <f aca="false">Sens!$G$4259</f>
        <v>0.723047066202847</v>
      </c>
      <c r="N4259" s="13" t="n">
        <f aca="false">Q!$N$5/(Q!$N$5+Q!$N$6)</f>
        <v>0.733030935041352</v>
      </c>
      <c r="O4259" s="13" t="n">
        <f aca="false">Q!$O$5/(Q!$O$5+Q!$O$6)</f>
        <v>0.718066283041511</v>
      </c>
      <c r="P4259" s="8" t="s">
        <v>695</v>
      </c>
    </row>
    <row r="4260" customFormat="false" ht="17.15" hidden="false" customHeight="false" outlineLevel="0" collapsed="false">
      <c r="A4260" s="1" t="s">
        <v>519</v>
      </c>
      <c r="B4260" s="8" t="s">
        <v>86</v>
      </c>
      <c r="C4260" s="38" t="n">
        <f aca="false">Q!$D$5</f>
        <v>387.497</v>
      </c>
      <c r="D4260" s="38" t="n">
        <f aca="false">Q!$E$5</f>
        <v>426.305</v>
      </c>
      <c r="E4260" s="38" t="n">
        <f aca="false">Q!$P$5</f>
        <v>220.32</v>
      </c>
      <c r="F4260" s="38" t="n">
        <f aca="false">Sens!$F$4258*Sens!$F$4259</f>
        <v>250.639773480586</v>
      </c>
      <c r="G4260" s="38" t="n">
        <f aca="false">Sens!$E$4260+Sens!$F$4260</f>
        <v>470.959773480586</v>
      </c>
      <c r="H4260" s="38" t="n">
        <f aca="false">Sens!$H$4258*Sens!$H$4259</f>
        <v>520.935759037606</v>
      </c>
      <c r="I4260" s="38" t="n">
        <f aca="false">Sens!$I$4258*Sens!$I$4259</f>
        <v>568.540576319561</v>
      </c>
      <c r="J4260" s="38" t="n">
        <f aca="false">Sens!$J$4258*Sens!$J$4259</f>
        <v>611.713517889435</v>
      </c>
      <c r="K4260" s="38" t="n">
        <f aca="false">Sens!$K$4258*Sens!$K$4259</f>
        <v>648.406358262683</v>
      </c>
      <c r="L4260" s="38" t="n">
        <f aca="false">Sens!$L$4258*Sens!$L$4259</f>
        <v>687.37659224248</v>
      </c>
      <c r="M4260" s="38" t="n">
        <f aca="false">Sens!$M$4258*Sens!$M$4259</f>
        <v>728.769539622536</v>
      </c>
      <c r="N4260" s="38" t="n">
        <f aca="false">Q!$N$5</f>
        <v>192.955</v>
      </c>
      <c r="O4260" s="38" t="n">
        <f aca="false">Q!$O$5</f>
        <v>233.35</v>
      </c>
      <c r="P4260" s="5" t="s">
        <v>696</v>
      </c>
    </row>
    <row r="4261" customFormat="false" ht="17.15" hidden="false" customHeight="false" outlineLevel="0" collapsed="false">
      <c r="A4261" s="1" t="s">
        <v>522</v>
      </c>
      <c r="B4261" s="8" t="s">
        <v>86</v>
      </c>
      <c r="C4261" s="38" t="n">
        <f aca="false">Q!$D$6</f>
        <v>142.906</v>
      </c>
      <c r="D4261" s="38" t="n">
        <f aca="false">Q!$E$6</f>
        <v>161.894</v>
      </c>
      <c r="E4261" s="38" t="n">
        <f aca="false">Q!$P$6</f>
        <v>81.986</v>
      </c>
      <c r="F4261" s="38" t="n">
        <f aca="false">Sens!$F$4258*(1-Sens!$F$4259)</f>
        <v>98.408468164951</v>
      </c>
      <c r="G4261" s="38" t="n">
        <f aca="false">Sens!$E$4261+Sens!$F$4261</f>
        <v>180.394468164951</v>
      </c>
      <c r="H4261" s="38" t="n">
        <f aca="false">Sens!$H$4258*(1-Sens!$H$4259)</f>
        <v>199.537061318822</v>
      </c>
      <c r="I4261" s="38" t="n">
        <f aca="false">Sens!$I$4258*(1-Sens!$I$4259)</f>
        <v>217.771412062202</v>
      </c>
      <c r="J4261" s="38" t="n">
        <f aca="false">Sens!$J$4258*(1-Sens!$J$4259)</f>
        <v>234.308195609672</v>
      </c>
      <c r="K4261" s="38" t="n">
        <f aca="false">Sens!$K$4258*(1-Sens!$K$4259)</f>
        <v>248.362868210848</v>
      </c>
      <c r="L4261" s="38" t="n">
        <f aca="false">Sens!$L$4258*(1-Sens!$L$4259)</f>
        <v>263.289864164439</v>
      </c>
      <c r="M4261" s="38" t="n">
        <f aca="false">Sens!$M$4258*(1-Sens!$M$4259)</f>
        <v>279.14484615838</v>
      </c>
      <c r="N4261" s="38" t="n">
        <f aca="false">Q!$N$6</f>
        <v>70.274</v>
      </c>
      <c r="O4261" s="38" t="n">
        <f aca="false">Q!$O$6</f>
        <v>91.62</v>
      </c>
      <c r="P4261" s="5" t="s">
        <v>697</v>
      </c>
    </row>
    <row r="4262" customFormat="false" ht="17.15" hidden="false" customHeight="false" outlineLevel="0" collapsed="false">
      <c r="A4262" s="5" t="s">
        <v>698</v>
      </c>
      <c r="B4262" s="0" t="s">
        <v>86</v>
      </c>
      <c r="C4262" s="38" t="n">
        <f aca="false">Sens!$C$4251*Sens!$C$4259</f>
        <v>41.0683128828457</v>
      </c>
      <c r="D4262" s="38" t="n">
        <f aca="false">Sens!$D$4251*Sens!$D$4259</f>
        <v>49.7441234599175</v>
      </c>
      <c r="E4262" s="38" t="n">
        <f aca="false">Sens!$E$4251*Sens!$E$4259</f>
        <v>27.0034224924414</v>
      </c>
      <c r="F4262" s="38" t="n">
        <f aca="false">Sens!$F$4251*Sens!$F$4259</f>
        <v>33.1439448330513</v>
      </c>
      <c r="G4262" s="38" t="n">
        <f aca="false">Sens!$G$4251*Sens!$G$4259</f>
        <v>60.164183844083</v>
      </c>
      <c r="H4262" s="38" t="n">
        <f aca="false">Sens!$H$4251*Sens!$H$4259</f>
        <v>71.7789452764322</v>
      </c>
      <c r="I4262" s="38" t="n">
        <f aca="false">Sens!$I$4251*Sens!$I$4259</f>
        <v>82.6917898784051</v>
      </c>
      <c r="J4262" s="38" t="n">
        <f aca="false">Sens!$J$4251*Sens!$J$4259</f>
        <v>91.8719868704415</v>
      </c>
      <c r="K4262" s="38" t="n">
        <f aca="false">Sens!$K$4251*Sens!$K$4259</f>
        <v>98.3030259513724</v>
      </c>
      <c r="L4262" s="38" t="n">
        <f aca="false">Sens!$L$4251*Sens!$L$4259</f>
        <v>105.184237767968</v>
      </c>
      <c r="M4262" s="38" t="n">
        <f aca="false">Sens!$M$4251*Sens!$M$4259</f>
        <v>112.547134411726</v>
      </c>
      <c r="N4262" s="38" t="n">
        <f aca="false">Sens!$N$4251*Sens!$N$4259</f>
        <v>21.7087111412496</v>
      </c>
      <c r="O4262" s="38" t="n">
        <f aca="false">Sens!$O$4251*Sens!$O$4259</f>
        <v>28.0189463642798</v>
      </c>
      <c r="P4262" s="5" t="s">
        <v>699</v>
      </c>
    </row>
    <row r="4263" customFormat="false" ht="15" hidden="false" customHeight="false" outlineLevel="0" collapsed="false">
      <c r="A4263" s="5" t="s">
        <v>700</v>
      </c>
      <c r="B4263" s="0" t="s">
        <v>86</v>
      </c>
      <c r="C4263" s="38" t="n">
        <f aca="false">Sens!$C$4251-Sens!$C$4262</f>
        <v>15.1456871171543</v>
      </c>
      <c r="D4263" s="38" t="n">
        <f aca="false">Sens!$D$4251-Sens!$D$4262</f>
        <v>18.8908765400825</v>
      </c>
      <c r="E4263" s="38" t="n">
        <f aca="false">Sens!$E$4251-Sens!$E$4262</f>
        <v>10.0485775075586</v>
      </c>
      <c r="F4263" s="38" t="n">
        <f aca="false">Sens!$F$4251-Sens!$F$4262</f>
        <v>13.0132771613635</v>
      </c>
      <c r="G4263" s="38" t="n">
        <f aca="false">Sens!$G$4251-Sens!$G$4262</f>
        <v>23.0450381503318</v>
      </c>
      <c r="H4263" s="38" t="n">
        <f aca="false">Sens!$H$4251-Sens!$H$4262</f>
        <v>27.4939079465072</v>
      </c>
      <c r="I4263" s="38" t="n">
        <f aca="false">Sens!$I$4251-Sens!$I$4262</f>
        <v>31.6739184463229</v>
      </c>
      <c r="J4263" s="38" t="n">
        <f aca="false">Sens!$J$4251-Sens!$J$4262</f>
        <v>35.1902628291752</v>
      </c>
      <c r="K4263" s="38" t="n">
        <f aca="false">Sens!$K$4251-Sens!$K$4262</f>
        <v>37.6535812272175</v>
      </c>
      <c r="L4263" s="38" t="n">
        <f aca="false">Sens!$L$4251-Sens!$L$4262</f>
        <v>40.2893319131227</v>
      </c>
      <c r="M4263" s="38" t="n">
        <f aca="false">Sens!$M$4251-Sens!$M$4262</f>
        <v>43.1095851470413</v>
      </c>
      <c r="N4263" s="38" t="n">
        <f aca="false">Sens!$N$4251-Sens!$N$4262</f>
        <v>7.90628885875037</v>
      </c>
      <c r="O4263" s="38" t="n">
        <f aca="false">Sens!$O$4251-Sens!$O$4262</f>
        <v>11.0010536357202</v>
      </c>
    </row>
    <row r="4264" customFormat="false" ht="19.4" hidden="false" customHeight="false" outlineLevel="0" collapsed="false">
      <c r="A4264" s="31" t="s">
        <v>1238</v>
      </c>
    </row>
    <row r="4265" customFormat="false" ht="17.15" hidden="false" customHeight="false" outlineLevel="0" collapsed="false">
      <c r="A4265" s="6" t="s">
        <v>16</v>
      </c>
      <c r="B4265" s="6" t="s">
        <v>17</v>
      </c>
      <c r="C4265" s="20" t="s">
        <v>504</v>
      </c>
      <c r="D4265" s="20" t="s">
        <v>505</v>
      </c>
      <c r="E4265" s="20" t="s">
        <v>587</v>
      </c>
      <c r="F4265" s="20" t="s">
        <v>588</v>
      </c>
      <c r="G4265" s="20" t="s">
        <v>589</v>
      </c>
      <c r="H4265" s="20" t="s">
        <v>590</v>
      </c>
      <c r="I4265" s="20" t="s">
        <v>591</v>
      </c>
      <c r="J4265" s="20" t="s">
        <v>592</v>
      </c>
      <c r="K4265" s="20" t="s">
        <v>593</v>
      </c>
      <c r="L4265" s="20" t="s">
        <v>594</v>
      </c>
      <c r="M4265" s="20" t="s">
        <v>595</v>
      </c>
      <c r="N4265" s="20" t="s">
        <v>596</v>
      </c>
      <c r="O4265" s="20" t="s">
        <v>597</v>
      </c>
      <c r="P4265" s="6" t="s">
        <v>23</v>
      </c>
      <c r="R4265" s="20" t="n">
        <v>2023</v>
      </c>
      <c r="S4265" s="20" t="n">
        <v>2024</v>
      </c>
      <c r="T4265" s="20" t="n">
        <v>2025</v>
      </c>
      <c r="U4265" s="20" t="n">
        <v>2026</v>
      </c>
      <c r="V4265" s="20" t="n">
        <v>2027</v>
      </c>
      <c r="W4265" s="20" t="n">
        <v>2028</v>
      </c>
      <c r="X4265" s="20" t="n">
        <v>2029</v>
      </c>
      <c r="Y4265" s="20" t="n">
        <v>2030</v>
      </c>
      <c r="Z4265" s="20" t="n">
        <v>2031</v>
      </c>
      <c r="AA4265" s="20" t="n">
        <v>2032</v>
      </c>
    </row>
    <row r="4266" customFormat="false" ht="17.15" hidden="false" customHeight="false" outlineLevel="0" collapsed="false">
      <c r="A4266" s="1" t="s">
        <v>598</v>
      </c>
    </row>
    <row r="4267" customFormat="false" ht="17.15" hidden="false" customHeight="false" outlineLevel="0" collapsed="false">
      <c r="A4267" s="5" t="s">
        <v>599</v>
      </c>
      <c r="B4267" s="0" t="s">
        <v>144</v>
      </c>
      <c r="H4267" s="32" t="n">
        <f aca="false">pace_B</f>
        <v>3634.3</v>
      </c>
      <c r="I4267" s="32" t="n">
        <f aca="false">pace_B</f>
        <v>3634.3</v>
      </c>
      <c r="J4267" s="32" t="n">
        <f aca="false">pace_B</f>
        <v>3634.3</v>
      </c>
      <c r="K4267" s="32" t="n">
        <f aca="false">pace_B+(Sens!$J$4268*tg-pace_B)*1/3</f>
        <v>2570.86716666667</v>
      </c>
      <c r="L4267" s="32" t="n">
        <f aca="false">pace_B+(Sens!$J$4268*tg-pace_B)*2/3</f>
        <v>1507.43433333333</v>
      </c>
      <c r="M4267" s="32" t="n">
        <f aca="false">pace_B+(Sens!$J$4268*tg-pace_B)*3/3</f>
        <v>444.0015</v>
      </c>
      <c r="P4267" s="5" t="s">
        <v>600</v>
      </c>
    </row>
    <row r="4268" customFormat="false" ht="17.15" hidden="false" customHeight="false" outlineLevel="0" collapsed="false">
      <c r="A4268" s="15" t="s">
        <v>601</v>
      </c>
      <c r="B4268" s="14" t="s">
        <v>129</v>
      </c>
      <c r="C4268" s="33" t="n">
        <f aca="false">mw_ye24</f>
        <v>360</v>
      </c>
      <c r="D4268" s="33" t="n">
        <f aca="false">mw_ye25</f>
        <v>1440</v>
      </c>
      <c r="E4268" s="33" t="n">
        <f aca="false">mw_open</f>
        <v>2080</v>
      </c>
      <c r="F4268" s="33" t="n">
        <f aca="false">Sens!$E$4268+pace_B*0.5</f>
        <v>3897.15</v>
      </c>
      <c r="G4268" s="33" t="n">
        <f aca="false">Sens!$F$4268</f>
        <v>3897.15</v>
      </c>
      <c r="H4268" s="33" t="n">
        <f aca="false">Sens!$G$4268+Sens!$H$4267</f>
        <v>7531.45</v>
      </c>
      <c r="I4268" s="33" t="n">
        <f aca="false">Sens!$H$4268+Sens!$I$4267</f>
        <v>11165.75</v>
      </c>
      <c r="J4268" s="33" t="n">
        <f aca="false">Sens!$I$4268+Sens!$J$4267</f>
        <v>14800.05</v>
      </c>
      <c r="K4268" s="33" t="n">
        <f aca="false">Sens!$J$4268+Sens!$K$4267</f>
        <v>17370.9171666667</v>
      </c>
      <c r="L4268" s="33" t="n">
        <f aca="false">Sens!$K$4268+Sens!$L$4267</f>
        <v>18878.3515</v>
      </c>
      <c r="M4268" s="33" t="n">
        <f aca="false">Sens!$L$4268+Sens!$M$4267</f>
        <v>19322.353</v>
      </c>
      <c r="N4268" s="33" t="n">
        <f aca="false">(mw_ye24+mw_ye25)/2</f>
        <v>900</v>
      </c>
      <c r="O4268" s="33" t="n">
        <f aca="false">mw_ye25</f>
        <v>1440</v>
      </c>
      <c r="P4268" s="5" t="s">
        <v>602</v>
      </c>
    </row>
    <row r="4269" customFormat="false" ht="17.15" hidden="false" customHeight="false" outlineLevel="0" collapsed="false">
      <c r="A4269" s="5" t="s">
        <v>603</v>
      </c>
      <c r="B4269" s="0" t="s">
        <v>129</v>
      </c>
      <c r="C4269" s="32" t="n">
        <f aca="false">(mw_ye23+mw_ye24)/2</f>
        <v>240</v>
      </c>
      <c r="D4269" s="32" t="n">
        <f aca="false">(Sens!$C$4268+Sens!$D$4268)/2</f>
        <v>900</v>
      </c>
      <c r="E4269" s="32" t="n">
        <f aca="false">(Sens!$D$4268+Sens!$E$4268)/2</f>
        <v>1760</v>
      </c>
      <c r="F4269" s="32" t="n">
        <f aca="false">(Sens!$E$4268+Sens!$F$4268)/2</f>
        <v>2988.575</v>
      </c>
      <c r="G4269" s="32" t="n">
        <f aca="false">(Sens!$E$4269+Sens!$F$4269)/2</f>
        <v>2374.2875</v>
      </c>
      <c r="H4269" s="32" t="n">
        <f aca="false">(Sens!$G$4268+Sens!$H$4268)/2</f>
        <v>5714.3</v>
      </c>
      <c r="I4269" s="32" t="n">
        <f aca="false">(Sens!$H$4268+Sens!$I$4268)/2</f>
        <v>9348.6</v>
      </c>
      <c r="J4269" s="32" t="n">
        <f aca="false">(Sens!$I$4268+Sens!$J$4268)/2</f>
        <v>12982.9</v>
      </c>
      <c r="K4269" s="32" t="n">
        <f aca="false">(Sens!$J$4268+Sens!$K$4268)/2</f>
        <v>16085.4835833333</v>
      </c>
      <c r="L4269" s="32" t="n">
        <f aca="false">(Sens!$K$4268+Sens!$L$4268)/2</f>
        <v>18124.6343333333</v>
      </c>
      <c r="M4269" s="32" t="n">
        <f aca="false">(Sens!$L$4268+Sens!$M$4268)/2</f>
        <v>19100.35225</v>
      </c>
      <c r="N4269" s="32" t="n">
        <f aca="false">(Sens!$C$4268+Sens!$N$4268)/2</f>
        <v>630</v>
      </c>
      <c r="O4269" s="32" t="n">
        <f aca="false">(Sens!$N$4268+Sens!$O$4268)/2</f>
        <v>1170</v>
      </c>
    </row>
    <row r="4270" customFormat="false" ht="15" hidden="false" customHeight="false" outlineLevel="0" collapsed="false">
      <c r="A4270" s="5" t="s">
        <v>604</v>
      </c>
      <c r="B4270" s="5" t="s">
        <v>123</v>
      </c>
      <c r="C4270" s="34" t="n">
        <v>1</v>
      </c>
      <c r="D4270" s="34" t="n">
        <v>1</v>
      </c>
      <c r="E4270" s="34" t="n">
        <v>0.5</v>
      </c>
      <c r="F4270" s="34" t="n">
        <v>0.5</v>
      </c>
      <c r="G4270" s="34" t="n">
        <v>1</v>
      </c>
      <c r="H4270" s="34" t="n">
        <v>1</v>
      </c>
      <c r="I4270" s="34" t="n">
        <v>1</v>
      </c>
      <c r="J4270" s="34" t="n">
        <v>1</v>
      </c>
      <c r="K4270" s="34" t="n">
        <v>1</v>
      </c>
      <c r="L4270" s="34" t="n">
        <v>1</v>
      </c>
      <c r="M4270" s="34" t="n">
        <v>1</v>
      </c>
      <c r="N4270" s="34" t="n">
        <v>0.5</v>
      </c>
      <c r="O4270" s="34" t="n">
        <v>0.5</v>
      </c>
    </row>
    <row r="4271" customFormat="false" ht="17.15" hidden="false" customHeight="false" outlineLevel="0" collapsed="false">
      <c r="A4271" s="5" t="s">
        <v>605</v>
      </c>
      <c r="B4271" s="0" t="s">
        <v>129</v>
      </c>
      <c r="C4271" s="32" t="n">
        <f aca="false">Sens!$C$4268-mw_ye23</f>
        <v>240</v>
      </c>
      <c r="D4271" s="32" t="n">
        <f aca="false">Sens!$D$4268-Sens!$C$4268</f>
        <v>1080</v>
      </c>
      <c r="E4271" s="32" t="n">
        <f aca="false">Sens!$E$4268-Sens!$D$4268</f>
        <v>640</v>
      </c>
      <c r="F4271" s="32" t="n">
        <f aca="false">Sens!$F$4268-Sens!$E$4268</f>
        <v>1817.15</v>
      </c>
      <c r="G4271" s="32" t="n">
        <f aca="false">Sens!$E$4271+Sens!$F$4271</f>
        <v>2457.15</v>
      </c>
      <c r="H4271" s="32" t="n">
        <f aca="false">Sens!$H$4268-Sens!$G$4268</f>
        <v>3634.3</v>
      </c>
      <c r="I4271" s="32" t="n">
        <f aca="false">Sens!$I$4268-Sens!$H$4268</f>
        <v>3634.3</v>
      </c>
      <c r="J4271" s="32" t="n">
        <f aca="false">Sens!$J$4268-Sens!$I$4268</f>
        <v>3634.3</v>
      </c>
      <c r="K4271" s="32" t="n">
        <f aca="false">Sens!$K$4268-Sens!$J$4268</f>
        <v>2570.86716666667</v>
      </c>
      <c r="L4271" s="32" t="n">
        <f aca="false">Sens!$L$4268-Sens!$K$4268</f>
        <v>1507.43433333333</v>
      </c>
      <c r="M4271" s="32" t="n">
        <f aca="false">Sens!$M$4268-Sens!$L$4268</f>
        <v>444.001499999999</v>
      </c>
      <c r="N4271" s="32" t="n">
        <f aca="false">Sens!$N$4268-Sens!$C$4268</f>
        <v>540</v>
      </c>
      <c r="O4271" s="32" t="n">
        <f aca="false">Sens!$O$4268-Sens!$N$4268</f>
        <v>540</v>
      </c>
    </row>
    <row r="4272" customFormat="false" ht="17.15" hidden="false" customHeight="false" outlineLevel="0" collapsed="false">
      <c r="A4272" s="5" t="s">
        <v>606</v>
      </c>
      <c r="B4272" s="0" t="s">
        <v>129</v>
      </c>
      <c r="C4272" s="32" t="n">
        <f aca="false">Sens!$C$4271/ext_sh</f>
        <v>300</v>
      </c>
      <c r="D4272" s="32" t="n">
        <f aca="false">Sens!$D$4271/ext_sh</f>
        <v>1350</v>
      </c>
      <c r="E4272" s="32" t="n">
        <f aca="false">Sens!$E$4271/ext_sh</f>
        <v>800</v>
      </c>
      <c r="F4272" s="32" t="n">
        <f aca="false">Sens!$F$4271/ext_sh</f>
        <v>2271.4375</v>
      </c>
      <c r="G4272" s="32" t="n">
        <f aca="false">Sens!$G$4271/ext_sh</f>
        <v>3071.4375</v>
      </c>
      <c r="H4272" s="32" t="n">
        <f aca="false">Sens!$H$4271/ext_sh</f>
        <v>4542.875</v>
      </c>
      <c r="I4272" s="32" t="n">
        <f aca="false">Sens!$I$4271/ext_sh</f>
        <v>4542.875</v>
      </c>
      <c r="J4272" s="32" t="n">
        <f aca="false">Sens!$J$4271/ext_sh</f>
        <v>4542.875</v>
      </c>
      <c r="K4272" s="32" t="n">
        <f aca="false">Sens!$K$4271/ext_sh</f>
        <v>3213.58395833333</v>
      </c>
      <c r="L4272" s="32" t="n">
        <f aca="false">Sens!$L$4271/ext_sh</f>
        <v>1884.29291666667</v>
      </c>
      <c r="M4272" s="32" t="n">
        <f aca="false">Sens!$M$4271/ext_sh</f>
        <v>555.001874999998</v>
      </c>
      <c r="N4272" s="32" t="n">
        <f aca="false">Sens!$N$4271/ext_sh</f>
        <v>675</v>
      </c>
      <c r="O4272" s="32" t="n">
        <f aca="false">Sens!$O$4271/ext_sh</f>
        <v>675</v>
      </c>
      <c r="P4272" s="8" t="s">
        <v>607</v>
      </c>
      <c r="R4272" s="32" t="n">
        <f aca="false">mw_ye23/ext_sh</f>
        <v>150</v>
      </c>
      <c r="S4272" s="32" t="n">
        <f aca="false">Sens!$C$4272</f>
        <v>300</v>
      </c>
      <c r="T4272" s="32" t="n">
        <f aca="false">Sens!$D$4272</f>
        <v>1350</v>
      </c>
      <c r="U4272" s="32" t="n">
        <f aca="false">Sens!$G$4272</f>
        <v>3071.4375</v>
      </c>
      <c r="V4272" s="32" t="n">
        <f aca="false">Sens!$H$4272</f>
        <v>4542.875</v>
      </c>
      <c r="W4272" s="32" t="n">
        <f aca="false">Sens!$I$4272</f>
        <v>4542.875</v>
      </c>
      <c r="X4272" s="32" t="n">
        <f aca="false">Sens!$J$4272</f>
        <v>4542.875</v>
      </c>
      <c r="Y4272" s="32" t="n">
        <f aca="false">Sens!$K$4272</f>
        <v>3213.58395833333</v>
      </c>
      <c r="Z4272" s="32" t="n">
        <f aca="false">Sens!$L$4272</f>
        <v>1884.29291666667</v>
      </c>
      <c r="AA4272" s="32" t="n">
        <f aca="false">Sens!$M$4272</f>
        <v>555.001874999998</v>
      </c>
    </row>
    <row r="4273" customFormat="false" ht="17.15" hidden="false" customHeight="false" outlineLevel="0" collapsed="false">
      <c r="A4273" s="1" t="s">
        <v>608</v>
      </c>
    </row>
    <row r="4274" customFormat="false" ht="17.15" hidden="false" customHeight="false" outlineLevel="0" collapsed="false">
      <c r="A4274" s="0" t="s">
        <v>609</v>
      </c>
      <c r="B4274" s="0" t="s">
        <v>52</v>
      </c>
      <c r="F4274" s="35" t="n">
        <f aca="false">na_vr26</f>
        <v>0</v>
      </c>
      <c r="G4274" s="35" t="n">
        <f aca="false">na_vr26</f>
        <v>0</v>
      </c>
      <c r="H4274" s="35" t="n">
        <f aca="false">na_vr27</f>
        <v>0.5</v>
      </c>
      <c r="I4274" s="35" t="n">
        <f aca="false">na_vr28</f>
        <v>1</v>
      </c>
      <c r="J4274" s="35" t="n">
        <f aca="false">na_vr28</f>
        <v>1</v>
      </c>
      <c r="K4274" s="35" t="n">
        <f aca="false">na_vr28</f>
        <v>1</v>
      </c>
      <c r="L4274" s="35" t="n">
        <f aca="false">na_vr28</f>
        <v>1</v>
      </c>
      <c r="M4274" s="35" t="n">
        <f aca="false">na_vr28</f>
        <v>1</v>
      </c>
    </row>
    <row r="4275" customFormat="false" ht="17.15" hidden="false" customHeight="false" outlineLevel="0" collapsed="false">
      <c r="A4275" s="5" t="s">
        <v>610</v>
      </c>
      <c r="B4275" s="0" t="s">
        <v>173</v>
      </c>
      <c r="F4275" s="36" t="n">
        <f aca="false">cust_sh*tk_he_gb300*cf_chip+(1-cust_sh)*((1-Sens!$F$4274)*tk_he_gb300+Sens!$F$4274*tk_he_vr200)</f>
        <v>10.8864110021101</v>
      </c>
      <c r="G4275" s="36" t="n">
        <f aca="false">cust_sh*tk_he_gb300*cf_chip+(1-cust_sh)*((1-Sens!$G$4274)*tk_he_gb300+Sens!$G$4274*tk_he_vr200)</f>
        <v>10.8864110021101</v>
      </c>
      <c r="H4275" s="36" t="n">
        <f aca="false">cust_sh*tk_he_gb300*cf_chip+(1-cust_sh)*((1-Sens!$H$4274)*tk_he_gb300+Sens!$H$4274*tk_he_vr200)</f>
        <v>11.2211760027286</v>
      </c>
      <c r="I4275" s="36" t="n">
        <f aca="false">cust_sh*tk_he_gb300*cf_chip+(1-cust_sh)*((1-Sens!$I$4274)*tk_he_gb300+Sens!$I$4274*tk_he_vr200)</f>
        <v>11.5559410033471</v>
      </c>
      <c r="J4275" s="36" t="n">
        <f aca="false">cust_sh*tk_he_gb300*cf_chip+(1-cust_sh)*((1-Sens!$J$4274)*tk_he_gb300+Sens!$J$4274*tk_he_vr200)</f>
        <v>11.5559410033471</v>
      </c>
      <c r="K4275" s="36" t="n">
        <f aca="false">cust_sh*tk_he_gb300*cf_chip+(1-cust_sh)*((1-Sens!$K$4274)*tk_he_gb300+Sens!$K$4274*tk_he_vr200)</f>
        <v>11.5559410033471</v>
      </c>
      <c r="L4275" s="36" t="n">
        <f aca="false">cust_sh*tk_he_gb300*cf_chip+(1-cust_sh)*((1-Sens!$L$4274)*tk_he_gb300+Sens!$L$4274*tk_he_vr200)</f>
        <v>11.5559410033471</v>
      </c>
      <c r="M4275" s="36" t="n">
        <f aca="false">cust_sh*tk_he_gb300*cf_chip+(1-cust_sh)*((1-Sens!$M$4274)*tk_he_gb300+Sens!$M$4274*tk_he_vr200)</f>
        <v>11.5559410033471</v>
      </c>
    </row>
    <row r="4276" customFormat="false" ht="17.15" hidden="false" customHeight="false" outlineLevel="0" collapsed="false">
      <c r="A4276" s="5" t="s">
        <v>611</v>
      </c>
      <c r="B4276" s="0" t="s">
        <v>173</v>
      </c>
      <c r="F4276" s="36" t="n">
        <f aca="false">cust_sh*tk_ox_gb300+(1-cust_sh)*((1-Sens!$F$4274)*tk_ox_gb300+Sens!$F$4274*tk_ox_vr200)</f>
        <v>1.98263481314457</v>
      </c>
      <c r="G4276" s="36" t="n">
        <f aca="false">cust_sh*tk_ox_gb300+(1-cust_sh)*((1-Sens!$G$4274)*tk_ox_gb300+Sens!$G$4274*tk_ox_vr200)</f>
        <v>1.98263481314457</v>
      </c>
      <c r="H4276" s="36" t="n">
        <f aca="false">cust_sh*tk_ox_gb300+(1-cust_sh)*((1-Sens!$H$4274)*tk_ox_gb300+Sens!$H$4274*tk_ox_vr200)</f>
        <v>2.01034999693694</v>
      </c>
      <c r="I4276" s="36" t="n">
        <f aca="false">cust_sh*tk_ox_gb300+(1-cust_sh)*((1-Sens!$I$4274)*tk_ox_gb300+Sens!$I$4274*tk_ox_vr200)</f>
        <v>2.0380651807293</v>
      </c>
      <c r="J4276" s="36" t="n">
        <f aca="false">cust_sh*tk_ox_gb300+(1-cust_sh)*((1-Sens!$J$4274)*tk_ox_gb300+Sens!$J$4274*tk_ox_vr200)</f>
        <v>2.0380651807293</v>
      </c>
      <c r="K4276" s="36" t="n">
        <f aca="false">cust_sh*tk_ox_gb300+(1-cust_sh)*((1-Sens!$K$4274)*tk_ox_gb300+Sens!$K$4274*tk_ox_vr200)</f>
        <v>2.0380651807293</v>
      </c>
      <c r="L4276" s="36" t="n">
        <f aca="false">cust_sh*tk_ox_gb300+(1-cust_sh)*((1-Sens!$L$4274)*tk_ox_gb300+Sens!$L$4274*tk_ox_vr200)</f>
        <v>2.0380651807293</v>
      </c>
      <c r="M4276" s="36" t="n">
        <f aca="false">cust_sh*tk_ox_gb300+(1-cust_sh)*((1-Sens!$M$4274)*tk_ox_gb300+Sens!$M$4274*tk_ox_vr200)</f>
        <v>2.0380651807293</v>
      </c>
    </row>
    <row r="4277" customFormat="false" ht="17.15" hidden="false" customHeight="false" outlineLevel="0" collapsed="false">
      <c r="A4277" s="5" t="s">
        <v>612</v>
      </c>
      <c r="B4277" s="0" t="s">
        <v>192</v>
      </c>
      <c r="F4277" s="36" t="n">
        <f aca="false">cust_sh*tk_cx_gb300*cf_cx+(1-cust_sh)*((1-Sens!$F$4274)*tk_cx_gb300+Sens!$F$4274*tk_cx_vr200)</f>
        <v>32.237224</v>
      </c>
      <c r="G4277" s="36" t="n">
        <f aca="false">cust_sh*tk_cx_gb300*cf_cx+(1-cust_sh)*((1-Sens!$G$4274)*tk_cx_gb300+Sens!$G$4274*tk_cx_vr200)</f>
        <v>32.237224</v>
      </c>
      <c r="H4277" s="36" t="n">
        <f aca="false">cust_sh*tk_cx_gb300*cf_cx+(1-cust_sh)*((1-Sens!$H$4274)*tk_cx_gb300+Sens!$H$4274*tk_cx_vr200)</f>
        <v>33.574506</v>
      </c>
      <c r="I4277" s="36" t="n">
        <f aca="false">cust_sh*tk_cx_gb300*cf_cx+(1-cust_sh)*((1-Sens!$I$4274)*tk_cx_gb300+Sens!$I$4274*tk_cx_vr200)</f>
        <v>34.911788</v>
      </c>
      <c r="J4277" s="36" t="n">
        <f aca="false">cust_sh*tk_cx_gb300*cf_cx+(1-cust_sh)*((1-Sens!$J$4274)*tk_cx_gb300+Sens!$J$4274*tk_cx_vr200)</f>
        <v>34.911788</v>
      </c>
      <c r="K4277" s="36" t="n">
        <f aca="false">cust_sh*tk_cx_gb300*cf_cx+(1-cust_sh)*((1-Sens!$K$4274)*tk_cx_gb300+Sens!$K$4274*tk_cx_vr200)</f>
        <v>34.911788</v>
      </c>
      <c r="L4277" s="36" t="n">
        <f aca="false">cust_sh*tk_cx_gb300*cf_cx+(1-cust_sh)*((1-Sens!$L$4274)*tk_cx_gb300+Sens!$L$4274*tk_cx_vr200)</f>
        <v>34.911788</v>
      </c>
      <c r="M4277" s="36" t="n">
        <f aca="false">cust_sh*tk_cx_gb300*cf_cx+(1-cust_sh)*((1-Sens!$M$4274)*tk_cx_gb300+Sens!$M$4274*tk_cx_vr200)</f>
        <v>34.911788</v>
      </c>
    </row>
    <row r="4278" customFormat="false" ht="17.15" hidden="false" customHeight="false" outlineLevel="0" collapsed="false">
      <c r="A4278" s="5" t="s">
        <v>613</v>
      </c>
      <c r="B4278" s="0" t="s">
        <v>129</v>
      </c>
      <c r="F4278" s="32" t="n">
        <f aca="false">Sens!$F$4268-mw_open</f>
        <v>1817.15</v>
      </c>
      <c r="G4278" s="32" t="n">
        <f aca="false">Sens!$F$4278</f>
        <v>1817.15</v>
      </c>
      <c r="H4278" s="32" t="n">
        <f aca="false">Sens!$H$4268-mw_open</f>
        <v>5451.45</v>
      </c>
      <c r="I4278" s="32" t="n">
        <f aca="false">Sens!$I$4268-mw_open</f>
        <v>9085.75</v>
      </c>
      <c r="J4278" s="32" t="n">
        <f aca="false">Sens!$J$4268-mw_open</f>
        <v>12720.05</v>
      </c>
      <c r="K4278" s="32" t="n">
        <f aca="false">Sens!$K$4268-mw_open</f>
        <v>15290.9171666667</v>
      </c>
      <c r="L4278" s="32" t="n">
        <f aca="false">Sens!$L$4268-mw_open</f>
        <v>16798.3515</v>
      </c>
      <c r="M4278" s="32" t="n">
        <f aca="false">Sens!$M$4268-mw_open</f>
        <v>17242.353</v>
      </c>
    </row>
    <row r="4279" customFormat="false" ht="17.15" hidden="false" customHeight="false" outlineLevel="0" collapsed="false">
      <c r="A4279" s="0" t="s">
        <v>614</v>
      </c>
      <c r="B4279" s="0" t="s">
        <v>615</v>
      </c>
      <c r="F4279" s="32" t="n">
        <f aca="false">Sens!$F$4271*Sens!$F$4275</f>
        <v>19782.2417524844</v>
      </c>
      <c r="G4279" s="32" t="n">
        <f aca="false">Sens!$F$4279</f>
        <v>19782.2417524844</v>
      </c>
      <c r="H4279" s="32" t="n">
        <f aca="false">Sens!$G$4279+Sens!$H$4271*Sens!$H$4275</f>
        <v>60563.3616992009</v>
      </c>
      <c r="I4279" s="32" t="n">
        <f aca="false">Sens!$H$4279+Sens!$I$4271*Sens!$I$4275</f>
        <v>102561.118087665</v>
      </c>
      <c r="J4279" s="32" t="n">
        <f aca="false">Sens!$I$4279+Sens!$J$4271*Sens!$J$4275</f>
        <v>144558.87447613</v>
      </c>
      <c r="K4279" s="32" t="n">
        <f aca="false">Sens!$J$4279+Sens!$K$4271*Sens!$K$4275</f>
        <v>174267.663781572</v>
      </c>
      <c r="L4279" s="32" t="n">
        <f aca="false">Sens!$K$4279+Sens!$L$4271*Sens!$L$4275</f>
        <v>191687.486003992</v>
      </c>
      <c r="M4279" s="32" t="n">
        <f aca="false">Sens!$L$4279+Sens!$M$4271*Sens!$M$4275</f>
        <v>196818.341143389</v>
      </c>
    </row>
    <row r="4280" customFormat="false" ht="17.15" hidden="false" customHeight="false" outlineLevel="0" collapsed="false">
      <c r="A4280" s="0" t="s">
        <v>616</v>
      </c>
      <c r="B4280" s="0" t="s">
        <v>615</v>
      </c>
      <c r="F4280" s="32" t="n">
        <f aca="false">Sens!$F$4271*Sens!$F$4276</f>
        <v>3602.74485070566</v>
      </c>
      <c r="G4280" s="32" t="n">
        <f aca="false">Sens!$F$4280</f>
        <v>3602.74485070566</v>
      </c>
      <c r="H4280" s="32" t="n">
        <f aca="false">Sens!$G$4280+Sens!$H$4271*Sens!$H$4276</f>
        <v>10908.9598445736</v>
      </c>
      <c r="I4280" s="32" t="n">
        <f aca="false">Sens!$H$4280+Sens!$I$4271*Sens!$I$4276</f>
        <v>18315.9001308981</v>
      </c>
      <c r="J4280" s="32" t="n">
        <f aca="false">Sens!$I$4280+Sens!$J$4271*Sens!$J$4276</f>
        <v>25722.8404172225</v>
      </c>
      <c r="K4280" s="32" t="n">
        <f aca="false">Sens!$J$4280+Sens!$K$4271*Sens!$K$4276</f>
        <v>30962.4352738861</v>
      </c>
      <c r="L4280" s="32" t="n">
        <f aca="false">Sens!$K$4280+Sens!$L$4271*Sens!$L$4276</f>
        <v>34034.6847008886</v>
      </c>
      <c r="M4280" s="32" t="n">
        <f aca="false">Sens!$L$4280+Sens!$M$4271*Sens!$M$4276</f>
        <v>34939.5886982302</v>
      </c>
    </row>
    <row r="4281" customFormat="false" ht="17.15" hidden="false" customHeight="false" outlineLevel="0" collapsed="false">
      <c r="A4281" s="5" t="s">
        <v>617</v>
      </c>
      <c r="B4281" s="0" t="s">
        <v>173</v>
      </c>
      <c r="F4281" s="36" t="n">
        <f aca="false">IF(Sens!$F$4278&gt;0,Sens!$F$4279/Sens!$F$4278,Sens!$F$4275)</f>
        <v>10.8864110021101</v>
      </c>
      <c r="G4281" s="36" t="n">
        <f aca="false">IF(Sens!$G$4278&gt;0,Sens!$G$4279/Sens!$G$4278,Sens!$G$4275)</f>
        <v>10.8864110021101</v>
      </c>
      <c r="H4281" s="36" t="n">
        <f aca="false">IF(Sens!$H$4278&gt;0,Sens!$H$4279/Sens!$H$4278,Sens!$H$4275)</f>
        <v>11.1095876691891</v>
      </c>
      <c r="I4281" s="36" t="n">
        <f aca="false">IF(Sens!$I$4278&gt;0,Sens!$I$4279/Sens!$I$4278,Sens!$I$4275)</f>
        <v>11.2881290028523</v>
      </c>
      <c r="J4281" s="36" t="n">
        <f aca="false">IF(Sens!$J$4278&gt;0,Sens!$J$4279/Sens!$J$4278,Sens!$J$4275)</f>
        <v>11.3646467172794</v>
      </c>
      <c r="K4281" s="36" t="n">
        <f aca="false">IF(Sens!$K$4278&gt;0,Sens!$K$4279/Sens!$K$4278,Sens!$K$4275)</f>
        <v>11.3968090914432</v>
      </c>
      <c r="L4281" s="36" t="n">
        <f aca="false">IF(Sens!$L$4278&gt;0,Sens!$L$4279/Sens!$L$4278,Sens!$L$4275)</f>
        <v>11.4110891181192</v>
      </c>
      <c r="M4281" s="36" t="n">
        <f aca="false">IF(Sens!$M$4278&gt;0,Sens!$M$4279/Sens!$M$4278,Sens!$M$4275)</f>
        <v>11.4148191458201</v>
      </c>
    </row>
    <row r="4282" customFormat="false" ht="17.15" hidden="false" customHeight="false" outlineLevel="0" collapsed="false">
      <c r="A4282" s="5" t="s">
        <v>618</v>
      </c>
      <c r="B4282" s="0" t="s">
        <v>173</v>
      </c>
      <c r="F4282" s="36" t="n">
        <f aca="false">IF(Sens!$F$4278&gt;0,Sens!$F$4280/Sens!$F$4278,Sens!$F$4276)</f>
        <v>1.98263481314457</v>
      </c>
      <c r="G4282" s="36" t="n">
        <f aca="false">IF(Sens!$G$4278&gt;0,Sens!$G$4280/Sens!$G$4278,Sens!$G$4276)</f>
        <v>1.98263481314457</v>
      </c>
      <c r="H4282" s="36" t="n">
        <f aca="false">IF(Sens!$H$4278&gt;0,Sens!$H$4280/Sens!$H$4278,Sens!$H$4276)</f>
        <v>2.00111160233948</v>
      </c>
      <c r="I4282" s="36" t="n">
        <f aca="false">IF(Sens!$I$4278&gt;0,Sens!$I$4280/Sens!$I$4278,Sens!$I$4276)</f>
        <v>2.01589303369541</v>
      </c>
      <c r="J4282" s="36" t="n">
        <f aca="false">IF(Sens!$J$4278&gt;0,Sens!$J$4280/Sens!$J$4278,Sens!$J$4276)</f>
        <v>2.02222793284795</v>
      </c>
      <c r="K4282" s="36" t="n">
        <f aca="false">IF(Sens!$K$4278&gt;0,Sens!$K$4280/Sens!$K$4278,Sens!$K$4276)</f>
        <v>2.02489065478573</v>
      </c>
      <c r="L4282" s="36" t="n">
        <f aca="false">IF(Sens!$L$4278&gt;0,Sens!$L$4280/Sens!$L$4278,Sens!$L$4276)</f>
        <v>2.0260728977417</v>
      </c>
      <c r="M4282" s="36" t="n">
        <f aca="false">IF(Sens!$M$4278&gt;0,Sens!$M$4280/Sens!$M$4278,Sens!$M$4276)</f>
        <v>2.02638170661685</v>
      </c>
    </row>
    <row r="4283" customFormat="false" ht="17.15" hidden="false" customHeight="false" outlineLevel="0" collapsed="false">
      <c r="A4283" s="15" t="s">
        <v>619</v>
      </c>
      <c r="B4283" s="14" t="s">
        <v>173</v>
      </c>
      <c r="C4283" s="14"/>
      <c r="D4283" s="14"/>
      <c r="E4283" s="14"/>
      <c r="F4283" s="37" t="n">
        <f aca="false">Sens!$F$4281*k_B</f>
        <v>10.7987645808025</v>
      </c>
      <c r="G4283" s="37" t="n">
        <f aca="false">Sens!$G$4281*k_B</f>
        <v>10.7987645808025</v>
      </c>
      <c r="H4283" s="37" t="n">
        <f aca="false">Sens!$H$4281*k_B</f>
        <v>11.0201444540452</v>
      </c>
      <c r="I4283" s="37" t="n">
        <f aca="false">Sens!$I$4281*k_B</f>
        <v>11.1972483526393</v>
      </c>
      <c r="J4283" s="37" t="n">
        <f aca="false">Sens!$J$4281*k_B</f>
        <v>11.2731500234653</v>
      </c>
      <c r="K4283" s="37" t="n">
        <f aca="false">Sens!$K$4281*k_B</f>
        <v>11.3050534585724</v>
      </c>
      <c r="L4283" s="37" t="n">
        <f aca="false">Sens!$L$4281*k_B</f>
        <v>11.3192185168503</v>
      </c>
      <c r="M4283" s="37" t="n">
        <f aca="false">Sens!$M$4281*k_B</f>
        <v>11.3229185141234</v>
      </c>
      <c r="N4283" s="14"/>
      <c r="O4283" s="14"/>
      <c r="P4283" s="5" t="s">
        <v>620</v>
      </c>
    </row>
    <row r="4284" customFormat="false" ht="17.15" hidden="false" customHeight="false" outlineLevel="0" collapsed="false">
      <c r="A4284" s="5" t="s">
        <v>621</v>
      </c>
      <c r="B4284" s="0" t="s">
        <v>129</v>
      </c>
      <c r="F4284" s="32" t="n">
        <f aca="false">Sens!$F$4278/2</f>
        <v>908.575</v>
      </c>
      <c r="H4284" s="32" t="n">
        <f aca="false">(Sens!$G$4278+Sens!$H$4278)/2</f>
        <v>3634.3</v>
      </c>
      <c r="I4284" s="32" t="n">
        <f aca="false">(Sens!$H$4278+Sens!$I$4278)/2</f>
        <v>7268.6</v>
      </c>
      <c r="J4284" s="32" t="n">
        <f aca="false">(Sens!$I$4278+Sens!$J$4278)/2</f>
        <v>10902.9</v>
      </c>
      <c r="K4284" s="32" t="n">
        <f aca="false">(Sens!$J$4278+Sens!$K$4278)/2</f>
        <v>14005.4835833333</v>
      </c>
      <c r="L4284" s="32" t="n">
        <f aca="false">(Sens!$K$4278+Sens!$L$4278)/2</f>
        <v>16044.6343333333</v>
      </c>
      <c r="M4284" s="32" t="n">
        <f aca="false">(Sens!$L$4278+Sens!$M$4278)/2</f>
        <v>17020.35225</v>
      </c>
    </row>
    <row r="4285" customFormat="false" ht="17.15" hidden="false" customHeight="false" outlineLevel="0" collapsed="false">
      <c r="A4285" s="1" t="s">
        <v>622</v>
      </c>
    </row>
    <row r="4286" customFormat="false" ht="17.15" hidden="false" customHeight="false" outlineLevel="0" collapsed="false">
      <c r="A4286" s="1" t="s">
        <v>623</v>
      </c>
      <c r="B4286" s="8" t="s">
        <v>86</v>
      </c>
      <c r="C4286" s="38" t="n">
        <f aca="false">Sens!$C$4269*rpm_open*Sens!$C$4270/1000</f>
        <v>2.32100535697364</v>
      </c>
      <c r="D4286" s="38" t="n">
        <f aca="false">Sens!$D$4269*rpm_open*Sens!$D$4270/1000</f>
        <v>8.70377008865116</v>
      </c>
      <c r="E4286" s="38" t="n">
        <f aca="false">Sens!$E$4269*rpm_open*Sens!$E$4270/1000</f>
        <v>8.51035297557002</v>
      </c>
      <c r="F4286" s="38" t="n">
        <f aca="false">(mw_open*rpm_open+Sens!$F$4284*Sens!$F$4283)*Sens!$F$4270/1000</f>
        <v>14.9634336447205</v>
      </c>
      <c r="G4286" s="38" t="n">
        <f aca="false">Sens!$E$4286+Sens!$F$4286</f>
        <v>23.4737866202905</v>
      </c>
      <c r="H4286" s="38" t="n">
        <f aca="false">(mw_open*rpm_open+Sens!$H$4284*Sens!$H$4283)/1000</f>
        <v>60.1658907497746</v>
      </c>
      <c r="I4286" s="38" t="n">
        <f aca="false">(mw_open*rpm_open+Sens!$I$4284*Sens!$I$4283)/1000</f>
        <v>101.503699136432</v>
      </c>
      <c r="J4286" s="38" t="n">
        <f aca="false">(mw_open*rpm_open+Sens!$J$4284*Sens!$J$4283)/1000</f>
        <v>143.025407151278</v>
      </c>
      <c r="K4286" s="38" t="n">
        <f aca="false">(mw_open*rpm_open+Sens!$K$4284*Sens!$K$4283)/1000</f>
        <v>178.44812038318</v>
      </c>
      <c r="L4286" s="38" t="n">
        <f aca="false">(mw_open*rpm_open+Sens!$L$4284*Sens!$L$4283)/1000</f>
        <v>201.728101802396</v>
      </c>
      <c r="M4286" s="38" t="n">
        <f aca="false">(mw_open*rpm_open+Sens!$M$4284*Sens!$M$4283)/1000</f>
        <v>212.835441368865</v>
      </c>
      <c r="N4286" s="38" t="n">
        <f aca="false">Sens!$N$4269*rpm_open*Sens!$N$4270/1000</f>
        <v>3.04631953102791</v>
      </c>
      <c r="O4286" s="38" t="n">
        <f aca="false">Sens!$O$4269*rpm_open*Sens!$O$4270/1000</f>
        <v>5.65745055762326</v>
      </c>
      <c r="P4286" s="5" t="s">
        <v>624</v>
      </c>
    </row>
    <row r="4287" customFormat="false" ht="17.15" hidden="false" customHeight="false" outlineLevel="0" collapsed="false">
      <c r="A4287" s="5" t="s">
        <v>625</v>
      </c>
      <c r="B4287" s="0" t="s">
        <v>173</v>
      </c>
      <c r="C4287" s="36" t="n">
        <f aca="false">Sens!$C$4286*1000/(Sens!$C$4269*Sens!$C$4270)</f>
        <v>9.67085565405685</v>
      </c>
      <c r="D4287" s="36" t="n">
        <f aca="false">Sens!$D$4286*1000/(Sens!$D$4269*Sens!$D$4270)</f>
        <v>9.67085565405685</v>
      </c>
      <c r="E4287" s="36" t="n">
        <f aca="false">Sens!$E$4286*1000/(Sens!$E$4269*Sens!$E$4270)</f>
        <v>9.67085565405685</v>
      </c>
      <c r="F4287" s="36" t="n">
        <f aca="false">Sens!$F$4286*1000/(Sens!$F$4269*Sens!$F$4270)</f>
        <v>10.0137581588017</v>
      </c>
      <c r="G4287" s="36" t="n">
        <f aca="false">Sens!$G$4286*1000/(Sens!$G$4269*Sens!$G$4270)</f>
        <v>9.88666562928478</v>
      </c>
      <c r="H4287" s="36" t="n">
        <f aca="false">Sens!$H$4286*1000/(Sens!$H$4269*Sens!$H$4270)</f>
        <v>10.5290045586992</v>
      </c>
      <c r="I4287" s="36" t="n">
        <f aca="false">Sens!$I$4286*1000/(Sens!$I$4269*Sens!$I$4270)</f>
        <v>10.8576363451674</v>
      </c>
      <c r="J4287" s="36" t="n">
        <f aca="false">Sens!$J$4286*1000/(Sens!$J$4269*Sens!$J$4270)</f>
        <v>11.0164452588619</v>
      </c>
      <c r="K4287" s="36" t="n">
        <f aca="false">Sens!$K$4286*1000/(Sens!$K$4269*Sens!$K$4270)</f>
        <v>11.0937367508227</v>
      </c>
      <c r="L4287" s="36" t="n">
        <f aca="false">Sens!$L$4286*1000/(Sens!$L$4269*Sens!$L$4270)</f>
        <v>11.1300508519168</v>
      </c>
      <c r="M4287" s="36" t="n">
        <f aca="false">Sens!$M$4286*1000/(Sens!$M$4269*Sens!$M$4270)</f>
        <v>11.1430113216297</v>
      </c>
      <c r="N4287" s="36" t="n">
        <f aca="false">Sens!$N$4286*1000/(Sens!$N$4269*Sens!$N$4270)</f>
        <v>9.67085565405685</v>
      </c>
      <c r="O4287" s="36" t="n">
        <f aca="false">Sens!$O$4286*1000/(Sens!$O$4269*Sens!$O$4270)</f>
        <v>9.67085565405685</v>
      </c>
    </row>
    <row r="4288" customFormat="false" ht="17.15" hidden="false" customHeight="false" outlineLevel="0" collapsed="false">
      <c r="A4288" s="0" t="s">
        <v>626</v>
      </c>
      <c r="B4288" s="0" t="s">
        <v>86</v>
      </c>
      <c r="C4288" s="38" t="n">
        <f aca="false">Sens!$C$4269/ext_sh*(ox_open+rent_mw)*Sens!$C$4270/1000</f>
        <v>0.642569210675032</v>
      </c>
      <c r="D4288" s="38" t="n">
        <f aca="false">Sens!$D$4269/ext_sh*(ox_open+rent_mw)*Sens!$D$4270/1000</f>
        <v>2.40963454003137</v>
      </c>
      <c r="E4288" s="38" t="n">
        <f aca="false">Sens!$E$4269/ext_sh*(ox_open+rent_mw)*Sens!$E$4270/1000</f>
        <v>2.35608710580845</v>
      </c>
      <c r="F4288" s="38" t="n">
        <f aca="false">((mw_open*ox_open+Sens!$F$4284*Sens!$F$4282)/ext_sh+Sens!$F$4269/ext_sh*rent_mw)*Sens!$F$4270/1000</f>
        <v>4.05421991106232</v>
      </c>
      <c r="G4288" s="38" t="n">
        <f aca="false">Sens!$E$4288+Sens!$F$4288</f>
        <v>6.41030701687077</v>
      </c>
      <c r="H4288" s="38" t="n">
        <f aca="false">((mw_open*ox_open+Sens!$H$4284*Sens!$H$4282)/ext_sh+Sens!$H$4269/ext_sh*rent_mw)*Sens!$H$4270/1000</f>
        <v>15.8108975546616</v>
      </c>
      <c r="I4288" s="38" t="n">
        <f aca="false">((mw_open*ox_open+Sens!$I$4284*Sens!$I$4282)/ext_sh+Sens!$I$4269/ext_sh*rent_mw)*Sens!$I$4270/1000</f>
        <v>26.1871623400817</v>
      </c>
      <c r="J4288" s="38" t="n">
        <f aca="false">((mw_open*ox_open+Sens!$J$4284*Sens!$J$4282)/ext_sh+Sens!$J$4269/ext_sh*rent_mw)*Sens!$J$4270/1000</f>
        <v>36.5826128954935</v>
      </c>
      <c r="K4288" s="38" t="n">
        <f aca="false">((mw_open*ox_open+Sens!$K$4284*Sens!$K$4282)/ext_sh+Sens!$K$4269/ext_sh*rent_mw)*Sens!$K$4270/1000</f>
        <v>45.4546361137628</v>
      </c>
      <c r="L4288" s="38" t="n">
        <f aca="false">((mw_open*ox_open+Sens!$L$4284*Sens!$L$4282)/ext_sh+Sens!$L$4269/ext_sh*rent_mw)*Sens!$L$4270/1000</f>
        <v>51.2855695554452</v>
      </c>
      <c r="M4288" s="38" t="n">
        <f aca="false">((mw_open*ox_open+Sens!$M$4284*Sens!$M$4282)/ext_sh+Sens!$M$4269/ext_sh*rent_mw)*Sens!$M$4270/1000</f>
        <v>54.0722927838398</v>
      </c>
      <c r="N4288" s="38" t="n">
        <f aca="false">Sens!$N$4269/ext_sh*(ox_open+rent_mw)*Sens!$N$4270/1000</f>
        <v>0.84337208901098</v>
      </c>
      <c r="O4288" s="38" t="n">
        <f aca="false">Sens!$O$4269/ext_sh*(ox_open+rent_mw)*Sens!$O$4270/1000</f>
        <v>1.56626245102039</v>
      </c>
    </row>
    <row r="4289" customFormat="false" ht="17.15" hidden="false" customHeight="false" outlineLevel="0" collapsed="false">
      <c r="A4289" s="0" t="s">
        <v>627</v>
      </c>
      <c r="B4289" s="0" t="s">
        <v>86</v>
      </c>
      <c r="C4289" s="38" t="n">
        <f aca="false">Q!$D$7</f>
        <v>107.556</v>
      </c>
      <c r="D4289" s="38" t="n">
        <f aca="false">Q!$E$7</f>
        <v>128.725</v>
      </c>
      <c r="E4289" s="38" t="n">
        <f aca="false">Q!$P$7</f>
        <v>79.819</v>
      </c>
      <c r="N4289" s="38" t="n">
        <f aca="false">Q!$N$7</f>
        <v>60.14</v>
      </c>
      <c r="O4289" s="38" t="n">
        <f aca="false">Q!$O$7</f>
        <v>68.585</v>
      </c>
    </row>
    <row r="4290" customFormat="false" ht="17.15" hidden="false" customHeight="false" outlineLevel="0" collapsed="false">
      <c r="A4290" s="1" t="s">
        <v>628</v>
      </c>
      <c r="B4290" s="8" t="s">
        <v>86</v>
      </c>
      <c r="C4290" s="38" t="n">
        <f aca="false">Sens!$C$4289-Sens!$C$4286</f>
        <v>105.234994643026</v>
      </c>
      <c r="D4290" s="38" t="n">
        <f aca="false">Sens!$D$4289-Sens!$D$4286</f>
        <v>120.021229911349</v>
      </c>
      <c r="E4290" s="38" t="n">
        <f aca="false">Sens!$E$4289-Sens!$E$4286</f>
        <v>71.30864702443</v>
      </c>
      <c r="F4290" s="38" t="n">
        <f aca="false">Sens!$O$4290*(1+Sens!$F$4291)</f>
        <v>71.7692997942464</v>
      </c>
      <c r="G4290" s="38" t="n">
        <f aca="false">Sens!$E$4290+Sens!$F$4290</f>
        <v>143.077946818676</v>
      </c>
      <c r="H4290" s="38" t="n">
        <f aca="false">Sens!$G$4290*(1+Sens!$H$4291)</f>
        <v>161.017077079203</v>
      </c>
      <c r="I4290" s="38" t="n">
        <f aca="false">Sens!$H$4290*(1+Sens!$I$4291)</f>
        <v>178.769759521457</v>
      </c>
      <c r="J4290" s="38" t="n">
        <f aca="false">Sens!$I$4290*(1+Sens!$J$4291)</f>
        <v>195.775538045907</v>
      </c>
      <c r="K4290" s="38" t="n">
        <f aca="false">Sens!$J$4290*(1+Sens!$K$4291)</f>
        <v>211.43758108958</v>
      </c>
      <c r="L4290" s="38" t="n">
        <f aca="false">Sens!$K$4290*(1+Sens!$L$4291)</f>
        <v>228.352587576746</v>
      </c>
      <c r="M4290" s="38" t="n">
        <f aca="false">Sens!$L$4290*(1+Sens!$M$4291)</f>
        <v>246.620794582886</v>
      </c>
      <c r="N4290" s="38" t="n">
        <f aca="false">Sens!$N$4289-Sens!$N$4286</f>
        <v>57.0936804689721</v>
      </c>
      <c r="O4290" s="38" t="n">
        <f aca="false">Sens!$O$4289-Sens!$O$4286</f>
        <v>62.9275494423768</v>
      </c>
      <c r="P4290" s="5" t="s">
        <v>629</v>
      </c>
    </row>
    <row r="4291" customFormat="false" ht="17.15" hidden="false" customHeight="false" outlineLevel="0" collapsed="false">
      <c r="A4291" s="0" t="s">
        <v>630</v>
      </c>
      <c r="B4291" s="0" t="s">
        <v>52</v>
      </c>
      <c r="D4291" s="13" t="n">
        <f aca="false">Sens!$D$4290/Sens!$C$4290-1</f>
        <v>0.140506827776062</v>
      </c>
      <c r="E4291" s="13" t="n">
        <f aca="false">Sens!$E$4290/Sens!$N$4290-1</f>
        <v>0.248976181579029</v>
      </c>
      <c r="F4291" s="13" t="n">
        <f aca="false">Sens!$D$4291</f>
        <v>0.140506827776062</v>
      </c>
      <c r="G4291" s="13" t="n">
        <f aca="false">Sens!$G$4290/Sens!$D$4290-1</f>
        <v>0.19210532106993</v>
      </c>
      <c r="H4291" s="13" t="n">
        <f aca="false">Sens!$F$4291+(g_awso_lt-Sens!$F$4291)*1/4</f>
        <v>0.125380120832046</v>
      </c>
      <c r="I4291" s="13" t="n">
        <f aca="false">Sens!$F$4291+(g_awso_lt-Sens!$F$4291)*2/4</f>
        <v>0.110253413888031</v>
      </c>
      <c r="J4291" s="13" t="n">
        <f aca="false">Sens!$F$4291+(g_awso_lt-Sens!$F$4291)*3/4</f>
        <v>0.0951267069440154</v>
      </c>
      <c r="K4291" s="13" t="n">
        <f aca="false">Sens!$F$4291+(g_awso_lt-Sens!$F$4291)*4/4</f>
        <v>0.08</v>
      </c>
      <c r="L4291" s="13" t="n">
        <f aca="false">g_awso_lt</f>
        <v>0.08</v>
      </c>
      <c r="M4291" s="13" t="n">
        <f aca="false">g_awso_lt</f>
        <v>0.08</v>
      </c>
      <c r="P4291" s="5" t="s">
        <v>631</v>
      </c>
    </row>
    <row r="4292" customFormat="false" ht="17.15" hidden="false" customHeight="false" outlineLevel="0" collapsed="false">
      <c r="A4292" s="1" t="s">
        <v>632</v>
      </c>
    </row>
    <row r="4293" customFormat="false" ht="17.15" hidden="false" customHeight="false" outlineLevel="0" collapsed="false">
      <c r="A4293" s="0" t="s">
        <v>633</v>
      </c>
      <c r="B4293" s="0" t="s">
        <v>86</v>
      </c>
      <c r="F4293" s="38" t="n">
        <f aca="false">cx_rt*Sens!$F$4258+cx_awso*Sens!$F$4290</f>
        <v>34.9734495387866</v>
      </c>
    </row>
    <row r="4294" customFormat="false" ht="17.15" hidden="false" customHeight="false" outlineLevel="0" collapsed="false">
      <c r="A4294" s="0" t="s">
        <v>634</v>
      </c>
      <c r="B4294" s="0" t="s">
        <v>52</v>
      </c>
      <c r="C4294" s="13" t="n">
        <f aca="false">tk_cx_h100/(tk_cx_h100+tk_fac*(1-colo_sh))</f>
        <v>0.730756458006641</v>
      </c>
      <c r="D4294" s="13" t="n">
        <f aca="false">tk_cx_h100/(tk_cx_h100+tk_fac*(1-colo_sh))</f>
        <v>0.730756458006641</v>
      </c>
      <c r="E4294" s="13" t="n">
        <f aca="false">Sens!$F$4294</f>
        <v>0.760792334328868</v>
      </c>
      <c r="F4294" s="13" t="n">
        <f aca="false">Sens!$F$4277/(Sens!$F$4277+tk_fac*(1-colo_sh))</f>
        <v>0.760792334328868</v>
      </c>
      <c r="G4294" s="13" t="n">
        <f aca="false">Sens!$G$4277/(Sens!$G$4277+tk_fac*(1-colo_sh))</f>
        <v>0.760792334328868</v>
      </c>
      <c r="H4294" s="13" t="n">
        <f aca="false">Sens!$H$4277/(Sens!$H$4277+tk_fac*(1-colo_sh))</f>
        <v>0.768110668862996</v>
      </c>
      <c r="I4294" s="13" t="n">
        <f aca="false">Sens!$I$4277/(Sens!$I$4277+tk_fac*(1-colo_sh))</f>
        <v>0.77499450139483</v>
      </c>
      <c r="J4294" s="13" t="n">
        <f aca="false">Sens!$J$4277/(Sens!$J$4277+tk_fac*(1-colo_sh))</f>
        <v>0.77499450139483</v>
      </c>
      <c r="K4294" s="13" t="n">
        <f aca="false">Sens!$K$4277/(Sens!$K$4277+tk_fac*(1-colo_sh))</f>
        <v>0.77499450139483</v>
      </c>
      <c r="L4294" s="13" t="n">
        <f aca="false">Sens!$L$4277/(Sens!$L$4277+tk_fac*(1-colo_sh))</f>
        <v>0.77499450139483</v>
      </c>
      <c r="M4294" s="13" t="n">
        <f aca="false">Sens!$M$4277/(Sens!$M$4277+tk_fac*(1-colo_sh))</f>
        <v>0.77499450139483</v>
      </c>
    </row>
    <row r="4295" customFormat="false" ht="17.15" hidden="false" customHeight="false" outlineLevel="0" collapsed="false">
      <c r="A4295" s="1" t="s">
        <v>635</v>
      </c>
      <c r="B4295" s="8" t="s">
        <v>86</v>
      </c>
      <c r="C4295" s="38" t="n">
        <f aca="false">Q!$D$46-cx_rt*Q!$D$16-cx_awso*Sens!$C$4290</f>
        <v>25.2781053077374</v>
      </c>
      <c r="D4295" s="38" t="n">
        <f aca="false">Q!$E$46-cx_rt*Q!$E$16-cx_awso*Sens!$D$4290</f>
        <v>69.5686316310026</v>
      </c>
      <c r="E4295" s="38" t="n">
        <f aca="false">Q!$P$46-cx_rt*Q!$P$16-cx_awso*Sens!$E$4290</f>
        <v>64.1899206485108</v>
      </c>
      <c r="F4295" s="38" t="n">
        <f aca="false">capex_g26-Q!$P$46-Sens!$F$4293</f>
        <v>88.7165504612134</v>
      </c>
      <c r="G4295" s="38" t="n">
        <f aca="false">Sens!$E$4295+Sens!$F$4295</f>
        <v>152.906471109724</v>
      </c>
      <c r="H4295" s="38" t="n">
        <f aca="false">Sens!$H$4272*(Sens!$H$4277+tk_fac*(1-colo_sh))/1000+Sens!$H$4296</f>
        <v>198.57136494475</v>
      </c>
      <c r="I4295" s="38" t="n">
        <f aca="false">Sens!$I$4272*(Sens!$I$4277+tk_fac*(1-colo_sh))/1000+Sens!$I$4296</f>
        <v>204.6464699105</v>
      </c>
      <c r="J4295" s="38" t="n">
        <f aca="false">Sens!$J$4272*(Sens!$J$4277+tk_fac*(1-colo_sh))/1000+Sens!$J$4296</f>
        <v>209.8832381105</v>
      </c>
      <c r="K4295" s="38" t="n">
        <f aca="false">Sens!$K$4272*(Sens!$K$4277+tk_fac*(1-colo_sh))/1000+Sens!$K$4296</f>
        <v>155.238385275201</v>
      </c>
      <c r="L4295" s="38" t="n">
        <f aca="false">Sens!$L$4272*(Sens!$L$4277+tk_fac*(1-colo_sh))/1000+Sens!$L$4296</f>
        <v>132.014141639902</v>
      </c>
      <c r="M4295" s="38" t="n">
        <f aca="false">Sens!$M$4272*(Sens!$M$4277+tk_fac*(1-colo_sh))/1000+Sens!$M$4296</f>
        <v>132.230981659852</v>
      </c>
      <c r="P4295" s="5" t="s">
        <v>636</v>
      </c>
      <c r="R4295" s="38" t="n">
        <f aca="false">Q!$C$46-cx_rt*Q!$C$16-cx_awso*(Q!$C$7-mw_ye23/2*rpm_open/1000)</f>
        <v>1.50429979529945</v>
      </c>
      <c r="S4295" s="38" t="n">
        <f aca="false">Sens!$C$4295</f>
        <v>25.2781053077374</v>
      </c>
      <c r="T4295" s="38" t="n">
        <f aca="false">Sens!$D$4295</f>
        <v>69.5686316310026</v>
      </c>
      <c r="U4295" s="38" t="n">
        <f aca="false">Sens!$G$4295</f>
        <v>152.906471109724</v>
      </c>
      <c r="V4295" s="38" t="n">
        <f aca="false">Sens!$H$4295</f>
        <v>198.57136494475</v>
      </c>
      <c r="W4295" s="38" t="n">
        <f aca="false">Sens!$I$4295</f>
        <v>204.6464699105</v>
      </c>
      <c r="X4295" s="38" t="n">
        <f aca="false">Sens!$J$4295</f>
        <v>209.8832381105</v>
      </c>
      <c r="Y4295" s="38" t="n">
        <f aca="false">Sens!$K$4295</f>
        <v>155.238385275201</v>
      </c>
      <c r="Z4295" s="38" t="n">
        <f aca="false">Sens!$L$4295</f>
        <v>132.014141639902</v>
      </c>
      <c r="AA4295" s="38" t="n">
        <f aca="false">Sens!$M$4295</f>
        <v>132.230981659852</v>
      </c>
    </row>
    <row r="4296" customFormat="false" ht="17.15" hidden="false" customHeight="false" outlineLevel="0" collapsed="false">
      <c r="A4296" s="0" t="s">
        <v>637</v>
      </c>
      <c r="B4296" s="0" t="s">
        <v>86</v>
      </c>
      <c r="H4296" s="38" t="n">
        <f aca="false">SUMPRODUCT(--(Sens!$R$4265:$AA$4265=2027-tk_life),Sens!$R$4272:$AA$4272)*Sens!$H$4277/1000</f>
        <v>0</v>
      </c>
      <c r="I4296" s="38" t="n">
        <f aca="false">SUMPRODUCT(--(Sens!$R$4265:$AA$4265=2028-tk_life),Sens!$R$4272:$AA$4272)*Sens!$I$4277/1000</f>
        <v>0</v>
      </c>
      <c r="J4296" s="38" t="n">
        <f aca="false">SUMPRODUCT(--(Sens!$R$4265:$AA$4265=2029-tk_life),Sens!$R$4272:$AA$4272)*Sens!$J$4277/1000</f>
        <v>5.2367682</v>
      </c>
      <c r="K4296" s="38" t="n">
        <f aca="false">SUMPRODUCT(--(Sens!$R$4265:$AA$4265=2030-tk_life),Sens!$R$4272:$AA$4272)*Sens!$K$4277/1000</f>
        <v>10.4735364</v>
      </c>
      <c r="L4296" s="38" t="n">
        <f aca="false">SUMPRODUCT(--(Sens!$R$4265:$AA$4265=2031-tk_life),Sens!$R$4272:$AA$4272)*Sens!$L$4277/1000</f>
        <v>47.1309138</v>
      </c>
      <c r="M4296" s="38" t="n">
        <f aca="false">SUMPRODUCT(--(Sens!$R$4265:$AA$4265=2032-tk_life),Sens!$R$4272:$AA$4272)*Sens!$M$4277/1000</f>
        <v>107.22937485525</v>
      </c>
    </row>
    <row r="4297" customFormat="false" ht="17.15" hidden="false" customHeight="false" outlineLevel="0" collapsed="false">
      <c r="A4297" s="0" t="s">
        <v>638</v>
      </c>
      <c r="B4297" s="0" t="s">
        <v>86</v>
      </c>
      <c r="C4297" s="38" t="n">
        <f aca="false">MIN(Sens!$C$4295,Sens!$C$4272*(tk_cx_h100+tk_fac*(1-colo_sh))/1000)</f>
        <v>11.2938642</v>
      </c>
      <c r="D4297" s="38" t="n">
        <f aca="false">MIN(Sens!$D$4295,Sens!$D$4272*(tk_cx_h100+tk_fac*(1-colo_sh))/1000)</f>
        <v>50.8223889</v>
      </c>
      <c r="E4297" s="38" t="n">
        <f aca="false">MIN(Sens!$E$4295,Sens!$E$4272*(Sens!$F$4277+tk_fac*(1-colo_sh))/1000)</f>
        <v>33.8985792</v>
      </c>
      <c r="F4297" s="38" t="n">
        <f aca="false">Sens!$F$4295</f>
        <v>88.7165504612134</v>
      </c>
      <c r="G4297" s="38" t="n">
        <f aca="false">Sens!$E$4297+Sens!$F$4297</f>
        <v>122.615129661213</v>
      </c>
      <c r="H4297" s="38" t="n">
        <f aca="false">Sens!$H$4295</f>
        <v>198.57136494475</v>
      </c>
      <c r="I4297" s="38" t="n">
        <f aca="false">Sens!$I$4295</f>
        <v>204.6464699105</v>
      </c>
      <c r="J4297" s="38" t="n">
        <f aca="false">Sens!$J$4295</f>
        <v>209.8832381105</v>
      </c>
      <c r="K4297" s="38" t="n">
        <f aca="false">Sens!$K$4295</f>
        <v>155.238385275201</v>
      </c>
      <c r="L4297" s="38" t="n">
        <f aca="false">Sens!$L$4295</f>
        <v>132.014141639902</v>
      </c>
      <c r="M4297" s="38" t="n">
        <f aca="false">Sens!$M$4295</f>
        <v>132.230981659852</v>
      </c>
      <c r="P4297" s="5" t="s">
        <v>639</v>
      </c>
      <c r="R4297" s="38" t="n">
        <f aca="false">MIN(Sens!$R$4295,Sens!$R$4272*(tk_cx_h100+tk_fac*(1-colo_sh))/1000)</f>
        <v>1.50429979529945</v>
      </c>
      <c r="S4297" s="38" t="n">
        <f aca="false">Sens!$C$4297</f>
        <v>11.2938642</v>
      </c>
      <c r="T4297" s="38" t="n">
        <f aca="false">Sens!$D$4297</f>
        <v>50.8223889</v>
      </c>
      <c r="U4297" s="38" t="n">
        <f aca="false">Sens!$G$4297</f>
        <v>122.615129661213</v>
      </c>
      <c r="V4297" s="38" t="n">
        <f aca="false">Sens!$H$4297</f>
        <v>198.57136494475</v>
      </c>
      <c r="W4297" s="38" t="n">
        <f aca="false">Sens!$I$4297</f>
        <v>204.6464699105</v>
      </c>
      <c r="X4297" s="38" t="n">
        <f aca="false">Sens!$J$4297</f>
        <v>209.8832381105</v>
      </c>
      <c r="Y4297" s="38" t="n">
        <f aca="false">Sens!$K$4297</f>
        <v>155.238385275201</v>
      </c>
      <c r="Z4297" s="38" t="n">
        <f aca="false">Sens!$L$4297</f>
        <v>132.014141639902</v>
      </c>
      <c r="AA4297" s="38" t="n">
        <f aca="false">Sens!$M$4297</f>
        <v>132.230981659852</v>
      </c>
    </row>
    <row r="4298" customFormat="false" ht="17.15" hidden="false" customHeight="false" outlineLevel="0" collapsed="false">
      <c r="A4298" s="5" t="s">
        <v>640</v>
      </c>
      <c r="B4298" s="0" t="s">
        <v>86</v>
      </c>
      <c r="C4298" s="38" t="n">
        <f aca="false">Sens!$C$4295-Sens!$C$4297</f>
        <v>13.9842411077374</v>
      </c>
      <c r="D4298" s="38" t="n">
        <f aca="false">Sens!$D$4295-Sens!$D$4297</f>
        <v>18.7462427310026</v>
      </c>
      <c r="E4298" s="38" t="n">
        <f aca="false">Sens!$E$4295-Sens!$E$4297</f>
        <v>30.2913414485108</v>
      </c>
      <c r="F4298" s="38" t="n">
        <f aca="false">Sens!$F$4295-Sens!$F$4297</f>
        <v>0</v>
      </c>
      <c r="G4298" s="38" t="n">
        <f aca="false">Sens!$G$4295-Sens!$G$4297</f>
        <v>30.2913414485108</v>
      </c>
      <c r="H4298" s="38" t="n">
        <f aca="false">Sens!$H$4295-Sens!$H$4297</f>
        <v>0</v>
      </c>
      <c r="I4298" s="38" t="n">
        <f aca="false">Sens!$I$4295-Sens!$I$4297</f>
        <v>0</v>
      </c>
      <c r="J4298" s="38" t="n">
        <f aca="false">Sens!$J$4295-Sens!$J$4297</f>
        <v>0</v>
      </c>
      <c r="K4298" s="38" t="n">
        <f aca="false">Sens!$K$4295-Sens!$K$4297</f>
        <v>0</v>
      </c>
      <c r="L4298" s="38" t="n">
        <f aca="false">Sens!$L$4295-Sens!$L$4297</f>
        <v>0</v>
      </c>
      <c r="M4298" s="38" t="n">
        <f aca="false">Sens!$M$4295-Sens!$M$4297</f>
        <v>0</v>
      </c>
      <c r="P4298" s="5" t="s">
        <v>641</v>
      </c>
      <c r="R4298" s="38" t="n">
        <f aca="false">Sens!$R$4295-Sens!$R$4297</f>
        <v>0</v>
      </c>
      <c r="S4298" s="38" t="n">
        <f aca="false">Sens!$S$4295-Sens!$S$4297</f>
        <v>13.9842411077374</v>
      </c>
      <c r="T4298" s="38" t="n">
        <f aca="false">Sens!$T$4295-Sens!$T$4297</f>
        <v>18.7462427310026</v>
      </c>
      <c r="U4298" s="38" t="n">
        <f aca="false">Sens!$U$4295-Sens!$U$4297</f>
        <v>30.2913414485108</v>
      </c>
      <c r="V4298" s="38" t="n">
        <f aca="false">Sens!$V$4295-Sens!$V$4297</f>
        <v>0</v>
      </c>
      <c r="W4298" s="38" t="n">
        <f aca="false">Sens!$W$4295-Sens!$W$4297</f>
        <v>0</v>
      </c>
      <c r="X4298" s="38" t="n">
        <f aca="false">Sens!$X$4295-Sens!$X$4297</f>
        <v>0</v>
      </c>
      <c r="Y4298" s="38" t="n">
        <f aca="false">Sens!$Y$4295-Sens!$Y$4297</f>
        <v>0</v>
      </c>
      <c r="Z4298" s="38" t="n">
        <f aca="false">Sens!$Z$4295-Sens!$Z$4297</f>
        <v>0</v>
      </c>
      <c r="AA4298" s="38" t="n">
        <f aca="false">Sens!$AA$4295-Sens!$AA$4297</f>
        <v>0</v>
      </c>
    </row>
    <row r="4299" customFormat="false" ht="17.15" hidden="false" customHeight="false" outlineLevel="0" collapsed="false">
      <c r="A4299" s="5" t="s">
        <v>642</v>
      </c>
      <c r="B4299" s="0" t="s">
        <v>86</v>
      </c>
      <c r="R4299" s="38" t="n">
        <f aca="false">Sens!$R$4298*Sens!$C$4294</f>
        <v>0</v>
      </c>
      <c r="S4299" s="38" t="n">
        <f aca="false">Sens!$S$4298*Sens!$C$4294</f>
        <v>10.219074499801</v>
      </c>
      <c r="T4299" s="38" t="n">
        <f aca="false">Sens!$T$4298*Sens!$C$4294</f>
        <v>13.6989379390402</v>
      </c>
      <c r="U4299" s="38" t="n">
        <f aca="false">Sens!$U$4298*Sens!$E$4294</f>
        <v>23.0454203705653</v>
      </c>
      <c r="V4299" s="38" t="n">
        <f aca="false">Sens!$V$4298*Sens!$E$4294</f>
        <v>0</v>
      </c>
      <c r="W4299" s="38" t="n">
        <f aca="false">Sens!$W$4298*Sens!$E$4294</f>
        <v>0</v>
      </c>
      <c r="X4299" s="38" t="n">
        <f aca="false">Sens!$X$4298*Sens!$E$4294</f>
        <v>0</v>
      </c>
      <c r="Y4299" s="38" t="n">
        <f aca="false">Sens!$Y$4298*Sens!$E$4294</f>
        <v>0</v>
      </c>
      <c r="Z4299" s="38" t="n">
        <f aca="false">Sens!$Z$4298*Sens!$E$4294</f>
        <v>0</v>
      </c>
      <c r="AA4299" s="38" t="n">
        <f aca="false">Sens!$AA$4298*Sens!$E$4294</f>
        <v>0</v>
      </c>
    </row>
    <row r="4300" customFormat="false" ht="17.15" hidden="false" customHeight="false" outlineLevel="0" collapsed="false">
      <c r="A4300" s="5" t="s">
        <v>643</v>
      </c>
      <c r="B4300" s="0" t="s">
        <v>86</v>
      </c>
      <c r="R4300" s="38" t="n">
        <f aca="false">SUMPRODUCT(--(Sens!$R$4265:$AA$4265=2023-cip_lag),Sens!$R$4299:$AA$4299)</f>
        <v>0</v>
      </c>
      <c r="S4300" s="38" t="n">
        <f aca="false">SUMPRODUCT(--(Sens!$R$4265:$AA$4265=2024-cip_lag),Sens!$R$4299:$AA$4299)</f>
        <v>0</v>
      </c>
      <c r="T4300" s="38" t="n">
        <f aca="false">SUMPRODUCT(--(Sens!$R$4265:$AA$4265=2025-cip_lag),Sens!$R$4299:$AA$4299)</f>
        <v>10.219074499801</v>
      </c>
      <c r="U4300" s="38" t="n">
        <f aca="false">SUMPRODUCT(--(Sens!$R$4265:$AA$4265=2026-cip_lag),Sens!$R$4299:$AA$4299)</f>
        <v>13.6989379390402</v>
      </c>
      <c r="V4300" s="38" t="n">
        <f aca="false">SUMPRODUCT(--(Sens!$R$4265:$AA$4265=2027-cip_lag),Sens!$R$4299:$AA$4299)</f>
        <v>23.0454203705653</v>
      </c>
      <c r="W4300" s="38" t="n">
        <f aca="false">SUMPRODUCT(--(Sens!$R$4265:$AA$4265=2028-cip_lag),Sens!$R$4299:$AA$4299)</f>
        <v>0</v>
      </c>
      <c r="X4300" s="38" t="n">
        <f aca="false">SUMPRODUCT(--(Sens!$R$4265:$AA$4265=2029-cip_lag),Sens!$R$4299:$AA$4299)</f>
        <v>0</v>
      </c>
      <c r="Y4300" s="38" t="n">
        <f aca="false">SUMPRODUCT(--(Sens!$R$4265:$AA$4265=2030-cip_lag),Sens!$R$4299:$AA$4299)</f>
        <v>0</v>
      </c>
      <c r="Z4300" s="38" t="n">
        <f aca="false">SUMPRODUCT(--(Sens!$R$4265:$AA$4265=2031-cip_lag),Sens!$R$4299:$AA$4299)</f>
        <v>0</v>
      </c>
      <c r="AA4300" s="38" t="n">
        <f aca="false">SUMPRODUCT(--(Sens!$R$4265:$AA$4265=2032-cip_lag),Sens!$R$4299:$AA$4299)</f>
        <v>0</v>
      </c>
    </row>
    <row r="4301" customFormat="false" ht="15" hidden="false" customHeight="false" outlineLevel="0" collapsed="false">
      <c r="A4301" s="5" t="s">
        <v>644</v>
      </c>
      <c r="B4301" s="0" t="s">
        <v>86</v>
      </c>
      <c r="R4301" s="38" t="n">
        <f aca="false">SUMPRODUCT(--(Sens!$R$4265:$AA$4265=2023-cip_lag),Sens!$R$4298:$AA$4298)-Sens!$R$4300</f>
        <v>0</v>
      </c>
      <c r="S4301" s="38" t="n">
        <f aca="false">SUMPRODUCT(--(Sens!$R$4265:$AA$4265=2024-cip_lag),Sens!$R$4298:$AA$4298)-Sens!$S$4300</f>
        <v>0</v>
      </c>
      <c r="T4301" s="38" t="n">
        <f aca="false">SUMPRODUCT(--(Sens!$R$4265:$AA$4265=2025-cip_lag),Sens!$R$4298:$AA$4298)-Sens!$T$4300</f>
        <v>3.76516660793636</v>
      </c>
      <c r="U4301" s="38" t="n">
        <f aca="false">SUMPRODUCT(--(Sens!$R$4265:$AA$4265=2026-cip_lag),Sens!$R$4298:$AA$4298)-Sens!$U$4300</f>
        <v>5.04730479196242</v>
      </c>
      <c r="V4301" s="38" t="n">
        <f aca="false">SUMPRODUCT(--(Sens!$R$4265:$AA$4265=2027-cip_lag),Sens!$R$4298:$AA$4298)-Sens!$V$4300</f>
        <v>7.24592107794548</v>
      </c>
      <c r="W4301" s="38" t="n">
        <f aca="false">SUMPRODUCT(--(Sens!$R$4265:$AA$4265=2028-cip_lag),Sens!$R$4298:$AA$4298)-Sens!$W$4300</f>
        <v>0</v>
      </c>
      <c r="X4301" s="38" t="n">
        <f aca="false">SUMPRODUCT(--(Sens!$R$4265:$AA$4265=2029-cip_lag),Sens!$R$4298:$AA$4298)-Sens!$X$4300</f>
        <v>0</v>
      </c>
      <c r="Y4301" s="38" t="n">
        <f aca="false">SUMPRODUCT(--(Sens!$R$4265:$AA$4265=2030-cip_lag),Sens!$R$4298:$AA$4298)-Sens!$Y$4300</f>
        <v>0</v>
      </c>
      <c r="Z4301" s="38" t="n">
        <f aca="false">SUMPRODUCT(--(Sens!$R$4265:$AA$4265=2031-cip_lag),Sens!$R$4298:$AA$4298)-Sens!$Z$4300</f>
        <v>0</v>
      </c>
      <c r="AA4301" s="38" t="n">
        <f aca="false">SUMPRODUCT(--(Sens!$R$4265:$AA$4265=2032-cip_lag),Sens!$R$4298:$AA$4298)-Sens!$AA$4300</f>
        <v>0</v>
      </c>
    </row>
    <row r="4302" customFormat="false" ht="17.15" hidden="false" customHeight="false" outlineLevel="0" collapsed="false">
      <c r="A4302" s="5" t="s">
        <v>645</v>
      </c>
      <c r="B4302" s="0" t="s">
        <v>86</v>
      </c>
      <c r="C4302" s="38" t="n">
        <f aca="false">Sens!$C$4297*Sens!$C$4294</f>
        <v>8.2530642</v>
      </c>
      <c r="D4302" s="38" t="n">
        <f aca="false">Sens!$D$4297*Sens!$D$4294</f>
        <v>37.1387889</v>
      </c>
      <c r="E4302" s="38" t="n">
        <f aca="false">Sens!$E$4297*Sens!$E$4294</f>
        <v>25.7897792</v>
      </c>
      <c r="F4302" s="38" t="n">
        <f aca="false">Sens!$F$4297*Sens!$F$4294</f>
        <v>67.4948715189913</v>
      </c>
      <c r="G4302" s="38" t="n">
        <f aca="false">Sens!$E$4302+Sens!$F$4302</f>
        <v>93.2846507189913</v>
      </c>
      <c r="H4302" s="38" t="n">
        <f aca="false">(Sens!$H$4297-Sens!$H$4296)*Sens!$H$4294+Sens!$H$4296</f>
        <v>152.52478394475</v>
      </c>
      <c r="I4302" s="38" t="n">
        <f aca="false">(Sens!$I$4297-Sens!$I$4296)*Sens!$I$4294+Sens!$I$4296</f>
        <v>158.5998889105</v>
      </c>
      <c r="J4302" s="38" t="n">
        <f aca="false">(Sens!$J$4297-Sens!$J$4296)*Sens!$J$4294+Sens!$J$4296</f>
        <v>163.8366571105</v>
      </c>
      <c r="K4302" s="38" t="n">
        <f aca="false">(Sens!$K$4297-Sens!$K$4296)*Sens!$K$4294+Sens!$K$4296</f>
        <v>122.665498273534</v>
      </c>
      <c r="L4302" s="38" t="n">
        <f aca="false">(Sens!$L$4297-Sens!$L$4296)*Sens!$L$4294+Sens!$L$4296</f>
        <v>112.914948636568</v>
      </c>
      <c r="M4302" s="38" t="n">
        <f aca="false">(Sens!$M$4297-Sens!$M$4296)*Sens!$M$4294+Sens!$M$4296</f>
        <v>126.605482654852</v>
      </c>
      <c r="R4302" s="38" t="n">
        <f aca="false">Sens!$R$4297*Sens!$C$4294</f>
        <v>1.09927679019314</v>
      </c>
      <c r="S4302" s="38" t="n">
        <f aca="false">Sens!$C$4302</f>
        <v>8.2530642</v>
      </c>
      <c r="T4302" s="38" t="n">
        <f aca="false">Sens!$D$4302</f>
        <v>37.1387889</v>
      </c>
      <c r="U4302" s="38" t="n">
        <f aca="false">Sens!$G$4302</f>
        <v>93.2846507189913</v>
      </c>
      <c r="V4302" s="38" t="n">
        <f aca="false">Sens!$H$4302</f>
        <v>152.52478394475</v>
      </c>
      <c r="W4302" s="38" t="n">
        <f aca="false">Sens!$I$4302</f>
        <v>158.5998889105</v>
      </c>
      <c r="X4302" s="38" t="n">
        <f aca="false">Sens!$J$4302</f>
        <v>163.8366571105</v>
      </c>
      <c r="Y4302" s="38" t="n">
        <f aca="false">Sens!$K$4302</f>
        <v>122.665498273534</v>
      </c>
      <c r="Z4302" s="38" t="n">
        <f aca="false">Sens!$L$4302</f>
        <v>112.914948636568</v>
      </c>
      <c r="AA4302" s="38" t="n">
        <f aca="false">Sens!$M$4302</f>
        <v>126.605482654852</v>
      </c>
    </row>
    <row r="4303" customFormat="false" ht="15" hidden="false" customHeight="false" outlineLevel="0" collapsed="false">
      <c r="A4303" s="5" t="s">
        <v>646</v>
      </c>
      <c r="B4303" s="0" t="s">
        <v>86</v>
      </c>
      <c r="C4303" s="38" t="n">
        <f aca="false">Sens!$C$4297-Sens!$C$4302</f>
        <v>3.0408</v>
      </c>
      <c r="D4303" s="38" t="n">
        <f aca="false">Sens!$D$4297-Sens!$D$4302</f>
        <v>13.6836</v>
      </c>
      <c r="E4303" s="38" t="n">
        <f aca="false">Sens!$E$4297-Sens!$E$4302</f>
        <v>8.1088</v>
      </c>
      <c r="F4303" s="38" t="n">
        <f aca="false">Sens!$F$4297-Sens!$F$4302</f>
        <v>21.2216789422221</v>
      </c>
      <c r="G4303" s="38" t="n">
        <f aca="false">Sens!$G$4297-Sens!$G$4302</f>
        <v>29.3304789422221</v>
      </c>
      <c r="H4303" s="38" t="n">
        <f aca="false">Sens!$H$4297-Sens!$H$4302</f>
        <v>46.046581</v>
      </c>
      <c r="I4303" s="38" t="n">
        <f aca="false">Sens!$I$4297-Sens!$I$4302</f>
        <v>46.046581</v>
      </c>
      <c r="J4303" s="38" t="n">
        <f aca="false">Sens!$J$4297-Sens!$J$4302</f>
        <v>46.046581</v>
      </c>
      <c r="K4303" s="38" t="n">
        <f aca="false">Sens!$K$4297-Sens!$K$4302</f>
        <v>32.5728870016667</v>
      </c>
      <c r="L4303" s="38" t="n">
        <f aca="false">Sens!$L$4297-Sens!$L$4302</f>
        <v>19.0991930033334</v>
      </c>
      <c r="M4303" s="38" t="n">
        <f aca="false">Sens!$M$4297-Sens!$M$4302</f>
        <v>5.62549900499998</v>
      </c>
      <c r="R4303" s="38" t="n">
        <f aca="false">Sens!$R$4297-Sens!$R$4302</f>
        <v>0.405023005106309</v>
      </c>
      <c r="S4303" s="38" t="n">
        <f aca="false">Sens!$S$4297-Sens!$S$4302</f>
        <v>3.0408</v>
      </c>
      <c r="T4303" s="38" t="n">
        <f aca="false">Sens!$T$4297-Sens!$T$4302</f>
        <v>13.6836</v>
      </c>
      <c r="U4303" s="38" t="n">
        <f aca="false">Sens!$U$4297-Sens!$U$4302</f>
        <v>29.3304789422221</v>
      </c>
      <c r="V4303" s="38" t="n">
        <f aca="false">Sens!$V$4297-Sens!$V$4302</f>
        <v>46.046581</v>
      </c>
      <c r="W4303" s="38" t="n">
        <f aca="false">Sens!$W$4297-Sens!$W$4302</f>
        <v>46.046581</v>
      </c>
      <c r="X4303" s="38" t="n">
        <f aca="false">Sens!$X$4297-Sens!$X$4302</f>
        <v>46.046581</v>
      </c>
      <c r="Y4303" s="38" t="n">
        <f aca="false">Sens!$Y$4297-Sens!$Y$4302</f>
        <v>32.5728870016667</v>
      </c>
      <c r="Z4303" s="38" t="n">
        <f aca="false">Sens!$Z$4297-Sens!$Z$4302</f>
        <v>19.0991930033334</v>
      </c>
      <c r="AA4303" s="38" t="n">
        <f aca="false">Sens!$AA$4297-Sens!$AA$4302</f>
        <v>5.62549900499998</v>
      </c>
    </row>
    <row r="4304" customFormat="false" ht="17.15" hidden="false" customHeight="false" outlineLevel="0" collapsed="false">
      <c r="A4304" s="0" t="s">
        <v>647</v>
      </c>
      <c r="B4304" s="0" t="s">
        <v>52</v>
      </c>
      <c r="C4304" s="13" t="n">
        <f aca="false">Sens!$C$4295/Sens!$C$4420</f>
        <v>0.325505489553393</v>
      </c>
      <c r="D4304" s="13" t="n">
        <f aca="false">Sens!$D$4295/Sens!$D$4420</f>
        <v>0.54214956071542</v>
      </c>
      <c r="E4304" s="13" t="n">
        <f aca="false">Sens!$E$4295/Sens!$E$4420</f>
        <v>0.666492790452817</v>
      </c>
      <c r="F4304" s="13" t="n">
        <f aca="false">Sens!$F$4295/Sens!$F$4420</f>
        <v>0.71724917504417</v>
      </c>
      <c r="G4304" s="13" t="n">
        <f aca="false">Sens!$G$4295/Sens!$G$4420</f>
        <v>0.69502941413511</v>
      </c>
      <c r="H4304" s="13" t="n">
        <f aca="false">Sens!$H$4295/Sens!$H$4420</f>
        <v>0.726474010986705</v>
      </c>
      <c r="I4304" s="13" t="n">
        <f aca="false">Sens!$I$4295/Sens!$I$4420</f>
        <v>0.713424729052975</v>
      </c>
      <c r="J4304" s="13" t="n">
        <f aca="false">Sens!$J$4295/Sens!$J$4420</f>
        <v>0.701913013689475</v>
      </c>
      <c r="K4304" s="13" t="n">
        <f aca="false">Sens!$K$4295/Sens!$K$4420</f>
        <v>0.619710587097091</v>
      </c>
      <c r="L4304" s="13" t="n">
        <f aca="false">Sens!$L$4295/Sens!$L$4420</f>
        <v>0.564539129896629</v>
      </c>
      <c r="M4304" s="13" t="n">
        <f aca="false">Sens!$M$4295/Sens!$M$4420</f>
        <v>0.548456830649279</v>
      </c>
    </row>
    <row r="4305" customFormat="false" ht="17.15" hidden="false" customHeight="false" outlineLevel="0" collapsed="false">
      <c r="A4305" s="0" t="s">
        <v>648</v>
      </c>
      <c r="B4305" s="0" t="s">
        <v>86</v>
      </c>
      <c r="C4305" s="38" t="n">
        <f aca="false">Sens!$S$4305</f>
        <v>0.183212798365523</v>
      </c>
      <c r="D4305" s="38" t="n">
        <f aca="false">Sens!$T$4305</f>
        <v>1.55872349836552</v>
      </c>
      <c r="E4305" s="38" t="n">
        <f aca="false">Sens!$G$4305/2</f>
        <v>4.72585036583285</v>
      </c>
      <c r="F4305" s="38" t="n">
        <f aca="false">Sens!$G$4305/2</f>
        <v>4.72585036583285</v>
      </c>
      <c r="G4305" s="38" t="n">
        <f aca="false">Sens!$U$4305</f>
        <v>9.4517007316657</v>
      </c>
      <c r="H4305" s="38" t="n">
        <f aca="false">Sens!$V$4305</f>
        <v>27.2822988413376</v>
      </c>
      <c r="I4305" s="38" t="n">
        <f aca="false">Sens!$W$4305</f>
        <v>56.5439995605568</v>
      </c>
      <c r="J4305" s="38" t="n">
        <f aca="false">Sens!$X$4305</f>
        <v>82.9773143789735</v>
      </c>
      <c r="K4305" s="38" t="n">
        <f aca="false">Sens!$Y$4305</f>
        <v>110.100211099025</v>
      </c>
      <c r="L4305" s="38" t="n">
        <f aca="false">Sens!$Z$4305</f>
        <v>129.16895011128</v>
      </c>
      <c r="M4305" s="38" t="n">
        <f aca="false">Sens!$AA$4305</f>
        <v>140.095130984075</v>
      </c>
      <c r="N4305" s="38" t="n">
        <f aca="false">Sens!$D$4305/2</f>
        <v>0.779361749182762</v>
      </c>
      <c r="O4305" s="38" t="n">
        <f aca="false">Sens!$D$4305/2</f>
        <v>0.779361749182762</v>
      </c>
      <c r="R4305" s="38" t="n">
        <f aca="false">(SUMPRODUCT(--(Sens!$R$4265:$AA$4265&lt;Sens!R$4265),--(Sens!$R$4265:$AA$4265&gt;=Sens!R$4265-tk_life),Sens!$R$4302:$AA$4302)+SUMPRODUCT(--(Sens!$R$4265:$AA$4265&lt;Sens!R$4265),--(Sens!$R$4265:$AA$4265&gt;=Sens!R$4265-tk_life),Sens!$R$4300:$AA$4300))/tk_life</f>
        <v>0</v>
      </c>
      <c r="S4305" s="38" t="n">
        <f aca="false">(SUMPRODUCT(--(Sens!$R$4265:$AA$4265&lt;Sens!S$4265),--(Sens!$R$4265:$AA$4265&gt;=Sens!S$4265-tk_life),Sens!$R$4302:$AA$4302)+SUMPRODUCT(--(Sens!$R$4265:$AA$4265&lt;Sens!S$4265),--(Sens!$R$4265:$AA$4265&gt;=Sens!S$4265-tk_life),Sens!$R$4300:$AA$4300))/tk_life</f>
        <v>0.183212798365523</v>
      </c>
      <c r="T4305" s="38" t="n">
        <f aca="false">(SUMPRODUCT(--(Sens!$R$4265:$AA$4265&lt;Sens!T$4265),--(Sens!$R$4265:$AA$4265&gt;=Sens!T$4265-tk_life),Sens!$R$4302:$AA$4302)+SUMPRODUCT(--(Sens!$R$4265:$AA$4265&lt;Sens!T$4265),--(Sens!$R$4265:$AA$4265&gt;=Sens!T$4265-tk_life),Sens!$R$4300:$AA$4300))/tk_life</f>
        <v>1.55872349836552</v>
      </c>
      <c r="U4305" s="38" t="n">
        <f aca="false">(SUMPRODUCT(--(Sens!$R$4265:$AA$4265&lt;Sens!U$4265),--(Sens!$R$4265:$AA$4265&gt;=Sens!U$4265-tk_life),Sens!$R$4302:$AA$4302)+SUMPRODUCT(--(Sens!$R$4265:$AA$4265&lt;Sens!U$4265),--(Sens!$R$4265:$AA$4265&gt;=Sens!U$4265-tk_life),Sens!$R$4300:$AA$4300))/tk_life</f>
        <v>9.4517007316657</v>
      </c>
      <c r="V4305" s="38" t="n">
        <f aca="false">(SUMPRODUCT(--(Sens!$R$4265:$AA$4265&lt;Sens!V$4265),--(Sens!$R$4265:$AA$4265&gt;=Sens!V$4265-tk_life),Sens!$R$4302:$AA$4302)+SUMPRODUCT(--(Sens!$R$4265:$AA$4265&lt;Sens!V$4265),--(Sens!$R$4265:$AA$4265&gt;=Sens!V$4265-tk_life),Sens!$R$4300:$AA$4300))/tk_life</f>
        <v>27.2822988413376</v>
      </c>
      <c r="W4305" s="38" t="n">
        <f aca="false">(SUMPRODUCT(--(Sens!$R$4265:$AA$4265&lt;Sens!W$4265),--(Sens!$R$4265:$AA$4265&gt;=Sens!W$4265-tk_life),Sens!$R$4302:$AA$4302)+SUMPRODUCT(--(Sens!$R$4265:$AA$4265&lt;Sens!W$4265),--(Sens!$R$4265:$AA$4265&gt;=Sens!W$4265-tk_life),Sens!$R$4300:$AA$4300))/tk_life</f>
        <v>56.5439995605568</v>
      </c>
      <c r="X4305" s="38" t="n">
        <f aca="false">(SUMPRODUCT(--(Sens!$R$4265:$AA$4265&lt;Sens!X$4265),--(Sens!$R$4265:$AA$4265&gt;=Sens!X$4265-tk_life),Sens!$R$4302:$AA$4302)+SUMPRODUCT(--(Sens!$R$4265:$AA$4265&lt;Sens!X$4265),--(Sens!$R$4265:$AA$4265&gt;=Sens!X$4265-tk_life),Sens!$R$4300:$AA$4300))/tk_life</f>
        <v>82.9773143789735</v>
      </c>
      <c r="Y4305" s="38" t="n">
        <f aca="false">(SUMPRODUCT(--(Sens!$R$4265:$AA$4265&lt;Sens!Y$4265),--(Sens!$R$4265:$AA$4265&gt;=Sens!Y$4265-tk_life),Sens!$R$4302:$AA$4302)+SUMPRODUCT(--(Sens!$R$4265:$AA$4265&lt;Sens!Y$4265),--(Sens!$R$4265:$AA$4265&gt;=Sens!Y$4265-tk_life),Sens!$R$4300:$AA$4300))/tk_life</f>
        <v>110.100211099025</v>
      </c>
      <c r="Z4305" s="38" t="n">
        <f aca="false">(SUMPRODUCT(--(Sens!$R$4265:$AA$4265&lt;Sens!Z$4265),--(Sens!$R$4265:$AA$4265&gt;=Sens!Z$4265-tk_life),Sens!$R$4302:$AA$4302)+SUMPRODUCT(--(Sens!$R$4265:$AA$4265&lt;Sens!Z$4265),--(Sens!$R$4265:$AA$4265&gt;=Sens!Z$4265-tk_life),Sens!$R$4300:$AA$4300))/tk_life</f>
        <v>129.16895011128</v>
      </c>
      <c r="AA4305" s="38" t="n">
        <f aca="false">(SUMPRODUCT(--(Sens!$R$4265:$AA$4265&lt;Sens!AA$4265),--(Sens!$R$4265:$AA$4265&gt;=Sens!AA$4265-tk_life),Sens!$R$4302:$AA$4302)+SUMPRODUCT(--(Sens!$R$4265:$AA$4265&lt;Sens!AA$4265),--(Sens!$R$4265:$AA$4265&gt;=Sens!AA$4265-tk_life),Sens!$R$4300:$AA$4300))/tk_life</f>
        <v>140.095130984075</v>
      </c>
    </row>
    <row r="4306" customFormat="false" ht="17.15" hidden="false" customHeight="false" outlineLevel="0" collapsed="false">
      <c r="A4306" s="0" t="s">
        <v>649</v>
      </c>
      <c r="B4306" s="0" t="s">
        <v>86</v>
      </c>
      <c r="C4306" s="38" t="n">
        <f aca="false">Sens!$S$4306</f>
        <v>0.0202511502553155</v>
      </c>
      <c r="D4306" s="38" t="n">
        <f aca="false">Sens!$T$4306</f>
        <v>0.172291150255315</v>
      </c>
      <c r="E4306" s="38" t="n">
        <f aca="false">Sens!$G$4306/2</f>
        <v>0.522364740326067</v>
      </c>
      <c r="F4306" s="38" t="n">
        <f aca="false">Sens!$G$4306/2</f>
        <v>0.522364740326067</v>
      </c>
      <c r="G4306" s="38" t="n">
        <f aca="false">Sens!$U$4306</f>
        <v>1.04472948065213</v>
      </c>
      <c r="H4306" s="38" t="n">
        <f aca="false">Sens!$V$4306</f>
        <v>2.76361866736136</v>
      </c>
      <c r="I4306" s="38" t="n">
        <f aca="false">Sens!$W$4306</f>
        <v>5.42824377125863</v>
      </c>
      <c r="J4306" s="38" t="n">
        <f aca="false">Sens!$X$4306</f>
        <v>7.73057282125864</v>
      </c>
      <c r="K4306" s="38" t="n">
        <f aca="false">Sens!$Y$4306</f>
        <v>10.0329018712586</v>
      </c>
      <c r="L4306" s="38" t="n">
        <f aca="false">Sens!$Z$4306</f>
        <v>11.661546221342</v>
      </c>
      <c r="M4306" s="38" t="n">
        <f aca="false">Sens!$AA$4306</f>
        <v>12.6165058715086</v>
      </c>
      <c r="N4306" s="38" t="n">
        <f aca="false">Sens!$D$4306/2</f>
        <v>0.0861455751276577</v>
      </c>
      <c r="O4306" s="38" t="n">
        <f aca="false">Sens!$D$4306/2</f>
        <v>0.0861455751276577</v>
      </c>
      <c r="R4306" s="38" t="n">
        <f aca="false">(SUMPRODUCT(--(Sens!$R$4265:$AA$4265&lt;Sens!R$4265),Sens!$R$4303:$AA$4303)+SUMPRODUCT(--(Sens!$R$4265:$AA$4265&lt;Sens!R$4265),Sens!$R$4301:$AA$4301))/fac_life</f>
        <v>0</v>
      </c>
      <c r="S4306" s="38" t="n">
        <f aca="false">(SUMPRODUCT(--(Sens!$R$4265:$AA$4265&lt;Sens!S$4265),Sens!$R$4303:$AA$4303)+SUMPRODUCT(--(Sens!$R$4265:$AA$4265&lt;Sens!S$4265),Sens!$R$4301:$AA$4301))/fac_life</f>
        <v>0.0202511502553155</v>
      </c>
      <c r="T4306" s="38" t="n">
        <f aca="false">(SUMPRODUCT(--(Sens!$R$4265:$AA$4265&lt;Sens!T$4265),Sens!$R$4303:$AA$4303)+SUMPRODUCT(--(Sens!$R$4265:$AA$4265&lt;Sens!T$4265),Sens!$R$4301:$AA$4301))/fac_life</f>
        <v>0.172291150255315</v>
      </c>
      <c r="U4306" s="38" t="n">
        <f aca="false">(SUMPRODUCT(--(Sens!$R$4265:$AA$4265&lt;Sens!U$4265),Sens!$R$4303:$AA$4303)+SUMPRODUCT(--(Sens!$R$4265:$AA$4265&lt;Sens!U$4265),Sens!$R$4301:$AA$4301))/fac_life</f>
        <v>1.04472948065213</v>
      </c>
      <c r="V4306" s="38" t="n">
        <f aca="false">(SUMPRODUCT(--(Sens!$R$4265:$AA$4265&lt;Sens!V$4265),Sens!$R$4303:$AA$4303)+SUMPRODUCT(--(Sens!$R$4265:$AA$4265&lt;Sens!V$4265),Sens!$R$4301:$AA$4301))/fac_life</f>
        <v>2.76361866736136</v>
      </c>
      <c r="W4306" s="38" t="n">
        <f aca="false">(SUMPRODUCT(--(Sens!$R$4265:$AA$4265&lt;Sens!W$4265),Sens!$R$4303:$AA$4303)+SUMPRODUCT(--(Sens!$R$4265:$AA$4265&lt;Sens!W$4265),Sens!$R$4301:$AA$4301))/fac_life</f>
        <v>5.42824377125863</v>
      </c>
      <c r="X4306" s="38" t="n">
        <f aca="false">(SUMPRODUCT(--(Sens!$R$4265:$AA$4265&lt;Sens!X$4265),Sens!$R$4303:$AA$4303)+SUMPRODUCT(--(Sens!$R$4265:$AA$4265&lt;Sens!X$4265),Sens!$R$4301:$AA$4301))/fac_life</f>
        <v>7.73057282125864</v>
      </c>
      <c r="Y4306" s="38" t="n">
        <f aca="false">(SUMPRODUCT(--(Sens!$R$4265:$AA$4265&lt;Sens!Y$4265),Sens!$R$4303:$AA$4303)+SUMPRODUCT(--(Sens!$R$4265:$AA$4265&lt;Sens!Y$4265),Sens!$R$4301:$AA$4301))/fac_life</f>
        <v>10.0329018712586</v>
      </c>
      <c r="Z4306" s="38" t="n">
        <f aca="false">(SUMPRODUCT(--(Sens!$R$4265:$AA$4265&lt;Sens!Z$4265),Sens!$R$4303:$AA$4303)+SUMPRODUCT(--(Sens!$R$4265:$AA$4265&lt;Sens!Z$4265),Sens!$R$4301:$AA$4301))/fac_life</f>
        <v>11.661546221342</v>
      </c>
      <c r="AA4306" s="38" t="n">
        <f aca="false">(SUMPRODUCT(--(Sens!$R$4265:$AA$4265&lt;Sens!AA$4265),Sens!$R$4303:$AA$4303)+SUMPRODUCT(--(Sens!$R$4265:$AA$4265&lt;Sens!AA$4265),Sens!$R$4301:$AA$4301))/fac_life</f>
        <v>12.6165058715086</v>
      </c>
    </row>
    <row r="4307" customFormat="false" ht="17.15" hidden="false" customHeight="false" outlineLevel="0" collapsed="false">
      <c r="A4307" s="1" t="s">
        <v>650</v>
      </c>
      <c r="B4307" s="8" t="s">
        <v>86</v>
      </c>
      <c r="C4307" s="38" t="n">
        <f aca="false">Sens!$C$4305+Sens!$C$4306</f>
        <v>0.203463948620839</v>
      </c>
      <c r="D4307" s="38" t="n">
        <f aca="false">Sens!$D$4305+Sens!$D$4306</f>
        <v>1.73101464862084</v>
      </c>
      <c r="E4307" s="38" t="n">
        <f aca="false">Sens!$E$4305+Sens!$E$4306</f>
        <v>5.24821510615892</v>
      </c>
      <c r="F4307" s="38" t="n">
        <f aca="false">Sens!$F$4305+Sens!$F$4306</f>
        <v>5.24821510615892</v>
      </c>
      <c r="G4307" s="38" t="n">
        <f aca="false">Sens!$G$4305+Sens!$G$4306</f>
        <v>10.4964302123178</v>
      </c>
      <c r="H4307" s="38" t="n">
        <f aca="false">Sens!$H$4305+Sens!$H$4306</f>
        <v>30.045917508699</v>
      </c>
      <c r="I4307" s="38" t="n">
        <f aca="false">Sens!$I$4305+Sens!$I$4306</f>
        <v>61.9722433318155</v>
      </c>
      <c r="J4307" s="38" t="n">
        <f aca="false">Sens!$J$4305+Sens!$J$4306</f>
        <v>90.7078872002321</v>
      </c>
      <c r="K4307" s="38" t="n">
        <f aca="false">Sens!$K$4305+Sens!$K$4306</f>
        <v>120.133112970283</v>
      </c>
      <c r="L4307" s="38" t="n">
        <f aca="false">Sens!$L$4305+Sens!$L$4306</f>
        <v>140.830496332622</v>
      </c>
      <c r="M4307" s="38" t="n">
        <f aca="false">Sens!$M$4305+Sens!$M$4306</f>
        <v>152.711636855584</v>
      </c>
      <c r="N4307" s="38" t="n">
        <f aca="false">Sens!$N$4305+Sens!$N$4306</f>
        <v>0.865507324310419</v>
      </c>
      <c r="O4307" s="38" t="n">
        <f aca="false">Sens!$O$4305+Sens!$O$4306</f>
        <v>0.865507324310419</v>
      </c>
      <c r="R4307" s="38" t="n">
        <f aca="false">Sens!$R$4305+Sens!$R$4306</f>
        <v>0</v>
      </c>
      <c r="S4307" s="38" t="n">
        <f aca="false">Sens!$S$4305+Sens!$S$4306</f>
        <v>0.203463948620839</v>
      </c>
      <c r="T4307" s="38" t="n">
        <f aca="false">Sens!$T$4305+Sens!$T$4306</f>
        <v>1.73101464862084</v>
      </c>
      <c r="U4307" s="38" t="n">
        <f aca="false">Sens!$U$4305+Sens!$U$4306</f>
        <v>10.4964302123178</v>
      </c>
      <c r="V4307" s="38" t="n">
        <f aca="false">Sens!$V$4305+Sens!$V$4306</f>
        <v>30.045917508699</v>
      </c>
      <c r="W4307" s="38" t="n">
        <f aca="false">Sens!$W$4305+Sens!$W$4306</f>
        <v>61.9722433318155</v>
      </c>
      <c r="X4307" s="38" t="n">
        <f aca="false">Sens!$X$4305+Sens!$X$4306</f>
        <v>90.7078872002321</v>
      </c>
      <c r="Y4307" s="38" t="n">
        <f aca="false">Sens!$Y$4305+Sens!$Y$4306</f>
        <v>120.133112970283</v>
      </c>
      <c r="Z4307" s="38" t="n">
        <f aca="false">Sens!$Z$4305+Sens!$Z$4306</f>
        <v>140.830496332622</v>
      </c>
      <c r="AA4307" s="38" t="n">
        <f aca="false">Sens!$AA$4305+Sens!$AA$4306</f>
        <v>152.711636855584</v>
      </c>
    </row>
    <row r="4308" customFormat="false" ht="17.15" hidden="false" customHeight="false" outlineLevel="0" collapsed="false">
      <c r="A4308" s="0" t="s">
        <v>651</v>
      </c>
      <c r="B4308" s="0" t="s">
        <v>86</v>
      </c>
      <c r="C4308" s="38" t="n">
        <f aca="false">Sens!$S$4308</f>
        <v>26.578941154416</v>
      </c>
      <c r="D4308" s="38" t="n">
        <f aca="false">Sens!$T$4308</f>
        <v>94.4165581367978</v>
      </c>
      <c r="G4308" s="38" t="n">
        <f aca="false">Sens!$U$4308</f>
        <v>236.826599034204</v>
      </c>
      <c r="H4308" s="38" t="n">
        <f aca="false">Sens!$V$4308</f>
        <v>405.352046470255</v>
      </c>
      <c r="I4308" s="38" t="n">
        <f aca="false">Sens!$W$4308</f>
        <v>548.02627304894</v>
      </c>
      <c r="J4308" s="38" t="n">
        <f aca="false">Sens!$X$4308</f>
        <v>667.201623959208</v>
      </c>
      <c r="K4308" s="38" t="n">
        <f aca="false">Sens!$Y$4308</f>
        <v>702.306896264125</v>
      </c>
      <c r="L4308" s="38" t="n">
        <f aca="false">Sens!$Z$4308</f>
        <v>693.490541571405</v>
      </c>
      <c r="M4308" s="38" t="n">
        <f aca="false">Sens!$AA$4308</f>
        <v>673.009886375674</v>
      </c>
      <c r="R4308" s="38" t="n">
        <f aca="false">SUM(Sens!$R$4295:$R$4295)-SUM(Sens!$R$4307:$R$4307)</f>
        <v>1.50429979529945</v>
      </c>
      <c r="S4308" s="38" t="n">
        <f aca="false">SUM(Sens!$R$4295:$S$4295)-SUM(Sens!$R$4307:$S$4307)</f>
        <v>26.578941154416</v>
      </c>
      <c r="T4308" s="38" t="n">
        <f aca="false">SUM(Sens!$R$4295:$T$4295)-SUM(Sens!$R$4307:$T$4307)</f>
        <v>94.4165581367978</v>
      </c>
      <c r="U4308" s="38" t="n">
        <f aca="false">SUM(Sens!$R$4295:$U$4295)-SUM(Sens!$R$4307:$U$4307)</f>
        <v>236.826599034204</v>
      </c>
      <c r="V4308" s="38" t="n">
        <f aca="false">SUM(Sens!$R$4295:$V$4295)-SUM(Sens!$R$4307:$V$4307)</f>
        <v>405.352046470255</v>
      </c>
      <c r="W4308" s="38" t="n">
        <f aca="false">SUM(Sens!$R$4295:$W$4295)-SUM(Sens!$R$4307:$W$4307)</f>
        <v>548.02627304894</v>
      </c>
      <c r="X4308" s="38" t="n">
        <f aca="false">SUM(Sens!$R$4295:$X$4295)-SUM(Sens!$R$4307:$X$4307)</f>
        <v>667.201623959208</v>
      </c>
      <c r="Y4308" s="38" t="n">
        <f aca="false">SUM(Sens!$R$4295:$Y$4295)-SUM(Sens!$R$4307:$Y$4307)</f>
        <v>702.306896264125</v>
      </c>
      <c r="Z4308" s="38" t="n">
        <f aca="false">SUM(Sens!$R$4295:$Z$4295)-SUM(Sens!$R$4307:$Z$4307)</f>
        <v>693.490541571405</v>
      </c>
      <c r="AA4308" s="38" t="n">
        <f aca="false">SUM(Sens!$R$4295:$AA$4295)-SUM(Sens!$R$4307:$AA$4307)</f>
        <v>673.009886375674</v>
      </c>
    </row>
    <row r="4309" customFormat="false" ht="17.15" hidden="false" customHeight="false" outlineLevel="0" collapsed="false">
      <c r="A4309" s="1" t="s">
        <v>652</v>
      </c>
    </row>
    <row r="4310" customFormat="false" ht="17.15" hidden="false" customHeight="false" outlineLevel="0" collapsed="false">
      <c r="A4310" s="0" t="s">
        <v>653</v>
      </c>
      <c r="B4310" s="0" t="s">
        <v>86</v>
      </c>
      <c r="C4310" s="38" t="n">
        <f aca="false">Sens!$C$4286-ext_sh*Sens!$C$4288</f>
        <v>1.80694998843362</v>
      </c>
      <c r="D4310" s="38" t="n">
        <f aca="false">Sens!$D$4286-ext_sh*Sens!$D$4288</f>
        <v>6.77606245662607</v>
      </c>
      <c r="E4310" s="38" t="n">
        <f aca="false">Sens!$E$4286-ext_sh*Sens!$E$4288</f>
        <v>6.62548329092326</v>
      </c>
      <c r="F4310" s="38" t="n">
        <f aca="false">Sens!$F$4286-ext_sh*Sens!$F$4288</f>
        <v>11.7200577158706</v>
      </c>
      <c r="G4310" s="38" t="n">
        <f aca="false">Sens!$G$4286-ext_sh*Sens!$G$4288</f>
        <v>18.3455410067939</v>
      </c>
      <c r="H4310" s="38" t="n">
        <f aca="false">Sens!$H$4286-ext_sh*Sens!$H$4288</f>
        <v>47.5171727060453</v>
      </c>
      <c r="I4310" s="38" t="n">
        <f aca="false">Sens!$I$4286-ext_sh*Sens!$I$4288</f>
        <v>80.5539692643667</v>
      </c>
      <c r="J4310" s="38" t="n">
        <f aca="false">Sens!$J$4286-ext_sh*Sens!$J$4288</f>
        <v>113.759316834883</v>
      </c>
      <c r="K4310" s="38" t="n">
        <f aca="false">Sens!$K$4286-ext_sh*Sens!$K$4288</f>
        <v>142.084411492169</v>
      </c>
      <c r="L4310" s="38" t="n">
        <f aca="false">Sens!$L$4286-ext_sh*Sens!$L$4288</f>
        <v>160.69964615804</v>
      </c>
      <c r="M4310" s="38" t="n">
        <f aca="false">Sens!$M$4286-ext_sh*Sens!$M$4288</f>
        <v>169.577607141793</v>
      </c>
      <c r="N4310" s="38" t="n">
        <f aca="false">Sens!$N$4286-ext_sh*Sens!$N$4288</f>
        <v>2.37162185981912</v>
      </c>
      <c r="O4310" s="38" t="n">
        <f aca="false">Sens!$O$4286-ext_sh*Sens!$O$4288</f>
        <v>4.40444059680694</v>
      </c>
    </row>
    <row r="4311" customFormat="false" ht="17.15" hidden="false" customHeight="false" outlineLevel="0" collapsed="false">
      <c r="A4311" s="1" t="s">
        <v>654</v>
      </c>
      <c r="B4311" s="8" t="s">
        <v>86</v>
      </c>
      <c r="C4311" s="38" t="n">
        <f aca="false">Sens!$C$4310-ext_sh*Sens!$C$4307</f>
        <v>1.64417882953695</v>
      </c>
      <c r="D4311" s="38" t="n">
        <f aca="false">Sens!$D$4310-ext_sh*Sens!$D$4307</f>
        <v>5.39125073772939</v>
      </c>
      <c r="E4311" s="38" t="n">
        <f aca="false">Sens!$E$4310-ext_sh*Sens!$E$4307</f>
        <v>2.42691120599613</v>
      </c>
      <c r="F4311" s="38" t="n">
        <f aca="false">Sens!$F$4310-ext_sh*Sens!$F$4307</f>
        <v>7.52148563094346</v>
      </c>
      <c r="G4311" s="38" t="n">
        <f aca="false">Sens!$G$4310-ext_sh*Sens!$G$4307</f>
        <v>9.94839683693959</v>
      </c>
      <c r="H4311" s="38" t="n">
        <f aca="false">Sens!$H$4310-ext_sh*Sens!$H$4307</f>
        <v>23.4804386990861</v>
      </c>
      <c r="I4311" s="38" t="n">
        <f aca="false">Sens!$I$4310-ext_sh*Sens!$I$4307</f>
        <v>30.9761745989143</v>
      </c>
      <c r="J4311" s="38" t="n">
        <f aca="false">Sens!$J$4310-ext_sh*Sens!$J$4307</f>
        <v>41.1930070746977</v>
      </c>
      <c r="K4311" s="38" t="n">
        <f aca="false">Sens!$K$4310-ext_sh*Sens!$K$4307</f>
        <v>45.9779211159428</v>
      </c>
      <c r="L4311" s="38" t="n">
        <f aca="false">Sens!$L$4310-ext_sh*Sens!$L$4307</f>
        <v>48.0352490919424</v>
      </c>
      <c r="M4311" s="38" t="n">
        <f aca="false">Sens!$M$4310-ext_sh*Sens!$M$4307</f>
        <v>47.4082976573265</v>
      </c>
      <c r="N4311" s="38" t="n">
        <f aca="false">Sens!$N$4310-ext_sh*Sens!$N$4307</f>
        <v>1.67921600037079</v>
      </c>
      <c r="O4311" s="38" t="n">
        <f aca="false">Sens!$O$4310-ext_sh*Sens!$O$4307</f>
        <v>3.71203473735861</v>
      </c>
    </row>
    <row r="4312" customFormat="false" ht="17.15" hidden="false" customHeight="false" outlineLevel="0" collapsed="false">
      <c r="A4312" s="0" t="s">
        <v>655</v>
      </c>
      <c r="B4312" s="0" t="s">
        <v>52</v>
      </c>
      <c r="C4312" s="13" t="n">
        <f aca="false">Sens!$C$4311/Sens!$C$4286</f>
        <v>0.708390794789371</v>
      </c>
      <c r="D4312" s="13" t="n">
        <f aca="false">Sens!$D$4311/Sens!$D$4286</f>
        <v>0.619415573115729</v>
      </c>
      <c r="E4312" s="13" t="n">
        <f aca="false">Sens!$E$4311/Sens!$E$4286</f>
        <v>0.285171627189009</v>
      </c>
      <c r="F4312" s="13" t="n">
        <f aca="false">Sens!$F$4311/Sens!$F$4286</f>
        <v>0.502657732812366</v>
      </c>
      <c r="G4312" s="13" t="n">
        <f aca="false">Sens!$G$4311/Sens!$G$4286</f>
        <v>0.423808778611812</v>
      </c>
      <c r="H4312" s="13" t="n">
        <f aca="false">Sens!$H$4311/Sens!$H$4286</f>
        <v>0.390261631739809</v>
      </c>
      <c r="I4312" s="13" t="n">
        <f aca="false">Sens!$I$4311/Sens!$I$4286</f>
        <v>0.305172864264572</v>
      </c>
      <c r="J4312" s="13" t="n">
        <f aca="false">Sens!$J$4311/Sens!$J$4286</f>
        <v>0.288011814789856</v>
      </c>
      <c r="K4312" s="13" t="n">
        <f aca="false">Sens!$K$4311/Sens!$K$4286</f>
        <v>0.25765427518774</v>
      </c>
      <c r="L4312" s="13" t="n">
        <f aca="false">Sens!$L$4311/Sens!$L$4286</f>
        <v>0.238118778012374</v>
      </c>
      <c r="M4312" s="13" t="n">
        <f aca="false">Sens!$M$4311/Sens!$M$4286</f>
        <v>0.222746255757109</v>
      </c>
      <c r="N4312" s="13" t="n">
        <f aca="false">Sens!$N$4311/Sens!$N$4286</f>
        <v>0.551227795793364</v>
      </c>
      <c r="O4312" s="13" t="n">
        <f aca="false">Sens!$O$4311/Sens!$O$4286</f>
        <v>0.656132068597002</v>
      </c>
    </row>
    <row r="4313" customFormat="false" ht="17.15" hidden="false" customHeight="false" outlineLevel="0" collapsed="false">
      <c r="A4313" s="5" t="s">
        <v>656</v>
      </c>
      <c r="B4313" s="0" t="s">
        <v>86</v>
      </c>
      <c r="C4313" s="39" t="n">
        <v>0</v>
      </c>
      <c r="D4313" s="39" t="n">
        <v>0</v>
      </c>
      <c r="E4313" s="39" t="n">
        <v>0</v>
      </c>
      <c r="F4313" s="38" t="n">
        <f aca="false">IF(internal_ai_reading=2,1,0)*(1-ext_sh)/ext_sh*(mw_open*he_open+Sens!$F$4284*Sens!$F$4281)*Sens!$F$4270/1000</f>
        <v>3.77122048175818</v>
      </c>
      <c r="G4313" s="38" t="n">
        <f aca="false">Sens!$E$4313+Sens!$F$4313</f>
        <v>3.77122048175818</v>
      </c>
      <c r="H4313" s="38" t="n">
        <f aca="false">IF(internal_ai_reading=2,1,0)*(1-ext_sh)/ext_sh*(mw_open*he_open+Sens!$H$4284*Sens!$H$4281)*Sens!$H$4270/1000</f>
        <v>15.1635543609893</v>
      </c>
      <c r="I4313" s="38" t="n">
        <f aca="false">IF(internal_ai_reading=2,1,0)*(1-ext_sh)/ext_sh*(mw_open*he_open+Sens!$I$4284*Sens!$I$4281)*Sens!$I$4270/1000</f>
        <v>25.5818843619889</v>
      </c>
      <c r="J4313" s="38" t="n">
        <f aca="false">IF(internal_ai_reading=2,1,0)*(1-ext_sh)/ext_sh*(mw_open*he_open+Sens!$J$4284*Sens!$J$4281)*Sens!$J$4270/1000</f>
        <v>36.0465624179122</v>
      </c>
      <c r="K4313" s="38" t="n">
        <f aca="false">IF(internal_ai_reading=2,1,0)*(1-ext_sh)/ext_sh*(mw_open*he_open+Sens!$K$4284*Sens!$K$4281)*Sens!$K$4270/1000</f>
        <v>44.9741164026038</v>
      </c>
      <c r="L4313" s="38" t="n">
        <f aca="false">IF(internal_ai_reading=2,1,0)*(1-ext_sh)/ext_sh*(mw_open*he_open+Sens!$L$4284*Sens!$L$4281)*Sens!$L$4270/1000</f>
        <v>50.8413488057813</v>
      </c>
      <c r="M4313" s="38" t="n">
        <f aca="false">IF(internal_ai_reading=2,1,0)*(1-ext_sh)/ext_sh*(mw_open*he_open+Sens!$M$4284*Sens!$M$4281)*Sens!$M$4270/1000</f>
        <v>53.6407214274315</v>
      </c>
      <c r="N4313" s="39" t="n">
        <v>0</v>
      </c>
      <c r="O4313" s="39" t="n">
        <v>0</v>
      </c>
      <c r="P4313" s="8" t="s">
        <v>657</v>
      </c>
    </row>
    <row r="4314" customFormat="false" ht="17.15" hidden="false" customHeight="false" outlineLevel="0" collapsed="false">
      <c r="A4314" s="5" t="s">
        <v>658</v>
      </c>
      <c r="B4314" s="0" t="s">
        <v>86</v>
      </c>
      <c r="C4314" s="38" t="n">
        <f aca="false">(1-ext_sh)*(Sens!$C$4288+Sens!$C$4307)</f>
        <v>0.169206631859174</v>
      </c>
      <c r="D4314" s="38" t="n">
        <f aca="false">(1-ext_sh)*(Sens!$D$4288+Sens!$D$4307)</f>
        <v>0.828129837730442</v>
      </c>
      <c r="E4314" s="38" t="n">
        <f aca="false">(1-ext_sh)*(Sens!$E$4288+Sens!$E$4307)</f>
        <v>1.52086044239347</v>
      </c>
      <c r="F4314" s="38" t="n">
        <f aca="false">(1-ext_sh)*(Sens!$F$4288+Sens!$F$4307)</f>
        <v>1.86048700344425</v>
      </c>
      <c r="G4314" s="38" t="n">
        <f aca="false">(1-ext_sh)*(Sens!$G$4288+Sens!$G$4307)</f>
        <v>3.38134744583772</v>
      </c>
      <c r="H4314" s="38" t="n">
        <f aca="false">(1-ext_sh)*(Sens!$H$4288+Sens!$H$4307)</f>
        <v>9.17136301267211</v>
      </c>
      <c r="I4314" s="38" t="n">
        <f aca="false">(1-ext_sh)*(Sens!$I$4288+Sens!$I$4307)</f>
        <v>17.6318811343794</v>
      </c>
      <c r="J4314" s="38" t="n">
        <f aca="false">(1-ext_sh)*(Sens!$J$4288+Sens!$J$4307)</f>
        <v>25.4581000191451</v>
      </c>
      <c r="K4314" s="38" t="n">
        <f aca="false">(1-ext_sh)*(Sens!$K$4288+Sens!$K$4307)</f>
        <v>33.1175498168092</v>
      </c>
      <c r="L4314" s="38" t="n">
        <f aca="false">(1-ext_sh)*(Sens!$L$4288+Sens!$L$4307)</f>
        <v>38.4232131776135</v>
      </c>
      <c r="M4314" s="38" t="n">
        <f aca="false">(1-ext_sh)*(Sens!$M$4288+Sens!$M$4307)</f>
        <v>41.3567859278847</v>
      </c>
      <c r="N4314" s="38" t="n">
        <f aca="false">(1-ext_sh)*(Sens!$N$4288+Sens!$N$4307)</f>
        <v>0.34177588266428</v>
      </c>
      <c r="O4314" s="38" t="n">
        <f aca="false">(1-ext_sh)*(Sens!$O$4288+Sens!$O$4307)</f>
        <v>0.486353955066162</v>
      </c>
    </row>
    <row r="4315" customFormat="false" ht="17.15" hidden="false" customHeight="false" outlineLevel="0" collapsed="false">
      <c r="A4315" s="0" t="s">
        <v>659</v>
      </c>
      <c r="B4315" s="0" t="s">
        <v>86</v>
      </c>
      <c r="C4315" s="38" t="n">
        <f aca="false">Q!$D$24</f>
        <v>39.834</v>
      </c>
      <c r="D4315" s="38" t="n">
        <f aca="false">Q!$E$24</f>
        <v>45.606</v>
      </c>
      <c r="E4315" s="38" t="n">
        <f aca="false">Q!$P$24</f>
        <v>30.782</v>
      </c>
      <c r="N4315" s="38" t="n">
        <f aca="false">Q!$N$24</f>
        <v>21.707</v>
      </c>
      <c r="O4315" s="38" t="n">
        <f aca="false">Q!$O$24</f>
        <v>23.899</v>
      </c>
    </row>
    <row r="4316" customFormat="false" ht="17.15" hidden="false" customHeight="false" outlineLevel="0" collapsed="false">
      <c r="A4316" s="0" t="s">
        <v>660</v>
      </c>
      <c r="B4316" s="0" t="s">
        <v>86</v>
      </c>
      <c r="C4316" s="38" t="n">
        <f aca="false">Sens!$C$4315-Sens!$C$4311</f>
        <v>38.1898211704631</v>
      </c>
      <c r="D4316" s="38" t="n">
        <f aca="false">Sens!$D$4315-Sens!$D$4311</f>
        <v>40.2147492622706</v>
      </c>
      <c r="E4316" s="38" t="n">
        <f aca="false">Sens!$E$4315-Sens!$E$4311</f>
        <v>28.3550887940039</v>
      </c>
      <c r="F4316" s="38" t="n">
        <f aca="false">Sens!$F$4290*Sens!$F$4317</f>
        <v>25.9529793149447</v>
      </c>
      <c r="G4316" s="38" t="n">
        <f aca="false">Sens!$E$4316+Sens!$F$4316</f>
        <v>54.3080681089486</v>
      </c>
      <c r="H4316" s="38" t="n">
        <f aca="false">Sens!$H$4290*Sens!$H$4317</f>
        <v>58.2264684589333</v>
      </c>
      <c r="I4316" s="38" t="n">
        <f aca="false">Sens!$I$4290*Sens!$I$4317</f>
        <v>64.6461353851744</v>
      </c>
      <c r="J4316" s="38" t="n">
        <f aca="false">Sens!$J$4290*Sens!$J$4317</f>
        <v>70.7957093610231</v>
      </c>
      <c r="K4316" s="38" t="n">
        <f aca="false">Sens!$K$4290*Sens!$K$4317</f>
        <v>76.4593661099049</v>
      </c>
      <c r="L4316" s="38" t="n">
        <f aca="false">Sens!$L$4290*Sens!$L$4317</f>
        <v>82.5761153986973</v>
      </c>
      <c r="M4316" s="38" t="n">
        <f aca="false">Sens!$M$4290*Sens!$M$4317</f>
        <v>89.1822046305931</v>
      </c>
      <c r="N4316" s="38" t="n">
        <f aca="false">Sens!$N$4315-Sens!$N$4311</f>
        <v>20.0277839996292</v>
      </c>
      <c r="O4316" s="38" t="n">
        <f aca="false">Sens!$O$4315-Sens!$O$4311</f>
        <v>20.1869652626414</v>
      </c>
      <c r="P4316" s="5" t="s">
        <v>661</v>
      </c>
    </row>
    <row r="4317" customFormat="false" ht="17.15" hidden="false" customHeight="false" outlineLevel="0" collapsed="false">
      <c r="A4317" s="0" t="s">
        <v>662</v>
      </c>
      <c r="B4317" s="0" t="s">
        <v>52</v>
      </c>
      <c r="C4317" s="13" t="n">
        <f aca="false">Sens!$C$4316/Sens!$C$4290</f>
        <v>0.362900395443635</v>
      </c>
      <c r="D4317" s="13" t="n">
        <f aca="false">Sens!$D$4316/Sens!$D$4290</f>
        <v>0.335063632425483</v>
      </c>
      <c r="E4317" s="13" t="n">
        <f aca="false">Sens!$E$4316/Sens!$E$4290</f>
        <v>0.397638855555478</v>
      </c>
      <c r="F4317" s="13" t="n">
        <f aca="false">(Sens!$O$4316+Sens!$E$4316)/(Sens!$O$4290+Sens!$E$4290)</f>
        <v>0.361616727338133</v>
      </c>
      <c r="G4317" s="13" t="n">
        <f aca="false">Sens!$G$4316/Sens!$G$4290</f>
        <v>0.379569803149143</v>
      </c>
      <c r="H4317" s="13" t="n">
        <f aca="false">Sens!$F$4317</f>
        <v>0.361616727338133</v>
      </c>
      <c r="I4317" s="13" t="n">
        <f aca="false">Sens!$F$4317</f>
        <v>0.361616727338133</v>
      </c>
      <c r="J4317" s="13" t="n">
        <f aca="false">Sens!$F$4317</f>
        <v>0.361616727338133</v>
      </c>
      <c r="K4317" s="13" t="n">
        <f aca="false">Sens!$F$4317</f>
        <v>0.361616727338133</v>
      </c>
      <c r="L4317" s="13" t="n">
        <f aca="false">Sens!$F$4317</f>
        <v>0.361616727338133</v>
      </c>
      <c r="M4317" s="13" t="n">
        <f aca="false">Sens!$F$4317</f>
        <v>0.361616727338133</v>
      </c>
      <c r="N4317" s="13" t="n">
        <f aca="false">Sens!$N$4316/Sens!$N$4290</f>
        <v>0.35078810535806</v>
      </c>
      <c r="O4317" s="13" t="n">
        <f aca="false">Sens!$O$4316/Sens!$O$4290</f>
        <v>0.320796939361619</v>
      </c>
      <c r="P4317" s="8" t="s">
        <v>663</v>
      </c>
    </row>
    <row r="4318" customFormat="false" ht="17.15" hidden="false" customHeight="false" outlineLevel="0" collapsed="false">
      <c r="A4318" s="0" t="s">
        <v>664</v>
      </c>
      <c r="B4318" s="0" t="s">
        <v>52</v>
      </c>
      <c r="D4318" s="13" t="n">
        <f aca="false">(Q!$E$31-ext_sh*Sens!$D$4307)/Sens!$D$4290</f>
        <v>0.167180325480118</v>
      </c>
    </row>
    <row r="4319" customFormat="false" ht="17.15" hidden="false" customHeight="false" outlineLevel="0" collapsed="false">
      <c r="A4319" s="0" t="s">
        <v>665</v>
      </c>
      <c r="B4319" s="0" t="s">
        <v>86</v>
      </c>
      <c r="C4319" s="38" t="n">
        <f aca="false">Q!$D$31</f>
        <v>13.32</v>
      </c>
      <c r="D4319" s="38" t="n">
        <f aca="false">Q!$E$31</f>
        <v>21.45</v>
      </c>
      <c r="E4319" s="38" t="n">
        <f aca="false">Q!$P$31</f>
        <v>15.353</v>
      </c>
      <c r="F4319" s="38" t="n">
        <f aca="false">ext_sh*Sens!$F$4307+Sens!$D$4318*Sens!$F$4290</f>
        <v>16.1969869840094</v>
      </c>
      <c r="G4319" s="38" t="n">
        <f aca="false">Sens!$E$4319+Sens!$F$4319</f>
        <v>31.5499869840094</v>
      </c>
      <c r="H4319" s="38" t="n">
        <f aca="false">ext_sh*Sens!$H$4307+Sens!$D$4318*Sens!$H$4290</f>
        <v>50.9556213609176</v>
      </c>
      <c r="I4319" s="38" t="n">
        <f aca="false">ext_sh*Sens!$I$4307+Sens!$D$4318*Sens!$I$4290</f>
        <v>79.464581248252</v>
      </c>
      <c r="J4319" s="38" t="n">
        <f aca="false">ext_sh*Sens!$J$4307+Sens!$D$4318*Sens!$J$4290</f>
        <v>105.296127931746</v>
      </c>
      <c r="K4319" s="38" t="n">
        <f aca="false">ext_sh*Sens!$K$4307+Sens!$D$4318*Sens!$K$4290</f>
        <v>131.454694001511</v>
      </c>
      <c r="L4319" s="38" t="n">
        <f aca="false">ext_sh*Sens!$L$4307+Sens!$D$4318*Sens!$L$4290</f>
        <v>150.840456981405</v>
      </c>
      <c r="M4319" s="38" t="n">
        <f aca="false">ext_sh*Sens!$M$4307+Sens!$D$4318*Sens!$M$4290</f>
        <v>163.399454192999</v>
      </c>
      <c r="N4319" s="38" t="n">
        <f aca="false">Q!$N$31</f>
        <v>9.234</v>
      </c>
      <c r="O4319" s="38" t="n">
        <f aca="false">Q!$O$31</f>
        <v>12.216</v>
      </c>
    </row>
    <row r="4320" customFormat="false" ht="17.15" hidden="false" customHeight="false" outlineLevel="0" collapsed="false">
      <c r="A4320" s="1" t="s">
        <v>666</v>
      </c>
    </row>
    <row r="4321" customFormat="false" ht="17.15" hidden="false" customHeight="false" outlineLevel="0" collapsed="false">
      <c r="A4321" s="15" t="s">
        <v>667</v>
      </c>
      <c r="B4321" s="14" t="s">
        <v>52</v>
      </c>
      <c r="C4321" s="14"/>
      <c r="D4321" s="14"/>
      <c r="E4321" s="14"/>
      <c r="F4321" s="14"/>
      <c r="G4321" s="17" t="n">
        <f aca="false">Sens!$G$4311*(1-tax)/(ext_sh*(Sens!$D$4308+Sens!$G$4308)/2)</f>
        <v>0.0620504069546486</v>
      </c>
      <c r="H4321" s="17" t="n">
        <f aca="false">Sens!$H$4311*(1-tax)/(ext_sh*(Sens!$G$4308+Sens!$H$4308)/2)</f>
        <v>0.0755420551527686</v>
      </c>
      <c r="I4321" s="17" t="n">
        <f aca="false">Sens!$I$4311*(1-tax)/(ext_sh*(Sens!$H$4308+Sens!$I$4308)/2)</f>
        <v>0.067127575356291</v>
      </c>
      <c r="J4321" s="17" t="n">
        <f aca="false">Sens!$J$4311*(1-tax)/(ext_sh*(Sens!$I$4308+Sens!$J$4308)/2)</f>
        <v>0.0700332392906535</v>
      </c>
      <c r="K4321" s="17" t="n">
        <f aca="false">Sens!$K$4311*(1-tax)/(ext_sh*(Sens!$J$4308+Sens!$K$4308)/2)</f>
        <v>0.0693622290093833</v>
      </c>
      <c r="L4321" s="17" t="n">
        <f aca="false">Sens!$L$4311*(1-tax)/(ext_sh*(Sens!$K$4308+Sens!$L$4308)/2)</f>
        <v>0.0711010638813626</v>
      </c>
      <c r="M4321" s="17" t="n">
        <f aca="false">Sens!$M$4311*(1-tax)/(ext_sh*(Sens!$L$4308+Sens!$M$4308)/2)</f>
        <v>0.071677531066401</v>
      </c>
      <c r="N4321" s="14"/>
      <c r="O4321" s="14"/>
      <c r="P4321" s="8" t="s">
        <v>668</v>
      </c>
    </row>
    <row r="4322" customFormat="false" ht="17.15" hidden="false" customHeight="false" outlineLevel="0" collapsed="false">
      <c r="A4322" s="5" t="s">
        <v>669</v>
      </c>
      <c r="B4322" s="0" t="s">
        <v>57</v>
      </c>
      <c r="H4322" s="36" t="n">
        <f aca="false">Sens!$H$4286*1000/(mw_open*he_open+Sens!$H$4284*Sens!$H$4281)</f>
        <v>0.991949006767191</v>
      </c>
      <c r="I4322" s="36" t="n">
        <f aca="false">Sens!$I$4286*1000/(mw_open*he_open+Sens!$I$4284*Sens!$I$4281)</f>
        <v>0.991949006767191</v>
      </c>
      <c r="J4322" s="36" t="n">
        <f aca="false">Sens!$J$4286*1000/(mw_open*he_open+Sens!$J$4284*Sens!$J$4281)</f>
        <v>0.991949006767191</v>
      </c>
      <c r="K4322" s="36" t="n">
        <f aca="false">Sens!$K$4286*1000/(mw_open*he_open+Sens!$K$4284*Sens!$K$4281)</f>
        <v>0.991949006767191</v>
      </c>
      <c r="L4322" s="36" t="n">
        <f aca="false">Sens!$L$4286*1000/(mw_open*he_open+Sens!$L$4284*Sens!$L$4281)</f>
        <v>0.991949006767191</v>
      </c>
      <c r="M4322" s="36" t="n">
        <f aca="false">Sens!$M$4286*1000/(mw_open*he_open+Sens!$M$4284*Sens!$M$4281)</f>
        <v>0.991949006767191</v>
      </c>
    </row>
    <row r="4323" customFormat="false" ht="17.15" hidden="false" customHeight="false" outlineLevel="0" collapsed="false">
      <c r="A4323" s="5" t="s">
        <v>670</v>
      </c>
      <c r="B4323" s="0" t="s">
        <v>57</v>
      </c>
      <c r="H4323" s="36" t="n">
        <f aca="false">Sens!$H$4322*(Sens!$H$4286+wacc*ext_sh*(Sens!$G$4308+Sens!$H$4308)/2/(1-tax)-Sens!$H$4311)/Sens!$H$4286</f>
        <v>1.18542857552197</v>
      </c>
      <c r="I4323" s="36" t="n">
        <f aca="false">Sens!$I$4322*(Sens!$I$4286+wacc*ext_sh*(Sens!$H$4308+Sens!$I$4308)/2/(1-tax)-Sens!$I$4311)/Sens!$I$4286</f>
        <v>1.20015476648903</v>
      </c>
      <c r="J4323" s="36" t="n">
        <f aca="false">Sens!$J$4322*(Sens!$J$4286+wacc*ext_sh*(Sens!$I$4308+Sens!$J$4308)/2/(1-tax)-Sens!$J$4311)/Sens!$J$4286</f>
        <v>1.16844056931249</v>
      </c>
      <c r="K4323" s="36" t="n">
        <f aca="false">Sens!$K$4322*(Sens!$K$4286+wacc*ext_sh*(Sens!$J$4308+Sens!$K$4308)/2/(1-tax)-Sens!$K$4311)/Sens!$K$4286</f>
        <v>1.15383758356873</v>
      </c>
      <c r="L4323" s="36" t="n">
        <f aca="false">Sens!$L$4322*(Sens!$L$4286+wacc*ext_sh*(Sens!$K$4308+Sens!$L$4308)/2/(1-tax)-Sens!$L$4311)/Sens!$L$4286</f>
        <v>1.13212765595665</v>
      </c>
      <c r="M4323" s="36" t="n">
        <f aca="false">Sens!$M$4322*(Sens!$M$4286+wacc*ext_sh*(Sens!$L$4308+Sens!$M$4308)/2/(1-tax)-Sens!$M$4311)/Sens!$M$4286</f>
        <v>1.12024635139935</v>
      </c>
    </row>
    <row r="4324" customFormat="false" ht="17.15" hidden="false" customHeight="false" outlineLevel="0" collapsed="false">
      <c r="A4324" s="5" t="s">
        <v>671</v>
      </c>
      <c r="B4324" s="0" t="s">
        <v>52</v>
      </c>
      <c r="C4324" s="13" t="n">
        <f aca="false">Sens!$C$4287/tk_pq</f>
        <v>0.195316432429398</v>
      </c>
      <c r="D4324" s="13" t="n">
        <f aca="false">Sens!$D$4287/tk_pq</f>
        <v>0.195316432429398</v>
      </c>
      <c r="E4324" s="13" t="n">
        <f aca="false">Sens!$E$4287/tk_pq</f>
        <v>0.195316432429398</v>
      </c>
      <c r="F4324" s="13" t="n">
        <f aca="false">Sens!$F$4287/tk_pq</f>
        <v>0.202241827274866</v>
      </c>
      <c r="G4324" s="13" t="n">
        <f aca="false">Sens!$G$4287/tk_pq</f>
        <v>0.199675016194063</v>
      </c>
      <c r="H4324" s="13" t="n">
        <f aca="false">Sens!$H$4287/tk_pq</f>
        <v>0.212647947710325</v>
      </c>
      <c r="I4324" s="13" t="n">
        <f aca="false">Sens!$I$4287/tk_pq</f>
        <v>0.219285125475351</v>
      </c>
      <c r="J4324" s="13" t="n">
        <f aca="false">Sens!$J$4287/tk_pq</f>
        <v>0.222492493217189</v>
      </c>
      <c r="K4324" s="13" t="n">
        <f aca="false">Sens!$K$4287/tk_pq</f>
        <v>0.224053502812094</v>
      </c>
      <c r="L4324" s="13" t="n">
        <f aca="false">Sens!$L$4287/tk_pq</f>
        <v>0.224786916785614</v>
      </c>
      <c r="M4324" s="13" t="n">
        <f aca="false">Sens!$M$4287/tk_pq</f>
        <v>0.225048671566937</v>
      </c>
      <c r="N4324" s="13" t="n">
        <f aca="false">Sens!$N$4287/tk_pq</f>
        <v>0.195316432429398</v>
      </c>
      <c r="O4324" s="13" t="n">
        <f aca="false">Sens!$O$4287/tk_pq</f>
        <v>0.195316432429398</v>
      </c>
      <c r="P4324" s="5" t="s">
        <v>672</v>
      </c>
    </row>
    <row r="4327" customFormat="false" ht="17.15" hidden="false" customHeight="false" outlineLevel="0" collapsed="false">
      <c r="A4327" s="1" t="s">
        <v>701</v>
      </c>
    </row>
    <row r="4328" customFormat="false" ht="17.15" hidden="false" customHeight="false" outlineLevel="0" collapsed="false">
      <c r="A4328" s="0" t="s">
        <v>702</v>
      </c>
      <c r="B4328" s="0" t="s">
        <v>86</v>
      </c>
      <c r="C4328" s="38" t="n">
        <f aca="false">Sens!$C$4286</f>
        <v>2.32100535697364</v>
      </c>
      <c r="D4328" s="38" t="n">
        <f aca="false">Sens!$D$4286</f>
        <v>8.70377008865116</v>
      </c>
      <c r="E4328" s="38" t="n">
        <f aca="false">Sens!$E$4286</f>
        <v>8.51035297557002</v>
      </c>
      <c r="F4328" s="38" t="n">
        <f aca="false">Sens!$F$4286</f>
        <v>14.9634336447205</v>
      </c>
      <c r="G4328" s="38" t="n">
        <f aca="false">Sens!$G$4286</f>
        <v>23.4737866202905</v>
      </c>
      <c r="H4328" s="38" t="n">
        <f aca="false">Sens!$H$4286</f>
        <v>60.1658907497746</v>
      </c>
      <c r="I4328" s="38" t="n">
        <f aca="false">Sens!$I$4286</f>
        <v>101.503699136432</v>
      </c>
      <c r="J4328" s="38" t="n">
        <f aca="false">Sens!$J$4286</f>
        <v>143.025407151278</v>
      </c>
      <c r="K4328" s="38" t="n">
        <f aca="false">Sens!$K$4286</f>
        <v>178.44812038318</v>
      </c>
      <c r="L4328" s="38" t="n">
        <f aca="false">Sens!$L$4286</f>
        <v>201.728101802396</v>
      </c>
      <c r="M4328" s="38" t="n">
        <f aca="false">Sens!$M$4286</f>
        <v>212.835441368865</v>
      </c>
      <c r="N4328" s="38" t="n">
        <f aca="false">Sens!$N$4286</f>
        <v>3.04631953102791</v>
      </c>
      <c r="O4328" s="38" t="n">
        <f aca="false">Sens!$O$4286</f>
        <v>5.65745055762326</v>
      </c>
      <c r="P4328" s="8" t="s">
        <v>703</v>
      </c>
    </row>
    <row r="4329" customFormat="false" ht="17.15" hidden="false" customHeight="false" outlineLevel="0" collapsed="false">
      <c r="A4329" s="0" t="s">
        <v>704</v>
      </c>
      <c r="B4329" s="0" t="s">
        <v>86</v>
      </c>
      <c r="C4329" s="38" t="n">
        <f aca="false">Sens!$C$4290</f>
        <v>105.234994643026</v>
      </c>
      <c r="D4329" s="38" t="n">
        <f aca="false">Sens!$D$4290</f>
        <v>120.021229911349</v>
      </c>
      <c r="E4329" s="38" t="n">
        <f aca="false">Sens!$E$4290</f>
        <v>71.30864702443</v>
      </c>
      <c r="F4329" s="38" t="n">
        <f aca="false">Sens!$F$4290</f>
        <v>71.7692997942464</v>
      </c>
      <c r="G4329" s="38" t="n">
        <f aca="false">Sens!$G$4290</f>
        <v>143.077946818676</v>
      </c>
      <c r="H4329" s="38" t="n">
        <f aca="false">Sens!$H$4290</f>
        <v>161.017077079203</v>
      </c>
      <c r="I4329" s="38" t="n">
        <f aca="false">Sens!$I$4290</f>
        <v>178.769759521457</v>
      </c>
      <c r="J4329" s="38" t="n">
        <f aca="false">Sens!$J$4290</f>
        <v>195.775538045907</v>
      </c>
      <c r="K4329" s="38" t="n">
        <f aca="false">Sens!$K$4290</f>
        <v>211.43758108958</v>
      </c>
      <c r="L4329" s="38" t="n">
        <f aca="false">Sens!$L$4290</f>
        <v>228.352587576746</v>
      </c>
      <c r="M4329" s="38" t="n">
        <f aca="false">Sens!$M$4290</f>
        <v>246.620794582886</v>
      </c>
      <c r="N4329" s="38" t="n">
        <f aca="false">Sens!$N$4290</f>
        <v>57.0936804689721</v>
      </c>
      <c r="O4329" s="38" t="n">
        <f aca="false">Sens!$O$4290</f>
        <v>62.9275494423768</v>
      </c>
      <c r="P4329" s="8" t="s">
        <v>703</v>
      </c>
    </row>
    <row r="4330" customFormat="false" ht="17.15" hidden="false" customHeight="false" outlineLevel="0" collapsed="false">
      <c r="A4330" s="1" t="s">
        <v>523</v>
      </c>
      <c r="B4330" s="8" t="s">
        <v>86</v>
      </c>
      <c r="C4330" s="38" t="n">
        <f aca="false">Q!$D$7</f>
        <v>107.556</v>
      </c>
      <c r="D4330" s="38" t="n">
        <f aca="false">Q!$E$7</f>
        <v>128.725</v>
      </c>
      <c r="E4330" s="38" t="n">
        <f aca="false">Q!$P$7</f>
        <v>79.819</v>
      </c>
      <c r="F4330" s="38" t="n">
        <f aca="false">Sens!$F$4328+Sens!$F$4329</f>
        <v>86.7327334389669</v>
      </c>
      <c r="G4330" s="38" t="n">
        <f aca="false">Sens!$G$4328+Sens!$G$4329</f>
        <v>166.551733438967</v>
      </c>
      <c r="H4330" s="38" t="n">
        <f aca="false">Sens!$H$4328+Sens!$H$4329</f>
        <v>221.182967828978</v>
      </c>
      <c r="I4330" s="38" t="n">
        <f aca="false">Sens!$I$4328+Sens!$I$4329</f>
        <v>280.27345865789</v>
      </c>
      <c r="J4330" s="38" t="n">
        <f aca="false">Sens!$J$4328+Sens!$J$4329</f>
        <v>338.800945197185</v>
      </c>
      <c r="K4330" s="38" t="n">
        <f aca="false">Sens!$K$4328+Sens!$K$4329</f>
        <v>389.88570147276</v>
      </c>
      <c r="L4330" s="38" t="n">
        <f aca="false">Sens!$L$4328+Sens!$L$4329</f>
        <v>430.080689379143</v>
      </c>
      <c r="M4330" s="38" t="n">
        <f aca="false">Sens!$M$4328+Sens!$M$4329</f>
        <v>459.456235951751</v>
      </c>
      <c r="N4330" s="38" t="n">
        <f aca="false">Q!$N$7</f>
        <v>60.14</v>
      </c>
      <c r="O4330" s="38" t="n">
        <f aca="false">Q!$O$7</f>
        <v>68.585</v>
      </c>
      <c r="P4330" s="5" t="s">
        <v>705</v>
      </c>
    </row>
    <row r="4331" customFormat="false" ht="15" hidden="false" customHeight="false" outlineLevel="0" collapsed="false">
      <c r="A4331" s="3" t="s">
        <v>706</v>
      </c>
      <c r="B4331" s="8" t="s">
        <v>86</v>
      </c>
      <c r="C4331" s="38" t="n">
        <f aca="false">Q!$D$8</f>
        <v>637.959</v>
      </c>
      <c r="D4331" s="38" t="n">
        <f aca="false">Q!$E$8</f>
        <v>716.924</v>
      </c>
      <c r="E4331" s="38" t="n">
        <f aca="false">Q!$P$8</f>
        <v>382.125</v>
      </c>
      <c r="F4331" s="38" t="n">
        <f aca="false">Sens!$F$4258+Sens!$F$4330</f>
        <v>435.780975084504</v>
      </c>
      <c r="G4331" s="38" t="n">
        <f aca="false">Sens!$G$4258+Sens!$G$4330</f>
        <v>817.905975084504</v>
      </c>
      <c r="H4331" s="38" t="n">
        <f aca="false">Sens!$H$4258+Sens!$H$4330</f>
        <v>941.655788185406</v>
      </c>
      <c r="I4331" s="38" t="n">
        <f aca="false">Sens!$I$4258+Sens!$I$4330</f>
        <v>1066.58544703965</v>
      </c>
      <c r="J4331" s="38" t="n">
        <f aca="false">Sens!$J$4258+Sens!$J$4330</f>
        <v>1184.82265869629</v>
      </c>
      <c r="K4331" s="38" t="n">
        <f aca="false">Sens!$K$4258+Sens!$K$4330</f>
        <v>1286.65492794629</v>
      </c>
      <c r="L4331" s="38" t="n">
        <f aca="false">Sens!$L$4258+Sens!$L$4330</f>
        <v>1380.74714578606</v>
      </c>
      <c r="M4331" s="38" t="n">
        <f aca="false">Sens!$M$4258+Sens!$M$4330</f>
        <v>1467.37062173267</v>
      </c>
      <c r="N4331" s="38" t="n">
        <f aca="false">Q!$N$8</f>
        <v>323.369</v>
      </c>
      <c r="O4331" s="38" t="n">
        <f aca="false">Q!$O$8</f>
        <v>393.555</v>
      </c>
    </row>
    <row r="4332" customFormat="false" ht="17.15" hidden="false" customHeight="false" outlineLevel="0" collapsed="false">
      <c r="A4332" s="24" t="s">
        <v>714</v>
      </c>
      <c r="B4332" s="25" t="s">
        <v>86</v>
      </c>
      <c r="C4332" s="41" t="n">
        <f aca="false">Sens!$C$4258-(Sens!$C$4260+Sens!$C$4261)</f>
        <v>0</v>
      </c>
      <c r="D4332" s="41" t="n">
        <f aca="false">Sens!$D$4258-(Sens!$D$4260+Sens!$D$4261)</f>
        <v>0</v>
      </c>
      <c r="E4332" s="41" t="n">
        <f aca="false">Sens!$E$4258-(Sens!$E$4260+Sens!$E$4261)</f>
        <v>0</v>
      </c>
      <c r="F4332" s="41" t="n">
        <f aca="false">Sens!$F$4258-(Sens!$F$4260+Sens!$F$4261)</f>
        <v>0</v>
      </c>
      <c r="G4332" s="41" t="n">
        <f aca="false">Sens!$G$4258-(Sens!$G$4260+Sens!$G$4261)</f>
        <v>0</v>
      </c>
      <c r="H4332" s="41" t="n">
        <f aca="false">Sens!$H$4258-(Sens!$H$4260+Sens!$H$4261)</f>
        <v>0</v>
      </c>
      <c r="I4332" s="41" t="n">
        <f aca="false">Sens!$I$4258-(Sens!$I$4260+Sens!$I$4261)</f>
        <v>0</v>
      </c>
      <c r="J4332" s="41" t="n">
        <f aca="false">Sens!$J$4258-(Sens!$J$4260+Sens!$J$4261)</f>
        <v>0</v>
      </c>
      <c r="K4332" s="41" t="n">
        <f aca="false">Sens!$K$4258-(Sens!$K$4260+Sens!$K$4261)</f>
        <v>0</v>
      </c>
      <c r="L4332" s="41" t="n">
        <f aca="false">Sens!$L$4258-(Sens!$L$4260+Sens!$L$4261)</f>
        <v>0</v>
      </c>
      <c r="M4332" s="41" t="n">
        <f aca="false">Sens!$M$4258-(Sens!$M$4260+Sens!$M$4261)</f>
        <v>0</v>
      </c>
      <c r="N4332" s="41" t="n">
        <f aca="false">Sens!$N$4258-(Sens!$N$4260+Sens!$N$4261)</f>
        <v>0</v>
      </c>
      <c r="O4332" s="41" t="n">
        <f aca="false">Sens!$O$4258-(Sens!$O$4260+Sens!$O$4261)</f>
        <v>0</v>
      </c>
    </row>
    <row r="4333" customFormat="false" ht="17.15" hidden="false" customHeight="false" outlineLevel="0" collapsed="false">
      <c r="A4333" s="24" t="s">
        <v>715</v>
      </c>
      <c r="B4333" s="25" t="s">
        <v>86</v>
      </c>
      <c r="C4333" s="41" t="n">
        <f aca="false">Sens!$C$4328+Sens!$C$4329-Sens!$C$4330</f>
        <v>0</v>
      </c>
      <c r="D4333" s="41" t="n">
        <f aca="false">Sens!$D$4328+Sens!$D$4329-Sens!$D$4330</f>
        <v>0</v>
      </c>
      <c r="E4333" s="41" t="n">
        <f aca="false">Sens!$E$4328+Sens!$E$4329-Sens!$E$4330</f>
        <v>0</v>
      </c>
      <c r="F4333" s="41" t="n">
        <f aca="false">Sens!$F$4328+Sens!$F$4329-Sens!$F$4330</f>
        <v>0</v>
      </c>
      <c r="G4333" s="41" t="n">
        <f aca="false">Sens!$G$4328+Sens!$G$4329-Sens!$G$4330</f>
        <v>0</v>
      </c>
      <c r="H4333" s="41" t="n">
        <f aca="false">Sens!$H$4328+Sens!$H$4329-Sens!$H$4330</f>
        <v>0</v>
      </c>
      <c r="I4333" s="41" t="n">
        <f aca="false">Sens!$I$4328+Sens!$I$4329-Sens!$I$4330</f>
        <v>0</v>
      </c>
      <c r="J4333" s="41" t="n">
        <f aca="false">Sens!$J$4328+Sens!$J$4329-Sens!$J$4330</f>
        <v>0</v>
      </c>
      <c r="K4333" s="41" t="n">
        <f aca="false">Sens!$K$4328+Sens!$K$4329-Sens!$K$4330</f>
        <v>0</v>
      </c>
      <c r="L4333" s="41" t="n">
        <f aca="false">Sens!$L$4328+Sens!$L$4329-Sens!$L$4330</f>
        <v>0</v>
      </c>
      <c r="M4333" s="41" t="n">
        <f aca="false">Sens!$M$4328+Sens!$M$4329-Sens!$M$4330</f>
        <v>0</v>
      </c>
      <c r="N4333" s="41" t="n">
        <f aca="false">Sens!$N$4328+Sens!$N$4329-Sens!$N$4330</f>
        <v>0</v>
      </c>
      <c r="O4333" s="41" t="n">
        <f aca="false">Sens!$O$4328+Sens!$O$4329-Sens!$O$4330</f>
        <v>0</v>
      </c>
    </row>
    <row r="4334" customFormat="false" ht="17.15" hidden="false" customHeight="false" outlineLevel="0" collapsed="false">
      <c r="A4334" s="24" t="s">
        <v>716</v>
      </c>
      <c r="B4334" s="25" t="s">
        <v>86</v>
      </c>
      <c r="C4334" s="41" t="n">
        <f aca="false">Sens!$C$4260+Sens!$C$4261+Sens!$C$4330-Sens!$C$4331</f>
        <v>0</v>
      </c>
      <c r="D4334" s="41" t="n">
        <f aca="false">Sens!$D$4260+Sens!$D$4261+Sens!$D$4330-Sens!$D$4331</f>
        <v>0</v>
      </c>
      <c r="E4334" s="41" t="n">
        <f aca="false">Sens!$E$4260+Sens!$E$4261+Sens!$E$4330-Sens!$E$4331</f>
        <v>0</v>
      </c>
      <c r="F4334" s="41" t="n">
        <f aca="false">Sens!$F$4260+Sens!$F$4261+Sens!$F$4330-Sens!$F$4331</f>
        <v>0</v>
      </c>
      <c r="G4334" s="41" t="n">
        <f aca="false">Sens!$G$4260+Sens!$G$4261+Sens!$G$4330-Sens!$G$4331</f>
        <v>0</v>
      </c>
      <c r="H4334" s="41" t="n">
        <f aca="false">Sens!$H$4260+Sens!$H$4261+Sens!$H$4330-Sens!$H$4331</f>
        <v>0</v>
      </c>
      <c r="I4334" s="41" t="n">
        <f aca="false">Sens!$I$4260+Sens!$I$4261+Sens!$I$4330-Sens!$I$4331</f>
        <v>0</v>
      </c>
      <c r="J4334" s="41" t="n">
        <f aca="false">Sens!$J$4260+Sens!$J$4261+Sens!$J$4330-Sens!$J$4331</f>
        <v>0</v>
      </c>
      <c r="K4334" s="41" t="n">
        <f aca="false">Sens!$K$4260+Sens!$K$4261+Sens!$K$4330-Sens!$K$4331</f>
        <v>0</v>
      </c>
      <c r="L4334" s="41" t="n">
        <f aca="false">Sens!$L$4260+Sens!$L$4261+Sens!$L$4330-Sens!$L$4331</f>
        <v>0</v>
      </c>
      <c r="M4334" s="41" t="n">
        <f aca="false">Sens!$M$4260+Sens!$M$4261+Sens!$M$4330-Sens!$M$4331</f>
        <v>0</v>
      </c>
      <c r="N4334" s="41" t="n">
        <f aca="false">Sens!$N$4260+Sens!$N$4261+Sens!$N$4330-Sens!$N$4331</f>
        <v>0</v>
      </c>
      <c r="O4334" s="41" t="n">
        <f aca="false">Sens!$O$4260+Sens!$O$4261+Sens!$O$4330-Sens!$O$4331</f>
        <v>0</v>
      </c>
    </row>
    <row r="4335" customFormat="false" ht="15" hidden="false" customHeight="false" outlineLevel="0" collapsed="false">
      <c r="A4335" s="5" t="s">
        <v>710</v>
      </c>
      <c r="B4335" s="0" t="s">
        <v>52</v>
      </c>
      <c r="G4335" s="13" t="n">
        <f aca="false">Sens!$G$4331/Sens!$D$4331-1</f>
        <v>0.140854504918937</v>
      </c>
      <c r="H4335" s="13" t="n">
        <f aca="false">Sens!$H$4331/Sens!$G$4331-1</f>
        <v>0.151300781349734</v>
      </c>
      <c r="I4335" s="13" t="n">
        <f aca="false">Sens!$I$4331/Sens!$H$4331-1</f>
        <v>0.132670196925131</v>
      </c>
      <c r="J4335" s="13" t="n">
        <f aca="false">Sens!$J$4331/Sens!$I$4331-1</f>
        <v>0.110855826867704</v>
      </c>
      <c r="K4335" s="13" t="n">
        <f aca="false">Sens!$K$4331/Sens!$J$4331-1</f>
        <v>0.0859472668779371</v>
      </c>
      <c r="L4335" s="13" t="n">
        <f aca="false">Sens!$L$4331/Sens!$K$4331-1</f>
        <v>0.0731293338999275</v>
      </c>
      <c r="M4335" s="13" t="n">
        <f aca="false">Sens!$M$4331/Sens!$L$4331-1</f>
        <v>0.0627366684848667</v>
      </c>
    </row>
    <row r="4336" customFormat="false" ht="17.15" hidden="false" customHeight="false" outlineLevel="0" collapsed="false">
      <c r="A4336" s="0" t="s">
        <v>711</v>
      </c>
      <c r="B4336" s="0" t="s">
        <v>52</v>
      </c>
      <c r="C4336" s="13" t="n">
        <f aca="false">Sens!$C$4330/Sens!$C$4331</f>
        <v>0.168593906504964</v>
      </c>
      <c r="D4336" s="13" t="n">
        <f aca="false">Sens!$D$4330/Sens!$D$4331</f>
        <v>0.179551807444025</v>
      </c>
      <c r="E4336" s="13" t="n">
        <f aca="false">Sens!$E$4330/Sens!$E$4331</f>
        <v>0.208881910369643</v>
      </c>
      <c r="F4336" s="13" t="n">
        <f aca="false">Sens!$F$4330/Sens!$F$4331</f>
        <v>0.199028269699356</v>
      </c>
      <c r="G4336" s="13" t="n">
        <f aca="false">Sens!$G$4330/Sens!$G$4331</f>
        <v>0.203631882529968</v>
      </c>
      <c r="H4336" s="13" t="n">
        <f aca="false">Sens!$H$4330/Sens!$H$4331</f>
        <v>0.234887281110652</v>
      </c>
      <c r="I4336" s="13" t="n">
        <f aca="false">Sens!$I$4330/Sens!$I$4331</f>
        <v>0.262776376178579</v>
      </c>
      <c r="J4336" s="13" t="n">
        <f aca="false">Sens!$J$4330/Sens!$J$4331</f>
        <v>0.285950764623274</v>
      </c>
      <c r="K4336" s="13" t="n">
        <f aca="false">Sens!$K$4330/Sens!$K$4331</f>
        <v>0.303022739822775</v>
      </c>
      <c r="L4336" s="13" t="n">
        <f aca="false">Sens!$L$4330/Sens!$L$4331</f>
        <v>0.311484032896043</v>
      </c>
      <c r="M4336" s="13" t="n">
        <f aca="false">Sens!$M$4330/Sens!$M$4331</f>
        <v>0.313115329656271</v>
      </c>
      <c r="N4336" s="13" t="n">
        <f aca="false">Sens!$N$4330/Sens!$N$4331</f>
        <v>0.185979484737251</v>
      </c>
      <c r="O4336" s="13" t="n">
        <f aca="false">Sens!$O$4330/Sens!$O$4331</f>
        <v>0.174270432341096</v>
      </c>
    </row>
    <row r="4337" customFormat="false" ht="17.15" hidden="false" customHeight="false" outlineLevel="0" collapsed="false">
      <c r="A4337" s="0" t="s">
        <v>712</v>
      </c>
      <c r="B4337" s="0" t="s">
        <v>52</v>
      </c>
      <c r="C4337" s="13" t="n">
        <f aca="false">Sens!$C$4328/Sens!$C$4330</f>
        <v>0.0215795060896058</v>
      </c>
      <c r="D4337" s="13" t="n">
        <f aca="false">Sens!$D$4328/Sens!$D$4330</f>
        <v>0.0676152269462122</v>
      </c>
      <c r="E4337" s="13" t="n">
        <f aca="false">Sens!$E$4328/Sens!$E$4330</f>
        <v>0.106620641395783</v>
      </c>
      <c r="F4337" s="13" t="n">
        <f aca="false">Sens!$F$4328/Sens!$F$4330</f>
        <v>0.172523487401099</v>
      </c>
      <c r="G4337" s="13" t="n">
        <f aca="false">Sens!$G$4328/Sens!$G$4330</f>
        <v>0.140939911795589</v>
      </c>
      <c r="H4337" s="13" t="n">
        <f aca="false">Sens!$H$4328/Sens!$H$4330</f>
        <v>0.272018642937714</v>
      </c>
      <c r="I4337" s="13" t="n">
        <f aca="false">Sens!$I$4328/Sens!$I$4330</f>
        <v>0.362159512436497</v>
      </c>
      <c r="J4337" s="13" t="n">
        <f aca="false">Sens!$J$4328/Sens!$J$4330</f>
        <v>0.422151735934609</v>
      </c>
      <c r="K4337" s="13" t="n">
        <f aca="false">Sens!$K$4328/Sens!$K$4330</f>
        <v>0.45769342068485</v>
      </c>
      <c r="L4337" s="13" t="n">
        <f aca="false">Sens!$L$4328/Sens!$L$4330</f>
        <v>0.469047103913472</v>
      </c>
      <c r="M4337" s="13" t="n">
        <f aca="false">Sens!$M$4328/Sens!$M$4330</f>
        <v>0.463233328258093</v>
      </c>
      <c r="N4337" s="13" t="n">
        <f aca="false">Sens!$N$4328/Sens!$N$4330</f>
        <v>0.0506537999838362</v>
      </c>
      <c r="O4337" s="13" t="n">
        <f aca="false">Sens!$O$4328/Sens!$O$4330</f>
        <v>0.0824881615167056</v>
      </c>
    </row>
    <row r="4340" customFormat="false" ht="19.4" hidden="false" customHeight="false" outlineLevel="0" collapsed="false">
      <c r="A4340" s="31" t="s">
        <v>1239</v>
      </c>
    </row>
    <row r="4341" customFormat="false" ht="17.15" hidden="false" customHeight="false" outlineLevel="0" collapsed="false">
      <c r="A4341" s="6" t="s">
        <v>16</v>
      </c>
      <c r="B4341" s="6" t="s">
        <v>17</v>
      </c>
      <c r="C4341" s="20" t="s">
        <v>504</v>
      </c>
      <c r="D4341" s="20" t="s">
        <v>505</v>
      </c>
      <c r="E4341" s="20" t="s">
        <v>587</v>
      </c>
      <c r="F4341" s="20" t="s">
        <v>588</v>
      </c>
      <c r="G4341" s="20" t="s">
        <v>589</v>
      </c>
      <c r="H4341" s="20" t="s">
        <v>590</v>
      </c>
      <c r="I4341" s="20" t="s">
        <v>591</v>
      </c>
      <c r="J4341" s="20" t="s">
        <v>592</v>
      </c>
      <c r="K4341" s="20" t="s">
        <v>593</v>
      </c>
      <c r="L4341" s="20" t="s">
        <v>594</v>
      </c>
      <c r="M4341" s="20" t="s">
        <v>595</v>
      </c>
      <c r="N4341" s="20" t="s">
        <v>596</v>
      </c>
      <c r="O4341" s="20" t="s">
        <v>597</v>
      </c>
      <c r="P4341" s="6" t="s">
        <v>23</v>
      </c>
      <c r="R4341" s="20" t="n">
        <v>2023</v>
      </c>
      <c r="S4341" s="20" t="n">
        <v>2024</v>
      </c>
      <c r="T4341" s="20" t="n">
        <v>2025</v>
      </c>
      <c r="U4341" s="20" t="n">
        <v>2026</v>
      </c>
      <c r="V4341" s="20" t="n">
        <v>2027</v>
      </c>
      <c r="W4341" s="20" t="n">
        <v>2028</v>
      </c>
      <c r="X4341" s="20" t="n">
        <v>2029</v>
      </c>
      <c r="Y4341" s="20" t="n">
        <v>2030</v>
      </c>
      <c r="Z4341" s="20" t="n">
        <v>2031</v>
      </c>
      <c r="AA4341" s="20" t="n">
        <v>2032</v>
      </c>
    </row>
    <row r="4342" customFormat="false" ht="17.15" hidden="false" customHeight="false" outlineLevel="0" collapsed="false">
      <c r="A4342" s="1" t="s">
        <v>727</v>
      </c>
    </row>
    <row r="4343" customFormat="false" ht="15" hidden="false" customHeight="false" outlineLevel="0" collapsed="false">
      <c r="A4343" s="0" t="s">
        <v>526</v>
      </c>
      <c r="B4343" s="0" t="s">
        <v>86</v>
      </c>
      <c r="C4343" s="38" t="n">
        <f aca="false">Sens!$C$4245</f>
        <v>247.029</v>
      </c>
      <c r="D4343" s="38" t="n">
        <f aca="false">Sens!$D$4245</f>
        <v>269.287</v>
      </c>
      <c r="E4343" s="38" t="n">
        <f aca="false">Sens!$E$4245</f>
        <v>134.686</v>
      </c>
      <c r="F4343" s="38" t="n">
        <f aca="false">Sens!$F$4245</f>
        <v>158.293876822267</v>
      </c>
      <c r="G4343" s="38" t="n">
        <f aca="false">Sens!$G$4245</f>
        <v>292.979876822267</v>
      </c>
      <c r="H4343" s="38" t="n">
        <f aca="false">Sens!$H$4245</f>
        <v>318.184543087396</v>
      </c>
      <c r="I4343" s="38" t="n">
        <f aca="false">Sens!$I$4245</f>
        <v>341.736278761793</v>
      </c>
      <c r="J4343" s="38" t="n">
        <f aca="false">Sens!$J$4245</f>
        <v>362.927192787048</v>
      </c>
      <c r="K4343" s="38" t="n">
        <f aca="false">Sens!$K$4245</f>
        <v>381.0735524264</v>
      </c>
      <c r="L4343" s="38" t="n">
        <f aca="false">Sens!$L$4245</f>
        <v>400.12723004772</v>
      </c>
      <c r="M4343" s="38" t="n">
        <f aca="false">Sens!$M$4245</f>
        <v>420.133591550106</v>
      </c>
      <c r="N4343" s="38" t="n">
        <f aca="false">Sens!$N$4245</f>
        <v>118.892</v>
      </c>
      <c r="O4343" s="38" t="n">
        <f aca="false">Sens!$O$4245</f>
        <v>150.395</v>
      </c>
    </row>
    <row r="4344" customFormat="false" ht="15" hidden="false" customHeight="false" outlineLevel="0" collapsed="false">
      <c r="A4344" s="0" t="s">
        <v>527</v>
      </c>
      <c r="B4344" s="0" t="s">
        <v>86</v>
      </c>
      <c r="C4344" s="38" t="n">
        <f aca="false">Sens!$C$4247</f>
        <v>21.215</v>
      </c>
      <c r="D4344" s="38" t="n">
        <f aca="false">Sens!$D$4247</f>
        <v>22.561</v>
      </c>
      <c r="E4344" s="38" t="n">
        <f aca="false">Sens!$E$4247</f>
        <v>11.579</v>
      </c>
      <c r="F4344" s="38" t="n">
        <f aca="false">Sens!$F$4247</f>
        <v>11.5938724610325</v>
      </c>
      <c r="G4344" s="38" t="n">
        <f aca="false">Sens!$G$4247</f>
        <v>23.1728724610325</v>
      </c>
      <c r="H4344" s="38" t="n">
        <f aca="false">Sens!$H$4247</f>
        <v>24.353392759506</v>
      </c>
      <c r="I4344" s="38" t="n">
        <f aca="false">Sens!$I$4247</f>
        <v>25.4240338872015</v>
      </c>
      <c r="J4344" s="38" t="n">
        <f aca="false">Sens!$J$4247</f>
        <v>26.3642491017174</v>
      </c>
      <c r="K4344" s="38" t="n">
        <f aca="false">Sens!$K$4247</f>
        <v>27.155176574769</v>
      </c>
      <c r="L4344" s="38" t="n">
        <f aca="false">Sens!$L$4247</f>
        <v>27.969831872012</v>
      </c>
      <c r="M4344" s="38" t="n">
        <f aca="false">Sens!$M$4247</f>
        <v>28.8089268281724</v>
      </c>
      <c r="N4344" s="38" t="n">
        <f aca="false">Sens!$N$4247</f>
        <v>11.128</v>
      </c>
      <c r="O4344" s="38" t="n">
        <f aca="false">Sens!$O$4247</f>
        <v>11.433</v>
      </c>
    </row>
    <row r="4345" customFormat="false" ht="15" hidden="false" customHeight="false" outlineLevel="0" collapsed="false">
      <c r="A4345" s="0" t="s">
        <v>528</v>
      </c>
      <c r="B4345" s="0" t="s">
        <v>86</v>
      </c>
      <c r="C4345" s="38" t="n">
        <f aca="false">Sens!$C$4249</f>
        <v>156.146</v>
      </c>
      <c r="D4345" s="38" t="n">
        <f aca="false">Sens!$D$4249</f>
        <v>172.162</v>
      </c>
      <c r="E4345" s="38" t="n">
        <f aca="false">Sens!$E$4249</f>
        <v>88.358</v>
      </c>
      <c r="F4345" s="38" t="n">
        <f aca="false">Sens!$F$4249</f>
        <v>102.004388260171</v>
      </c>
      <c r="G4345" s="38" t="n">
        <f aca="false">Sens!$G$4249</f>
        <v>190.362388260171</v>
      </c>
      <c r="H4345" s="38" t="n">
        <f aca="false">Sens!$H$4249</f>
        <v>210.343106588311</v>
      </c>
      <c r="I4345" s="38" t="n">
        <f aca="false">Sens!$I$4249</f>
        <v>229.969728494648</v>
      </c>
      <c r="J4345" s="38" t="n">
        <f aca="false">Sens!$J$4249</f>
        <v>248.747636972598</v>
      </c>
      <c r="K4345" s="38" t="n">
        <f aca="false">Sens!$K$4249</f>
        <v>266.15997156068</v>
      </c>
      <c r="L4345" s="38" t="n">
        <f aca="false">Sens!$L$4249</f>
        <v>284.791169569927</v>
      </c>
      <c r="M4345" s="38" t="n">
        <f aca="false">Sens!$M$4249</f>
        <v>304.726551439822</v>
      </c>
      <c r="N4345" s="38" t="n">
        <f aca="false">Sens!$N$4249</f>
        <v>76.86</v>
      </c>
      <c r="O4345" s="38" t="n">
        <f aca="false">Sens!$O$4249</f>
        <v>95.302</v>
      </c>
    </row>
    <row r="4346" customFormat="false" ht="15" hidden="false" customHeight="false" outlineLevel="0" collapsed="false">
      <c r="A4346" s="0" t="s">
        <v>529</v>
      </c>
      <c r="B4346" s="0" t="s">
        <v>86</v>
      </c>
      <c r="C4346" s="38" t="n">
        <f aca="false">Sens!$C$4251</f>
        <v>56.214</v>
      </c>
      <c r="D4346" s="38" t="n">
        <f aca="false">Sens!$D$4251</f>
        <v>68.635</v>
      </c>
      <c r="E4346" s="38" t="n">
        <f aca="false">Sens!$E$4251</f>
        <v>37.052</v>
      </c>
      <c r="F4346" s="38" t="n">
        <f aca="false">Sens!$F$4251</f>
        <v>46.1572219944148</v>
      </c>
      <c r="G4346" s="38" t="n">
        <f aca="false">Sens!$G$4251</f>
        <v>83.2092219944148</v>
      </c>
      <c r="H4346" s="38" t="n">
        <f aca="false">Sens!$H$4251</f>
        <v>99.2728532229395</v>
      </c>
      <c r="I4346" s="38" t="n">
        <f aca="false">Sens!$I$4251</f>
        <v>114.365708324728</v>
      </c>
      <c r="J4346" s="38" t="n">
        <f aca="false">Sens!$J$4251</f>
        <v>127.062249699617</v>
      </c>
      <c r="K4346" s="38" t="n">
        <f aca="false">Sens!$K$4251</f>
        <v>135.95660717859</v>
      </c>
      <c r="L4346" s="38" t="n">
        <f aca="false">Sens!$L$4251</f>
        <v>145.473569681091</v>
      </c>
      <c r="M4346" s="38" t="n">
        <f aca="false">Sens!$M$4251</f>
        <v>155.656719558768</v>
      </c>
      <c r="N4346" s="38" t="n">
        <f aca="false">Sens!$N$4251</f>
        <v>29.615</v>
      </c>
      <c r="O4346" s="38" t="n">
        <f aca="false">Sens!$O$4251</f>
        <v>39.02</v>
      </c>
    </row>
    <row r="4347" customFormat="false" ht="15" hidden="false" customHeight="false" outlineLevel="0" collapsed="false">
      <c r="A4347" s="0" t="s">
        <v>530</v>
      </c>
      <c r="B4347" s="0" t="s">
        <v>86</v>
      </c>
      <c r="C4347" s="38" t="n">
        <f aca="false">Sens!$C$4253</f>
        <v>44.374</v>
      </c>
      <c r="D4347" s="38" t="n">
        <f aca="false">Sens!$D$4253</f>
        <v>49.619</v>
      </c>
      <c r="E4347" s="38" t="n">
        <f aca="false">Sens!$E$4253</f>
        <v>27.157</v>
      </c>
      <c r="F4347" s="38" t="n">
        <f aca="false">Sens!$F$4253</f>
        <v>27.7764165988154</v>
      </c>
      <c r="G4347" s="38" t="n">
        <f aca="false">Sens!$G$4253</f>
        <v>54.9334165988154</v>
      </c>
      <c r="H4347" s="38" t="n">
        <f aca="false">Sens!$H$4253</f>
        <v>61.1564112561829</v>
      </c>
      <c r="I4347" s="38" t="n">
        <f aca="false">Sens!$I$4253</f>
        <v>67.2020282103945</v>
      </c>
      <c r="J4347" s="38" t="n">
        <f aca="false">Sens!$J$4253</f>
        <v>72.8757274028885</v>
      </c>
      <c r="K4347" s="38" t="n">
        <f aca="false">Sens!$K$4253</f>
        <v>77.9770283210907</v>
      </c>
      <c r="L4347" s="38" t="n">
        <f aca="false">Sens!$L$4253</f>
        <v>83.4354203035671</v>
      </c>
      <c r="M4347" s="38" t="n">
        <f aca="false">Sens!$M$4253</f>
        <v>89.2758997248168</v>
      </c>
      <c r="N4347" s="38" t="n">
        <f aca="false">Sens!$N$4253</f>
        <v>23.923</v>
      </c>
      <c r="O4347" s="38" t="n">
        <f aca="false">Sens!$O$4253</f>
        <v>25.696</v>
      </c>
    </row>
    <row r="4348" customFormat="false" ht="15" hidden="false" customHeight="false" outlineLevel="0" collapsed="false">
      <c r="A4348" s="0" t="s">
        <v>531</v>
      </c>
      <c r="B4348" s="0" t="s">
        <v>86</v>
      </c>
      <c r="C4348" s="38" t="n">
        <f aca="false">Sens!$C$4255</f>
        <v>5.425</v>
      </c>
      <c r="D4348" s="38" t="n">
        <f aca="false">Sens!$D$4255</f>
        <v>5.935</v>
      </c>
      <c r="E4348" s="38" t="n">
        <f aca="false">Sens!$E$4255</f>
        <v>3.474</v>
      </c>
      <c r="F4348" s="38" t="n">
        <f aca="false">Sens!$F$4255</f>
        <v>3.22246550883619</v>
      </c>
      <c r="G4348" s="38" t="n">
        <f aca="false">Sens!$G$4255</f>
        <v>6.69646550883619</v>
      </c>
      <c r="H4348" s="38" t="n">
        <f aca="false">Sens!$H$4255</f>
        <v>7.16251344209196</v>
      </c>
      <c r="I4348" s="38" t="n">
        <f aca="false">Sens!$I$4255</f>
        <v>7.61421070299826</v>
      </c>
      <c r="J4348" s="38" t="n">
        <f aca="false">Sens!$J$4255</f>
        <v>8.04465753523932</v>
      </c>
      <c r="K4348" s="38" t="n">
        <f aca="false">Sens!$K$4255</f>
        <v>8.44689041200128</v>
      </c>
      <c r="L4348" s="38" t="n">
        <f aca="false">Sens!$L$4255</f>
        <v>8.86923493260135</v>
      </c>
      <c r="M4348" s="38" t="n">
        <f aca="false">Sens!$M$4255</f>
        <v>9.31269667923142</v>
      </c>
      <c r="N4348" s="38" t="n">
        <f aca="false">Sens!$N$4255</f>
        <v>2.811</v>
      </c>
      <c r="O4348" s="38" t="n">
        <f aca="false">Sens!$O$4255</f>
        <v>3.124</v>
      </c>
    </row>
    <row r="4349" customFormat="false" ht="17.15" hidden="false" customHeight="false" outlineLevel="0" collapsed="false">
      <c r="A4349" s="0" t="s">
        <v>728</v>
      </c>
      <c r="B4349" s="0" t="s">
        <v>86</v>
      </c>
      <c r="C4349" s="38" t="n">
        <f aca="false">Sens!$C$4330</f>
        <v>107.556</v>
      </c>
      <c r="D4349" s="38" t="n">
        <f aca="false">Sens!$D$4330</f>
        <v>128.725</v>
      </c>
      <c r="E4349" s="38" t="n">
        <f aca="false">Sens!$E$4330</f>
        <v>79.819</v>
      </c>
      <c r="F4349" s="38" t="n">
        <f aca="false">Sens!$F$4330</f>
        <v>86.7327334389669</v>
      </c>
      <c r="G4349" s="38" t="n">
        <f aca="false">Sens!$G$4330</f>
        <v>166.551733438967</v>
      </c>
      <c r="H4349" s="38" t="n">
        <f aca="false">Sens!$H$4330</f>
        <v>221.182967828978</v>
      </c>
      <c r="I4349" s="38" t="n">
        <f aca="false">Sens!$I$4330</f>
        <v>280.27345865789</v>
      </c>
      <c r="J4349" s="38" t="n">
        <f aca="false">Sens!$J$4330</f>
        <v>338.800945197185</v>
      </c>
      <c r="K4349" s="38" t="n">
        <f aca="false">Sens!$K$4330</f>
        <v>389.88570147276</v>
      </c>
      <c r="L4349" s="38" t="n">
        <f aca="false">Sens!$L$4330</f>
        <v>430.080689379143</v>
      </c>
      <c r="M4349" s="38" t="n">
        <f aca="false">Sens!$M$4330</f>
        <v>459.456235951751</v>
      </c>
      <c r="N4349" s="38" t="n">
        <f aca="false">Sens!$N$4330</f>
        <v>60.14</v>
      </c>
      <c r="O4349" s="38" t="n">
        <f aca="false">Sens!$O$4330</f>
        <v>68.585</v>
      </c>
    </row>
    <row r="4350" customFormat="false" ht="15" hidden="false" customHeight="false" outlineLevel="0" collapsed="false">
      <c r="A4350" s="1" t="s">
        <v>519</v>
      </c>
      <c r="B4350" s="8" t="s">
        <v>86</v>
      </c>
      <c r="C4350" s="38" t="n">
        <f aca="false">Sens!$C$4260</f>
        <v>387.497</v>
      </c>
      <c r="D4350" s="38" t="n">
        <f aca="false">Sens!$D$4260</f>
        <v>426.305</v>
      </c>
      <c r="E4350" s="38" t="n">
        <f aca="false">Sens!$E$4260</f>
        <v>220.32</v>
      </c>
      <c r="F4350" s="38" t="n">
        <f aca="false">Sens!$F$4260</f>
        <v>250.639773480586</v>
      </c>
      <c r="G4350" s="38" t="n">
        <f aca="false">Sens!$G$4260</f>
        <v>470.959773480586</v>
      </c>
      <c r="H4350" s="38" t="n">
        <f aca="false">Sens!$H$4260</f>
        <v>520.935759037606</v>
      </c>
      <c r="I4350" s="38" t="n">
        <f aca="false">Sens!$I$4260</f>
        <v>568.540576319561</v>
      </c>
      <c r="J4350" s="38" t="n">
        <f aca="false">Sens!$J$4260</f>
        <v>611.713517889435</v>
      </c>
      <c r="K4350" s="38" t="n">
        <f aca="false">Sens!$K$4260</f>
        <v>648.406358262683</v>
      </c>
      <c r="L4350" s="38" t="n">
        <f aca="false">Sens!$L$4260</f>
        <v>687.37659224248</v>
      </c>
      <c r="M4350" s="38" t="n">
        <f aca="false">Sens!$M$4260</f>
        <v>728.769539622536</v>
      </c>
      <c r="N4350" s="38" t="n">
        <f aca="false">Sens!$N$4260</f>
        <v>192.955</v>
      </c>
      <c r="O4350" s="38" t="n">
        <f aca="false">Sens!$O$4260</f>
        <v>233.35</v>
      </c>
    </row>
    <row r="4351" customFormat="false" ht="15" hidden="false" customHeight="false" outlineLevel="0" collapsed="false">
      <c r="A4351" s="1" t="s">
        <v>522</v>
      </c>
      <c r="B4351" s="8" t="s">
        <v>86</v>
      </c>
      <c r="C4351" s="38" t="n">
        <f aca="false">Sens!$C$4261</f>
        <v>142.906</v>
      </c>
      <c r="D4351" s="38" t="n">
        <f aca="false">Sens!$D$4261</f>
        <v>161.894</v>
      </c>
      <c r="E4351" s="38" t="n">
        <f aca="false">Sens!$E$4261</f>
        <v>81.986</v>
      </c>
      <c r="F4351" s="38" t="n">
        <f aca="false">Sens!$F$4261</f>
        <v>98.408468164951</v>
      </c>
      <c r="G4351" s="38" t="n">
        <f aca="false">Sens!$G$4261</f>
        <v>180.394468164951</v>
      </c>
      <c r="H4351" s="38" t="n">
        <f aca="false">Sens!$H$4261</f>
        <v>199.537061318822</v>
      </c>
      <c r="I4351" s="38" t="n">
        <f aca="false">Sens!$I$4261</f>
        <v>217.771412062202</v>
      </c>
      <c r="J4351" s="38" t="n">
        <f aca="false">Sens!$J$4261</f>
        <v>234.308195609672</v>
      </c>
      <c r="K4351" s="38" t="n">
        <f aca="false">Sens!$K$4261</f>
        <v>248.362868210848</v>
      </c>
      <c r="L4351" s="38" t="n">
        <f aca="false">Sens!$L$4261</f>
        <v>263.289864164439</v>
      </c>
      <c r="M4351" s="38" t="n">
        <f aca="false">Sens!$M$4261</f>
        <v>279.14484615838</v>
      </c>
      <c r="N4351" s="38" t="n">
        <f aca="false">Sens!$N$4261</f>
        <v>70.274</v>
      </c>
      <c r="O4351" s="38" t="n">
        <f aca="false">Sens!$O$4261</f>
        <v>91.62</v>
      </c>
    </row>
    <row r="4352" customFormat="false" ht="15" hidden="false" customHeight="false" outlineLevel="0" collapsed="false">
      <c r="A4352" s="1" t="s">
        <v>523</v>
      </c>
      <c r="B4352" s="8" t="s">
        <v>86</v>
      </c>
      <c r="C4352" s="38" t="n">
        <f aca="false">Sens!$C$4330</f>
        <v>107.556</v>
      </c>
      <c r="D4352" s="38" t="n">
        <f aca="false">Sens!$D$4330</f>
        <v>128.725</v>
      </c>
      <c r="E4352" s="38" t="n">
        <f aca="false">Sens!$E$4330</f>
        <v>79.819</v>
      </c>
      <c r="F4352" s="38" t="n">
        <f aca="false">Sens!$F$4330</f>
        <v>86.7327334389669</v>
      </c>
      <c r="G4352" s="38" t="n">
        <f aca="false">Sens!$G$4330</f>
        <v>166.551733438967</v>
      </c>
      <c r="H4352" s="38" t="n">
        <f aca="false">Sens!$H$4330</f>
        <v>221.182967828978</v>
      </c>
      <c r="I4352" s="38" t="n">
        <f aca="false">Sens!$I$4330</f>
        <v>280.27345865789</v>
      </c>
      <c r="J4352" s="38" t="n">
        <f aca="false">Sens!$J$4330</f>
        <v>338.800945197185</v>
      </c>
      <c r="K4352" s="38" t="n">
        <f aca="false">Sens!$K$4330</f>
        <v>389.88570147276</v>
      </c>
      <c r="L4352" s="38" t="n">
        <f aca="false">Sens!$L$4330</f>
        <v>430.080689379143</v>
      </c>
      <c r="M4352" s="38" t="n">
        <f aca="false">Sens!$M$4330</f>
        <v>459.456235951751</v>
      </c>
      <c r="N4352" s="38" t="n">
        <f aca="false">Sens!$N$4330</f>
        <v>60.14</v>
      </c>
      <c r="O4352" s="38" t="n">
        <f aca="false">Sens!$O$4330</f>
        <v>68.585</v>
      </c>
    </row>
    <row r="4353" customFormat="false" ht="17.15" hidden="false" customHeight="false" outlineLevel="0" collapsed="false">
      <c r="A4353" s="0" t="s">
        <v>702</v>
      </c>
      <c r="B4353" s="0" t="s">
        <v>86</v>
      </c>
      <c r="C4353" s="38" t="n">
        <f aca="false">Sens!$C$4328</f>
        <v>2.32100535697364</v>
      </c>
      <c r="D4353" s="38" t="n">
        <f aca="false">Sens!$D$4328</f>
        <v>8.70377008865116</v>
      </c>
      <c r="E4353" s="38" t="n">
        <f aca="false">Sens!$E$4328</f>
        <v>8.51035297557002</v>
      </c>
      <c r="F4353" s="38" t="n">
        <f aca="false">Sens!$F$4328</f>
        <v>14.9634336447205</v>
      </c>
      <c r="G4353" s="38" t="n">
        <f aca="false">Sens!$G$4328</f>
        <v>23.4737866202905</v>
      </c>
      <c r="H4353" s="38" t="n">
        <f aca="false">Sens!$H$4328</f>
        <v>60.1658907497746</v>
      </c>
      <c r="I4353" s="38" t="n">
        <f aca="false">Sens!$I$4328</f>
        <v>101.503699136432</v>
      </c>
      <c r="J4353" s="38" t="n">
        <f aca="false">Sens!$J$4328</f>
        <v>143.025407151278</v>
      </c>
      <c r="K4353" s="38" t="n">
        <f aca="false">Sens!$K$4328</f>
        <v>178.44812038318</v>
      </c>
      <c r="L4353" s="38" t="n">
        <f aca="false">Sens!$L$4328</f>
        <v>201.728101802396</v>
      </c>
      <c r="M4353" s="38" t="n">
        <f aca="false">Sens!$M$4328</f>
        <v>212.835441368865</v>
      </c>
      <c r="N4353" s="38" t="n">
        <f aca="false">Sens!$N$4328</f>
        <v>3.04631953102791</v>
      </c>
      <c r="O4353" s="38" t="n">
        <f aca="false">Sens!$O$4328</f>
        <v>5.65745055762326</v>
      </c>
    </row>
    <row r="4354" customFormat="false" ht="17.15" hidden="false" customHeight="false" outlineLevel="0" collapsed="false">
      <c r="A4354" s="0" t="s">
        <v>704</v>
      </c>
      <c r="B4354" s="0" t="s">
        <v>86</v>
      </c>
      <c r="C4354" s="38" t="n">
        <f aca="false">Sens!$C$4329</f>
        <v>105.234994643026</v>
      </c>
      <c r="D4354" s="38" t="n">
        <f aca="false">Sens!$D$4329</f>
        <v>120.021229911349</v>
      </c>
      <c r="E4354" s="38" t="n">
        <f aca="false">Sens!$E$4329</f>
        <v>71.30864702443</v>
      </c>
      <c r="F4354" s="38" t="n">
        <f aca="false">Sens!$F$4329</f>
        <v>71.7692997942464</v>
      </c>
      <c r="G4354" s="38" t="n">
        <f aca="false">Sens!$G$4329</f>
        <v>143.077946818676</v>
      </c>
      <c r="H4354" s="38" t="n">
        <f aca="false">Sens!$H$4329</f>
        <v>161.017077079203</v>
      </c>
      <c r="I4354" s="38" t="n">
        <f aca="false">Sens!$I$4329</f>
        <v>178.769759521457</v>
      </c>
      <c r="J4354" s="38" t="n">
        <f aca="false">Sens!$J$4329</f>
        <v>195.775538045907</v>
      </c>
      <c r="K4354" s="38" t="n">
        <f aca="false">Sens!$K$4329</f>
        <v>211.43758108958</v>
      </c>
      <c r="L4354" s="38" t="n">
        <f aca="false">Sens!$L$4329</f>
        <v>228.352587576746</v>
      </c>
      <c r="M4354" s="38" t="n">
        <f aca="false">Sens!$M$4329</f>
        <v>246.620794582886</v>
      </c>
      <c r="N4354" s="38" t="n">
        <f aca="false">Sens!$N$4329</f>
        <v>57.0936804689721</v>
      </c>
      <c r="O4354" s="38" t="n">
        <f aca="false">Sens!$O$4329</f>
        <v>62.9275494423768</v>
      </c>
    </row>
    <row r="4355" customFormat="false" ht="15" hidden="false" customHeight="false" outlineLevel="0" collapsed="false">
      <c r="A4355" s="3" t="s">
        <v>524</v>
      </c>
      <c r="B4355" s="8" t="s">
        <v>86</v>
      </c>
      <c r="C4355" s="38" t="n">
        <f aca="false">Sens!$C$4331</f>
        <v>637.959</v>
      </c>
      <c r="D4355" s="38" t="n">
        <f aca="false">Sens!$D$4331</f>
        <v>716.924</v>
      </c>
      <c r="E4355" s="38" t="n">
        <f aca="false">Sens!$E$4331</f>
        <v>382.125</v>
      </c>
      <c r="F4355" s="38" t="n">
        <f aca="false">Sens!$F$4331</f>
        <v>435.780975084504</v>
      </c>
      <c r="G4355" s="38" t="n">
        <f aca="false">Sens!$G$4331</f>
        <v>817.905975084504</v>
      </c>
      <c r="H4355" s="38" t="n">
        <f aca="false">Sens!$H$4331</f>
        <v>941.655788185406</v>
      </c>
      <c r="I4355" s="38" t="n">
        <f aca="false">Sens!$I$4331</f>
        <v>1066.58544703965</v>
      </c>
      <c r="J4355" s="38" t="n">
        <f aca="false">Sens!$J$4331</f>
        <v>1184.82265869629</v>
      </c>
      <c r="K4355" s="38" t="n">
        <f aca="false">Sens!$K$4331</f>
        <v>1286.65492794629</v>
      </c>
      <c r="L4355" s="38" t="n">
        <f aca="false">Sens!$L$4331</f>
        <v>1380.74714578606</v>
      </c>
      <c r="M4355" s="38" t="n">
        <f aca="false">Sens!$M$4331</f>
        <v>1467.37062173267</v>
      </c>
      <c r="N4355" s="38" t="n">
        <f aca="false">Sens!$N$4331</f>
        <v>323.369</v>
      </c>
      <c r="O4355" s="38" t="n">
        <f aca="false">Sens!$O$4331</f>
        <v>393.555</v>
      </c>
    </row>
    <row r="4356" customFormat="false" ht="17.15" hidden="false" customHeight="false" outlineLevel="0" collapsed="false">
      <c r="A4356" s="24" t="s">
        <v>714</v>
      </c>
      <c r="B4356" s="25" t="s">
        <v>86</v>
      </c>
      <c r="C4356" s="41" t="n">
        <f aca="false">Sens!$C$4343+Sens!$C$4344+Sens!$C$4345+Sens!$C$4346+Sens!$C$4347+Sens!$C$4348-(Sens!$C$4350+Sens!$C$4351)</f>
        <v>0</v>
      </c>
      <c r="D4356" s="41" t="n">
        <f aca="false">Sens!$D$4343+Sens!$D$4344+Sens!$D$4345+Sens!$D$4346+Sens!$D$4347+Sens!$D$4348-(Sens!$D$4350+Sens!$D$4351)</f>
        <v>0</v>
      </c>
      <c r="E4356" s="41" t="n">
        <f aca="false">Sens!$E$4343+Sens!$E$4344+Sens!$E$4345+Sens!$E$4346+Sens!$E$4347+Sens!$E$4348-(Sens!$E$4350+Sens!$E$4351)</f>
        <v>0</v>
      </c>
      <c r="F4356" s="41" t="n">
        <f aca="false">Sens!$F$4343+Sens!$F$4344+Sens!$F$4345+Sens!$F$4346+Sens!$F$4347+Sens!$F$4348-(Sens!$F$4350+Sens!$F$4351)</f>
        <v>0</v>
      </c>
      <c r="G4356" s="41" t="n">
        <f aca="false">Sens!$G$4343+Sens!$G$4344+Sens!$G$4345+Sens!$G$4346+Sens!$G$4347+Sens!$G$4348-(Sens!$G$4350+Sens!$G$4351)</f>
        <v>0</v>
      </c>
      <c r="H4356" s="41" t="n">
        <f aca="false">Sens!$H$4343+Sens!$H$4344+Sens!$H$4345+Sens!$H$4346+Sens!$H$4347+Sens!$H$4348-(Sens!$H$4350+Sens!$H$4351)</f>
        <v>0</v>
      </c>
      <c r="I4356" s="41" t="n">
        <f aca="false">Sens!$I$4343+Sens!$I$4344+Sens!$I$4345+Sens!$I$4346+Sens!$I$4347+Sens!$I$4348-(Sens!$I$4350+Sens!$I$4351)</f>
        <v>0</v>
      </c>
      <c r="J4356" s="41" t="n">
        <f aca="false">Sens!$J$4343+Sens!$J$4344+Sens!$J$4345+Sens!$J$4346+Sens!$J$4347+Sens!$J$4348-(Sens!$J$4350+Sens!$J$4351)</f>
        <v>0</v>
      </c>
      <c r="K4356" s="41" t="n">
        <f aca="false">Sens!$K$4343+Sens!$K$4344+Sens!$K$4345+Sens!$K$4346+Sens!$K$4347+Sens!$K$4348-(Sens!$K$4350+Sens!$K$4351)</f>
        <v>0</v>
      </c>
      <c r="L4356" s="41" t="n">
        <f aca="false">Sens!$L$4343+Sens!$L$4344+Sens!$L$4345+Sens!$L$4346+Sens!$L$4347+Sens!$L$4348-(Sens!$L$4350+Sens!$L$4351)</f>
        <v>0</v>
      </c>
      <c r="M4356" s="41" t="n">
        <f aca="false">Sens!$M$4343+Sens!$M$4344+Sens!$M$4345+Sens!$M$4346+Sens!$M$4347+Sens!$M$4348-(Sens!$M$4350+Sens!$M$4351)</f>
        <v>0</v>
      </c>
      <c r="N4356" s="41" t="n">
        <f aca="false">Sens!$N$4343+Sens!$N$4344+Sens!$N$4345+Sens!$N$4346+Sens!$N$4347+Sens!$N$4348-(Sens!$N$4350+Sens!$N$4351)</f>
        <v>0</v>
      </c>
      <c r="O4356" s="41" t="n">
        <f aca="false">Sens!$O$4343+Sens!$O$4344+Sens!$O$4345+Sens!$O$4346+Sens!$O$4347+Sens!$O$4348-(Sens!$O$4350+Sens!$O$4351)</f>
        <v>0</v>
      </c>
    </row>
    <row r="4357" customFormat="false" ht="17.15" hidden="false" customHeight="false" outlineLevel="0" collapsed="false">
      <c r="A4357" s="24" t="s">
        <v>715</v>
      </c>
      <c r="B4357" s="25" t="s">
        <v>86</v>
      </c>
      <c r="C4357" s="41" t="n">
        <f aca="false">Sens!$C$4353+Sens!$C$4354-Sens!$C$4352</f>
        <v>0</v>
      </c>
      <c r="D4357" s="41" t="n">
        <f aca="false">Sens!$D$4353+Sens!$D$4354-Sens!$D$4352</f>
        <v>0</v>
      </c>
      <c r="E4357" s="41" t="n">
        <f aca="false">Sens!$E$4353+Sens!$E$4354-Sens!$E$4352</f>
        <v>0</v>
      </c>
      <c r="F4357" s="41" t="n">
        <f aca="false">Sens!$F$4353+Sens!$F$4354-Sens!$F$4352</f>
        <v>0</v>
      </c>
      <c r="G4357" s="41" t="n">
        <f aca="false">Sens!$G$4353+Sens!$G$4354-Sens!$G$4352</f>
        <v>0</v>
      </c>
      <c r="H4357" s="41" t="n">
        <f aca="false">Sens!$H$4353+Sens!$H$4354-Sens!$H$4352</f>
        <v>0</v>
      </c>
      <c r="I4357" s="41" t="n">
        <f aca="false">Sens!$I$4353+Sens!$I$4354-Sens!$I$4352</f>
        <v>0</v>
      </c>
      <c r="J4357" s="41" t="n">
        <f aca="false">Sens!$J$4353+Sens!$J$4354-Sens!$J$4352</f>
        <v>0</v>
      </c>
      <c r="K4357" s="41" t="n">
        <f aca="false">Sens!$K$4353+Sens!$K$4354-Sens!$K$4352</f>
        <v>0</v>
      </c>
      <c r="L4357" s="41" t="n">
        <f aca="false">Sens!$L$4353+Sens!$L$4354-Sens!$L$4352</f>
        <v>0</v>
      </c>
      <c r="M4357" s="41" t="n">
        <f aca="false">Sens!$M$4353+Sens!$M$4354-Sens!$M$4352</f>
        <v>0</v>
      </c>
      <c r="N4357" s="41" t="n">
        <f aca="false">Sens!$N$4353+Sens!$N$4354-Sens!$N$4352</f>
        <v>0</v>
      </c>
      <c r="O4357" s="41" t="n">
        <f aca="false">Sens!$O$4353+Sens!$O$4354-Sens!$O$4352</f>
        <v>0</v>
      </c>
    </row>
    <row r="4358" customFormat="false" ht="17.15" hidden="false" customHeight="false" outlineLevel="0" collapsed="false">
      <c r="A4358" s="24" t="s">
        <v>774</v>
      </c>
      <c r="B4358" s="25" t="s">
        <v>86</v>
      </c>
      <c r="C4358" s="41" t="n">
        <f aca="false">Sens!$C$4343+Sens!$C$4344+Sens!$C$4345+Sens!$C$4346+Sens!$C$4347+Sens!$C$4348+Sens!$C$4349-Sens!$C$4355</f>
        <v>0</v>
      </c>
      <c r="D4358" s="41" t="n">
        <f aca="false">Sens!$D$4343+Sens!$D$4344+Sens!$D$4345+Sens!$D$4346+Sens!$D$4347+Sens!$D$4348+Sens!$D$4349-Sens!$D$4355</f>
        <v>0</v>
      </c>
      <c r="E4358" s="41" t="n">
        <f aca="false">Sens!$E$4343+Sens!$E$4344+Sens!$E$4345+Sens!$E$4346+Sens!$E$4347+Sens!$E$4348+Sens!$E$4349-Sens!$E$4355</f>
        <v>0</v>
      </c>
      <c r="F4358" s="41" t="n">
        <f aca="false">Sens!$F$4343+Sens!$F$4344+Sens!$F$4345+Sens!$F$4346+Sens!$F$4347+Sens!$F$4348+Sens!$F$4349-Sens!$F$4355</f>
        <v>0</v>
      </c>
      <c r="G4358" s="41" t="n">
        <f aca="false">Sens!$G$4343+Sens!$G$4344+Sens!$G$4345+Sens!$G$4346+Sens!$G$4347+Sens!$G$4348+Sens!$G$4349-Sens!$G$4355</f>
        <v>0</v>
      </c>
      <c r="H4358" s="41" t="n">
        <f aca="false">Sens!$H$4343+Sens!$H$4344+Sens!$H$4345+Sens!$H$4346+Sens!$H$4347+Sens!$H$4348+Sens!$H$4349-Sens!$H$4355</f>
        <v>0</v>
      </c>
      <c r="I4358" s="41" t="n">
        <f aca="false">Sens!$I$4343+Sens!$I$4344+Sens!$I$4345+Sens!$I$4346+Sens!$I$4347+Sens!$I$4348+Sens!$I$4349-Sens!$I$4355</f>
        <v>0</v>
      </c>
      <c r="J4358" s="41" t="n">
        <f aca="false">Sens!$J$4343+Sens!$J$4344+Sens!$J$4345+Sens!$J$4346+Sens!$J$4347+Sens!$J$4348+Sens!$J$4349-Sens!$J$4355</f>
        <v>0</v>
      </c>
      <c r="K4358" s="41" t="n">
        <f aca="false">Sens!$K$4343+Sens!$K$4344+Sens!$K$4345+Sens!$K$4346+Sens!$K$4347+Sens!$K$4348+Sens!$K$4349-Sens!$K$4355</f>
        <v>0</v>
      </c>
      <c r="L4358" s="41" t="n">
        <f aca="false">Sens!$L$4343+Sens!$L$4344+Sens!$L$4345+Sens!$L$4346+Sens!$L$4347+Sens!$L$4348+Sens!$L$4349-Sens!$L$4355</f>
        <v>0</v>
      </c>
      <c r="M4358" s="41" t="n">
        <f aca="false">Sens!$M$4343+Sens!$M$4344+Sens!$M$4345+Sens!$M$4346+Sens!$M$4347+Sens!$M$4348+Sens!$M$4349-Sens!$M$4355</f>
        <v>0</v>
      </c>
      <c r="N4358" s="41" t="n">
        <f aca="false">Sens!$N$4343+Sens!$N$4344+Sens!$N$4345+Sens!$N$4346+Sens!$N$4347+Sens!$N$4348+Sens!$N$4349-Sens!$N$4355</f>
        <v>0</v>
      </c>
      <c r="O4358" s="41" t="n">
        <f aca="false">Sens!$O$4343+Sens!$O$4344+Sens!$O$4345+Sens!$O$4346+Sens!$O$4347+Sens!$O$4348+Sens!$O$4349-Sens!$O$4355</f>
        <v>0</v>
      </c>
    </row>
    <row r="4359" customFormat="false" ht="17.15" hidden="false" customHeight="false" outlineLevel="0" collapsed="false">
      <c r="A4359" s="24" t="s">
        <v>716</v>
      </c>
      <c r="B4359" s="25" t="s">
        <v>86</v>
      </c>
      <c r="C4359" s="41" t="n">
        <f aca="false">Sens!$C$4350+Sens!$C$4351+Sens!$C$4352-Sens!$C$4355</f>
        <v>0</v>
      </c>
      <c r="D4359" s="41" t="n">
        <f aca="false">Sens!$D$4350+Sens!$D$4351+Sens!$D$4352-Sens!$D$4355</f>
        <v>0</v>
      </c>
      <c r="E4359" s="41" t="n">
        <f aca="false">Sens!$E$4350+Sens!$E$4351+Sens!$E$4352-Sens!$E$4355</f>
        <v>0</v>
      </c>
      <c r="F4359" s="41" t="n">
        <f aca="false">Sens!$F$4350+Sens!$F$4351+Sens!$F$4352-Sens!$F$4355</f>
        <v>0</v>
      </c>
      <c r="G4359" s="41" t="n">
        <f aca="false">Sens!$G$4350+Sens!$G$4351+Sens!$G$4352-Sens!$G$4355</f>
        <v>0</v>
      </c>
      <c r="H4359" s="41" t="n">
        <f aca="false">Sens!$H$4350+Sens!$H$4351+Sens!$H$4352-Sens!$H$4355</f>
        <v>0</v>
      </c>
      <c r="I4359" s="41" t="n">
        <f aca="false">Sens!$I$4350+Sens!$I$4351+Sens!$I$4352-Sens!$I$4355</f>
        <v>0</v>
      </c>
      <c r="J4359" s="41" t="n">
        <f aca="false">Sens!$J$4350+Sens!$J$4351+Sens!$J$4352-Sens!$J$4355</f>
        <v>0</v>
      </c>
      <c r="K4359" s="41" t="n">
        <f aca="false">Sens!$K$4350+Sens!$K$4351+Sens!$K$4352-Sens!$K$4355</f>
        <v>0</v>
      </c>
      <c r="L4359" s="41" t="n">
        <f aca="false">Sens!$L$4350+Sens!$L$4351+Sens!$L$4352-Sens!$L$4355</f>
        <v>0</v>
      </c>
      <c r="M4359" s="41" t="n">
        <f aca="false">Sens!$M$4350+Sens!$M$4351+Sens!$M$4352-Sens!$M$4355</f>
        <v>0</v>
      </c>
      <c r="N4359" s="41" t="n">
        <f aca="false">Sens!$N$4350+Sens!$N$4351+Sens!$N$4352-Sens!$N$4355</f>
        <v>0</v>
      </c>
      <c r="O4359" s="41" t="n">
        <f aca="false">Sens!$O$4350+Sens!$O$4351+Sens!$O$4352-Sens!$O$4355</f>
        <v>0</v>
      </c>
    </row>
    <row r="4360" customFormat="false" ht="17.15" hidden="false" customHeight="false" outlineLevel="0" collapsed="false">
      <c r="A4360" s="1" t="s">
        <v>730</v>
      </c>
    </row>
    <row r="4361" customFormat="false" ht="17.15" hidden="false" customHeight="false" outlineLevel="0" collapsed="false">
      <c r="A4361" s="0" t="s">
        <v>731</v>
      </c>
      <c r="B4361" s="0" t="s">
        <v>86</v>
      </c>
      <c r="C4361" s="38" t="n">
        <f aca="false">Sens!$C$4262*m_ad</f>
        <v>20.5341564414228</v>
      </c>
      <c r="D4361" s="38" t="n">
        <f aca="false">Sens!$D$4262*m_ad</f>
        <v>24.8720617299587</v>
      </c>
      <c r="E4361" s="38" t="n">
        <f aca="false">Sens!$E$4262*m_ad</f>
        <v>13.5017112462207</v>
      </c>
      <c r="F4361" s="38" t="n">
        <f aca="false">Sens!$F$4262*m_ad</f>
        <v>16.5719724165257</v>
      </c>
      <c r="G4361" s="38" t="n">
        <f aca="false">Sens!$G$4262*m_ad</f>
        <v>30.0820919220415</v>
      </c>
      <c r="H4361" s="38" t="n">
        <f aca="false">Sens!$H$4262*m_ad</f>
        <v>35.8894726382161</v>
      </c>
      <c r="I4361" s="38" t="n">
        <f aca="false">Sens!$I$4262*m_ad</f>
        <v>41.3458949392026</v>
      </c>
      <c r="J4361" s="38" t="n">
        <f aca="false">Sens!$J$4262*m_ad</f>
        <v>45.9359934352207</v>
      </c>
      <c r="K4361" s="38" t="n">
        <f aca="false">Sens!$K$4262*m_ad</f>
        <v>49.1515129756862</v>
      </c>
      <c r="L4361" s="38" t="n">
        <f aca="false">Sens!$L$4262*m_ad</f>
        <v>52.5921188839842</v>
      </c>
      <c r="M4361" s="38" t="n">
        <f aca="false">Sens!$M$4262*m_ad</f>
        <v>56.2735672058631</v>
      </c>
      <c r="N4361" s="38" t="n">
        <f aca="false">Sens!$N$4262*m_ad</f>
        <v>10.8543555706248</v>
      </c>
      <c r="O4361" s="38" t="n">
        <f aca="false">Sens!$O$4262*m_ad</f>
        <v>14.0094731821399</v>
      </c>
    </row>
    <row r="4362" customFormat="false" ht="17.15" hidden="false" customHeight="false" outlineLevel="0" collapsed="false">
      <c r="A4362" s="0" t="s">
        <v>732</v>
      </c>
      <c r="B4362" s="0" t="s">
        <v>86</v>
      </c>
      <c r="C4362" s="38" t="n">
        <f aca="false">Sens!$C$4260-Sens!$C$4262</f>
        <v>346.428687117154</v>
      </c>
      <c r="D4362" s="38" t="n">
        <f aca="false">Sens!$D$4260-Sens!$D$4262</f>
        <v>376.560876540083</v>
      </c>
      <c r="E4362" s="38" t="n">
        <f aca="false">Sens!$E$4260-Sens!$E$4262</f>
        <v>193.316577507559</v>
      </c>
      <c r="F4362" s="38" t="n">
        <f aca="false">Sens!$F$4260-Sens!$F$4262</f>
        <v>217.495828647535</v>
      </c>
      <c r="G4362" s="38" t="n">
        <f aca="false">Sens!$G$4260-Sens!$G$4262</f>
        <v>410.795589636503</v>
      </c>
      <c r="H4362" s="38" t="n">
        <f aca="false">Sens!$H$4260-Sens!$H$4262</f>
        <v>449.156813761174</v>
      </c>
      <c r="I4362" s="38" t="n">
        <f aca="false">Sens!$I$4260-Sens!$I$4262</f>
        <v>485.848786441156</v>
      </c>
      <c r="J4362" s="38" t="n">
        <f aca="false">Sens!$J$4260-Sens!$J$4262</f>
        <v>519.841531018994</v>
      </c>
      <c r="K4362" s="38" t="n">
        <f aca="false">Sens!$K$4260-Sens!$K$4262</f>
        <v>550.103332311311</v>
      </c>
      <c r="L4362" s="38" t="n">
        <f aca="false">Sens!$L$4260-Sens!$L$4262</f>
        <v>582.192354474511</v>
      </c>
      <c r="M4362" s="38" t="n">
        <f aca="false">Sens!$M$4260-Sens!$M$4262</f>
        <v>616.22240521081</v>
      </c>
      <c r="N4362" s="38" t="n">
        <f aca="false">Sens!$N$4260-Sens!$N$4262</f>
        <v>171.24628885875</v>
      </c>
      <c r="O4362" s="38" t="n">
        <f aca="false">Sens!$O$4260-Sens!$O$4262</f>
        <v>205.33105363572</v>
      </c>
    </row>
    <row r="4363" customFormat="false" ht="17.15" hidden="false" customHeight="false" outlineLevel="0" collapsed="false">
      <c r="A4363" s="0" t="s">
        <v>733</v>
      </c>
      <c r="B4363" s="0" t="s">
        <v>86</v>
      </c>
      <c r="C4363" s="38" t="n">
        <f aca="false">Sens!$C$4314*Sens!$C$4259</f>
        <v>0.123617442257179</v>
      </c>
      <c r="D4363" s="38" t="n">
        <f aca="false">Sens!$D$4314*Sens!$D$4259</f>
        <v>0.600198046024689</v>
      </c>
      <c r="E4363" s="38" t="n">
        <f aca="false">Sens!$E$4314*Sens!$E$4259</f>
        <v>1.10840000750276</v>
      </c>
      <c r="F4363" s="38" t="n">
        <f aca="false">Sens!$F$4314*Sens!$F$4259</f>
        <v>1.33595298721025</v>
      </c>
      <c r="G4363" s="38" t="n">
        <f aca="false">Sens!$G$4314*Sens!$G$4259</f>
        <v>2.44487335052545</v>
      </c>
      <c r="H4363" s="38" t="n">
        <f aca="false">Sens!$H$4314*Sens!$H$4259</f>
        <v>6.63132711939388</v>
      </c>
      <c r="I4363" s="38" t="n">
        <f aca="false">Sens!$I$4314*Sens!$I$4259</f>
        <v>12.7486799258504</v>
      </c>
      <c r="J4363" s="38" t="n">
        <f aca="false">Sens!$J$4314*Sens!$J$4259</f>
        <v>18.4074045299415</v>
      </c>
      <c r="K4363" s="38" t="n">
        <f aca="false">Sens!$K$4314*Sens!$K$4259</f>
        <v>23.9455472348705</v>
      </c>
      <c r="L4363" s="38" t="n">
        <f aca="false">Sens!$L$4314*Sens!$L$4259</f>
        <v>27.78179156216</v>
      </c>
      <c r="M4363" s="38" t="n">
        <f aca="false">Sens!$M$4314*Sens!$M$4259</f>
        <v>29.9029027327362</v>
      </c>
      <c r="N4363" s="38" t="n">
        <f aca="false">Sens!$N$4314*Sens!$N$4259</f>
        <v>0.25053229484398</v>
      </c>
      <c r="O4363" s="38" t="n">
        <f aca="false">Sens!$O$4314*Sens!$O$4259</f>
        <v>0.349234376756897</v>
      </c>
    </row>
    <row r="4364" customFormat="false" ht="17.15" hidden="false" customHeight="false" outlineLevel="0" collapsed="false">
      <c r="A4364" s="0" t="s">
        <v>734</v>
      </c>
      <c r="B4364" s="0" t="s">
        <v>52</v>
      </c>
      <c r="C4364" s="28" t="n">
        <f aca="false">(Sens!$C$4365-Sens!$C$4361+Sens!$C$4363)/Sens!$C$4362</f>
        <v>0.0131526665379575</v>
      </c>
      <c r="D4364" s="28" t="n">
        <f aca="false">(Sens!$D$4365-Sens!$D$4361+Sens!$D$4363)/Sens!$D$4362</f>
        <v>0.0141999252954702</v>
      </c>
      <c r="E4364" s="28" t="n">
        <f aca="false">(Sens!$E$4365-Sens!$E$4361+Sens!$E$4363)/Sens!$E$4362</f>
        <v>0.0258471819939326</v>
      </c>
      <c r="F4364" s="28" t="n">
        <f aca="false">Sens!$O$4364+(Sens!$E$4364-Sens!$N$4364)</f>
        <v>0.0224302350712874</v>
      </c>
      <c r="G4364" s="28" t="n">
        <f aca="false">(Sens!$G$4365-Sens!$G$4361+Sens!$G$4363)/Sens!$G$4362</f>
        <v>0.0240199351461372</v>
      </c>
      <c r="H4364" s="28" t="n">
        <f aca="false">Sens!$G$4364+step_na</f>
        <v>0.0270199351461372</v>
      </c>
      <c r="I4364" s="28" t="n">
        <f aca="false">Sens!$H$4364+step_na</f>
        <v>0.0300199351461372</v>
      </c>
      <c r="J4364" s="28" t="n">
        <f aca="false">Sens!$I$4364+step_na</f>
        <v>0.0330199351461372</v>
      </c>
      <c r="K4364" s="28" t="n">
        <f aca="false">Sens!$J$4364+step_na</f>
        <v>0.0360199351461372</v>
      </c>
      <c r="L4364" s="28" t="n">
        <f aca="false">Sens!$K$4364</f>
        <v>0.0360199351461372</v>
      </c>
      <c r="M4364" s="28" t="n">
        <f aca="false">Sens!$L$4364</f>
        <v>0.0360199351461372</v>
      </c>
      <c r="N4364" s="28" t="n">
        <f aca="false">(Sens!$N$4365-Sens!$N$4361+Sens!$N$4363)/Sens!$N$4362</f>
        <v>0.0160831323269779</v>
      </c>
      <c r="O4364" s="28" t="n">
        <f aca="false">(Sens!$O$4365-Sens!$O$4361+Sens!$O$4363)/Sens!$O$4362</f>
        <v>0.0126661854043327</v>
      </c>
      <c r="P4364" s="8" t="s">
        <v>735</v>
      </c>
    </row>
    <row r="4365" customFormat="false" ht="17.15" hidden="false" customHeight="false" outlineLevel="0" collapsed="false">
      <c r="A4365" s="1" t="s">
        <v>736</v>
      </c>
      <c r="B4365" s="8" t="s">
        <v>86</v>
      </c>
      <c r="C4365" s="38" t="n">
        <f aca="false">Q!$D$22</f>
        <v>24.967</v>
      </c>
      <c r="D4365" s="38" t="n">
        <f aca="false">Q!$E$22</f>
        <v>29.619</v>
      </c>
      <c r="E4365" s="38" t="n">
        <f aca="false">Q!$P$22</f>
        <v>17.39</v>
      </c>
      <c r="F4365" s="38" t="n">
        <f aca="false">Sens!$F$4361+Sens!$F$4362*Sens!$F$4364-Sens!$F$4363</f>
        <v>20.1145019929041</v>
      </c>
      <c r="G4365" s="38" t="n">
        <f aca="false">Sens!$E$4365+Sens!$F$4365</f>
        <v>37.5045019929041</v>
      </c>
      <c r="H4365" s="38" t="n">
        <f aca="false">Sens!$H$4361+Sens!$H$4362*Sens!$H$4364-Sens!$H$4363</f>
        <v>41.3943334970948</v>
      </c>
      <c r="I4365" s="38" t="n">
        <f aca="false">Sens!$I$4361+Sens!$I$4362*Sens!$I$4364-Sens!$I$4363</f>
        <v>43.1823640731452</v>
      </c>
      <c r="J4365" s="38" t="n">
        <f aca="false">Sens!$J$4361+Sens!$J$4362*Sens!$J$4364-Sens!$J$4363</f>
        <v>44.693722545795</v>
      </c>
      <c r="K4365" s="38" t="n">
        <f aca="false">Sens!$K$4361+Sens!$K$4362*Sens!$K$4364-Sens!$K$4363</f>
        <v>45.020652094343</v>
      </c>
      <c r="L4365" s="38" t="n">
        <f aca="false">Sens!$L$4361+Sens!$L$4362*Sens!$L$4364-Sens!$L$4363</f>
        <v>45.780858172573</v>
      </c>
      <c r="M4365" s="38" t="n">
        <f aca="false">Sens!$M$4361+Sens!$M$4362*Sens!$M$4364-Sens!$M$4363</f>
        <v>48.566955544417</v>
      </c>
      <c r="N4365" s="38" t="n">
        <f aca="false">Q!$N$22</f>
        <v>13.358</v>
      </c>
      <c r="O4365" s="38" t="n">
        <f aca="false">Q!$O$22</f>
        <v>16.261</v>
      </c>
    </row>
    <row r="4366" customFormat="false" ht="17.15" hidden="false" customHeight="false" outlineLevel="0" collapsed="false">
      <c r="A4366" s="0" t="s">
        <v>737</v>
      </c>
      <c r="B4366" s="0" t="s">
        <v>86</v>
      </c>
      <c r="C4366" s="38" t="n">
        <f aca="false">Sens!$C$4263*m_ad</f>
        <v>7.57284355857716</v>
      </c>
      <c r="D4366" s="38" t="n">
        <f aca="false">Sens!$D$4263*m_ad</f>
        <v>9.44543827004127</v>
      </c>
      <c r="E4366" s="38" t="n">
        <f aca="false">Sens!$E$4263*m_ad</f>
        <v>5.02428875377928</v>
      </c>
      <c r="F4366" s="38" t="n">
        <f aca="false">Sens!$F$4263*m_ad</f>
        <v>6.50663858068173</v>
      </c>
      <c r="G4366" s="38" t="n">
        <f aca="false">Sens!$G$4263*m_ad</f>
        <v>11.5225190751659</v>
      </c>
      <c r="H4366" s="38" t="n">
        <f aca="false">Sens!$H$4263*m_ad</f>
        <v>13.7469539732536</v>
      </c>
      <c r="I4366" s="38" t="n">
        <f aca="false">Sens!$I$4263*m_ad</f>
        <v>15.8369592231614</v>
      </c>
      <c r="J4366" s="38" t="n">
        <f aca="false">Sens!$J$4263*m_ad</f>
        <v>17.5951314145876</v>
      </c>
      <c r="K4366" s="38" t="n">
        <f aca="false">Sens!$K$4263*m_ad</f>
        <v>18.8267906136088</v>
      </c>
      <c r="L4366" s="38" t="n">
        <f aca="false">Sens!$L$4263*m_ad</f>
        <v>20.1446659565614</v>
      </c>
      <c r="M4366" s="38" t="n">
        <f aca="false">Sens!$M$4263*m_ad</f>
        <v>21.5547925735207</v>
      </c>
      <c r="N4366" s="38" t="n">
        <f aca="false">Sens!$N$4263*m_ad</f>
        <v>3.95314442937518</v>
      </c>
      <c r="O4366" s="38" t="n">
        <f aca="false">Sens!$O$4263*m_ad</f>
        <v>5.50052681786011</v>
      </c>
    </row>
    <row r="4367" customFormat="false" ht="17.15" hidden="false" customHeight="false" outlineLevel="0" collapsed="false">
      <c r="A4367" s="0" t="s">
        <v>738</v>
      </c>
      <c r="B4367" s="0" t="s">
        <v>86</v>
      </c>
      <c r="C4367" s="38" t="n">
        <f aca="false">Sens!$C$4261-Sens!$C$4263</f>
        <v>127.760312882846</v>
      </c>
      <c r="D4367" s="38" t="n">
        <f aca="false">Sens!$D$4261-Sens!$D$4263</f>
        <v>143.003123459917</v>
      </c>
      <c r="E4367" s="38" t="n">
        <f aca="false">Sens!$E$4261-Sens!$E$4263</f>
        <v>71.9374224924414</v>
      </c>
      <c r="F4367" s="38" t="n">
        <f aca="false">Sens!$F$4261-Sens!$F$4263</f>
        <v>85.3951910035875</v>
      </c>
      <c r="G4367" s="38" t="n">
        <f aca="false">Sens!$G$4261-Sens!$G$4263</f>
        <v>157.349430014619</v>
      </c>
      <c r="H4367" s="38" t="n">
        <f aca="false">Sens!$H$4261-Sens!$H$4263</f>
        <v>172.043153372315</v>
      </c>
      <c r="I4367" s="38" t="n">
        <f aca="false">Sens!$I$4261-Sens!$I$4263</f>
        <v>186.097493615879</v>
      </c>
      <c r="J4367" s="38" t="n">
        <f aca="false">Sens!$J$4261-Sens!$J$4263</f>
        <v>199.117932780497</v>
      </c>
      <c r="K4367" s="38" t="n">
        <f aca="false">Sens!$K$4261-Sens!$K$4263</f>
        <v>210.70928698363</v>
      </c>
      <c r="L4367" s="38" t="n">
        <f aca="false">Sens!$L$4261-Sens!$L$4263</f>
        <v>223.000532251317</v>
      </c>
      <c r="M4367" s="38" t="n">
        <f aca="false">Sens!$M$4261-Sens!$M$4263</f>
        <v>236.035261011339</v>
      </c>
      <c r="N4367" s="38" t="n">
        <f aca="false">Sens!$N$4261-Sens!$N$4263</f>
        <v>62.3677111412496</v>
      </c>
      <c r="O4367" s="38" t="n">
        <f aca="false">Sens!$O$4261-Sens!$O$4263</f>
        <v>80.6189463642798</v>
      </c>
    </row>
    <row r="4368" customFormat="false" ht="17.15" hidden="false" customHeight="false" outlineLevel="0" collapsed="false">
      <c r="A4368" s="0" t="s">
        <v>739</v>
      </c>
      <c r="B4368" s="0" t="s">
        <v>86</v>
      </c>
      <c r="C4368" s="38" t="n">
        <f aca="false">Sens!$C$4314*(1-Sens!$C$4259)</f>
        <v>0.0455891896019953</v>
      </c>
      <c r="D4368" s="38" t="n">
        <f aca="false">Sens!$D$4314*(1-Sens!$D$4259)</f>
        <v>0.227931791705753</v>
      </c>
      <c r="E4368" s="38" t="n">
        <f aca="false">Sens!$E$4314*(1-Sens!$E$4259)</f>
        <v>0.412460434890711</v>
      </c>
      <c r="F4368" s="38" t="n">
        <f aca="false">Sens!$F$4314*(1-Sens!$F$4259)</f>
        <v>0.524534016233997</v>
      </c>
      <c r="G4368" s="38" t="n">
        <f aca="false">Sens!$G$4314*(1-Sens!$G$4259)</f>
        <v>0.936474095312266</v>
      </c>
      <c r="H4368" s="38" t="n">
        <f aca="false">Sens!$H$4314*(1-Sens!$H$4259)</f>
        <v>2.54003589327823</v>
      </c>
      <c r="I4368" s="38" t="n">
        <f aca="false">Sens!$I$4314*(1-Sens!$I$4259)</f>
        <v>4.88320120852905</v>
      </c>
      <c r="J4368" s="38" t="n">
        <f aca="false">Sens!$J$4314*(1-Sens!$J$4259)</f>
        <v>7.05069548920359</v>
      </c>
      <c r="K4368" s="38" t="n">
        <f aca="false">Sens!$K$4314*(1-Sens!$K$4259)</f>
        <v>9.17200258193867</v>
      </c>
      <c r="L4368" s="38" t="n">
        <f aca="false">Sens!$L$4314*(1-Sens!$L$4259)</f>
        <v>10.6414216154535</v>
      </c>
      <c r="M4368" s="38" t="n">
        <f aca="false">Sens!$M$4314*(1-Sens!$M$4259)</f>
        <v>11.4538831951485</v>
      </c>
      <c r="N4368" s="38" t="n">
        <f aca="false">Sens!$N$4314*(1-Sens!$N$4259)</f>
        <v>0.0912435878202994</v>
      </c>
      <c r="O4368" s="38" t="n">
        <f aca="false">Sens!$O$4314*(1-Sens!$O$4259)</f>
        <v>0.137119578309265</v>
      </c>
    </row>
    <row r="4369" customFormat="false" ht="17.15" hidden="false" customHeight="false" outlineLevel="0" collapsed="false">
      <c r="A4369" s="0" t="s">
        <v>740</v>
      </c>
      <c r="B4369" s="0" t="s">
        <v>52</v>
      </c>
      <c r="C4369" s="28" t="n">
        <f aca="false">(Sens!$C$4370-Sens!$C$4366+Sens!$C$4368)/Sens!$C$4367</f>
        <v>-0.0292364215826579</v>
      </c>
      <c r="D4369" s="28" t="n">
        <f aca="false">(Sens!$D$4370-Sens!$D$4366+Sens!$D$4368)/Sens!$D$4367</f>
        <v>-0.0312406216748665</v>
      </c>
      <c r="E4369" s="28" t="n">
        <f aca="false">(Sens!$E$4370-Sens!$E$4366+Sens!$E$4368)/Sens!$E$4367</f>
        <v>-0.0204459413185552</v>
      </c>
      <c r="F4369" s="28" t="n">
        <f aca="false">Sens!$O$4369+(Sens!$E$4369-Sens!$N$4369)</f>
        <v>-0.0375409290246314</v>
      </c>
      <c r="G4369" s="28" t="n">
        <f aca="false">(Sens!$G$4370-Sens!$G$4366+Sens!$G$4368)/Sens!$G$4367</f>
        <v>-0.0296712560031684</v>
      </c>
      <c r="H4369" s="28" t="n">
        <f aca="false">Sens!$G$4369+step_in</f>
        <v>-0.0296712560031684</v>
      </c>
      <c r="I4369" s="28" t="n">
        <f aca="false">Sens!$H$4369+step_in</f>
        <v>-0.0296712560031684</v>
      </c>
      <c r="J4369" s="28" t="n">
        <f aca="false">Sens!$I$4369+step_in</f>
        <v>-0.0296712560031684</v>
      </c>
      <c r="K4369" s="28" t="n">
        <f aca="false">Sens!$J$4369+step_in</f>
        <v>-0.0296712560031684</v>
      </c>
      <c r="L4369" s="28" t="n">
        <f aca="false">Sens!$K$4369</f>
        <v>-0.0296712560031684</v>
      </c>
      <c r="M4369" s="28" t="n">
        <f aca="false">Sens!$L$4369</f>
        <v>-0.0296712560031684</v>
      </c>
      <c r="N4369" s="28" t="n">
        <f aca="false">(Sens!$N$4370-Sens!$N$4366+Sens!$N$4368)/Sens!$N$4367</f>
        <v>-0.0216602600421776</v>
      </c>
      <c r="O4369" s="28" t="n">
        <f aca="false">(Sens!$O$4370-Sens!$O$4366+Sens!$O$4368)/Sens!$O$4367</f>
        <v>-0.0387552477482538</v>
      </c>
      <c r="P4369" s="8" t="s">
        <v>735</v>
      </c>
    </row>
    <row r="4370" customFormat="false" ht="17.15" hidden="false" customHeight="false" outlineLevel="0" collapsed="false">
      <c r="A4370" s="1" t="s">
        <v>741</v>
      </c>
      <c r="B4370" s="8" t="s">
        <v>86</v>
      </c>
      <c r="C4370" s="38" t="n">
        <f aca="false">Q!$D$23</f>
        <v>3.792</v>
      </c>
      <c r="D4370" s="38" t="n">
        <f aca="false">Q!$E$23</f>
        <v>4.75</v>
      </c>
      <c r="E4370" s="38" t="n">
        <f aca="false">Q!$P$23</f>
        <v>3.141</v>
      </c>
      <c r="F4370" s="38" t="n">
        <f aca="false">Sens!$F$4366+Sens!$F$4367*Sens!$F$4369-Sens!$F$4368</f>
        <v>2.77628975993721</v>
      </c>
      <c r="G4370" s="38" t="n">
        <f aca="false">Sens!$E$4370+Sens!$F$4370</f>
        <v>5.91728975993721</v>
      </c>
      <c r="H4370" s="38" t="n">
        <f aca="false">Sens!$H$4366+Sens!$H$4367*Sens!$H$4369-Sens!$H$4368</f>
        <v>6.10218163267306</v>
      </c>
      <c r="I4370" s="38" t="n">
        <f aca="false">Sens!$I$4366+Sens!$I$4367*Sens!$I$4369-Sens!$I$4368</f>
        <v>5.43201164000764</v>
      </c>
      <c r="J4370" s="38" t="n">
        <f aca="false">Sens!$J$4366+Sens!$J$4367*Sens!$J$4369-Sens!$J$4368</f>
        <v>4.63635676703223</v>
      </c>
      <c r="K4370" s="38" t="n">
        <f aca="false">Sens!$K$4366+Sens!$K$4367*Sens!$K$4369-Sens!$K$4368</f>
        <v>3.40277883533371</v>
      </c>
      <c r="L4370" s="38" t="n">
        <f aca="false">Sens!$L$4366+Sens!$L$4367*Sens!$L$4369-Sens!$L$4368</f>
        <v>2.88653845983626</v>
      </c>
      <c r="M4370" s="38" t="n">
        <f aca="false">Sens!$M$4366+Sens!$M$4367*Sens!$M$4369-Sens!$M$4368</f>
        <v>3.09744672313009</v>
      </c>
      <c r="N4370" s="38" t="n">
        <f aca="false">Q!$N$23</f>
        <v>2.511</v>
      </c>
      <c r="O4370" s="38" t="n">
        <f aca="false">Q!$O$23</f>
        <v>2.239</v>
      </c>
    </row>
    <row r="4371" customFormat="false" ht="17.15" hidden="false" customHeight="false" outlineLevel="0" collapsed="false">
      <c r="A4371" s="0" t="s">
        <v>742</v>
      </c>
      <c r="B4371" s="0" t="s">
        <v>86</v>
      </c>
      <c r="C4371" s="38" t="n">
        <f aca="false">Sens!$C$4311</f>
        <v>1.64417882953695</v>
      </c>
      <c r="D4371" s="38" t="n">
        <f aca="false">Sens!$D$4311</f>
        <v>5.39125073772939</v>
      </c>
      <c r="E4371" s="38" t="n">
        <f aca="false">Sens!$E$4311</f>
        <v>2.42691120599613</v>
      </c>
      <c r="F4371" s="38" t="n">
        <f aca="false">Sens!$F$4311</f>
        <v>7.52148563094346</v>
      </c>
      <c r="G4371" s="38" t="n">
        <f aca="false">Sens!$G$4311</f>
        <v>9.94839683693959</v>
      </c>
      <c r="H4371" s="38" t="n">
        <f aca="false">Sens!$H$4311</f>
        <v>23.4804386990861</v>
      </c>
      <c r="I4371" s="38" t="n">
        <f aca="false">Sens!$I$4311</f>
        <v>30.9761745989143</v>
      </c>
      <c r="J4371" s="38" t="n">
        <f aca="false">Sens!$J$4311</f>
        <v>41.1930070746977</v>
      </c>
      <c r="K4371" s="38" t="n">
        <f aca="false">Sens!$K$4311</f>
        <v>45.9779211159428</v>
      </c>
      <c r="L4371" s="38" t="n">
        <f aca="false">Sens!$L$4311</f>
        <v>48.0352490919424</v>
      </c>
      <c r="M4371" s="38" t="n">
        <f aca="false">Sens!$M$4311</f>
        <v>47.4082976573265</v>
      </c>
      <c r="N4371" s="38" t="n">
        <f aca="false">Sens!$N$4311</f>
        <v>1.67921600037079</v>
      </c>
      <c r="O4371" s="38" t="n">
        <f aca="false">Sens!$O$4311</f>
        <v>3.71203473735861</v>
      </c>
    </row>
    <row r="4372" customFormat="false" ht="17.15" hidden="false" customHeight="false" outlineLevel="0" collapsed="false">
      <c r="A4372" s="0" t="s">
        <v>660</v>
      </c>
      <c r="B4372" s="0" t="s">
        <v>86</v>
      </c>
      <c r="C4372" s="38" t="n">
        <f aca="false">Sens!$C$4316</f>
        <v>38.1898211704631</v>
      </c>
      <c r="D4372" s="38" t="n">
        <f aca="false">Sens!$D$4316</f>
        <v>40.2147492622706</v>
      </c>
      <c r="E4372" s="38" t="n">
        <f aca="false">Sens!$E$4316</f>
        <v>28.3550887940039</v>
      </c>
      <c r="F4372" s="38" t="n">
        <f aca="false">Sens!$F$4316</f>
        <v>25.9529793149447</v>
      </c>
      <c r="G4372" s="38" t="n">
        <f aca="false">Sens!$G$4316</f>
        <v>54.3080681089486</v>
      </c>
      <c r="H4372" s="38" t="n">
        <f aca="false">Sens!$H$4316</f>
        <v>58.2264684589333</v>
      </c>
      <c r="I4372" s="38" t="n">
        <f aca="false">Sens!$I$4316</f>
        <v>64.6461353851744</v>
      </c>
      <c r="J4372" s="38" t="n">
        <f aca="false">Sens!$J$4316</f>
        <v>70.7957093610231</v>
      </c>
      <c r="K4372" s="38" t="n">
        <f aca="false">Sens!$K$4316</f>
        <v>76.4593661099049</v>
      </c>
      <c r="L4372" s="38" t="n">
        <f aca="false">Sens!$L$4316</f>
        <v>82.5761153986973</v>
      </c>
      <c r="M4372" s="38" t="n">
        <f aca="false">Sens!$M$4316</f>
        <v>89.1822046305931</v>
      </c>
      <c r="N4372" s="38" t="n">
        <f aca="false">Sens!$N$4316</f>
        <v>20.0277839996292</v>
      </c>
      <c r="O4372" s="38" t="n">
        <f aca="false">Sens!$O$4316</f>
        <v>20.1869652626414</v>
      </c>
    </row>
    <row r="4373" customFormat="false" ht="17.15" hidden="false" customHeight="false" outlineLevel="0" collapsed="false">
      <c r="A4373" s="1" t="s">
        <v>743</v>
      </c>
      <c r="B4373" s="8" t="s">
        <v>86</v>
      </c>
      <c r="C4373" s="38" t="n">
        <f aca="false">Q!$D$24</f>
        <v>39.834</v>
      </c>
      <c r="D4373" s="38" t="n">
        <f aca="false">Q!$E$24</f>
        <v>45.606</v>
      </c>
      <c r="E4373" s="38" t="n">
        <f aca="false">Q!$P$24</f>
        <v>30.782</v>
      </c>
      <c r="F4373" s="38" t="n">
        <f aca="false">Sens!$F$4371+Sens!$F$4372</f>
        <v>33.4744649458882</v>
      </c>
      <c r="G4373" s="38" t="n">
        <f aca="false">Sens!$G$4371+Sens!$G$4372</f>
        <v>64.2564649458882</v>
      </c>
      <c r="H4373" s="38" t="n">
        <f aca="false">Sens!$H$4371+Sens!$H$4372</f>
        <v>81.7069071580194</v>
      </c>
      <c r="I4373" s="38" t="n">
        <f aca="false">Sens!$I$4371+Sens!$I$4372</f>
        <v>95.6223099840887</v>
      </c>
      <c r="J4373" s="38" t="n">
        <f aca="false">Sens!$J$4371+Sens!$J$4372</f>
        <v>111.988716435721</v>
      </c>
      <c r="K4373" s="38" t="n">
        <f aca="false">Sens!$K$4371+Sens!$K$4372</f>
        <v>122.437287225848</v>
      </c>
      <c r="L4373" s="38" t="n">
        <f aca="false">Sens!$L$4371+Sens!$L$4372</f>
        <v>130.61136449064</v>
      </c>
      <c r="M4373" s="38" t="n">
        <f aca="false">Sens!$M$4371+Sens!$M$4372</f>
        <v>136.59050228792</v>
      </c>
      <c r="N4373" s="38" t="n">
        <f aca="false">Q!$N$24</f>
        <v>21.707</v>
      </c>
      <c r="O4373" s="38" t="n">
        <f aca="false">Q!$O$24</f>
        <v>23.899</v>
      </c>
    </row>
    <row r="4374" customFormat="false" ht="17.15" hidden="false" customHeight="false" outlineLevel="0" collapsed="false">
      <c r="A4374" s="5" t="s">
        <v>744</v>
      </c>
      <c r="B4374" s="0" t="s">
        <v>86</v>
      </c>
      <c r="C4374" s="38" t="n">
        <f aca="false">Q!$D$26</f>
        <v>0</v>
      </c>
      <c r="D4374" s="38" t="n">
        <f aca="false">Q!$E$26</f>
        <v>0</v>
      </c>
      <c r="E4374" s="38" t="n">
        <f aca="false">Q!$P$26</f>
        <v>0</v>
      </c>
      <c r="F4374" s="39" t="n">
        <v>0</v>
      </c>
      <c r="G4374" s="38" t="n">
        <f aca="false">Sens!$E$4374+Sens!$F$4374</f>
        <v>0</v>
      </c>
      <c r="H4374" s="39" t="n">
        <v>0</v>
      </c>
      <c r="I4374" s="39" t="n">
        <v>0</v>
      </c>
      <c r="J4374" s="39" t="n">
        <v>0</v>
      </c>
      <c r="K4374" s="39" t="n">
        <v>0</v>
      </c>
      <c r="L4374" s="39" t="n">
        <v>0</v>
      </c>
      <c r="M4374" s="39" t="n">
        <v>0</v>
      </c>
      <c r="N4374" s="38" t="n">
        <f aca="false">Q!$N$26</f>
        <v>0</v>
      </c>
      <c r="O4374" s="38" t="n">
        <f aca="false">Q!$O$26</f>
        <v>0</v>
      </c>
    </row>
    <row r="4375" customFormat="false" ht="15" hidden="false" customHeight="false" outlineLevel="0" collapsed="false">
      <c r="A4375" s="3" t="s">
        <v>541</v>
      </c>
      <c r="B4375" s="8" t="s">
        <v>86</v>
      </c>
      <c r="C4375" s="38" t="n">
        <f aca="false">Q!$D$25</f>
        <v>68.593</v>
      </c>
      <c r="D4375" s="38" t="n">
        <f aca="false">Q!$E$25</f>
        <v>79.975</v>
      </c>
      <c r="E4375" s="38" t="n">
        <f aca="false">Q!$P$25</f>
        <v>51.313</v>
      </c>
      <c r="F4375" s="38" t="n">
        <f aca="false">Sens!$F$4365+Sens!$F$4370+Sens!$F$4373+Sens!$F$4374</f>
        <v>56.3652566987294</v>
      </c>
      <c r="G4375" s="38" t="n">
        <f aca="false">Sens!$G$4365+Sens!$G$4370+Sens!$G$4373+Sens!$G$4374</f>
        <v>107.678256698729</v>
      </c>
      <c r="H4375" s="38" t="n">
        <f aca="false">Sens!$H$4365+Sens!$H$4370+Sens!$H$4373+Sens!$H$4374</f>
        <v>129.203422287787</v>
      </c>
      <c r="I4375" s="38" t="n">
        <f aca="false">Sens!$I$4365+Sens!$I$4370+Sens!$I$4373+Sens!$I$4374</f>
        <v>144.236685697242</v>
      </c>
      <c r="J4375" s="38" t="n">
        <f aca="false">Sens!$J$4365+Sens!$J$4370+Sens!$J$4373+Sens!$J$4374</f>
        <v>161.318795748548</v>
      </c>
      <c r="K4375" s="38" t="n">
        <f aca="false">Sens!$K$4365+Sens!$K$4370+Sens!$K$4373+Sens!$K$4374</f>
        <v>170.860718155524</v>
      </c>
      <c r="L4375" s="38" t="n">
        <f aca="false">Sens!$L$4365+Sens!$L$4370+Sens!$L$4373+Sens!$L$4374</f>
        <v>179.278761123049</v>
      </c>
      <c r="M4375" s="38" t="n">
        <f aca="false">Sens!$M$4365+Sens!$M$4370+Sens!$M$4373+Sens!$M$4374</f>
        <v>188.254904555467</v>
      </c>
      <c r="N4375" s="38" t="n">
        <f aca="false">Q!$N$25</f>
        <v>37.576</v>
      </c>
      <c r="O4375" s="38" t="n">
        <f aca="false">Q!$O$25</f>
        <v>42.399</v>
      </c>
    </row>
    <row r="4376" customFormat="false" ht="17.15" hidden="false" customHeight="false" outlineLevel="0" collapsed="false">
      <c r="A4376" s="24" t="s">
        <v>775</v>
      </c>
      <c r="B4376" s="25" t="s">
        <v>86</v>
      </c>
      <c r="C4376" s="41" t="n">
        <f aca="false">Sens!$C$4365+Sens!$C$4370+Sens!$C$4373+Sens!$C$4374-Sens!$C$4375</f>
        <v>0</v>
      </c>
      <c r="D4376" s="41" t="n">
        <f aca="false">Sens!$D$4365+Sens!$D$4370+Sens!$D$4373+Sens!$D$4374-Sens!$D$4375</f>
        <v>0</v>
      </c>
      <c r="E4376" s="41" t="n">
        <f aca="false">Sens!$E$4365+Sens!$E$4370+Sens!$E$4373+Sens!$E$4374-Sens!$E$4375</f>
        <v>0</v>
      </c>
      <c r="F4376" s="41" t="n">
        <f aca="false">Sens!$F$4365+Sens!$F$4370+Sens!$F$4373+Sens!$F$4374-Sens!$F$4375</f>
        <v>0</v>
      </c>
      <c r="G4376" s="41" t="n">
        <f aca="false">Sens!$G$4365+Sens!$G$4370+Sens!$G$4373+Sens!$G$4374-Sens!$G$4375</f>
        <v>0</v>
      </c>
      <c r="H4376" s="41" t="n">
        <f aca="false">Sens!$H$4365+Sens!$H$4370+Sens!$H$4373+Sens!$H$4374-Sens!$H$4375</f>
        <v>0</v>
      </c>
      <c r="I4376" s="41" t="n">
        <f aca="false">Sens!$I$4365+Sens!$I$4370+Sens!$I$4373+Sens!$I$4374-Sens!$I$4375</f>
        <v>0</v>
      </c>
      <c r="J4376" s="41" t="n">
        <f aca="false">Sens!$J$4365+Sens!$J$4370+Sens!$J$4373+Sens!$J$4374-Sens!$J$4375</f>
        <v>0</v>
      </c>
      <c r="K4376" s="41" t="n">
        <f aca="false">Sens!$K$4365+Sens!$K$4370+Sens!$K$4373+Sens!$K$4374-Sens!$K$4375</f>
        <v>0</v>
      </c>
      <c r="L4376" s="41" t="n">
        <f aca="false">Sens!$L$4365+Sens!$L$4370+Sens!$L$4373+Sens!$L$4374-Sens!$L$4375</f>
        <v>0</v>
      </c>
      <c r="M4376" s="41" t="n">
        <f aca="false">Sens!$M$4365+Sens!$M$4370+Sens!$M$4373+Sens!$M$4374-Sens!$M$4375</f>
        <v>0</v>
      </c>
      <c r="N4376" s="41" t="n">
        <f aca="false">Sens!$N$4365+Sens!$N$4370+Sens!$N$4373+Sens!$N$4374-Sens!$N$4375</f>
        <v>0</v>
      </c>
      <c r="O4376" s="41" t="n">
        <f aca="false">Sens!$O$4365+Sens!$O$4370+Sens!$O$4373+Sens!$O$4374-Sens!$O$4375</f>
        <v>0</v>
      </c>
    </row>
    <row r="4377" customFormat="false" ht="17.15" hidden="false" customHeight="false" outlineLevel="0" collapsed="false">
      <c r="A4377" s="5" t="s">
        <v>746</v>
      </c>
      <c r="B4377" s="0" t="s">
        <v>86</v>
      </c>
      <c r="C4377" s="38" t="n">
        <f aca="false">Sens!$C$4313</f>
        <v>0</v>
      </c>
      <c r="D4377" s="38" t="n">
        <f aca="false">Sens!$D$4313</f>
        <v>0</v>
      </c>
      <c r="E4377" s="38" t="n">
        <f aca="false">Sens!$E$4313</f>
        <v>0</v>
      </c>
      <c r="F4377" s="38" t="n">
        <f aca="false">Sens!$F$4313</f>
        <v>3.77122048175818</v>
      </c>
      <c r="G4377" s="38" t="n">
        <f aca="false">Sens!$G$4313</f>
        <v>3.77122048175818</v>
      </c>
      <c r="H4377" s="38" t="n">
        <f aca="false">Sens!$H$4313</f>
        <v>15.1635543609893</v>
      </c>
      <c r="I4377" s="38" t="n">
        <f aca="false">Sens!$I$4313</f>
        <v>25.5818843619889</v>
      </c>
      <c r="J4377" s="38" t="n">
        <f aca="false">Sens!$J$4313</f>
        <v>36.0465624179122</v>
      </c>
      <c r="K4377" s="38" t="n">
        <f aca="false">Sens!$K$4313</f>
        <v>44.9741164026038</v>
      </c>
      <c r="L4377" s="38" t="n">
        <f aca="false">Sens!$L$4313</f>
        <v>50.8413488057813</v>
      </c>
      <c r="M4377" s="38" t="n">
        <f aca="false">Sens!$M$4313</f>
        <v>53.6407214274315</v>
      </c>
      <c r="N4377" s="38" t="n">
        <f aca="false">Sens!$N$4313</f>
        <v>0</v>
      </c>
      <c r="O4377" s="38" t="n">
        <f aca="false">Sens!$O$4313</f>
        <v>0</v>
      </c>
      <c r="P4377" s="5" t="s">
        <v>747</v>
      </c>
    </row>
    <row r="4378" customFormat="false" ht="17.15" hidden="false" customHeight="false" outlineLevel="0" collapsed="false">
      <c r="A4378" s="5" t="s">
        <v>748</v>
      </c>
      <c r="B4378" s="0" t="s">
        <v>86</v>
      </c>
      <c r="C4378" s="38" t="n">
        <f aca="false">Sens!$C$4375+Sens!$C$4377</f>
        <v>68.593</v>
      </c>
      <c r="D4378" s="38" t="n">
        <f aca="false">Sens!$D$4375+Sens!$D$4377</f>
        <v>79.975</v>
      </c>
      <c r="E4378" s="38" t="n">
        <f aca="false">Sens!$E$4375+Sens!$E$4377</f>
        <v>51.313</v>
      </c>
      <c r="F4378" s="38" t="n">
        <f aca="false">Sens!$F$4375+Sens!$F$4377</f>
        <v>60.1364771804876</v>
      </c>
      <c r="G4378" s="38" t="n">
        <f aca="false">Sens!$G$4375+Sens!$G$4377</f>
        <v>111.449477180488</v>
      </c>
      <c r="H4378" s="38" t="n">
        <f aca="false">Sens!$H$4375+Sens!$H$4377</f>
        <v>144.366976648777</v>
      </c>
      <c r="I4378" s="38" t="n">
        <f aca="false">Sens!$I$4375+Sens!$I$4377</f>
        <v>169.81857005923</v>
      </c>
      <c r="J4378" s="38" t="n">
        <f aca="false">Sens!$J$4375+Sens!$J$4377</f>
        <v>197.36535816646</v>
      </c>
      <c r="K4378" s="38" t="n">
        <f aca="false">Sens!$K$4375+Sens!$K$4377</f>
        <v>215.834834558128</v>
      </c>
      <c r="L4378" s="38" t="n">
        <f aca="false">Sens!$L$4375+Sens!$L$4377</f>
        <v>230.12010992883</v>
      </c>
      <c r="M4378" s="38" t="n">
        <f aca="false">Sens!$M$4375+Sens!$M$4377</f>
        <v>241.895625982898</v>
      </c>
      <c r="N4378" s="38" t="n">
        <f aca="false">Sens!$N$4375+Sens!$N$4377</f>
        <v>37.576</v>
      </c>
      <c r="O4378" s="38" t="n">
        <f aca="false">Sens!$O$4375+Sens!$O$4377</f>
        <v>42.399</v>
      </c>
    </row>
    <row r="4379" customFormat="false" ht="17.15" hidden="false" customHeight="false" outlineLevel="0" collapsed="false">
      <c r="A4379" s="0" t="s">
        <v>749</v>
      </c>
      <c r="B4379" s="0" t="s">
        <v>52</v>
      </c>
      <c r="C4379" s="13" t="n">
        <f aca="false">Sens!$C$4365/Sens!$C$4350</f>
        <v>0.0644314665661928</v>
      </c>
      <c r="D4379" s="13" t="n">
        <f aca="false">Sens!$D$4365/Sens!$D$4350</f>
        <v>0.0694784250712518</v>
      </c>
      <c r="E4379" s="13" t="n">
        <f aca="false">Sens!$E$4365/Sens!$E$4350</f>
        <v>0.0789306463326071</v>
      </c>
      <c r="F4379" s="13" t="n">
        <f aca="false">Sens!$F$4365/Sens!$F$4350</f>
        <v>0.0802526339438384</v>
      </c>
      <c r="G4379" s="13" t="n">
        <f aca="false">Sens!$G$4365/Sens!$G$4350</f>
        <v>0.0796341940538369</v>
      </c>
      <c r="H4379" s="13" t="n">
        <f aca="false">Sens!$H$4365/Sens!$H$4350</f>
        <v>0.079461493627483</v>
      </c>
      <c r="I4379" s="13" t="n">
        <f aca="false">Sens!$I$4365/Sens!$I$4350</f>
        <v>0.0759530029548384</v>
      </c>
      <c r="J4379" s="13" t="n">
        <f aca="false">Sens!$J$4365/Sens!$J$4350</f>
        <v>0.0730631598595362</v>
      </c>
      <c r="K4379" s="13" t="n">
        <f aca="false">Sens!$K$4365/Sens!$K$4350</f>
        <v>0.0694327739397401</v>
      </c>
      <c r="L4379" s="13" t="n">
        <f aca="false">Sens!$L$4365/Sens!$L$4350</f>
        <v>0.0666022944179969</v>
      </c>
      <c r="M4379" s="13" t="n">
        <f aca="false">Sens!$M$4365/Sens!$M$4350</f>
        <v>0.0666424060061183</v>
      </c>
      <c r="N4379" s="13" t="n">
        <f aca="false">Sens!$N$4365/Sens!$N$4350</f>
        <v>0.069228576611127</v>
      </c>
      <c r="O4379" s="13" t="n">
        <f aca="false">Sens!$O$4365/Sens!$O$4350</f>
        <v>0.069685022498393</v>
      </c>
    </row>
    <row r="4380" customFormat="false" ht="17.15" hidden="false" customHeight="false" outlineLevel="0" collapsed="false">
      <c r="A4380" s="0" t="s">
        <v>750</v>
      </c>
      <c r="B4380" s="0" t="s">
        <v>52</v>
      </c>
      <c r="C4380" s="13" t="n">
        <f aca="false">Sens!$C$4370/Sens!$C$4351</f>
        <v>0.026534925055631</v>
      </c>
      <c r="D4380" s="13" t="n">
        <f aca="false">Sens!$D$4370/Sens!$D$4351</f>
        <v>0.0293401855535103</v>
      </c>
      <c r="E4380" s="13" t="n">
        <f aca="false">Sens!$E$4370/Sens!$E$4351</f>
        <v>0.03831141902276</v>
      </c>
      <c r="F4380" s="13" t="n">
        <f aca="false">Sens!$F$4370/Sens!$F$4351</f>
        <v>0.0282118989524726</v>
      </c>
      <c r="G4380" s="13" t="n">
        <f aca="false">Sens!$G$4370/Sens!$G$4351</f>
        <v>0.0328019468674976</v>
      </c>
      <c r="H4380" s="13" t="n">
        <f aca="false">Sens!$H$4370/Sens!$H$4351</f>
        <v>0.0305816954120766</v>
      </c>
      <c r="I4380" s="13" t="n">
        <f aca="false">Sens!$I$4370/Sens!$I$4351</f>
        <v>0.0249436397026075</v>
      </c>
      <c r="J4380" s="13" t="n">
        <f aca="false">Sens!$J$4370/Sens!$J$4351</f>
        <v>0.0197874289244061</v>
      </c>
      <c r="K4380" s="13" t="n">
        <f aca="false">Sens!$K$4370/Sens!$K$4351</f>
        <v>0.0137008356355626</v>
      </c>
      <c r="L4380" s="13" t="n">
        <f aca="false">Sens!$L$4370/Sens!$L$4351</f>
        <v>0.0109633482055863</v>
      </c>
      <c r="M4380" s="13" t="n">
        <f aca="false">Sens!$M$4370/Sens!$M$4351</f>
        <v>0.0110961988578957</v>
      </c>
      <c r="N4380" s="13" t="n">
        <f aca="false">Sens!$N$4370/Sens!$N$4351</f>
        <v>0.0357315650169337</v>
      </c>
      <c r="O4380" s="13" t="n">
        <f aca="false">Sens!$O$4370/Sens!$O$4351</f>
        <v>0.0244378956559703</v>
      </c>
    </row>
    <row r="4381" customFormat="false" ht="17.15" hidden="false" customHeight="false" outlineLevel="0" collapsed="false">
      <c r="A4381" s="14" t="s">
        <v>751</v>
      </c>
      <c r="B4381" s="14" t="s">
        <v>52</v>
      </c>
      <c r="C4381" s="17" t="n">
        <f aca="false">Sens!$C$4373/Sens!$C$4352</f>
        <v>0.370355907620217</v>
      </c>
      <c r="D4381" s="17" t="n">
        <f aca="false">Sens!$D$4373/Sens!$D$4352</f>
        <v>0.35429015342785</v>
      </c>
      <c r="E4381" s="17" t="n">
        <f aca="false">Sens!$E$4373/Sens!$E$4352</f>
        <v>0.385647527531039</v>
      </c>
      <c r="F4381" s="17" t="n">
        <f aca="false">Sens!$F$4373/Sens!$F$4352</f>
        <v>0.385949613469105</v>
      </c>
      <c r="G4381" s="17" t="n">
        <f aca="false">Sens!$G$4373/Sens!$G$4352</f>
        <v>0.385804840448779</v>
      </c>
      <c r="H4381" s="17" t="n">
        <f aca="false">Sens!$H$4373/Sens!$H$4352</f>
        <v>0.369408675360557</v>
      </c>
      <c r="I4381" s="17" t="n">
        <f aca="false">Sens!$I$4373/Sens!$I$4352</f>
        <v>0.34117504540738</v>
      </c>
      <c r="J4381" s="17" t="n">
        <f aca="false">Sens!$J$4373/Sens!$J$4352</f>
        <v>0.330544285732563</v>
      </c>
      <c r="K4381" s="17" t="n">
        <f aca="false">Sens!$K$4373/Sens!$K$4352</f>
        <v>0.314033796990635</v>
      </c>
      <c r="L4381" s="17" t="n">
        <f aca="false">Sens!$L$4373/Sens!$L$4352</f>
        <v>0.303690371867633</v>
      </c>
      <c r="M4381" s="17" t="n">
        <f aca="false">Sens!$M$4373/Sens!$M$4352</f>
        <v>0.297287296590884</v>
      </c>
      <c r="N4381" s="17" t="n">
        <f aca="false">Sens!$N$4373/Sens!$N$4352</f>
        <v>0.360941137346192</v>
      </c>
      <c r="O4381" s="17" t="n">
        <f aca="false">Sens!$O$4373/Sens!$O$4352</f>
        <v>0.348458117664212</v>
      </c>
    </row>
    <row r="4382" customFormat="false" ht="17.15" hidden="false" customHeight="false" outlineLevel="0" collapsed="false">
      <c r="A4382" s="0" t="s">
        <v>752</v>
      </c>
      <c r="B4382" s="0" t="s">
        <v>52</v>
      </c>
      <c r="C4382" s="13" t="n">
        <f aca="false">Sens!$C$4371/Sens!$C$4353</f>
        <v>0.708390794789371</v>
      </c>
      <c r="D4382" s="13" t="n">
        <f aca="false">Sens!$D$4371/Sens!$D$4353</f>
        <v>0.619415573115729</v>
      </c>
      <c r="E4382" s="13" t="n">
        <f aca="false">Sens!$E$4371/Sens!$E$4353</f>
        <v>0.285171627189009</v>
      </c>
      <c r="F4382" s="13" t="n">
        <f aca="false">Sens!$F$4371/Sens!$F$4353</f>
        <v>0.502657732812366</v>
      </c>
      <c r="G4382" s="13" t="n">
        <f aca="false">Sens!$G$4371/Sens!$G$4353</f>
        <v>0.423808778611812</v>
      </c>
      <c r="H4382" s="13" t="n">
        <f aca="false">Sens!$H$4371/Sens!$H$4353</f>
        <v>0.390261631739809</v>
      </c>
      <c r="I4382" s="13" t="n">
        <f aca="false">Sens!$I$4371/Sens!$I$4353</f>
        <v>0.305172864264572</v>
      </c>
      <c r="J4382" s="13" t="n">
        <f aca="false">Sens!$J$4371/Sens!$J$4353</f>
        <v>0.288011814789856</v>
      </c>
      <c r="K4382" s="13" t="n">
        <f aca="false">Sens!$K$4371/Sens!$K$4353</f>
        <v>0.25765427518774</v>
      </c>
      <c r="L4382" s="13" t="n">
        <f aca="false">Sens!$L$4371/Sens!$L$4353</f>
        <v>0.238118778012374</v>
      </c>
      <c r="M4382" s="13" t="n">
        <f aca="false">Sens!$M$4371/Sens!$M$4353</f>
        <v>0.222746255757109</v>
      </c>
      <c r="N4382" s="13" t="n">
        <f aca="false">Sens!$N$4371/Sens!$N$4353</f>
        <v>0.551227795793364</v>
      </c>
      <c r="O4382" s="13" t="n">
        <f aca="false">Sens!$O$4371/Sens!$O$4353</f>
        <v>0.656132068597002</v>
      </c>
    </row>
    <row r="4383" customFormat="false" ht="15" hidden="false" customHeight="false" outlineLevel="0" collapsed="false">
      <c r="A4383" s="5" t="s">
        <v>753</v>
      </c>
      <c r="B4383" s="0" t="s">
        <v>52</v>
      </c>
      <c r="C4383" s="13" t="n">
        <f aca="false">Sens!$C$4375/Sens!$C$4355</f>
        <v>0.107519448742004</v>
      </c>
      <c r="D4383" s="13" t="n">
        <f aca="false">Sens!$D$4375/Sens!$D$4355</f>
        <v>0.111552967957552</v>
      </c>
      <c r="E4383" s="13" t="n">
        <f aca="false">Sens!$E$4375/Sens!$E$4355</f>
        <v>0.13428328426562</v>
      </c>
      <c r="F4383" s="13" t="n">
        <f aca="false">Sens!$F$4375/Sens!$F$4355</f>
        <v>0.129343087287827</v>
      </c>
      <c r="G4383" s="13" t="n">
        <f aca="false">Sens!$G$4375/Sens!$G$4355</f>
        <v>0.131651143259596</v>
      </c>
      <c r="H4383" s="13" t="n">
        <f aca="false">Sens!$H$4375/Sens!$H$4355</f>
        <v>0.137208759197207</v>
      </c>
      <c r="I4383" s="13" t="n">
        <f aca="false">Sens!$I$4375/Sens!$I$4355</f>
        <v>0.135232189879935</v>
      </c>
      <c r="J4383" s="13" t="n">
        <f aca="false">Sens!$J$4375/Sens!$J$4355</f>
        <v>0.13615438104978</v>
      </c>
      <c r="K4383" s="13" t="n">
        <f aca="false">Sens!$K$4375/Sens!$K$4355</f>
        <v>0.132794515797834</v>
      </c>
      <c r="L4383" s="13" t="n">
        <f aca="false">Sens!$L$4375/Sens!$L$4355</f>
        <v>0.129841848067689</v>
      </c>
      <c r="M4383" s="13" t="n">
        <f aca="false">Sens!$M$4375/Sens!$M$4355</f>
        <v>0.128294039533908</v>
      </c>
      <c r="N4383" s="13" t="n">
        <f aca="false">Sens!$N$4375/Sens!$N$4355</f>
        <v>0.116201614873411</v>
      </c>
      <c r="O4383" s="13" t="n">
        <f aca="false">Sens!$O$4375/Sens!$O$4355</f>
        <v>0.107733353660861</v>
      </c>
    </row>
    <row r="4384" customFormat="false" ht="17.15" hidden="false" customHeight="false" outlineLevel="0" collapsed="false">
      <c r="A4384" s="1" t="s">
        <v>754</v>
      </c>
    </row>
    <row r="4385" customFormat="false" ht="17.15" hidden="false" customHeight="false" outlineLevel="0" collapsed="false">
      <c r="A4385" s="5" t="s">
        <v>755</v>
      </c>
      <c r="B4385" s="0" t="s">
        <v>52</v>
      </c>
      <c r="D4385" s="28" t="n">
        <f aca="false">(Q!$E$29+Q!$E$30-(1-ext_sh)*Sens!$D$4307)/Sens!$D$4258</f>
        <v>0.0341105596409988</v>
      </c>
    </row>
    <row r="4386" customFormat="false" ht="17.15" hidden="false" customHeight="false" outlineLevel="0" collapsed="false">
      <c r="A4386" s="0" t="s">
        <v>545</v>
      </c>
      <c r="B4386" s="0" t="s">
        <v>86</v>
      </c>
      <c r="C4386" s="38" t="n">
        <f aca="false">Q!$D$29</f>
        <v>14.285</v>
      </c>
      <c r="D4386" s="38" t="n">
        <f aca="false">Q!$E$29</f>
        <v>15.503</v>
      </c>
      <c r="E4386" s="38" t="n">
        <f aca="false">Q!$P$29</f>
        <v>8.78</v>
      </c>
      <c r="F4386" s="38" t="n">
        <f aca="false">(Sens!$D$4385*Sens!$F$4258+(1-ext_sh)*Sens!$F$4307)*Sens!$F$4259</f>
        <v>9.30317620449232</v>
      </c>
      <c r="G4386" s="38" t="n">
        <f aca="false">Sens!$E$4386+Sens!$F$4386</f>
        <v>18.0831762044923</v>
      </c>
      <c r="H4386" s="38" t="n">
        <f aca="false">(Sens!$D$4385*Sens!$H$4258+(1-ext_sh)*Sens!$H$4307)*Sens!$H$4259</f>
        <v>22.1143327789887</v>
      </c>
      <c r="I4386" s="38" t="n">
        <f aca="false">(Sens!$D$4385*Sens!$I$4258+(1-ext_sh)*Sens!$I$4307)*Sens!$I$4259</f>
        <v>28.3550069822918</v>
      </c>
      <c r="J4386" s="38" t="n">
        <f aca="false">(Sens!$D$4385*Sens!$J$4258+(1-ext_sh)*Sens!$J$4307)*Sens!$J$4259</f>
        <v>33.9831047794901</v>
      </c>
      <c r="K4386" s="38" t="n">
        <f aca="false">(Sens!$D$4385*Sens!$K$4258+(1-ext_sh)*Sens!$K$4307)*Sens!$K$4259</f>
        <v>39.4898827325178</v>
      </c>
      <c r="L4386" s="38" t="n">
        <f aca="false">(Sens!$D$4385*Sens!$L$4258+(1-ext_sh)*Sens!$L$4307)*Sens!$L$4259</f>
        <v>43.8122156865523</v>
      </c>
      <c r="M4386" s="38" t="n">
        <f aca="false">(Sens!$D$4385*Sens!$M$4258+(1-ext_sh)*Sens!$M$4307)*Sens!$M$4259</f>
        <v>46.9422770465306</v>
      </c>
      <c r="N4386" s="38" t="n">
        <f aca="false">Q!$N$29</f>
        <v>7.272</v>
      </c>
      <c r="O4386" s="38" t="n">
        <f aca="false">Q!$O$29</f>
        <v>8.231</v>
      </c>
    </row>
    <row r="4387" customFormat="false" ht="17.15" hidden="false" customHeight="false" outlineLevel="0" collapsed="false">
      <c r="A4387" s="0" t="s">
        <v>547</v>
      </c>
      <c r="B4387" s="0" t="s">
        <v>86</v>
      </c>
      <c r="C4387" s="38" t="n">
        <f aca="false">Q!$D$30</f>
        <v>4.462</v>
      </c>
      <c r="D4387" s="38" t="n">
        <f aca="false">Q!$E$30</f>
        <v>4.907</v>
      </c>
      <c r="E4387" s="38" t="n">
        <f aca="false">Q!$P$30</f>
        <v>2.57</v>
      </c>
      <c r="F4387" s="38" t="n">
        <f aca="false">(Sens!$D$4385*Sens!$F$4258+(1-ext_sh)*Sens!$F$4307)*(1-Sens!$F$4259)</f>
        <v>3.6526976809753</v>
      </c>
      <c r="G4387" s="38" t="n">
        <f aca="false">Sens!$E$4387+Sens!$F$4387</f>
        <v>6.2226976809753</v>
      </c>
      <c r="H4387" s="38" t="n">
        <f aca="false">(Sens!$D$4385*Sens!$H$4258+(1-ext_sh)*Sens!$H$4307)*(1-Sens!$H$4259)</f>
        <v>8.47058183123758</v>
      </c>
      <c r="I4387" s="38" t="n">
        <f aca="false">(Sens!$D$4385*Sens!$I$4258+(1-ext_sh)*Sens!$I$4307)*(1-Sens!$I$4259)</f>
        <v>10.8609836601997</v>
      </c>
      <c r="J4387" s="38" t="n">
        <f aca="false">(Sens!$D$4385*Sens!$J$4258+(1-ext_sh)*Sens!$J$4307)*(1-Sens!$J$4259)</f>
        <v>13.0167467764476</v>
      </c>
      <c r="K4387" s="38" t="n">
        <f aca="false">(Sens!$D$4385*Sens!$K$4258+(1-ext_sh)*Sens!$K$4307)*(1-Sens!$K$4259)</f>
        <v>15.1260400453766</v>
      </c>
      <c r="L4387" s="38" t="n">
        <f aca="false">(Sens!$D$4385*Sens!$L$4258+(1-ext_sh)*Sens!$L$4307)*(1-Sens!$L$4259)</f>
        <v>16.7816484399374</v>
      </c>
      <c r="M4387" s="38" t="n">
        <f aca="false">(Sens!$D$4385*Sens!$M$4258+(1-ext_sh)*Sens!$M$4307)*(1-Sens!$M$4259)</f>
        <v>17.9805740937867</v>
      </c>
      <c r="N4387" s="38" t="n">
        <f aca="false">Q!$N$30</f>
        <v>2.316</v>
      </c>
      <c r="O4387" s="38" t="n">
        <f aca="false">Q!$O$30</f>
        <v>2.591</v>
      </c>
    </row>
    <row r="4388" customFormat="false" ht="17.15" hidden="false" customHeight="false" outlineLevel="0" collapsed="false">
      <c r="A4388" s="0" t="s">
        <v>548</v>
      </c>
      <c r="B4388" s="0" t="s">
        <v>86</v>
      </c>
      <c r="C4388" s="38" t="n">
        <f aca="false">Sens!$C$4319</f>
        <v>13.32</v>
      </c>
      <c r="D4388" s="38" t="n">
        <f aca="false">Sens!$D$4319</f>
        <v>21.45</v>
      </c>
      <c r="E4388" s="38" t="n">
        <f aca="false">Sens!$E$4319</f>
        <v>15.353</v>
      </c>
      <c r="F4388" s="38" t="n">
        <f aca="false">Sens!$F$4319</f>
        <v>16.1969869840094</v>
      </c>
      <c r="G4388" s="38" t="n">
        <f aca="false">Sens!$G$4319</f>
        <v>31.5499869840094</v>
      </c>
      <c r="H4388" s="38" t="n">
        <f aca="false">Sens!$H$4319</f>
        <v>50.9556213609176</v>
      </c>
      <c r="I4388" s="38" t="n">
        <f aca="false">Sens!$I$4319</f>
        <v>79.464581248252</v>
      </c>
      <c r="J4388" s="38" t="n">
        <f aca="false">Sens!$J$4319</f>
        <v>105.296127931746</v>
      </c>
      <c r="K4388" s="38" t="n">
        <f aca="false">Sens!$K$4319</f>
        <v>131.454694001511</v>
      </c>
      <c r="L4388" s="38" t="n">
        <f aca="false">Sens!$L$4319</f>
        <v>150.840456981405</v>
      </c>
      <c r="M4388" s="38" t="n">
        <f aca="false">Sens!$M$4319</f>
        <v>163.399454192999</v>
      </c>
      <c r="N4388" s="38" t="n">
        <f aca="false">Sens!$N$4319</f>
        <v>9.234</v>
      </c>
      <c r="O4388" s="38" t="n">
        <f aca="false">Sens!$O$4319</f>
        <v>12.216</v>
      </c>
    </row>
    <row r="4389" customFormat="false" ht="17.15" hidden="false" customHeight="false" outlineLevel="0" collapsed="false">
      <c r="A4389" s="5" t="s">
        <v>756</v>
      </c>
      <c r="B4389" s="0" t="s">
        <v>86</v>
      </c>
      <c r="C4389" s="38" t="n">
        <f aca="false">Sens!$C$4386+Sens!$C$4387+Sens!$C$4388</f>
        <v>32.067</v>
      </c>
      <c r="D4389" s="38" t="n">
        <f aca="false">Sens!$D$4386+Sens!$D$4387+Sens!$D$4388</f>
        <v>41.86</v>
      </c>
      <c r="E4389" s="38" t="n">
        <f aca="false">Sens!$E$4386+Sens!$E$4387+Sens!$E$4388</f>
        <v>26.703</v>
      </c>
      <c r="F4389" s="38" t="n">
        <f aca="false">Sens!$F$4386+Sens!$F$4387+Sens!$F$4388</f>
        <v>29.152860869477</v>
      </c>
      <c r="G4389" s="38" t="n">
        <f aca="false">Sens!$G$4386+Sens!$G$4387+Sens!$G$4388</f>
        <v>55.855860869477</v>
      </c>
      <c r="H4389" s="38" t="n">
        <f aca="false">Sens!$H$4386+Sens!$H$4387+Sens!$H$4388</f>
        <v>81.5405359711439</v>
      </c>
      <c r="I4389" s="38" t="n">
        <f aca="false">Sens!$I$4386+Sens!$I$4387+Sens!$I$4388</f>
        <v>118.680571890744</v>
      </c>
      <c r="J4389" s="38" t="n">
        <f aca="false">Sens!$J$4386+Sens!$J$4387+Sens!$J$4388</f>
        <v>152.295979487683</v>
      </c>
      <c r="K4389" s="38" t="n">
        <f aca="false">Sens!$K$4386+Sens!$K$4387+Sens!$K$4388</f>
        <v>186.070616779406</v>
      </c>
      <c r="L4389" s="38" t="n">
        <f aca="false">Sens!$L$4386+Sens!$L$4387+Sens!$L$4388</f>
        <v>211.434321107895</v>
      </c>
      <c r="M4389" s="38" t="n">
        <f aca="false">Sens!$M$4386+Sens!$M$4387+Sens!$M$4388</f>
        <v>228.322305333316</v>
      </c>
      <c r="N4389" s="38" t="n">
        <f aca="false">Sens!$N$4386+Sens!$N$4387+Sens!$N$4388</f>
        <v>18.822</v>
      </c>
      <c r="O4389" s="38" t="n">
        <f aca="false">Sens!$O$4386+Sens!$O$4387+Sens!$O$4388</f>
        <v>23.038</v>
      </c>
    </row>
    <row r="4390" customFormat="false" ht="17.15" hidden="false" customHeight="false" outlineLevel="0" collapsed="false">
      <c r="A4390" s="0" t="s">
        <v>757</v>
      </c>
      <c r="B4390" s="0" t="s">
        <v>86</v>
      </c>
      <c r="C4390" s="38" t="n">
        <f aca="false">Sens!$C$4361+Sens!$C$4366</f>
        <v>28.107</v>
      </c>
      <c r="D4390" s="38" t="n">
        <f aca="false">Sens!$D$4361+Sens!$D$4366</f>
        <v>34.3175</v>
      </c>
      <c r="E4390" s="38" t="n">
        <f aca="false">Sens!$E$4361+Sens!$E$4366</f>
        <v>18.526</v>
      </c>
      <c r="F4390" s="38" t="n">
        <f aca="false">Sens!$F$4361+Sens!$F$4366</f>
        <v>23.0786109972074</v>
      </c>
      <c r="G4390" s="38" t="n">
        <f aca="false">Sens!$G$4361+Sens!$G$4366</f>
        <v>41.6046109972074</v>
      </c>
      <c r="H4390" s="38" t="n">
        <f aca="false">Sens!$H$4361+Sens!$H$4366</f>
        <v>49.6364266114697</v>
      </c>
      <c r="I4390" s="38" t="n">
        <f aca="false">Sens!$I$4361+Sens!$I$4366</f>
        <v>57.182854162364</v>
      </c>
      <c r="J4390" s="38" t="n">
        <f aca="false">Sens!$J$4361+Sens!$J$4366</f>
        <v>63.5311248498083</v>
      </c>
      <c r="K4390" s="38" t="n">
        <f aca="false">Sens!$K$4361+Sens!$K$4366</f>
        <v>67.9783035892949</v>
      </c>
      <c r="L4390" s="38" t="n">
        <f aca="false">Sens!$L$4361+Sens!$L$4366</f>
        <v>72.7367848405456</v>
      </c>
      <c r="M4390" s="38" t="n">
        <f aca="false">Sens!$M$4361+Sens!$M$4366</f>
        <v>77.8283597793838</v>
      </c>
      <c r="N4390" s="38" t="n">
        <f aca="false">Sens!$N$4361+Sens!$N$4366</f>
        <v>14.8075</v>
      </c>
      <c r="O4390" s="38" t="n">
        <f aca="false">Sens!$O$4361+Sens!$O$4366</f>
        <v>19.51</v>
      </c>
    </row>
    <row r="4391" customFormat="false" ht="17.15" hidden="false" customHeight="false" outlineLevel="0" collapsed="false">
      <c r="A4391" s="0" t="s">
        <v>758</v>
      </c>
      <c r="B4391" s="0" t="s">
        <v>86</v>
      </c>
      <c r="C4391" s="38" t="n">
        <f aca="false">Sens!$C$4365+Sens!$C$4370+Sens!$C$4386+Sens!$C$4387-Sens!$C$4390</f>
        <v>19.399</v>
      </c>
      <c r="D4391" s="38" t="n">
        <f aca="false">Sens!$D$4365+Sens!$D$4370+Sens!$D$4386+Sens!$D$4387-Sens!$D$4390</f>
        <v>20.4615</v>
      </c>
      <c r="E4391" s="38" t="n">
        <f aca="false">Sens!$E$4365+Sens!$E$4370+Sens!$E$4386+Sens!$E$4387-Sens!$E$4390</f>
        <v>13.355</v>
      </c>
      <c r="F4391" s="38" t="n">
        <f aca="false">Sens!$F$4365+Sens!$F$4370+Sens!$F$4386+Sens!$F$4387-Sens!$F$4390</f>
        <v>12.7680546411015</v>
      </c>
      <c r="G4391" s="38" t="n">
        <f aca="false">Sens!$G$4365+Sens!$G$4370+Sens!$G$4386+Sens!$G$4387-Sens!$G$4390</f>
        <v>26.1230546411015</v>
      </c>
      <c r="H4391" s="38" t="n">
        <f aca="false">Sens!$H$4365+Sens!$H$4370+Sens!$H$4386+Sens!$H$4387-Sens!$H$4390</f>
        <v>28.4450031285244</v>
      </c>
      <c r="I4391" s="38" t="n">
        <f aca="false">Sens!$I$4365+Sens!$I$4370+Sens!$I$4386+Sens!$I$4387-Sens!$I$4390</f>
        <v>30.6475121932803</v>
      </c>
      <c r="J4391" s="38" t="n">
        <f aca="false">Sens!$J$4365+Sens!$J$4370+Sens!$J$4386+Sens!$J$4387-Sens!$J$4390</f>
        <v>32.7988060189566</v>
      </c>
      <c r="K4391" s="38" t="n">
        <f aca="false">Sens!$K$4365+Sens!$K$4370+Sens!$K$4386+Sens!$K$4387-Sens!$K$4390</f>
        <v>35.0610501182761</v>
      </c>
      <c r="L4391" s="38" t="n">
        <f aca="false">Sens!$L$4365+Sens!$L$4370+Sens!$L$4386+Sens!$L$4387-Sens!$L$4390</f>
        <v>36.5244759183533</v>
      </c>
      <c r="M4391" s="38" t="n">
        <f aca="false">Sens!$M$4365+Sens!$M$4370+Sens!$M$4386+Sens!$M$4387-Sens!$M$4390</f>
        <v>38.7588936284806</v>
      </c>
      <c r="N4391" s="38" t="n">
        <f aca="false">Sens!$N$4365+Sens!$N$4370+Sens!$N$4386+Sens!$N$4387-Sens!$N$4390</f>
        <v>10.6495</v>
      </c>
      <c r="O4391" s="38" t="n">
        <f aca="false">Sens!$O$4365+Sens!$O$4370+Sens!$O$4386+Sens!$O$4387-Sens!$O$4390</f>
        <v>9.81200000000001</v>
      </c>
    </row>
    <row r="4392" customFormat="false" ht="17.15" hidden="false" customHeight="false" outlineLevel="0" collapsed="false">
      <c r="A4392" s="0" t="s">
        <v>759</v>
      </c>
      <c r="B4392" s="0" t="s">
        <v>86</v>
      </c>
      <c r="C4392" s="38" t="n">
        <f aca="false">Sens!$C$4372+Sens!$C$4388-ext_sh*Sens!$C$4307</f>
        <v>51.3470500115664</v>
      </c>
      <c r="D4392" s="38" t="n">
        <f aca="false">Sens!$D$4372+Sens!$D$4388-ext_sh*Sens!$D$4307</f>
        <v>60.2799375433739</v>
      </c>
      <c r="E4392" s="38" t="n">
        <f aca="false">Sens!$E$4372+Sens!$E$4388-ext_sh*Sens!$E$4307</f>
        <v>39.5095167090767</v>
      </c>
      <c r="F4392" s="38" t="n">
        <f aca="false">Sens!$F$4372+Sens!$F$4388-ext_sh*Sens!$F$4307</f>
        <v>37.951394214027</v>
      </c>
      <c r="G4392" s="38" t="n">
        <f aca="false">Sens!$G$4372+Sens!$G$4388-ext_sh*Sens!$G$4307</f>
        <v>77.4609109231037</v>
      </c>
      <c r="H4392" s="38" t="n">
        <f aca="false">Sens!$H$4372+Sens!$H$4388-ext_sh*Sens!$H$4307</f>
        <v>85.1453558128916</v>
      </c>
      <c r="I4392" s="38" t="n">
        <f aca="false">Sens!$I$4372+Sens!$I$4388-ext_sh*Sens!$I$4307</f>
        <v>94.532921967974</v>
      </c>
      <c r="J4392" s="38" t="n">
        <f aca="false">Sens!$J$4372+Sens!$J$4388-ext_sh*Sens!$J$4307</f>
        <v>103.525527532583</v>
      </c>
      <c r="K4392" s="38" t="n">
        <f aca="false">Sens!$K$4372+Sens!$K$4388-ext_sh*Sens!$K$4307</f>
        <v>111.80756973519</v>
      </c>
      <c r="L4392" s="38" t="n">
        <f aca="false">Sens!$L$4372+Sens!$L$4388-ext_sh*Sens!$L$4307</f>
        <v>120.752175314005</v>
      </c>
      <c r="M4392" s="38" t="n">
        <f aca="false">Sens!$M$4372+Sens!$M$4388-ext_sh*Sens!$M$4307</f>
        <v>130.412349339125</v>
      </c>
      <c r="N4392" s="38" t="n">
        <f aca="false">Sens!$N$4372+Sens!$N$4388-ext_sh*Sens!$N$4307</f>
        <v>28.5693781401809</v>
      </c>
      <c r="O4392" s="38" t="n">
        <f aca="false">Sens!$O$4372+Sens!$O$4388-ext_sh*Sens!$O$4307</f>
        <v>31.7105594031931</v>
      </c>
    </row>
    <row r="4393" customFormat="false" ht="17.15" hidden="false" customHeight="false" outlineLevel="0" collapsed="false">
      <c r="A4393" s="0" t="s">
        <v>760</v>
      </c>
      <c r="B4393" s="0" t="s">
        <v>86</v>
      </c>
      <c r="C4393" s="38" t="n">
        <f aca="false">Sens!$C$4310</f>
        <v>1.80694998843362</v>
      </c>
      <c r="D4393" s="38" t="n">
        <f aca="false">Sens!$D$4310</f>
        <v>6.77606245662607</v>
      </c>
      <c r="E4393" s="38" t="n">
        <f aca="false">Sens!$E$4310</f>
        <v>6.62548329092326</v>
      </c>
      <c r="F4393" s="38" t="n">
        <f aca="false">Sens!$F$4310</f>
        <v>11.7200577158706</v>
      </c>
      <c r="G4393" s="38" t="n">
        <f aca="false">Sens!$G$4310</f>
        <v>18.3455410067939</v>
      </c>
      <c r="H4393" s="38" t="n">
        <f aca="false">Sens!$H$4310</f>
        <v>47.5171727060453</v>
      </c>
      <c r="I4393" s="38" t="n">
        <f aca="false">Sens!$I$4310</f>
        <v>80.5539692643667</v>
      </c>
      <c r="J4393" s="38" t="n">
        <f aca="false">Sens!$J$4310</f>
        <v>113.759316834883</v>
      </c>
      <c r="K4393" s="38" t="n">
        <f aca="false">Sens!$K$4310</f>
        <v>142.084411492169</v>
      </c>
      <c r="L4393" s="38" t="n">
        <f aca="false">Sens!$L$4310</f>
        <v>160.69964615804</v>
      </c>
      <c r="M4393" s="38" t="n">
        <f aca="false">Sens!$M$4310</f>
        <v>169.577607141793</v>
      </c>
      <c r="N4393" s="38" t="n">
        <f aca="false">Sens!$N$4310</f>
        <v>2.37162185981912</v>
      </c>
      <c r="O4393" s="38" t="n">
        <f aca="false">Sens!$O$4310</f>
        <v>4.40444059680694</v>
      </c>
    </row>
    <row r="4394" customFormat="false" ht="17.15" hidden="false" customHeight="false" outlineLevel="0" collapsed="false">
      <c r="A4394" s="0" t="s">
        <v>761</v>
      </c>
      <c r="B4394" s="0" t="s">
        <v>86</v>
      </c>
      <c r="C4394" s="38" t="n">
        <f aca="false">Sens!$C$4375+Sens!$C$4389</f>
        <v>100.66</v>
      </c>
      <c r="D4394" s="38" t="n">
        <f aca="false">Sens!$D$4375+Sens!$D$4389</f>
        <v>121.835</v>
      </c>
      <c r="E4394" s="38" t="n">
        <f aca="false">Sens!$E$4375+Sens!$E$4389</f>
        <v>78.016</v>
      </c>
      <c r="F4394" s="38" t="n">
        <f aca="false">Sens!$F$4375+Sens!$F$4389</f>
        <v>85.5181175682064</v>
      </c>
      <c r="G4394" s="38" t="n">
        <f aca="false">Sens!$G$4375+Sens!$G$4389</f>
        <v>163.534117568206</v>
      </c>
      <c r="H4394" s="38" t="n">
        <f aca="false">Sens!$H$4375+Sens!$H$4389</f>
        <v>210.743958258931</v>
      </c>
      <c r="I4394" s="38" t="n">
        <f aca="false">Sens!$I$4375+Sens!$I$4389</f>
        <v>262.917257587985</v>
      </c>
      <c r="J4394" s="38" t="n">
        <f aca="false">Sens!$J$4375+Sens!$J$4389</f>
        <v>313.614775236231</v>
      </c>
      <c r="K4394" s="38" t="n">
        <f aca="false">Sens!$K$4375+Sens!$K$4389</f>
        <v>356.93133493493</v>
      </c>
      <c r="L4394" s="38" t="n">
        <f aca="false">Sens!$L$4375+Sens!$L$4389</f>
        <v>390.713082230944</v>
      </c>
      <c r="M4394" s="38" t="n">
        <f aca="false">Sens!$M$4375+Sens!$M$4389</f>
        <v>416.577209888783</v>
      </c>
      <c r="N4394" s="38" t="n">
        <f aca="false">Sens!$N$4375+Sens!$N$4389</f>
        <v>56.398</v>
      </c>
      <c r="O4394" s="38" t="n">
        <f aca="false">Sens!$O$4375+Sens!$O$4389</f>
        <v>65.437</v>
      </c>
    </row>
    <row r="4395" customFormat="false" ht="17.15" hidden="false" customHeight="false" outlineLevel="0" collapsed="false">
      <c r="A4395" s="1" t="s">
        <v>762</v>
      </c>
    </row>
    <row r="4396" customFormat="false" ht="15" hidden="false" customHeight="false" outlineLevel="0" collapsed="false">
      <c r="A4396" s="5" t="s">
        <v>551</v>
      </c>
      <c r="B4396" s="0" t="s">
        <v>86</v>
      </c>
      <c r="C4396" s="38" t="n">
        <f aca="false">Q!$D$34</f>
        <v>2.406</v>
      </c>
      <c r="D4396" s="38" t="n">
        <f aca="false">Q!$E$34</f>
        <v>2.274</v>
      </c>
      <c r="E4396" s="38" t="n">
        <f aca="false">Q!$P$34</f>
        <v>2.114</v>
      </c>
      <c r="F4396" s="38" t="n">
        <f aca="false">Sens!$F$4434</f>
        <v>3.24888962733561</v>
      </c>
      <c r="G4396" s="38" t="n">
        <f aca="false">Sens!$E$4396+Sens!$F$4396</f>
        <v>5.36288962733561</v>
      </c>
      <c r="H4396" s="38" t="n">
        <f aca="false">Sens!$H$4434</f>
        <v>7.42354172302123</v>
      </c>
      <c r="I4396" s="38" t="n">
        <f aca="false">Sens!$I$4434</f>
        <v>7.8609835765306</v>
      </c>
      <c r="J4396" s="38" t="n">
        <f aca="false">Sens!$J$4434</f>
        <v>8.87295754713395</v>
      </c>
      <c r="K4396" s="38" t="n">
        <f aca="false">Sens!$K$4434</f>
        <v>8.87295754713395</v>
      </c>
      <c r="L4396" s="38" t="n">
        <f aca="false">Sens!$L$4434</f>
        <v>8.87295754713395</v>
      </c>
      <c r="M4396" s="38" t="n">
        <f aca="false">Sens!$M$4434</f>
        <v>8.87295754713395</v>
      </c>
      <c r="N4396" s="38" t="n">
        <f aca="false">Q!$N$34</f>
        <v>1.057</v>
      </c>
      <c r="O4396" s="38" t="n">
        <f aca="false">Q!$O$34</f>
        <v>1.217</v>
      </c>
    </row>
    <row r="4397" customFormat="false" ht="15" hidden="false" customHeight="false" outlineLevel="0" collapsed="false">
      <c r="A4397" s="5" t="s">
        <v>763</v>
      </c>
      <c r="B4397" s="0" t="s">
        <v>86</v>
      </c>
      <c r="F4397" s="38" t="n">
        <f aca="false">Sens!$F$4435</f>
        <v>2.59</v>
      </c>
      <c r="H4397" s="38" t="n">
        <f aca="false">Sens!$H$4435</f>
        <v>4.1153774832261</v>
      </c>
      <c r="I4397" s="38" t="n">
        <f aca="false">Sens!$I$4435</f>
        <v>2.10589651022864</v>
      </c>
      <c r="J4397" s="38" t="n">
        <f aca="false">Sens!$J$4435</f>
        <v>2.10589651022864</v>
      </c>
      <c r="K4397" s="38" t="n">
        <f aca="false">Sens!$K$4435</f>
        <v>3.07902829261475</v>
      </c>
      <c r="L4397" s="38" t="n">
        <f aca="false">Sens!$L$4435</f>
        <v>8.04220315569854</v>
      </c>
      <c r="M4397" s="38" t="n">
        <f aca="false">Sens!$M$4435</f>
        <v>15.3871461355295</v>
      </c>
    </row>
    <row r="4398" customFormat="false" ht="17.15" hidden="false" customHeight="false" outlineLevel="0" collapsed="false">
      <c r="A4398" s="5" t="s">
        <v>764</v>
      </c>
      <c r="B4398" s="0" t="s">
        <v>86</v>
      </c>
      <c r="C4398" s="38" t="n">
        <f aca="false">Q!$D$39</f>
        <v>2.427</v>
      </c>
      <c r="D4398" s="38" t="n">
        <f aca="false">Q!$E$39</f>
        <v>19.61</v>
      </c>
      <c r="E4398" s="38" t="n">
        <f aca="false">Q!$P$39</f>
        <v>71.492</v>
      </c>
      <c r="F4398" s="39" t="n">
        <v>0</v>
      </c>
      <c r="G4398" s="38" t="n">
        <f aca="false">Sens!$E$4398+Sens!$F$4398</f>
        <v>71.492</v>
      </c>
      <c r="H4398" s="39" t="n">
        <v>0</v>
      </c>
      <c r="I4398" s="39" t="n">
        <v>0</v>
      </c>
      <c r="J4398" s="39" t="n">
        <v>0</v>
      </c>
      <c r="K4398" s="39" t="n">
        <v>0</v>
      </c>
      <c r="L4398" s="39" t="n">
        <v>0</v>
      </c>
      <c r="M4398" s="39" t="n">
        <v>0</v>
      </c>
      <c r="N4398" s="38" t="n">
        <f aca="false">Q!$N$39</f>
        <v>6.017</v>
      </c>
      <c r="O4398" s="38" t="n">
        <f aca="false">Q!$O$39</f>
        <v>13.593</v>
      </c>
      <c r="P4398" s="5" t="s">
        <v>765</v>
      </c>
    </row>
    <row r="4399" customFormat="false" ht="15" hidden="false" customHeight="false" outlineLevel="0" collapsed="false">
      <c r="A4399" s="5" t="s">
        <v>554</v>
      </c>
      <c r="B4399" s="0" t="s">
        <v>86</v>
      </c>
      <c r="C4399" s="38" t="n">
        <f aca="false">Q!$D$36</f>
        <v>68.614</v>
      </c>
      <c r="D4399" s="38" t="n">
        <f aca="false">Q!$E$36</f>
        <v>97.311</v>
      </c>
      <c r="E4399" s="38" t="n">
        <f aca="false">Q!$P$36</f>
        <v>120.691</v>
      </c>
      <c r="F4399" s="38" t="n">
        <f aca="false">Sens!$F$4375-Sens!$F$4396+Sens!$F$4397+Sens!$F$4398</f>
        <v>55.7063670713938</v>
      </c>
      <c r="G4399" s="38" t="n">
        <f aca="false">Sens!$E$4399+Sens!$F$4399</f>
        <v>176.397367071394</v>
      </c>
      <c r="H4399" s="38" t="n">
        <f aca="false">Sens!$H$4375-Sens!$H$4396+Sens!$H$4397+Sens!$H$4398</f>
        <v>125.895258047992</v>
      </c>
      <c r="I4399" s="38" t="n">
        <f aca="false">Sens!$I$4375-Sens!$I$4396+Sens!$I$4397+Sens!$I$4398</f>
        <v>138.48159863094</v>
      </c>
      <c r="J4399" s="38" t="n">
        <f aca="false">Sens!$J$4375-Sens!$J$4396+Sens!$J$4397+Sens!$J$4398</f>
        <v>154.551734711643</v>
      </c>
      <c r="K4399" s="38" t="n">
        <f aca="false">Sens!$K$4375-Sens!$K$4396+Sens!$K$4397+Sens!$K$4398</f>
        <v>165.066788901005</v>
      </c>
      <c r="L4399" s="38" t="n">
        <f aca="false">Sens!$L$4375-Sens!$L$4396+Sens!$L$4397+Sens!$L$4398</f>
        <v>178.448006731614</v>
      </c>
      <c r="M4399" s="38" t="n">
        <f aca="false">Sens!$M$4375-Sens!$M$4396+Sens!$M$4397+Sens!$M$4398</f>
        <v>194.769093143862</v>
      </c>
      <c r="N4399" s="38" t="n">
        <f aca="false">Q!$N$36</f>
        <v>42.536</v>
      </c>
      <c r="O4399" s="38" t="n">
        <f aca="false">Q!$O$36</f>
        <v>54.775</v>
      </c>
    </row>
    <row r="4400" customFormat="false" ht="15" hidden="false" customHeight="false" outlineLevel="0" collapsed="false">
      <c r="A4400" s="5" t="s">
        <v>555</v>
      </c>
      <c r="B4400" s="0" t="s">
        <v>86</v>
      </c>
      <c r="C4400" s="38" t="n">
        <f aca="false">Q!$D$37</f>
        <v>9.265</v>
      </c>
      <c r="D4400" s="38" t="n">
        <f aca="false">Q!$E$37</f>
        <v>19.087</v>
      </c>
      <c r="E4400" s="38" t="n">
        <f aca="false">Q!$P$37</f>
        <v>27.759</v>
      </c>
      <c r="F4400" s="38" t="n">
        <f aca="false">Sens!$F$4399*tax</f>
        <v>9.669763357865</v>
      </c>
      <c r="G4400" s="38" t="n">
        <f aca="false">Sens!$E$4400+Sens!$F$4400</f>
        <v>37.428763357865</v>
      </c>
      <c r="H4400" s="38" t="n">
        <f aca="false">Sens!$H$4399*tax</f>
        <v>21.8534687720926</v>
      </c>
      <c r="I4400" s="38" t="n">
        <f aca="false">Sens!$I$4399*tax</f>
        <v>24.0382627440745</v>
      </c>
      <c r="J4400" s="38" t="n">
        <f aca="false">Sens!$J$4399*tax</f>
        <v>26.8277897083789</v>
      </c>
      <c r="K4400" s="38" t="n">
        <f aca="false">Sens!$K$4399*tax</f>
        <v>28.6530404122338</v>
      </c>
      <c r="L4400" s="38" t="n">
        <f aca="false">Sens!$L$4399*tax</f>
        <v>30.9758127749728</v>
      </c>
      <c r="M4400" s="38" t="n">
        <f aca="false">Sens!$M$4399*tax</f>
        <v>33.8089008337838</v>
      </c>
      <c r="N4400" s="38" t="n">
        <f aca="false">Q!$N$37</f>
        <v>7.231</v>
      </c>
      <c r="O4400" s="38" t="n">
        <f aca="false">Q!$O$37</f>
        <v>11.856</v>
      </c>
    </row>
    <row r="4401" customFormat="false" ht="15" hidden="false" customHeight="false" outlineLevel="0" collapsed="false">
      <c r="A4401" s="3" t="s">
        <v>556</v>
      </c>
      <c r="B4401" s="8" t="s">
        <v>86</v>
      </c>
      <c r="C4401" s="38" t="n">
        <f aca="false">Q!$D$38</f>
        <v>59.248</v>
      </c>
      <c r="D4401" s="38" t="n">
        <f aca="false">Q!$E$38</f>
        <v>77.67</v>
      </c>
      <c r="E4401" s="38" t="n">
        <f aca="false">Q!$P$38</f>
        <v>92.902</v>
      </c>
      <c r="F4401" s="38" t="n">
        <f aca="false">Sens!$F$4399-Sens!$F$4400</f>
        <v>46.0366037135288</v>
      </c>
      <c r="G4401" s="38" t="n">
        <f aca="false">Sens!$E$4401+Sens!$F$4401</f>
        <v>138.938603713529</v>
      </c>
      <c r="H4401" s="38" t="n">
        <f aca="false">Sens!$H$4399-Sens!$H$4400</f>
        <v>104.0417892759</v>
      </c>
      <c r="I4401" s="38" t="n">
        <f aca="false">Sens!$I$4399-Sens!$I$4400</f>
        <v>114.443335886865</v>
      </c>
      <c r="J4401" s="38" t="n">
        <f aca="false">Sens!$J$4399-Sens!$J$4400</f>
        <v>127.723945003264</v>
      </c>
      <c r="K4401" s="38" t="n">
        <f aca="false">Sens!$K$4399-Sens!$K$4400</f>
        <v>136.413748488771</v>
      </c>
      <c r="L4401" s="38" t="n">
        <f aca="false">Sens!$L$4399-Sens!$L$4400</f>
        <v>147.472193956641</v>
      </c>
      <c r="M4401" s="38" t="n">
        <f aca="false">Sens!$M$4399-Sens!$M$4400</f>
        <v>160.960192310078</v>
      </c>
      <c r="N4401" s="38" t="n">
        <f aca="false">Q!$N$38</f>
        <v>35.291</v>
      </c>
      <c r="O4401" s="38" t="n">
        <f aca="false">Q!$O$38</f>
        <v>42.379</v>
      </c>
    </row>
    <row r="4402" customFormat="false" ht="17.15" hidden="false" customHeight="false" outlineLevel="0" collapsed="false">
      <c r="A4402" s="5" t="s">
        <v>559</v>
      </c>
      <c r="B4402" s="5" t="s">
        <v>33</v>
      </c>
      <c r="C4402" s="22" t="n">
        <f aca="false">Q!$D$41</f>
        <v>10.721</v>
      </c>
      <c r="D4402" s="22" t="n">
        <f aca="false">Q!$E$41</f>
        <v>10.827</v>
      </c>
      <c r="E4402" s="22" t="n">
        <f aca="false">(Q!$L$41+Q!$M$41)/2</f>
        <v>10.8885</v>
      </c>
      <c r="F4402" s="22" t="n">
        <f aca="false">Sens!$G$4402</f>
        <v>10.924806</v>
      </c>
      <c r="G4402" s="22" t="n">
        <f aca="false">Q!$M$41*(1+sh_g*0.25)</f>
        <v>10.924806</v>
      </c>
      <c r="H4402" s="22" t="n">
        <f aca="false">Sens!$G$4402*(1+sh_g)</f>
        <v>11.012204448</v>
      </c>
      <c r="I4402" s="22" t="n">
        <f aca="false">Sens!$H$4402*(1+sh_g)</f>
        <v>11.100302083584</v>
      </c>
      <c r="J4402" s="22" t="n">
        <f aca="false">Sens!$I$4402*(1+sh_g)</f>
        <v>11.1891045002527</v>
      </c>
      <c r="K4402" s="22" t="n">
        <f aca="false">Sens!$J$4402*(1+sh_g)</f>
        <v>11.2786173362547</v>
      </c>
      <c r="L4402" s="22" t="n">
        <f aca="false">Sens!$K$4402*(1+sh_g)</f>
        <v>11.3688462749447</v>
      </c>
      <c r="M4402" s="22" t="n">
        <f aca="false">Sens!$L$4402*(1+sh_g)</f>
        <v>11.4597970451443</v>
      </c>
      <c r="P4402" s="5" t="s">
        <v>766</v>
      </c>
    </row>
    <row r="4403" customFormat="false" ht="17.15" hidden="false" customHeight="false" outlineLevel="0" collapsed="false">
      <c r="A4403" s="5" t="s">
        <v>767</v>
      </c>
      <c r="B4403" s="0" t="s">
        <v>86</v>
      </c>
      <c r="C4403" s="38" t="n">
        <f aca="false">Sens!$C$4401+Sens!$C$4377*(1-tax)</f>
        <v>59.248</v>
      </c>
      <c r="D4403" s="38" t="n">
        <f aca="false">Sens!$D$4401+Sens!$D$4377*(1-tax)</f>
        <v>77.67</v>
      </c>
      <c r="E4403" s="38" t="n">
        <f aca="false">Sens!$E$4401+Sens!$E$4377*(1-tax)</f>
        <v>92.902</v>
      </c>
      <c r="F4403" s="38" t="n">
        <f aca="false">Sens!$F$4401+Sens!$F$4377*(1-tax)</f>
        <v>49.1531986731775</v>
      </c>
      <c r="G4403" s="38" t="n">
        <f aca="false">Sens!$G$4401+Sens!$G$4377*(1-tax)</f>
        <v>142.055198673178</v>
      </c>
      <c r="H4403" s="38" t="n">
        <f aca="false">Sens!$H$4401+Sens!$H$4377*(1-tax)</f>
        <v>116.573185231244</v>
      </c>
      <c r="I4403" s="38" t="n">
        <f aca="false">Sens!$I$4401+Sens!$I$4377*(1-tax)</f>
        <v>135.584600961804</v>
      </c>
      <c r="J4403" s="38" t="n">
        <f aca="false">Sens!$J$4401+Sens!$J$4377*(1-tax)</f>
        <v>157.513381947547</v>
      </c>
      <c r="K4403" s="38" t="n">
        <f aca="false">Sens!$K$4401+Sens!$K$4377*(1-tax)</f>
        <v>173.58105418543</v>
      </c>
      <c r="L4403" s="38" t="n">
        <f aca="false">Sens!$L$4401+Sens!$L$4377*(1-tax)</f>
        <v>189.488271297196</v>
      </c>
      <c r="M4403" s="38" t="n">
        <f aca="false">Sens!$M$4401+Sens!$M$4377*(1-tax)</f>
        <v>205.289714500919</v>
      </c>
      <c r="N4403" s="38" t="n">
        <f aca="false">Sens!$N$4401+Sens!$N$4377*(1-tax)</f>
        <v>35.291</v>
      </c>
      <c r="O4403" s="38" t="n">
        <f aca="false">Sens!$O$4401+Sens!$O$4377*(1-tax)</f>
        <v>42.379</v>
      </c>
    </row>
    <row r="4404" customFormat="false" ht="17.15" hidden="false" customHeight="false" outlineLevel="0" collapsed="false">
      <c r="A4404" s="43" t="s">
        <v>768</v>
      </c>
      <c r="B4404" s="14" t="s">
        <v>27</v>
      </c>
      <c r="C4404" s="44" t="n">
        <f aca="false">Sens!$C$4403/Sens!$C$4402</f>
        <v>5.52635015390355</v>
      </c>
      <c r="D4404" s="44" t="n">
        <f aca="false">Sens!$D$4403/Sens!$D$4402</f>
        <v>7.1737323358271</v>
      </c>
      <c r="E4404" s="44" t="n">
        <f aca="false">Sens!$E$4403/Sens!$E$4402</f>
        <v>8.53212104513937</v>
      </c>
      <c r="F4404" s="14"/>
      <c r="G4404" s="44" t="n">
        <f aca="false">Sens!$G$4403/Sens!$G$4402</f>
        <v>13.0029950804781</v>
      </c>
      <c r="H4404" s="44" t="n">
        <f aca="false">Sens!$H$4403/Sens!$H$4402</f>
        <v>10.5858173794091</v>
      </c>
      <c r="I4404" s="44" t="n">
        <f aca="false">Sens!$I$4403/Sens!$I$4402</f>
        <v>12.2144965011644</v>
      </c>
      <c r="J4404" s="44" t="n">
        <f aca="false">Sens!$J$4403/Sens!$J$4402</f>
        <v>14.0773894768782</v>
      </c>
      <c r="K4404" s="44" t="n">
        <f aca="false">Sens!$K$4403/Sens!$K$4402</f>
        <v>15.3902778160103</v>
      </c>
      <c r="L4404" s="44" t="n">
        <f aca="false">Sens!$L$4403/Sens!$L$4402</f>
        <v>16.6673263684461</v>
      </c>
      <c r="M4404" s="44" t="n">
        <f aca="false">Sens!$M$4403/Sens!$M$4402</f>
        <v>17.9139049053145</v>
      </c>
      <c r="N4404" s="14"/>
      <c r="O4404" s="14"/>
    </row>
    <row r="4405" customFormat="false" ht="17.15" hidden="false" customHeight="false" outlineLevel="0" collapsed="false">
      <c r="A4405" s="0" t="s">
        <v>769</v>
      </c>
      <c r="B4405" s="0" t="s">
        <v>27</v>
      </c>
      <c r="C4405" s="30" t="n">
        <f aca="false">Sens!$C$4401/Sens!$C$4402</f>
        <v>5.52635015390355</v>
      </c>
      <c r="D4405" s="30" t="n">
        <f aca="false">Sens!$D$4401/Sens!$D$4402</f>
        <v>7.1737323358271</v>
      </c>
      <c r="E4405" s="30" t="n">
        <f aca="false">Sens!$E$4401/Sens!$E$4402</f>
        <v>8.53212104513937</v>
      </c>
      <c r="G4405" s="30" t="n">
        <f aca="false">Sens!$G$4401/Sens!$G$4402</f>
        <v>12.7177181648378</v>
      </c>
      <c r="H4405" s="30" t="n">
        <f aca="false">Sens!$H$4401/Sens!$H$4402</f>
        <v>9.44786212126631</v>
      </c>
      <c r="I4405" s="30" t="n">
        <f aca="false">Sens!$I$4401/Sens!$I$4402</f>
        <v>10.3099298582255</v>
      </c>
      <c r="J4405" s="30" t="n">
        <f aca="false">Sens!$J$4401/Sens!$J$4402</f>
        <v>11.4150283430081</v>
      </c>
      <c r="K4405" s="30" t="n">
        <f aca="false">Sens!$K$4401/Sens!$K$4402</f>
        <v>12.0948999706085</v>
      </c>
      <c r="L4405" s="30" t="n">
        <f aca="false">Sens!$L$4401/Sens!$L$4402</f>
        <v>12.9716059475312</v>
      </c>
      <c r="M4405" s="30" t="n">
        <f aca="false">Sens!$M$4401/Sens!$M$4402</f>
        <v>14.045640745294</v>
      </c>
    </row>
    <row r="4406" customFormat="false" ht="17.15" hidden="false" customHeight="false" outlineLevel="0" collapsed="false">
      <c r="A4406" s="0" t="s">
        <v>770</v>
      </c>
      <c r="B4406" s="0" t="s">
        <v>27</v>
      </c>
      <c r="C4406" s="30" t="n">
        <f aca="false">(Sens!$C$4401-Sens!$C$4398*(1-tax))/Sens!$C$4402</f>
        <v>5.33926775917445</v>
      </c>
      <c r="D4406" s="30" t="n">
        <f aca="false">(Sens!$D$4401-Sens!$D$4398*(1-tax))/Sens!$D$4402</f>
        <v>5.67691812755503</v>
      </c>
      <c r="E4406" s="30" t="n">
        <f aca="false">(Sens!$E$4401-Sens!$E$4398*(1-tax))/Sens!$E$4402</f>
        <v>3.10602057006846</v>
      </c>
      <c r="G4406" s="30" t="n">
        <f aca="false">(Sens!$G$4401-Sens!$G$4398*(1-tax))/Sens!$G$4402</f>
        <v>7.30965004694081</v>
      </c>
      <c r="H4406" s="30" t="n">
        <f aca="false">(Sens!$H$4401-Sens!$H$4398*(1-tax))/Sens!$H$4402</f>
        <v>9.44786212126631</v>
      </c>
      <c r="I4406" s="30" t="n">
        <f aca="false">(Sens!$I$4401-Sens!$I$4398*(1-tax))/Sens!$I$4402</f>
        <v>10.3099298582255</v>
      </c>
      <c r="J4406" s="30" t="n">
        <f aca="false">(Sens!$J$4401-Sens!$J$4398*(1-tax))/Sens!$J$4402</f>
        <v>11.4150283430081</v>
      </c>
      <c r="K4406" s="30" t="n">
        <f aca="false">(Sens!$K$4401-Sens!$K$4398*(1-tax))/Sens!$K$4402</f>
        <v>12.0948999706085</v>
      </c>
      <c r="L4406" s="30" t="n">
        <f aca="false">(Sens!$L$4401-Sens!$L$4398*(1-tax))/Sens!$L$4402</f>
        <v>12.9716059475312</v>
      </c>
      <c r="M4406" s="30" t="n">
        <f aca="false">(Sens!$M$4401-Sens!$M$4398*(1-tax))/Sens!$M$4402</f>
        <v>14.045640745294</v>
      </c>
      <c r="P4406" s="5" t="s">
        <v>771</v>
      </c>
    </row>
    <row r="4407" customFormat="false" ht="17.15" hidden="false" customHeight="false" outlineLevel="0" collapsed="false">
      <c r="A4407" s="0" t="s">
        <v>772</v>
      </c>
      <c r="B4407" s="0" t="s">
        <v>52</v>
      </c>
      <c r="H4407" s="13" t="n">
        <f aca="false">Sens!$H$4404/Sens!$G$4404-1</f>
        <v>-0.185893917986481</v>
      </c>
      <c r="I4407" s="13" t="n">
        <f aca="false">Sens!$I$4404/Sens!$H$4404-1</f>
        <v>0.153854828907525</v>
      </c>
      <c r="J4407" s="13" t="n">
        <f aca="false">Sens!$J$4404/Sens!$I$4404-1</f>
        <v>0.152514921555404</v>
      </c>
      <c r="K4407" s="13" t="n">
        <f aca="false">Sens!$K$4404/Sens!$J$4404-1</f>
        <v>0.0932622018655194</v>
      </c>
      <c r="L4407" s="13" t="n">
        <f aca="false">Sens!$L$4404/Sens!$K$4404-1</f>
        <v>0.082977615329803</v>
      </c>
      <c r="M4407" s="13" t="n">
        <f aca="false">Sens!$M$4404/Sens!$L$4404-1</f>
        <v>0.074791751797002</v>
      </c>
    </row>
    <row r="4410" customFormat="false" ht="19.4" hidden="false" customHeight="false" outlineLevel="0" collapsed="false">
      <c r="A4410" s="31" t="s">
        <v>1240</v>
      </c>
    </row>
    <row r="4411" customFormat="false" ht="17.15" hidden="false" customHeight="false" outlineLevel="0" collapsed="false">
      <c r="A4411" s="6" t="s">
        <v>16</v>
      </c>
      <c r="B4411" s="6" t="s">
        <v>17</v>
      </c>
      <c r="C4411" s="20" t="s">
        <v>504</v>
      </c>
      <c r="D4411" s="20" t="s">
        <v>505</v>
      </c>
      <c r="E4411" s="20" t="s">
        <v>587</v>
      </c>
      <c r="F4411" s="20" t="s">
        <v>588</v>
      </c>
      <c r="G4411" s="20" t="s">
        <v>589</v>
      </c>
      <c r="H4411" s="20" t="s">
        <v>590</v>
      </c>
      <c r="I4411" s="20" t="s">
        <v>591</v>
      </c>
      <c r="J4411" s="20" t="s">
        <v>592</v>
      </c>
      <c r="K4411" s="20" t="s">
        <v>593</v>
      </c>
      <c r="L4411" s="20" t="s">
        <v>594</v>
      </c>
      <c r="M4411" s="20" t="s">
        <v>595</v>
      </c>
      <c r="N4411" s="20" t="s">
        <v>596</v>
      </c>
      <c r="O4411" s="20" t="s">
        <v>597</v>
      </c>
      <c r="P4411" s="6" t="s">
        <v>23</v>
      </c>
      <c r="R4411" s="20" t="n">
        <v>2023</v>
      </c>
      <c r="S4411" s="20" t="n">
        <v>2024</v>
      </c>
      <c r="T4411" s="20" t="n">
        <v>2025</v>
      </c>
      <c r="U4411" s="20" t="n">
        <v>2026</v>
      </c>
      <c r="V4411" s="20" t="n">
        <v>2027</v>
      </c>
      <c r="W4411" s="20" t="n">
        <v>2028</v>
      </c>
      <c r="X4411" s="20" t="n">
        <v>2029</v>
      </c>
      <c r="Y4411" s="20" t="n">
        <v>2030</v>
      </c>
      <c r="Z4411" s="20" t="n">
        <v>2031</v>
      </c>
      <c r="AA4411" s="20" t="n">
        <v>2032</v>
      </c>
    </row>
    <row r="4412" customFormat="false" ht="15" hidden="false" customHeight="false" outlineLevel="0" collapsed="false">
      <c r="A4412" s="5" t="s">
        <v>556</v>
      </c>
      <c r="B4412" s="0" t="s">
        <v>86</v>
      </c>
      <c r="C4412" s="38" t="n">
        <f aca="false">Sens!$C$4401</f>
        <v>59.248</v>
      </c>
      <c r="D4412" s="38" t="n">
        <f aca="false">Sens!$D$4401</f>
        <v>77.67</v>
      </c>
      <c r="E4412" s="38" t="n">
        <f aca="false">Sens!$E$4401</f>
        <v>92.902</v>
      </c>
      <c r="F4412" s="38" t="n">
        <f aca="false">Sens!$F$4401</f>
        <v>46.0366037135288</v>
      </c>
      <c r="G4412" s="38" t="n">
        <f aca="false">Sens!$G$4401</f>
        <v>138.938603713529</v>
      </c>
      <c r="H4412" s="38" t="n">
        <f aca="false">Sens!$H$4401</f>
        <v>104.0417892759</v>
      </c>
      <c r="I4412" s="38" t="n">
        <f aca="false">Sens!$I$4401</f>
        <v>114.443335886865</v>
      </c>
      <c r="J4412" s="38" t="n">
        <f aca="false">Sens!$J$4401</f>
        <v>127.723945003264</v>
      </c>
      <c r="K4412" s="38" t="n">
        <f aca="false">Sens!$K$4401</f>
        <v>136.413748488771</v>
      </c>
      <c r="L4412" s="38" t="n">
        <f aca="false">Sens!$L$4401</f>
        <v>147.472193956641</v>
      </c>
      <c r="M4412" s="38" t="n">
        <f aca="false">Sens!$M$4401</f>
        <v>160.960192310078</v>
      </c>
    </row>
    <row r="4413" customFormat="false" ht="17.15" hidden="false" customHeight="false" outlineLevel="0" collapsed="false">
      <c r="A4413" s="5" t="s">
        <v>795</v>
      </c>
      <c r="B4413" s="0" t="s">
        <v>86</v>
      </c>
      <c r="C4413" s="38" t="n">
        <f aca="false">Sens!$C$4389</f>
        <v>32.067</v>
      </c>
      <c r="D4413" s="38" t="n">
        <f aca="false">Sens!$D$4389</f>
        <v>41.86</v>
      </c>
      <c r="E4413" s="38" t="n">
        <f aca="false">Sens!$E$4389</f>
        <v>26.703</v>
      </c>
      <c r="F4413" s="38" t="n">
        <f aca="false">Sens!$F$4389</f>
        <v>29.152860869477</v>
      </c>
      <c r="G4413" s="38" t="n">
        <f aca="false">Sens!$G$4389</f>
        <v>55.855860869477</v>
      </c>
      <c r="H4413" s="38" t="n">
        <f aca="false">Sens!$H$4389</f>
        <v>81.5405359711439</v>
      </c>
      <c r="I4413" s="38" t="n">
        <f aca="false">Sens!$I$4389</f>
        <v>118.680571890744</v>
      </c>
      <c r="J4413" s="38" t="n">
        <f aca="false">Sens!$J$4389</f>
        <v>152.295979487683</v>
      </c>
      <c r="K4413" s="38" t="n">
        <f aca="false">Sens!$K$4389</f>
        <v>186.070616779406</v>
      </c>
      <c r="L4413" s="38" t="n">
        <f aca="false">Sens!$L$4389</f>
        <v>211.434321107895</v>
      </c>
      <c r="M4413" s="38" t="n">
        <f aca="false">Sens!$M$4389</f>
        <v>228.322305333316</v>
      </c>
    </row>
    <row r="4414" customFormat="false" ht="15" hidden="false" customHeight="false" outlineLevel="0" collapsed="false">
      <c r="A4414" s="5" t="s">
        <v>796</v>
      </c>
      <c r="B4414" s="0" t="s">
        <v>86</v>
      </c>
      <c r="C4414" s="38" t="n">
        <f aca="false">Q!$D$48</f>
        <v>22.011</v>
      </c>
      <c r="D4414" s="38" t="n">
        <f aca="false">Q!$E$48</f>
        <v>19.467</v>
      </c>
      <c r="E4414" s="38" t="n">
        <f aca="false">Q!$P$48</f>
        <v>10.07</v>
      </c>
      <c r="F4414" s="38" t="n">
        <f aca="false">sbc_r*Sens!$F$4331</f>
        <v>10.8507035798037</v>
      </c>
      <c r="G4414" s="38" t="n">
        <f aca="false">Sens!$E$4414+Sens!$F$4414</f>
        <v>20.9207035798037</v>
      </c>
      <c r="H4414" s="38" t="n">
        <f aca="false">sbc_r*Sens!$H$4331</f>
        <v>23.4467046888059</v>
      </c>
      <c r="I4414" s="38" t="n">
        <f aca="false">sbc_r*Sens!$I$4331</f>
        <v>26.5573836171151</v>
      </c>
      <c r="J4414" s="38" t="n">
        <f aca="false">sbc_r*Sens!$J$4331</f>
        <v>29.5014243374332</v>
      </c>
      <c r="K4414" s="38" t="n">
        <f aca="false">sbc_r*Sens!$K$4331</f>
        <v>32.0369911282419</v>
      </c>
      <c r="L4414" s="38" t="n">
        <f aca="false">sbc_r*Sens!$L$4331</f>
        <v>34.3798349496081</v>
      </c>
      <c r="M4414" s="38" t="n">
        <f aca="false">sbc_r*Sens!$M$4331</f>
        <v>36.5367112574061</v>
      </c>
    </row>
    <row r="4415" customFormat="false" ht="17.15" hidden="false" customHeight="false" outlineLevel="0" collapsed="false">
      <c r="A4415" s="5" t="s">
        <v>797</v>
      </c>
      <c r="B4415" s="0" t="s">
        <v>86</v>
      </c>
      <c r="C4415" s="38" t="n">
        <f aca="false">Q!$D$44-Sens!$C$4412-Sens!$C$4413-Sens!$C$4414</f>
        <v>2.551</v>
      </c>
      <c r="D4415" s="38" t="n">
        <f aca="false">Q!$E$44-Sens!$D$4412-Sens!$D$4413-Sens!$D$4414</f>
        <v>0.51700000000001</v>
      </c>
      <c r="E4415" s="38" t="n">
        <f aca="false">Q!$P$44-Sens!$E$4412-Sens!$E$4413-Sens!$E$4414</f>
        <v>-58.256</v>
      </c>
      <c r="F4415" s="38" t="n">
        <f aca="false">oth_r*Sens!$F$4331</f>
        <v>5.22265251035878</v>
      </c>
      <c r="G4415" s="38" t="n">
        <f aca="false">Sens!$E$4415+Sens!$F$4415</f>
        <v>-53.0333474896412</v>
      </c>
      <c r="H4415" s="38" t="n">
        <f aca="false">oth_r*Sens!$H$4331</f>
        <v>11.2853503187163</v>
      </c>
      <c r="I4415" s="38" t="n">
        <f aca="false">oth_r*Sens!$I$4331</f>
        <v>12.7825799678694</v>
      </c>
      <c r="J4415" s="38" t="n">
        <f aca="false">oth_r*Sens!$J$4331</f>
        <v>14.1996034397101</v>
      </c>
      <c r="K4415" s="38" t="n">
        <f aca="false">oth_r*Sens!$K$4331</f>
        <v>15.4200205461038</v>
      </c>
      <c r="L4415" s="38" t="n">
        <f aca="false">oth_r*Sens!$L$4331</f>
        <v>16.5476763773635</v>
      </c>
      <c r="M4415" s="38" t="n">
        <f aca="false">oth_r*Sens!$M$4331</f>
        <v>17.5858224644451</v>
      </c>
      <c r="P4415" s="8" t="s">
        <v>798</v>
      </c>
    </row>
    <row r="4416" customFormat="false" ht="15" hidden="false" customHeight="false" outlineLevel="0" collapsed="false">
      <c r="A4416" s="3" t="s">
        <v>562</v>
      </c>
      <c r="B4416" s="8" t="s">
        <v>86</v>
      </c>
      <c r="C4416" s="38" t="n">
        <f aca="false">Q!$D$44</f>
        <v>115.877</v>
      </c>
      <c r="D4416" s="38" t="n">
        <f aca="false">Q!$E$44</f>
        <v>139.514</v>
      </c>
      <c r="E4416" s="38" t="n">
        <f aca="false">Q!$P$44</f>
        <v>71.419</v>
      </c>
      <c r="F4416" s="38" t="n">
        <f aca="false">Sens!$F$4412+Sens!$F$4413+Sens!$F$4414+Sens!$F$4415</f>
        <v>91.2628206731683</v>
      </c>
      <c r="G4416" s="38" t="n">
        <f aca="false">Sens!$E$4416+Sens!$F$4416</f>
        <v>162.681820673168</v>
      </c>
      <c r="H4416" s="38" t="n">
        <f aca="false">Sens!$H$4412+Sens!$H$4413+Sens!$H$4414+Sens!$H$4415</f>
        <v>220.314380254566</v>
      </c>
      <c r="I4416" s="38" t="n">
        <f aca="false">Sens!$I$4412+Sens!$I$4413+Sens!$I$4414+Sens!$I$4415</f>
        <v>272.463871362593</v>
      </c>
      <c r="J4416" s="38" t="n">
        <f aca="false">Sens!$J$4412+Sens!$J$4413+Sens!$J$4414+Sens!$J$4415</f>
        <v>323.72095226809</v>
      </c>
      <c r="K4416" s="38" t="n">
        <f aca="false">Sens!$K$4412+Sens!$K$4413+Sens!$K$4414+Sens!$K$4415</f>
        <v>369.941376942523</v>
      </c>
      <c r="L4416" s="38" t="n">
        <f aca="false">Sens!$L$4412+Sens!$L$4413+Sens!$L$4414+Sens!$L$4415</f>
        <v>409.834026391507</v>
      </c>
      <c r="M4416" s="38" t="n">
        <f aca="false">Sens!$M$4412+Sens!$M$4413+Sens!$M$4414+Sens!$M$4415</f>
        <v>443.405031365246</v>
      </c>
    </row>
    <row r="4417" customFormat="false" ht="17.15" hidden="false" customHeight="false" outlineLevel="0" collapsed="false">
      <c r="A4417" s="5" t="s">
        <v>799</v>
      </c>
      <c r="B4417" s="0" t="s">
        <v>86</v>
      </c>
      <c r="C4417" s="38" t="n">
        <f aca="false">Sens!$C$4295</f>
        <v>25.2781053077374</v>
      </c>
      <c r="D4417" s="38" t="n">
        <f aca="false">Sens!$D$4295</f>
        <v>69.5686316310026</v>
      </c>
      <c r="E4417" s="38" t="n">
        <f aca="false">Sens!$E$4295</f>
        <v>64.1899206485108</v>
      </c>
      <c r="F4417" s="38" t="n">
        <f aca="false">Sens!$F$4295</f>
        <v>88.7165504612134</v>
      </c>
      <c r="G4417" s="38" t="n">
        <f aca="false">Sens!$G$4295</f>
        <v>152.906471109724</v>
      </c>
      <c r="H4417" s="38" t="n">
        <f aca="false">Sens!$H$4295</f>
        <v>198.57136494475</v>
      </c>
      <c r="I4417" s="38" t="n">
        <f aca="false">Sens!$I$4295</f>
        <v>204.6464699105</v>
      </c>
      <c r="J4417" s="38" t="n">
        <f aca="false">Sens!$J$4295</f>
        <v>209.8832381105</v>
      </c>
      <c r="K4417" s="38" t="n">
        <f aca="false">Sens!$K$4295</f>
        <v>155.238385275201</v>
      </c>
      <c r="L4417" s="38" t="n">
        <f aca="false">Sens!$L$4295</f>
        <v>132.014141639902</v>
      </c>
      <c r="M4417" s="38" t="n">
        <f aca="false">Sens!$M$4295</f>
        <v>132.230981659852</v>
      </c>
    </row>
    <row r="4418" customFormat="false" ht="17.15" hidden="false" customHeight="false" outlineLevel="0" collapsed="false">
      <c r="A4418" s="5" t="s">
        <v>800</v>
      </c>
      <c r="B4418" s="0" t="s">
        <v>86</v>
      </c>
      <c r="C4418" s="38" t="n">
        <f aca="false">cx_awso*Sens!$C$4329</f>
        <v>21.0469989286053</v>
      </c>
      <c r="D4418" s="38" t="n">
        <f aca="false">cx_awso*Sens!$D$4329</f>
        <v>24.0042459822698</v>
      </c>
      <c r="E4418" s="38" t="n">
        <f aca="false">cx_awso*Sens!$E$4329</f>
        <v>14.261729404886</v>
      </c>
      <c r="F4418" s="38" t="n">
        <f aca="false">cx_awso*Sens!$F$4329</f>
        <v>14.3538599588493</v>
      </c>
      <c r="G4418" s="38" t="n">
        <f aca="false">Sens!$E$4418+Sens!$F$4418</f>
        <v>28.6155893637353</v>
      </c>
      <c r="H4418" s="38" t="n">
        <f aca="false">cx_awso*Sens!$H$4329</f>
        <v>32.2034154158406</v>
      </c>
      <c r="I4418" s="38" t="n">
        <f aca="false">cx_awso*Sens!$I$4329</f>
        <v>35.7539519042915</v>
      </c>
      <c r="J4418" s="38" t="n">
        <f aca="false">cx_awso*Sens!$J$4329</f>
        <v>39.1551076091815</v>
      </c>
      <c r="K4418" s="38" t="n">
        <f aca="false">cx_awso*Sens!$K$4329</f>
        <v>42.287516217916</v>
      </c>
      <c r="L4418" s="38" t="n">
        <f aca="false">cx_awso*Sens!$L$4329</f>
        <v>45.6705175153492</v>
      </c>
      <c r="M4418" s="38" t="n">
        <f aca="false">cx_awso*Sens!$M$4329</f>
        <v>49.3241589165772</v>
      </c>
    </row>
    <row r="4419" customFormat="false" ht="17.15" hidden="false" customHeight="false" outlineLevel="0" collapsed="false">
      <c r="A4419" s="5" t="s">
        <v>801</v>
      </c>
      <c r="B4419" s="0" t="s">
        <v>86</v>
      </c>
      <c r="C4419" s="38" t="n">
        <f aca="false">Q!$D$46-Sens!$C$4417-Sens!$C$4418</f>
        <v>31.3328957636573</v>
      </c>
      <c r="D4419" s="38" t="n">
        <f aca="false">Q!$E$46-Sens!$D$4417-Sens!$D$4418</f>
        <v>34.7471223867276</v>
      </c>
      <c r="E4419" s="38" t="n">
        <f aca="false">Q!$P$46-Sens!$E$4417-Sens!$E$4418</f>
        <v>17.8583499466032</v>
      </c>
      <c r="F4419" s="38" t="n">
        <f aca="false">cx_rt*Sens!$F$4258</f>
        <v>20.6195895799373</v>
      </c>
      <c r="G4419" s="38" t="n">
        <f aca="false">Sens!$E$4419+Sens!$F$4419</f>
        <v>38.4779395265405</v>
      </c>
      <c r="H4419" s="38" t="n">
        <f aca="false">cx_rt*Sens!$H$4258</f>
        <v>42.5610333666593</v>
      </c>
      <c r="I4419" s="38" t="n">
        <f aca="false">cx_rt*Sens!$I$4258</f>
        <v>46.4504001102556</v>
      </c>
      <c r="J4419" s="38" t="n">
        <f aca="false">cx_rt*Sens!$J$4258</f>
        <v>49.9776776580417</v>
      </c>
      <c r="K4419" s="38" t="n">
        <f aca="false">cx_rt*Sens!$K$4258</f>
        <v>52.9755237001879</v>
      </c>
      <c r="L4419" s="38" t="n">
        <f aca="false">cx_rt*Sens!$L$4258</f>
        <v>56.159435343698</v>
      </c>
      <c r="M4419" s="38" t="n">
        <f aca="false">cx_rt*Sens!$M$4258</f>
        <v>59.5412853780317</v>
      </c>
    </row>
    <row r="4420" customFormat="false" ht="15" hidden="false" customHeight="false" outlineLevel="0" collapsed="false">
      <c r="A4420" s="3" t="s">
        <v>802</v>
      </c>
      <c r="B4420" s="8" t="s">
        <v>86</v>
      </c>
      <c r="C4420" s="38" t="n">
        <f aca="false">Q!$D$46</f>
        <v>77.658</v>
      </c>
      <c r="D4420" s="38" t="n">
        <f aca="false">Q!$E$46</f>
        <v>128.32</v>
      </c>
      <c r="E4420" s="38" t="n">
        <f aca="false">Q!$P$46</f>
        <v>96.31</v>
      </c>
      <c r="F4420" s="38" t="n">
        <f aca="false">Sens!$F$4417+Sens!$F$4418+Sens!$F$4419</f>
        <v>123.69</v>
      </c>
      <c r="G4420" s="38" t="n">
        <f aca="false">Sens!$E$4420+Sens!$F$4420</f>
        <v>220</v>
      </c>
      <c r="H4420" s="38" t="n">
        <f aca="false">Sens!$H$4417+Sens!$H$4418+Sens!$H$4419</f>
        <v>273.33581372725</v>
      </c>
      <c r="I4420" s="38" t="n">
        <f aca="false">Sens!$I$4417+Sens!$I$4418+Sens!$I$4419</f>
        <v>286.850821925047</v>
      </c>
      <c r="J4420" s="38" t="n">
        <f aca="false">Sens!$J$4417+Sens!$J$4418+Sens!$J$4419</f>
        <v>299.016023377723</v>
      </c>
      <c r="K4420" s="38" t="n">
        <f aca="false">Sens!$K$4417+Sens!$K$4418+Sens!$K$4419</f>
        <v>250.501425193305</v>
      </c>
      <c r="L4420" s="38" t="n">
        <f aca="false">Sens!$L$4417+Sens!$L$4418+Sens!$L$4419</f>
        <v>233.844094498949</v>
      </c>
      <c r="M4420" s="38" t="n">
        <f aca="false">Sens!$M$4417+Sens!$M$4418+Sens!$M$4419</f>
        <v>241.096425954461</v>
      </c>
    </row>
    <row r="4421" customFormat="false" ht="17.15" hidden="false" customHeight="false" outlineLevel="0" collapsed="false">
      <c r="A4421" s="5" t="s">
        <v>570</v>
      </c>
      <c r="B4421" s="0" t="s">
        <v>86</v>
      </c>
      <c r="C4421" s="38" t="n">
        <f aca="false">Q!$D$50</f>
        <v>2.043</v>
      </c>
      <c r="D4421" s="38" t="n">
        <f aca="false">Q!$E$50</f>
        <v>1.557</v>
      </c>
      <c r="E4421" s="38" t="n">
        <f aca="false">lease_pr/2</f>
        <v>0.8</v>
      </c>
      <c r="F4421" s="38" t="n">
        <f aca="false">lease_pr/2</f>
        <v>0.8</v>
      </c>
      <c r="G4421" s="38" t="n">
        <f aca="false">Sens!$E$4421+Sens!$F$4421</f>
        <v>1.6</v>
      </c>
      <c r="H4421" s="38" t="n">
        <f aca="false">lease_pr</f>
        <v>1.6</v>
      </c>
      <c r="I4421" s="38" t="n">
        <f aca="false">lease_pr</f>
        <v>1.6</v>
      </c>
      <c r="J4421" s="38" t="n">
        <f aca="false">lease_pr</f>
        <v>1.6</v>
      </c>
      <c r="K4421" s="38" t="n">
        <f aca="false">lease_pr</f>
        <v>1.6</v>
      </c>
      <c r="L4421" s="38" t="n">
        <f aca="false">lease_pr</f>
        <v>1.6</v>
      </c>
      <c r="M4421" s="38" t="n">
        <f aca="false">lease_pr</f>
        <v>1.6</v>
      </c>
      <c r="P4421" s="8" t="s">
        <v>803</v>
      </c>
    </row>
    <row r="4422" customFormat="false" ht="15" hidden="false" customHeight="false" outlineLevel="0" collapsed="false">
      <c r="A4422" s="47" t="s">
        <v>804</v>
      </c>
      <c r="B4422" s="14" t="s">
        <v>86</v>
      </c>
      <c r="C4422" s="48" t="n">
        <f aca="false">Sens!$C$4416-Sens!$C$4420-Sens!$C$4421</f>
        <v>36.176</v>
      </c>
      <c r="D4422" s="48" t="n">
        <f aca="false">Sens!$D$4416-Sens!$D$4420-Sens!$D$4421</f>
        <v>9.63700000000002</v>
      </c>
      <c r="E4422" s="48" t="n">
        <f aca="false">Sens!$E$4416-Sens!$E$4420-Sens!$E$4421</f>
        <v>-25.691</v>
      </c>
      <c r="F4422" s="48" t="n">
        <f aca="false">Sens!$F$4416-Sens!$F$4420-Sens!$F$4421</f>
        <v>-33.2271793268317</v>
      </c>
      <c r="G4422" s="48" t="n">
        <f aca="false">Sens!$G$4416-Sens!$G$4420-Sens!$G$4421</f>
        <v>-58.9181793268317</v>
      </c>
      <c r="H4422" s="48" t="n">
        <f aca="false">Sens!$H$4416-Sens!$H$4420-Sens!$H$4421</f>
        <v>-54.6214334726845</v>
      </c>
      <c r="I4422" s="48" t="n">
        <f aca="false">Sens!$I$4416-Sens!$I$4420-Sens!$I$4421</f>
        <v>-15.986950562454</v>
      </c>
      <c r="J4422" s="48" t="n">
        <f aca="false">Sens!$J$4416-Sens!$J$4420-Sens!$J$4421</f>
        <v>23.1049288903673</v>
      </c>
      <c r="K4422" s="48" t="n">
        <f aca="false">Sens!$K$4416-Sens!$K$4420-Sens!$K$4421</f>
        <v>117.839951749218</v>
      </c>
      <c r="L4422" s="48" t="n">
        <f aca="false">Sens!$L$4416-Sens!$L$4420-Sens!$L$4421</f>
        <v>174.389931892558</v>
      </c>
      <c r="M4422" s="48" t="n">
        <f aca="false">Sens!$M$4416-Sens!$M$4420-Sens!$M$4421</f>
        <v>200.708605410785</v>
      </c>
      <c r="N4422" s="14"/>
      <c r="O4422" s="14"/>
    </row>
    <row r="4423" customFormat="false" ht="17.15" hidden="false" customHeight="false" outlineLevel="0" collapsed="false">
      <c r="A4423" s="5" t="s">
        <v>805</v>
      </c>
      <c r="B4423" s="0" t="s">
        <v>86</v>
      </c>
      <c r="C4423" s="38" t="n">
        <f aca="false">dps*Sens!$C$4402</f>
        <v>0</v>
      </c>
      <c r="D4423" s="38" t="n">
        <f aca="false">dps*Sens!$D$4402</f>
        <v>0</v>
      </c>
      <c r="E4423" s="38" t="n">
        <f aca="false">dps*Sens!$E$4402</f>
        <v>0</v>
      </c>
      <c r="F4423" s="38" t="n">
        <f aca="false">0</f>
        <v>0</v>
      </c>
      <c r="G4423" s="38" t="n">
        <f aca="false">dps*Sens!$G$4402</f>
        <v>0</v>
      </c>
      <c r="H4423" s="38" t="n">
        <f aca="false">dps*Sens!$H$4402</f>
        <v>0</v>
      </c>
      <c r="I4423" s="38" t="n">
        <f aca="false">dps*Sens!$I$4402</f>
        <v>0</v>
      </c>
      <c r="J4423" s="38" t="n">
        <f aca="false">dps*Sens!$J$4402</f>
        <v>0</v>
      </c>
      <c r="K4423" s="38" t="n">
        <f aca="false">dps*Sens!$K$4402</f>
        <v>0</v>
      </c>
      <c r="L4423" s="38" t="n">
        <f aca="false">dps*Sens!$L$4402</f>
        <v>0</v>
      </c>
      <c r="M4423" s="38" t="n">
        <f aca="false">dps*Sens!$M$4402</f>
        <v>0</v>
      </c>
      <c r="P4423" s="8" t="s">
        <v>806</v>
      </c>
    </row>
    <row r="4424" customFormat="false" ht="17.15" hidden="false" customHeight="false" outlineLevel="0" collapsed="false">
      <c r="A4424" s="5" t="s">
        <v>807</v>
      </c>
      <c r="B4424" s="0" t="s">
        <v>86</v>
      </c>
      <c r="C4424" s="38" t="n">
        <f aca="false">0</f>
        <v>0</v>
      </c>
      <c r="D4424" s="38" t="n">
        <f aca="false">0</f>
        <v>0</v>
      </c>
      <c r="E4424" s="38" t="n">
        <f aca="false">0</f>
        <v>0</v>
      </c>
      <c r="F4424" s="38" t="n">
        <f aca="false">0</f>
        <v>0</v>
      </c>
      <c r="G4424" s="38" t="n">
        <f aca="false">0</f>
        <v>0</v>
      </c>
      <c r="H4424" s="38" t="n">
        <f aca="false">0</f>
        <v>0</v>
      </c>
      <c r="I4424" s="38" t="n">
        <f aca="false">0</f>
        <v>0</v>
      </c>
      <c r="J4424" s="38" t="n">
        <f aca="false">0</f>
        <v>0</v>
      </c>
      <c r="K4424" s="38" t="n">
        <f aca="false">0</f>
        <v>0</v>
      </c>
      <c r="L4424" s="38" t="n">
        <f aca="false">0</f>
        <v>0</v>
      </c>
      <c r="M4424" s="38" t="n">
        <f aca="false">0</f>
        <v>0</v>
      </c>
      <c r="P4424" s="8" t="s">
        <v>808</v>
      </c>
    </row>
    <row r="4425" customFormat="false" ht="15" hidden="false" customHeight="false" outlineLevel="0" collapsed="false">
      <c r="A4425" s="3" t="s">
        <v>809</v>
      </c>
      <c r="B4425" s="8" t="s">
        <v>86</v>
      </c>
      <c r="C4425" s="38" t="n">
        <f aca="false">Sens!$C$4422-Sens!$C$4423</f>
        <v>36.176</v>
      </c>
      <c r="D4425" s="38" t="n">
        <f aca="false">Sens!$D$4422-Sens!$D$4423</f>
        <v>9.63700000000002</v>
      </c>
      <c r="E4425" s="38" t="n">
        <f aca="false">Sens!$E$4422-Sens!$E$4423</f>
        <v>-25.691</v>
      </c>
      <c r="F4425" s="38" t="n">
        <f aca="false">Sens!$F$4422-Sens!$F$4423</f>
        <v>-33.2271793268317</v>
      </c>
      <c r="G4425" s="38" t="n">
        <f aca="false">Sens!$G$4422-Sens!$G$4423</f>
        <v>-58.9181793268317</v>
      </c>
      <c r="H4425" s="38" t="n">
        <f aca="false">Sens!$H$4422-Sens!$H$4423</f>
        <v>-54.6214334726845</v>
      </c>
      <c r="I4425" s="38" t="n">
        <f aca="false">Sens!$I$4422-Sens!$I$4423</f>
        <v>-15.986950562454</v>
      </c>
      <c r="J4425" s="38" t="n">
        <f aca="false">Sens!$J$4422-Sens!$J$4423</f>
        <v>23.1049288903673</v>
      </c>
      <c r="K4425" s="38" t="n">
        <f aca="false">Sens!$K$4422-Sens!$K$4423</f>
        <v>117.839951749218</v>
      </c>
      <c r="L4425" s="38" t="n">
        <f aca="false">Sens!$L$4422-Sens!$L$4423</f>
        <v>174.389931892558</v>
      </c>
      <c r="M4425" s="38" t="n">
        <f aca="false">Sens!$M$4422-Sens!$M$4423</f>
        <v>200.708605410785</v>
      </c>
    </row>
    <row r="4426" customFormat="false" ht="17.15" hidden="false" customHeight="false" outlineLevel="0" collapsed="false">
      <c r="A4426" s="5" t="s">
        <v>810</v>
      </c>
      <c r="B4426" s="0" t="s">
        <v>86</v>
      </c>
      <c r="E4426" s="38" t="n">
        <f aca="false">Q!$P$53</f>
        <v>39.767</v>
      </c>
      <c r="F4426" s="38" t="n">
        <f aca="false">inv_2h26</f>
        <v>21.3</v>
      </c>
      <c r="G4426" s="38" t="n">
        <f aca="false">Sens!$E$4426+Sens!$F$4426</f>
        <v>61.067</v>
      </c>
      <c r="H4426" s="39" t="n">
        <v>0</v>
      </c>
      <c r="I4426" s="39" t="n">
        <v>0</v>
      </c>
      <c r="J4426" s="39" t="n">
        <v>0</v>
      </c>
      <c r="K4426" s="39" t="n">
        <v>0</v>
      </c>
      <c r="L4426" s="39" t="n">
        <v>0</v>
      </c>
      <c r="M4426" s="39" t="n">
        <v>0</v>
      </c>
    </row>
    <row r="4427" customFormat="false" ht="17.15" hidden="false" customHeight="false" outlineLevel="0" collapsed="false">
      <c r="A4427" s="5" t="s">
        <v>811</v>
      </c>
      <c r="B4427" s="0" t="s">
        <v>86</v>
      </c>
      <c r="F4427" s="38" t="n">
        <f aca="false">iss_2h26</f>
        <v>29.249999</v>
      </c>
      <c r="G4427" s="38" t="n">
        <f aca="false">Sens!$F$4427</f>
        <v>29.249999</v>
      </c>
      <c r="H4427" s="39" t="n">
        <v>0</v>
      </c>
      <c r="I4427" s="39" t="n">
        <v>0</v>
      </c>
      <c r="J4427" s="39" t="n">
        <v>0</v>
      </c>
      <c r="K4427" s="39" t="n">
        <v>0</v>
      </c>
      <c r="L4427" s="39" t="n">
        <v>0</v>
      </c>
      <c r="M4427" s="39" t="n">
        <v>0</v>
      </c>
    </row>
    <row r="4428" customFormat="false" ht="17.15" hidden="false" customHeight="false" outlineLevel="0" collapsed="false">
      <c r="A4428" s="5" t="s">
        <v>812</v>
      </c>
      <c r="B4428" s="0" t="s">
        <v>86</v>
      </c>
      <c r="F4428" s="38" t="n">
        <f aca="false">cash_q2</f>
        <v>122.988</v>
      </c>
      <c r="G4428" s="38" t="n">
        <f aca="false">cash_q2</f>
        <v>122.988</v>
      </c>
      <c r="H4428" s="38" t="n">
        <f aca="false">Sens!$G$4431</f>
        <v>97.7108196731683</v>
      </c>
      <c r="I4428" s="38" t="n">
        <f aca="false">Sens!$H$4431</f>
        <v>50</v>
      </c>
      <c r="J4428" s="38" t="n">
        <f aca="false">Sens!$I$4431</f>
        <v>50</v>
      </c>
      <c r="K4428" s="38" t="n">
        <f aca="false">Sens!$J$4431</f>
        <v>73.1049288903673</v>
      </c>
      <c r="L4428" s="38" t="n">
        <f aca="false">Sens!$K$4431</f>
        <v>190.944880639585</v>
      </c>
      <c r="M4428" s="38" t="n">
        <f aca="false">Sens!$L$4431</f>
        <v>365.334812532144</v>
      </c>
    </row>
    <row r="4429" customFormat="false" ht="15" hidden="false" customHeight="false" outlineLevel="0" collapsed="false">
      <c r="A4429" s="5" t="s">
        <v>813</v>
      </c>
      <c r="B4429" s="0" t="s">
        <v>86</v>
      </c>
      <c r="F4429" s="38" t="n">
        <f aca="false">Sens!$F$4428+Sens!$F$4425-Sens!$F$4424-Sens!$F$4426+Sens!$F$4427</f>
        <v>97.7108196731683</v>
      </c>
      <c r="H4429" s="38" t="n">
        <f aca="false">Sens!$H$4428+Sens!$H$4425-Sens!$H$4424-Sens!$H$4426+Sens!$H$4427</f>
        <v>43.0893862004838</v>
      </c>
      <c r="I4429" s="38" t="n">
        <f aca="false">Sens!$I$4428+Sens!$I$4425-Sens!$I$4424-Sens!$I$4426+Sens!$I$4427</f>
        <v>34.013049437546</v>
      </c>
      <c r="J4429" s="38" t="n">
        <f aca="false">Sens!$J$4428+Sens!$J$4425-Sens!$J$4424-Sens!$J$4426+Sens!$J$4427</f>
        <v>73.1049288903673</v>
      </c>
      <c r="K4429" s="38" t="n">
        <f aca="false">Sens!$K$4428+Sens!$K$4425-Sens!$K$4424-Sens!$K$4426+Sens!$K$4427</f>
        <v>190.944880639585</v>
      </c>
      <c r="L4429" s="38" t="n">
        <f aca="false">Sens!$L$4428+Sens!$L$4425-Sens!$L$4424-Sens!$L$4426+Sens!$L$4427</f>
        <v>365.334812532144</v>
      </c>
      <c r="M4429" s="38" t="n">
        <f aca="false">Sens!$M$4428+Sens!$M$4425-Sens!$M$4424-Sens!$M$4426+Sens!$M$4427</f>
        <v>566.043417942928</v>
      </c>
    </row>
    <row r="4430" customFormat="false" ht="17.15" hidden="false" customHeight="false" outlineLevel="0" collapsed="false">
      <c r="A4430" s="5" t="s">
        <v>814</v>
      </c>
      <c r="B4430" s="0" t="s">
        <v>86</v>
      </c>
      <c r="F4430" s="38" t="n">
        <f aca="false">MAX(0,min_cash-Sens!$F$4429)</f>
        <v>0</v>
      </c>
      <c r="G4430" s="38" t="n">
        <f aca="false">Sens!$F$4430</f>
        <v>0</v>
      </c>
      <c r="H4430" s="38" t="n">
        <f aca="false">MAX(0,min_cash-Sens!$H$4429)</f>
        <v>6.91061379951619</v>
      </c>
      <c r="I4430" s="38" t="n">
        <f aca="false">MAX(0,min_cash-Sens!$I$4429)</f>
        <v>15.986950562454</v>
      </c>
      <c r="J4430" s="38" t="n">
        <f aca="false">MAX(0,min_cash-Sens!$J$4429)</f>
        <v>0</v>
      </c>
      <c r="K4430" s="38" t="n">
        <f aca="false">MAX(0,min_cash-Sens!$K$4429)</f>
        <v>0</v>
      </c>
      <c r="L4430" s="38" t="n">
        <f aca="false">MAX(0,min_cash-Sens!$L$4429)</f>
        <v>0</v>
      </c>
      <c r="M4430" s="38" t="n">
        <f aca="false">MAX(0,min_cash-Sens!$M$4429)</f>
        <v>0</v>
      </c>
      <c r="P4430" s="5" t="s">
        <v>815</v>
      </c>
    </row>
    <row r="4431" customFormat="false" ht="15" hidden="false" customHeight="false" outlineLevel="0" collapsed="false">
      <c r="A4431" s="5" t="s">
        <v>816</v>
      </c>
      <c r="B4431" s="0" t="s">
        <v>86</v>
      </c>
      <c r="D4431" s="38" t="n">
        <f aca="false">Q!$E$61</f>
        <v>123.029</v>
      </c>
      <c r="E4431" s="38" t="n">
        <f aca="false">Q!$M$61</f>
        <v>122.988</v>
      </c>
      <c r="F4431" s="38" t="n">
        <f aca="false">Sens!$F$4429+Sens!$F$4430</f>
        <v>97.7108196731683</v>
      </c>
      <c r="G4431" s="38" t="n">
        <f aca="false">Sens!$F$4431</f>
        <v>97.7108196731683</v>
      </c>
      <c r="H4431" s="38" t="n">
        <f aca="false">Sens!$H$4429+Sens!$H$4430</f>
        <v>50</v>
      </c>
      <c r="I4431" s="38" t="n">
        <f aca="false">Sens!$I$4429+Sens!$I$4430</f>
        <v>50</v>
      </c>
      <c r="J4431" s="38" t="n">
        <f aca="false">Sens!$J$4429+Sens!$J$4430</f>
        <v>73.1049288903673</v>
      </c>
      <c r="K4431" s="38" t="n">
        <f aca="false">Sens!$K$4429+Sens!$K$4430</f>
        <v>190.944880639585</v>
      </c>
      <c r="L4431" s="38" t="n">
        <f aca="false">Sens!$L$4429+Sens!$L$4430</f>
        <v>365.334812532144</v>
      </c>
      <c r="M4431" s="38" t="n">
        <f aca="false">Sens!$M$4429+Sens!$M$4430</f>
        <v>566.043417942928</v>
      </c>
    </row>
    <row r="4432" customFormat="false" ht="15" hidden="false" customHeight="false" outlineLevel="0" collapsed="false">
      <c r="A4432" s="5" t="s">
        <v>817</v>
      </c>
      <c r="B4432" s="0" t="s">
        <v>86</v>
      </c>
      <c r="D4432" s="38" t="n">
        <f aca="false">Q!$E$62</f>
        <v>68.836</v>
      </c>
      <c r="E4432" s="38" t="n">
        <f aca="false">Q!$M$62</f>
        <v>132.995</v>
      </c>
      <c r="F4432" s="38" t="n">
        <f aca="false">debt_q2+Sens!$F$4427+Sens!$F$4430</f>
        <v>162.244999</v>
      </c>
      <c r="G4432" s="38" t="n">
        <f aca="false">Sens!$F$4432</f>
        <v>162.244999</v>
      </c>
      <c r="H4432" s="38" t="n">
        <f aca="false">Sens!$G$4432+Sens!$H$4430</f>
        <v>169.155612799516</v>
      </c>
      <c r="I4432" s="38" t="n">
        <f aca="false">Sens!$H$4432+Sens!$I$4430</f>
        <v>185.14256336197</v>
      </c>
      <c r="J4432" s="38" t="n">
        <f aca="false">Sens!$I$4432+Sens!$J$4430</f>
        <v>185.14256336197</v>
      </c>
      <c r="K4432" s="38" t="n">
        <f aca="false">Sens!$J$4432+Sens!$K$4430</f>
        <v>185.14256336197</v>
      </c>
      <c r="L4432" s="38" t="n">
        <f aca="false">Sens!$K$4432+Sens!$L$4430</f>
        <v>185.14256336197</v>
      </c>
      <c r="M4432" s="38" t="n">
        <f aca="false">Sens!$L$4432+Sens!$M$4430</f>
        <v>185.14256336197</v>
      </c>
    </row>
    <row r="4433" customFormat="false" ht="15" hidden="false" customHeight="false" outlineLevel="0" collapsed="false">
      <c r="A4433" s="5" t="s">
        <v>818</v>
      </c>
      <c r="B4433" s="0" t="s">
        <v>86</v>
      </c>
      <c r="D4433" s="38" t="n">
        <f aca="false">Sens!$D$4432-Sens!$D$4431</f>
        <v>-54.193</v>
      </c>
      <c r="E4433" s="38" t="n">
        <f aca="false">Sens!$E$4432-Sens!$E$4431</f>
        <v>10.007</v>
      </c>
      <c r="F4433" s="38" t="n">
        <f aca="false">Sens!$F$4432-Sens!$F$4431</f>
        <v>64.5341793268317</v>
      </c>
      <c r="G4433" s="38" t="n">
        <f aca="false">Sens!$G$4432-Sens!$G$4431</f>
        <v>64.5341793268317</v>
      </c>
      <c r="H4433" s="38" t="n">
        <f aca="false">Sens!$H$4432-Sens!$H$4431</f>
        <v>119.155612799516</v>
      </c>
      <c r="I4433" s="38" t="n">
        <f aca="false">Sens!$I$4432-Sens!$I$4431</f>
        <v>135.14256336197</v>
      </c>
      <c r="J4433" s="38" t="n">
        <f aca="false">Sens!$J$4432-Sens!$J$4431</f>
        <v>112.037634471603</v>
      </c>
      <c r="K4433" s="38" t="n">
        <f aca="false">Sens!$K$4432-Sens!$K$4431</f>
        <v>-5.80231727761517</v>
      </c>
      <c r="L4433" s="38" t="n">
        <f aca="false">Sens!$L$4432-Sens!$L$4431</f>
        <v>-180.192249170174</v>
      </c>
      <c r="M4433" s="38" t="n">
        <f aca="false">Sens!$M$4432-Sens!$M$4431</f>
        <v>-380.900854580958</v>
      </c>
    </row>
    <row r="4434" customFormat="false" ht="17.15" hidden="false" customHeight="false" outlineLevel="0" collapsed="false">
      <c r="A4434" s="5" t="s">
        <v>819</v>
      </c>
      <c r="B4434" s="0" t="s">
        <v>86</v>
      </c>
      <c r="F4434" s="38" t="n">
        <f aca="false">debt_q2*kd_book*0.5+iss_2h26*kd_new*iss_t</f>
        <v>3.24888962733561</v>
      </c>
      <c r="H4434" s="38" t="n">
        <f aca="false">debt_q2*kd_book+(Sens!$G$4432-debt_q2)*kd_new</f>
        <v>7.42354172302123</v>
      </c>
      <c r="I4434" s="38" t="n">
        <f aca="false">debt_q2*kd_book+(Sens!$H$4432-debt_q2)*kd_new</f>
        <v>7.8609835765306</v>
      </c>
      <c r="J4434" s="38" t="n">
        <f aca="false">debt_q2*kd_book+(Sens!$I$4432-debt_q2)*kd_new</f>
        <v>8.87295754713395</v>
      </c>
      <c r="K4434" s="38" t="n">
        <f aca="false">debt_q2*kd_book+(Sens!$J$4432-debt_q2)*kd_new</f>
        <v>8.87295754713395</v>
      </c>
      <c r="L4434" s="38" t="n">
        <f aca="false">debt_q2*kd_book+(Sens!$K$4432-debt_q2)*kd_new</f>
        <v>8.87295754713395</v>
      </c>
      <c r="M4434" s="38" t="n">
        <f aca="false">debt_q2*kd_book+(Sens!$L$4432-debt_q2)*kd_new</f>
        <v>8.87295754713395</v>
      </c>
    </row>
    <row r="4435" customFormat="false" ht="17.15" hidden="false" customHeight="false" outlineLevel="0" collapsed="false">
      <c r="A4435" s="5" t="s">
        <v>820</v>
      </c>
      <c r="B4435" s="0" t="s">
        <v>86</v>
      </c>
      <c r="F4435" s="38" t="n">
        <f aca="false">cash_q2*y_cash*0.5</f>
        <v>2.59</v>
      </c>
      <c r="H4435" s="38" t="n">
        <f aca="false">Sens!$G$4431*y_cash</f>
        <v>4.1153774832261</v>
      </c>
      <c r="I4435" s="38" t="n">
        <f aca="false">Sens!$H$4431*y_cash</f>
        <v>2.10589651022864</v>
      </c>
      <c r="J4435" s="38" t="n">
        <f aca="false">Sens!$I$4431*y_cash</f>
        <v>2.10589651022864</v>
      </c>
      <c r="K4435" s="38" t="n">
        <f aca="false">Sens!$J$4431*y_cash</f>
        <v>3.07902829261475</v>
      </c>
      <c r="L4435" s="38" t="n">
        <f aca="false">Sens!$K$4431*y_cash</f>
        <v>8.04220315569854</v>
      </c>
      <c r="M4435" s="38" t="n">
        <f aca="false">Sens!$L$4431*y_cash</f>
        <v>15.3871461355295</v>
      </c>
    </row>
    <row r="4436" customFormat="false" ht="17.15" hidden="false" customHeight="false" outlineLevel="0" collapsed="false">
      <c r="A4436" s="47" t="s">
        <v>821</v>
      </c>
      <c r="B4436" s="14" t="s">
        <v>86</v>
      </c>
      <c r="C4436" s="14"/>
      <c r="D4436" s="14"/>
      <c r="E4436" s="14"/>
      <c r="F4436" s="14"/>
      <c r="G4436" s="48" t="n">
        <f aca="false">SUM(Sens!$G$4425:$K$4425)</f>
        <v>11.4183172776152</v>
      </c>
      <c r="H4436" s="14"/>
      <c r="I4436" s="14"/>
      <c r="J4436" s="14"/>
      <c r="K4436" s="14"/>
      <c r="L4436" s="14"/>
      <c r="M4436" s="14"/>
      <c r="N4436" s="14"/>
      <c r="O4436" s="14"/>
    </row>
    <row r="4437" customFormat="false" ht="17.15" hidden="false" customHeight="false" outlineLevel="0" collapsed="false">
      <c r="A4437" s="0" t="s">
        <v>787</v>
      </c>
      <c r="B4437" s="0" t="s">
        <v>86</v>
      </c>
      <c r="G4437" s="38" t="n">
        <f aca="false">SUM(Sens!$G$4430:$K$4430)</f>
        <v>22.8975643619702</v>
      </c>
    </row>
    <row r="4438" customFormat="false" ht="17.15" hidden="false" customHeight="false" outlineLevel="0" collapsed="false">
      <c r="A4438" s="24" t="s">
        <v>824</v>
      </c>
      <c r="B4438" s="25" t="s">
        <v>86</v>
      </c>
      <c r="C4438" s="25"/>
      <c r="D4438" s="25"/>
      <c r="E4438" s="25"/>
      <c r="F4438" s="25"/>
      <c r="G4438" s="41" t="n">
        <f aca="false">Sens!$G$4436-(Sens!$G$4425+Sens!$H$4425+Sens!$I$4425+Sens!$J$4425+Sens!$K$4425)</f>
        <v>0</v>
      </c>
      <c r="H4438" s="25"/>
      <c r="I4438" s="25"/>
      <c r="J4438" s="25"/>
      <c r="K4438" s="25"/>
      <c r="L4438" s="25"/>
      <c r="M4438" s="25"/>
      <c r="N4438" s="25"/>
      <c r="O4438" s="25"/>
    </row>
    <row r="4441" customFormat="false" ht="19.4" hidden="false" customHeight="false" outlineLevel="0" collapsed="false">
      <c r="A4441" s="31" t="s">
        <v>1241</v>
      </c>
    </row>
    <row r="4442" customFormat="false" ht="17.15" hidden="false" customHeight="false" outlineLevel="0" collapsed="false">
      <c r="A4442" s="6" t="s">
        <v>16</v>
      </c>
      <c r="B4442" s="6" t="s">
        <v>17</v>
      </c>
      <c r="C4442" s="20" t="s">
        <v>504</v>
      </c>
      <c r="D4442" s="20" t="s">
        <v>505</v>
      </c>
      <c r="E4442" s="20" t="s">
        <v>587</v>
      </c>
      <c r="F4442" s="20" t="s">
        <v>588</v>
      </c>
      <c r="G4442" s="20" t="s">
        <v>589</v>
      </c>
      <c r="H4442" s="20" t="s">
        <v>590</v>
      </c>
      <c r="I4442" s="20" t="s">
        <v>591</v>
      </c>
      <c r="J4442" s="20" t="s">
        <v>592</v>
      </c>
      <c r="K4442" s="20" t="s">
        <v>593</v>
      </c>
      <c r="L4442" s="20" t="s">
        <v>594</v>
      </c>
      <c r="M4442" s="20" t="s">
        <v>595</v>
      </c>
      <c r="N4442" s="20" t="s">
        <v>596</v>
      </c>
      <c r="O4442" s="20" t="s">
        <v>597</v>
      </c>
      <c r="P4442" s="6" t="s">
        <v>23</v>
      </c>
      <c r="R4442" s="20" t="n">
        <v>2023</v>
      </c>
      <c r="S4442" s="20" t="n">
        <v>2024</v>
      </c>
      <c r="T4442" s="20" t="n">
        <v>2025</v>
      </c>
      <c r="U4442" s="20" t="n">
        <v>2026</v>
      </c>
      <c r="V4442" s="20" t="n">
        <v>2027</v>
      </c>
      <c r="W4442" s="20" t="n">
        <v>2028</v>
      </c>
      <c r="X4442" s="20" t="n">
        <v>2029</v>
      </c>
      <c r="Y4442" s="20" t="n">
        <v>2030</v>
      </c>
      <c r="Z4442" s="20" t="n">
        <v>2031</v>
      </c>
      <c r="AA4442" s="20" t="n">
        <v>2032</v>
      </c>
    </row>
    <row r="4443" customFormat="false" ht="17.15" hidden="false" customHeight="false" outlineLevel="0" collapsed="false">
      <c r="A4443" s="1" t="s">
        <v>926</v>
      </c>
    </row>
    <row r="4444" customFormat="false" ht="17.15" hidden="false" customHeight="false" outlineLevel="0" collapsed="false">
      <c r="A4444" s="0" t="s">
        <v>927</v>
      </c>
      <c r="B4444" s="0" t="s">
        <v>86</v>
      </c>
      <c r="H4444" s="38" t="n">
        <f aca="false">Sens!$H$4378*(1-tax)</f>
        <v>119.30710334749</v>
      </c>
      <c r="I4444" s="38" t="n">
        <f aca="false">Sens!$I$4378*(1-tax)</f>
        <v>140.340693964039</v>
      </c>
      <c r="J4444" s="38" t="n">
        <f aca="false">Sens!$J$4378*(1-tax)</f>
        <v>163.105785897746</v>
      </c>
      <c r="K4444" s="38" t="n">
        <f aca="false">Sens!$K$4378*(1-tax)</f>
        <v>178.369246973028</v>
      </c>
      <c r="L4444" s="38" t="n">
        <f aca="false">Sens!$L$4378*(1-tax)</f>
        <v>190.174819580856</v>
      </c>
      <c r="M4444" s="38" t="n">
        <f aca="false">Sens!$M$4378*(1-tax)</f>
        <v>199.90628825496</v>
      </c>
    </row>
    <row r="4445" customFormat="false" ht="15" hidden="false" customHeight="false" outlineLevel="0" collapsed="false">
      <c r="A4445" s="5" t="s">
        <v>928</v>
      </c>
      <c r="B4445" s="0" t="s">
        <v>86</v>
      </c>
      <c r="H4445" s="38" t="n">
        <f aca="false">Sens!$H$4389</f>
        <v>81.5405359711439</v>
      </c>
      <c r="I4445" s="38" t="n">
        <f aca="false">Sens!$I$4389</f>
        <v>118.680571890744</v>
      </c>
      <c r="J4445" s="38" t="n">
        <f aca="false">Sens!$J$4389</f>
        <v>152.295979487683</v>
      </c>
      <c r="K4445" s="38" t="n">
        <f aca="false">Sens!$K$4389</f>
        <v>186.070616779406</v>
      </c>
      <c r="L4445" s="38" t="n">
        <f aca="false">Sens!$L$4389</f>
        <v>211.434321107895</v>
      </c>
      <c r="M4445" s="38" t="n">
        <f aca="false">Sens!$M$4389</f>
        <v>228.322305333316</v>
      </c>
    </row>
    <row r="4446" customFormat="false" ht="15" hidden="false" customHeight="false" outlineLevel="0" collapsed="false">
      <c r="A4446" s="5" t="s">
        <v>929</v>
      </c>
      <c r="B4446" s="0" t="s">
        <v>86</v>
      </c>
      <c r="H4446" s="38" t="n">
        <f aca="false">Sens!$H$4420</f>
        <v>273.33581372725</v>
      </c>
      <c r="I4446" s="38" t="n">
        <f aca="false">Sens!$I$4420</f>
        <v>286.850821925047</v>
      </c>
      <c r="J4446" s="38" t="n">
        <f aca="false">Sens!$J$4420</f>
        <v>299.016023377723</v>
      </c>
      <c r="K4446" s="38" t="n">
        <f aca="false">Sens!$K$4420</f>
        <v>250.501425193305</v>
      </c>
      <c r="L4446" s="38" t="n">
        <f aca="false">Sens!$L$4420</f>
        <v>233.844094498949</v>
      </c>
      <c r="M4446" s="38" t="n">
        <f aca="false">Sens!$M$4420</f>
        <v>241.096425954461</v>
      </c>
    </row>
    <row r="4447" customFormat="false" ht="15" hidden="false" customHeight="false" outlineLevel="0" collapsed="false">
      <c r="A4447" s="5" t="s">
        <v>930</v>
      </c>
      <c r="B4447" s="0" t="s">
        <v>86</v>
      </c>
      <c r="H4447" s="38" t="n">
        <f aca="false">Sens!$H$4421</f>
        <v>1.6</v>
      </c>
      <c r="I4447" s="38" t="n">
        <f aca="false">Sens!$I$4421</f>
        <v>1.6</v>
      </c>
      <c r="J4447" s="38" t="n">
        <f aca="false">Sens!$J$4421</f>
        <v>1.6</v>
      </c>
      <c r="K4447" s="38" t="n">
        <f aca="false">Sens!$K$4421</f>
        <v>1.6</v>
      </c>
      <c r="L4447" s="38" t="n">
        <f aca="false">Sens!$L$4421</f>
        <v>1.6</v>
      </c>
      <c r="M4447" s="38" t="n">
        <f aca="false">Sens!$M$4421</f>
        <v>1.6</v>
      </c>
    </row>
    <row r="4448" customFormat="false" ht="15" hidden="false" customHeight="false" outlineLevel="0" collapsed="false">
      <c r="A4448" s="5" t="s">
        <v>931</v>
      </c>
      <c r="B4448" s="0" t="s">
        <v>86</v>
      </c>
      <c r="H4448" s="38" t="n">
        <f aca="false">Sens!$H$4415</f>
        <v>11.2853503187163</v>
      </c>
      <c r="I4448" s="38" t="n">
        <f aca="false">Sens!$I$4415</f>
        <v>12.7825799678694</v>
      </c>
      <c r="J4448" s="38" t="n">
        <f aca="false">Sens!$J$4415</f>
        <v>14.1996034397101</v>
      </c>
      <c r="K4448" s="38" t="n">
        <f aca="false">Sens!$K$4415</f>
        <v>15.4200205461038</v>
      </c>
      <c r="L4448" s="38" t="n">
        <f aca="false">Sens!$L$4415</f>
        <v>16.5476763773635</v>
      </c>
      <c r="M4448" s="38" t="n">
        <f aca="false">Sens!$M$4415</f>
        <v>17.5858224644451</v>
      </c>
    </row>
    <row r="4449" customFormat="false" ht="17.15" hidden="false" customHeight="false" outlineLevel="0" collapsed="false">
      <c r="A4449" s="1" t="s">
        <v>932</v>
      </c>
      <c r="B4449" s="8" t="s">
        <v>86</v>
      </c>
      <c r="H4449" s="38" t="n">
        <f aca="false">Sens!$H$4444+Sens!$H$4445-Sens!$H$4446-Sens!$H$4447+Sens!$H$4448</f>
        <v>-62.8028240898998</v>
      </c>
      <c r="I4449" s="38" t="n">
        <f aca="false">Sens!$I$4444+Sens!$I$4445-Sens!$I$4446-Sens!$I$4447+Sens!$I$4448</f>
        <v>-16.6469761023948</v>
      </c>
      <c r="J4449" s="38" t="n">
        <f aca="false">Sens!$J$4444+Sens!$J$4445-Sens!$J$4446-Sens!$J$4447+Sens!$J$4448</f>
        <v>28.9853454474162</v>
      </c>
      <c r="K4449" s="38" t="n">
        <f aca="false">Sens!$K$4444+Sens!$K$4445-Sens!$K$4446-Sens!$K$4447+Sens!$K$4448</f>
        <v>127.758459105233</v>
      </c>
      <c r="L4449" s="38" t="n">
        <f aca="false">Sens!$L$4444+Sens!$L$4445-Sens!$L$4446-Sens!$L$4447+Sens!$L$4448</f>
        <v>182.712722567165</v>
      </c>
      <c r="M4449" s="38" t="n">
        <f aca="false">Sens!$M$4444+Sens!$M$4445-Sens!$M$4446-Sens!$M$4447+Sens!$M$4448</f>
        <v>203.11799009826</v>
      </c>
    </row>
    <row r="4450" customFormat="false" ht="15" hidden="false" customHeight="false" outlineLevel="0" collapsed="false">
      <c r="A4450" s="5" t="s">
        <v>933</v>
      </c>
      <c r="B4450" s="0" t="s">
        <v>57</v>
      </c>
      <c r="H4450" s="40" t="n">
        <f aca="false">1/(1+wacc)^(2027-2026-0.5)</f>
        <v>0.947751320380232</v>
      </c>
      <c r="I4450" s="40" t="n">
        <f aca="false">1/(1+wacc)^(2028-2026-0.5)</f>
        <v>0.851301099754987</v>
      </c>
      <c r="J4450" s="40" t="n">
        <f aca="false">1/(1+wacc)^(2029-2026-0.5)</f>
        <v>0.764666370660713</v>
      </c>
      <c r="K4450" s="40" t="n">
        <f aca="false">1/(1+wacc)^(2030-2026-0.5)</f>
        <v>0.686848235703811</v>
      </c>
      <c r="L4450" s="40" t="n">
        <f aca="false">1/(1+wacc)^(2031-2026-0.5)</f>
        <v>0.616949452715975</v>
      </c>
      <c r="M4450" s="40" t="n">
        <f aca="false">1/(1+wacc)^(2032-2026-0.5)</f>
        <v>0.554164089562688</v>
      </c>
    </row>
    <row r="4451" customFormat="false" ht="15" hidden="false" customHeight="false" outlineLevel="0" collapsed="false">
      <c r="A4451" s="5" t="s">
        <v>934</v>
      </c>
      <c r="B4451" s="0" t="s">
        <v>86</v>
      </c>
      <c r="H4451" s="38" t="n">
        <f aca="false">Sens!$H$4449*Sens!$H$4450</f>
        <v>-59.52145945481</v>
      </c>
      <c r="I4451" s="38" t="n">
        <f aca="false">Sens!$I$4449*Sens!$I$4450</f>
        <v>-14.1715890635636</v>
      </c>
      <c r="J4451" s="38" t="n">
        <f aca="false">Sens!$J$4449*Sens!$J$4450</f>
        <v>22.1641189056228</v>
      </c>
      <c r="K4451" s="38" t="n">
        <f aca="false">Sens!$K$4449*Sens!$K$4450</f>
        <v>87.7506722326667</v>
      </c>
      <c r="L4451" s="38" t="n">
        <f aca="false">Sens!$L$4449*Sens!$L$4450</f>
        <v>112.724514192058</v>
      </c>
      <c r="M4451" s="38" t="n">
        <f aca="false">Sens!$M$4449*Sens!$M$4450</f>
        <v>112.560696056605</v>
      </c>
    </row>
    <row r="4452" customFormat="false" ht="15" hidden="false" customHeight="false" outlineLevel="0" collapsed="false">
      <c r="A4452" s="5" t="s">
        <v>935</v>
      </c>
      <c r="B4452" s="0" t="s">
        <v>86</v>
      </c>
      <c r="C4452" s="38" t="n">
        <f aca="false">SUM(Sens!$H$4451:$M$4451)</f>
        <v>261.50695286858</v>
      </c>
    </row>
    <row r="4453" customFormat="false" ht="17.15" hidden="false" customHeight="false" outlineLevel="0" collapsed="false">
      <c r="A4453" s="5" t="s">
        <v>936</v>
      </c>
      <c r="B4453" s="0" t="s">
        <v>86</v>
      </c>
      <c r="C4453" s="38" t="n">
        <f aca="false">Sens!$M$4444*(1+tg)*(1-tg/ronic)/(wacc-tg)</f>
        <v>1817.37123247893</v>
      </c>
    </row>
    <row r="4454" customFormat="false" ht="15" hidden="false" customHeight="false" outlineLevel="0" collapsed="false">
      <c r="A4454" s="5" t="s">
        <v>937</v>
      </c>
      <c r="B4454" s="0" t="s">
        <v>86</v>
      </c>
      <c r="C4454" s="38" t="n">
        <f aca="false">Sens!$C$4453/(1+wacc)^6</f>
        <v>954.501086288219</v>
      </c>
    </row>
    <row r="4455" customFormat="false" ht="17.15" hidden="false" customHeight="false" outlineLevel="0" collapsed="false">
      <c r="A4455" s="5" t="s">
        <v>938</v>
      </c>
      <c r="B4455" s="0" t="s">
        <v>86</v>
      </c>
      <c r="C4455" s="38" t="n">
        <f aca="false">Sens!$C$4452+Sens!$C$4454</f>
        <v>1216.0080391568</v>
      </c>
    </row>
    <row r="4456" customFormat="false" ht="17.15" hidden="false" customHeight="false" outlineLevel="0" collapsed="false">
      <c r="A4456" s="5" t="s">
        <v>939</v>
      </c>
      <c r="B4456" s="0" t="s">
        <v>52</v>
      </c>
      <c r="C4456" s="13" t="n">
        <f aca="false">Sens!$C$4454/Sens!$C$4455</f>
        <v>0.784946361826758</v>
      </c>
    </row>
    <row r="4457" customFormat="false" ht="17.15" hidden="false" customHeight="false" outlineLevel="0" collapsed="false">
      <c r="A4457" s="5" t="s">
        <v>940</v>
      </c>
      <c r="B4457" s="0" t="s">
        <v>86</v>
      </c>
      <c r="C4457" s="38" t="n">
        <f aca="false">Sens!$G$4433+fin_debt</f>
        <v>89.0551793268317</v>
      </c>
    </row>
    <row r="4458" customFormat="false" ht="17.15" hidden="false" customHeight="false" outlineLevel="0" collapsed="false">
      <c r="A4458" s="5" t="s">
        <v>941</v>
      </c>
      <c r="B4458" s="0" t="s">
        <v>86</v>
      </c>
      <c r="C4458" s="38" t="n">
        <f aca="false">(ant_val*ant_sh+oai_val*oai_sh)*(1-liq_disc)</f>
        <v>178.944</v>
      </c>
    </row>
    <row r="4459" customFormat="false" ht="15" hidden="false" customHeight="false" outlineLevel="0" collapsed="false">
      <c r="A4459" s="5" t="s">
        <v>942</v>
      </c>
      <c r="B4459" s="0" t="s">
        <v>86</v>
      </c>
      <c r="C4459" s="38" t="n">
        <f aca="false">Sens!$C$4455-Sens!$C$4457+Sens!$C$4458</f>
        <v>1305.89685982997</v>
      </c>
    </row>
    <row r="4460" customFormat="false" ht="17.15" hidden="false" customHeight="false" outlineLevel="0" collapsed="false">
      <c r="A4460" s="5" t="s">
        <v>943</v>
      </c>
      <c r="B4460" s="0" t="s">
        <v>27</v>
      </c>
      <c r="C4460" s="30" t="n">
        <f aca="false">Sens!$C$4459/sh_out</f>
        <v>121.069798248963</v>
      </c>
    </row>
    <row r="4461" customFormat="false" ht="17.15" hidden="false" customHeight="false" outlineLevel="0" collapsed="false">
      <c r="A4461" s="1" t="s">
        <v>944</v>
      </c>
      <c r="B4461" s="8" t="s">
        <v>27</v>
      </c>
      <c r="C4461" s="30" t="n">
        <f aca="false">Sens!$C$4460*(1+ke)^tp_yf-dps*tp_yf</f>
        <v>132.616085250884</v>
      </c>
    </row>
    <row r="4462" customFormat="false" ht="17.15" hidden="false" customHeight="false" outlineLevel="0" collapsed="false">
      <c r="A4462" s="3" t="s">
        <v>945</v>
      </c>
    </row>
    <row r="4463" customFormat="false" ht="17.15" hidden="false" customHeight="false" outlineLevel="0" collapsed="false">
      <c r="A4463" s="5" t="s">
        <v>946</v>
      </c>
      <c r="B4463" s="0" t="s">
        <v>86</v>
      </c>
      <c r="C4463" s="38" t="n">
        <f aca="false">(1-tp_yf)*(Sens!$H$4390+sbc_ab*Sens!$H$4414*Sens!$H$4251/Sens!$H$4331)+tp_yf*(Sens!$I$4390+sbc_ab*Sens!$I$4414*Sens!$I$4251/Sens!$I$4331)</f>
        <v>58.6196883033517</v>
      </c>
    </row>
    <row r="4464" customFormat="false" ht="15" hidden="false" customHeight="false" outlineLevel="0" collapsed="false">
      <c r="A4464" s="5" t="s">
        <v>947</v>
      </c>
      <c r="B4464" s="0" t="s">
        <v>57</v>
      </c>
      <c r="C4464" s="30" t="n">
        <f aca="false">m_ads*m_x</f>
        <v>9.11</v>
      </c>
    </row>
    <row r="4465" customFormat="false" ht="17.15" hidden="false" customHeight="false" outlineLevel="0" collapsed="false">
      <c r="A4465" s="5" t="s">
        <v>948</v>
      </c>
      <c r="B4465" s="0" t="s">
        <v>86</v>
      </c>
      <c r="C4465" s="38" t="n">
        <f aca="false">Sens!$C$4463*Sens!$C$4464</f>
        <v>534.025360443534</v>
      </c>
    </row>
    <row r="4466" customFormat="false" ht="17.15" hidden="false" customHeight="false" outlineLevel="0" collapsed="false">
      <c r="A4466" s="5" t="s">
        <v>949</v>
      </c>
      <c r="B4466" s="0" t="s">
        <v>86</v>
      </c>
      <c r="C4466" s="38" t="n">
        <f aca="false">(1-tp_yf)*(Sens!$H$4391+sbc_ab*Sens!$H$4414*(Sens!$H$4258-Sens!$H$4251)/Sens!$H$4331+IF(internal_ai_reading=2,1,0)*(1-ext_sh)*Sens!$H$4288)+tp_yf*(Sens!$I$4391+sbc_ab*Sens!$I$4414*(Sens!$I$4258-Sens!$I$4251)/Sens!$I$4331+IF(internal_ai_reading=2,1,0)*(1-ext_sh)*Sens!$I$4288)</f>
        <v>51.6292229391417</v>
      </c>
    </row>
    <row r="4467" customFormat="false" ht="17.15" hidden="false" customHeight="false" outlineLevel="0" collapsed="false">
      <c r="A4467" s="5" t="s">
        <v>950</v>
      </c>
      <c r="B4467" s="0" t="s">
        <v>57</v>
      </c>
      <c r="C4467" s="30" t="n">
        <f aca="false">m_retail*m_x</f>
        <v>17.72</v>
      </c>
    </row>
    <row r="4468" customFormat="false" ht="17.15" hidden="false" customHeight="false" outlineLevel="0" collapsed="false">
      <c r="A4468" s="5" t="s">
        <v>951</v>
      </c>
      <c r="B4468" s="0" t="s">
        <v>86</v>
      </c>
      <c r="C4468" s="38" t="n">
        <f aca="false">Sens!$C$4466*Sens!$C$4467</f>
        <v>914.869830481591</v>
      </c>
    </row>
    <row r="4469" customFormat="false" ht="17.15" hidden="false" customHeight="false" outlineLevel="0" collapsed="false">
      <c r="A4469" s="0" t="s">
        <v>952</v>
      </c>
      <c r="B4469" s="0" t="s">
        <v>86</v>
      </c>
      <c r="C4469" s="38" t="n">
        <f aca="false">(1-tp_yf)*(Sens!$H$4392+sbc_ab*Sens!$H$4414*Sens!$H$4329/Sens!$H$4331)+tp_yf*(Sens!$I$4392+sbc_ab*Sens!$I$4414*Sens!$I$4329/Sens!$I$4331)</f>
        <v>97.2337130506861</v>
      </c>
    </row>
    <row r="4470" customFormat="false" ht="17.15" hidden="false" customHeight="false" outlineLevel="0" collapsed="false">
      <c r="A4470" s="0" t="s">
        <v>953</v>
      </c>
      <c r="B4470" s="0" t="s">
        <v>57</v>
      </c>
      <c r="C4470" s="30" t="n">
        <f aca="false">m_cloud*m_x</f>
        <v>13.82</v>
      </c>
    </row>
    <row r="4471" customFormat="false" ht="17.15" hidden="false" customHeight="false" outlineLevel="0" collapsed="false">
      <c r="A4471" s="0" t="s">
        <v>954</v>
      </c>
      <c r="B4471" s="0" t="s">
        <v>86</v>
      </c>
      <c r="C4471" s="38" t="n">
        <f aca="false">Sens!$C$4469*Sens!$C$4470</f>
        <v>1343.76991436048</v>
      </c>
    </row>
    <row r="4472" customFormat="false" ht="17.15" hidden="false" customHeight="false" outlineLevel="0" collapsed="false">
      <c r="A4472" s="0" t="s">
        <v>955</v>
      </c>
      <c r="B4472" s="0" t="s">
        <v>86</v>
      </c>
      <c r="H4472" s="38" t="n">
        <f aca="false">Sens!$H$4310-tax*Sens!$H$4311-ext_sh*Sens!$H$4295</f>
        <v>-115.41576008619</v>
      </c>
      <c r="I4472" s="38" t="n">
        <f aca="false">Sens!$I$4310-tax*Sens!$I$4311-ext_sh*Sens!$I$4295</f>
        <v>-88.5401912683161</v>
      </c>
      <c r="J4472" s="38" t="n">
        <f aca="false">Sens!$J$4310-tax*Sens!$J$4311-ext_sh*Sens!$J$4295</f>
        <v>-61.2977422866746</v>
      </c>
      <c r="K4472" s="38" t="n">
        <f aca="false">Sens!$K$4310-tax*Sens!$K$4311-ext_sh*Sens!$K$4295</f>
        <v>9.91264760007891</v>
      </c>
      <c r="L4472" s="38" t="n">
        <f aca="false">Sens!$L$4310-tax*Sens!$L$4311-ext_sh*Sens!$L$4295</f>
        <v>46.750156871371</v>
      </c>
      <c r="M4472" s="38" t="n">
        <f aca="false">Sens!$M$4310-tax*Sens!$M$4311-ext_sh*Sens!$M$4295</f>
        <v>55.5634749071557</v>
      </c>
    </row>
    <row r="4473" customFormat="false" ht="17.15" hidden="false" customHeight="false" outlineLevel="0" collapsed="false">
      <c r="A4473" s="5" t="s">
        <v>956</v>
      </c>
      <c r="B4473" s="0" t="s">
        <v>86</v>
      </c>
      <c r="H4473" s="38" t="n">
        <f aca="false">Sens!$H$4472*Sens!$H$4450</f>
        <v>-109.385439014374</v>
      </c>
      <c r="I4473" s="38" t="n">
        <f aca="false">Sens!$I$4472*Sens!$I$4450</f>
        <v>-75.3743621992344</v>
      </c>
      <c r="J4473" s="38" t="n">
        <f aca="false">Sens!$J$4472*Sens!$J$4450</f>
        <v>-46.8723221240472</v>
      </c>
      <c r="K4473" s="38" t="n">
        <f aca="false">Sens!$K$4472*Sens!$K$4450</f>
        <v>6.80848451526782</v>
      </c>
      <c r="L4473" s="38" t="n">
        <f aca="false">Sens!$L$4472*Sens!$L$4450</f>
        <v>28.8424836961783</v>
      </c>
      <c r="M4473" s="38" t="n">
        <f aca="false">Sens!$M$4472*Sens!$M$4450</f>
        <v>30.7912824848632</v>
      </c>
    </row>
    <row r="4474" customFormat="false" ht="17.15" hidden="false" customHeight="false" outlineLevel="0" collapsed="false">
      <c r="A4474" s="5" t="s">
        <v>957</v>
      </c>
      <c r="B4474" s="0" t="s">
        <v>86</v>
      </c>
      <c r="C4474" s="38" t="n">
        <f aca="false">Sens!$M$4311*(1-tax)*(1+tg)*(1-tg/ronic)/(wacc-tg)</f>
        <v>356.180381489473</v>
      </c>
    </row>
    <row r="4475" customFormat="false" ht="17.15" hidden="false" customHeight="false" outlineLevel="0" collapsed="false">
      <c r="A4475" s="0" t="s">
        <v>958</v>
      </c>
      <c r="B4475" s="0" t="s">
        <v>86</v>
      </c>
      <c r="C4475" s="38" t="n">
        <f aca="false">(SUM(Sens!$I$4473:$M$4473)+Sens!$C$4474/(1+wacc)^6)*(1+wacc)^tp_yf</f>
        <v>143.3703803388</v>
      </c>
    </row>
    <row r="4476" customFormat="false" ht="17.15" hidden="false" customHeight="false" outlineLevel="0" collapsed="false">
      <c r="A4476" s="5" t="s">
        <v>959</v>
      </c>
      <c r="B4476" s="0" t="s">
        <v>86</v>
      </c>
      <c r="C4476" s="38" t="n">
        <f aca="false">(1-tp_yf)*(Sens!$H$4393)+tp_yf*(Sens!$I$4393)</f>
        <v>74.6707041238437</v>
      </c>
    </row>
    <row r="4477" customFormat="false" ht="17.15" hidden="false" customHeight="false" outlineLevel="0" collapsed="false">
      <c r="A4477" s="5" t="s">
        <v>960</v>
      </c>
      <c r="B4477" s="0" t="s">
        <v>86</v>
      </c>
      <c r="C4477" s="38" t="n">
        <f aca="false">Sens!$C$4476*m_ai</f>
        <v>448.024224743062</v>
      </c>
    </row>
    <row r="4478" customFormat="false" ht="17.15" hidden="false" customHeight="false" outlineLevel="0" collapsed="false">
      <c r="A4478" s="0" t="s">
        <v>961</v>
      </c>
      <c r="B4478" s="0" t="s">
        <v>86</v>
      </c>
      <c r="C4478" s="38" t="n">
        <f aca="false">IF(ai_leg=1,Sens!$C$4475,Sens!$C$4477)</f>
        <v>143.3703803388</v>
      </c>
    </row>
    <row r="4479" customFormat="false" ht="17.15" hidden="false" customHeight="false" outlineLevel="0" collapsed="false">
      <c r="A4479" s="5" t="s">
        <v>962</v>
      </c>
      <c r="B4479" s="0" t="s">
        <v>86</v>
      </c>
      <c r="C4479" s="38" t="n">
        <f aca="false">Sens!$C$4465+Sens!$C$4468+Sens!$C$4471+Sens!$C$4478</f>
        <v>2936.03548562441</v>
      </c>
    </row>
    <row r="4480" customFormat="false" ht="17.15" hidden="false" customHeight="false" outlineLevel="0" collapsed="false">
      <c r="A4480" s="5" t="s">
        <v>963</v>
      </c>
      <c r="B4480" s="0" t="s">
        <v>86</v>
      </c>
      <c r="C4480" s="38" t="n">
        <f aca="false">Sens!$H$4433+fin_debt</f>
        <v>143.676612799516</v>
      </c>
    </row>
    <row r="4481" customFormat="false" ht="15" hidden="false" customHeight="false" outlineLevel="0" collapsed="false">
      <c r="A4481" s="5" t="s">
        <v>964</v>
      </c>
      <c r="B4481" s="0" t="s">
        <v>86</v>
      </c>
      <c r="C4481" s="38" t="n">
        <f aca="false">Sens!$C$4479-Sens!$C$4480+Sens!$C$4458</f>
        <v>2971.30287282489</v>
      </c>
    </row>
    <row r="4482" customFormat="false" ht="15" hidden="false" customHeight="false" outlineLevel="0" collapsed="false">
      <c r="A4482" s="3" t="s">
        <v>965</v>
      </c>
      <c r="B4482" s="8" t="s">
        <v>27</v>
      </c>
      <c r="C4482" s="30" t="n">
        <f aca="false">Sens!$C$4481/sh_val</f>
        <v>269.376091453506</v>
      </c>
    </row>
    <row r="4483" customFormat="false" ht="17.15" hidden="false" customHeight="false" outlineLevel="0" collapsed="false">
      <c r="A4483" s="47" t="s">
        <v>966</v>
      </c>
      <c r="B4483" s="14" t="s">
        <v>27</v>
      </c>
      <c r="C4483" s="44" t="n">
        <f aca="false">w_dcf*Sens!$C$4461+(1-w_dcf)*Sens!$C$4482</f>
        <v>200.996088352195</v>
      </c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</row>
    <row r="4484" customFormat="false" ht="17.15" hidden="false" customHeight="false" outlineLevel="0" collapsed="false">
      <c r="A4484" s="5" t="s">
        <v>967</v>
      </c>
      <c r="B4484" s="0" t="s">
        <v>27</v>
      </c>
      <c r="C4484" s="30" t="n">
        <f aca="false">v022_wdcf*Sens!$C$4461+(1-v022_wdcf)*Sens!$C$4482</f>
        <v>207.834088662326</v>
      </c>
    </row>
    <row r="4485" customFormat="false" ht="17.15" hidden="false" customHeight="false" outlineLevel="0" collapsed="false">
      <c r="A4485" s="5" t="s">
        <v>968</v>
      </c>
      <c r="B4485" s="0" t="s">
        <v>27</v>
      </c>
      <c r="C4485" s="30" t="n">
        <f aca="false">(Sens!$C$4481-Sens!$C$4478+Sens!$C$4477)/sh_val</f>
        <v>296.995780648597</v>
      </c>
    </row>
    <row r="4488" customFormat="false" ht="19.4" hidden="false" customHeight="false" outlineLevel="0" collapsed="false">
      <c r="A4488" s="31" t="s">
        <v>1242</v>
      </c>
    </row>
    <row r="4489" customFormat="false" ht="17.15" hidden="false" customHeight="false" outlineLevel="0" collapsed="false">
      <c r="A4489" s="6" t="s">
        <v>16</v>
      </c>
      <c r="B4489" s="6" t="s">
        <v>17</v>
      </c>
      <c r="C4489" s="20" t="s">
        <v>504</v>
      </c>
      <c r="D4489" s="20" t="s">
        <v>505</v>
      </c>
      <c r="E4489" s="20" t="s">
        <v>587</v>
      </c>
      <c r="F4489" s="20" t="s">
        <v>588</v>
      </c>
      <c r="G4489" s="20" t="s">
        <v>589</v>
      </c>
      <c r="H4489" s="20" t="s">
        <v>590</v>
      </c>
      <c r="I4489" s="20" t="s">
        <v>591</v>
      </c>
      <c r="J4489" s="20" t="s">
        <v>592</v>
      </c>
      <c r="K4489" s="20" t="s">
        <v>593</v>
      </c>
      <c r="L4489" s="20" t="s">
        <v>594</v>
      </c>
      <c r="M4489" s="20" t="s">
        <v>595</v>
      </c>
      <c r="N4489" s="20" t="s">
        <v>596</v>
      </c>
      <c r="O4489" s="20" t="s">
        <v>597</v>
      </c>
      <c r="P4489" s="6" t="s">
        <v>23</v>
      </c>
      <c r="R4489" s="20" t="n">
        <v>2023</v>
      </c>
      <c r="S4489" s="20" t="n">
        <v>2024</v>
      </c>
      <c r="T4489" s="20" t="n">
        <v>2025</v>
      </c>
      <c r="U4489" s="20" t="n">
        <v>2026</v>
      </c>
      <c r="V4489" s="20" t="n">
        <v>2027</v>
      </c>
      <c r="W4489" s="20" t="n">
        <v>2028</v>
      </c>
      <c r="X4489" s="20" t="n">
        <v>2029</v>
      </c>
      <c r="Y4489" s="20" t="n">
        <v>2030</v>
      </c>
      <c r="Z4489" s="20" t="n">
        <v>2031</v>
      </c>
      <c r="AA4489" s="20" t="n">
        <v>2032</v>
      </c>
    </row>
    <row r="4490" customFormat="false" ht="17.15" hidden="false" customHeight="false" outlineLevel="0" collapsed="false">
      <c r="A4490" s="1" t="s">
        <v>677</v>
      </c>
    </row>
    <row r="4491" customFormat="false" ht="17.15" hidden="false" customHeight="false" outlineLevel="0" collapsed="false">
      <c r="A4491" s="0" t="s">
        <v>526</v>
      </c>
      <c r="B4491" s="0" t="s">
        <v>86</v>
      </c>
      <c r="C4491" s="38" t="n">
        <f aca="false">Q!$D$10</f>
        <v>247.029</v>
      </c>
      <c r="D4491" s="38" t="n">
        <f aca="false">Q!$E$10</f>
        <v>269.287</v>
      </c>
      <c r="E4491" s="38" t="n">
        <f aca="false">Q!$P$10</f>
        <v>134.686</v>
      </c>
      <c r="F4491" s="38" t="n">
        <f aca="false">Sens!$O$4491*(1+Sens!$F$4492)*Sens!$F$4503</f>
        <v>158.293876822267</v>
      </c>
      <c r="G4491" s="38" t="n">
        <f aca="false">Sens!$E$4491+Sens!$F$4491</f>
        <v>292.979876822267</v>
      </c>
      <c r="H4491" s="38" t="n">
        <f aca="false">Sens!$G$4491*(1+Sens!$H$4492)</f>
        <v>318.184543087396</v>
      </c>
      <c r="I4491" s="38" t="n">
        <f aca="false">Sens!$H$4491*(1+Sens!$I$4492)</f>
        <v>341.736278761793</v>
      </c>
      <c r="J4491" s="38" t="n">
        <f aca="false">Sens!$I$4491*(1+Sens!$J$4492)</f>
        <v>362.927192787048</v>
      </c>
      <c r="K4491" s="38" t="n">
        <f aca="false">Sens!$J$4491*(1+Sens!$K$4492)</f>
        <v>381.0735524264</v>
      </c>
      <c r="L4491" s="38" t="n">
        <f aca="false">Sens!$K$4491*(1+Sens!$L$4492)</f>
        <v>400.12723004772</v>
      </c>
      <c r="M4491" s="38" t="n">
        <f aca="false">Sens!$L$4491*(1+Sens!$M$4492)</f>
        <v>420.133591550106</v>
      </c>
      <c r="N4491" s="38" t="n">
        <f aca="false">Q!$N$10</f>
        <v>118.892</v>
      </c>
      <c r="O4491" s="38" t="n">
        <f aca="false">Q!$O$10</f>
        <v>150.395</v>
      </c>
      <c r="P4491" s="8" t="s">
        <v>678</v>
      </c>
    </row>
    <row r="4492" customFormat="false" ht="17.15" hidden="false" customHeight="false" outlineLevel="0" collapsed="false">
      <c r="A4492" s="0" t="s">
        <v>679</v>
      </c>
      <c r="B4492" s="0" t="s">
        <v>52</v>
      </c>
      <c r="E4492" s="13" t="n">
        <f aca="false">Sens!$E$4491/Sens!$N$4491-1</f>
        <v>0.132843252699929</v>
      </c>
      <c r="F4492" s="13" t="n">
        <f aca="false">Sens!$O$4491/(Q!$F$10+Q!$G$10)-1</f>
        <v>0.0980382135842941</v>
      </c>
      <c r="G4492" s="13" t="n">
        <f aca="false">Sens!$G$4491/Sens!$D$4491-1</f>
        <v>0.0879837378791657</v>
      </c>
      <c r="H4492" s="13" t="n">
        <f aca="false">Sens!$F$4492+(g_os-Sens!$F$4492)*1/4</f>
        <v>0.0860286601882206</v>
      </c>
      <c r="I4492" s="13" t="n">
        <f aca="false">Sens!$F$4492+(g_os-Sens!$F$4492)*2/4</f>
        <v>0.074019106792147</v>
      </c>
      <c r="J4492" s="13" t="n">
        <f aca="false">Sens!$F$4492+(g_os-Sens!$F$4492)*3/4</f>
        <v>0.0620095533960735</v>
      </c>
      <c r="K4492" s="13" t="n">
        <f aca="false">Sens!$F$4492+(g_os-Sens!$F$4492)*4/4</f>
        <v>0.05</v>
      </c>
      <c r="L4492" s="13" t="n">
        <f aca="false">g_os</f>
        <v>0.05</v>
      </c>
      <c r="M4492" s="13" t="n">
        <f aca="false">g_os</f>
        <v>0.05</v>
      </c>
      <c r="P4492" s="8" t="s">
        <v>680</v>
      </c>
    </row>
    <row r="4493" customFormat="false" ht="17.15" hidden="false" customHeight="false" outlineLevel="0" collapsed="false">
      <c r="A4493" s="0" t="s">
        <v>527</v>
      </c>
      <c r="B4493" s="0" t="s">
        <v>86</v>
      </c>
      <c r="C4493" s="38" t="n">
        <f aca="false">Q!$D$11</f>
        <v>21.215</v>
      </c>
      <c r="D4493" s="38" t="n">
        <f aca="false">Q!$E$11</f>
        <v>22.561</v>
      </c>
      <c r="E4493" s="38" t="n">
        <f aca="false">Q!$P$11</f>
        <v>11.579</v>
      </c>
      <c r="F4493" s="38" t="n">
        <f aca="false">Sens!$O$4493*(1+Sens!$F$4494)*Sens!$F$4503</f>
        <v>11.5938724610325</v>
      </c>
      <c r="G4493" s="38" t="n">
        <f aca="false">Sens!$E$4493+Sens!$F$4493</f>
        <v>23.1728724610325</v>
      </c>
      <c r="H4493" s="38" t="n">
        <f aca="false">Sens!$G$4493*(1+Sens!$H$4494)</f>
        <v>24.353392759506</v>
      </c>
      <c r="I4493" s="38" t="n">
        <f aca="false">Sens!$H$4493*(1+Sens!$I$4494)</f>
        <v>25.4240338872015</v>
      </c>
      <c r="J4493" s="38" t="n">
        <f aca="false">Sens!$I$4493*(1+Sens!$J$4494)</f>
        <v>26.3642491017174</v>
      </c>
      <c r="K4493" s="38" t="n">
        <f aca="false">Sens!$J$4493*(1+Sens!$K$4494)</f>
        <v>27.155176574769</v>
      </c>
      <c r="L4493" s="38" t="n">
        <f aca="false">Sens!$K$4493*(1+Sens!$L$4494)</f>
        <v>27.969831872012</v>
      </c>
      <c r="M4493" s="38" t="n">
        <f aca="false">Sens!$L$4493*(1+Sens!$M$4494)</f>
        <v>28.8089268281724</v>
      </c>
      <c r="N4493" s="38" t="n">
        <f aca="false">Q!$N$11</f>
        <v>11.128</v>
      </c>
      <c r="O4493" s="38" t="n">
        <f aca="false">Q!$O$11</f>
        <v>11.433</v>
      </c>
      <c r="P4493" s="8" t="s">
        <v>678</v>
      </c>
    </row>
    <row r="4494" customFormat="false" ht="17.15" hidden="false" customHeight="false" outlineLevel="0" collapsed="false">
      <c r="A4494" s="0" t="s">
        <v>681</v>
      </c>
      <c r="B4494" s="0" t="s">
        <v>52</v>
      </c>
      <c r="E4494" s="13" t="n">
        <f aca="false">Sens!$E$4493/Sens!$N$4493-1</f>
        <v>0.0405283968368082</v>
      </c>
      <c r="F4494" s="13" t="n">
        <f aca="false">Sens!$O$4493/(Q!$F$11+Q!$G$11)-1</f>
        <v>0.0579254187100955</v>
      </c>
      <c r="G4494" s="13" t="n">
        <f aca="false">Sens!$G$4493/Sens!$D$4493-1</f>
        <v>0.0271208040881397</v>
      </c>
      <c r="H4494" s="13" t="n">
        <f aca="false">Sens!$F$4494+(g_ps-Sens!$F$4494)*1/4</f>
        <v>0.0509440640325716</v>
      </c>
      <c r="I4494" s="13" t="n">
        <f aca="false">Sens!$F$4494+(g_ps-Sens!$F$4494)*2/4</f>
        <v>0.0439627093550477</v>
      </c>
      <c r="J4494" s="13" t="n">
        <f aca="false">Sens!$F$4494+(g_ps-Sens!$F$4494)*3/4</f>
        <v>0.0369813546775239</v>
      </c>
      <c r="K4494" s="13" t="n">
        <f aca="false">Sens!$F$4494+(g_ps-Sens!$F$4494)*4/4</f>
        <v>0.03</v>
      </c>
      <c r="L4494" s="13" t="n">
        <f aca="false">g_ps</f>
        <v>0.03</v>
      </c>
      <c r="M4494" s="13" t="n">
        <f aca="false">g_ps</f>
        <v>0.03</v>
      </c>
      <c r="P4494" s="8" t="s">
        <v>682</v>
      </c>
    </row>
    <row r="4495" customFormat="false" ht="17.15" hidden="false" customHeight="false" outlineLevel="0" collapsed="false">
      <c r="A4495" s="0" t="s">
        <v>528</v>
      </c>
      <c r="B4495" s="0" t="s">
        <v>86</v>
      </c>
      <c r="C4495" s="38" t="n">
        <f aca="false">Q!$D$12</f>
        <v>156.146</v>
      </c>
      <c r="D4495" s="38" t="n">
        <f aca="false">Q!$E$12</f>
        <v>172.162</v>
      </c>
      <c r="E4495" s="38" t="n">
        <f aca="false">Q!$P$12</f>
        <v>88.358</v>
      </c>
      <c r="F4495" s="38" t="n">
        <f aca="false">Sens!$O$4495*(1+Sens!$F$4496)*Sens!$F$4503</f>
        <v>102.004388260171</v>
      </c>
      <c r="G4495" s="38" t="n">
        <f aca="false">Sens!$E$4495+Sens!$F$4495</f>
        <v>190.362388260171</v>
      </c>
      <c r="H4495" s="38" t="n">
        <f aca="false">Sens!$G$4495*(1+Sens!$H$4496)</f>
        <v>210.343106588311</v>
      </c>
      <c r="I4495" s="38" t="n">
        <f aca="false">Sens!$H$4495*(1+Sens!$I$4496)</f>
        <v>229.969728494648</v>
      </c>
      <c r="J4495" s="38" t="n">
        <f aca="false">Sens!$I$4495*(1+Sens!$J$4496)</f>
        <v>248.747636972598</v>
      </c>
      <c r="K4495" s="38" t="n">
        <f aca="false">Sens!$J$4495*(1+Sens!$K$4496)</f>
        <v>266.15997156068</v>
      </c>
      <c r="L4495" s="38" t="n">
        <f aca="false">Sens!$K$4495*(1+Sens!$L$4496)</f>
        <v>284.791169569927</v>
      </c>
      <c r="M4495" s="38" t="n">
        <f aca="false">Sens!$L$4495*(1+Sens!$M$4496)</f>
        <v>304.726551439822</v>
      </c>
      <c r="N4495" s="38" t="n">
        <f aca="false">Q!$N$12</f>
        <v>76.86</v>
      </c>
      <c r="O4495" s="38" t="n">
        <f aca="false">Q!$O$12</f>
        <v>95.302</v>
      </c>
      <c r="P4495" s="8" t="s">
        <v>678</v>
      </c>
    </row>
    <row r="4496" customFormat="false" ht="17.15" hidden="false" customHeight="false" outlineLevel="0" collapsed="false">
      <c r="A4496" s="0" t="s">
        <v>683</v>
      </c>
      <c r="B4496" s="0" t="s">
        <v>52</v>
      </c>
      <c r="E4496" s="13" t="n">
        <f aca="false">Sens!$E$4495/Sens!$N$4495-1</f>
        <v>0.1495966692688</v>
      </c>
      <c r="F4496" s="13" t="n">
        <f aca="false">Sens!$O$4495/(Q!$F$12+Q!$G$12)-1</f>
        <v>0.11661530890813</v>
      </c>
      <c r="G4496" s="13" t="n">
        <f aca="false">Sens!$G$4495/Sens!$D$4495-1</f>
        <v>0.105716640490767</v>
      </c>
      <c r="H4496" s="13" t="n">
        <f aca="false">Sens!$F$4496+(g_sp-Sens!$F$4496)*1/4</f>
        <v>0.104961481681098</v>
      </c>
      <c r="I4496" s="13" t="n">
        <f aca="false">Sens!$F$4496+(g_sp-Sens!$F$4496)*2/4</f>
        <v>0.0933076544540651</v>
      </c>
      <c r="J4496" s="13" t="n">
        <f aca="false">Sens!$F$4496+(g_sp-Sens!$F$4496)*3/4</f>
        <v>0.0816538272270325</v>
      </c>
      <c r="K4496" s="13" t="n">
        <f aca="false">Sens!$F$4496+(g_sp-Sens!$F$4496)*4/4</f>
        <v>0.07</v>
      </c>
      <c r="L4496" s="13" t="n">
        <f aca="false">g_sp</f>
        <v>0.07</v>
      </c>
      <c r="M4496" s="13" t="n">
        <f aca="false">g_sp</f>
        <v>0.07</v>
      </c>
      <c r="P4496" s="8" t="s">
        <v>684</v>
      </c>
    </row>
    <row r="4497" customFormat="false" ht="17.15" hidden="false" customHeight="false" outlineLevel="0" collapsed="false">
      <c r="A4497" s="0" t="s">
        <v>529</v>
      </c>
      <c r="B4497" s="0" t="s">
        <v>86</v>
      </c>
      <c r="C4497" s="38" t="n">
        <f aca="false">Q!$D$13</f>
        <v>56.214</v>
      </c>
      <c r="D4497" s="38" t="n">
        <f aca="false">Q!$E$13</f>
        <v>68.635</v>
      </c>
      <c r="E4497" s="38" t="n">
        <f aca="false">Q!$P$13</f>
        <v>37.052</v>
      </c>
      <c r="F4497" s="38" t="n">
        <f aca="false">Sens!$O$4497*(1+Sens!$F$4498)*Sens!$F$4503</f>
        <v>46.1572219944148</v>
      </c>
      <c r="G4497" s="38" t="n">
        <f aca="false">Sens!$E$4497+Sens!$F$4497</f>
        <v>83.2092219944148</v>
      </c>
      <c r="H4497" s="38" t="n">
        <f aca="false">Sens!$G$4497*(1+Sens!$H$4498)</f>
        <v>100.520991552856</v>
      </c>
      <c r="I4497" s="38" t="n">
        <f aca="false">Sens!$H$4497*(1+Sens!$I$4498)</f>
        <v>118.819235941213</v>
      </c>
      <c r="J4497" s="38" t="n">
        <f aca="false">Sens!$I$4497*(1+Sens!$J$4498)</f>
        <v>137.357060346466</v>
      </c>
      <c r="K4497" s="38" t="n">
        <f aca="false">Sens!$J$4497*(1+Sens!$K$4498)</f>
        <v>155.213478191507</v>
      </c>
      <c r="L4497" s="38" t="n">
        <f aca="false">Sens!$K$4497*(1+Sens!$L$4498)</f>
        <v>175.391230356402</v>
      </c>
      <c r="M4497" s="38" t="n">
        <f aca="false">Sens!$L$4497*(1+Sens!$M$4498)</f>
        <v>198.192090302735</v>
      </c>
      <c r="N4497" s="38" t="n">
        <f aca="false">Q!$N$13</f>
        <v>29.615</v>
      </c>
      <c r="O4497" s="38" t="n">
        <f aca="false">Q!$O$13</f>
        <v>39.02</v>
      </c>
      <c r="P4497" s="8" t="s">
        <v>678</v>
      </c>
    </row>
    <row r="4498" customFormat="false" ht="17.15" hidden="false" customHeight="false" outlineLevel="0" collapsed="false">
      <c r="A4498" s="0" t="s">
        <v>685</v>
      </c>
      <c r="B4498" s="0" t="s">
        <v>52</v>
      </c>
      <c r="E4498" s="13" t="n">
        <f aca="false">Sens!$E$4497/Sens!$N$4497-1</f>
        <v>0.25112274185379</v>
      </c>
      <c r="F4498" s="13" t="n">
        <f aca="false">Sens!$O$4497/(Q!$F$13+Q!$G$13)-1</f>
        <v>0.234068123596572</v>
      </c>
      <c r="G4498" s="13" t="n">
        <f aca="false">Sens!$G$4497/Sens!$D$4497-1</f>
        <v>0.212343876949294</v>
      </c>
      <c r="H4498" s="13" t="n">
        <f aca="false">Sens!$F$4498+(g_ad_hi-Sens!$F$4498)*1/4</f>
        <v>0.208051092697429</v>
      </c>
      <c r="I4498" s="13" t="n">
        <f aca="false">Sens!$F$4498+(g_ad_hi-Sens!$F$4498)*2/4</f>
        <v>0.182034061798286</v>
      </c>
      <c r="J4498" s="13" t="n">
        <f aca="false">Sens!$F$4498+(g_ad_hi-Sens!$F$4498)*3/4</f>
        <v>0.156017030899143</v>
      </c>
      <c r="K4498" s="13" t="n">
        <f aca="false">Sens!$F$4498+(g_ad_hi-Sens!$F$4498)*4/4</f>
        <v>0.13</v>
      </c>
      <c r="L4498" s="13" t="n">
        <f aca="false">g_ad_hi</f>
        <v>0.13</v>
      </c>
      <c r="M4498" s="13" t="n">
        <f aca="false">g_ad_hi</f>
        <v>0.13</v>
      </c>
      <c r="P4498" s="8" t="s">
        <v>686</v>
      </c>
    </row>
    <row r="4499" customFormat="false" ht="17.15" hidden="false" customHeight="false" outlineLevel="0" collapsed="false">
      <c r="A4499" s="0" t="s">
        <v>530</v>
      </c>
      <c r="B4499" s="0" t="s">
        <v>86</v>
      </c>
      <c r="C4499" s="38" t="n">
        <f aca="false">Q!$D$14</f>
        <v>44.374</v>
      </c>
      <c r="D4499" s="38" t="n">
        <f aca="false">Q!$E$14</f>
        <v>49.619</v>
      </c>
      <c r="E4499" s="38" t="n">
        <f aca="false">Q!$P$14</f>
        <v>27.157</v>
      </c>
      <c r="F4499" s="38" t="n">
        <f aca="false">Sens!$O$4499*(1+Sens!$F$4500)*Sens!$F$4503</f>
        <v>27.7764165988154</v>
      </c>
      <c r="G4499" s="38" t="n">
        <f aca="false">Sens!$E$4499+Sens!$F$4499</f>
        <v>54.9334165988154</v>
      </c>
      <c r="H4499" s="38" t="n">
        <f aca="false">Sens!$G$4499*(1+Sens!$H$4500)</f>
        <v>61.1564112561829</v>
      </c>
      <c r="I4499" s="38" t="n">
        <f aca="false">Sens!$H$4499*(1+Sens!$I$4500)</f>
        <v>67.2020282103945</v>
      </c>
      <c r="J4499" s="38" t="n">
        <f aca="false">Sens!$I$4499*(1+Sens!$J$4500)</f>
        <v>72.8757274028885</v>
      </c>
      <c r="K4499" s="38" t="n">
        <f aca="false">Sens!$J$4499*(1+Sens!$K$4500)</f>
        <v>77.9770283210907</v>
      </c>
      <c r="L4499" s="38" t="n">
        <f aca="false">Sens!$K$4499*(1+Sens!$L$4500)</f>
        <v>83.4354203035671</v>
      </c>
      <c r="M4499" s="38" t="n">
        <f aca="false">Sens!$L$4499*(1+Sens!$M$4500)</f>
        <v>89.2758997248168</v>
      </c>
      <c r="N4499" s="38" t="n">
        <f aca="false">Q!$N$14</f>
        <v>23.923</v>
      </c>
      <c r="O4499" s="38" t="n">
        <f aca="false">Q!$O$14</f>
        <v>25.696</v>
      </c>
      <c r="P4499" s="8" t="s">
        <v>678</v>
      </c>
    </row>
    <row r="4500" customFormat="false" ht="17.15" hidden="false" customHeight="false" outlineLevel="0" collapsed="false">
      <c r="A4500" s="0" t="s">
        <v>687</v>
      </c>
      <c r="B4500" s="0" t="s">
        <v>52</v>
      </c>
      <c r="E4500" s="13" t="n">
        <f aca="false">Sens!$E$4499/Sens!$N$4499-1</f>
        <v>0.135183714417088</v>
      </c>
      <c r="F4500" s="13" t="n">
        <f aca="false">Sens!$O$4499/(Q!$F$14+Q!$G$14)-1</f>
        <v>0.127709997366804</v>
      </c>
      <c r="G4500" s="13" t="n">
        <f aca="false">Sens!$G$4499/Sens!$D$4499-1</f>
        <v>0.107104468022641</v>
      </c>
      <c r="H4500" s="13" t="n">
        <f aca="false">Sens!$F$4500+(g_sub-Sens!$F$4500)*1/4</f>
        <v>0.113282498025103</v>
      </c>
      <c r="I4500" s="13" t="n">
        <f aca="false">Sens!$F$4500+(g_sub-Sens!$F$4500)*2/4</f>
        <v>0.0988549986834021</v>
      </c>
      <c r="J4500" s="13" t="n">
        <f aca="false">Sens!$F$4500+(g_sub-Sens!$F$4500)*3/4</f>
        <v>0.084427499341701</v>
      </c>
      <c r="K4500" s="13" t="n">
        <f aca="false">Sens!$F$4500+(g_sub-Sens!$F$4500)*4/4</f>
        <v>0.07</v>
      </c>
      <c r="L4500" s="13" t="n">
        <f aca="false">g_sub</f>
        <v>0.07</v>
      </c>
      <c r="M4500" s="13" t="n">
        <f aca="false">g_sub</f>
        <v>0.07</v>
      </c>
      <c r="P4500" s="8" t="s">
        <v>688</v>
      </c>
    </row>
    <row r="4501" customFormat="false" ht="17.15" hidden="false" customHeight="false" outlineLevel="0" collapsed="false">
      <c r="A4501" s="0" t="s">
        <v>531</v>
      </c>
      <c r="B4501" s="0" t="s">
        <v>86</v>
      </c>
      <c r="C4501" s="38" t="n">
        <f aca="false">Q!$D$15</f>
        <v>5.425</v>
      </c>
      <c r="D4501" s="38" t="n">
        <f aca="false">Q!$E$15</f>
        <v>5.935</v>
      </c>
      <c r="E4501" s="38" t="n">
        <f aca="false">Q!$P$15</f>
        <v>3.474</v>
      </c>
      <c r="F4501" s="38" t="n">
        <f aca="false">Sens!$O$4501*(1+Sens!$F$4502)*Sens!$F$4503</f>
        <v>3.22246550883619</v>
      </c>
      <c r="G4501" s="38" t="n">
        <f aca="false">Sens!$E$4501+Sens!$F$4501</f>
        <v>6.69646550883619</v>
      </c>
      <c r="H4501" s="38" t="n">
        <f aca="false">Sens!$G$4501*(1+Sens!$H$4502)</f>
        <v>7.16251344209196</v>
      </c>
      <c r="I4501" s="38" t="n">
        <f aca="false">Sens!$H$4501*(1+Sens!$I$4502)</f>
        <v>7.61421070299826</v>
      </c>
      <c r="J4501" s="38" t="n">
        <f aca="false">Sens!$I$4501*(1+Sens!$J$4502)</f>
        <v>8.04465753523932</v>
      </c>
      <c r="K4501" s="38" t="n">
        <f aca="false">Sens!$J$4501*(1+Sens!$K$4502)</f>
        <v>8.44689041200128</v>
      </c>
      <c r="L4501" s="38" t="n">
        <f aca="false">Sens!$K$4501*(1+Sens!$L$4502)</f>
        <v>8.86923493260135</v>
      </c>
      <c r="M4501" s="38" t="n">
        <f aca="false">Sens!$L$4501*(1+Sens!$M$4502)</f>
        <v>9.31269667923142</v>
      </c>
      <c r="N4501" s="38" t="n">
        <f aca="false">Q!$N$15</f>
        <v>2.811</v>
      </c>
      <c r="O4501" s="38" t="n">
        <f aca="false">Q!$O$15</f>
        <v>3.124</v>
      </c>
      <c r="P4501" s="8" t="s">
        <v>678</v>
      </c>
    </row>
    <row r="4502" customFormat="false" ht="17.15" hidden="false" customHeight="false" outlineLevel="0" collapsed="false">
      <c r="A4502" s="0" t="s">
        <v>689</v>
      </c>
      <c r="B4502" s="0" t="s">
        <v>52</v>
      </c>
      <c r="E4502" s="13" t="n">
        <f aca="false">Sens!$E$4501/Sens!$N$4501-1</f>
        <v>0.235859124866596</v>
      </c>
      <c r="F4502" s="13" t="n">
        <f aca="false">Sens!$O$4501/(Q!$F$15+Q!$G$15)-1</f>
        <v>0.0761281433000345</v>
      </c>
      <c r="G4502" s="13" t="n">
        <f aca="false">Sens!$G$4501/Sens!$D$4501-1</f>
        <v>0.128300843948811</v>
      </c>
      <c r="H4502" s="13" t="n">
        <f aca="false">Sens!$F$4502+(g_ot-Sens!$F$4502)*1/4</f>
        <v>0.0695961074750259</v>
      </c>
      <c r="I4502" s="13" t="n">
        <f aca="false">Sens!$F$4502+(g_ot-Sens!$F$4502)*2/4</f>
        <v>0.0630640716500172</v>
      </c>
      <c r="J4502" s="13" t="n">
        <f aca="false">Sens!$F$4502+(g_ot-Sens!$F$4502)*3/4</f>
        <v>0.0565320358250086</v>
      </c>
      <c r="K4502" s="13" t="n">
        <f aca="false">Sens!$F$4502+(g_ot-Sens!$F$4502)*4/4</f>
        <v>0.05</v>
      </c>
      <c r="L4502" s="13" t="n">
        <f aca="false">g_ot</f>
        <v>0.05</v>
      </c>
      <c r="M4502" s="13" t="n">
        <f aca="false">g_ot</f>
        <v>0.05</v>
      </c>
      <c r="P4502" s="8" t="s">
        <v>690</v>
      </c>
    </row>
    <row r="4503" customFormat="false" ht="17.15" hidden="false" customHeight="false" outlineLevel="0" collapsed="false">
      <c r="A4503" s="0" t="s">
        <v>691</v>
      </c>
      <c r="B4503" s="0" t="s">
        <v>57</v>
      </c>
      <c r="F4503" s="40" t="n">
        <f aca="false">(g26q3_mid*Q!$O$8/Q!$J$8-Thesis!$F$89-Thesis!$F$93)/(Sens!$O$4491*(1+Sens!$F$4492)+Sens!$O$4493*(1+Sens!$F$4494)+Sens!$O$4495*(1+Sens!$F$4496)+Sens!$O$4497*(1+Sens!$F$4498)+Sens!$O$4499*(1+Sens!$F$4500)+Sens!$O$4501*(1+Sens!$F$4502))</f>
        <v>0.958546670622329</v>
      </c>
      <c r="P4503" s="8" t="s">
        <v>692</v>
      </c>
    </row>
    <row r="4504" customFormat="false" ht="17.15" hidden="false" customHeight="false" outlineLevel="0" collapsed="false">
      <c r="A4504" s="3" t="s">
        <v>693</v>
      </c>
      <c r="B4504" s="8" t="s">
        <v>86</v>
      </c>
      <c r="C4504" s="38" t="n">
        <f aca="false">Sens!$C$4491+Sens!$C$4493+Sens!$C$4495+Sens!$C$4497+Sens!$C$4499+Sens!$C$4501</f>
        <v>530.403</v>
      </c>
      <c r="D4504" s="38" t="n">
        <f aca="false">Sens!$D$4491+Sens!$D$4493+Sens!$D$4495+Sens!$D$4497+Sens!$D$4499+Sens!$D$4501</f>
        <v>588.199</v>
      </c>
      <c r="E4504" s="38" t="n">
        <f aca="false">Sens!$E$4491+Sens!$E$4493+Sens!$E$4495+Sens!$E$4497+Sens!$E$4499+Sens!$E$4501</f>
        <v>302.306</v>
      </c>
      <c r="F4504" s="38" t="n">
        <f aca="false">Sens!$F$4491+Sens!$F$4493+Sens!$F$4495+Sens!$F$4497+Sens!$F$4499+Sens!$F$4501</f>
        <v>349.048241645537</v>
      </c>
      <c r="G4504" s="38" t="n">
        <f aca="false">Sens!$G$4491+Sens!$G$4493+Sens!$G$4495+Sens!$G$4497+Sens!$G$4499+Sens!$G$4501</f>
        <v>651.354241645537</v>
      </c>
      <c r="H4504" s="38" t="n">
        <f aca="false">Sens!$H$4491+Sens!$H$4493+Sens!$H$4495+Sens!$H$4497+Sens!$H$4499+Sens!$H$4501</f>
        <v>721.720958686344</v>
      </c>
      <c r="I4504" s="38" t="n">
        <f aca="false">Sens!$I$4491+Sens!$I$4493+Sens!$I$4495+Sens!$I$4497+Sens!$I$4499+Sens!$I$4501</f>
        <v>790.765515998248</v>
      </c>
      <c r="J4504" s="38" t="n">
        <f aca="false">Sens!$J$4491+Sens!$J$4493+Sens!$J$4495+Sens!$J$4497+Sens!$J$4499+Sens!$J$4501</f>
        <v>856.316524145957</v>
      </c>
      <c r="K4504" s="38" t="n">
        <f aca="false">Sens!$K$4491+Sens!$K$4493+Sens!$K$4495+Sens!$K$4497+Sens!$K$4499+Sens!$K$4501</f>
        <v>916.026097486447</v>
      </c>
      <c r="L4504" s="38" t="n">
        <f aca="false">Sens!$L$4491+Sens!$L$4493+Sens!$L$4495+Sens!$L$4497+Sens!$L$4499+Sens!$L$4501</f>
        <v>980.58411708223</v>
      </c>
      <c r="M4504" s="38" t="n">
        <f aca="false">Sens!$M$4491+Sens!$M$4493+Sens!$M$4495+Sens!$M$4497+Sens!$M$4499+Sens!$M$4501</f>
        <v>1050.44975652488</v>
      </c>
      <c r="N4504" s="38" t="n">
        <f aca="false">Sens!$N$4491+Sens!$N$4493+Sens!$N$4495+Sens!$N$4497+Sens!$N$4499+Sens!$N$4501</f>
        <v>263.229</v>
      </c>
      <c r="O4504" s="38" t="n">
        <f aca="false">Sens!$O$4491+Sens!$O$4493+Sens!$O$4495+Sens!$O$4497+Sens!$O$4499+Sens!$O$4501</f>
        <v>324.97</v>
      </c>
    </row>
    <row r="4505" customFormat="false" ht="17.15" hidden="false" customHeight="false" outlineLevel="0" collapsed="false">
      <c r="A4505" s="5" t="s">
        <v>694</v>
      </c>
      <c r="B4505" s="0" t="s">
        <v>52</v>
      </c>
      <c r="C4505" s="13" t="n">
        <f aca="false">Q!$D$5/(Q!$D$5+Q!$D$6)</f>
        <v>0.730570905519011</v>
      </c>
      <c r="D4505" s="13" t="n">
        <f aca="false">Q!$E$5/(Q!$E$5+Q!$E$6)</f>
        <v>0.724763217890544</v>
      </c>
      <c r="E4505" s="13" t="n">
        <f aca="false">Q!$P$5/(Q!$P$5+Q!$P$6)</f>
        <v>0.728797972914861</v>
      </c>
      <c r="F4505" s="13" t="n">
        <f aca="false">Sens!$O$4505</f>
        <v>0.718066283041511</v>
      </c>
      <c r="G4505" s="13" t="n">
        <f aca="false">Sens!$G$4506/Sens!$G$4504</f>
        <v>0.723047066202847</v>
      </c>
      <c r="H4505" s="13" t="n">
        <f aca="false">Sens!$G$4505</f>
        <v>0.723047066202847</v>
      </c>
      <c r="I4505" s="13" t="n">
        <f aca="false">Sens!$G$4505</f>
        <v>0.723047066202847</v>
      </c>
      <c r="J4505" s="13" t="n">
        <f aca="false">Sens!$G$4505</f>
        <v>0.723047066202847</v>
      </c>
      <c r="K4505" s="13" t="n">
        <f aca="false">Sens!$G$4505</f>
        <v>0.723047066202847</v>
      </c>
      <c r="L4505" s="13" t="n">
        <f aca="false">Sens!$G$4505</f>
        <v>0.723047066202847</v>
      </c>
      <c r="M4505" s="13" t="n">
        <f aca="false">Sens!$G$4505</f>
        <v>0.723047066202847</v>
      </c>
      <c r="N4505" s="13" t="n">
        <f aca="false">Q!$N$5/(Q!$N$5+Q!$N$6)</f>
        <v>0.733030935041352</v>
      </c>
      <c r="O4505" s="13" t="n">
        <f aca="false">Q!$O$5/(Q!$O$5+Q!$O$6)</f>
        <v>0.718066283041511</v>
      </c>
      <c r="P4505" s="8" t="s">
        <v>695</v>
      </c>
    </row>
    <row r="4506" customFormat="false" ht="17.15" hidden="false" customHeight="false" outlineLevel="0" collapsed="false">
      <c r="A4506" s="1" t="s">
        <v>519</v>
      </c>
      <c r="B4506" s="8" t="s">
        <v>86</v>
      </c>
      <c r="C4506" s="38" t="n">
        <f aca="false">Q!$D$5</f>
        <v>387.497</v>
      </c>
      <c r="D4506" s="38" t="n">
        <f aca="false">Q!$E$5</f>
        <v>426.305</v>
      </c>
      <c r="E4506" s="38" t="n">
        <f aca="false">Q!$P$5</f>
        <v>220.32</v>
      </c>
      <c r="F4506" s="38" t="n">
        <f aca="false">Sens!$F$4504*Sens!$F$4505</f>
        <v>250.639773480586</v>
      </c>
      <c r="G4506" s="38" t="n">
        <f aca="false">Sens!$E$4506+Sens!$F$4506</f>
        <v>470.959773480586</v>
      </c>
      <c r="H4506" s="38" t="n">
        <f aca="false">Sens!$H$4504*Sens!$H$4505</f>
        <v>521.838221795268</v>
      </c>
      <c r="I4506" s="38" t="n">
        <f aca="false">Sens!$I$4504*Sens!$I$4505</f>
        <v>571.760686396914</v>
      </c>
      <c r="J4506" s="38" t="n">
        <f aca="false">Sens!$J$4504*Sens!$J$4505</f>
        <v>619.157150524754</v>
      </c>
      <c r="K4506" s="38" t="n">
        <f aca="false">Sens!$K$4504*Sens!$K$4505</f>
        <v>662.329982352819</v>
      </c>
      <c r="L4506" s="38" t="n">
        <f aca="false">Sens!$L$4504*Sens!$L$4505</f>
        <v>709.008469021416</v>
      </c>
      <c r="M4506" s="38" t="n">
        <f aca="false">Sens!$M$4504*Sens!$M$4505</f>
        <v>759.524614648812</v>
      </c>
      <c r="N4506" s="38" t="n">
        <f aca="false">Q!$N$5</f>
        <v>192.955</v>
      </c>
      <c r="O4506" s="38" t="n">
        <f aca="false">Q!$O$5</f>
        <v>233.35</v>
      </c>
      <c r="P4506" s="5" t="s">
        <v>696</v>
      </c>
    </row>
    <row r="4507" customFormat="false" ht="17.15" hidden="false" customHeight="false" outlineLevel="0" collapsed="false">
      <c r="A4507" s="1" t="s">
        <v>522</v>
      </c>
      <c r="B4507" s="8" t="s">
        <v>86</v>
      </c>
      <c r="C4507" s="38" t="n">
        <f aca="false">Q!$D$6</f>
        <v>142.906</v>
      </c>
      <c r="D4507" s="38" t="n">
        <f aca="false">Q!$E$6</f>
        <v>161.894</v>
      </c>
      <c r="E4507" s="38" t="n">
        <f aca="false">Q!$P$6</f>
        <v>81.986</v>
      </c>
      <c r="F4507" s="38" t="n">
        <f aca="false">Sens!$F$4504*(1-Sens!$F$4505)</f>
        <v>98.408468164951</v>
      </c>
      <c r="G4507" s="38" t="n">
        <f aca="false">Sens!$E$4507+Sens!$F$4507</f>
        <v>180.394468164951</v>
      </c>
      <c r="H4507" s="38" t="n">
        <f aca="false">Sens!$H$4504*(1-Sens!$H$4505)</f>
        <v>199.882736891077</v>
      </c>
      <c r="I4507" s="38" t="n">
        <f aca="false">Sens!$I$4504*(1-Sens!$I$4505)</f>
        <v>219.004829601334</v>
      </c>
      <c r="J4507" s="38" t="n">
        <f aca="false">Sens!$J$4504*(1-Sens!$J$4505)</f>
        <v>237.159373621203</v>
      </c>
      <c r="K4507" s="38" t="n">
        <f aca="false">Sens!$K$4504*(1-Sens!$K$4505)</f>
        <v>253.696115133628</v>
      </c>
      <c r="L4507" s="38" t="n">
        <f aca="false">Sens!$L$4504*(1-Sens!$L$4505)</f>
        <v>271.575648060814</v>
      </c>
      <c r="M4507" s="38" t="n">
        <f aca="false">Sens!$M$4504*(1-Sens!$M$4505)</f>
        <v>290.925141876071</v>
      </c>
      <c r="N4507" s="38" t="n">
        <f aca="false">Q!$N$6</f>
        <v>70.274</v>
      </c>
      <c r="O4507" s="38" t="n">
        <f aca="false">Q!$O$6</f>
        <v>91.62</v>
      </c>
      <c r="P4507" s="5" t="s">
        <v>697</v>
      </c>
    </row>
    <row r="4508" customFormat="false" ht="17.15" hidden="false" customHeight="false" outlineLevel="0" collapsed="false">
      <c r="A4508" s="5" t="s">
        <v>698</v>
      </c>
      <c r="B4508" s="0" t="s">
        <v>86</v>
      </c>
      <c r="C4508" s="38" t="n">
        <f aca="false">Sens!$C$4497*Sens!$C$4505</f>
        <v>41.0683128828457</v>
      </c>
      <c r="D4508" s="38" t="n">
        <f aca="false">Sens!$D$4497*Sens!$D$4505</f>
        <v>49.7441234599175</v>
      </c>
      <c r="E4508" s="38" t="n">
        <f aca="false">Sens!$E$4497*Sens!$E$4505</f>
        <v>27.0034224924414</v>
      </c>
      <c r="F4508" s="38" t="n">
        <f aca="false">Sens!$F$4497*Sens!$F$4505</f>
        <v>33.1439448330513</v>
      </c>
      <c r="G4508" s="38" t="n">
        <f aca="false">Sens!$G$4497*Sens!$G$4505</f>
        <v>60.164183844083</v>
      </c>
      <c r="H4508" s="38" t="n">
        <f aca="false">Sens!$H$4497*Sens!$H$4505</f>
        <v>72.6814080340935</v>
      </c>
      <c r="I4508" s="38" t="n">
        <f aca="false">Sens!$I$4497*Sens!$I$4505</f>
        <v>85.9118999557581</v>
      </c>
      <c r="J4508" s="38" t="n">
        <f aca="false">Sens!$J$4497*Sens!$J$4505</f>
        <v>99.3156195057597</v>
      </c>
      <c r="K4508" s="38" t="n">
        <f aca="false">Sens!$K$4497*Sens!$K$4505</f>
        <v>112.226650041508</v>
      </c>
      <c r="L4508" s="38" t="n">
        <f aca="false">Sens!$L$4497*Sens!$L$4505</f>
        <v>126.816114546904</v>
      </c>
      <c r="M4508" s="38" t="n">
        <f aca="false">Sens!$M$4497*Sens!$M$4505</f>
        <v>143.302209438002</v>
      </c>
      <c r="N4508" s="38" t="n">
        <f aca="false">Sens!$N$4497*Sens!$N$4505</f>
        <v>21.7087111412496</v>
      </c>
      <c r="O4508" s="38" t="n">
        <f aca="false">Sens!$O$4497*Sens!$O$4505</f>
        <v>28.0189463642798</v>
      </c>
      <c r="P4508" s="5" t="s">
        <v>699</v>
      </c>
    </row>
    <row r="4509" customFormat="false" ht="15" hidden="false" customHeight="false" outlineLevel="0" collapsed="false">
      <c r="A4509" s="5" t="s">
        <v>700</v>
      </c>
      <c r="B4509" s="0" t="s">
        <v>86</v>
      </c>
      <c r="C4509" s="38" t="n">
        <f aca="false">Sens!$C$4497-Sens!$C$4508</f>
        <v>15.1456871171543</v>
      </c>
      <c r="D4509" s="38" t="n">
        <f aca="false">Sens!$D$4497-Sens!$D$4508</f>
        <v>18.8908765400825</v>
      </c>
      <c r="E4509" s="38" t="n">
        <f aca="false">Sens!$E$4497-Sens!$E$4508</f>
        <v>10.0485775075586</v>
      </c>
      <c r="F4509" s="38" t="n">
        <f aca="false">Sens!$F$4497-Sens!$F$4508</f>
        <v>13.0132771613635</v>
      </c>
      <c r="G4509" s="38" t="n">
        <f aca="false">Sens!$G$4497-Sens!$G$4508</f>
        <v>23.0450381503318</v>
      </c>
      <c r="H4509" s="38" t="n">
        <f aca="false">Sens!$H$4497-Sens!$H$4508</f>
        <v>27.8395835187622</v>
      </c>
      <c r="I4509" s="38" t="n">
        <f aca="false">Sens!$I$4497-Sens!$I$4508</f>
        <v>32.9073359854551</v>
      </c>
      <c r="J4509" s="38" t="n">
        <f aca="false">Sens!$J$4497-Sens!$J$4508</f>
        <v>38.0414408407063</v>
      </c>
      <c r="K4509" s="38" t="n">
        <f aca="false">Sens!$K$4497-Sens!$K$4508</f>
        <v>42.9868281499981</v>
      </c>
      <c r="L4509" s="38" t="n">
        <f aca="false">Sens!$L$4497-Sens!$L$4508</f>
        <v>48.5751158094979</v>
      </c>
      <c r="M4509" s="38" t="n">
        <f aca="false">Sens!$M$4497-Sens!$M$4508</f>
        <v>54.8898808647326</v>
      </c>
      <c r="N4509" s="38" t="n">
        <f aca="false">Sens!$N$4497-Sens!$N$4508</f>
        <v>7.90628885875037</v>
      </c>
      <c r="O4509" s="38" t="n">
        <f aca="false">Sens!$O$4497-Sens!$O$4508</f>
        <v>11.0010536357202</v>
      </c>
    </row>
    <row r="4510" customFormat="false" ht="19.4" hidden="false" customHeight="false" outlineLevel="0" collapsed="false">
      <c r="A4510" s="31" t="s">
        <v>1243</v>
      </c>
    </row>
    <row r="4511" customFormat="false" ht="17.15" hidden="false" customHeight="false" outlineLevel="0" collapsed="false">
      <c r="A4511" s="6" t="s">
        <v>16</v>
      </c>
      <c r="B4511" s="6" t="s">
        <v>17</v>
      </c>
      <c r="C4511" s="20" t="s">
        <v>504</v>
      </c>
      <c r="D4511" s="20" t="s">
        <v>505</v>
      </c>
      <c r="E4511" s="20" t="s">
        <v>587</v>
      </c>
      <c r="F4511" s="20" t="s">
        <v>588</v>
      </c>
      <c r="G4511" s="20" t="s">
        <v>589</v>
      </c>
      <c r="H4511" s="20" t="s">
        <v>590</v>
      </c>
      <c r="I4511" s="20" t="s">
        <v>591</v>
      </c>
      <c r="J4511" s="20" t="s">
        <v>592</v>
      </c>
      <c r="K4511" s="20" t="s">
        <v>593</v>
      </c>
      <c r="L4511" s="20" t="s">
        <v>594</v>
      </c>
      <c r="M4511" s="20" t="s">
        <v>595</v>
      </c>
      <c r="N4511" s="20" t="s">
        <v>596</v>
      </c>
      <c r="O4511" s="20" t="s">
        <v>597</v>
      </c>
      <c r="P4511" s="6" t="s">
        <v>23</v>
      </c>
      <c r="R4511" s="20" t="n">
        <v>2023</v>
      </c>
      <c r="S4511" s="20" t="n">
        <v>2024</v>
      </c>
      <c r="T4511" s="20" t="n">
        <v>2025</v>
      </c>
      <c r="U4511" s="20" t="n">
        <v>2026</v>
      </c>
      <c r="V4511" s="20" t="n">
        <v>2027</v>
      </c>
      <c r="W4511" s="20" t="n">
        <v>2028</v>
      </c>
      <c r="X4511" s="20" t="n">
        <v>2029</v>
      </c>
      <c r="Y4511" s="20" t="n">
        <v>2030</v>
      </c>
      <c r="Z4511" s="20" t="n">
        <v>2031</v>
      </c>
      <c r="AA4511" s="20" t="n">
        <v>2032</v>
      </c>
    </row>
    <row r="4512" customFormat="false" ht="17.15" hidden="false" customHeight="false" outlineLevel="0" collapsed="false">
      <c r="A4512" s="1" t="s">
        <v>598</v>
      </c>
    </row>
    <row r="4513" customFormat="false" ht="17.15" hidden="false" customHeight="false" outlineLevel="0" collapsed="false">
      <c r="A4513" s="5" t="s">
        <v>599</v>
      </c>
      <c r="B4513" s="0" t="s">
        <v>144</v>
      </c>
      <c r="H4513" s="32" t="n">
        <f aca="false">pace_B</f>
        <v>3634.3</v>
      </c>
      <c r="I4513" s="32" t="n">
        <f aca="false">pace_B</f>
        <v>3634.3</v>
      </c>
      <c r="J4513" s="32" t="n">
        <f aca="false">pace_B</f>
        <v>3634.3</v>
      </c>
      <c r="K4513" s="32" t="n">
        <f aca="false">pace_B+(Sens!$J$4514*tg-pace_B)*1/3</f>
        <v>2570.86716666667</v>
      </c>
      <c r="L4513" s="32" t="n">
        <f aca="false">pace_B+(Sens!$J$4514*tg-pace_B)*2/3</f>
        <v>1507.43433333333</v>
      </c>
      <c r="M4513" s="32" t="n">
        <f aca="false">pace_B+(Sens!$J$4514*tg-pace_B)*3/3</f>
        <v>444.0015</v>
      </c>
      <c r="P4513" s="5" t="s">
        <v>600</v>
      </c>
    </row>
    <row r="4514" customFormat="false" ht="17.15" hidden="false" customHeight="false" outlineLevel="0" collapsed="false">
      <c r="A4514" s="15" t="s">
        <v>601</v>
      </c>
      <c r="B4514" s="14" t="s">
        <v>129</v>
      </c>
      <c r="C4514" s="33" t="n">
        <f aca="false">mw_ye24</f>
        <v>360</v>
      </c>
      <c r="D4514" s="33" t="n">
        <f aca="false">mw_ye25</f>
        <v>1440</v>
      </c>
      <c r="E4514" s="33" t="n">
        <f aca="false">mw_open</f>
        <v>2080</v>
      </c>
      <c r="F4514" s="33" t="n">
        <f aca="false">Sens!$E$4514+pace_B*0.5</f>
        <v>3897.15</v>
      </c>
      <c r="G4514" s="33" t="n">
        <f aca="false">Sens!$F$4514</f>
        <v>3897.15</v>
      </c>
      <c r="H4514" s="33" t="n">
        <f aca="false">Sens!$G$4514+Sens!$H$4513</f>
        <v>7531.45</v>
      </c>
      <c r="I4514" s="33" t="n">
        <f aca="false">Sens!$H$4514+Sens!$I$4513</f>
        <v>11165.75</v>
      </c>
      <c r="J4514" s="33" t="n">
        <f aca="false">Sens!$I$4514+Sens!$J$4513</f>
        <v>14800.05</v>
      </c>
      <c r="K4514" s="33" t="n">
        <f aca="false">Sens!$J$4514+Sens!$K$4513</f>
        <v>17370.9171666667</v>
      </c>
      <c r="L4514" s="33" t="n">
        <f aca="false">Sens!$K$4514+Sens!$L$4513</f>
        <v>18878.3515</v>
      </c>
      <c r="M4514" s="33" t="n">
        <f aca="false">Sens!$L$4514+Sens!$M$4513</f>
        <v>19322.353</v>
      </c>
      <c r="N4514" s="33" t="n">
        <f aca="false">(mw_ye24+mw_ye25)/2</f>
        <v>900</v>
      </c>
      <c r="O4514" s="33" t="n">
        <f aca="false">mw_ye25</f>
        <v>1440</v>
      </c>
      <c r="P4514" s="5" t="s">
        <v>602</v>
      </c>
    </row>
    <row r="4515" customFormat="false" ht="17.15" hidden="false" customHeight="false" outlineLevel="0" collapsed="false">
      <c r="A4515" s="5" t="s">
        <v>603</v>
      </c>
      <c r="B4515" s="0" t="s">
        <v>129</v>
      </c>
      <c r="C4515" s="32" t="n">
        <f aca="false">(mw_ye23+mw_ye24)/2</f>
        <v>240</v>
      </c>
      <c r="D4515" s="32" t="n">
        <f aca="false">(Sens!$C$4514+Sens!$D$4514)/2</f>
        <v>900</v>
      </c>
      <c r="E4515" s="32" t="n">
        <f aca="false">(Sens!$D$4514+Sens!$E$4514)/2</f>
        <v>1760</v>
      </c>
      <c r="F4515" s="32" t="n">
        <f aca="false">(Sens!$E$4514+Sens!$F$4514)/2</f>
        <v>2988.575</v>
      </c>
      <c r="G4515" s="32" t="n">
        <f aca="false">(Sens!$E$4515+Sens!$F$4515)/2</f>
        <v>2374.2875</v>
      </c>
      <c r="H4515" s="32" t="n">
        <f aca="false">(Sens!$G$4514+Sens!$H$4514)/2</f>
        <v>5714.3</v>
      </c>
      <c r="I4515" s="32" t="n">
        <f aca="false">(Sens!$H$4514+Sens!$I$4514)/2</f>
        <v>9348.6</v>
      </c>
      <c r="J4515" s="32" t="n">
        <f aca="false">(Sens!$I$4514+Sens!$J$4514)/2</f>
        <v>12982.9</v>
      </c>
      <c r="K4515" s="32" t="n">
        <f aca="false">(Sens!$J$4514+Sens!$K$4514)/2</f>
        <v>16085.4835833333</v>
      </c>
      <c r="L4515" s="32" t="n">
        <f aca="false">(Sens!$K$4514+Sens!$L$4514)/2</f>
        <v>18124.6343333333</v>
      </c>
      <c r="M4515" s="32" t="n">
        <f aca="false">(Sens!$L$4514+Sens!$M$4514)/2</f>
        <v>19100.35225</v>
      </c>
      <c r="N4515" s="32" t="n">
        <f aca="false">(Sens!$C$4514+Sens!$N$4514)/2</f>
        <v>630</v>
      </c>
      <c r="O4515" s="32" t="n">
        <f aca="false">(Sens!$N$4514+Sens!$O$4514)/2</f>
        <v>1170</v>
      </c>
    </row>
    <row r="4516" customFormat="false" ht="15" hidden="false" customHeight="false" outlineLevel="0" collapsed="false">
      <c r="A4516" s="5" t="s">
        <v>604</v>
      </c>
      <c r="B4516" s="5" t="s">
        <v>123</v>
      </c>
      <c r="C4516" s="34" t="n">
        <v>1</v>
      </c>
      <c r="D4516" s="34" t="n">
        <v>1</v>
      </c>
      <c r="E4516" s="34" t="n">
        <v>0.5</v>
      </c>
      <c r="F4516" s="34" t="n">
        <v>0.5</v>
      </c>
      <c r="G4516" s="34" t="n">
        <v>1</v>
      </c>
      <c r="H4516" s="34" t="n">
        <v>1</v>
      </c>
      <c r="I4516" s="34" t="n">
        <v>1</v>
      </c>
      <c r="J4516" s="34" t="n">
        <v>1</v>
      </c>
      <c r="K4516" s="34" t="n">
        <v>1</v>
      </c>
      <c r="L4516" s="34" t="n">
        <v>1</v>
      </c>
      <c r="M4516" s="34" t="n">
        <v>1</v>
      </c>
      <c r="N4516" s="34" t="n">
        <v>0.5</v>
      </c>
      <c r="O4516" s="34" t="n">
        <v>0.5</v>
      </c>
    </row>
    <row r="4517" customFormat="false" ht="17.15" hidden="false" customHeight="false" outlineLevel="0" collapsed="false">
      <c r="A4517" s="5" t="s">
        <v>605</v>
      </c>
      <c r="B4517" s="0" t="s">
        <v>129</v>
      </c>
      <c r="C4517" s="32" t="n">
        <f aca="false">Sens!$C$4514-mw_ye23</f>
        <v>240</v>
      </c>
      <c r="D4517" s="32" t="n">
        <f aca="false">Sens!$D$4514-Sens!$C$4514</f>
        <v>1080</v>
      </c>
      <c r="E4517" s="32" t="n">
        <f aca="false">Sens!$E$4514-Sens!$D$4514</f>
        <v>640</v>
      </c>
      <c r="F4517" s="32" t="n">
        <f aca="false">Sens!$F$4514-Sens!$E$4514</f>
        <v>1817.15</v>
      </c>
      <c r="G4517" s="32" t="n">
        <f aca="false">Sens!$E$4517+Sens!$F$4517</f>
        <v>2457.15</v>
      </c>
      <c r="H4517" s="32" t="n">
        <f aca="false">Sens!$H$4514-Sens!$G$4514</f>
        <v>3634.3</v>
      </c>
      <c r="I4517" s="32" t="n">
        <f aca="false">Sens!$I$4514-Sens!$H$4514</f>
        <v>3634.3</v>
      </c>
      <c r="J4517" s="32" t="n">
        <f aca="false">Sens!$J$4514-Sens!$I$4514</f>
        <v>3634.3</v>
      </c>
      <c r="K4517" s="32" t="n">
        <f aca="false">Sens!$K$4514-Sens!$J$4514</f>
        <v>2570.86716666667</v>
      </c>
      <c r="L4517" s="32" t="n">
        <f aca="false">Sens!$L$4514-Sens!$K$4514</f>
        <v>1507.43433333333</v>
      </c>
      <c r="M4517" s="32" t="n">
        <f aca="false">Sens!$M$4514-Sens!$L$4514</f>
        <v>444.001499999999</v>
      </c>
      <c r="N4517" s="32" t="n">
        <f aca="false">Sens!$N$4514-Sens!$C$4514</f>
        <v>540</v>
      </c>
      <c r="O4517" s="32" t="n">
        <f aca="false">Sens!$O$4514-Sens!$N$4514</f>
        <v>540</v>
      </c>
    </row>
    <row r="4518" customFormat="false" ht="17.15" hidden="false" customHeight="false" outlineLevel="0" collapsed="false">
      <c r="A4518" s="5" t="s">
        <v>606</v>
      </c>
      <c r="B4518" s="0" t="s">
        <v>129</v>
      </c>
      <c r="C4518" s="32" t="n">
        <f aca="false">Sens!$C$4517/ext_sh</f>
        <v>300</v>
      </c>
      <c r="D4518" s="32" t="n">
        <f aca="false">Sens!$D$4517/ext_sh</f>
        <v>1350</v>
      </c>
      <c r="E4518" s="32" t="n">
        <f aca="false">Sens!$E$4517/ext_sh</f>
        <v>800</v>
      </c>
      <c r="F4518" s="32" t="n">
        <f aca="false">Sens!$F$4517/ext_sh</f>
        <v>2271.4375</v>
      </c>
      <c r="G4518" s="32" t="n">
        <f aca="false">Sens!$G$4517/ext_sh</f>
        <v>3071.4375</v>
      </c>
      <c r="H4518" s="32" t="n">
        <f aca="false">Sens!$H$4517/ext_sh</f>
        <v>4542.875</v>
      </c>
      <c r="I4518" s="32" t="n">
        <f aca="false">Sens!$I$4517/ext_sh</f>
        <v>4542.875</v>
      </c>
      <c r="J4518" s="32" t="n">
        <f aca="false">Sens!$J$4517/ext_sh</f>
        <v>4542.875</v>
      </c>
      <c r="K4518" s="32" t="n">
        <f aca="false">Sens!$K$4517/ext_sh</f>
        <v>3213.58395833333</v>
      </c>
      <c r="L4518" s="32" t="n">
        <f aca="false">Sens!$L$4517/ext_sh</f>
        <v>1884.29291666667</v>
      </c>
      <c r="M4518" s="32" t="n">
        <f aca="false">Sens!$M$4517/ext_sh</f>
        <v>555.001874999998</v>
      </c>
      <c r="N4518" s="32" t="n">
        <f aca="false">Sens!$N$4517/ext_sh</f>
        <v>675</v>
      </c>
      <c r="O4518" s="32" t="n">
        <f aca="false">Sens!$O$4517/ext_sh</f>
        <v>675</v>
      </c>
      <c r="P4518" s="8" t="s">
        <v>607</v>
      </c>
      <c r="R4518" s="32" t="n">
        <f aca="false">mw_ye23/ext_sh</f>
        <v>150</v>
      </c>
      <c r="S4518" s="32" t="n">
        <f aca="false">Sens!$C$4518</f>
        <v>300</v>
      </c>
      <c r="T4518" s="32" t="n">
        <f aca="false">Sens!$D$4518</f>
        <v>1350</v>
      </c>
      <c r="U4518" s="32" t="n">
        <f aca="false">Sens!$G$4518</f>
        <v>3071.4375</v>
      </c>
      <c r="V4518" s="32" t="n">
        <f aca="false">Sens!$H$4518</f>
        <v>4542.875</v>
      </c>
      <c r="W4518" s="32" t="n">
        <f aca="false">Sens!$I$4518</f>
        <v>4542.875</v>
      </c>
      <c r="X4518" s="32" t="n">
        <f aca="false">Sens!$J$4518</f>
        <v>4542.875</v>
      </c>
      <c r="Y4518" s="32" t="n">
        <f aca="false">Sens!$K$4518</f>
        <v>3213.58395833333</v>
      </c>
      <c r="Z4518" s="32" t="n">
        <f aca="false">Sens!$L$4518</f>
        <v>1884.29291666667</v>
      </c>
      <c r="AA4518" s="32" t="n">
        <f aca="false">Sens!$M$4518</f>
        <v>555.001874999998</v>
      </c>
    </row>
    <row r="4519" customFormat="false" ht="17.15" hidden="false" customHeight="false" outlineLevel="0" collapsed="false">
      <c r="A4519" s="1" t="s">
        <v>608</v>
      </c>
    </row>
    <row r="4520" customFormat="false" ht="17.15" hidden="false" customHeight="false" outlineLevel="0" collapsed="false">
      <c r="A4520" s="0" t="s">
        <v>609</v>
      </c>
      <c r="B4520" s="0" t="s">
        <v>52</v>
      </c>
      <c r="F4520" s="35" t="n">
        <f aca="false">na_vr26</f>
        <v>0</v>
      </c>
      <c r="G4520" s="35" t="n">
        <f aca="false">na_vr26</f>
        <v>0</v>
      </c>
      <c r="H4520" s="35" t="n">
        <f aca="false">na_vr27</f>
        <v>0.5</v>
      </c>
      <c r="I4520" s="35" t="n">
        <f aca="false">na_vr28</f>
        <v>1</v>
      </c>
      <c r="J4520" s="35" t="n">
        <f aca="false">na_vr28</f>
        <v>1</v>
      </c>
      <c r="K4520" s="35" t="n">
        <f aca="false">na_vr28</f>
        <v>1</v>
      </c>
      <c r="L4520" s="35" t="n">
        <f aca="false">na_vr28</f>
        <v>1</v>
      </c>
      <c r="M4520" s="35" t="n">
        <f aca="false">na_vr28</f>
        <v>1</v>
      </c>
    </row>
    <row r="4521" customFormat="false" ht="17.15" hidden="false" customHeight="false" outlineLevel="0" collapsed="false">
      <c r="A4521" s="5" t="s">
        <v>610</v>
      </c>
      <c r="B4521" s="0" t="s">
        <v>173</v>
      </c>
      <c r="F4521" s="36" t="n">
        <f aca="false">cust_sh*tk_he_gb300*cf_chip+(1-cust_sh)*((1-Sens!$F$4520)*tk_he_gb300+Sens!$F$4520*tk_he_vr200)</f>
        <v>10.8864110021101</v>
      </c>
      <c r="G4521" s="36" t="n">
        <f aca="false">cust_sh*tk_he_gb300*cf_chip+(1-cust_sh)*((1-Sens!$G$4520)*tk_he_gb300+Sens!$G$4520*tk_he_vr200)</f>
        <v>10.8864110021101</v>
      </c>
      <c r="H4521" s="36" t="n">
        <f aca="false">cust_sh*tk_he_gb300*cf_chip+(1-cust_sh)*((1-Sens!$H$4520)*tk_he_gb300+Sens!$H$4520*tk_he_vr200)</f>
        <v>11.2211760027286</v>
      </c>
      <c r="I4521" s="36" t="n">
        <f aca="false">cust_sh*tk_he_gb300*cf_chip+(1-cust_sh)*((1-Sens!$I$4520)*tk_he_gb300+Sens!$I$4520*tk_he_vr200)</f>
        <v>11.5559410033471</v>
      </c>
      <c r="J4521" s="36" t="n">
        <f aca="false">cust_sh*tk_he_gb300*cf_chip+(1-cust_sh)*((1-Sens!$J$4520)*tk_he_gb300+Sens!$J$4520*tk_he_vr200)</f>
        <v>11.5559410033471</v>
      </c>
      <c r="K4521" s="36" t="n">
        <f aca="false">cust_sh*tk_he_gb300*cf_chip+(1-cust_sh)*((1-Sens!$K$4520)*tk_he_gb300+Sens!$K$4520*tk_he_vr200)</f>
        <v>11.5559410033471</v>
      </c>
      <c r="L4521" s="36" t="n">
        <f aca="false">cust_sh*tk_he_gb300*cf_chip+(1-cust_sh)*((1-Sens!$L$4520)*tk_he_gb300+Sens!$L$4520*tk_he_vr200)</f>
        <v>11.5559410033471</v>
      </c>
      <c r="M4521" s="36" t="n">
        <f aca="false">cust_sh*tk_he_gb300*cf_chip+(1-cust_sh)*((1-Sens!$M$4520)*tk_he_gb300+Sens!$M$4520*tk_he_vr200)</f>
        <v>11.5559410033471</v>
      </c>
    </row>
    <row r="4522" customFormat="false" ht="17.15" hidden="false" customHeight="false" outlineLevel="0" collapsed="false">
      <c r="A4522" s="5" t="s">
        <v>611</v>
      </c>
      <c r="B4522" s="0" t="s">
        <v>173</v>
      </c>
      <c r="F4522" s="36" t="n">
        <f aca="false">cust_sh*tk_ox_gb300+(1-cust_sh)*((1-Sens!$F$4520)*tk_ox_gb300+Sens!$F$4520*tk_ox_vr200)</f>
        <v>1.98263481314457</v>
      </c>
      <c r="G4522" s="36" t="n">
        <f aca="false">cust_sh*tk_ox_gb300+(1-cust_sh)*((1-Sens!$G$4520)*tk_ox_gb300+Sens!$G$4520*tk_ox_vr200)</f>
        <v>1.98263481314457</v>
      </c>
      <c r="H4522" s="36" t="n">
        <f aca="false">cust_sh*tk_ox_gb300+(1-cust_sh)*((1-Sens!$H$4520)*tk_ox_gb300+Sens!$H$4520*tk_ox_vr200)</f>
        <v>2.01034999693694</v>
      </c>
      <c r="I4522" s="36" t="n">
        <f aca="false">cust_sh*tk_ox_gb300+(1-cust_sh)*((1-Sens!$I$4520)*tk_ox_gb300+Sens!$I$4520*tk_ox_vr200)</f>
        <v>2.0380651807293</v>
      </c>
      <c r="J4522" s="36" t="n">
        <f aca="false">cust_sh*tk_ox_gb300+(1-cust_sh)*((1-Sens!$J$4520)*tk_ox_gb300+Sens!$J$4520*tk_ox_vr200)</f>
        <v>2.0380651807293</v>
      </c>
      <c r="K4522" s="36" t="n">
        <f aca="false">cust_sh*tk_ox_gb300+(1-cust_sh)*((1-Sens!$K$4520)*tk_ox_gb300+Sens!$K$4520*tk_ox_vr200)</f>
        <v>2.0380651807293</v>
      </c>
      <c r="L4522" s="36" t="n">
        <f aca="false">cust_sh*tk_ox_gb300+(1-cust_sh)*((1-Sens!$L$4520)*tk_ox_gb300+Sens!$L$4520*tk_ox_vr200)</f>
        <v>2.0380651807293</v>
      </c>
      <c r="M4522" s="36" t="n">
        <f aca="false">cust_sh*tk_ox_gb300+(1-cust_sh)*((1-Sens!$M$4520)*tk_ox_gb300+Sens!$M$4520*tk_ox_vr200)</f>
        <v>2.0380651807293</v>
      </c>
    </row>
    <row r="4523" customFormat="false" ht="17.15" hidden="false" customHeight="false" outlineLevel="0" collapsed="false">
      <c r="A4523" s="5" t="s">
        <v>612</v>
      </c>
      <c r="B4523" s="0" t="s">
        <v>192</v>
      </c>
      <c r="F4523" s="36" t="n">
        <f aca="false">cust_sh*tk_cx_gb300*cf_cx+(1-cust_sh)*((1-Sens!$F$4520)*tk_cx_gb300+Sens!$F$4520*tk_cx_vr200)</f>
        <v>32.237224</v>
      </c>
      <c r="G4523" s="36" t="n">
        <f aca="false">cust_sh*tk_cx_gb300*cf_cx+(1-cust_sh)*((1-Sens!$G$4520)*tk_cx_gb300+Sens!$G$4520*tk_cx_vr200)</f>
        <v>32.237224</v>
      </c>
      <c r="H4523" s="36" t="n">
        <f aca="false">cust_sh*tk_cx_gb300*cf_cx+(1-cust_sh)*((1-Sens!$H$4520)*tk_cx_gb300+Sens!$H$4520*tk_cx_vr200)</f>
        <v>33.574506</v>
      </c>
      <c r="I4523" s="36" t="n">
        <f aca="false">cust_sh*tk_cx_gb300*cf_cx+(1-cust_sh)*((1-Sens!$I$4520)*tk_cx_gb300+Sens!$I$4520*tk_cx_vr200)</f>
        <v>34.911788</v>
      </c>
      <c r="J4523" s="36" t="n">
        <f aca="false">cust_sh*tk_cx_gb300*cf_cx+(1-cust_sh)*((1-Sens!$J$4520)*tk_cx_gb300+Sens!$J$4520*tk_cx_vr200)</f>
        <v>34.911788</v>
      </c>
      <c r="K4523" s="36" t="n">
        <f aca="false">cust_sh*tk_cx_gb300*cf_cx+(1-cust_sh)*((1-Sens!$K$4520)*tk_cx_gb300+Sens!$K$4520*tk_cx_vr200)</f>
        <v>34.911788</v>
      </c>
      <c r="L4523" s="36" t="n">
        <f aca="false">cust_sh*tk_cx_gb300*cf_cx+(1-cust_sh)*((1-Sens!$L$4520)*tk_cx_gb300+Sens!$L$4520*tk_cx_vr200)</f>
        <v>34.911788</v>
      </c>
      <c r="M4523" s="36" t="n">
        <f aca="false">cust_sh*tk_cx_gb300*cf_cx+(1-cust_sh)*((1-Sens!$M$4520)*tk_cx_gb300+Sens!$M$4520*tk_cx_vr200)</f>
        <v>34.911788</v>
      </c>
    </row>
    <row r="4524" customFormat="false" ht="17.15" hidden="false" customHeight="false" outlineLevel="0" collapsed="false">
      <c r="A4524" s="5" t="s">
        <v>613</v>
      </c>
      <c r="B4524" s="0" t="s">
        <v>129</v>
      </c>
      <c r="F4524" s="32" t="n">
        <f aca="false">Sens!$F$4514-mw_open</f>
        <v>1817.15</v>
      </c>
      <c r="G4524" s="32" t="n">
        <f aca="false">Sens!$F$4524</f>
        <v>1817.15</v>
      </c>
      <c r="H4524" s="32" t="n">
        <f aca="false">Sens!$H$4514-mw_open</f>
        <v>5451.45</v>
      </c>
      <c r="I4524" s="32" t="n">
        <f aca="false">Sens!$I$4514-mw_open</f>
        <v>9085.75</v>
      </c>
      <c r="J4524" s="32" t="n">
        <f aca="false">Sens!$J$4514-mw_open</f>
        <v>12720.05</v>
      </c>
      <c r="K4524" s="32" t="n">
        <f aca="false">Sens!$K$4514-mw_open</f>
        <v>15290.9171666667</v>
      </c>
      <c r="L4524" s="32" t="n">
        <f aca="false">Sens!$L$4514-mw_open</f>
        <v>16798.3515</v>
      </c>
      <c r="M4524" s="32" t="n">
        <f aca="false">Sens!$M$4514-mw_open</f>
        <v>17242.353</v>
      </c>
    </row>
    <row r="4525" customFormat="false" ht="17.15" hidden="false" customHeight="false" outlineLevel="0" collapsed="false">
      <c r="A4525" s="0" t="s">
        <v>614</v>
      </c>
      <c r="B4525" s="0" t="s">
        <v>615</v>
      </c>
      <c r="F4525" s="32" t="n">
        <f aca="false">Sens!$F$4517*Sens!$F$4521</f>
        <v>19782.2417524844</v>
      </c>
      <c r="G4525" s="32" t="n">
        <f aca="false">Sens!$F$4525</f>
        <v>19782.2417524844</v>
      </c>
      <c r="H4525" s="32" t="n">
        <f aca="false">Sens!$G$4525+Sens!$H$4517*Sens!$H$4521</f>
        <v>60563.3616992009</v>
      </c>
      <c r="I4525" s="32" t="n">
        <f aca="false">Sens!$H$4525+Sens!$I$4517*Sens!$I$4521</f>
        <v>102561.118087665</v>
      </c>
      <c r="J4525" s="32" t="n">
        <f aca="false">Sens!$I$4525+Sens!$J$4517*Sens!$J$4521</f>
        <v>144558.87447613</v>
      </c>
      <c r="K4525" s="32" t="n">
        <f aca="false">Sens!$J$4525+Sens!$K$4517*Sens!$K$4521</f>
        <v>174267.663781572</v>
      </c>
      <c r="L4525" s="32" t="n">
        <f aca="false">Sens!$K$4525+Sens!$L$4517*Sens!$L$4521</f>
        <v>191687.486003992</v>
      </c>
      <c r="M4525" s="32" t="n">
        <f aca="false">Sens!$L$4525+Sens!$M$4517*Sens!$M$4521</f>
        <v>196818.341143389</v>
      </c>
    </row>
    <row r="4526" customFormat="false" ht="17.15" hidden="false" customHeight="false" outlineLevel="0" collapsed="false">
      <c r="A4526" s="0" t="s">
        <v>616</v>
      </c>
      <c r="B4526" s="0" t="s">
        <v>615</v>
      </c>
      <c r="F4526" s="32" t="n">
        <f aca="false">Sens!$F$4517*Sens!$F$4522</f>
        <v>3602.74485070566</v>
      </c>
      <c r="G4526" s="32" t="n">
        <f aca="false">Sens!$F$4526</f>
        <v>3602.74485070566</v>
      </c>
      <c r="H4526" s="32" t="n">
        <f aca="false">Sens!$G$4526+Sens!$H$4517*Sens!$H$4522</f>
        <v>10908.9598445736</v>
      </c>
      <c r="I4526" s="32" t="n">
        <f aca="false">Sens!$H$4526+Sens!$I$4517*Sens!$I$4522</f>
        <v>18315.9001308981</v>
      </c>
      <c r="J4526" s="32" t="n">
        <f aca="false">Sens!$I$4526+Sens!$J$4517*Sens!$J$4522</f>
        <v>25722.8404172225</v>
      </c>
      <c r="K4526" s="32" t="n">
        <f aca="false">Sens!$J$4526+Sens!$K$4517*Sens!$K$4522</f>
        <v>30962.4352738861</v>
      </c>
      <c r="L4526" s="32" t="n">
        <f aca="false">Sens!$K$4526+Sens!$L$4517*Sens!$L$4522</f>
        <v>34034.6847008886</v>
      </c>
      <c r="M4526" s="32" t="n">
        <f aca="false">Sens!$L$4526+Sens!$M$4517*Sens!$M$4522</f>
        <v>34939.5886982302</v>
      </c>
    </row>
    <row r="4527" customFormat="false" ht="17.15" hidden="false" customHeight="false" outlineLevel="0" collapsed="false">
      <c r="A4527" s="5" t="s">
        <v>617</v>
      </c>
      <c r="B4527" s="0" t="s">
        <v>173</v>
      </c>
      <c r="F4527" s="36" t="n">
        <f aca="false">IF(Sens!$F$4524&gt;0,Sens!$F$4525/Sens!$F$4524,Sens!$F$4521)</f>
        <v>10.8864110021101</v>
      </c>
      <c r="G4527" s="36" t="n">
        <f aca="false">IF(Sens!$G$4524&gt;0,Sens!$G$4525/Sens!$G$4524,Sens!$G$4521)</f>
        <v>10.8864110021101</v>
      </c>
      <c r="H4527" s="36" t="n">
        <f aca="false">IF(Sens!$H$4524&gt;0,Sens!$H$4525/Sens!$H$4524,Sens!$H$4521)</f>
        <v>11.1095876691891</v>
      </c>
      <c r="I4527" s="36" t="n">
        <f aca="false">IF(Sens!$I$4524&gt;0,Sens!$I$4525/Sens!$I$4524,Sens!$I$4521)</f>
        <v>11.2881290028523</v>
      </c>
      <c r="J4527" s="36" t="n">
        <f aca="false">IF(Sens!$J$4524&gt;0,Sens!$J$4525/Sens!$J$4524,Sens!$J$4521)</f>
        <v>11.3646467172794</v>
      </c>
      <c r="K4527" s="36" t="n">
        <f aca="false">IF(Sens!$K$4524&gt;0,Sens!$K$4525/Sens!$K$4524,Sens!$K$4521)</f>
        <v>11.3968090914432</v>
      </c>
      <c r="L4527" s="36" t="n">
        <f aca="false">IF(Sens!$L$4524&gt;0,Sens!$L$4525/Sens!$L$4524,Sens!$L$4521)</f>
        <v>11.4110891181192</v>
      </c>
      <c r="M4527" s="36" t="n">
        <f aca="false">IF(Sens!$M$4524&gt;0,Sens!$M$4525/Sens!$M$4524,Sens!$M$4521)</f>
        <v>11.4148191458201</v>
      </c>
    </row>
    <row r="4528" customFormat="false" ht="17.15" hidden="false" customHeight="false" outlineLevel="0" collapsed="false">
      <c r="A4528" s="5" t="s">
        <v>618</v>
      </c>
      <c r="B4528" s="0" t="s">
        <v>173</v>
      </c>
      <c r="F4528" s="36" t="n">
        <f aca="false">IF(Sens!$F$4524&gt;0,Sens!$F$4526/Sens!$F$4524,Sens!$F$4522)</f>
        <v>1.98263481314457</v>
      </c>
      <c r="G4528" s="36" t="n">
        <f aca="false">IF(Sens!$G$4524&gt;0,Sens!$G$4526/Sens!$G$4524,Sens!$G$4522)</f>
        <v>1.98263481314457</v>
      </c>
      <c r="H4528" s="36" t="n">
        <f aca="false">IF(Sens!$H$4524&gt;0,Sens!$H$4526/Sens!$H$4524,Sens!$H$4522)</f>
        <v>2.00111160233948</v>
      </c>
      <c r="I4528" s="36" t="n">
        <f aca="false">IF(Sens!$I$4524&gt;0,Sens!$I$4526/Sens!$I$4524,Sens!$I$4522)</f>
        <v>2.01589303369541</v>
      </c>
      <c r="J4528" s="36" t="n">
        <f aca="false">IF(Sens!$J$4524&gt;0,Sens!$J$4526/Sens!$J$4524,Sens!$J$4522)</f>
        <v>2.02222793284795</v>
      </c>
      <c r="K4528" s="36" t="n">
        <f aca="false">IF(Sens!$K$4524&gt;0,Sens!$K$4526/Sens!$K$4524,Sens!$K$4522)</f>
        <v>2.02489065478573</v>
      </c>
      <c r="L4528" s="36" t="n">
        <f aca="false">IF(Sens!$L$4524&gt;0,Sens!$L$4526/Sens!$L$4524,Sens!$L$4522)</f>
        <v>2.0260728977417</v>
      </c>
      <c r="M4528" s="36" t="n">
        <f aca="false">IF(Sens!$M$4524&gt;0,Sens!$M$4526/Sens!$M$4524,Sens!$M$4522)</f>
        <v>2.02638170661685</v>
      </c>
    </row>
    <row r="4529" customFormat="false" ht="17.15" hidden="false" customHeight="false" outlineLevel="0" collapsed="false">
      <c r="A4529" s="15" t="s">
        <v>619</v>
      </c>
      <c r="B4529" s="14" t="s">
        <v>173</v>
      </c>
      <c r="C4529" s="14"/>
      <c r="D4529" s="14"/>
      <c r="E4529" s="14"/>
      <c r="F4529" s="37" t="n">
        <f aca="false">Sens!$F$4527*k_B</f>
        <v>10.7987645808025</v>
      </c>
      <c r="G4529" s="37" t="n">
        <f aca="false">Sens!$G$4527*k_B</f>
        <v>10.7987645808025</v>
      </c>
      <c r="H4529" s="37" t="n">
        <f aca="false">Sens!$H$4527*k_B</f>
        <v>11.0201444540452</v>
      </c>
      <c r="I4529" s="37" t="n">
        <f aca="false">Sens!$I$4527*k_B</f>
        <v>11.1972483526393</v>
      </c>
      <c r="J4529" s="37" t="n">
        <f aca="false">Sens!$J$4527*k_B</f>
        <v>11.2731500234653</v>
      </c>
      <c r="K4529" s="37" t="n">
        <f aca="false">Sens!$K$4527*k_B</f>
        <v>11.3050534585724</v>
      </c>
      <c r="L4529" s="37" t="n">
        <f aca="false">Sens!$L$4527*k_B</f>
        <v>11.3192185168503</v>
      </c>
      <c r="M4529" s="37" t="n">
        <f aca="false">Sens!$M$4527*k_B</f>
        <v>11.3229185141234</v>
      </c>
      <c r="N4529" s="14"/>
      <c r="O4529" s="14"/>
      <c r="P4529" s="5" t="s">
        <v>620</v>
      </c>
    </row>
    <row r="4530" customFormat="false" ht="17.15" hidden="false" customHeight="false" outlineLevel="0" collapsed="false">
      <c r="A4530" s="5" t="s">
        <v>621</v>
      </c>
      <c r="B4530" s="0" t="s">
        <v>129</v>
      </c>
      <c r="F4530" s="32" t="n">
        <f aca="false">Sens!$F$4524/2</f>
        <v>908.575</v>
      </c>
      <c r="H4530" s="32" t="n">
        <f aca="false">(Sens!$G$4524+Sens!$H$4524)/2</f>
        <v>3634.3</v>
      </c>
      <c r="I4530" s="32" t="n">
        <f aca="false">(Sens!$H$4524+Sens!$I$4524)/2</f>
        <v>7268.6</v>
      </c>
      <c r="J4530" s="32" t="n">
        <f aca="false">(Sens!$I$4524+Sens!$J$4524)/2</f>
        <v>10902.9</v>
      </c>
      <c r="K4530" s="32" t="n">
        <f aca="false">(Sens!$J$4524+Sens!$K$4524)/2</f>
        <v>14005.4835833333</v>
      </c>
      <c r="L4530" s="32" t="n">
        <f aca="false">(Sens!$K$4524+Sens!$L$4524)/2</f>
        <v>16044.6343333333</v>
      </c>
      <c r="M4530" s="32" t="n">
        <f aca="false">(Sens!$L$4524+Sens!$M$4524)/2</f>
        <v>17020.35225</v>
      </c>
    </row>
    <row r="4531" customFormat="false" ht="17.15" hidden="false" customHeight="false" outlineLevel="0" collapsed="false">
      <c r="A4531" s="1" t="s">
        <v>622</v>
      </c>
    </row>
    <row r="4532" customFormat="false" ht="17.15" hidden="false" customHeight="false" outlineLevel="0" collapsed="false">
      <c r="A4532" s="1" t="s">
        <v>623</v>
      </c>
      <c r="B4532" s="8" t="s">
        <v>86</v>
      </c>
      <c r="C4532" s="38" t="n">
        <f aca="false">Sens!$C$4515*rpm_open*Sens!$C$4516/1000</f>
        <v>2.32100535697364</v>
      </c>
      <c r="D4532" s="38" t="n">
        <f aca="false">Sens!$D$4515*rpm_open*Sens!$D$4516/1000</f>
        <v>8.70377008865116</v>
      </c>
      <c r="E4532" s="38" t="n">
        <f aca="false">Sens!$E$4515*rpm_open*Sens!$E$4516/1000</f>
        <v>8.51035297557002</v>
      </c>
      <c r="F4532" s="38" t="n">
        <f aca="false">(mw_open*rpm_open+Sens!$F$4530*Sens!$F$4529)*Sens!$F$4516/1000</f>
        <v>14.9634336447205</v>
      </c>
      <c r="G4532" s="38" t="n">
        <f aca="false">Sens!$E$4532+Sens!$F$4532</f>
        <v>23.4737866202905</v>
      </c>
      <c r="H4532" s="38" t="n">
        <f aca="false">(mw_open*rpm_open+Sens!$H$4530*Sens!$H$4529)/1000</f>
        <v>60.1658907497746</v>
      </c>
      <c r="I4532" s="38" t="n">
        <f aca="false">(mw_open*rpm_open+Sens!$I$4530*Sens!$I$4529)/1000</f>
        <v>101.503699136432</v>
      </c>
      <c r="J4532" s="38" t="n">
        <f aca="false">(mw_open*rpm_open+Sens!$J$4530*Sens!$J$4529)/1000</f>
        <v>143.025407151278</v>
      </c>
      <c r="K4532" s="38" t="n">
        <f aca="false">(mw_open*rpm_open+Sens!$K$4530*Sens!$K$4529)/1000</f>
        <v>178.44812038318</v>
      </c>
      <c r="L4532" s="38" t="n">
        <f aca="false">(mw_open*rpm_open+Sens!$L$4530*Sens!$L$4529)/1000</f>
        <v>201.728101802396</v>
      </c>
      <c r="M4532" s="38" t="n">
        <f aca="false">(mw_open*rpm_open+Sens!$M$4530*Sens!$M$4529)/1000</f>
        <v>212.835441368865</v>
      </c>
      <c r="N4532" s="38" t="n">
        <f aca="false">Sens!$N$4515*rpm_open*Sens!$N$4516/1000</f>
        <v>3.04631953102791</v>
      </c>
      <c r="O4532" s="38" t="n">
        <f aca="false">Sens!$O$4515*rpm_open*Sens!$O$4516/1000</f>
        <v>5.65745055762326</v>
      </c>
      <c r="P4532" s="5" t="s">
        <v>624</v>
      </c>
    </row>
    <row r="4533" customFormat="false" ht="17.15" hidden="false" customHeight="false" outlineLevel="0" collapsed="false">
      <c r="A4533" s="5" t="s">
        <v>625</v>
      </c>
      <c r="B4533" s="0" t="s">
        <v>173</v>
      </c>
      <c r="C4533" s="36" t="n">
        <f aca="false">Sens!$C$4532*1000/(Sens!$C$4515*Sens!$C$4516)</f>
        <v>9.67085565405685</v>
      </c>
      <c r="D4533" s="36" t="n">
        <f aca="false">Sens!$D$4532*1000/(Sens!$D$4515*Sens!$D$4516)</f>
        <v>9.67085565405685</v>
      </c>
      <c r="E4533" s="36" t="n">
        <f aca="false">Sens!$E$4532*1000/(Sens!$E$4515*Sens!$E$4516)</f>
        <v>9.67085565405685</v>
      </c>
      <c r="F4533" s="36" t="n">
        <f aca="false">Sens!$F$4532*1000/(Sens!$F$4515*Sens!$F$4516)</f>
        <v>10.0137581588017</v>
      </c>
      <c r="G4533" s="36" t="n">
        <f aca="false">Sens!$G$4532*1000/(Sens!$G$4515*Sens!$G$4516)</f>
        <v>9.88666562928478</v>
      </c>
      <c r="H4533" s="36" t="n">
        <f aca="false">Sens!$H$4532*1000/(Sens!$H$4515*Sens!$H$4516)</f>
        <v>10.5290045586992</v>
      </c>
      <c r="I4533" s="36" t="n">
        <f aca="false">Sens!$I$4532*1000/(Sens!$I$4515*Sens!$I$4516)</f>
        <v>10.8576363451674</v>
      </c>
      <c r="J4533" s="36" t="n">
        <f aca="false">Sens!$J$4532*1000/(Sens!$J$4515*Sens!$J$4516)</f>
        <v>11.0164452588619</v>
      </c>
      <c r="K4533" s="36" t="n">
        <f aca="false">Sens!$K$4532*1000/(Sens!$K$4515*Sens!$K$4516)</f>
        <v>11.0937367508227</v>
      </c>
      <c r="L4533" s="36" t="n">
        <f aca="false">Sens!$L$4532*1000/(Sens!$L$4515*Sens!$L$4516)</f>
        <v>11.1300508519168</v>
      </c>
      <c r="M4533" s="36" t="n">
        <f aca="false">Sens!$M$4532*1000/(Sens!$M$4515*Sens!$M$4516)</f>
        <v>11.1430113216297</v>
      </c>
      <c r="N4533" s="36" t="n">
        <f aca="false">Sens!$N$4532*1000/(Sens!$N$4515*Sens!$N$4516)</f>
        <v>9.67085565405685</v>
      </c>
      <c r="O4533" s="36" t="n">
        <f aca="false">Sens!$O$4532*1000/(Sens!$O$4515*Sens!$O$4516)</f>
        <v>9.67085565405685</v>
      </c>
    </row>
    <row r="4534" customFormat="false" ht="17.15" hidden="false" customHeight="false" outlineLevel="0" collapsed="false">
      <c r="A4534" s="0" t="s">
        <v>626</v>
      </c>
      <c r="B4534" s="0" t="s">
        <v>86</v>
      </c>
      <c r="C4534" s="38" t="n">
        <f aca="false">Sens!$C$4515/ext_sh*(ox_open+rent_mw)*Sens!$C$4516/1000</f>
        <v>0.642569210675032</v>
      </c>
      <c r="D4534" s="38" t="n">
        <f aca="false">Sens!$D$4515/ext_sh*(ox_open+rent_mw)*Sens!$D$4516/1000</f>
        <v>2.40963454003137</v>
      </c>
      <c r="E4534" s="38" t="n">
        <f aca="false">Sens!$E$4515/ext_sh*(ox_open+rent_mw)*Sens!$E$4516/1000</f>
        <v>2.35608710580845</v>
      </c>
      <c r="F4534" s="38" t="n">
        <f aca="false">((mw_open*ox_open+Sens!$F$4530*Sens!$F$4528)/ext_sh+Sens!$F$4515/ext_sh*rent_mw)*Sens!$F$4516/1000</f>
        <v>4.05421991106232</v>
      </c>
      <c r="G4534" s="38" t="n">
        <f aca="false">Sens!$E$4534+Sens!$F$4534</f>
        <v>6.41030701687077</v>
      </c>
      <c r="H4534" s="38" t="n">
        <f aca="false">((mw_open*ox_open+Sens!$H$4530*Sens!$H$4528)/ext_sh+Sens!$H$4515/ext_sh*rent_mw)*Sens!$H$4516/1000</f>
        <v>15.8108975546616</v>
      </c>
      <c r="I4534" s="38" t="n">
        <f aca="false">((mw_open*ox_open+Sens!$I$4530*Sens!$I$4528)/ext_sh+Sens!$I$4515/ext_sh*rent_mw)*Sens!$I$4516/1000</f>
        <v>26.1871623400817</v>
      </c>
      <c r="J4534" s="38" t="n">
        <f aca="false">((mw_open*ox_open+Sens!$J$4530*Sens!$J$4528)/ext_sh+Sens!$J$4515/ext_sh*rent_mw)*Sens!$J$4516/1000</f>
        <v>36.5826128954935</v>
      </c>
      <c r="K4534" s="38" t="n">
        <f aca="false">((mw_open*ox_open+Sens!$K$4530*Sens!$K$4528)/ext_sh+Sens!$K$4515/ext_sh*rent_mw)*Sens!$K$4516/1000</f>
        <v>45.4546361137628</v>
      </c>
      <c r="L4534" s="38" t="n">
        <f aca="false">((mw_open*ox_open+Sens!$L$4530*Sens!$L$4528)/ext_sh+Sens!$L$4515/ext_sh*rent_mw)*Sens!$L$4516/1000</f>
        <v>51.2855695554452</v>
      </c>
      <c r="M4534" s="38" t="n">
        <f aca="false">((mw_open*ox_open+Sens!$M$4530*Sens!$M$4528)/ext_sh+Sens!$M$4515/ext_sh*rent_mw)*Sens!$M$4516/1000</f>
        <v>54.0722927838398</v>
      </c>
      <c r="N4534" s="38" t="n">
        <f aca="false">Sens!$N$4515/ext_sh*(ox_open+rent_mw)*Sens!$N$4516/1000</f>
        <v>0.84337208901098</v>
      </c>
      <c r="O4534" s="38" t="n">
        <f aca="false">Sens!$O$4515/ext_sh*(ox_open+rent_mw)*Sens!$O$4516/1000</f>
        <v>1.56626245102039</v>
      </c>
    </row>
    <row r="4535" customFormat="false" ht="17.15" hidden="false" customHeight="false" outlineLevel="0" collapsed="false">
      <c r="A4535" s="0" t="s">
        <v>627</v>
      </c>
      <c r="B4535" s="0" t="s">
        <v>86</v>
      </c>
      <c r="C4535" s="38" t="n">
        <f aca="false">Q!$D$7</f>
        <v>107.556</v>
      </c>
      <c r="D4535" s="38" t="n">
        <f aca="false">Q!$E$7</f>
        <v>128.725</v>
      </c>
      <c r="E4535" s="38" t="n">
        <f aca="false">Q!$P$7</f>
        <v>79.819</v>
      </c>
      <c r="N4535" s="38" t="n">
        <f aca="false">Q!$N$7</f>
        <v>60.14</v>
      </c>
      <c r="O4535" s="38" t="n">
        <f aca="false">Q!$O$7</f>
        <v>68.585</v>
      </c>
    </row>
    <row r="4536" customFormat="false" ht="17.15" hidden="false" customHeight="false" outlineLevel="0" collapsed="false">
      <c r="A4536" s="1" t="s">
        <v>628</v>
      </c>
      <c r="B4536" s="8" t="s">
        <v>86</v>
      </c>
      <c r="C4536" s="38" t="n">
        <f aca="false">Sens!$C$4535-Sens!$C$4532</f>
        <v>105.234994643026</v>
      </c>
      <c r="D4536" s="38" t="n">
        <f aca="false">Sens!$D$4535-Sens!$D$4532</f>
        <v>120.021229911349</v>
      </c>
      <c r="E4536" s="38" t="n">
        <f aca="false">Sens!$E$4535-Sens!$E$4532</f>
        <v>71.30864702443</v>
      </c>
      <c r="F4536" s="38" t="n">
        <f aca="false">Sens!$O$4536*(1+Sens!$F$4537)</f>
        <v>71.7692997942464</v>
      </c>
      <c r="G4536" s="38" t="n">
        <f aca="false">Sens!$E$4536+Sens!$F$4536</f>
        <v>143.077946818676</v>
      </c>
      <c r="H4536" s="38" t="n">
        <f aca="false">Sens!$G$4536*(1+Sens!$H$4537)</f>
        <v>161.017077079203</v>
      </c>
      <c r="I4536" s="38" t="n">
        <f aca="false">Sens!$H$4536*(1+Sens!$I$4537)</f>
        <v>178.769759521457</v>
      </c>
      <c r="J4536" s="38" t="n">
        <f aca="false">Sens!$I$4536*(1+Sens!$J$4537)</f>
        <v>195.775538045907</v>
      </c>
      <c r="K4536" s="38" t="n">
        <f aca="false">Sens!$J$4536*(1+Sens!$K$4537)</f>
        <v>211.43758108958</v>
      </c>
      <c r="L4536" s="38" t="n">
        <f aca="false">Sens!$K$4536*(1+Sens!$L$4537)</f>
        <v>228.352587576746</v>
      </c>
      <c r="M4536" s="38" t="n">
        <f aca="false">Sens!$L$4536*(1+Sens!$M$4537)</f>
        <v>246.620794582886</v>
      </c>
      <c r="N4536" s="38" t="n">
        <f aca="false">Sens!$N$4535-Sens!$N$4532</f>
        <v>57.0936804689721</v>
      </c>
      <c r="O4536" s="38" t="n">
        <f aca="false">Sens!$O$4535-Sens!$O$4532</f>
        <v>62.9275494423768</v>
      </c>
      <c r="P4536" s="5" t="s">
        <v>629</v>
      </c>
    </row>
    <row r="4537" customFormat="false" ht="17.15" hidden="false" customHeight="false" outlineLevel="0" collapsed="false">
      <c r="A4537" s="0" t="s">
        <v>630</v>
      </c>
      <c r="B4537" s="0" t="s">
        <v>52</v>
      </c>
      <c r="D4537" s="13" t="n">
        <f aca="false">Sens!$D$4536/Sens!$C$4536-1</f>
        <v>0.140506827776062</v>
      </c>
      <c r="E4537" s="13" t="n">
        <f aca="false">Sens!$E$4536/Sens!$N$4536-1</f>
        <v>0.248976181579029</v>
      </c>
      <c r="F4537" s="13" t="n">
        <f aca="false">Sens!$D$4537</f>
        <v>0.140506827776062</v>
      </c>
      <c r="G4537" s="13" t="n">
        <f aca="false">Sens!$G$4536/Sens!$D$4536-1</f>
        <v>0.19210532106993</v>
      </c>
      <c r="H4537" s="13" t="n">
        <f aca="false">Sens!$F$4537+(g_awso_lt-Sens!$F$4537)*1/4</f>
        <v>0.125380120832046</v>
      </c>
      <c r="I4537" s="13" t="n">
        <f aca="false">Sens!$F$4537+(g_awso_lt-Sens!$F$4537)*2/4</f>
        <v>0.110253413888031</v>
      </c>
      <c r="J4537" s="13" t="n">
        <f aca="false">Sens!$F$4537+(g_awso_lt-Sens!$F$4537)*3/4</f>
        <v>0.0951267069440154</v>
      </c>
      <c r="K4537" s="13" t="n">
        <f aca="false">Sens!$F$4537+(g_awso_lt-Sens!$F$4537)*4/4</f>
        <v>0.08</v>
      </c>
      <c r="L4537" s="13" t="n">
        <f aca="false">g_awso_lt</f>
        <v>0.08</v>
      </c>
      <c r="M4537" s="13" t="n">
        <f aca="false">g_awso_lt</f>
        <v>0.08</v>
      </c>
      <c r="P4537" s="5" t="s">
        <v>631</v>
      </c>
    </row>
    <row r="4538" customFormat="false" ht="17.15" hidden="false" customHeight="false" outlineLevel="0" collapsed="false">
      <c r="A4538" s="1" t="s">
        <v>632</v>
      </c>
    </row>
    <row r="4539" customFormat="false" ht="17.15" hidden="false" customHeight="false" outlineLevel="0" collapsed="false">
      <c r="A4539" s="0" t="s">
        <v>633</v>
      </c>
      <c r="B4539" s="0" t="s">
        <v>86</v>
      </c>
      <c r="F4539" s="38" t="n">
        <f aca="false">cx_rt*Sens!$F$4504+cx_awso*Sens!$F$4536</f>
        <v>34.9734495387866</v>
      </c>
    </row>
    <row r="4540" customFormat="false" ht="17.15" hidden="false" customHeight="false" outlineLevel="0" collapsed="false">
      <c r="A4540" s="0" t="s">
        <v>634</v>
      </c>
      <c r="B4540" s="0" t="s">
        <v>52</v>
      </c>
      <c r="C4540" s="13" t="n">
        <f aca="false">tk_cx_h100/(tk_cx_h100+tk_fac*(1-colo_sh))</f>
        <v>0.730756458006641</v>
      </c>
      <c r="D4540" s="13" t="n">
        <f aca="false">tk_cx_h100/(tk_cx_h100+tk_fac*(1-colo_sh))</f>
        <v>0.730756458006641</v>
      </c>
      <c r="E4540" s="13" t="n">
        <f aca="false">Sens!$F$4540</f>
        <v>0.760792334328868</v>
      </c>
      <c r="F4540" s="13" t="n">
        <f aca="false">Sens!$F$4523/(Sens!$F$4523+tk_fac*(1-colo_sh))</f>
        <v>0.760792334328868</v>
      </c>
      <c r="G4540" s="13" t="n">
        <f aca="false">Sens!$G$4523/(Sens!$G$4523+tk_fac*(1-colo_sh))</f>
        <v>0.760792334328868</v>
      </c>
      <c r="H4540" s="13" t="n">
        <f aca="false">Sens!$H$4523/(Sens!$H$4523+tk_fac*(1-colo_sh))</f>
        <v>0.768110668862996</v>
      </c>
      <c r="I4540" s="13" t="n">
        <f aca="false">Sens!$I$4523/(Sens!$I$4523+tk_fac*(1-colo_sh))</f>
        <v>0.77499450139483</v>
      </c>
      <c r="J4540" s="13" t="n">
        <f aca="false">Sens!$J$4523/(Sens!$J$4523+tk_fac*(1-colo_sh))</f>
        <v>0.77499450139483</v>
      </c>
      <c r="K4540" s="13" t="n">
        <f aca="false">Sens!$K$4523/(Sens!$K$4523+tk_fac*(1-colo_sh))</f>
        <v>0.77499450139483</v>
      </c>
      <c r="L4540" s="13" t="n">
        <f aca="false">Sens!$L$4523/(Sens!$L$4523+tk_fac*(1-colo_sh))</f>
        <v>0.77499450139483</v>
      </c>
      <c r="M4540" s="13" t="n">
        <f aca="false">Sens!$M$4523/(Sens!$M$4523+tk_fac*(1-colo_sh))</f>
        <v>0.77499450139483</v>
      </c>
    </row>
    <row r="4541" customFormat="false" ht="17.15" hidden="false" customHeight="false" outlineLevel="0" collapsed="false">
      <c r="A4541" s="1" t="s">
        <v>635</v>
      </c>
      <c r="B4541" s="8" t="s">
        <v>86</v>
      </c>
      <c r="C4541" s="38" t="n">
        <f aca="false">Q!$D$46-cx_rt*Q!$D$16-cx_awso*Sens!$C$4536</f>
        <v>25.2781053077374</v>
      </c>
      <c r="D4541" s="38" t="n">
        <f aca="false">Q!$E$46-cx_rt*Q!$E$16-cx_awso*Sens!$D$4536</f>
        <v>69.5686316310026</v>
      </c>
      <c r="E4541" s="38" t="n">
        <f aca="false">Q!$P$46-cx_rt*Q!$P$16-cx_awso*Sens!$E$4536</f>
        <v>64.1899206485108</v>
      </c>
      <c r="F4541" s="38" t="n">
        <f aca="false">capex_g26-Q!$P$46-Sens!$F$4539</f>
        <v>88.7165504612134</v>
      </c>
      <c r="G4541" s="38" t="n">
        <f aca="false">Sens!$E$4541+Sens!$F$4541</f>
        <v>152.906471109724</v>
      </c>
      <c r="H4541" s="38" t="n">
        <f aca="false">Sens!$H$4518*(Sens!$H$4523+tk_fac*(1-colo_sh))/1000+Sens!$H$4542</f>
        <v>198.57136494475</v>
      </c>
      <c r="I4541" s="38" t="n">
        <f aca="false">Sens!$I$4518*(Sens!$I$4523+tk_fac*(1-colo_sh))/1000+Sens!$I$4542</f>
        <v>204.6464699105</v>
      </c>
      <c r="J4541" s="38" t="n">
        <f aca="false">Sens!$J$4518*(Sens!$J$4523+tk_fac*(1-colo_sh))/1000+Sens!$J$4542</f>
        <v>209.8832381105</v>
      </c>
      <c r="K4541" s="38" t="n">
        <f aca="false">Sens!$K$4518*(Sens!$K$4523+tk_fac*(1-colo_sh))/1000+Sens!$K$4542</f>
        <v>155.238385275201</v>
      </c>
      <c r="L4541" s="38" t="n">
        <f aca="false">Sens!$L$4518*(Sens!$L$4523+tk_fac*(1-colo_sh))/1000+Sens!$L$4542</f>
        <v>132.014141639902</v>
      </c>
      <c r="M4541" s="38" t="n">
        <f aca="false">Sens!$M$4518*(Sens!$M$4523+tk_fac*(1-colo_sh))/1000+Sens!$M$4542</f>
        <v>132.230981659852</v>
      </c>
      <c r="P4541" s="5" t="s">
        <v>636</v>
      </c>
      <c r="R4541" s="38" t="n">
        <f aca="false">Q!$C$46-cx_rt*Q!$C$16-cx_awso*(Q!$C$7-mw_ye23/2*rpm_open/1000)</f>
        <v>1.50429979529945</v>
      </c>
      <c r="S4541" s="38" t="n">
        <f aca="false">Sens!$C$4541</f>
        <v>25.2781053077374</v>
      </c>
      <c r="T4541" s="38" t="n">
        <f aca="false">Sens!$D$4541</f>
        <v>69.5686316310026</v>
      </c>
      <c r="U4541" s="38" t="n">
        <f aca="false">Sens!$G$4541</f>
        <v>152.906471109724</v>
      </c>
      <c r="V4541" s="38" t="n">
        <f aca="false">Sens!$H$4541</f>
        <v>198.57136494475</v>
      </c>
      <c r="W4541" s="38" t="n">
        <f aca="false">Sens!$I$4541</f>
        <v>204.6464699105</v>
      </c>
      <c r="X4541" s="38" t="n">
        <f aca="false">Sens!$J$4541</f>
        <v>209.8832381105</v>
      </c>
      <c r="Y4541" s="38" t="n">
        <f aca="false">Sens!$K$4541</f>
        <v>155.238385275201</v>
      </c>
      <c r="Z4541" s="38" t="n">
        <f aca="false">Sens!$L$4541</f>
        <v>132.014141639902</v>
      </c>
      <c r="AA4541" s="38" t="n">
        <f aca="false">Sens!$M$4541</f>
        <v>132.230981659852</v>
      </c>
    </row>
    <row r="4542" customFormat="false" ht="17.15" hidden="false" customHeight="false" outlineLevel="0" collapsed="false">
      <c r="A4542" s="0" t="s">
        <v>637</v>
      </c>
      <c r="B4542" s="0" t="s">
        <v>86</v>
      </c>
      <c r="H4542" s="38" t="n">
        <f aca="false">SUMPRODUCT(--(Sens!$R$4511:$AA$4511=2027-tk_life),Sens!$R$4518:$AA$4518)*Sens!$H$4523/1000</f>
        <v>0</v>
      </c>
      <c r="I4542" s="38" t="n">
        <f aca="false">SUMPRODUCT(--(Sens!$R$4511:$AA$4511=2028-tk_life),Sens!$R$4518:$AA$4518)*Sens!$I$4523/1000</f>
        <v>0</v>
      </c>
      <c r="J4542" s="38" t="n">
        <f aca="false">SUMPRODUCT(--(Sens!$R$4511:$AA$4511=2029-tk_life),Sens!$R$4518:$AA$4518)*Sens!$J$4523/1000</f>
        <v>5.2367682</v>
      </c>
      <c r="K4542" s="38" t="n">
        <f aca="false">SUMPRODUCT(--(Sens!$R$4511:$AA$4511=2030-tk_life),Sens!$R$4518:$AA$4518)*Sens!$K$4523/1000</f>
        <v>10.4735364</v>
      </c>
      <c r="L4542" s="38" t="n">
        <f aca="false">SUMPRODUCT(--(Sens!$R$4511:$AA$4511=2031-tk_life),Sens!$R$4518:$AA$4518)*Sens!$L$4523/1000</f>
        <v>47.1309138</v>
      </c>
      <c r="M4542" s="38" t="n">
        <f aca="false">SUMPRODUCT(--(Sens!$R$4511:$AA$4511=2032-tk_life),Sens!$R$4518:$AA$4518)*Sens!$M$4523/1000</f>
        <v>107.22937485525</v>
      </c>
    </row>
    <row r="4543" customFormat="false" ht="17.15" hidden="false" customHeight="false" outlineLevel="0" collapsed="false">
      <c r="A4543" s="0" t="s">
        <v>638</v>
      </c>
      <c r="B4543" s="0" t="s">
        <v>86</v>
      </c>
      <c r="C4543" s="38" t="n">
        <f aca="false">MIN(Sens!$C$4541,Sens!$C$4518*(tk_cx_h100+tk_fac*(1-colo_sh))/1000)</f>
        <v>11.2938642</v>
      </c>
      <c r="D4543" s="38" t="n">
        <f aca="false">MIN(Sens!$D$4541,Sens!$D$4518*(tk_cx_h100+tk_fac*(1-colo_sh))/1000)</f>
        <v>50.8223889</v>
      </c>
      <c r="E4543" s="38" t="n">
        <f aca="false">MIN(Sens!$E$4541,Sens!$E$4518*(Sens!$F$4523+tk_fac*(1-colo_sh))/1000)</f>
        <v>33.8985792</v>
      </c>
      <c r="F4543" s="38" t="n">
        <f aca="false">Sens!$F$4541</f>
        <v>88.7165504612134</v>
      </c>
      <c r="G4543" s="38" t="n">
        <f aca="false">Sens!$E$4543+Sens!$F$4543</f>
        <v>122.615129661213</v>
      </c>
      <c r="H4543" s="38" t="n">
        <f aca="false">Sens!$H$4541</f>
        <v>198.57136494475</v>
      </c>
      <c r="I4543" s="38" t="n">
        <f aca="false">Sens!$I$4541</f>
        <v>204.6464699105</v>
      </c>
      <c r="J4543" s="38" t="n">
        <f aca="false">Sens!$J$4541</f>
        <v>209.8832381105</v>
      </c>
      <c r="K4543" s="38" t="n">
        <f aca="false">Sens!$K$4541</f>
        <v>155.238385275201</v>
      </c>
      <c r="L4543" s="38" t="n">
        <f aca="false">Sens!$L$4541</f>
        <v>132.014141639902</v>
      </c>
      <c r="M4543" s="38" t="n">
        <f aca="false">Sens!$M$4541</f>
        <v>132.230981659852</v>
      </c>
      <c r="P4543" s="5" t="s">
        <v>639</v>
      </c>
      <c r="R4543" s="38" t="n">
        <f aca="false">MIN(Sens!$R$4541,Sens!$R$4518*(tk_cx_h100+tk_fac*(1-colo_sh))/1000)</f>
        <v>1.50429979529945</v>
      </c>
      <c r="S4543" s="38" t="n">
        <f aca="false">Sens!$C$4543</f>
        <v>11.2938642</v>
      </c>
      <c r="T4543" s="38" t="n">
        <f aca="false">Sens!$D$4543</f>
        <v>50.8223889</v>
      </c>
      <c r="U4543" s="38" t="n">
        <f aca="false">Sens!$G$4543</f>
        <v>122.615129661213</v>
      </c>
      <c r="V4543" s="38" t="n">
        <f aca="false">Sens!$H$4543</f>
        <v>198.57136494475</v>
      </c>
      <c r="W4543" s="38" t="n">
        <f aca="false">Sens!$I$4543</f>
        <v>204.6464699105</v>
      </c>
      <c r="X4543" s="38" t="n">
        <f aca="false">Sens!$J$4543</f>
        <v>209.8832381105</v>
      </c>
      <c r="Y4543" s="38" t="n">
        <f aca="false">Sens!$K$4543</f>
        <v>155.238385275201</v>
      </c>
      <c r="Z4543" s="38" t="n">
        <f aca="false">Sens!$L$4543</f>
        <v>132.014141639902</v>
      </c>
      <c r="AA4543" s="38" t="n">
        <f aca="false">Sens!$M$4543</f>
        <v>132.230981659852</v>
      </c>
    </row>
    <row r="4544" customFormat="false" ht="17.15" hidden="false" customHeight="false" outlineLevel="0" collapsed="false">
      <c r="A4544" s="5" t="s">
        <v>640</v>
      </c>
      <c r="B4544" s="0" t="s">
        <v>86</v>
      </c>
      <c r="C4544" s="38" t="n">
        <f aca="false">Sens!$C$4541-Sens!$C$4543</f>
        <v>13.9842411077374</v>
      </c>
      <c r="D4544" s="38" t="n">
        <f aca="false">Sens!$D$4541-Sens!$D$4543</f>
        <v>18.7462427310026</v>
      </c>
      <c r="E4544" s="38" t="n">
        <f aca="false">Sens!$E$4541-Sens!$E$4543</f>
        <v>30.2913414485108</v>
      </c>
      <c r="F4544" s="38" t="n">
        <f aca="false">Sens!$F$4541-Sens!$F$4543</f>
        <v>0</v>
      </c>
      <c r="G4544" s="38" t="n">
        <f aca="false">Sens!$G$4541-Sens!$G$4543</f>
        <v>30.2913414485108</v>
      </c>
      <c r="H4544" s="38" t="n">
        <f aca="false">Sens!$H$4541-Sens!$H$4543</f>
        <v>0</v>
      </c>
      <c r="I4544" s="38" t="n">
        <f aca="false">Sens!$I$4541-Sens!$I$4543</f>
        <v>0</v>
      </c>
      <c r="J4544" s="38" t="n">
        <f aca="false">Sens!$J$4541-Sens!$J$4543</f>
        <v>0</v>
      </c>
      <c r="K4544" s="38" t="n">
        <f aca="false">Sens!$K$4541-Sens!$K$4543</f>
        <v>0</v>
      </c>
      <c r="L4544" s="38" t="n">
        <f aca="false">Sens!$L$4541-Sens!$L$4543</f>
        <v>0</v>
      </c>
      <c r="M4544" s="38" t="n">
        <f aca="false">Sens!$M$4541-Sens!$M$4543</f>
        <v>0</v>
      </c>
      <c r="P4544" s="5" t="s">
        <v>641</v>
      </c>
      <c r="R4544" s="38" t="n">
        <f aca="false">Sens!$R$4541-Sens!$R$4543</f>
        <v>0</v>
      </c>
      <c r="S4544" s="38" t="n">
        <f aca="false">Sens!$S$4541-Sens!$S$4543</f>
        <v>13.9842411077374</v>
      </c>
      <c r="T4544" s="38" t="n">
        <f aca="false">Sens!$T$4541-Sens!$T$4543</f>
        <v>18.7462427310026</v>
      </c>
      <c r="U4544" s="38" t="n">
        <f aca="false">Sens!$U$4541-Sens!$U$4543</f>
        <v>30.2913414485108</v>
      </c>
      <c r="V4544" s="38" t="n">
        <f aca="false">Sens!$V$4541-Sens!$V$4543</f>
        <v>0</v>
      </c>
      <c r="W4544" s="38" t="n">
        <f aca="false">Sens!$W$4541-Sens!$W$4543</f>
        <v>0</v>
      </c>
      <c r="X4544" s="38" t="n">
        <f aca="false">Sens!$X$4541-Sens!$X$4543</f>
        <v>0</v>
      </c>
      <c r="Y4544" s="38" t="n">
        <f aca="false">Sens!$Y$4541-Sens!$Y$4543</f>
        <v>0</v>
      </c>
      <c r="Z4544" s="38" t="n">
        <f aca="false">Sens!$Z$4541-Sens!$Z$4543</f>
        <v>0</v>
      </c>
      <c r="AA4544" s="38" t="n">
        <f aca="false">Sens!$AA$4541-Sens!$AA$4543</f>
        <v>0</v>
      </c>
    </row>
    <row r="4545" customFormat="false" ht="17.15" hidden="false" customHeight="false" outlineLevel="0" collapsed="false">
      <c r="A4545" s="5" t="s">
        <v>642</v>
      </c>
      <c r="B4545" s="0" t="s">
        <v>86</v>
      </c>
      <c r="R4545" s="38" t="n">
        <f aca="false">Sens!$R$4544*Sens!$C$4540</f>
        <v>0</v>
      </c>
      <c r="S4545" s="38" t="n">
        <f aca="false">Sens!$S$4544*Sens!$C$4540</f>
        <v>10.219074499801</v>
      </c>
      <c r="T4545" s="38" t="n">
        <f aca="false">Sens!$T$4544*Sens!$C$4540</f>
        <v>13.6989379390402</v>
      </c>
      <c r="U4545" s="38" t="n">
        <f aca="false">Sens!$U$4544*Sens!$E$4540</f>
        <v>23.0454203705653</v>
      </c>
      <c r="V4545" s="38" t="n">
        <f aca="false">Sens!$V$4544*Sens!$E$4540</f>
        <v>0</v>
      </c>
      <c r="W4545" s="38" t="n">
        <f aca="false">Sens!$W$4544*Sens!$E$4540</f>
        <v>0</v>
      </c>
      <c r="X4545" s="38" t="n">
        <f aca="false">Sens!$X$4544*Sens!$E$4540</f>
        <v>0</v>
      </c>
      <c r="Y4545" s="38" t="n">
        <f aca="false">Sens!$Y$4544*Sens!$E$4540</f>
        <v>0</v>
      </c>
      <c r="Z4545" s="38" t="n">
        <f aca="false">Sens!$Z$4544*Sens!$E$4540</f>
        <v>0</v>
      </c>
      <c r="AA4545" s="38" t="n">
        <f aca="false">Sens!$AA$4544*Sens!$E$4540</f>
        <v>0</v>
      </c>
    </row>
    <row r="4546" customFormat="false" ht="17.15" hidden="false" customHeight="false" outlineLevel="0" collapsed="false">
      <c r="A4546" s="5" t="s">
        <v>643</v>
      </c>
      <c r="B4546" s="0" t="s">
        <v>86</v>
      </c>
      <c r="R4546" s="38" t="n">
        <f aca="false">SUMPRODUCT(--(Sens!$R$4511:$AA$4511=2023-cip_lag),Sens!$R$4545:$AA$4545)</f>
        <v>0</v>
      </c>
      <c r="S4546" s="38" t="n">
        <f aca="false">SUMPRODUCT(--(Sens!$R$4511:$AA$4511=2024-cip_lag),Sens!$R$4545:$AA$4545)</f>
        <v>0</v>
      </c>
      <c r="T4546" s="38" t="n">
        <f aca="false">SUMPRODUCT(--(Sens!$R$4511:$AA$4511=2025-cip_lag),Sens!$R$4545:$AA$4545)</f>
        <v>10.219074499801</v>
      </c>
      <c r="U4546" s="38" t="n">
        <f aca="false">SUMPRODUCT(--(Sens!$R$4511:$AA$4511=2026-cip_lag),Sens!$R$4545:$AA$4545)</f>
        <v>13.6989379390402</v>
      </c>
      <c r="V4546" s="38" t="n">
        <f aca="false">SUMPRODUCT(--(Sens!$R$4511:$AA$4511=2027-cip_lag),Sens!$R$4545:$AA$4545)</f>
        <v>23.0454203705653</v>
      </c>
      <c r="W4546" s="38" t="n">
        <f aca="false">SUMPRODUCT(--(Sens!$R$4511:$AA$4511=2028-cip_lag),Sens!$R$4545:$AA$4545)</f>
        <v>0</v>
      </c>
      <c r="X4546" s="38" t="n">
        <f aca="false">SUMPRODUCT(--(Sens!$R$4511:$AA$4511=2029-cip_lag),Sens!$R$4545:$AA$4545)</f>
        <v>0</v>
      </c>
      <c r="Y4546" s="38" t="n">
        <f aca="false">SUMPRODUCT(--(Sens!$R$4511:$AA$4511=2030-cip_lag),Sens!$R$4545:$AA$4545)</f>
        <v>0</v>
      </c>
      <c r="Z4546" s="38" t="n">
        <f aca="false">SUMPRODUCT(--(Sens!$R$4511:$AA$4511=2031-cip_lag),Sens!$R$4545:$AA$4545)</f>
        <v>0</v>
      </c>
      <c r="AA4546" s="38" t="n">
        <f aca="false">SUMPRODUCT(--(Sens!$R$4511:$AA$4511=2032-cip_lag),Sens!$R$4545:$AA$4545)</f>
        <v>0</v>
      </c>
    </row>
    <row r="4547" customFormat="false" ht="15" hidden="false" customHeight="false" outlineLevel="0" collapsed="false">
      <c r="A4547" s="5" t="s">
        <v>644</v>
      </c>
      <c r="B4547" s="0" t="s">
        <v>86</v>
      </c>
      <c r="R4547" s="38" t="n">
        <f aca="false">SUMPRODUCT(--(Sens!$R$4511:$AA$4511=2023-cip_lag),Sens!$R$4544:$AA$4544)-Sens!$R$4546</f>
        <v>0</v>
      </c>
      <c r="S4547" s="38" t="n">
        <f aca="false">SUMPRODUCT(--(Sens!$R$4511:$AA$4511=2024-cip_lag),Sens!$R$4544:$AA$4544)-Sens!$S$4546</f>
        <v>0</v>
      </c>
      <c r="T4547" s="38" t="n">
        <f aca="false">SUMPRODUCT(--(Sens!$R$4511:$AA$4511=2025-cip_lag),Sens!$R$4544:$AA$4544)-Sens!$T$4546</f>
        <v>3.76516660793636</v>
      </c>
      <c r="U4547" s="38" t="n">
        <f aca="false">SUMPRODUCT(--(Sens!$R$4511:$AA$4511=2026-cip_lag),Sens!$R$4544:$AA$4544)-Sens!$U$4546</f>
        <v>5.04730479196242</v>
      </c>
      <c r="V4547" s="38" t="n">
        <f aca="false">SUMPRODUCT(--(Sens!$R$4511:$AA$4511=2027-cip_lag),Sens!$R$4544:$AA$4544)-Sens!$V$4546</f>
        <v>7.24592107794548</v>
      </c>
      <c r="W4547" s="38" t="n">
        <f aca="false">SUMPRODUCT(--(Sens!$R$4511:$AA$4511=2028-cip_lag),Sens!$R$4544:$AA$4544)-Sens!$W$4546</f>
        <v>0</v>
      </c>
      <c r="X4547" s="38" t="n">
        <f aca="false">SUMPRODUCT(--(Sens!$R$4511:$AA$4511=2029-cip_lag),Sens!$R$4544:$AA$4544)-Sens!$X$4546</f>
        <v>0</v>
      </c>
      <c r="Y4547" s="38" t="n">
        <f aca="false">SUMPRODUCT(--(Sens!$R$4511:$AA$4511=2030-cip_lag),Sens!$R$4544:$AA$4544)-Sens!$Y$4546</f>
        <v>0</v>
      </c>
      <c r="Z4547" s="38" t="n">
        <f aca="false">SUMPRODUCT(--(Sens!$R$4511:$AA$4511=2031-cip_lag),Sens!$R$4544:$AA$4544)-Sens!$Z$4546</f>
        <v>0</v>
      </c>
      <c r="AA4547" s="38" t="n">
        <f aca="false">SUMPRODUCT(--(Sens!$R$4511:$AA$4511=2032-cip_lag),Sens!$R$4544:$AA$4544)-Sens!$AA$4546</f>
        <v>0</v>
      </c>
    </row>
    <row r="4548" customFormat="false" ht="17.15" hidden="false" customHeight="false" outlineLevel="0" collapsed="false">
      <c r="A4548" s="5" t="s">
        <v>645</v>
      </c>
      <c r="B4548" s="0" t="s">
        <v>86</v>
      </c>
      <c r="C4548" s="38" t="n">
        <f aca="false">Sens!$C$4543*Sens!$C$4540</f>
        <v>8.2530642</v>
      </c>
      <c r="D4548" s="38" t="n">
        <f aca="false">Sens!$D$4543*Sens!$D$4540</f>
        <v>37.1387889</v>
      </c>
      <c r="E4548" s="38" t="n">
        <f aca="false">Sens!$E$4543*Sens!$E$4540</f>
        <v>25.7897792</v>
      </c>
      <c r="F4548" s="38" t="n">
        <f aca="false">Sens!$F$4543*Sens!$F$4540</f>
        <v>67.4948715189913</v>
      </c>
      <c r="G4548" s="38" t="n">
        <f aca="false">Sens!$E$4548+Sens!$F$4548</f>
        <v>93.2846507189913</v>
      </c>
      <c r="H4548" s="38" t="n">
        <f aca="false">(Sens!$H$4543-Sens!$H$4542)*Sens!$H$4540+Sens!$H$4542</f>
        <v>152.52478394475</v>
      </c>
      <c r="I4548" s="38" t="n">
        <f aca="false">(Sens!$I$4543-Sens!$I$4542)*Sens!$I$4540+Sens!$I$4542</f>
        <v>158.5998889105</v>
      </c>
      <c r="J4548" s="38" t="n">
        <f aca="false">(Sens!$J$4543-Sens!$J$4542)*Sens!$J$4540+Sens!$J$4542</f>
        <v>163.8366571105</v>
      </c>
      <c r="K4548" s="38" t="n">
        <f aca="false">(Sens!$K$4543-Sens!$K$4542)*Sens!$K$4540+Sens!$K$4542</f>
        <v>122.665498273534</v>
      </c>
      <c r="L4548" s="38" t="n">
        <f aca="false">(Sens!$L$4543-Sens!$L$4542)*Sens!$L$4540+Sens!$L$4542</f>
        <v>112.914948636568</v>
      </c>
      <c r="M4548" s="38" t="n">
        <f aca="false">(Sens!$M$4543-Sens!$M$4542)*Sens!$M$4540+Sens!$M$4542</f>
        <v>126.605482654852</v>
      </c>
      <c r="R4548" s="38" t="n">
        <f aca="false">Sens!$R$4543*Sens!$C$4540</f>
        <v>1.09927679019314</v>
      </c>
      <c r="S4548" s="38" t="n">
        <f aca="false">Sens!$C$4548</f>
        <v>8.2530642</v>
      </c>
      <c r="T4548" s="38" t="n">
        <f aca="false">Sens!$D$4548</f>
        <v>37.1387889</v>
      </c>
      <c r="U4548" s="38" t="n">
        <f aca="false">Sens!$G$4548</f>
        <v>93.2846507189913</v>
      </c>
      <c r="V4548" s="38" t="n">
        <f aca="false">Sens!$H$4548</f>
        <v>152.52478394475</v>
      </c>
      <c r="W4548" s="38" t="n">
        <f aca="false">Sens!$I$4548</f>
        <v>158.5998889105</v>
      </c>
      <c r="X4548" s="38" t="n">
        <f aca="false">Sens!$J$4548</f>
        <v>163.8366571105</v>
      </c>
      <c r="Y4548" s="38" t="n">
        <f aca="false">Sens!$K$4548</f>
        <v>122.665498273534</v>
      </c>
      <c r="Z4548" s="38" t="n">
        <f aca="false">Sens!$L$4548</f>
        <v>112.914948636568</v>
      </c>
      <c r="AA4548" s="38" t="n">
        <f aca="false">Sens!$M$4548</f>
        <v>126.605482654852</v>
      </c>
    </row>
    <row r="4549" customFormat="false" ht="15" hidden="false" customHeight="false" outlineLevel="0" collapsed="false">
      <c r="A4549" s="5" t="s">
        <v>646</v>
      </c>
      <c r="B4549" s="0" t="s">
        <v>86</v>
      </c>
      <c r="C4549" s="38" t="n">
        <f aca="false">Sens!$C$4543-Sens!$C$4548</f>
        <v>3.0408</v>
      </c>
      <c r="D4549" s="38" t="n">
        <f aca="false">Sens!$D$4543-Sens!$D$4548</f>
        <v>13.6836</v>
      </c>
      <c r="E4549" s="38" t="n">
        <f aca="false">Sens!$E$4543-Sens!$E$4548</f>
        <v>8.1088</v>
      </c>
      <c r="F4549" s="38" t="n">
        <f aca="false">Sens!$F$4543-Sens!$F$4548</f>
        <v>21.2216789422221</v>
      </c>
      <c r="G4549" s="38" t="n">
        <f aca="false">Sens!$G$4543-Sens!$G$4548</f>
        <v>29.3304789422221</v>
      </c>
      <c r="H4549" s="38" t="n">
        <f aca="false">Sens!$H$4543-Sens!$H$4548</f>
        <v>46.046581</v>
      </c>
      <c r="I4549" s="38" t="n">
        <f aca="false">Sens!$I$4543-Sens!$I$4548</f>
        <v>46.046581</v>
      </c>
      <c r="J4549" s="38" t="n">
        <f aca="false">Sens!$J$4543-Sens!$J$4548</f>
        <v>46.046581</v>
      </c>
      <c r="K4549" s="38" t="n">
        <f aca="false">Sens!$K$4543-Sens!$K$4548</f>
        <v>32.5728870016667</v>
      </c>
      <c r="L4549" s="38" t="n">
        <f aca="false">Sens!$L$4543-Sens!$L$4548</f>
        <v>19.0991930033334</v>
      </c>
      <c r="M4549" s="38" t="n">
        <f aca="false">Sens!$M$4543-Sens!$M$4548</f>
        <v>5.62549900499998</v>
      </c>
      <c r="R4549" s="38" t="n">
        <f aca="false">Sens!$R$4543-Sens!$R$4548</f>
        <v>0.405023005106309</v>
      </c>
      <c r="S4549" s="38" t="n">
        <f aca="false">Sens!$S$4543-Sens!$S$4548</f>
        <v>3.0408</v>
      </c>
      <c r="T4549" s="38" t="n">
        <f aca="false">Sens!$T$4543-Sens!$T$4548</f>
        <v>13.6836</v>
      </c>
      <c r="U4549" s="38" t="n">
        <f aca="false">Sens!$U$4543-Sens!$U$4548</f>
        <v>29.3304789422221</v>
      </c>
      <c r="V4549" s="38" t="n">
        <f aca="false">Sens!$V$4543-Sens!$V$4548</f>
        <v>46.046581</v>
      </c>
      <c r="W4549" s="38" t="n">
        <f aca="false">Sens!$W$4543-Sens!$W$4548</f>
        <v>46.046581</v>
      </c>
      <c r="X4549" s="38" t="n">
        <f aca="false">Sens!$X$4543-Sens!$X$4548</f>
        <v>46.046581</v>
      </c>
      <c r="Y4549" s="38" t="n">
        <f aca="false">Sens!$Y$4543-Sens!$Y$4548</f>
        <v>32.5728870016667</v>
      </c>
      <c r="Z4549" s="38" t="n">
        <f aca="false">Sens!$Z$4543-Sens!$Z$4548</f>
        <v>19.0991930033334</v>
      </c>
      <c r="AA4549" s="38" t="n">
        <f aca="false">Sens!$AA$4543-Sens!$AA$4548</f>
        <v>5.62549900499998</v>
      </c>
    </row>
    <row r="4550" customFormat="false" ht="17.15" hidden="false" customHeight="false" outlineLevel="0" collapsed="false">
      <c r="A4550" s="0" t="s">
        <v>647</v>
      </c>
      <c r="B4550" s="0" t="s">
        <v>52</v>
      </c>
      <c r="C4550" s="13" t="n">
        <f aca="false">Sens!$C$4541/Sens!$C$4666</f>
        <v>0.325505489553393</v>
      </c>
      <c r="D4550" s="13" t="n">
        <f aca="false">Sens!$D$4541/Sens!$D$4666</f>
        <v>0.54214956071542</v>
      </c>
      <c r="E4550" s="13" t="n">
        <f aca="false">Sens!$E$4541/Sens!$E$4666</f>
        <v>0.666492790452817</v>
      </c>
      <c r="F4550" s="13" t="n">
        <f aca="false">Sens!$F$4541/Sens!$F$4666</f>
        <v>0.71724917504417</v>
      </c>
      <c r="G4550" s="13" t="n">
        <f aca="false">Sens!$G$4541/Sens!$G$4666</f>
        <v>0.69502941413511</v>
      </c>
      <c r="H4550" s="13" t="n">
        <f aca="false">Sens!$H$4541/Sens!$H$4666</f>
        <v>0.72627809778989</v>
      </c>
      <c r="I4550" s="13" t="n">
        <f aca="false">Sens!$I$4541/Sens!$I$4666</f>
        <v>0.712771007747211</v>
      </c>
      <c r="J4550" s="13" t="n">
        <f aca="false">Sens!$J$4541/Sens!$J$4666</f>
        <v>0.70048832700199</v>
      </c>
      <c r="K4550" s="13" t="n">
        <f aca="false">Sens!$K$4541/Sens!$K$4666</f>
        <v>0.61690908309574</v>
      </c>
      <c r="L4550" s="13" t="n">
        <f aca="false">Sens!$L$4541/Sens!$L$4666</f>
        <v>0.560304457044873</v>
      </c>
      <c r="M4550" s="13" t="n">
        <f aca="false">Sens!$M$4541/Sens!$M$4666</f>
        <v>0.542799733486147</v>
      </c>
    </row>
    <row r="4551" customFormat="false" ht="17.15" hidden="false" customHeight="false" outlineLevel="0" collapsed="false">
      <c r="A4551" s="0" t="s">
        <v>648</v>
      </c>
      <c r="B4551" s="0" t="s">
        <v>86</v>
      </c>
      <c r="C4551" s="38" t="n">
        <f aca="false">Sens!$S$4551</f>
        <v>0.183212798365523</v>
      </c>
      <c r="D4551" s="38" t="n">
        <f aca="false">Sens!$T$4551</f>
        <v>1.55872349836552</v>
      </c>
      <c r="E4551" s="38" t="n">
        <f aca="false">Sens!$G$4551/2</f>
        <v>4.72585036583285</v>
      </c>
      <c r="F4551" s="38" t="n">
        <f aca="false">Sens!$G$4551/2</f>
        <v>4.72585036583285</v>
      </c>
      <c r="G4551" s="38" t="n">
        <f aca="false">Sens!$U$4551</f>
        <v>9.4517007316657</v>
      </c>
      <c r="H4551" s="38" t="n">
        <f aca="false">Sens!$V$4551</f>
        <v>27.2822988413376</v>
      </c>
      <c r="I4551" s="38" t="n">
        <f aca="false">Sens!$W$4551</f>
        <v>56.5439995605568</v>
      </c>
      <c r="J4551" s="38" t="n">
        <f aca="false">Sens!$X$4551</f>
        <v>82.9773143789735</v>
      </c>
      <c r="K4551" s="38" t="n">
        <f aca="false">Sens!$Y$4551</f>
        <v>110.100211099025</v>
      </c>
      <c r="L4551" s="38" t="n">
        <f aca="false">Sens!$Z$4551</f>
        <v>129.16895011128</v>
      </c>
      <c r="M4551" s="38" t="n">
        <f aca="false">Sens!$AA$4551</f>
        <v>140.095130984075</v>
      </c>
      <c r="N4551" s="38" t="n">
        <f aca="false">Sens!$D$4551/2</f>
        <v>0.779361749182762</v>
      </c>
      <c r="O4551" s="38" t="n">
        <f aca="false">Sens!$D$4551/2</f>
        <v>0.779361749182762</v>
      </c>
      <c r="R4551" s="38" t="n">
        <f aca="false">(SUMPRODUCT(--(Sens!$R$4511:$AA$4511&lt;Sens!R$4511),--(Sens!$R$4511:$AA$4511&gt;=Sens!R$4511-tk_life),Sens!$R$4548:$AA$4548)+SUMPRODUCT(--(Sens!$R$4511:$AA$4511&lt;Sens!R$4511),--(Sens!$R$4511:$AA$4511&gt;=Sens!R$4511-tk_life),Sens!$R$4546:$AA$4546))/tk_life</f>
        <v>0</v>
      </c>
      <c r="S4551" s="38" t="n">
        <f aca="false">(SUMPRODUCT(--(Sens!$R$4511:$AA$4511&lt;Sens!S$4511),--(Sens!$R$4511:$AA$4511&gt;=Sens!S$4511-tk_life),Sens!$R$4548:$AA$4548)+SUMPRODUCT(--(Sens!$R$4511:$AA$4511&lt;Sens!S$4511),--(Sens!$R$4511:$AA$4511&gt;=Sens!S$4511-tk_life),Sens!$R$4546:$AA$4546))/tk_life</f>
        <v>0.183212798365523</v>
      </c>
      <c r="T4551" s="38" t="n">
        <f aca="false">(SUMPRODUCT(--(Sens!$R$4511:$AA$4511&lt;Sens!T$4511),--(Sens!$R$4511:$AA$4511&gt;=Sens!T$4511-tk_life),Sens!$R$4548:$AA$4548)+SUMPRODUCT(--(Sens!$R$4511:$AA$4511&lt;Sens!T$4511),--(Sens!$R$4511:$AA$4511&gt;=Sens!T$4511-tk_life),Sens!$R$4546:$AA$4546))/tk_life</f>
        <v>1.55872349836552</v>
      </c>
      <c r="U4551" s="38" t="n">
        <f aca="false">(SUMPRODUCT(--(Sens!$R$4511:$AA$4511&lt;Sens!U$4511),--(Sens!$R$4511:$AA$4511&gt;=Sens!U$4511-tk_life),Sens!$R$4548:$AA$4548)+SUMPRODUCT(--(Sens!$R$4511:$AA$4511&lt;Sens!U$4511),--(Sens!$R$4511:$AA$4511&gt;=Sens!U$4511-tk_life),Sens!$R$4546:$AA$4546))/tk_life</f>
        <v>9.4517007316657</v>
      </c>
      <c r="V4551" s="38" t="n">
        <f aca="false">(SUMPRODUCT(--(Sens!$R$4511:$AA$4511&lt;Sens!V$4511),--(Sens!$R$4511:$AA$4511&gt;=Sens!V$4511-tk_life),Sens!$R$4548:$AA$4548)+SUMPRODUCT(--(Sens!$R$4511:$AA$4511&lt;Sens!V$4511),--(Sens!$R$4511:$AA$4511&gt;=Sens!V$4511-tk_life),Sens!$R$4546:$AA$4546))/tk_life</f>
        <v>27.2822988413376</v>
      </c>
      <c r="W4551" s="38" t="n">
        <f aca="false">(SUMPRODUCT(--(Sens!$R$4511:$AA$4511&lt;Sens!W$4511),--(Sens!$R$4511:$AA$4511&gt;=Sens!W$4511-tk_life),Sens!$R$4548:$AA$4548)+SUMPRODUCT(--(Sens!$R$4511:$AA$4511&lt;Sens!W$4511),--(Sens!$R$4511:$AA$4511&gt;=Sens!W$4511-tk_life),Sens!$R$4546:$AA$4546))/tk_life</f>
        <v>56.5439995605568</v>
      </c>
      <c r="X4551" s="38" t="n">
        <f aca="false">(SUMPRODUCT(--(Sens!$R$4511:$AA$4511&lt;Sens!X$4511),--(Sens!$R$4511:$AA$4511&gt;=Sens!X$4511-tk_life),Sens!$R$4548:$AA$4548)+SUMPRODUCT(--(Sens!$R$4511:$AA$4511&lt;Sens!X$4511),--(Sens!$R$4511:$AA$4511&gt;=Sens!X$4511-tk_life),Sens!$R$4546:$AA$4546))/tk_life</f>
        <v>82.9773143789735</v>
      </c>
      <c r="Y4551" s="38" t="n">
        <f aca="false">(SUMPRODUCT(--(Sens!$R$4511:$AA$4511&lt;Sens!Y$4511),--(Sens!$R$4511:$AA$4511&gt;=Sens!Y$4511-tk_life),Sens!$R$4548:$AA$4548)+SUMPRODUCT(--(Sens!$R$4511:$AA$4511&lt;Sens!Y$4511),--(Sens!$R$4511:$AA$4511&gt;=Sens!Y$4511-tk_life),Sens!$R$4546:$AA$4546))/tk_life</f>
        <v>110.100211099025</v>
      </c>
      <c r="Z4551" s="38" t="n">
        <f aca="false">(SUMPRODUCT(--(Sens!$R$4511:$AA$4511&lt;Sens!Z$4511),--(Sens!$R$4511:$AA$4511&gt;=Sens!Z$4511-tk_life),Sens!$R$4548:$AA$4548)+SUMPRODUCT(--(Sens!$R$4511:$AA$4511&lt;Sens!Z$4511),--(Sens!$R$4511:$AA$4511&gt;=Sens!Z$4511-tk_life),Sens!$R$4546:$AA$4546))/tk_life</f>
        <v>129.16895011128</v>
      </c>
      <c r="AA4551" s="38" t="n">
        <f aca="false">(SUMPRODUCT(--(Sens!$R$4511:$AA$4511&lt;Sens!AA$4511),--(Sens!$R$4511:$AA$4511&gt;=Sens!AA$4511-tk_life),Sens!$R$4548:$AA$4548)+SUMPRODUCT(--(Sens!$R$4511:$AA$4511&lt;Sens!AA$4511),--(Sens!$R$4511:$AA$4511&gt;=Sens!AA$4511-tk_life),Sens!$R$4546:$AA$4546))/tk_life</f>
        <v>140.095130984075</v>
      </c>
    </row>
    <row r="4552" customFormat="false" ht="17.15" hidden="false" customHeight="false" outlineLevel="0" collapsed="false">
      <c r="A4552" s="0" t="s">
        <v>649</v>
      </c>
      <c r="B4552" s="0" t="s">
        <v>86</v>
      </c>
      <c r="C4552" s="38" t="n">
        <f aca="false">Sens!$S$4552</f>
        <v>0.0202511502553155</v>
      </c>
      <c r="D4552" s="38" t="n">
        <f aca="false">Sens!$T$4552</f>
        <v>0.172291150255315</v>
      </c>
      <c r="E4552" s="38" t="n">
        <f aca="false">Sens!$G$4552/2</f>
        <v>0.522364740326067</v>
      </c>
      <c r="F4552" s="38" t="n">
        <f aca="false">Sens!$G$4552/2</f>
        <v>0.522364740326067</v>
      </c>
      <c r="G4552" s="38" t="n">
        <f aca="false">Sens!$U$4552</f>
        <v>1.04472948065213</v>
      </c>
      <c r="H4552" s="38" t="n">
        <f aca="false">Sens!$V$4552</f>
        <v>2.76361866736136</v>
      </c>
      <c r="I4552" s="38" t="n">
        <f aca="false">Sens!$W$4552</f>
        <v>5.42824377125863</v>
      </c>
      <c r="J4552" s="38" t="n">
        <f aca="false">Sens!$X$4552</f>
        <v>7.73057282125864</v>
      </c>
      <c r="K4552" s="38" t="n">
        <f aca="false">Sens!$Y$4552</f>
        <v>10.0329018712586</v>
      </c>
      <c r="L4552" s="38" t="n">
        <f aca="false">Sens!$Z$4552</f>
        <v>11.661546221342</v>
      </c>
      <c r="M4552" s="38" t="n">
        <f aca="false">Sens!$AA$4552</f>
        <v>12.6165058715086</v>
      </c>
      <c r="N4552" s="38" t="n">
        <f aca="false">Sens!$D$4552/2</f>
        <v>0.0861455751276577</v>
      </c>
      <c r="O4552" s="38" t="n">
        <f aca="false">Sens!$D$4552/2</f>
        <v>0.0861455751276577</v>
      </c>
      <c r="R4552" s="38" t="n">
        <f aca="false">(SUMPRODUCT(--(Sens!$R$4511:$AA$4511&lt;Sens!R$4511),Sens!$R$4549:$AA$4549)+SUMPRODUCT(--(Sens!$R$4511:$AA$4511&lt;Sens!R$4511),Sens!$R$4547:$AA$4547))/fac_life</f>
        <v>0</v>
      </c>
      <c r="S4552" s="38" t="n">
        <f aca="false">(SUMPRODUCT(--(Sens!$R$4511:$AA$4511&lt;Sens!S$4511),Sens!$R$4549:$AA$4549)+SUMPRODUCT(--(Sens!$R$4511:$AA$4511&lt;Sens!S$4511),Sens!$R$4547:$AA$4547))/fac_life</f>
        <v>0.0202511502553155</v>
      </c>
      <c r="T4552" s="38" t="n">
        <f aca="false">(SUMPRODUCT(--(Sens!$R$4511:$AA$4511&lt;Sens!T$4511),Sens!$R$4549:$AA$4549)+SUMPRODUCT(--(Sens!$R$4511:$AA$4511&lt;Sens!T$4511),Sens!$R$4547:$AA$4547))/fac_life</f>
        <v>0.172291150255315</v>
      </c>
      <c r="U4552" s="38" t="n">
        <f aca="false">(SUMPRODUCT(--(Sens!$R$4511:$AA$4511&lt;Sens!U$4511),Sens!$R$4549:$AA$4549)+SUMPRODUCT(--(Sens!$R$4511:$AA$4511&lt;Sens!U$4511),Sens!$R$4547:$AA$4547))/fac_life</f>
        <v>1.04472948065213</v>
      </c>
      <c r="V4552" s="38" t="n">
        <f aca="false">(SUMPRODUCT(--(Sens!$R$4511:$AA$4511&lt;Sens!V$4511),Sens!$R$4549:$AA$4549)+SUMPRODUCT(--(Sens!$R$4511:$AA$4511&lt;Sens!V$4511),Sens!$R$4547:$AA$4547))/fac_life</f>
        <v>2.76361866736136</v>
      </c>
      <c r="W4552" s="38" t="n">
        <f aca="false">(SUMPRODUCT(--(Sens!$R$4511:$AA$4511&lt;Sens!W$4511),Sens!$R$4549:$AA$4549)+SUMPRODUCT(--(Sens!$R$4511:$AA$4511&lt;Sens!W$4511),Sens!$R$4547:$AA$4547))/fac_life</f>
        <v>5.42824377125863</v>
      </c>
      <c r="X4552" s="38" t="n">
        <f aca="false">(SUMPRODUCT(--(Sens!$R$4511:$AA$4511&lt;Sens!X$4511),Sens!$R$4549:$AA$4549)+SUMPRODUCT(--(Sens!$R$4511:$AA$4511&lt;Sens!X$4511),Sens!$R$4547:$AA$4547))/fac_life</f>
        <v>7.73057282125864</v>
      </c>
      <c r="Y4552" s="38" t="n">
        <f aca="false">(SUMPRODUCT(--(Sens!$R$4511:$AA$4511&lt;Sens!Y$4511),Sens!$R$4549:$AA$4549)+SUMPRODUCT(--(Sens!$R$4511:$AA$4511&lt;Sens!Y$4511),Sens!$R$4547:$AA$4547))/fac_life</f>
        <v>10.0329018712586</v>
      </c>
      <c r="Z4552" s="38" t="n">
        <f aca="false">(SUMPRODUCT(--(Sens!$R$4511:$AA$4511&lt;Sens!Z$4511),Sens!$R$4549:$AA$4549)+SUMPRODUCT(--(Sens!$R$4511:$AA$4511&lt;Sens!Z$4511),Sens!$R$4547:$AA$4547))/fac_life</f>
        <v>11.661546221342</v>
      </c>
      <c r="AA4552" s="38" t="n">
        <f aca="false">(SUMPRODUCT(--(Sens!$R$4511:$AA$4511&lt;Sens!AA$4511),Sens!$R$4549:$AA$4549)+SUMPRODUCT(--(Sens!$R$4511:$AA$4511&lt;Sens!AA$4511),Sens!$R$4547:$AA$4547))/fac_life</f>
        <v>12.6165058715086</v>
      </c>
    </row>
    <row r="4553" customFormat="false" ht="17.15" hidden="false" customHeight="false" outlineLevel="0" collapsed="false">
      <c r="A4553" s="1" t="s">
        <v>650</v>
      </c>
      <c r="B4553" s="8" t="s">
        <v>86</v>
      </c>
      <c r="C4553" s="38" t="n">
        <f aca="false">Sens!$C$4551+Sens!$C$4552</f>
        <v>0.203463948620839</v>
      </c>
      <c r="D4553" s="38" t="n">
        <f aca="false">Sens!$D$4551+Sens!$D$4552</f>
        <v>1.73101464862084</v>
      </c>
      <c r="E4553" s="38" t="n">
        <f aca="false">Sens!$E$4551+Sens!$E$4552</f>
        <v>5.24821510615892</v>
      </c>
      <c r="F4553" s="38" t="n">
        <f aca="false">Sens!$F$4551+Sens!$F$4552</f>
        <v>5.24821510615892</v>
      </c>
      <c r="G4553" s="38" t="n">
        <f aca="false">Sens!$G$4551+Sens!$G$4552</f>
        <v>10.4964302123178</v>
      </c>
      <c r="H4553" s="38" t="n">
        <f aca="false">Sens!$H$4551+Sens!$H$4552</f>
        <v>30.045917508699</v>
      </c>
      <c r="I4553" s="38" t="n">
        <f aca="false">Sens!$I$4551+Sens!$I$4552</f>
        <v>61.9722433318155</v>
      </c>
      <c r="J4553" s="38" t="n">
        <f aca="false">Sens!$J$4551+Sens!$J$4552</f>
        <v>90.7078872002321</v>
      </c>
      <c r="K4553" s="38" t="n">
        <f aca="false">Sens!$K$4551+Sens!$K$4552</f>
        <v>120.133112970283</v>
      </c>
      <c r="L4553" s="38" t="n">
        <f aca="false">Sens!$L$4551+Sens!$L$4552</f>
        <v>140.830496332622</v>
      </c>
      <c r="M4553" s="38" t="n">
        <f aca="false">Sens!$M$4551+Sens!$M$4552</f>
        <v>152.711636855584</v>
      </c>
      <c r="N4553" s="38" t="n">
        <f aca="false">Sens!$N$4551+Sens!$N$4552</f>
        <v>0.865507324310419</v>
      </c>
      <c r="O4553" s="38" t="n">
        <f aca="false">Sens!$O$4551+Sens!$O$4552</f>
        <v>0.865507324310419</v>
      </c>
      <c r="R4553" s="38" t="n">
        <f aca="false">Sens!$R$4551+Sens!$R$4552</f>
        <v>0</v>
      </c>
      <c r="S4553" s="38" t="n">
        <f aca="false">Sens!$S$4551+Sens!$S$4552</f>
        <v>0.203463948620839</v>
      </c>
      <c r="T4553" s="38" t="n">
        <f aca="false">Sens!$T$4551+Sens!$T$4552</f>
        <v>1.73101464862084</v>
      </c>
      <c r="U4553" s="38" t="n">
        <f aca="false">Sens!$U$4551+Sens!$U$4552</f>
        <v>10.4964302123178</v>
      </c>
      <c r="V4553" s="38" t="n">
        <f aca="false">Sens!$V$4551+Sens!$V$4552</f>
        <v>30.045917508699</v>
      </c>
      <c r="W4553" s="38" t="n">
        <f aca="false">Sens!$W$4551+Sens!$W$4552</f>
        <v>61.9722433318155</v>
      </c>
      <c r="X4553" s="38" t="n">
        <f aca="false">Sens!$X$4551+Sens!$X$4552</f>
        <v>90.7078872002321</v>
      </c>
      <c r="Y4553" s="38" t="n">
        <f aca="false">Sens!$Y$4551+Sens!$Y$4552</f>
        <v>120.133112970283</v>
      </c>
      <c r="Z4553" s="38" t="n">
        <f aca="false">Sens!$Z$4551+Sens!$Z$4552</f>
        <v>140.830496332622</v>
      </c>
      <c r="AA4553" s="38" t="n">
        <f aca="false">Sens!$AA$4551+Sens!$AA$4552</f>
        <v>152.711636855584</v>
      </c>
    </row>
    <row r="4554" customFormat="false" ht="17.15" hidden="false" customHeight="false" outlineLevel="0" collapsed="false">
      <c r="A4554" s="0" t="s">
        <v>651</v>
      </c>
      <c r="B4554" s="0" t="s">
        <v>86</v>
      </c>
      <c r="C4554" s="38" t="n">
        <f aca="false">Sens!$S$4554</f>
        <v>26.578941154416</v>
      </c>
      <c r="D4554" s="38" t="n">
        <f aca="false">Sens!$T$4554</f>
        <v>94.4165581367978</v>
      </c>
      <c r="G4554" s="38" t="n">
        <f aca="false">Sens!$U$4554</f>
        <v>236.826599034204</v>
      </c>
      <c r="H4554" s="38" t="n">
        <f aca="false">Sens!$V$4554</f>
        <v>405.352046470255</v>
      </c>
      <c r="I4554" s="38" t="n">
        <f aca="false">Sens!$W$4554</f>
        <v>548.02627304894</v>
      </c>
      <c r="J4554" s="38" t="n">
        <f aca="false">Sens!$X$4554</f>
        <v>667.201623959208</v>
      </c>
      <c r="K4554" s="38" t="n">
        <f aca="false">Sens!$Y$4554</f>
        <v>702.306896264125</v>
      </c>
      <c r="L4554" s="38" t="n">
        <f aca="false">Sens!$Z$4554</f>
        <v>693.490541571405</v>
      </c>
      <c r="M4554" s="38" t="n">
        <f aca="false">Sens!$AA$4554</f>
        <v>673.009886375674</v>
      </c>
      <c r="R4554" s="38" t="n">
        <f aca="false">SUM(Sens!$R$4541:$R$4541)-SUM(Sens!$R$4553:$R$4553)</f>
        <v>1.50429979529945</v>
      </c>
      <c r="S4554" s="38" t="n">
        <f aca="false">SUM(Sens!$R$4541:$S$4541)-SUM(Sens!$R$4553:$S$4553)</f>
        <v>26.578941154416</v>
      </c>
      <c r="T4554" s="38" t="n">
        <f aca="false">SUM(Sens!$R$4541:$T$4541)-SUM(Sens!$R$4553:$T$4553)</f>
        <v>94.4165581367978</v>
      </c>
      <c r="U4554" s="38" t="n">
        <f aca="false">SUM(Sens!$R$4541:$U$4541)-SUM(Sens!$R$4553:$U$4553)</f>
        <v>236.826599034204</v>
      </c>
      <c r="V4554" s="38" t="n">
        <f aca="false">SUM(Sens!$R$4541:$V$4541)-SUM(Sens!$R$4553:$V$4553)</f>
        <v>405.352046470255</v>
      </c>
      <c r="W4554" s="38" t="n">
        <f aca="false">SUM(Sens!$R$4541:$W$4541)-SUM(Sens!$R$4553:$W$4553)</f>
        <v>548.02627304894</v>
      </c>
      <c r="X4554" s="38" t="n">
        <f aca="false">SUM(Sens!$R$4541:$X$4541)-SUM(Sens!$R$4553:$X$4553)</f>
        <v>667.201623959208</v>
      </c>
      <c r="Y4554" s="38" t="n">
        <f aca="false">SUM(Sens!$R$4541:$Y$4541)-SUM(Sens!$R$4553:$Y$4553)</f>
        <v>702.306896264125</v>
      </c>
      <c r="Z4554" s="38" t="n">
        <f aca="false">SUM(Sens!$R$4541:$Z$4541)-SUM(Sens!$R$4553:$Z$4553)</f>
        <v>693.490541571405</v>
      </c>
      <c r="AA4554" s="38" t="n">
        <f aca="false">SUM(Sens!$R$4541:$AA$4541)-SUM(Sens!$R$4553:$AA$4553)</f>
        <v>673.009886375674</v>
      </c>
    </row>
    <row r="4555" customFormat="false" ht="17.15" hidden="false" customHeight="false" outlineLevel="0" collapsed="false">
      <c r="A4555" s="1" t="s">
        <v>652</v>
      </c>
    </row>
    <row r="4556" customFormat="false" ht="17.15" hidden="false" customHeight="false" outlineLevel="0" collapsed="false">
      <c r="A4556" s="0" t="s">
        <v>653</v>
      </c>
      <c r="B4556" s="0" t="s">
        <v>86</v>
      </c>
      <c r="C4556" s="38" t="n">
        <f aca="false">Sens!$C$4532-ext_sh*Sens!$C$4534</f>
        <v>1.80694998843362</v>
      </c>
      <c r="D4556" s="38" t="n">
        <f aca="false">Sens!$D$4532-ext_sh*Sens!$D$4534</f>
        <v>6.77606245662607</v>
      </c>
      <c r="E4556" s="38" t="n">
        <f aca="false">Sens!$E$4532-ext_sh*Sens!$E$4534</f>
        <v>6.62548329092326</v>
      </c>
      <c r="F4556" s="38" t="n">
        <f aca="false">Sens!$F$4532-ext_sh*Sens!$F$4534</f>
        <v>11.7200577158706</v>
      </c>
      <c r="G4556" s="38" t="n">
        <f aca="false">Sens!$G$4532-ext_sh*Sens!$G$4534</f>
        <v>18.3455410067939</v>
      </c>
      <c r="H4556" s="38" t="n">
        <f aca="false">Sens!$H$4532-ext_sh*Sens!$H$4534</f>
        <v>47.5171727060453</v>
      </c>
      <c r="I4556" s="38" t="n">
        <f aca="false">Sens!$I$4532-ext_sh*Sens!$I$4534</f>
        <v>80.5539692643667</v>
      </c>
      <c r="J4556" s="38" t="n">
        <f aca="false">Sens!$J$4532-ext_sh*Sens!$J$4534</f>
        <v>113.759316834883</v>
      </c>
      <c r="K4556" s="38" t="n">
        <f aca="false">Sens!$K$4532-ext_sh*Sens!$K$4534</f>
        <v>142.084411492169</v>
      </c>
      <c r="L4556" s="38" t="n">
        <f aca="false">Sens!$L$4532-ext_sh*Sens!$L$4534</f>
        <v>160.69964615804</v>
      </c>
      <c r="M4556" s="38" t="n">
        <f aca="false">Sens!$M$4532-ext_sh*Sens!$M$4534</f>
        <v>169.577607141793</v>
      </c>
      <c r="N4556" s="38" t="n">
        <f aca="false">Sens!$N$4532-ext_sh*Sens!$N$4534</f>
        <v>2.37162185981912</v>
      </c>
      <c r="O4556" s="38" t="n">
        <f aca="false">Sens!$O$4532-ext_sh*Sens!$O$4534</f>
        <v>4.40444059680694</v>
      </c>
    </row>
    <row r="4557" customFormat="false" ht="17.15" hidden="false" customHeight="false" outlineLevel="0" collapsed="false">
      <c r="A4557" s="1" t="s">
        <v>654</v>
      </c>
      <c r="B4557" s="8" t="s">
        <v>86</v>
      </c>
      <c r="C4557" s="38" t="n">
        <f aca="false">Sens!$C$4556-ext_sh*Sens!$C$4553</f>
        <v>1.64417882953695</v>
      </c>
      <c r="D4557" s="38" t="n">
        <f aca="false">Sens!$D$4556-ext_sh*Sens!$D$4553</f>
        <v>5.39125073772939</v>
      </c>
      <c r="E4557" s="38" t="n">
        <f aca="false">Sens!$E$4556-ext_sh*Sens!$E$4553</f>
        <v>2.42691120599613</v>
      </c>
      <c r="F4557" s="38" t="n">
        <f aca="false">Sens!$F$4556-ext_sh*Sens!$F$4553</f>
        <v>7.52148563094346</v>
      </c>
      <c r="G4557" s="38" t="n">
        <f aca="false">Sens!$G$4556-ext_sh*Sens!$G$4553</f>
        <v>9.94839683693959</v>
      </c>
      <c r="H4557" s="38" t="n">
        <f aca="false">Sens!$H$4556-ext_sh*Sens!$H$4553</f>
        <v>23.4804386990861</v>
      </c>
      <c r="I4557" s="38" t="n">
        <f aca="false">Sens!$I$4556-ext_sh*Sens!$I$4553</f>
        <v>30.9761745989143</v>
      </c>
      <c r="J4557" s="38" t="n">
        <f aca="false">Sens!$J$4556-ext_sh*Sens!$J$4553</f>
        <v>41.1930070746977</v>
      </c>
      <c r="K4557" s="38" t="n">
        <f aca="false">Sens!$K$4556-ext_sh*Sens!$K$4553</f>
        <v>45.9779211159428</v>
      </c>
      <c r="L4557" s="38" t="n">
        <f aca="false">Sens!$L$4556-ext_sh*Sens!$L$4553</f>
        <v>48.0352490919424</v>
      </c>
      <c r="M4557" s="38" t="n">
        <f aca="false">Sens!$M$4556-ext_sh*Sens!$M$4553</f>
        <v>47.4082976573265</v>
      </c>
      <c r="N4557" s="38" t="n">
        <f aca="false">Sens!$N$4556-ext_sh*Sens!$N$4553</f>
        <v>1.67921600037079</v>
      </c>
      <c r="O4557" s="38" t="n">
        <f aca="false">Sens!$O$4556-ext_sh*Sens!$O$4553</f>
        <v>3.71203473735861</v>
      </c>
    </row>
    <row r="4558" customFormat="false" ht="17.15" hidden="false" customHeight="false" outlineLevel="0" collapsed="false">
      <c r="A4558" s="0" t="s">
        <v>655</v>
      </c>
      <c r="B4558" s="0" t="s">
        <v>52</v>
      </c>
      <c r="C4558" s="13" t="n">
        <f aca="false">Sens!$C$4557/Sens!$C$4532</f>
        <v>0.708390794789371</v>
      </c>
      <c r="D4558" s="13" t="n">
        <f aca="false">Sens!$D$4557/Sens!$D$4532</f>
        <v>0.619415573115729</v>
      </c>
      <c r="E4558" s="13" t="n">
        <f aca="false">Sens!$E$4557/Sens!$E$4532</f>
        <v>0.285171627189009</v>
      </c>
      <c r="F4558" s="13" t="n">
        <f aca="false">Sens!$F$4557/Sens!$F$4532</f>
        <v>0.502657732812366</v>
      </c>
      <c r="G4558" s="13" t="n">
        <f aca="false">Sens!$G$4557/Sens!$G$4532</f>
        <v>0.423808778611812</v>
      </c>
      <c r="H4558" s="13" t="n">
        <f aca="false">Sens!$H$4557/Sens!$H$4532</f>
        <v>0.390261631739809</v>
      </c>
      <c r="I4558" s="13" t="n">
        <f aca="false">Sens!$I$4557/Sens!$I$4532</f>
        <v>0.305172864264572</v>
      </c>
      <c r="J4558" s="13" t="n">
        <f aca="false">Sens!$J$4557/Sens!$J$4532</f>
        <v>0.288011814789856</v>
      </c>
      <c r="K4558" s="13" t="n">
        <f aca="false">Sens!$K$4557/Sens!$K$4532</f>
        <v>0.25765427518774</v>
      </c>
      <c r="L4558" s="13" t="n">
        <f aca="false">Sens!$L$4557/Sens!$L$4532</f>
        <v>0.238118778012374</v>
      </c>
      <c r="M4558" s="13" t="n">
        <f aca="false">Sens!$M$4557/Sens!$M$4532</f>
        <v>0.222746255757109</v>
      </c>
      <c r="N4558" s="13" t="n">
        <f aca="false">Sens!$N$4557/Sens!$N$4532</f>
        <v>0.551227795793364</v>
      </c>
      <c r="O4558" s="13" t="n">
        <f aca="false">Sens!$O$4557/Sens!$O$4532</f>
        <v>0.656132068597002</v>
      </c>
    </row>
    <row r="4559" customFormat="false" ht="17.15" hidden="false" customHeight="false" outlineLevel="0" collapsed="false">
      <c r="A4559" s="5" t="s">
        <v>656</v>
      </c>
      <c r="B4559" s="0" t="s">
        <v>86</v>
      </c>
      <c r="C4559" s="39" t="n">
        <v>0</v>
      </c>
      <c r="D4559" s="39" t="n">
        <v>0</v>
      </c>
      <c r="E4559" s="39" t="n">
        <v>0</v>
      </c>
      <c r="F4559" s="38" t="n">
        <f aca="false">IF(internal_ai_reading=2,1,0)*(1-ext_sh)/ext_sh*(mw_open*he_open+Sens!$F$4530*Sens!$F$4527)*Sens!$F$4516/1000</f>
        <v>3.77122048175818</v>
      </c>
      <c r="G4559" s="38" t="n">
        <f aca="false">Sens!$E$4559+Sens!$F$4559</f>
        <v>3.77122048175818</v>
      </c>
      <c r="H4559" s="38" t="n">
        <f aca="false">IF(internal_ai_reading=2,1,0)*(1-ext_sh)/ext_sh*(mw_open*he_open+Sens!$H$4530*Sens!$H$4527)*Sens!$H$4516/1000</f>
        <v>15.1635543609893</v>
      </c>
      <c r="I4559" s="38" t="n">
        <f aca="false">IF(internal_ai_reading=2,1,0)*(1-ext_sh)/ext_sh*(mw_open*he_open+Sens!$I$4530*Sens!$I$4527)*Sens!$I$4516/1000</f>
        <v>25.5818843619889</v>
      </c>
      <c r="J4559" s="38" t="n">
        <f aca="false">IF(internal_ai_reading=2,1,0)*(1-ext_sh)/ext_sh*(mw_open*he_open+Sens!$J$4530*Sens!$J$4527)*Sens!$J$4516/1000</f>
        <v>36.0465624179122</v>
      </c>
      <c r="K4559" s="38" t="n">
        <f aca="false">IF(internal_ai_reading=2,1,0)*(1-ext_sh)/ext_sh*(mw_open*he_open+Sens!$K$4530*Sens!$K$4527)*Sens!$K$4516/1000</f>
        <v>44.9741164026038</v>
      </c>
      <c r="L4559" s="38" t="n">
        <f aca="false">IF(internal_ai_reading=2,1,0)*(1-ext_sh)/ext_sh*(mw_open*he_open+Sens!$L$4530*Sens!$L$4527)*Sens!$L$4516/1000</f>
        <v>50.8413488057813</v>
      </c>
      <c r="M4559" s="38" t="n">
        <f aca="false">IF(internal_ai_reading=2,1,0)*(1-ext_sh)/ext_sh*(mw_open*he_open+Sens!$M$4530*Sens!$M$4527)*Sens!$M$4516/1000</f>
        <v>53.6407214274315</v>
      </c>
      <c r="N4559" s="39" t="n">
        <v>0</v>
      </c>
      <c r="O4559" s="39" t="n">
        <v>0</v>
      </c>
      <c r="P4559" s="8" t="s">
        <v>657</v>
      </c>
    </row>
    <row r="4560" customFormat="false" ht="17.15" hidden="false" customHeight="false" outlineLevel="0" collapsed="false">
      <c r="A4560" s="5" t="s">
        <v>658</v>
      </c>
      <c r="B4560" s="0" t="s">
        <v>86</v>
      </c>
      <c r="C4560" s="38" t="n">
        <f aca="false">(1-ext_sh)*(Sens!$C$4534+Sens!$C$4553)</f>
        <v>0.169206631859174</v>
      </c>
      <c r="D4560" s="38" t="n">
        <f aca="false">(1-ext_sh)*(Sens!$D$4534+Sens!$D$4553)</f>
        <v>0.828129837730442</v>
      </c>
      <c r="E4560" s="38" t="n">
        <f aca="false">(1-ext_sh)*(Sens!$E$4534+Sens!$E$4553)</f>
        <v>1.52086044239347</v>
      </c>
      <c r="F4560" s="38" t="n">
        <f aca="false">(1-ext_sh)*(Sens!$F$4534+Sens!$F$4553)</f>
        <v>1.86048700344425</v>
      </c>
      <c r="G4560" s="38" t="n">
        <f aca="false">(1-ext_sh)*(Sens!$G$4534+Sens!$G$4553)</f>
        <v>3.38134744583772</v>
      </c>
      <c r="H4560" s="38" t="n">
        <f aca="false">(1-ext_sh)*(Sens!$H$4534+Sens!$H$4553)</f>
        <v>9.17136301267211</v>
      </c>
      <c r="I4560" s="38" t="n">
        <f aca="false">(1-ext_sh)*(Sens!$I$4534+Sens!$I$4553)</f>
        <v>17.6318811343794</v>
      </c>
      <c r="J4560" s="38" t="n">
        <f aca="false">(1-ext_sh)*(Sens!$J$4534+Sens!$J$4553)</f>
        <v>25.4581000191451</v>
      </c>
      <c r="K4560" s="38" t="n">
        <f aca="false">(1-ext_sh)*(Sens!$K$4534+Sens!$K$4553)</f>
        <v>33.1175498168092</v>
      </c>
      <c r="L4560" s="38" t="n">
        <f aca="false">(1-ext_sh)*(Sens!$L$4534+Sens!$L$4553)</f>
        <v>38.4232131776135</v>
      </c>
      <c r="M4560" s="38" t="n">
        <f aca="false">(1-ext_sh)*(Sens!$M$4534+Sens!$M$4553)</f>
        <v>41.3567859278847</v>
      </c>
      <c r="N4560" s="38" t="n">
        <f aca="false">(1-ext_sh)*(Sens!$N$4534+Sens!$N$4553)</f>
        <v>0.34177588266428</v>
      </c>
      <c r="O4560" s="38" t="n">
        <f aca="false">(1-ext_sh)*(Sens!$O$4534+Sens!$O$4553)</f>
        <v>0.486353955066162</v>
      </c>
    </row>
    <row r="4561" customFormat="false" ht="17.15" hidden="false" customHeight="false" outlineLevel="0" collapsed="false">
      <c r="A4561" s="0" t="s">
        <v>659</v>
      </c>
      <c r="B4561" s="0" t="s">
        <v>86</v>
      </c>
      <c r="C4561" s="38" t="n">
        <f aca="false">Q!$D$24</f>
        <v>39.834</v>
      </c>
      <c r="D4561" s="38" t="n">
        <f aca="false">Q!$E$24</f>
        <v>45.606</v>
      </c>
      <c r="E4561" s="38" t="n">
        <f aca="false">Q!$P$24</f>
        <v>30.782</v>
      </c>
      <c r="N4561" s="38" t="n">
        <f aca="false">Q!$N$24</f>
        <v>21.707</v>
      </c>
      <c r="O4561" s="38" t="n">
        <f aca="false">Q!$O$24</f>
        <v>23.899</v>
      </c>
    </row>
    <row r="4562" customFormat="false" ht="17.15" hidden="false" customHeight="false" outlineLevel="0" collapsed="false">
      <c r="A4562" s="0" t="s">
        <v>660</v>
      </c>
      <c r="B4562" s="0" t="s">
        <v>86</v>
      </c>
      <c r="C4562" s="38" t="n">
        <f aca="false">Sens!$C$4561-Sens!$C$4557</f>
        <v>38.1898211704631</v>
      </c>
      <c r="D4562" s="38" t="n">
        <f aca="false">Sens!$D$4561-Sens!$D$4557</f>
        <v>40.2147492622706</v>
      </c>
      <c r="E4562" s="38" t="n">
        <f aca="false">Sens!$E$4561-Sens!$E$4557</f>
        <v>28.3550887940039</v>
      </c>
      <c r="F4562" s="38" t="n">
        <f aca="false">Sens!$F$4536*Sens!$F$4563</f>
        <v>25.9529793149447</v>
      </c>
      <c r="G4562" s="38" t="n">
        <f aca="false">Sens!$E$4562+Sens!$F$4562</f>
        <v>54.3080681089486</v>
      </c>
      <c r="H4562" s="38" t="n">
        <f aca="false">Sens!$H$4536*Sens!$H$4563</f>
        <v>58.2264684589333</v>
      </c>
      <c r="I4562" s="38" t="n">
        <f aca="false">Sens!$I$4536*Sens!$I$4563</f>
        <v>64.6461353851744</v>
      </c>
      <c r="J4562" s="38" t="n">
        <f aca="false">Sens!$J$4536*Sens!$J$4563</f>
        <v>70.7957093610231</v>
      </c>
      <c r="K4562" s="38" t="n">
        <f aca="false">Sens!$K$4536*Sens!$K$4563</f>
        <v>76.4593661099049</v>
      </c>
      <c r="L4562" s="38" t="n">
        <f aca="false">Sens!$L$4536*Sens!$L$4563</f>
        <v>82.5761153986973</v>
      </c>
      <c r="M4562" s="38" t="n">
        <f aca="false">Sens!$M$4536*Sens!$M$4563</f>
        <v>89.1822046305931</v>
      </c>
      <c r="N4562" s="38" t="n">
        <f aca="false">Sens!$N$4561-Sens!$N$4557</f>
        <v>20.0277839996292</v>
      </c>
      <c r="O4562" s="38" t="n">
        <f aca="false">Sens!$O$4561-Sens!$O$4557</f>
        <v>20.1869652626414</v>
      </c>
      <c r="P4562" s="5" t="s">
        <v>661</v>
      </c>
    </row>
    <row r="4563" customFormat="false" ht="17.15" hidden="false" customHeight="false" outlineLevel="0" collapsed="false">
      <c r="A4563" s="0" t="s">
        <v>662</v>
      </c>
      <c r="B4563" s="0" t="s">
        <v>52</v>
      </c>
      <c r="C4563" s="13" t="n">
        <f aca="false">Sens!$C$4562/Sens!$C$4536</f>
        <v>0.362900395443635</v>
      </c>
      <c r="D4563" s="13" t="n">
        <f aca="false">Sens!$D$4562/Sens!$D$4536</f>
        <v>0.335063632425483</v>
      </c>
      <c r="E4563" s="13" t="n">
        <f aca="false">Sens!$E$4562/Sens!$E$4536</f>
        <v>0.397638855555478</v>
      </c>
      <c r="F4563" s="13" t="n">
        <f aca="false">(Sens!$O$4562+Sens!$E$4562)/(Sens!$O$4536+Sens!$E$4536)</f>
        <v>0.361616727338133</v>
      </c>
      <c r="G4563" s="13" t="n">
        <f aca="false">Sens!$G$4562/Sens!$G$4536</f>
        <v>0.379569803149143</v>
      </c>
      <c r="H4563" s="13" t="n">
        <f aca="false">Sens!$F$4563</f>
        <v>0.361616727338133</v>
      </c>
      <c r="I4563" s="13" t="n">
        <f aca="false">Sens!$F$4563</f>
        <v>0.361616727338133</v>
      </c>
      <c r="J4563" s="13" t="n">
        <f aca="false">Sens!$F$4563</f>
        <v>0.361616727338133</v>
      </c>
      <c r="K4563" s="13" t="n">
        <f aca="false">Sens!$F$4563</f>
        <v>0.361616727338133</v>
      </c>
      <c r="L4563" s="13" t="n">
        <f aca="false">Sens!$F$4563</f>
        <v>0.361616727338133</v>
      </c>
      <c r="M4563" s="13" t="n">
        <f aca="false">Sens!$F$4563</f>
        <v>0.361616727338133</v>
      </c>
      <c r="N4563" s="13" t="n">
        <f aca="false">Sens!$N$4562/Sens!$N$4536</f>
        <v>0.35078810535806</v>
      </c>
      <c r="O4563" s="13" t="n">
        <f aca="false">Sens!$O$4562/Sens!$O$4536</f>
        <v>0.320796939361619</v>
      </c>
      <c r="P4563" s="8" t="s">
        <v>663</v>
      </c>
    </row>
    <row r="4564" customFormat="false" ht="17.15" hidden="false" customHeight="false" outlineLevel="0" collapsed="false">
      <c r="A4564" s="0" t="s">
        <v>664</v>
      </c>
      <c r="B4564" s="0" t="s">
        <v>52</v>
      </c>
      <c r="D4564" s="13" t="n">
        <f aca="false">(Q!$E$31-ext_sh*Sens!$D$4553)/Sens!$D$4536</f>
        <v>0.167180325480118</v>
      </c>
    </row>
    <row r="4565" customFormat="false" ht="17.15" hidden="false" customHeight="false" outlineLevel="0" collapsed="false">
      <c r="A4565" s="0" t="s">
        <v>665</v>
      </c>
      <c r="B4565" s="0" t="s">
        <v>86</v>
      </c>
      <c r="C4565" s="38" t="n">
        <f aca="false">Q!$D$31</f>
        <v>13.32</v>
      </c>
      <c r="D4565" s="38" t="n">
        <f aca="false">Q!$E$31</f>
        <v>21.45</v>
      </c>
      <c r="E4565" s="38" t="n">
        <f aca="false">Q!$P$31</f>
        <v>15.353</v>
      </c>
      <c r="F4565" s="38" t="n">
        <f aca="false">ext_sh*Sens!$F$4553+Sens!$D$4564*Sens!$F$4536</f>
        <v>16.1969869840094</v>
      </c>
      <c r="G4565" s="38" t="n">
        <f aca="false">Sens!$E$4565+Sens!$F$4565</f>
        <v>31.5499869840094</v>
      </c>
      <c r="H4565" s="38" t="n">
        <f aca="false">ext_sh*Sens!$H$4553+Sens!$D$4564*Sens!$H$4536</f>
        <v>50.9556213609176</v>
      </c>
      <c r="I4565" s="38" t="n">
        <f aca="false">ext_sh*Sens!$I$4553+Sens!$D$4564*Sens!$I$4536</f>
        <v>79.464581248252</v>
      </c>
      <c r="J4565" s="38" t="n">
        <f aca="false">ext_sh*Sens!$J$4553+Sens!$D$4564*Sens!$J$4536</f>
        <v>105.296127931746</v>
      </c>
      <c r="K4565" s="38" t="n">
        <f aca="false">ext_sh*Sens!$K$4553+Sens!$D$4564*Sens!$K$4536</f>
        <v>131.454694001511</v>
      </c>
      <c r="L4565" s="38" t="n">
        <f aca="false">ext_sh*Sens!$L$4553+Sens!$D$4564*Sens!$L$4536</f>
        <v>150.840456981405</v>
      </c>
      <c r="M4565" s="38" t="n">
        <f aca="false">ext_sh*Sens!$M$4553+Sens!$D$4564*Sens!$M$4536</f>
        <v>163.399454192999</v>
      </c>
      <c r="N4565" s="38" t="n">
        <f aca="false">Q!$N$31</f>
        <v>9.234</v>
      </c>
      <c r="O4565" s="38" t="n">
        <f aca="false">Q!$O$31</f>
        <v>12.216</v>
      </c>
    </row>
    <row r="4566" customFormat="false" ht="17.15" hidden="false" customHeight="false" outlineLevel="0" collapsed="false">
      <c r="A4566" s="1" t="s">
        <v>666</v>
      </c>
    </row>
    <row r="4567" customFormat="false" ht="17.15" hidden="false" customHeight="false" outlineLevel="0" collapsed="false">
      <c r="A4567" s="15" t="s">
        <v>667</v>
      </c>
      <c r="B4567" s="14" t="s">
        <v>52</v>
      </c>
      <c r="C4567" s="14"/>
      <c r="D4567" s="14"/>
      <c r="E4567" s="14"/>
      <c r="F4567" s="14"/>
      <c r="G4567" s="17" t="n">
        <f aca="false">Sens!$G$4557*(1-tax)/(ext_sh*(Sens!$D$4554+Sens!$G$4554)/2)</f>
        <v>0.0620504069546486</v>
      </c>
      <c r="H4567" s="17" t="n">
        <f aca="false">Sens!$H$4557*(1-tax)/(ext_sh*(Sens!$G$4554+Sens!$H$4554)/2)</f>
        <v>0.0755420551527686</v>
      </c>
      <c r="I4567" s="17" t="n">
        <f aca="false">Sens!$I$4557*(1-tax)/(ext_sh*(Sens!$H$4554+Sens!$I$4554)/2)</f>
        <v>0.067127575356291</v>
      </c>
      <c r="J4567" s="17" t="n">
        <f aca="false">Sens!$J$4557*(1-tax)/(ext_sh*(Sens!$I$4554+Sens!$J$4554)/2)</f>
        <v>0.0700332392906535</v>
      </c>
      <c r="K4567" s="17" t="n">
        <f aca="false">Sens!$K$4557*(1-tax)/(ext_sh*(Sens!$J$4554+Sens!$K$4554)/2)</f>
        <v>0.0693622290093833</v>
      </c>
      <c r="L4567" s="17" t="n">
        <f aca="false">Sens!$L$4557*(1-tax)/(ext_sh*(Sens!$K$4554+Sens!$L$4554)/2)</f>
        <v>0.0711010638813626</v>
      </c>
      <c r="M4567" s="17" t="n">
        <f aca="false">Sens!$M$4557*(1-tax)/(ext_sh*(Sens!$L$4554+Sens!$M$4554)/2)</f>
        <v>0.071677531066401</v>
      </c>
      <c r="N4567" s="14"/>
      <c r="O4567" s="14"/>
      <c r="P4567" s="8" t="s">
        <v>668</v>
      </c>
    </row>
    <row r="4568" customFormat="false" ht="17.15" hidden="false" customHeight="false" outlineLevel="0" collapsed="false">
      <c r="A4568" s="5" t="s">
        <v>669</v>
      </c>
      <c r="B4568" s="0" t="s">
        <v>57</v>
      </c>
      <c r="H4568" s="36" t="n">
        <f aca="false">Sens!$H$4532*1000/(mw_open*he_open+Sens!$H$4530*Sens!$H$4527)</f>
        <v>0.991949006767191</v>
      </c>
      <c r="I4568" s="36" t="n">
        <f aca="false">Sens!$I$4532*1000/(mw_open*he_open+Sens!$I$4530*Sens!$I$4527)</f>
        <v>0.991949006767191</v>
      </c>
      <c r="J4568" s="36" t="n">
        <f aca="false">Sens!$J$4532*1000/(mw_open*he_open+Sens!$J$4530*Sens!$J$4527)</f>
        <v>0.991949006767191</v>
      </c>
      <c r="K4568" s="36" t="n">
        <f aca="false">Sens!$K$4532*1000/(mw_open*he_open+Sens!$K$4530*Sens!$K$4527)</f>
        <v>0.991949006767191</v>
      </c>
      <c r="L4568" s="36" t="n">
        <f aca="false">Sens!$L$4532*1000/(mw_open*he_open+Sens!$L$4530*Sens!$L$4527)</f>
        <v>0.991949006767191</v>
      </c>
      <c r="M4568" s="36" t="n">
        <f aca="false">Sens!$M$4532*1000/(mw_open*he_open+Sens!$M$4530*Sens!$M$4527)</f>
        <v>0.991949006767191</v>
      </c>
    </row>
    <row r="4569" customFormat="false" ht="17.15" hidden="false" customHeight="false" outlineLevel="0" collapsed="false">
      <c r="A4569" s="5" t="s">
        <v>670</v>
      </c>
      <c r="B4569" s="0" t="s">
        <v>57</v>
      </c>
      <c r="H4569" s="36" t="n">
        <f aca="false">Sens!$H$4568*(Sens!$H$4532+wacc*ext_sh*(Sens!$G$4554+Sens!$H$4554)/2/(1-tax)-Sens!$H$4557)/Sens!$H$4532</f>
        <v>1.18542857552197</v>
      </c>
      <c r="I4569" s="36" t="n">
        <f aca="false">Sens!$I$4568*(Sens!$I$4532+wacc*ext_sh*(Sens!$H$4554+Sens!$I$4554)/2/(1-tax)-Sens!$I$4557)/Sens!$I$4532</f>
        <v>1.20015476648903</v>
      </c>
      <c r="J4569" s="36" t="n">
        <f aca="false">Sens!$J$4568*(Sens!$J$4532+wacc*ext_sh*(Sens!$I$4554+Sens!$J$4554)/2/(1-tax)-Sens!$J$4557)/Sens!$J$4532</f>
        <v>1.16844056931249</v>
      </c>
      <c r="K4569" s="36" t="n">
        <f aca="false">Sens!$K$4568*(Sens!$K$4532+wacc*ext_sh*(Sens!$J$4554+Sens!$K$4554)/2/(1-tax)-Sens!$K$4557)/Sens!$K$4532</f>
        <v>1.15383758356873</v>
      </c>
      <c r="L4569" s="36" t="n">
        <f aca="false">Sens!$L$4568*(Sens!$L$4532+wacc*ext_sh*(Sens!$K$4554+Sens!$L$4554)/2/(1-tax)-Sens!$L$4557)/Sens!$L$4532</f>
        <v>1.13212765595665</v>
      </c>
      <c r="M4569" s="36" t="n">
        <f aca="false">Sens!$M$4568*(Sens!$M$4532+wacc*ext_sh*(Sens!$L$4554+Sens!$M$4554)/2/(1-tax)-Sens!$M$4557)/Sens!$M$4532</f>
        <v>1.12024635139935</v>
      </c>
    </row>
    <row r="4570" customFormat="false" ht="17.15" hidden="false" customHeight="false" outlineLevel="0" collapsed="false">
      <c r="A4570" s="5" t="s">
        <v>671</v>
      </c>
      <c r="B4570" s="0" t="s">
        <v>52</v>
      </c>
      <c r="C4570" s="13" t="n">
        <f aca="false">Sens!$C$4533/tk_pq</f>
        <v>0.195316432429398</v>
      </c>
      <c r="D4570" s="13" t="n">
        <f aca="false">Sens!$D$4533/tk_pq</f>
        <v>0.195316432429398</v>
      </c>
      <c r="E4570" s="13" t="n">
        <f aca="false">Sens!$E$4533/tk_pq</f>
        <v>0.195316432429398</v>
      </c>
      <c r="F4570" s="13" t="n">
        <f aca="false">Sens!$F$4533/tk_pq</f>
        <v>0.202241827274866</v>
      </c>
      <c r="G4570" s="13" t="n">
        <f aca="false">Sens!$G$4533/tk_pq</f>
        <v>0.199675016194063</v>
      </c>
      <c r="H4570" s="13" t="n">
        <f aca="false">Sens!$H$4533/tk_pq</f>
        <v>0.212647947710325</v>
      </c>
      <c r="I4570" s="13" t="n">
        <f aca="false">Sens!$I$4533/tk_pq</f>
        <v>0.219285125475351</v>
      </c>
      <c r="J4570" s="13" t="n">
        <f aca="false">Sens!$J$4533/tk_pq</f>
        <v>0.222492493217189</v>
      </c>
      <c r="K4570" s="13" t="n">
        <f aca="false">Sens!$K$4533/tk_pq</f>
        <v>0.224053502812094</v>
      </c>
      <c r="L4570" s="13" t="n">
        <f aca="false">Sens!$L$4533/tk_pq</f>
        <v>0.224786916785614</v>
      </c>
      <c r="M4570" s="13" t="n">
        <f aca="false">Sens!$M$4533/tk_pq</f>
        <v>0.225048671566937</v>
      </c>
      <c r="N4570" s="13" t="n">
        <f aca="false">Sens!$N$4533/tk_pq</f>
        <v>0.195316432429398</v>
      </c>
      <c r="O4570" s="13" t="n">
        <f aca="false">Sens!$O$4533/tk_pq</f>
        <v>0.195316432429398</v>
      </c>
      <c r="P4570" s="5" t="s">
        <v>672</v>
      </c>
    </row>
    <row r="4573" customFormat="false" ht="17.15" hidden="false" customHeight="false" outlineLevel="0" collapsed="false">
      <c r="A4573" s="1" t="s">
        <v>701</v>
      </c>
    </row>
    <row r="4574" customFormat="false" ht="17.15" hidden="false" customHeight="false" outlineLevel="0" collapsed="false">
      <c r="A4574" s="0" t="s">
        <v>702</v>
      </c>
      <c r="B4574" s="0" t="s">
        <v>86</v>
      </c>
      <c r="C4574" s="38" t="n">
        <f aca="false">Sens!$C$4532</f>
        <v>2.32100535697364</v>
      </c>
      <c r="D4574" s="38" t="n">
        <f aca="false">Sens!$D$4532</f>
        <v>8.70377008865116</v>
      </c>
      <c r="E4574" s="38" t="n">
        <f aca="false">Sens!$E$4532</f>
        <v>8.51035297557002</v>
      </c>
      <c r="F4574" s="38" t="n">
        <f aca="false">Sens!$F$4532</f>
        <v>14.9634336447205</v>
      </c>
      <c r="G4574" s="38" t="n">
        <f aca="false">Sens!$G$4532</f>
        <v>23.4737866202905</v>
      </c>
      <c r="H4574" s="38" t="n">
        <f aca="false">Sens!$H$4532</f>
        <v>60.1658907497746</v>
      </c>
      <c r="I4574" s="38" t="n">
        <f aca="false">Sens!$I$4532</f>
        <v>101.503699136432</v>
      </c>
      <c r="J4574" s="38" t="n">
        <f aca="false">Sens!$J$4532</f>
        <v>143.025407151278</v>
      </c>
      <c r="K4574" s="38" t="n">
        <f aca="false">Sens!$K$4532</f>
        <v>178.44812038318</v>
      </c>
      <c r="L4574" s="38" t="n">
        <f aca="false">Sens!$L$4532</f>
        <v>201.728101802396</v>
      </c>
      <c r="M4574" s="38" t="n">
        <f aca="false">Sens!$M$4532</f>
        <v>212.835441368865</v>
      </c>
      <c r="N4574" s="38" t="n">
        <f aca="false">Sens!$N$4532</f>
        <v>3.04631953102791</v>
      </c>
      <c r="O4574" s="38" t="n">
        <f aca="false">Sens!$O$4532</f>
        <v>5.65745055762326</v>
      </c>
      <c r="P4574" s="8" t="s">
        <v>703</v>
      </c>
    </row>
    <row r="4575" customFormat="false" ht="17.15" hidden="false" customHeight="false" outlineLevel="0" collapsed="false">
      <c r="A4575" s="0" t="s">
        <v>704</v>
      </c>
      <c r="B4575" s="0" t="s">
        <v>86</v>
      </c>
      <c r="C4575" s="38" t="n">
        <f aca="false">Sens!$C$4536</f>
        <v>105.234994643026</v>
      </c>
      <c r="D4575" s="38" t="n">
        <f aca="false">Sens!$D$4536</f>
        <v>120.021229911349</v>
      </c>
      <c r="E4575" s="38" t="n">
        <f aca="false">Sens!$E$4536</f>
        <v>71.30864702443</v>
      </c>
      <c r="F4575" s="38" t="n">
        <f aca="false">Sens!$F$4536</f>
        <v>71.7692997942464</v>
      </c>
      <c r="G4575" s="38" t="n">
        <f aca="false">Sens!$G$4536</f>
        <v>143.077946818676</v>
      </c>
      <c r="H4575" s="38" t="n">
        <f aca="false">Sens!$H$4536</f>
        <v>161.017077079203</v>
      </c>
      <c r="I4575" s="38" t="n">
        <f aca="false">Sens!$I$4536</f>
        <v>178.769759521457</v>
      </c>
      <c r="J4575" s="38" t="n">
        <f aca="false">Sens!$J$4536</f>
        <v>195.775538045907</v>
      </c>
      <c r="K4575" s="38" t="n">
        <f aca="false">Sens!$K$4536</f>
        <v>211.43758108958</v>
      </c>
      <c r="L4575" s="38" t="n">
        <f aca="false">Sens!$L$4536</f>
        <v>228.352587576746</v>
      </c>
      <c r="M4575" s="38" t="n">
        <f aca="false">Sens!$M$4536</f>
        <v>246.620794582886</v>
      </c>
      <c r="N4575" s="38" t="n">
        <f aca="false">Sens!$N$4536</f>
        <v>57.0936804689721</v>
      </c>
      <c r="O4575" s="38" t="n">
        <f aca="false">Sens!$O$4536</f>
        <v>62.9275494423768</v>
      </c>
      <c r="P4575" s="8" t="s">
        <v>703</v>
      </c>
    </row>
    <row r="4576" customFormat="false" ht="17.15" hidden="false" customHeight="false" outlineLevel="0" collapsed="false">
      <c r="A4576" s="1" t="s">
        <v>523</v>
      </c>
      <c r="B4576" s="8" t="s">
        <v>86</v>
      </c>
      <c r="C4576" s="38" t="n">
        <f aca="false">Q!$D$7</f>
        <v>107.556</v>
      </c>
      <c r="D4576" s="38" t="n">
        <f aca="false">Q!$E$7</f>
        <v>128.725</v>
      </c>
      <c r="E4576" s="38" t="n">
        <f aca="false">Q!$P$7</f>
        <v>79.819</v>
      </c>
      <c r="F4576" s="38" t="n">
        <f aca="false">Sens!$F$4574+Sens!$F$4575</f>
        <v>86.7327334389669</v>
      </c>
      <c r="G4576" s="38" t="n">
        <f aca="false">Sens!$G$4574+Sens!$G$4575</f>
        <v>166.551733438967</v>
      </c>
      <c r="H4576" s="38" t="n">
        <f aca="false">Sens!$H$4574+Sens!$H$4575</f>
        <v>221.182967828978</v>
      </c>
      <c r="I4576" s="38" t="n">
        <f aca="false">Sens!$I$4574+Sens!$I$4575</f>
        <v>280.27345865789</v>
      </c>
      <c r="J4576" s="38" t="n">
        <f aca="false">Sens!$J$4574+Sens!$J$4575</f>
        <v>338.800945197185</v>
      </c>
      <c r="K4576" s="38" t="n">
        <f aca="false">Sens!$K$4574+Sens!$K$4575</f>
        <v>389.88570147276</v>
      </c>
      <c r="L4576" s="38" t="n">
        <f aca="false">Sens!$L$4574+Sens!$L$4575</f>
        <v>430.080689379143</v>
      </c>
      <c r="M4576" s="38" t="n">
        <f aca="false">Sens!$M$4574+Sens!$M$4575</f>
        <v>459.456235951751</v>
      </c>
      <c r="N4576" s="38" t="n">
        <f aca="false">Q!$N$7</f>
        <v>60.14</v>
      </c>
      <c r="O4576" s="38" t="n">
        <f aca="false">Q!$O$7</f>
        <v>68.585</v>
      </c>
      <c r="P4576" s="5" t="s">
        <v>705</v>
      </c>
    </row>
    <row r="4577" customFormat="false" ht="15" hidden="false" customHeight="false" outlineLevel="0" collapsed="false">
      <c r="A4577" s="3" t="s">
        <v>706</v>
      </c>
      <c r="B4577" s="8" t="s">
        <v>86</v>
      </c>
      <c r="C4577" s="38" t="n">
        <f aca="false">Q!$D$8</f>
        <v>637.959</v>
      </c>
      <c r="D4577" s="38" t="n">
        <f aca="false">Q!$E$8</f>
        <v>716.924</v>
      </c>
      <c r="E4577" s="38" t="n">
        <f aca="false">Q!$P$8</f>
        <v>382.125</v>
      </c>
      <c r="F4577" s="38" t="n">
        <f aca="false">Sens!$F$4504+Sens!$F$4576</f>
        <v>435.780975084504</v>
      </c>
      <c r="G4577" s="38" t="n">
        <f aca="false">Sens!$G$4504+Sens!$G$4576</f>
        <v>817.905975084504</v>
      </c>
      <c r="H4577" s="38" t="n">
        <f aca="false">Sens!$H$4504+Sens!$H$4576</f>
        <v>942.903926515322</v>
      </c>
      <c r="I4577" s="38" t="n">
        <f aca="false">Sens!$I$4504+Sens!$I$4576</f>
        <v>1071.03897465614</v>
      </c>
      <c r="J4577" s="38" t="n">
        <f aca="false">Sens!$J$4504+Sens!$J$4576</f>
        <v>1195.11746934314</v>
      </c>
      <c r="K4577" s="38" t="n">
        <f aca="false">Sens!$K$4504+Sens!$K$4576</f>
        <v>1305.91179895921</v>
      </c>
      <c r="L4577" s="38" t="n">
        <f aca="false">Sens!$L$4504+Sens!$L$4576</f>
        <v>1410.66480646137</v>
      </c>
      <c r="M4577" s="38" t="n">
        <f aca="false">Sens!$M$4504+Sens!$M$4576</f>
        <v>1509.90599247663</v>
      </c>
      <c r="N4577" s="38" t="n">
        <f aca="false">Q!$N$8</f>
        <v>323.369</v>
      </c>
      <c r="O4577" s="38" t="n">
        <f aca="false">Q!$O$8</f>
        <v>393.555</v>
      </c>
    </row>
    <row r="4578" customFormat="false" ht="17.15" hidden="false" customHeight="false" outlineLevel="0" collapsed="false">
      <c r="A4578" s="24" t="s">
        <v>714</v>
      </c>
      <c r="B4578" s="25" t="s">
        <v>86</v>
      </c>
      <c r="C4578" s="41" t="n">
        <f aca="false">Sens!$C$4504-(Sens!$C$4506+Sens!$C$4507)</f>
        <v>0</v>
      </c>
      <c r="D4578" s="41" t="n">
        <f aca="false">Sens!$D$4504-(Sens!$D$4506+Sens!$D$4507)</f>
        <v>0</v>
      </c>
      <c r="E4578" s="41" t="n">
        <f aca="false">Sens!$E$4504-(Sens!$E$4506+Sens!$E$4507)</f>
        <v>0</v>
      </c>
      <c r="F4578" s="41" t="n">
        <f aca="false">Sens!$F$4504-(Sens!$F$4506+Sens!$F$4507)</f>
        <v>0</v>
      </c>
      <c r="G4578" s="41" t="n">
        <f aca="false">Sens!$G$4504-(Sens!$G$4506+Sens!$G$4507)</f>
        <v>0</v>
      </c>
      <c r="H4578" s="41" t="n">
        <f aca="false">Sens!$H$4504-(Sens!$H$4506+Sens!$H$4507)</f>
        <v>0</v>
      </c>
      <c r="I4578" s="41" t="n">
        <f aca="false">Sens!$I$4504-(Sens!$I$4506+Sens!$I$4507)</f>
        <v>0</v>
      </c>
      <c r="J4578" s="41" t="n">
        <f aca="false">Sens!$J$4504-(Sens!$J$4506+Sens!$J$4507)</f>
        <v>0</v>
      </c>
      <c r="K4578" s="41" t="n">
        <f aca="false">Sens!$K$4504-(Sens!$K$4506+Sens!$K$4507)</f>
        <v>0</v>
      </c>
      <c r="L4578" s="41" t="n">
        <f aca="false">Sens!$L$4504-(Sens!$L$4506+Sens!$L$4507)</f>
        <v>0</v>
      </c>
      <c r="M4578" s="41" t="n">
        <f aca="false">Sens!$M$4504-(Sens!$M$4506+Sens!$M$4507)</f>
        <v>0</v>
      </c>
      <c r="N4578" s="41" t="n">
        <f aca="false">Sens!$N$4504-(Sens!$N$4506+Sens!$N$4507)</f>
        <v>0</v>
      </c>
      <c r="O4578" s="41" t="n">
        <f aca="false">Sens!$O$4504-(Sens!$O$4506+Sens!$O$4507)</f>
        <v>0</v>
      </c>
    </row>
    <row r="4579" customFormat="false" ht="17.15" hidden="false" customHeight="false" outlineLevel="0" collapsed="false">
      <c r="A4579" s="24" t="s">
        <v>715</v>
      </c>
      <c r="B4579" s="25" t="s">
        <v>86</v>
      </c>
      <c r="C4579" s="41" t="n">
        <f aca="false">Sens!$C$4574+Sens!$C$4575-Sens!$C$4576</f>
        <v>0</v>
      </c>
      <c r="D4579" s="41" t="n">
        <f aca="false">Sens!$D$4574+Sens!$D$4575-Sens!$D$4576</f>
        <v>0</v>
      </c>
      <c r="E4579" s="41" t="n">
        <f aca="false">Sens!$E$4574+Sens!$E$4575-Sens!$E$4576</f>
        <v>0</v>
      </c>
      <c r="F4579" s="41" t="n">
        <f aca="false">Sens!$F$4574+Sens!$F$4575-Sens!$F$4576</f>
        <v>0</v>
      </c>
      <c r="G4579" s="41" t="n">
        <f aca="false">Sens!$G$4574+Sens!$G$4575-Sens!$G$4576</f>
        <v>0</v>
      </c>
      <c r="H4579" s="41" t="n">
        <f aca="false">Sens!$H$4574+Sens!$H$4575-Sens!$H$4576</f>
        <v>0</v>
      </c>
      <c r="I4579" s="41" t="n">
        <f aca="false">Sens!$I$4574+Sens!$I$4575-Sens!$I$4576</f>
        <v>0</v>
      </c>
      <c r="J4579" s="41" t="n">
        <f aca="false">Sens!$J$4574+Sens!$J$4575-Sens!$J$4576</f>
        <v>0</v>
      </c>
      <c r="K4579" s="41" t="n">
        <f aca="false">Sens!$K$4574+Sens!$K$4575-Sens!$K$4576</f>
        <v>0</v>
      </c>
      <c r="L4579" s="41" t="n">
        <f aca="false">Sens!$L$4574+Sens!$L$4575-Sens!$L$4576</f>
        <v>0</v>
      </c>
      <c r="M4579" s="41" t="n">
        <f aca="false">Sens!$M$4574+Sens!$M$4575-Sens!$M$4576</f>
        <v>0</v>
      </c>
      <c r="N4579" s="41" t="n">
        <f aca="false">Sens!$N$4574+Sens!$N$4575-Sens!$N$4576</f>
        <v>0</v>
      </c>
      <c r="O4579" s="41" t="n">
        <f aca="false">Sens!$O$4574+Sens!$O$4575-Sens!$O$4576</f>
        <v>0</v>
      </c>
    </row>
    <row r="4580" customFormat="false" ht="17.15" hidden="false" customHeight="false" outlineLevel="0" collapsed="false">
      <c r="A4580" s="24" t="s">
        <v>716</v>
      </c>
      <c r="B4580" s="25" t="s">
        <v>86</v>
      </c>
      <c r="C4580" s="41" t="n">
        <f aca="false">Sens!$C$4506+Sens!$C$4507+Sens!$C$4576-Sens!$C$4577</f>
        <v>0</v>
      </c>
      <c r="D4580" s="41" t="n">
        <f aca="false">Sens!$D$4506+Sens!$D$4507+Sens!$D$4576-Sens!$D$4577</f>
        <v>0</v>
      </c>
      <c r="E4580" s="41" t="n">
        <f aca="false">Sens!$E$4506+Sens!$E$4507+Sens!$E$4576-Sens!$E$4577</f>
        <v>0</v>
      </c>
      <c r="F4580" s="41" t="n">
        <f aca="false">Sens!$F$4506+Sens!$F$4507+Sens!$F$4576-Sens!$F$4577</f>
        <v>0</v>
      </c>
      <c r="G4580" s="41" t="n">
        <f aca="false">Sens!$G$4506+Sens!$G$4507+Sens!$G$4576-Sens!$G$4577</f>
        <v>0</v>
      </c>
      <c r="H4580" s="41" t="n">
        <f aca="false">Sens!$H$4506+Sens!$H$4507+Sens!$H$4576-Sens!$H$4577</f>
        <v>0</v>
      </c>
      <c r="I4580" s="41" t="n">
        <f aca="false">Sens!$I$4506+Sens!$I$4507+Sens!$I$4576-Sens!$I$4577</f>
        <v>0</v>
      </c>
      <c r="J4580" s="41" t="n">
        <f aca="false">Sens!$J$4506+Sens!$J$4507+Sens!$J$4576-Sens!$J$4577</f>
        <v>0</v>
      </c>
      <c r="K4580" s="41" t="n">
        <f aca="false">Sens!$K$4506+Sens!$K$4507+Sens!$K$4576-Sens!$K$4577</f>
        <v>0</v>
      </c>
      <c r="L4580" s="41" t="n">
        <f aca="false">Sens!$L$4506+Sens!$L$4507+Sens!$L$4576-Sens!$L$4577</f>
        <v>0</v>
      </c>
      <c r="M4580" s="41" t="n">
        <f aca="false">Sens!$M$4506+Sens!$M$4507+Sens!$M$4576-Sens!$M$4577</f>
        <v>0</v>
      </c>
      <c r="N4580" s="41" t="n">
        <f aca="false">Sens!$N$4506+Sens!$N$4507+Sens!$N$4576-Sens!$N$4577</f>
        <v>0</v>
      </c>
      <c r="O4580" s="41" t="n">
        <f aca="false">Sens!$O$4506+Sens!$O$4507+Sens!$O$4576-Sens!$O$4577</f>
        <v>0</v>
      </c>
    </row>
    <row r="4581" customFormat="false" ht="15" hidden="false" customHeight="false" outlineLevel="0" collapsed="false">
      <c r="A4581" s="5" t="s">
        <v>710</v>
      </c>
      <c r="B4581" s="0" t="s">
        <v>52</v>
      </c>
      <c r="G4581" s="13" t="n">
        <f aca="false">Sens!$G$4577/Sens!$D$4577-1</f>
        <v>0.140854504918937</v>
      </c>
      <c r="H4581" s="13" t="n">
        <f aca="false">Sens!$H$4577/Sens!$G$4577-1</f>
        <v>0.152826798236684</v>
      </c>
      <c r="I4581" s="13" t="n">
        <f aca="false">Sens!$I$4577/Sens!$H$4577-1</f>
        <v>0.135894065702285</v>
      </c>
      <c r="J4581" s="13" t="n">
        <f aca="false">Sens!$J$4577/Sens!$I$4577-1</f>
        <v>0.11584872037625</v>
      </c>
      <c r="K4581" s="13" t="n">
        <f aca="false">Sens!$K$4577/Sens!$J$4577-1</f>
        <v>0.0927058071345566</v>
      </c>
      <c r="L4581" s="13" t="n">
        <f aca="false">Sens!$L$4577/Sens!$K$4577-1</f>
        <v>0.0802144582701929</v>
      </c>
      <c r="M4581" s="13" t="n">
        <f aca="false">Sens!$M$4577/Sens!$L$4577-1</f>
        <v>0.0703506499635493</v>
      </c>
    </row>
    <row r="4582" customFormat="false" ht="17.15" hidden="false" customHeight="false" outlineLevel="0" collapsed="false">
      <c r="A4582" s="0" t="s">
        <v>711</v>
      </c>
      <c r="B4582" s="0" t="s">
        <v>52</v>
      </c>
      <c r="C4582" s="13" t="n">
        <f aca="false">Sens!$C$4576/Sens!$C$4577</f>
        <v>0.168593906504964</v>
      </c>
      <c r="D4582" s="13" t="n">
        <f aca="false">Sens!$D$4576/Sens!$D$4577</f>
        <v>0.179551807444025</v>
      </c>
      <c r="E4582" s="13" t="n">
        <f aca="false">Sens!$E$4576/Sens!$E$4577</f>
        <v>0.208881910369643</v>
      </c>
      <c r="F4582" s="13" t="n">
        <f aca="false">Sens!$F$4576/Sens!$F$4577</f>
        <v>0.199028269699356</v>
      </c>
      <c r="G4582" s="13" t="n">
        <f aca="false">Sens!$G$4576/Sens!$G$4577</f>
        <v>0.203631882529968</v>
      </c>
      <c r="H4582" s="13" t="n">
        <f aca="false">Sens!$H$4576/Sens!$H$4577</f>
        <v>0.234576356730638</v>
      </c>
      <c r="I4582" s="13" t="n">
        <f aca="false">Sens!$I$4576/Sens!$I$4577</f>
        <v>0.261683715803034</v>
      </c>
      <c r="J4582" s="13" t="n">
        <f aca="false">Sens!$J$4576/Sens!$J$4577</f>
        <v>0.283487568283473</v>
      </c>
      <c r="K4582" s="13" t="n">
        <f aca="false">Sens!$K$4576/Sens!$K$4577</f>
        <v>0.298554390720333</v>
      </c>
      <c r="L4582" s="13" t="n">
        <f aca="false">Sens!$L$4576/Sens!$L$4577</f>
        <v>0.304878017378198</v>
      </c>
      <c r="M4582" s="13" t="n">
        <f aca="false">Sens!$M$4576/Sens!$M$4577</f>
        <v>0.304294597306766</v>
      </c>
      <c r="N4582" s="13" t="n">
        <f aca="false">Sens!$N$4576/Sens!$N$4577</f>
        <v>0.185979484737251</v>
      </c>
      <c r="O4582" s="13" t="n">
        <f aca="false">Sens!$O$4576/Sens!$O$4577</f>
        <v>0.174270432341096</v>
      </c>
    </row>
    <row r="4583" customFormat="false" ht="17.15" hidden="false" customHeight="false" outlineLevel="0" collapsed="false">
      <c r="A4583" s="0" t="s">
        <v>712</v>
      </c>
      <c r="B4583" s="0" t="s">
        <v>52</v>
      </c>
      <c r="C4583" s="13" t="n">
        <f aca="false">Sens!$C$4574/Sens!$C$4576</f>
        <v>0.0215795060896058</v>
      </c>
      <c r="D4583" s="13" t="n">
        <f aca="false">Sens!$D$4574/Sens!$D$4576</f>
        <v>0.0676152269462122</v>
      </c>
      <c r="E4583" s="13" t="n">
        <f aca="false">Sens!$E$4574/Sens!$E$4576</f>
        <v>0.106620641395783</v>
      </c>
      <c r="F4583" s="13" t="n">
        <f aca="false">Sens!$F$4574/Sens!$F$4576</f>
        <v>0.172523487401099</v>
      </c>
      <c r="G4583" s="13" t="n">
        <f aca="false">Sens!$G$4574/Sens!$G$4576</f>
        <v>0.140939911795589</v>
      </c>
      <c r="H4583" s="13" t="n">
        <f aca="false">Sens!$H$4574/Sens!$H$4576</f>
        <v>0.272018642937714</v>
      </c>
      <c r="I4583" s="13" t="n">
        <f aca="false">Sens!$I$4574/Sens!$I$4576</f>
        <v>0.362159512436497</v>
      </c>
      <c r="J4583" s="13" t="n">
        <f aca="false">Sens!$J$4574/Sens!$J$4576</f>
        <v>0.422151735934609</v>
      </c>
      <c r="K4583" s="13" t="n">
        <f aca="false">Sens!$K$4574/Sens!$K$4576</f>
        <v>0.45769342068485</v>
      </c>
      <c r="L4583" s="13" t="n">
        <f aca="false">Sens!$L$4574/Sens!$L$4576</f>
        <v>0.469047103913472</v>
      </c>
      <c r="M4583" s="13" t="n">
        <f aca="false">Sens!$M$4574/Sens!$M$4576</f>
        <v>0.463233328258093</v>
      </c>
      <c r="N4583" s="13" t="n">
        <f aca="false">Sens!$N$4574/Sens!$N$4576</f>
        <v>0.0506537999838362</v>
      </c>
      <c r="O4583" s="13" t="n">
        <f aca="false">Sens!$O$4574/Sens!$O$4576</f>
        <v>0.0824881615167056</v>
      </c>
    </row>
    <row r="4586" customFormat="false" ht="19.4" hidden="false" customHeight="false" outlineLevel="0" collapsed="false">
      <c r="A4586" s="31" t="s">
        <v>1244</v>
      </c>
    </row>
    <row r="4587" customFormat="false" ht="17.15" hidden="false" customHeight="false" outlineLevel="0" collapsed="false">
      <c r="A4587" s="6" t="s">
        <v>16</v>
      </c>
      <c r="B4587" s="6" t="s">
        <v>17</v>
      </c>
      <c r="C4587" s="20" t="s">
        <v>504</v>
      </c>
      <c r="D4587" s="20" t="s">
        <v>505</v>
      </c>
      <c r="E4587" s="20" t="s">
        <v>587</v>
      </c>
      <c r="F4587" s="20" t="s">
        <v>588</v>
      </c>
      <c r="G4587" s="20" t="s">
        <v>589</v>
      </c>
      <c r="H4587" s="20" t="s">
        <v>590</v>
      </c>
      <c r="I4587" s="20" t="s">
        <v>591</v>
      </c>
      <c r="J4587" s="20" t="s">
        <v>592</v>
      </c>
      <c r="K4587" s="20" t="s">
        <v>593</v>
      </c>
      <c r="L4587" s="20" t="s">
        <v>594</v>
      </c>
      <c r="M4587" s="20" t="s">
        <v>595</v>
      </c>
      <c r="N4587" s="20" t="s">
        <v>596</v>
      </c>
      <c r="O4587" s="20" t="s">
        <v>597</v>
      </c>
      <c r="P4587" s="6" t="s">
        <v>23</v>
      </c>
      <c r="R4587" s="20" t="n">
        <v>2023</v>
      </c>
      <c r="S4587" s="20" t="n">
        <v>2024</v>
      </c>
      <c r="T4587" s="20" t="n">
        <v>2025</v>
      </c>
      <c r="U4587" s="20" t="n">
        <v>2026</v>
      </c>
      <c r="V4587" s="20" t="n">
        <v>2027</v>
      </c>
      <c r="W4587" s="20" t="n">
        <v>2028</v>
      </c>
      <c r="X4587" s="20" t="n">
        <v>2029</v>
      </c>
      <c r="Y4587" s="20" t="n">
        <v>2030</v>
      </c>
      <c r="Z4587" s="20" t="n">
        <v>2031</v>
      </c>
      <c r="AA4587" s="20" t="n">
        <v>2032</v>
      </c>
    </row>
    <row r="4588" customFormat="false" ht="17.15" hidden="false" customHeight="false" outlineLevel="0" collapsed="false">
      <c r="A4588" s="1" t="s">
        <v>727</v>
      </c>
    </row>
    <row r="4589" customFormat="false" ht="15" hidden="false" customHeight="false" outlineLevel="0" collapsed="false">
      <c r="A4589" s="0" t="s">
        <v>526</v>
      </c>
      <c r="B4589" s="0" t="s">
        <v>86</v>
      </c>
      <c r="C4589" s="38" t="n">
        <f aca="false">Sens!$C$4491</f>
        <v>247.029</v>
      </c>
      <c r="D4589" s="38" t="n">
        <f aca="false">Sens!$D$4491</f>
        <v>269.287</v>
      </c>
      <c r="E4589" s="38" t="n">
        <f aca="false">Sens!$E$4491</f>
        <v>134.686</v>
      </c>
      <c r="F4589" s="38" t="n">
        <f aca="false">Sens!$F$4491</f>
        <v>158.293876822267</v>
      </c>
      <c r="G4589" s="38" t="n">
        <f aca="false">Sens!$G$4491</f>
        <v>292.979876822267</v>
      </c>
      <c r="H4589" s="38" t="n">
        <f aca="false">Sens!$H$4491</f>
        <v>318.184543087396</v>
      </c>
      <c r="I4589" s="38" t="n">
        <f aca="false">Sens!$I$4491</f>
        <v>341.736278761793</v>
      </c>
      <c r="J4589" s="38" t="n">
        <f aca="false">Sens!$J$4491</f>
        <v>362.927192787048</v>
      </c>
      <c r="K4589" s="38" t="n">
        <f aca="false">Sens!$K$4491</f>
        <v>381.0735524264</v>
      </c>
      <c r="L4589" s="38" t="n">
        <f aca="false">Sens!$L$4491</f>
        <v>400.12723004772</v>
      </c>
      <c r="M4589" s="38" t="n">
        <f aca="false">Sens!$M$4491</f>
        <v>420.133591550106</v>
      </c>
      <c r="N4589" s="38" t="n">
        <f aca="false">Sens!$N$4491</f>
        <v>118.892</v>
      </c>
      <c r="O4589" s="38" t="n">
        <f aca="false">Sens!$O$4491</f>
        <v>150.395</v>
      </c>
    </row>
    <row r="4590" customFormat="false" ht="15" hidden="false" customHeight="false" outlineLevel="0" collapsed="false">
      <c r="A4590" s="0" t="s">
        <v>527</v>
      </c>
      <c r="B4590" s="0" t="s">
        <v>86</v>
      </c>
      <c r="C4590" s="38" t="n">
        <f aca="false">Sens!$C$4493</f>
        <v>21.215</v>
      </c>
      <c r="D4590" s="38" t="n">
        <f aca="false">Sens!$D$4493</f>
        <v>22.561</v>
      </c>
      <c r="E4590" s="38" t="n">
        <f aca="false">Sens!$E$4493</f>
        <v>11.579</v>
      </c>
      <c r="F4590" s="38" t="n">
        <f aca="false">Sens!$F$4493</f>
        <v>11.5938724610325</v>
      </c>
      <c r="G4590" s="38" t="n">
        <f aca="false">Sens!$G$4493</f>
        <v>23.1728724610325</v>
      </c>
      <c r="H4590" s="38" t="n">
        <f aca="false">Sens!$H$4493</f>
        <v>24.353392759506</v>
      </c>
      <c r="I4590" s="38" t="n">
        <f aca="false">Sens!$I$4493</f>
        <v>25.4240338872015</v>
      </c>
      <c r="J4590" s="38" t="n">
        <f aca="false">Sens!$J$4493</f>
        <v>26.3642491017174</v>
      </c>
      <c r="K4590" s="38" t="n">
        <f aca="false">Sens!$K$4493</f>
        <v>27.155176574769</v>
      </c>
      <c r="L4590" s="38" t="n">
        <f aca="false">Sens!$L$4493</f>
        <v>27.969831872012</v>
      </c>
      <c r="M4590" s="38" t="n">
        <f aca="false">Sens!$M$4493</f>
        <v>28.8089268281724</v>
      </c>
      <c r="N4590" s="38" t="n">
        <f aca="false">Sens!$N$4493</f>
        <v>11.128</v>
      </c>
      <c r="O4590" s="38" t="n">
        <f aca="false">Sens!$O$4493</f>
        <v>11.433</v>
      </c>
    </row>
    <row r="4591" customFormat="false" ht="15" hidden="false" customHeight="false" outlineLevel="0" collapsed="false">
      <c r="A4591" s="0" t="s">
        <v>528</v>
      </c>
      <c r="B4591" s="0" t="s">
        <v>86</v>
      </c>
      <c r="C4591" s="38" t="n">
        <f aca="false">Sens!$C$4495</f>
        <v>156.146</v>
      </c>
      <c r="D4591" s="38" t="n">
        <f aca="false">Sens!$D$4495</f>
        <v>172.162</v>
      </c>
      <c r="E4591" s="38" t="n">
        <f aca="false">Sens!$E$4495</f>
        <v>88.358</v>
      </c>
      <c r="F4591" s="38" t="n">
        <f aca="false">Sens!$F$4495</f>
        <v>102.004388260171</v>
      </c>
      <c r="G4591" s="38" t="n">
        <f aca="false">Sens!$G$4495</f>
        <v>190.362388260171</v>
      </c>
      <c r="H4591" s="38" t="n">
        <f aca="false">Sens!$H$4495</f>
        <v>210.343106588311</v>
      </c>
      <c r="I4591" s="38" t="n">
        <f aca="false">Sens!$I$4495</f>
        <v>229.969728494648</v>
      </c>
      <c r="J4591" s="38" t="n">
        <f aca="false">Sens!$J$4495</f>
        <v>248.747636972598</v>
      </c>
      <c r="K4591" s="38" t="n">
        <f aca="false">Sens!$K$4495</f>
        <v>266.15997156068</v>
      </c>
      <c r="L4591" s="38" t="n">
        <f aca="false">Sens!$L$4495</f>
        <v>284.791169569927</v>
      </c>
      <c r="M4591" s="38" t="n">
        <f aca="false">Sens!$M$4495</f>
        <v>304.726551439822</v>
      </c>
      <c r="N4591" s="38" t="n">
        <f aca="false">Sens!$N$4495</f>
        <v>76.86</v>
      </c>
      <c r="O4591" s="38" t="n">
        <f aca="false">Sens!$O$4495</f>
        <v>95.302</v>
      </c>
    </row>
    <row r="4592" customFormat="false" ht="15" hidden="false" customHeight="false" outlineLevel="0" collapsed="false">
      <c r="A4592" s="0" t="s">
        <v>529</v>
      </c>
      <c r="B4592" s="0" t="s">
        <v>86</v>
      </c>
      <c r="C4592" s="38" t="n">
        <f aca="false">Sens!$C$4497</f>
        <v>56.214</v>
      </c>
      <c r="D4592" s="38" t="n">
        <f aca="false">Sens!$D$4497</f>
        <v>68.635</v>
      </c>
      <c r="E4592" s="38" t="n">
        <f aca="false">Sens!$E$4497</f>
        <v>37.052</v>
      </c>
      <c r="F4592" s="38" t="n">
        <f aca="false">Sens!$F$4497</f>
        <v>46.1572219944148</v>
      </c>
      <c r="G4592" s="38" t="n">
        <f aca="false">Sens!$G$4497</f>
        <v>83.2092219944148</v>
      </c>
      <c r="H4592" s="38" t="n">
        <f aca="false">Sens!$H$4497</f>
        <v>100.520991552856</v>
      </c>
      <c r="I4592" s="38" t="n">
        <f aca="false">Sens!$I$4497</f>
        <v>118.819235941213</v>
      </c>
      <c r="J4592" s="38" t="n">
        <f aca="false">Sens!$J$4497</f>
        <v>137.357060346466</v>
      </c>
      <c r="K4592" s="38" t="n">
        <f aca="false">Sens!$K$4497</f>
        <v>155.213478191507</v>
      </c>
      <c r="L4592" s="38" t="n">
        <f aca="false">Sens!$L$4497</f>
        <v>175.391230356402</v>
      </c>
      <c r="M4592" s="38" t="n">
        <f aca="false">Sens!$M$4497</f>
        <v>198.192090302735</v>
      </c>
      <c r="N4592" s="38" t="n">
        <f aca="false">Sens!$N$4497</f>
        <v>29.615</v>
      </c>
      <c r="O4592" s="38" t="n">
        <f aca="false">Sens!$O$4497</f>
        <v>39.02</v>
      </c>
    </row>
    <row r="4593" customFormat="false" ht="15" hidden="false" customHeight="false" outlineLevel="0" collapsed="false">
      <c r="A4593" s="0" t="s">
        <v>530</v>
      </c>
      <c r="B4593" s="0" t="s">
        <v>86</v>
      </c>
      <c r="C4593" s="38" t="n">
        <f aca="false">Sens!$C$4499</f>
        <v>44.374</v>
      </c>
      <c r="D4593" s="38" t="n">
        <f aca="false">Sens!$D$4499</f>
        <v>49.619</v>
      </c>
      <c r="E4593" s="38" t="n">
        <f aca="false">Sens!$E$4499</f>
        <v>27.157</v>
      </c>
      <c r="F4593" s="38" t="n">
        <f aca="false">Sens!$F$4499</f>
        <v>27.7764165988154</v>
      </c>
      <c r="G4593" s="38" t="n">
        <f aca="false">Sens!$G$4499</f>
        <v>54.9334165988154</v>
      </c>
      <c r="H4593" s="38" t="n">
        <f aca="false">Sens!$H$4499</f>
        <v>61.1564112561829</v>
      </c>
      <c r="I4593" s="38" t="n">
        <f aca="false">Sens!$I$4499</f>
        <v>67.2020282103945</v>
      </c>
      <c r="J4593" s="38" t="n">
        <f aca="false">Sens!$J$4499</f>
        <v>72.8757274028885</v>
      </c>
      <c r="K4593" s="38" t="n">
        <f aca="false">Sens!$K$4499</f>
        <v>77.9770283210907</v>
      </c>
      <c r="L4593" s="38" t="n">
        <f aca="false">Sens!$L$4499</f>
        <v>83.4354203035671</v>
      </c>
      <c r="M4593" s="38" t="n">
        <f aca="false">Sens!$M$4499</f>
        <v>89.2758997248168</v>
      </c>
      <c r="N4593" s="38" t="n">
        <f aca="false">Sens!$N$4499</f>
        <v>23.923</v>
      </c>
      <c r="O4593" s="38" t="n">
        <f aca="false">Sens!$O$4499</f>
        <v>25.696</v>
      </c>
    </row>
    <row r="4594" customFormat="false" ht="15" hidden="false" customHeight="false" outlineLevel="0" collapsed="false">
      <c r="A4594" s="0" t="s">
        <v>531</v>
      </c>
      <c r="B4594" s="0" t="s">
        <v>86</v>
      </c>
      <c r="C4594" s="38" t="n">
        <f aca="false">Sens!$C$4501</f>
        <v>5.425</v>
      </c>
      <c r="D4594" s="38" t="n">
        <f aca="false">Sens!$D$4501</f>
        <v>5.935</v>
      </c>
      <c r="E4594" s="38" t="n">
        <f aca="false">Sens!$E$4501</f>
        <v>3.474</v>
      </c>
      <c r="F4594" s="38" t="n">
        <f aca="false">Sens!$F$4501</f>
        <v>3.22246550883619</v>
      </c>
      <c r="G4594" s="38" t="n">
        <f aca="false">Sens!$G$4501</f>
        <v>6.69646550883619</v>
      </c>
      <c r="H4594" s="38" t="n">
        <f aca="false">Sens!$H$4501</f>
        <v>7.16251344209196</v>
      </c>
      <c r="I4594" s="38" t="n">
        <f aca="false">Sens!$I$4501</f>
        <v>7.61421070299826</v>
      </c>
      <c r="J4594" s="38" t="n">
        <f aca="false">Sens!$J$4501</f>
        <v>8.04465753523932</v>
      </c>
      <c r="K4594" s="38" t="n">
        <f aca="false">Sens!$K$4501</f>
        <v>8.44689041200128</v>
      </c>
      <c r="L4594" s="38" t="n">
        <f aca="false">Sens!$L$4501</f>
        <v>8.86923493260135</v>
      </c>
      <c r="M4594" s="38" t="n">
        <f aca="false">Sens!$M$4501</f>
        <v>9.31269667923142</v>
      </c>
      <c r="N4594" s="38" t="n">
        <f aca="false">Sens!$N$4501</f>
        <v>2.811</v>
      </c>
      <c r="O4594" s="38" t="n">
        <f aca="false">Sens!$O$4501</f>
        <v>3.124</v>
      </c>
    </row>
    <row r="4595" customFormat="false" ht="17.15" hidden="false" customHeight="false" outlineLevel="0" collapsed="false">
      <c r="A4595" s="0" t="s">
        <v>728</v>
      </c>
      <c r="B4595" s="0" t="s">
        <v>86</v>
      </c>
      <c r="C4595" s="38" t="n">
        <f aca="false">Sens!$C$4576</f>
        <v>107.556</v>
      </c>
      <c r="D4595" s="38" t="n">
        <f aca="false">Sens!$D$4576</f>
        <v>128.725</v>
      </c>
      <c r="E4595" s="38" t="n">
        <f aca="false">Sens!$E$4576</f>
        <v>79.819</v>
      </c>
      <c r="F4595" s="38" t="n">
        <f aca="false">Sens!$F$4576</f>
        <v>86.7327334389669</v>
      </c>
      <c r="G4595" s="38" t="n">
        <f aca="false">Sens!$G$4576</f>
        <v>166.551733438967</v>
      </c>
      <c r="H4595" s="38" t="n">
        <f aca="false">Sens!$H$4576</f>
        <v>221.182967828978</v>
      </c>
      <c r="I4595" s="38" t="n">
        <f aca="false">Sens!$I$4576</f>
        <v>280.27345865789</v>
      </c>
      <c r="J4595" s="38" t="n">
        <f aca="false">Sens!$J$4576</f>
        <v>338.800945197185</v>
      </c>
      <c r="K4595" s="38" t="n">
        <f aca="false">Sens!$K$4576</f>
        <v>389.88570147276</v>
      </c>
      <c r="L4595" s="38" t="n">
        <f aca="false">Sens!$L$4576</f>
        <v>430.080689379143</v>
      </c>
      <c r="M4595" s="38" t="n">
        <f aca="false">Sens!$M$4576</f>
        <v>459.456235951751</v>
      </c>
      <c r="N4595" s="38" t="n">
        <f aca="false">Sens!$N$4576</f>
        <v>60.14</v>
      </c>
      <c r="O4595" s="38" t="n">
        <f aca="false">Sens!$O$4576</f>
        <v>68.585</v>
      </c>
    </row>
    <row r="4596" customFormat="false" ht="15" hidden="false" customHeight="false" outlineLevel="0" collapsed="false">
      <c r="A4596" s="1" t="s">
        <v>519</v>
      </c>
      <c r="B4596" s="8" t="s">
        <v>86</v>
      </c>
      <c r="C4596" s="38" t="n">
        <f aca="false">Sens!$C$4506</f>
        <v>387.497</v>
      </c>
      <c r="D4596" s="38" t="n">
        <f aca="false">Sens!$D$4506</f>
        <v>426.305</v>
      </c>
      <c r="E4596" s="38" t="n">
        <f aca="false">Sens!$E$4506</f>
        <v>220.32</v>
      </c>
      <c r="F4596" s="38" t="n">
        <f aca="false">Sens!$F$4506</f>
        <v>250.639773480586</v>
      </c>
      <c r="G4596" s="38" t="n">
        <f aca="false">Sens!$G$4506</f>
        <v>470.959773480586</v>
      </c>
      <c r="H4596" s="38" t="n">
        <f aca="false">Sens!$H$4506</f>
        <v>521.838221795268</v>
      </c>
      <c r="I4596" s="38" t="n">
        <f aca="false">Sens!$I$4506</f>
        <v>571.760686396914</v>
      </c>
      <c r="J4596" s="38" t="n">
        <f aca="false">Sens!$J$4506</f>
        <v>619.157150524754</v>
      </c>
      <c r="K4596" s="38" t="n">
        <f aca="false">Sens!$K$4506</f>
        <v>662.329982352819</v>
      </c>
      <c r="L4596" s="38" t="n">
        <f aca="false">Sens!$L$4506</f>
        <v>709.008469021416</v>
      </c>
      <c r="M4596" s="38" t="n">
        <f aca="false">Sens!$M$4506</f>
        <v>759.524614648812</v>
      </c>
      <c r="N4596" s="38" t="n">
        <f aca="false">Sens!$N$4506</f>
        <v>192.955</v>
      </c>
      <c r="O4596" s="38" t="n">
        <f aca="false">Sens!$O$4506</f>
        <v>233.35</v>
      </c>
    </row>
    <row r="4597" customFormat="false" ht="15" hidden="false" customHeight="false" outlineLevel="0" collapsed="false">
      <c r="A4597" s="1" t="s">
        <v>522</v>
      </c>
      <c r="B4597" s="8" t="s">
        <v>86</v>
      </c>
      <c r="C4597" s="38" t="n">
        <f aca="false">Sens!$C$4507</f>
        <v>142.906</v>
      </c>
      <c r="D4597" s="38" t="n">
        <f aca="false">Sens!$D$4507</f>
        <v>161.894</v>
      </c>
      <c r="E4597" s="38" t="n">
        <f aca="false">Sens!$E$4507</f>
        <v>81.986</v>
      </c>
      <c r="F4597" s="38" t="n">
        <f aca="false">Sens!$F$4507</f>
        <v>98.408468164951</v>
      </c>
      <c r="G4597" s="38" t="n">
        <f aca="false">Sens!$G$4507</f>
        <v>180.394468164951</v>
      </c>
      <c r="H4597" s="38" t="n">
        <f aca="false">Sens!$H$4507</f>
        <v>199.882736891077</v>
      </c>
      <c r="I4597" s="38" t="n">
        <f aca="false">Sens!$I$4507</f>
        <v>219.004829601334</v>
      </c>
      <c r="J4597" s="38" t="n">
        <f aca="false">Sens!$J$4507</f>
        <v>237.159373621203</v>
      </c>
      <c r="K4597" s="38" t="n">
        <f aca="false">Sens!$K$4507</f>
        <v>253.696115133628</v>
      </c>
      <c r="L4597" s="38" t="n">
        <f aca="false">Sens!$L$4507</f>
        <v>271.575648060814</v>
      </c>
      <c r="M4597" s="38" t="n">
        <f aca="false">Sens!$M$4507</f>
        <v>290.925141876071</v>
      </c>
      <c r="N4597" s="38" t="n">
        <f aca="false">Sens!$N$4507</f>
        <v>70.274</v>
      </c>
      <c r="O4597" s="38" t="n">
        <f aca="false">Sens!$O$4507</f>
        <v>91.62</v>
      </c>
    </row>
    <row r="4598" customFormat="false" ht="15" hidden="false" customHeight="false" outlineLevel="0" collapsed="false">
      <c r="A4598" s="1" t="s">
        <v>523</v>
      </c>
      <c r="B4598" s="8" t="s">
        <v>86</v>
      </c>
      <c r="C4598" s="38" t="n">
        <f aca="false">Sens!$C$4576</f>
        <v>107.556</v>
      </c>
      <c r="D4598" s="38" t="n">
        <f aca="false">Sens!$D$4576</f>
        <v>128.725</v>
      </c>
      <c r="E4598" s="38" t="n">
        <f aca="false">Sens!$E$4576</f>
        <v>79.819</v>
      </c>
      <c r="F4598" s="38" t="n">
        <f aca="false">Sens!$F$4576</f>
        <v>86.7327334389669</v>
      </c>
      <c r="G4598" s="38" t="n">
        <f aca="false">Sens!$G$4576</f>
        <v>166.551733438967</v>
      </c>
      <c r="H4598" s="38" t="n">
        <f aca="false">Sens!$H$4576</f>
        <v>221.182967828978</v>
      </c>
      <c r="I4598" s="38" t="n">
        <f aca="false">Sens!$I$4576</f>
        <v>280.27345865789</v>
      </c>
      <c r="J4598" s="38" t="n">
        <f aca="false">Sens!$J$4576</f>
        <v>338.800945197185</v>
      </c>
      <c r="K4598" s="38" t="n">
        <f aca="false">Sens!$K$4576</f>
        <v>389.88570147276</v>
      </c>
      <c r="L4598" s="38" t="n">
        <f aca="false">Sens!$L$4576</f>
        <v>430.080689379143</v>
      </c>
      <c r="M4598" s="38" t="n">
        <f aca="false">Sens!$M$4576</f>
        <v>459.456235951751</v>
      </c>
      <c r="N4598" s="38" t="n">
        <f aca="false">Sens!$N$4576</f>
        <v>60.14</v>
      </c>
      <c r="O4598" s="38" t="n">
        <f aca="false">Sens!$O$4576</f>
        <v>68.585</v>
      </c>
    </row>
    <row r="4599" customFormat="false" ht="17.15" hidden="false" customHeight="false" outlineLevel="0" collapsed="false">
      <c r="A4599" s="0" t="s">
        <v>702</v>
      </c>
      <c r="B4599" s="0" t="s">
        <v>86</v>
      </c>
      <c r="C4599" s="38" t="n">
        <f aca="false">Sens!$C$4574</f>
        <v>2.32100535697364</v>
      </c>
      <c r="D4599" s="38" t="n">
        <f aca="false">Sens!$D$4574</f>
        <v>8.70377008865116</v>
      </c>
      <c r="E4599" s="38" t="n">
        <f aca="false">Sens!$E$4574</f>
        <v>8.51035297557002</v>
      </c>
      <c r="F4599" s="38" t="n">
        <f aca="false">Sens!$F$4574</f>
        <v>14.9634336447205</v>
      </c>
      <c r="G4599" s="38" t="n">
        <f aca="false">Sens!$G$4574</f>
        <v>23.4737866202905</v>
      </c>
      <c r="H4599" s="38" t="n">
        <f aca="false">Sens!$H$4574</f>
        <v>60.1658907497746</v>
      </c>
      <c r="I4599" s="38" t="n">
        <f aca="false">Sens!$I$4574</f>
        <v>101.503699136432</v>
      </c>
      <c r="J4599" s="38" t="n">
        <f aca="false">Sens!$J$4574</f>
        <v>143.025407151278</v>
      </c>
      <c r="K4599" s="38" t="n">
        <f aca="false">Sens!$K$4574</f>
        <v>178.44812038318</v>
      </c>
      <c r="L4599" s="38" t="n">
        <f aca="false">Sens!$L$4574</f>
        <v>201.728101802396</v>
      </c>
      <c r="M4599" s="38" t="n">
        <f aca="false">Sens!$M$4574</f>
        <v>212.835441368865</v>
      </c>
      <c r="N4599" s="38" t="n">
        <f aca="false">Sens!$N$4574</f>
        <v>3.04631953102791</v>
      </c>
      <c r="O4599" s="38" t="n">
        <f aca="false">Sens!$O$4574</f>
        <v>5.65745055762326</v>
      </c>
    </row>
    <row r="4600" customFormat="false" ht="17.15" hidden="false" customHeight="false" outlineLevel="0" collapsed="false">
      <c r="A4600" s="0" t="s">
        <v>704</v>
      </c>
      <c r="B4600" s="0" t="s">
        <v>86</v>
      </c>
      <c r="C4600" s="38" t="n">
        <f aca="false">Sens!$C$4575</f>
        <v>105.234994643026</v>
      </c>
      <c r="D4600" s="38" t="n">
        <f aca="false">Sens!$D$4575</f>
        <v>120.021229911349</v>
      </c>
      <c r="E4600" s="38" t="n">
        <f aca="false">Sens!$E$4575</f>
        <v>71.30864702443</v>
      </c>
      <c r="F4600" s="38" t="n">
        <f aca="false">Sens!$F$4575</f>
        <v>71.7692997942464</v>
      </c>
      <c r="G4600" s="38" t="n">
        <f aca="false">Sens!$G$4575</f>
        <v>143.077946818676</v>
      </c>
      <c r="H4600" s="38" t="n">
        <f aca="false">Sens!$H$4575</f>
        <v>161.017077079203</v>
      </c>
      <c r="I4600" s="38" t="n">
        <f aca="false">Sens!$I$4575</f>
        <v>178.769759521457</v>
      </c>
      <c r="J4600" s="38" t="n">
        <f aca="false">Sens!$J$4575</f>
        <v>195.775538045907</v>
      </c>
      <c r="K4600" s="38" t="n">
        <f aca="false">Sens!$K$4575</f>
        <v>211.43758108958</v>
      </c>
      <c r="L4600" s="38" t="n">
        <f aca="false">Sens!$L$4575</f>
        <v>228.352587576746</v>
      </c>
      <c r="M4600" s="38" t="n">
        <f aca="false">Sens!$M$4575</f>
        <v>246.620794582886</v>
      </c>
      <c r="N4600" s="38" t="n">
        <f aca="false">Sens!$N$4575</f>
        <v>57.0936804689721</v>
      </c>
      <c r="O4600" s="38" t="n">
        <f aca="false">Sens!$O$4575</f>
        <v>62.9275494423768</v>
      </c>
    </row>
    <row r="4601" customFormat="false" ht="15" hidden="false" customHeight="false" outlineLevel="0" collapsed="false">
      <c r="A4601" s="3" t="s">
        <v>524</v>
      </c>
      <c r="B4601" s="8" t="s">
        <v>86</v>
      </c>
      <c r="C4601" s="38" t="n">
        <f aca="false">Sens!$C$4577</f>
        <v>637.959</v>
      </c>
      <c r="D4601" s="38" t="n">
        <f aca="false">Sens!$D$4577</f>
        <v>716.924</v>
      </c>
      <c r="E4601" s="38" t="n">
        <f aca="false">Sens!$E$4577</f>
        <v>382.125</v>
      </c>
      <c r="F4601" s="38" t="n">
        <f aca="false">Sens!$F$4577</f>
        <v>435.780975084504</v>
      </c>
      <c r="G4601" s="38" t="n">
        <f aca="false">Sens!$G$4577</f>
        <v>817.905975084504</v>
      </c>
      <c r="H4601" s="38" t="n">
        <f aca="false">Sens!$H$4577</f>
        <v>942.903926515322</v>
      </c>
      <c r="I4601" s="38" t="n">
        <f aca="false">Sens!$I$4577</f>
        <v>1071.03897465614</v>
      </c>
      <c r="J4601" s="38" t="n">
        <f aca="false">Sens!$J$4577</f>
        <v>1195.11746934314</v>
      </c>
      <c r="K4601" s="38" t="n">
        <f aca="false">Sens!$K$4577</f>
        <v>1305.91179895921</v>
      </c>
      <c r="L4601" s="38" t="n">
        <f aca="false">Sens!$L$4577</f>
        <v>1410.66480646137</v>
      </c>
      <c r="M4601" s="38" t="n">
        <f aca="false">Sens!$M$4577</f>
        <v>1509.90599247663</v>
      </c>
      <c r="N4601" s="38" t="n">
        <f aca="false">Sens!$N$4577</f>
        <v>323.369</v>
      </c>
      <c r="O4601" s="38" t="n">
        <f aca="false">Sens!$O$4577</f>
        <v>393.555</v>
      </c>
    </row>
    <row r="4602" customFormat="false" ht="17.15" hidden="false" customHeight="false" outlineLevel="0" collapsed="false">
      <c r="A4602" s="24" t="s">
        <v>714</v>
      </c>
      <c r="B4602" s="25" t="s">
        <v>86</v>
      </c>
      <c r="C4602" s="41" t="n">
        <f aca="false">Sens!$C$4589+Sens!$C$4590+Sens!$C$4591+Sens!$C$4592+Sens!$C$4593+Sens!$C$4594-(Sens!$C$4596+Sens!$C$4597)</f>
        <v>0</v>
      </c>
      <c r="D4602" s="41" t="n">
        <f aca="false">Sens!$D$4589+Sens!$D$4590+Sens!$D$4591+Sens!$D$4592+Sens!$D$4593+Sens!$D$4594-(Sens!$D$4596+Sens!$D$4597)</f>
        <v>0</v>
      </c>
      <c r="E4602" s="41" t="n">
        <f aca="false">Sens!$E$4589+Sens!$E$4590+Sens!$E$4591+Sens!$E$4592+Sens!$E$4593+Sens!$E$4594-(Sens!$E$4596+Sens!$E$4597)</f>
        <v>0</v>
      </c>
      <c r="F4602" s="41" t="n">
        <f aca="false">Sens!$F$4589+Sens!$F$4590+Sens!$F$4591+Sens!$F$4592+Sens!$F$4593+Sens!$F$4594-(Sens!$F$4596+Sens!$F$4597)</f>
        <v>0</v>
      </c>
      <c r="G4602" s="41" t="n">
        <f aca="false">Sens!$G$4589+Sens!$G$4590+Sens!$G$4591+Sens!$G$4592+Sens!$G$4593+Sens!$G$4594-(Sens!$G$4596+Sens!$G$4597)</f>
        <v>0</v>
      </c>
      <c r="H4602" s="41" t="n">
        <f aca="false">Sens!$H$4589+Sens!$H$4590+Sens!$H$4591+Sens!$H$4592+Sens!$H$4593+Sens!$H$4594-(Sens!$H$4596+Sens!$H$4597)</f>
        <v>0</v>
      </c>
      <c r="I4602" s="41" t="n">
        <f aca="false">Sens!$I$4589+Sens!$I$4590+Sens!$I$4591+Sens!$I$4592+Sens!$I$4593+Sens!$I$4594-(Sens!$I$4596+Sens!$I$4597)</f>
        <v>0</v>
      </c>
      <c r="J4602" s="41" t="n">
        <f aca="false">Sens!$J$4589+Sens!$J$4590+Sens!$J$4591+Sens!$J$4592+Sens!$J$4593+Sens!$J$4594-(Sens!$J$4596+Sens!$J$4597)</f>
        <v>0</v>
      </c>
      <c r="K4602" s="41" t="n">
        <f aca="false">Sens!$K$4589+Sens!$K$4590+Sens!$K$4591+Sens!$K$4592+Sens!$K$4593+Sens!$K$4594-(Sens!$K$4596+Sens!$K$4597)</f>
        <v>0</v>
      </c>
      <c r="L4602" s="41" t="n">
        <f aca="false">Sens!$L$4589+Sens!$L$4590+Sens!$L$4591+Sens!$L$4592+Sens!$L$4593+Sens!$L$4594-(Sens!$L$4596+Sens!$L$4597)</f>
        <v>0</v>
      </c>
      <c r="M4602" s="41" t="n">
        <f aca="false">Sens!$M$4589+Sens!$M$4590+Sens!$M$4591+Sens!$M$4592+Sens!$M$4593+Sens!$M$4594-(Sens!$M$4596+Sens!$M$4597)</f>
        <v>0</v>
      </c>
      <c r="N4602" s="41" t="n">
        <f aca="false">Sens!$N$4589+Sens!$N$4590+Sens!$N$4591+Sens!$N$4592+Sens!$N$4593+Sens!$N$4594-(Sens!$N$4596+Sens!$N$4597)</f>
        <v>0</v>
      </c>
      <c r="O4602" s="41" t="n">
        <f aca="false">Sens!$O$4589+Sens!$O$4590+Sens!$O$4591+Sens!$O$4592+Sens!$O$4593+Sens!$O$4594-(Sens!$O$4596+Sens!$O$4597)</f>
        <v>0</v>
      </c>
    </row>
    <row r="4603" customFormat="false" ht="17.15" hidden="false" customHeight="false" outlineLevel="0" collapsed="false">
      <c r="A4603" s="24" t="s">
        <v>715</v>
      </c>
      <c r="B4603" s="25" t="s">
        <v>86</v>
      </c>
      <c r="C4603" s="41" t="n">
        <f aca="false">Sens!$C$4599+Sens!$C$4600-Sens!$C$4598</f>
        <v>0</v>
      </c>
      <c r="D4603" s="41" t="n">
        <f aca="false">Sens!$D$4599+Sens!$D$4600-Sens!$D$4598</f>
        <v>0</v>
      </c>
      <c r="E4603" s="41" t="n">
        <f aca="false">Sens!$E$4599+Sens!$E$4600-Sens!$E$4598</f>
        <v>0</v>
      </c>
      <c r="F4603" s="41" t="n">
        <f aca="false">Sens!$F$4599+Sens!$F$4600-Sens!$F$4598</f>
        <v>0</v>
      </c>
      <c r="G4603" s="41" t="n">
        <f aca="false">Sens!$G$4599+Sens!$G$4600-Sens!$G$4598</f>
        <v>0</v>
      </c>
      <c r="H4603" s="41" t="n">
        <f aca="false">Sens!$H$4599+Sens!$H$4600-Sens!$H$4598</f>
        <v>0</v>
      </c>
      <c r="I4603" s="41" t="n">
        <f aca="false">Sens!$I$4599+Sens!$I$4600-Sens!$I$4598</f>
        <v>0</v>
      </c>
      <c r="J4603" s="41" t="n">
        <f aca="false">Sens!$J$4599+Sens!$J$4600-Sens!$J$4598</f>
        <v>0</v>
      </c>
      <c r="K4603" s="41" t="n">
        <f aca="false">Sens!$K$4599+Sens!$K$4600-Sens!$K$4598</f>
        <v>0</v>
      </c>
      <c r="L4603" s="41" t="n">
        <f aca="false">Sens!$L$4599+Sens!$L$4600-Sens!$L$4598</f>
        <v>0</v>
      </c>
      <c r="M4603" s="41" t="n">
        <f aca="false">Sens!$M$4599+Sens!$M$4600-Sens!$M$4598</f>
        <v>0</v>
      </c>
      <c r="N4603" s="41" t="n">
        <f aca="false">Sens!$N$4599+Sens!$N$4600-Sens!$N$4598</f>
        <v>0</v>
      </c>
      <c r="O4603" s="41" t="n">
        <f aca="false">Sens!$O$4599+Sens!$O$4600-Sens!$O$4598</f>
        <v>0</v>
      </c>
    </row>
    <row r="4604" customFormat="false" ht="17.15" hidden="false" customHeight="false" outlineLevel="0" collapsed="false">
      <c r="A4604" s="24" t="s">
        <v>774</v>
      </c>
      <c r="B4604" s="25" t="s">
        <v>86</v>
      </c>
      <c r="C4604" s="41" t="n">
        <f aca="false">Sens!$C$4589+Sens!$C$4590+Sens!$C$4591+Sens!$C$4592+Sens!$C$4593+Sens!$C$4594+Sens!$C$4595-Sens!$C$4601</f>
        <v>0</v>
      </c>
      <c r="D4604" s="41" t="n">
        <f aca="false">Sens!$D$4589+Sens!$D$4590+Sens!$D$4591+Sens!$D$4592+Sens!$D$4593+Sens!$D$4594+Sens!$D$4595-Sens!$D$4601</f>
        <v>0</v>
      </c>
      <c r="E4604" s="41" t="n">
        <f aca="false">Sens!$E$4589+Sens!$E$4590+Sens!$E$4591+Sens!$E$4592+Sens!$E$4593+Sens!$E$4594+Sens!$E$4595-Sens!$E$4601</f>
        <v>0</v>
      </c>
      <c r="F4604" s="41" t="n">
        <f aca="false">Sens!$F$4589+Sens!$F$4590+Sens!$F$4591+Sens!$F$4592+Sens!$F$4593+Sens!$F$4594+Sens!$F$4595-Sens!$F$4601</f>
        <v>0</v>
      </c>
      <c r="G4604" s="41" t="n">
        <f aca="false">Sens!$G$4589+Sens!$G$4590+Sens!$G$4591+Sens!$G$4592+Sens!$G$4593+Sens!$G$4594+Sens!$G$4595-Sens!$G$4601</f>
        <v>0</v>
      </c>
      <c r="H4604" s="41" t="n">
        <f aca="false">Sens!$H$4589+Sens!$H$4590+Sens!$H$4591+Sens!$H$4592+Sens!$H$4593+Sens!$H$4594+Sens!$H$4595-Sens!$H$4601</f>
        <v>0</v>
      </c>
      <c r="I4604" s="41" t="n">
        <f aca="false">Sens!$I$4589+Sens!$I$4590+Sens!$I$4591+Sens!$I$4592+Sens!$I$4593+Sens!$I$4594+Sens!$I$4595-Sens!$I$4601</f>
        <v>0</v>
      </c>
      <c r="J4604" s="41" t="n">
        <f aca="false">Sens!$J$4589+Sens!$J$4590+Sens!$J$4591+Sens!$J$4592+Sens!$J$4593+Sens!$J$4594+Sens!$J$4595-Sens!$J$4601</f>
        <v>0</v>
      </c>
      <c r="K4604" s="41" t="n">
        <f aca="false">Sens!$K$4589+Sens!$K$4590+Sens!$K$4591+Sens!$K$4592+Sens!$K$4593+Sens!$K$4594+Sens!$K$4595-Sens!$K$4601</f>
        <v>0</v>
      </c>
      <c r="L4604" s="41" t="n">
        <f aca="false">Sens!$L$4589+Sens!$L$4590+Sens!$L$4591+Sens!$L$4592+Sens!$L$4593+Sens!$L$4594+Sens!$L$4595-Sens!$L$4601</f>
        <v>0</v>
      </c>
      <c r="M4604" s="41" t="n">
        <f aca="false">Sens!$M$4589+Sens!$M$4590+Sens!$M$4591+Sens!$M$4592+Sens!$M$4593+Sens!$M$4594+Sens!$M$4595-Sens!$M$4601</f>
        <v>0</v>
      </c>
      <c r="N4604" s="41" t="n">
        <f aca="false">Sens!$N$4589+Sens!$N$4590+Sens!$N$4591+Sens!$N$4592+Sens!$N$4593+Sens!$N$4594+Sens!$N$4595-Sens!$N$4601</f>
        <v>0</v>
      </c>
      <c r="O4604" s="41" t="n">
        <f aca="false">Sens!$O$4589+Sens!$O$4590+Sens!$O$4591+Sens!$O$4592+Sens!$O$4593+Sens!$O$4594+Sens!$O$4595-Sens!$O$4601</f>
        <v>0</v>
      </c>
    </row>
    <row r="4605" customFormat="false" ht="17.15" hidden="false" customHeight="false" outlineLevel="0" collapsed="false">
      <c r="A4605" s="24" t="s">
        <v>716</v>
      </c>
      <c r="B4605" s="25" t="s">
        <v>86</v>
      </c>
      <c r="C4605" s="41" t="n">
        <f aca="false">Sens!$C$4596+Sens!$C$4597+Sens!$C$4598-Sens!$C$4601</f>
        <v>0</v>
      </c>
      <c r="D4605" s="41" t="n">
        <f aca="false">Sens!$D$4596+Sens!$D$4597+Sens!$D$4598-Sens!$D$4601</f>
        <v>0</v>
      </c>
      <c r="E4605" s="41" t="n">
        <f aca="false">Sens!$E$4596+Sens!$E$4597+Sens!$E$4598-Sens!$E$4601</f>
        <v>0</v>
      </c>
      <c r="F4605" s="41" t="n">
        <f aca="false">Sens!$F$4596+Sens!$F$4597+Sens!$F$4598-Sens!$F$4601</f>
        <v>0</v>
      </c>
      <c r="G4605" s="41" t="n">
        <f aca="false">Sens!$G$4596+Sens!$G$4597+Sens!$G$4598-Sens!$G$4601</f>
        <v>0</v>
      </c>
      <c r="H4605" s="41" t="n">
        <f aca="false">Sens!$H$4596+Sens!$H$4597+Sens!$H$4598-Sens!$H$4601</f>
        <v>0</v>
      </c>
      <c r="I4605" s="41" t="n">
        <f aca="false">Sens!$I$4596+Sens!$I$4597+Sens!$I$4598-Sens!$I$4601</f>
        <v>0</v>
      </c>
      <c r="J4605" s="41" t="n">
        <f aca="false">Sens!$J$4596+Sens!$J$4597+Sens!$J$4598-Sens!$J$4601</f>
        <v>0</v>
      </c>
      <c r="K4605" s="41" t="n">
        <f aca="false">Sens!$K$4596+Sens!$K$4597+Sens!$K$4598-Sens!$K$4601</f>
        <v>0</v>
      </c>
      <c r="L4605" s="41" t="n">
        <f aca="false">Sens!$L$4596+Sens!$L$4597+Sens!$L$4598-Sens!$L$4601</f>
        <v>0</v>
      </c>
      <c r="M4605" s="41" t="n">
        <f aca="false">Sens!$M$4596+Sens!$M$4597+Sens!$M$4598-Sens!$M$4601</f>
        <v>0</v>
      </c>
      <c r="N4605" s="41" t="n">
        <f aca="false">Sens!$N$4596+Sens!$N$4597+Sens!$N$4598-Sens!$N$4601</f>
        <v>0</v>
      </c>
      <c r="O4605" s="41" t="n">
        <f aca="false">Sens!$O$4596+Sens!$O$4597+Sens!$O$4598-Sens!$O$4601</f>
        <v>0</v>
      </c>
    </row>
    <row r="4606" customFormat="false" ht="17.15" hidden="false" customHeight="false" outlineLevel="0" collapsed="false">
      <c r="A4606" s="1" t="s">
        <v>730</v>
      </c>
    </row>
    <row r="4607" customFormat="false" ht="17.15" hidden="false" customHeight="false" outlineLevel="0" collapsed="false">
      <c r="A4607" s="0" t="s">
        <v>731</v>
      </c>
      <c r="B4607" s="0" t="s">
        <v>86</v>
      </c>
      <c r="C4607" s="38" t="n">
        <f aca="false">Sens!$C$4508*m_ad</f>
        <v>20.5341564414228</v>
      </c>
      <c r="D4607" s="38" t="n">
        <f aca="false">Sens!$D$4508*m_ad</f>
        <v>24.8720617299587</v>
      </c>
      <c r="E4607" s="38" t="n">
        <f aca="false">Sens!$E$4508*m_ad</f>
        <v>13.5017112462207</v>
      </c>
      <c r="F4607" s="38" t="n">
        <f aca="false">Sens!$F$4508*m_ad</f>
        <v>16.5719724165257</v>
      </c>
      <c r="G4607" s="38" t="n">
        <f aca="false">Sens!$G$4508*m_ad</f>
        <v>30.0820919220415</v>
      </c>
      <c r="H4607" s="38" t="n">
        <f aca="false">Sens!$H$4508*m_ad</f>
        <v>36.3407040170467</v>
      </c>
      <c r="I4607" s="38" t="n">
        <f aca="false">Sens!$I$4508*m_ad</f>
        <v>42.955949977879</v>
      </c>
      <c r="J4607" s="38" t="n">
        <f aca="false">Sens!$J$4508*m_ad</f>
        <v>49.6578097528798</v>
      </c>
      <c r="K4607" s="38" t="n">
        <f aca="false">Sens!$K$4508*m_ad</f>
        <v>56.1133250207542</v>
      </c>
      <c r="L4607" s="38" t="n">
        <f aca="false">Sens!$L$4508*m_ad</f>
        <v>63.4080572734522</v>
      </c>
      <c r="M4607" s="38" t="n">
        <f aca="false">Sens!$M$4508*m_ad</f>
        <v>71.651104719001</v>
      </c>
      <c r="N4607" s="38" t="n">
        <f aca="false">Sens!$N$4508*m_ad</f>
        <v>10.8543555706248</v>
      </c>
      <c r="O4607" s="38" t="n">
        <f aca="false">Sens!$O$4508*m_ad</f>
        <v>14.0094731821399</v>
      </c>
    </row>
    <row r="4608" customFormat="false" ht="17.15" hidden="false" customHeight="false" outlineLevel="0" collapsed="false">
      <c r="A4608" s="0" t="s">
        <v>732</v>
      </c>
      <c r="B4608" s="0" t="s">
        <v>86</v>
      </c>
      <c r="C4608" s="38" t="n">
        <f aca="false">Sens!$C$4506-Sens!$C$4508</f>
        <v>346.428687117154</v>
      </c>
      <c r="D4608" s="38" t="n">
        <f aca="false">Sens!$D$4506-Sens!$D$4508</f>
        <v>376.560876540083</v>
      </c>
      <c r="E4608" s="38" t="n">
        <f aca="false">Sens!$E$4506-Sens!$E$4508</f>
        <v>193.316577507559</v>
      </c>
      <c r="F4608" s="38" t="n">
        <f aca="false">Sens!$F$4506-Sens!$F$4508</f>
        <v>217.495828647535</v>
      </c>
      <c r="G4608" s="38" t="n">
        <f aca="false">Sens!$G$4506-Sens!$G$4508</f>
        <v>410.795589636503</v>
      </c>
      <c r="H4608" s="38" t="n">
        <f aca="false">Sens!$H$4506-Sens!$H$4508</f>
        <v>449.156813761174</v>
      </c>
      <c r="I4608" s="38" t="n">
        <f aca="false">Sens!$I$4506-Sens!$I$4508</f>
        <v>485.848786441156</v>
      </c>
      <c r="J4608" s="38" t="n">
        <f aca="false">Sens!$J$4506-Sens!$J$4508</f>
        <v>519.841531018994</v>
      </c>
      <c r="K4608" s="38" t="n">
        <f aca="false">Sens!$K$4506-Sens!$K$4508</f>
        <v>550.103332311311</v>
      </c>
      <c r="L4608" s="38" t="n">
        <f aca="false">Sens!$L$4506-Sens!$L$4508</f>
        <v>582.192354474511</v>
      </c>
      <c r="M4608" s="38" t="n">
        <f aca="false">Sens!$M$4506-Sens!$M$4508</f>
        <v>616.22240521081</v>
      </c>
      <c r="N4608" s="38" t="n">
        <f aca="false">Sens!$N$4506-Sens!$N$4508</f>
        <v>171.24628885875</v>
      </c>
      <c r="O4608" s="38" t="n">
        <f aca="false">Sens!$O$4506-Sens!$O$4508</f>
        <v>205.33105363572</v>
      </c>
    </row>
    <row r="4609" customFormat="false" ht="17.15" hidden="false" customHeight="false" outlineLevel="0" collapsed="false">
      <c r="A4609" s="0" t="s">
        <v>733</v>
      </c>
      <c r="B4609" s="0" t="s">
        <v>86</v>
      </c>
      <c r="C4609" s="38" t="n">
        <f aca="false">Sens!$C$4560*Sens!$C$4505</f>
        <v>0.123617442257179</v>
      </c>
      <c r="D4609" s="38" t="n">
        <f aca="false">Sens!$D$4560*Sens!$D$4505</f>
        <v>0.600198046024689</v>
      </c>
      <c r="E4609" s="38" t="n">
        <f aca="false">Sens!$E$4560*Sens!$E$4505</f>
        <v>1.10840000750276</v>
      </c>
      <c r="F4609" s="38" t="n">
        <f aca="false">Sens!$F$4560*Sens!$F$4505</f>
        <v>1.33595298721025</v>
      </c>
      <c r="G4609" s="38" t="n">
        <f aca="false">Sens!$G$4560*Sens!$G$4505</f>
        <v>2.44487335052545</v>
      </c>
      <c r="H4609" s="38" t="n">
        <f aca="false">Sens!$H$4560*Sens!$H$4505</f>
        <v>6.63132711939388</v>
      </c>
      <c r="I4609" s="38" t="n">
        <f aca="false">Sens!$I$4560*Sens!$I$4505</f>
        <v>12.7486799258504</v>
      </c>
      <c r="J4609" s="38" t="n">
        <f aca="false">Sens!$J$4560*Sens!$J$4505</f>
        <v>18.4074045299415</v>
      </c>
      <c r="K4609" s="38" t="n">
        <f aca="false">Sens!$K$4560*Sens!$K$4505</f>
        <v>23.9455472348705</v>
      </c>
      <c r="L4609" s="38" t="n">
        <f aca="false">Sens!$L$4560*Sens!$L$4505</f>
        <v>27.78179156216</v>
      </c>
      <c r="M4609" s="38" t="n">
        <f aca="false">Sens!$M$4560*Sens!$M$4505</f>
        <v>29.9029027327362</v>
      </c>
      <c r="N4609" s="38" t="n">
        <f aca="false">Sens!$N$4560*Sens!$N$4505</f>
        <v>0.25053229484398</v>
      </c>
      <c r="O4609" s="38" t="n">
        <f aca="false">Sens!$O$4560*Sens!$O$4505</f>
        <v>0.349234376756897</v>
      </c>
    </row>
    <row r="4610" customFormat="false" ht="17.15" hidden="false" customHeight="false" outlineLevel="0" collapsed="false">
      <c r="A4610" s="0" t="s">
        <v>734</v>
      </c>
      <c r="B4610" s="0" t="s">
        <v>52</v>
      </c>
      <c r="C4610" s="28" t="n">
        <f aca="false">(Sens!$C$4611-Sens!$C$4607+Sens!$C$4609)/Sens!$C$4608</f>
        <v>0.0131526665379575</v>
      </c>
      <c r="D4610" s="28" t="n">
        <f aca="false">(Sens!$D$4611-Sens!$D$4607+Sens!$D$4609)/Sens!$D$4608</f>
        <v>0.0141999252954702</v>
      </c>
      <c r="E4610" s="28" t="n">
        <f aca="false">(Sens!$E$4611-Sens!$E$4607+Sens!$E$4609)/Sens!$E$4608</f>
        <v>0.0258471819939326</v>
      </c>
      <c r="F4610" s="28" t="n">
        <f aca="false">Sens!$O$4610+(Sens!$E$4610-Sens!$N$4610)</f>
        <v>0.0224302350712874</v>
      </c>
      <c r="G4610" s="28" t="n">
        <f aca="false">(Sens!$G$4611-Sens!$G$4607+Sens!$G$4609)/Sens!$G$4608</f>
        <v>0.0240199351461372</v>
      </c>
      <c r="H4610" s="28" t="n">
        <f aca="false">Sens!$G$4610+step_na</f>
        <v>0.0270199351461372</v>
      </c>
      <c r="I4610" s="28" t="n">
        <f aca="false">Sens!$H$4610+step_na</f>
        <v>0.0300199351461372</v>
      </c>
      <c r="J4610" s="28" t="n">
        <f aca="false">Sens!$I$4610+step_na</f>
        <v>0.0330199351461372</v>
      </c>
      <c r="K4610" s="28" t="n">
        <f aca="false">Sens!$J$4610+step_na</f>
        <v>0.0360199351461372</v>
      </c>
      <c r="L4610" s="28" t="n">
        <f aca="false">Sens!$K$4610</f>
        <v>0.0360199351461372</v>
      </c>
      <c r="M4610" s="28" t="n">
        <f aca="false">Sens!$L$4610</f>
        <v>0.0360199351461372</v>
      </c>
      <c r="N4610" s="28" t="n">
        <f aca="false">(Sens!$N$4611-Sens!$N$4607+Sens!$N$4609)/Sens!$N$4608</f>
        <v>0.0160831323269779</v>
      </c>
      <c r="O4610" s="28" t="n">
        <f aca="false">(Sens!$O$4611-Sens!$O$4607+Sens!$O$4609)/Sens!$O$4608</f>
        <v>0.0126661854043327</v>
      </c>
      <c r="P4610" s="8" t="s">
        <v>735</v>
      </c>
    </row>
    <row r="4611" customFormat="false" ht="17.15" hidden="false" customHeight="false" outlineLevel="0" collapsed="false">
      <c r="A4611" s="1" t="s">
        <v>736</v>
      </c>
      <c r="B4611" s="8" t="s">
        <v>86</v>
      </c>
      <c r="C4611" s="38" t="n">
        <f aca="false">Q!$D$22</f>
        <v>24.967</v>
      </c>
      <c r="D4611" s="38" t="n">
        <f aca="false">Q!$E$22</f>
        <v>29.619</v>
      </c>
      <c r="E4611" s="38" t="n">
        <f aca="false">Q!$P$22</f>
        <v>17.39</v>
      </c>
      <c r="F4611" s="38" t="n">
        <f aca="false">Sens!$F$4607+Sens!$F$4608*Sens!$F$4610-Sens!$F$4609</f>
        <v>20.1145019929041</v>
      </c>
      <c r="G4611" s="38" t="n">
        <f aca="false">Sens!$E$4611+Sens!$F$4611</f>
        <v>37.5045019929041</v>
      </c>
      <c r="H4611" s="38" t="n">
        <f aca="false">Sens!$H$4607+Sens!$H$4608*Sens!$H$4610-Sens!$H$4609</f>
        <v>41.8455648759254</v>
      </c>
      <c r="I4611" s="38" t="n">
        <f aca="false">Sens!$I$4607+Sens!$I$4608*Sens!$I$4610-Sens!$I$4609</f>
        <v>44.7924191118216</v>
      </c>
      <c r="J4611" s="38" t="n">
        <f aca="false">Sens!$J$4607+Sens!$J$4608*Sens!$J$4610-Sens!$J$4609</f>
        <v>48.4155388634541</v>
      </c>
      <c r="K4611" s="38" t="n">
        <f aca="false">Sens!$K$4607+Sens!$K$4608*Sens!$K$4610-Sens!$K$4609</f>
        <v>51.982464139411</v>
      </c>
      <c r="L4611" s="38" t="n">
        <f aca="false">Sens!$L$4607+Sens!$L$4608*Sens!$L$4610-Sens!$L$4609</f>
        <v>56.596796562041</v>
      </c>
      <c r="M4611" s="38" t="n">
        <f aca="false">Sens!$M$4607+Sens!$M$4608*Sens!$M$4610-Sens!$M$4609</f>
        <v>63.9444930575549</v>
      </c>
      <c r="N4611" s="38" t="n">
        <f aca="false">Q!$N$22</f>
        <v>13.358</v>
      </c>
      <c r="O4611" s="38" t="n">
        <f aca="false">Q!$O$22</f>
        <v>16.261</v>
      </c>
    </row>
    <row r="4612" customFormat="false" ht="17.15" hidden="false" customHeight="false" outlineLevel="0" collapsed="false">
      <c r="A4612" s="0" t="s">
        <v>737</v>
      </c>
      <c r="B4612" s="0" t="s">
        <v>86</v>
      </c>
      <c r="C4612" s="38" t="n">
        <f aca="false">Sens!$C$4509*m_ad</f>
        <v>7.57284355857716</v>
      </c>
      <c r="D4612" s="38" t="n">
        <f aca="false">Sens!$D$4509*m_ad</f>
        <v>9.44543827004127</v>
      </c>
      <c r="E4612" s="38" t="n">
        <f aca="false">Sens!$E$4509*m_ad</f>
        <v>5.02428875377928</v>
      </c>
      <c r="F4612" s="38" t="n">
        <f aca="false">Sens!$F$4509*m_ad</f>
        <v>6.50663858068173</v>
      </c>
      <c r="G4612" s="38" t="n">
        <f aca="false">Sens!$G$4509*m_ad</f>
        <v>11.5225190751659</v>
      </c>
      <c r="H4612" s="38" t="n">
        <f aca="false">Sens!$H$4509*m_ad</f>
        <v>13.9197917593811</v>
      </c>
      <c r="I4612" s="38" t="n">
        <f aca="false">Sens!$I$4509*m_ad</f>
        <v>16.4536679927275</v>
      </c>
      <c r="J4612" s="38" t="n">
        <f aca="false">Sens!$J$4509*m_ad</f>
        <v>19.0207204203532</v>
      </c>
      <c r="K4612" s="38" t="n">
        <f aca="false">Sens!$K$4509*m_ad</f>
        <v>21.4934140749991</v>
      </c>
      <c r="L4612" s="38" t="n">
        <f aca="false">Sens!$L$4509*m_ad</f>
        <v>24.2875579047489</v>
      </c>
      <c r="M4612" s="38" t="n">
        <f aca="false">Sens!$M$4509*m_ad</f>
        <v>27.4449404323663</v>
      </c>
      <c r="N4612" s="38" t="n">
        <f aca="false">Sens!$N$4509*m_ad</f>
        <v>3.95314442937518</v>
      </c>
      <c r="O4612" s="38" t="n">
        <f aca="false">Sens!$O$4509*m_ad</f>
        <v>5.50052681786011</v>
      </c>
    </row>
    <row r="4613" customFormat="false" ht="17.15" hidden="false" customHeight="false" outlineLevel="0" collapsed="false">
      <c r="A4613" s="0" t="s">
        <v>738</v>
      </c>
      <c r="B4613" s="0" t="s">
        <v>86</v>
      </c>
      <c r="C4613" s="38" t="n">
        <f aca="false">Sens!$C$4507-Sens!$C$4509</f>
        <v>127.760312882846</v>
      </c>
      <c r="D4613" s="38" t="n">
        <f aca="false">Sens!$D$4507-Sens!$D$4509</f>
        <v>143.003123459917</v>
      </c>
      <c r="E4613" s="38" t="n">
        <f aca="false">Sens!$E$4507-Sens!$E$4509</f>
        <v>71.9374224924414</v>
      </c>
      <c r="F4613" s="38" t="n">
        <f aca="false">Sens!$F$4507-Sens!$F$4509</f>
        <v>85.3951910035875</v>
      </c>
      <c r="G4613" s="38" t="n">
        <f aca="false">Sens!$G$4507-Sens!$G$4509</f>
        <v>157.349430014619</v>
      </c>
      <c r="H4613" s="38" t="n">
        <f aca="false">Sens!$H$4507-Sens!$H$4509</f>
        <v>172.043153372315</v>
      </c>
      <c r="I4613" s="38" t="n">
        <f aca="false">Sens!$I$4507-Sens!$I$4509</f>
        <v>186.097493615879</v>
      </c>
      <c r="J4613" s="38" t="n">
        <f aca="false">Sens!$J$4507-Sens!$J$4509</f>
        <v>199.117932780497</v>
      </c>
      <c r="K4613" s="38" t="n">
        <f aca="false">Sens!$K$4507-Sens!$K$4509</f>
        <v>210.70928698363</v>
      </c>
      <c r="L4613" s="38" t="n">
        <f aca="false">Sens!$L$4507-Sens!$L$4509</f>
        <v>223.000532251317</v>
      </c>
      <c r="M4613" s="38" t="n">
        <f aca="false">Sens!$M$4507-Sens!$M$4509</f>
        <v>236.035261011339</v>
      </c>
      <c r="N4613" s="38" t="n">
        <f aca="false">Sens!$N$4507-Sens!$N$4509</f>
        <v>62.3677111412496</v>
      </c>
      <c r="O4613" s="38" t="n">
        <f aca="false">Sens!$O$4507-Sens!$O$4509</f>
        <v>80.6189463642798</v>
      </c>
    </row>
    <row r="4614" customFormat="false" ht="17.15" hidden="false" customHeight="false" outlineLevel="0" collapsed="false">
      <c r="A4614" s="0" t="s">
        <v>739</v>
      </c>
      <c r="B4614" s="0" t="s">
        <v>86</v>
      </c>
      <c r="C4614" s="38" t="n">
        <f aca="false">Sens!$C$4560*(1-Sens!$C$4505)</f>
        <v>0.0455891896019953</v>
      </c>
      <c r="D4614" s="38" t="n">
        <f aca="false">Sens!$D$4560*(1-Sens!$D$4505)</f>
        <v>0.227931791705753</v>
      </c>
      <c r="E4614" s="38" t="n">
        <f aca="false">Sens!$E$4560*(1-Sens!$E$4505)</f>
        <v>0.412460434890711</v>
      </c>
      <c r="F4614" s="38" t="n">
        <f aca="false">Sens!$F$4560*(1-Sens!$F$4505)</f>
        <v>0.524534016233997</v>
      </c>
      <c r="G4614" s="38" t="n">
        <f aca="false">Sens!$G$4560*(1-Sens!$G$4505)</f>
        <v>0.936474095312266</v>
      </c>
      <c r="H4614" s="38" t="n">
        <f aca="false">Sens!$H$4560*(1-Sens!$H$4505)</f>
        <v>2.54003589327823</v>
      </c>
      <c r="I4614" s="38" t="n">
        <f aca="false">Sens!$I$4560*(1-Sens!$I$4505)</f>
        <v>4.88320120852905</v>
      </c>
      <c r="J4614" s="38" t="n">
        <f aca="false">Sens!$J$4560*(1-Sens!$J$4505)</f>
        <v>7.05069548920359</v>
      </c>
      <c r="K4614" s="38" t="n">
        <f aca="false">Sens!$K$4560*(1-Sens!$K$4505)</f>
        <v>9.17200258193867</v>
      </c>
      <c r="L4614" s="38" t="n">
        <f aca="false">Sens!$L$4560*(1-Sens!$L$4505)</f>
        <v>10.6414216154535</v>
      </c>
      <c r="M4614" s="38" t="n">
        <f aca="false">Sens!$M$4560*(1-Sens!$M$4505)</f>
        <v>11.4538831951485</v>
      </c>
      <c r="N4614" s="38" t="n">
        <f aca="false">Sens!$N$4560*(1-Sens!$N$4505)</f>
        <v>0.0912435878202994</v>
      </c>
      <c r="O4614" s="38" t="n">
        <f aca="false">Sens!$O$4560*(1-Sens!$O$4505)</f>
        <v>0.137119578309265</v>
      </c>
    </row>
    <row r="4615" customFormat="false" ht="17.15" hidden="false" customHeight="false" outlineLevel="0" collapsed="false">
      <c r="A4615" s="0" t="s">
        <v>740</v>
      </c>
      <c r="B4615" s="0" t="s">
        <v>52</v>
      </c>
      <c r="C4615" s="28" t="n">
        <f aca="false">(Sens!$C$4616-Sens!$C$4612+Sens!$C$4614)/Sens!$C$4613</f>
        <v>-0.0292364215826579</v>
      </c>
      <c r="D4615" s="28" t="n">
        <f aca="false">(Sens!$D$4616-Sens!$D$4612+Sens!$D$4614)/Sens!$D$4613</f>
        <v>-0.0312406216748665</v>
      </c>
      <c r="E4615" s="28" t="n">
        <f aca="false">(Sens!$E$4616-Sens!$E$4612+Sens!$E$4614)/Sens!$E$4613</f>
        <v>-0.0204459413185552</v>
      </c>
      <c r="F4615" s="28" t="n">
        <f aca="false">Sens!$O$4615+(Sens!$E$4615-Sens!$N$4615)</f>
        <v>-0.0375409290246314</v>
      </c>
      <c r="G4615" s="28" t="n">
        <f aca="false">(Sens!$G$4616-Sens!$G$4612+Sens!$G$4614)/Sens!$G$4613</f>
        <v>-0.0296712560031684</v>
      </c>
      <c r="H4615" s="28" t="n">
        <f aca="false">Sens!$G$4615+step_in</f>
        <v>-0.0296712560031684</v>
      </c>
      <c r="I4615" s="28" t="n">
        <f aca="false">Sens!$H$4615+step_in</f>
        <v>-0.0296712560031684</v>
      </c>
      <c r="J4615" s="28" t="n">
        <f aca="false">Sens!$I$4615+step_in</f>
        <v>-0.0296712560031684</v>
      </c>
      <c r="K4615" s="28" t="n">
        <f aca="false">Sens!$J$4615+step_in</f>
        <v>-0.0296712560031684</v>
      </c>
      <c r="L4615" s="28" t="n">
        <f aca="false">Sens!$K$4615</f>
        <v>-0.0296712560031684</v>
      </c>
      <c r="M4615" s="28" t="n">
        <f aca="false">Sens!$L$4615</f>
        <v>-0.0296712560031684</v>
      </c>
      <c r="N4615" s="28" t="n">
        <f aca="false">(Sens!$N$4616-Sens!$N$4612+Sens!$N$4614)/Sens!$N$4613</f>
        <v>-0.0216602600421776</v>
      </c>
      <c r="O4615" s="28" t="n">
        <f aca="false">(Sens!$O$4616-Sens!$O$4612+Sens!$O$4614)/Sens!$O$4613</f>
        <v>-0.0387552477482538</v>
      </c>
      <c r="P4615" s="8" t="s">
        <v>735</v>
      </c>
    </row>
    <row r="4616" customFormat="false" ht="17.15" hidden="false" customHeight="false" outlineLevel="0" collapsed="false">
      <c r="A4616" s="1" t="s">
        <v>741</v>
      </c>
      <c r="B4616" s="8" t="s">
        <v>86</v>
      </c>
      <c r="C4616" s="38" t="n">
        <f aca="false">Q!$D$23</f>
        <v>3.792</v>
      </c>
      <c r="D4616" s="38" t="n">
        <f aca="false">Q!$E$23</f>
        <v>4.75</v>
      </c>
      <c r="E4616" s="38" t="n">
        <f aca="false">Q!$P$23</f>
        <v>3.141</v>
      </c>
      <c r="F4616" s="38" t="n">
        <f aca="false">Sens!$F$4612+Sens!$F$4613*Sens!$F$4615-Sens!$F$4614</f>
        <v>2.77628975993721</v>
      </c>
      <c r="G4616" s="38" t="n">
        <f aca="false">Sens!$E$4616+Sens!$F$4616</f>
        <v>5.91728975993721</v>
      </c>
      <c r="H4616" s="38" t="n">
        <f aca="false">Sens!$H$4612+Sens!$H$4613*Sens!$H$4615-Sens!$H$4614</f>
        <v>6.27501941880055</v>
      </c>
      <c r="I4616" s="38" t="n">
        <f aca="false">Sens!$I$4612+Sens!$I$4613*Sens!$I$4615-Sens!$I$4614</f>
        <v>6.04872040957375</v>
      </c>
      <c r="J4616" s="38" t="n">
        <f aca="false">Sens!$J$4612+Sens!$J$4613*Sens!$J$4615-Sens!$J$4614</f>
        <v>6.06194577279777</v>
      </c>
      <c r="K4616" s="38" t="n">
        <f aca="false">Sens!$K$4612+Sens!$K$4613*Sens!$K$4615-Sens!$K$4614</f>
        <v>6.06940229672403</v>
      </c>
      <c r="L4616" s="38" t="n">
        <f aca="false">Sens!$L$4612+Sens!$L$4613*Sens!$L$4615-Sens!$L$4614</f>
        <v>7.02943040802383</v>
      </c>
      <c r="M4616" s="38" t="n">
        <f aca="false">Sens!$M$4612+Sens!$M$4613*Sens!$M$4615-Sens!$M$4614</f>
        <v>8.98759458197573</v>
      </c>
      <c r="N4616" s="38" t="n">
        <f aca="false">Q!$N$23</f>
        <v>2.511</v>
      </c>
      <c r="O4616" s="38" t="n">
        <f aca="false">Q!$O$23</f>
        <v>2.239</v>
      </c>
    </row>
    <row r="4617" customFormat="false" ht="17.15" hidden="false" customHeight="false" outlineLevel="0" collapsed="false">
      <c r="A4617" s="0" t="s">
        <v>742</v>
      </c>
      <c r="B4617" s="0" t="s">
        <v>86</v>
      </c>
      <c r="C4617" s="38" t="n">
        <f aca="false">Sens!$C$4557</f>
        <v>1.64417882953695</v>
      </c>
      <c r="D4617" s="38" t="n">
        <f aca="false">Sens!$D$4557</f>
        <v>5.39125073772939</v>
      </c>
      <c r="E4617" s="38" t="n">
        <f aca="false">Sens!$E$4557</f>
        <v>2.42691120599613</v>
      </c>
      <c r="F4617" s="38" t="n">
        <f aca="false">Sens!$F$4557</f>
        <v>7.52148563094346</v>
      </c>
      <c r="G4617" s="38" t="n">
        <f aca="false">Sens!$G$4557</f>
        <v>9.94839683693959</v>
      </c>
      <c r="H4617" s="38" t="n">
        <f aca="false">Sens!$H$4557</f>
        <v>23.4804386990861</v>
      </c>
      <c r="I4617" s="38" t="n">
        <f aca="false">Sens!$I$4557</f>
        <v>30.9761745989143</v>
      </c>
      <c r="J4617" s="38" t="n">
        <f aca="false">Sens!$J$4557</f>
        <v>41.1930070746977</v>
      </c>
      <c r="K4617" s="38" t="n">
        <f aca="false">Sens!$K$4557</f>
        <v>45.9779211159428</v>
      </c>
      <c r="L4617" s="38" t="n">
        <f aca="false">Sens!$L$4557</f>
        <v>48.0352490919424</v>
      </c>
      <c r="M4617" s="38" t="n">
        <f aca="false">Sens!$M$4557</f>
        <v>47.4082976573265</v>
      </c>
      <c r="N4617" s="38" t="n">
        <f aca="false">Sens!$N$4557</f>
        <v>1.67921600037079</v>
      </c>
      <c r="O4617" s="38" t="n">
        <f aca="false">Sens!$O$4557</f>
        <v>3.71203473735861</v>
      </c>
    </row>
    <row r="4618" customFormat="false" ht="17.15" hidden="false" customHeight="false" outlineLevel="0" collapsed="false">
      <c r="A4618" s="0" t="s">
        <v>660</v>
      </c>
      <c r="B4618" s="0" t="s">
        <v>86</v>
      </c>
      <c r="C4618" s="38" t="n">
        <f aca="false">Sens!$C$4562</f>
        <v>38.1898211704631</v>
      </c>
      <c r="D4618" s="38" t="n">
        <f aca="false">Sens!$D$4562</f>
        <v>40.2147492622706</v>
      </c>
      <c r="E4618" s="38" t="n">
        <f aca="false">Sens!$E$4562</f>
        <v>28.3550887940039</v>
      </c>
      <c r="F4618" s="38" t="n">
        <f aca="false">Sens!$F$4562</f>
        <v>25.9529793149447</v>
      </c>
      <c r="G4618" s="38" t="n">
        <f aca="false">Sens!$G$4562</f>
        <v>54.3080681089486</v>
      </c>
      <c r="H4618" s="38" t="n">
        <f aca="false">Sens!$H$4562</f>
        <v>58.2264684589333</v>
      </c>
      <c r="I4618" s="38" t="n">
        <f aca="false">Sens!$I$4562</f>
        <v>64.6461353851744</v>
      </c>
      <c r="J4618" s="38" t="n">
        <f aca="false">Sens!$J$4562</f>
        <v>70.7957093610231</v>
      </c>
      <c r="K4618" s="38" t="n">
        <f aca="false">Sens!$K$4562</f>
        <v>76.4593661099049</v>
      </c>
      <c r="L4618" s="38" t="n">
        <f aca="false">Sens!$L$4562</f>
        <v>82.5761153986973</v>
      </c>
      <c r="M4618" s="38" t="n">
        <f aca="false">Sens!$M$4562</f>
        <v>89.1822046305931</v>
      </c>
      <c r="N4618" s="38" t="n">
        <f aca="false">Sens!$N$4562</f>
        <v>20.0277839996292</v>
      </c>
      <c r="O4618" s="38" t="n">
        <f aca="false">Sens!$O$4562</f>
        <v>20.1869652626414</v>
      </c>
    </row>
    <row r="4619" customFormat="false" ht="17.15" hidden="false" customHeight="false" outlineLevel="0" collapsed="false">
      <c r="A4619" s="1" t="s">
        <v>743</v>
      </c>
      <c r="B4619" s="8" t="s">
        <v>86</v>
      </c>
      <c r="C4619" s="38" t="n">
        <f aca="false">Q!$D$24</f>
        <v>39.834</v>
      </c>
      <c r="D4619" s="38" t="n">
        <f aca="false">Q!$E$24</f>
        <v>45.606</v>
      </c>
      <c r="E4619" s="38" t="n">
        <f aca="false">Q!$P$24</f>
        <v>30.782</v>
      </c>
      <c r="F4619" s="38" t="n">
        <f aca="false">Sens!$F$4617+Sens!$F$4618</f>
        <v>33.4744649458882</v>
      </c>
      <c r="G4619" s="38" t="n">
        <f aca="false">Sens!$G$4617+Sens!$G$4618</f>
        <v>64.2564649458882</v>
      </c>
      <c r="H4619" s="38" t="n">
        <f aca="false">Sens!$H$4617+Sens!$H$4618</f>
        <v>81.7069071580194</v>
      </c>
      <c r="I4619" s="38" t="n">
        <f aca="false">Sens!$I$4617+Sens!$I$4618</f>
        <v>95.6223099840887</v>
      </c>
      <c r="J4619" s="38" t="n">
        <f aca="false">Sens!$J$4617+Sens!$J$4618</f>
        <v>111.988716435721</v>
      </c>
      <c r="K4619" s="38" t="n">
        <f aca="false">Sens!$K$4617+Sens!$K$4618</f>
        <v>122.437287225848</v>
      </c>
      <c r="L4619" s="38" t="n">
        <f aca="false">Sens!$L$4617+Sens!$L$4618</f>
        <v>130.61136449064</v>
      </c>
      <c r="M4619" s="38" t="n">
        <f aca="false">Sens!$M$4617+Sens!$M$4618</f>
        <v>136.59050228792</v>
      </c>
      <c r="N4619" s="38" t="n">
        <f aca="false">Q!$N$24</f>
        <v>21.707</v>
      </c>
      <c r="O4619" s="38" t="n">
        <f aca="false">Q!$O$24</f>
        <v>23.899</v>
      </c>
    </row>
    <row r="4620" customFormat="false" ht="17.15" hidden="false" customHeight="false" outlineLevel="0" collapsed="false">
      <c r="A4620" s="5" t="s">
        <v>744</v>
      </c>
      <c r="B4620" s="0" t="s">
        <v>86</v>
      </c>
      <c r="C4620" s="38" t="n">
        <f aca="false">Q!$D$26</f>
        <v>0</v>
      </c>
      <c r="D4620" s="38" t="n">
        <f aca="false">Q!$E$26</f>
        <v>0</v>
      </c>
      <c r="E4620" s="38" t="n">
        <f aca="false">Q!$P$26</f>
        <v>0</v>
      </c>
      <c r="F4620" s="39" t="n">
        <v>0</v>
      </c>
      <c r="G4620" s="38" t="n">
        <f aca="false">Sens!$E$4620+Sens!$F$4620</f>
        <v>0</v>
      </c>
      <c r="H4620" s="39" t="n">
        <v>0</v>
      </c>
      <c r="I4620" s="39" t="n">
        <v>0</v>
      </c>
      <c r="J4620" s="39" t="n">
        <v>0</v>
      </c>
      <c r="K4620" s="39" t="n">
        <v>0</v>
      </c>
      <c r="L4620" s="39" t="n">
        <v>0</v>
      </c>
      <c r="M4620" s="39" t="n">
        <v>0</v>
      </c>
      <c r="N4620" s="38" t="n">
        <f aca="false">Q!$N$26</f>
        <v>0</v>
      </c>
      <c r="O4620" s="38" t="n">
        <f aca="false">Q!$O$26</f>
        <v>0</v>
      </c>
    </row>
    <row r="4621" customFormat="false" ht="15" hidden="false" customHeight="false" outlineLevel="0" collapsed="false">
      <c r="A4621" s="3" t="s">
        <v>541</v>
      </c>
      <c r="B4621" s="8" t="s">
        <v>86</v>
      </c>
      <c r="C4621" s="38" t="n">
        <f aca="false">Q!$D$25</f>
        <v>68.593</v>
      </c>
      <c r="D4621" s="38" t="n">
        <f aca="false">Q!$E$25</f>
        <v>79.975</v>
      </c>
      <c r="E4621" s="38" t="n">
        <f aca="false">Q!$P$25</f>
        <v>51.313</v>
      </c>
      <c r="F4621" s="38" t="n">
        <f aca="false">Sens!$F$4611+Sens!$F$4616+Sens!$F$4619+Sens!$F$4620</f>
        <v>56.3652566987294</v>
      </c>
      <c r="G4621" s="38" t="n">
        <f aca="false">Sens!$G$4611+Sens!$G$4616+Sens!$G$4619+Sens!$G$4620</f>
        <v>107.678256698729</v>
      </c>
      <c r="H4621" s="38" t="n">
        <f aca="false">Sens!$H$4611+Sens!$H$4616+Sens!$H$4619+Sens!$H$4620</f>
        <v>129.827491452745</v>
      </c>
      <c r="I4621" s="38" t="n">
        <f aca="false">Sens!$I$4611+Sens!$I$4616+Sens!$I$4619+Sens!$I$4620</f>
        <v>146.463449505484</v>
      </c>
      <c r="J4621" s="38" t="n">
        <f aca="false">Sens!$J$4611+Sens!$J$4616+Sens!$J$4619+Sens!$J$4620</f>
        <v>166.466201071973</v>
      </c>
      <c r="K4621" s="38" t="n">
        <f aca="false">Sens!$K$4611+Sens!$K$4616+Sens!$K$4619+Sens!$K$4620</f>
        <v>180.489153661983</v>
      </c>
      <c r="L4621" s="38" t="n">
        <f aca="false">Sens!$L$4611+Sens!$L$4616+Sens!$L$4619+Sens!$L$4620</f>
        <v>194.237591460705</v>
      </c>
      <c r="M4621" s="38" t="n">
        <f aca="false">Sens!$M$4611+Sens!$M$4616+Sens!$M$4619+Sens!$M$4620</f>
        <v>209.52258992745</v>
      </c>
      <c r="N4621" s="38" t="n">
        <f aca="false">Q!$N$25</f>
        <v>37.576</v>
      </c>
      <c r="O4621" s="38" t="n">
        <f aca="false">Q!$O$25</f>
        <v>42.399</v>
      </c>
    </row>
    <row r="4622" customFormat="false" ht="17.15" hidden="false" customHeight="false" outlineLevel="0" collapsed="false">
      <c r="A4622" s="24" t="s">
        <v>775</v>
      </c>
      <c r="B4622" s="25" t="s">
        <v>86</v>
      </c>
      <c r="C4622" s="41" t="n">
        <f aca="false">Sens!$C$4611+Sens!$C$4616+Sens!$C$4619+Sens!$C$4620-Sens!$C$4621</f>
        <v>0</v>
      </c>
      <c r="D4622" s="41" t="n">
        <f aca="false">Sens!$D$4611+Sens!$D$4616+Sens!$D$4619+Sens!$D$4620-Sens!$D$4621</f>
        <v>0</v>
      </c>
      <c r="E4622" s="41" t="n">
        <f aca="false">Sens!$E$4611+Sens!$E$4616+Sens!$E$4619+Sens!$E$4620-Sens!$E$4621</f>
        <v>0</v>
      </c>
      <c r="F4622" s="41" t="n">
        <f aca="false">Sens!$F$4611+Sens!$F$4616+Sens!$F$4619+Sens!$F$4620-Sens!$F$4621</f>
        <v>0</v>
      </c>
      <c r="G4622" s="41" t="n">
        <f aca="false">Sens!$G$4611+Sens!$G$4616+Sens!$G$4619+Sens!$G$4620-Sens!$G$4621</f>
        <v>0</v>
      </c>
      <c r="H4622" s="41" t="n">
        <f aca="false">Sens!$H$4611+Sens!$H$4616+Sens!$H$4619+Sens!$H$4620-Sens!$H$4621</f>
        <v>0</v>
      </c>
      <c r="I4622" s="41" t="n">
        <f aca="false">Sens!$I$4611+Sens!$I$4616+Sens!$I$4619+Sens!$I$4620-Sens!$I$4621</f>
        <v>0</v>
      </c>
      <c r="J4622" s="41" t="n">
        <f aca="false">Sens!$J$4611+Sens!$J$4616+Sens!$J$4619+Sens!$J$4620-Sens!$J$4621</f>
        <v>0</v>
      </c>
      <c r="K4622" s="41" t="n">
        <f aca="false">Sens!$K$4611+Sens!$K$4616+Sens!$K$4619+Sens!$K$4620-Sens!$K$4621</f>
        <v>0</v>
      </c>
      <c r="L4622" s="41" t="n">
        <f aca="false">Sens!$L$4611+Sens!$L$4616+Sens!$L$4619+Sens!$L$4620-Sens!$L$4621</f>
        <v>0</v>
      </c>
      <c r="M4622" s="41" t="n">
        <f aca="false">Sens!$M$4611+Sens!$M$4616+Sens!$M$4619+Sens!$M$4620-Sens!$M$4621</f>
        <v>0</v>
      </c>
      <c r="N4622" s="41" t="n">
        <f aca="false">Sens!$N$4611+Sens!$N$4616+Sens!$N$4619+Sens!$N$4620-Sens!$N$4621</f>
        <v>0</v>
      </c>
      <c r="O4622" s="41" t="n">
        <f aca="false">Sens!$O$4611+Sens!$O$4616+Sens!$O$4619+Sens!$O$4620-Sens!$O$4621</f>
        <v>0</v>
      </c>
    </row>
    <row r="4623" customFormat="false" ht="17.15" hidden="false" customHeight="false" outlineLevel="0" collapsed="false">
      <c r="A4623" s="5" t="s">
        <v>746</v>
      </c>
      <c r="B4623" s="0" t="s">
        <v>86</v>
      </c>
      <c r="C4623" s="38" t="n">
        <f aca="false">Sens!$C$4559</f>
        <v>0</v>
      </c>
      <c r="D4623" s="38" t="n">
        <f aca="false">Sens!$D$4559</f>
        <v>0</v>
      </c>
      <c r="E4623" s="38" t="n">
        <f aca="false">Sens!$E$4559</f>
        <v>0</v>
      </c>
      <c r="F4623" s="38" t="n">
        <f aca="false">Sens!$F$4559</f>
        <v>3.77122048175818</v>
      </c>
      <c r="G4623" s="38" t="n">
        <f aca="false">Sens!$G$4559</f>
        <v>3.77122048175818</v>
      </c>
      <c r="H4623" s="38" t="n">
        <f aca="false">Sens!$H$4559</f>
        <v>15.1635543609893</v>
      </c>
      <c r="I4623" s="38" t="n">
        <f aca="false">Sens!$I$4559</f>
        <v>25.5818843619889</v>
      </c>
      <c r="J4623" s="38" t="n">
        <f aca="false">Sens!$J$4559</f>
        <v>36.0465624179122</v>
      </c>
      <c r="K4623" s="38" t="n">
        <f aca="false">Sens!$K$4559</f>
        <v>44.9741164026038</v>
      </c>
      <c r="L4623" s="38" t="n">
        <f aca="false">Sens!$L$4559</f>
        <v>50.8413488057813</v>
      </c>
      <c r="M4623" s="38" t="n">
        <f aca="false">Sens!$M$4559</f>
        <v>53.6407214274315</v>
      </c>
      <c r="N4623" s="38" t="n">
        <f aca="false">Sens!$N$4559</f>
        <v>0</v>
      </c>
      <c r="O4623" s="38" t="n">
        <f aca="false">Sens!$O$4559</f>
        <v>0</v>
      </c>
      <c r="P4623" s="5" t="s">
        <v>747</v>
      </c>
    </row>
    <row r="4624" customFormat="false" ht="17.15" hidden="false" customHeight="false" outlineLevel="0" collapsed="false">
      <c r="A4624" s="5" t="s">
        <v>748</v>
      </c>
      <c r="B4624" s="0" t="s">
        <v>86</v>
      </c>
      <c r="C4624" s="38" t="n">
        <f aca="false">Sens!$C$4621+Sens!$C$4623</f>
        <v>68.593</v>
      </c>
      <c r="D4624" s="38" t="n">
        <f aca="false">Sens!$D$4621+Sens!$D$4623</f>
        <v>79.975</v>
      </c>
      <c r="E4624" s="38" t="n">
        <f aca="false">Sens!$E$4621+Sens!$E$4623</f>
        <v>51.313</v>
      </c>
      <c r="F4624" s="38" t="n">
        <f aca="false">Sens!$F$4621+Sens!$F$4623</f>
        <v>60.1364771804876</v>
      </c>
      <c r="G4624" s="38" t="n">
        <f aca="false">Sens!$G$4621+Sens!$G$4623</f>
        <v>111.449477180488</v>
      </c>
      <c r="H4624" s="38" t="n">
        <f aca="false">Sens!$H$4621+Sens!$H$4623</f>
        <v>144.991045813735</v>
      </c>
      <c r="I4624" s="38" t="n">
        <f aca="false">Sens!$I$4621+Sens!$I$4623</f>
        <v>172.045333867473</v>
      </c>
      <c r="J4624" s="38" t="n">
        <f aca="false">Sens!$J$4621+Sens!$J$4623</f>
        <v>202.512763489885</v>
      </c>
      <c r="K4624" s="38" t="n">
        <f aca="false">Sens!$K$4621+Sens!$K$4623</f>
        <v>225.463270064587</v>
      </c>
      <c r="L4624" s="38" t="n">
        <f aca="false">Sens!$L$4621+Sens!$L$4623</f>
        <v>245.078940266486</v>
      </c>
      <c r="M4624" s="38" t="n">
        <f aca="false">Sens!$M$4621+Sens!$M$4623</f>
        <v>263.163311354882</v>
      </c>
      <c r="N4624" s="38" t="n">
        <f aca="false">Sens!$N$4621+Sens!$N$4623</f>
        <v>37.576</v>
      </c>
      <c r="O4624" s="38" t="n">
        <f aca="false">Sens!$O$4621+Sens!$O$4623</f>
        <v>42.399</v>
      </c>
    </row>
    <row r="4625" customFormat="false" ht="17.15" hidden="false" customHeight="false" outlineLevel="0" collapsed="false">
      <c r="A4625" s="0" t="s">
        <v>749</v>
      </c>
      <c r="B4625" s="0" t="s">
        <v>52</v>
      </c>
      <c r="C4625" s="13" t="n">
        <f aca="false">Sens!$C$4611/Sens!$C$4596</f>
        <v>0.0644314665661928</v>
      </c>
      <c r="D4625" s="13" t="n">
        <f aca="false">Sens!$D$4611/Sens!$D$4596</f>
        <v>0.0694784250712518</v>
      </c>
      <c r="E4625" s="13" t="n">
        <f aca="false">Sens!$E$4611/Sens!$E$4596</f>
        <v>0.0789306463326071</v>
      </c>
      <c r="F4625" s="13" t="n">
        <f aca="false">Sens!$F$4611/Sens!$F$4596</f>
        <v>0.0802526339438384</v>
      </c>
      <c r="G4625" s="13" t="n">
        <f aca="false">Sens!$G$4611/Sens!$G$4596</f>
        <v>0.0796341940538369</v>
      </c>
      <c r="H4625" s="13" t="n">
        <f aca="false">Sens!$H$4611/Sens!$H$4596</f>
        <v>0.0801887694848513</v>
      </c>
      <c r="I4625" s="13" t="n">
        <f aca="false">Sens!$I$4611/Sens!$I$4596</f>
        <v>0.0783412014458212</v>
      </c>
      <c r="J4625" s="13" t="n">
        <f aca="false">Sens!$J$4611/Sens!$J$4596</f>
        <v>0.0781958810011652</v>
      </c>
      <c r="K4625" s="13" t="n">
        <f aca="false">Sens!$K$4611/Sens!$K$4596</f>
        <v>0.0784842382565135</v>
      </c>
      <c r="L4625" s="13" t="n">
        <f aca="false">Sens!$L$4611/Sens!$L$4596</f>
        <v>0.0798252757687885</v>
      </c>
      <c r="M4625" s="13" t="n">
        <f aca="false">Sens!$M$4611/Sens!$M$4596</f>
        <v>0.0841901523983149</v>
      </c>
      <c r="N4625" s="13" t="n">
        <f aca="false">Sens!$N$4611/Sens!$N$4596</f>
        <v>0.069228576611127</v>
      </c>
      <c r="O4625" s="13" t="n">
        <f aca="false">Sens!$O$4611/Sens!$O$4596</f>
        <v>0.069685022498393</v>
      </c>
    </row>
    <row r="4626" customFormat="false" ht="17.15" hidden="false" customHeight="false" outlineLevel="0" collapsed="false">
      <c r="A4626" s="0" t="s">
        <v>750</v>
      </c>
      <c r="B4626" s="0" t="s">
        <v>52</v>
      </c>
      <c r="C4626" s="13" t="n">
        <f aca="false">Sens!$C$4616/Sens!$C$4597</f>
        <v>0.026534925055631</v>
      </c>
      <c r="D4626" s="13" t="n">
        <f aca="false">Sens!$D$4616/Sens!$D$4597</f>
        <v>0.0293401855535103</v>
      </c>
      <c r="E4626" s="13" t="n">
        <f aca="false">Sens!$E$4616/Sens!$E$4597</f>
        <v>0.03831141902276</v>
      </c>
      <c r="F4626" s="13" t="n">
        <f aca="false">Sens!$F$4616/Sens!$F$4597</f>
        <v>0.0282118989524726</v>
      </c>
      <c r="G4626" s="13" t="n">
        <f aca="false">Sens!$G$4616/Sens!$G$4597</f>
        <v>0.0328019468674976</v>
      </c>
      <c r="H4626" s="13" t="n">
        <f aca="false">Sens!$H$4616/Sens!$H$4597</f>
        <v>0.0313935035931594</v>
      </c>
      <c r="I4626" s="13" t="n">
        <f aca="false">Sens!$I$4616/Sens!$I$4597</f>
        <v>0.0276191188138844</v>
      </c>
      <c r="J4626" s="13" t="n">
        <f aca="false">Sens!$J$4616/Sens!$J$4597</f>
        <v>0.0255606416910177</v>
      </c>
      <c r="K4626" s="13" t="n">
        <f aca="false">Sens!$K$4616/Sens!$K$4597</f>
        <v>0.0239239071261581</v>
      </c>
      <c r="L4626" s="13" t="n">
        <f aca="false">Sens!$L$4616/Sens!$L$4597</f>
        <v>0.0258838760331328</v>
      </c>
      <c r="M4626" s="13" t="n">
        <f aca="false">Sens!$M$4616/Sens!$M$4597</f>
        <v>0.0308931518397412</v>
      </c>
      <c r="N4626" s="13" t="n">
        <f aca="false">Sens!$N$4616/Sens!$N$4597</f>
        <v>0.0357315650169337</v>
      </c>
      <c r="O4626" s="13" t="n">
        <f aca="false">Sens!$O$4616/Sens!$O$4597</f>
        <v>0.0244378956559703</v>
      </c>
    </row>
    <row r="4627" customFormat="false" ht="17.15" hidden="false" customHeight="false" outlineLevel="0" collapsed="false">
      <c r="A4627" s="14" t="s">
        <v>751</v>
      </c>
      <c r="B4627" s="14" t="s">
        <v>52</v>
      </c>
      <c r="C4627" s="17" t="n">
        <f aca="false">Sens!$C$4619/Sens!$C$4598</f>
        <v>0.370355907620217</v>
      </c>
      <c r="D4627" s="17" t="n">
        <f aca="false">Sens!$D$4619/Sens!$D$4598</f>
        <v>0.35429015342785</v>
      </c>
      <c r="E4627" s="17" t="n">
        <f aca="false">Sens!$E$4619/Sens!$E$4598</f>
        <v>0.385647527531039</v>
      </c>
      <c r="F4627" s="17" t="n">
        <f aca="false">Sens!$F$4619/Sens!$F$4598</f>
        <v>0.385949613469105</v>
      </c>
      <c r="G4627" s="17" t="n">
        <f aca="false">Sens!$G$4619/Sens!$G$4598</f>
        <v>0.385804840448779</v>
      </c>
      <c r="H4627" s="17" t="n">
        <f aca="false">Sens!$H$4619/Sens!$H$4598</f>
        <v>0.369408675360557</v>
      </c>
      <c r="I4627" s="17" t="n">
        <f aca="false">Sens!$I$4619/Sens!$I$4598</f>
        <v>0.34117504540738</v>
      </c>
      <c r="J4627" s="17" t="n">
        <f aca="false">Sens!$J$4619/Sens!$J$4598</f>
        <v>0.330544285732563</v>
      </c>
      <c r="K4627" s="17" t="n">
        <f aca="false">Sens!$K$4619/Sens!$K$4598</f>
        <v>0.314033796990635</v>
      </c>
      <c r="L4627" s="17" t="n">
        <f aca="false">Sens!$L$4619/Sens!$L$4598</f>
        <v>0.303690371867633</v>
      </c>
      <c r="M4627" s="17" t="n">
        <f aca="false">Sens!$M$4619/Sens!$M$4598</f>
        <v>0.297287296590884</v>
      </c>
      <c r="N4627" s="17" t="n">
        <f aca="false">Sens!$N$4619/Sens!$N$4598</f>
        <v>0.360941137346192</v>
      </c>
      <c r="O4627" s="17" t="n">
        <f aca="false">Sens!$O$4619/Sens!$O$4598</f>
        <v>0.348458117664212</v>
      </c>
    </row>
    <row r="4628" customFormat="false" ht="17.15" hidden="false" customHeight="false" outlineLevel="0" collapsed="false">
      <c r="A4628" s="0" t="s">
        <v>752</v>
      </c>
      <c r="B4628" s="0" t="s">
        <v>52</v>
      </c>
      <c r="C4628" s="13" t="n">
        <f aca="false">Sens!$C$4617/Sens!$C$4599</f>
        <v>0.708390794789371</v>
      </c>
      <c r="D4628" s="13" t="n">
        <f aca="false">Sens!$D$4617/Sens!$D$4599</f>
        <v>0.619415573115729</v>
      </c>
      <c r="E4628" s="13" t="n">
        <f aca="false">Sens!$E$4617/Sens!$E$4599</f>
        <v>0.285171627189009</v>
      </c>
      <c r="F4628" s="13" t="n">
        <f aca="false">Sens!$F$4617/Sens!$F$4599</f>
        <v>0.502657732812366</v>
      </c>
      <c r="G4628" s="13" t="n">
        <f aca="false">Sens!$G$4617/Sens!$G$4599</f>
        <v>0.423808778611812</v>
      </c>
      <c r="H4628" s="13" t="n">
        <f aca="false">Sens!$H$4617/Sens!$H$4599</f>
        <v>0.390261631739809</v>
      </c>
      <c r="I4628" s="13" t="n">
        <f aca="false">Sens!$I$4617/Sens!$I$4599</f>
        <v>0.305172864264572</v>
      </c>
      <c r="J4628" s="13" t="n">
        <f aca="false">Sens!$J$4617/Sens!$J$4599</f>
        <v>0.288011814789856</v>
      </c>
      <c r="K4628" s="13" t="n">
        <f aca="false">Sens!$K$4617/Sens!$K$4599</f>
        <v>0.25765427518774</v>
      </c>
      <c r="L4628" s="13" t="n">
        <f aca="false">Sens!$L$4617/Sens!$L$4599</f>
        <v>0.238118778012374</v>
      </c>
      <c r="M4628" s="13" t="n">
        <f aca="false">Sens!$M$4617/Sens!$M$4599</f>
        <v>0.222746255757109</v>
      </c>
      <c r="N4628" s="13" t="n">
        <f aca="false">Sens!$N$4617/Sens!$N$4599</f>
        <v>0.551227795793364</v>
      </c>
      <c r="O4628" s="13" t="n">
        <f aca="false">Sens!$O$4617/Sens!$O$4599</f>
        <v>0.656132068597002</v>
      </c>
    </row>
    <row r="4629" customFormat="false" ht="15" hidden="false" customHeight="false" outlineLevel="0" collapsed="false">
      <c r="A4629" s="5" t="s">
        <v>753</v>
      </c>
      <c r="B4629" s="0" t="s">
        <v>52</v>
      </c>
      <c r="C4629" s="13" t="n">
        <f aca="false">Sens!$C$4621/Sens!$C$4601</f>
        <v>0.107519448742004</v>
      </c>
      <c r="D4629" s="13" t="n">
        <f aca="false">Sens!$D$4621/Sens!$D$4601</f>
        <v>0.111552967957552</v>
      </c>
      <c r="E4629" s="13" t="n">
        <f aca="false">Sens!$E$4621/Sens!$E$4601</f>
        <v>0.13428328426562</v>
      </c>
      <c r="F4629" s="13" t="n">
        <f aca="false">Sens!$F$4621/Sens!$F$4601</f>
        <v>0.129343087287827</v>
      </c>
      <c r="G4629" s="13" t="n">
        <f aca="false">Sens!$G$4621/Sens!$G$4601</f>
        <v>0.131651143259596</v>
      </c>
      <c r="H4629" s="13" t="n">
        <f aca="false">Sens!$H$4621/Sens!$H$4601</f>
        <v>0.137688992273632</v>
      </c>
      <c r="I4629" s="13" t="n">
        <f aca="false">Sens!$I$4621/Sens!$I$4601</f>
        <v>0.136748944689438</v>
      </c>
      <c r="J4629" s="13" t="n">
        <f aca="false">Sens!$J$4621/Sens!$J$4601</f>
        <v>0.139288568146749</v>
      </c>
      <c r="K4629" s="13" t="n">
        <f aca="false">Sens!$K$4621/Sens!$K$4601</f>
        <v>0.138209298519111</v>
      </c>
      <c r="L4629" s="13" t="n">
        <f aca="false">Sens!$L$4621/Sens!$L$4601</f>
        <v>0.137692236008883</v>
      </c>
      <c r="M4629" s="13" t="n">
        <f aca="false">Sens!$M$4621/Sens!$M$4601</f>
        <v>0.138765321133522</v>
      </c>
      <c r="N4629" s="13" t="n">
        <f aca="false">Sens!$N$4621/Sens!$N$4601</f>
        <v>0.116201614873411</v>
      </c>
      <c r="O4629" s="13" t="n">
        <f aca="false">Sens!$O$4621/Sens!$O$4601</f>
        <v>0.107733353660861</v>
      </c>
    </row>
    <row r="4630" customFormat="false" ht="17.15" hidden="false" customHeight="false" outlineLevel="0" collapsed="false">
      <c r="A4630" s="1" t="s">
        <v>754</v>
      </c>
    </row>
    <row r="4631" customFormat="false" ht="17.15" hidden="false" customHeight="false" outlineLevel="0" collapsed="false">
      <c r="A4631" s="5" t="s">
        <v>755</v>
      </c>
      <c r="B4631" s="0" t="s">
        <v>52</v>
      </c>
      <c r="D4631" s="28" t="n">
        <f aca="false">(Q!$E$29+Q!$E$30-(1-ext_sh)*Sens!$D$4553)/Sens!$D$4504</f>
        <v>0.0341105596409988</v>
      </c>
    </row>
    <row r="4632" customFormat="false" ht="17.15" hidden="false" customHeight="false" outlineLevel="0" collapsed="false">
      <c r="A4632" s="0" t="s">
        <v>545</v>
      </c>
      <c r="B4632" s="0" t="s">
        <v>86</v>
      </c>
      <c r="C4632" s="38" t="n">
        <f aca="false">Q!$D$29</f>
        <v>14.285</v>
      </c>
      <c r="D4632" s="38" t="n">
        <f aca="false">Q!$E$29</f>
        <v>15.503</v>
      </c>
      <c r="E4632" s="38" t="n">
        <f aca="false">Q!$P$29</f>
        <v>8.78</v>
      </c>
      <c r="F4632" s="38" t="n">
        <f aca="false">(Sens!$D$4631*Sens!$F$4504+(1-ext_sh)*Sens!$F$4553)*Sens!$F$4505</f>
        <v>9.30317620449232</v>
      </c>
      <c r="G4632" s="38" t="n">
        <f aca="false">Sens!$E$4632+Sens!$F$4632</f>
        <v>18.0831762044923</v>
      </c>
      <c r="H4632" s="38" t="n">
        <f aca="false">(Sens!$D$4631*Sens!$H$4504+(1-ext_sh)*Sens!$H$4553)*Sens!$H$4505</f>
        <v>22.1451162887077</v>
      </c>
      <c r="I4632" s="38" t="n">
        <f aca="false">(Sens!$D$4631*Sens!$I$4504+(1-ext_sh)*Sens!$I$4553)*Sens!$I$4505</f>
        <v>28.464846739136</v>
      </c>
      <c r="J4632" s="38" t="n">
        <f aca="false">(Sens!$D$4631*Sens!$J$4504+(1-ext_sh)*Sens!$J$4553)*Sens!$J$4505</f>
        <v>34.2370112544428</v>
      </c>
      <c r="K4632" s="38" t="n">
        <f aca="false">(Sens!$D$4631*Sens!$K$4504+(1-ext_sh)*Sens!$K$4553)*Sens!$K$4505</f>
        <v>39.9648253424632</v>
      </c>
      <c r="L4632" s="38" t="n">
        <f aca="false">(Sens!$D$4631*Sens!$L$4504+(1-ext_sh)*Sens!$L$4553)*Sens!$L$4505</f>
        <v>44.5500911095669</v>
      </c>
      <c r="M4632" s="38" t="n">
        <f aca="false">(Sens!$D$4631*Sens!$M$4504+(1-ext_sh)*Sens!$M$4553)*Sens!$M$4505</f>
        <v>47.9913498674778</v>
      </c>
      <c r="N4632" s="38" t="n">
        <f aca="false">Q!$N$29</f>
        <v>7.272</v>
      </c>
      <c r="O4632" s="38" t="n">
        <f aca="false">Q!$O$29</f>
        <v>8.231</v>
      </c>
    </row>
    <row r="4633" customFormat="false" ht="17.15" hidden="false" customHeight="false" outlineLevel="0" collapsed="false">
      <c r="A4633" s="0" t="s">
        <v>547</v>
      </c>
      <c r="B4633" s="0" t="s">
        <v>86</v>
      </c>
      <c r="C4633" s="38" t="n">
        <f aca="false">Q!$D$30</f>
        <v>4.462</v>
      </c>
      <c r="D4633" s="38" t="n">
        <f aca="false">Q!$E$30</f>
        <v>4.907</v>
      </c>
      <c r="E4633" s="38" t="n">
        <f aca="false">Q!$P$30</f>
        <v>2.57</v>
      </c>
      <c r="F4633" s="38" t="n">
        <f aca="false">(Sens!$D$4631*Sens!$F$4504+(1-ext_sh)*Sens!$F$4553)*(1-Sens!$F$4505)</f>
        <v>3.6526976809753</v>
      </c>
      <c r="G4633" s="38" t="n">
        <f aca="false">Sens!$E$4633+Sens!$F$4633</f>
        <v>6.2226976809753</v>
      </c>
      <c r="H4633" s="38" t="n">
        <f aca="false">(Sens!$D$4631*Sens!$H$4504+(1-ext_sh)*Sens!$H$4553)*(1-Sens!$H$4505)</f>
        <v>8.48237301846142</v>
      </c>
      <c r="I4633" s="38" t="n">
        <f aca="false">(Sens!$D$4631*Sens!$I$4504+(1-ext_sh)*Sens!$I$4553)*(1-Sens!$I$4505)</f>
        <v>10.9030562227306</v>
      </c>
      <c r="J4633" s="38" t="n">
        <f aca="false">(Sens!$D$4631*Sens!$J$4504+(1-ext_sh)*Sens!$J$4553)*(1-Sens!$J$4505)</f>
        <v>13.1140020540571</v>
      </c>
      <c r="K4633" s="38" t="n">
        <f aca="false">(Sens!$D$4631*Sens!$K$4504+(1-ext_sh)*Sens!$K$4553)*(1-Sens!$K$4505)</f>
        <v>15.3079600826163</v>
      </c>
      <c r="L4633" s="38" t="n">
        <f aca="false">(Sens!$D$4631*Sens!$L$4504+(1-ext_sh)*Sens!$L$4553)*(1-Sens!$L$4505)</f>
        <v>17.0642811657071</v>
      </c>
      <c r="M4633" s="38" t="n">
        <f aca="false">(Sens!$D$4631*Sens!$M$4504+(1-ext_sh)*Sens!$M$4553)*(1-Sens!$M$4505)</f>
        <v>18.3824065734536</v>
      </c>
      <c r="N4633" s="38" t="n">
        <f aca="false">Q!$N$30</f>
        <v>2.316</v>
      </c>
      <c r="O4633" s="38" t="n">
        <f aca="false">Q!$O$30</f>
        <v>2.591</v>
      </c>
    </row>
    <row r="4634" customFormat="false" ht="17.15" hidden="false" customHeight="false" outlineLevel="0" collapsed="false">
      <c r="A4634" s="0" t="s">
        <v>548</v>
      </c>
      <c r="B4634" s="0" t="s">
        <v>86</v>
      </c>
      <c r="C4634" s="38" t="n">
        <f aca="false">Sens!$C$4565</f>
        <v>13.32</v>
      </c>
      <c r="D4634" s="38" t="n">
        <f aca="false">Sens!$D$4565</f>
        <v>21.45</v>
      </c>
      <c r="E4634" s="38" t="n">
        <f aca="false">Sens!$E$4565</f>
        <v>15.353</v>
      </c>
      <c r="F4634" s="38" t="n">
        <f aca="false">Sens!$F$4565</f>
        <v>16.1969869840094</v>
      </c>
      <c r="G4634" s="38" t="n">
        <f aca="false">Sens!$G$4565</f>
        <v>31.5499869840094</v>
      </c>
      <c r="H4634" s="38" t="n">
        <f aca="false">Sens!$H$4565</f>
        <v>50.9556213609176</v>
      </c>
      <c r="I4634" s="38" t="n">
        <f aca="false">Sens!$I$4565</f>
        <v>79.464581248252</v>
      </c>
      <c r="J4634" s="38" t="n">
        <f aca="false">Sens!$J$4565</f>
        <v>105.296127931746</v>
      </c>
      <c r="K4634" s="38" t="n">
        <f aca="false">Sens!$K$4565</f>
        <v>131.454694001511</v>
      </c>
      <c r="L4634" s="38" t="n">
        <f aca="false">Sens!$L$4565</f>
        <v>150.840456981405</v>
      </c>
      <c r="M4634" s="38" t="n">
        <f aca="false">Sens!$M$4565</f>
        <v>163.399454192999</v>
      </c>
      <c r="N4634" s="38" t="n">
        <f aca="false">Sens!$N$4565</f>
        <v>9.234</v>
      </c>
      <c r="O4634" s="38" t="n">
        <f aca="false">Sens!$O$4565</f>
        <v>12.216</v>
      </c>
    </row>
    <row r="4635" customFormat="false" ht="17.15" hidden="false" customHeight="false" outlineLevel="0" collapsed="false">
      <c r="A4635" s="5" t="s">
        <v>756</v>
      </c>
      <c r="B4635" s="0" t="s">
        <v>86</v>
      </c>
      <c r="C4635" s="38" t="n">
        <f aca="false">Sens!$C$4632+Sens!$C$4633+Sens!$C$4634</f>
        <v>32.067</v>
      </c>
      <c r="D4635" s="38" t="n">
        <f aca="false">Sens!$D$4632+Sens!$D$4633+Sens!$D$4634</f>
        <v>41.86</v>
      </c>
      <c r="E4635" s="38" t="n">
        <f aca="false">Sens!$E$4632+Sens!$E$4633+Sens!$E$4634</f>
        <v>26.703</v>
      </c>
      <c r="F4635" s="38" t="n">
        <f aca="false">Sens!$F$4632+Sens!$F$4633+Sens!$F$4634</f>
        <v>29.152860869477</v>
      </c>
      <c r="G4635" s="38" t="n">
        <f aca="false">Sens!$G$4632+Sens!$G$4633+Sens!$G$4634</f>
        <v>55.855860869477</v>
      </c>
      <c r="H4635" s="38" t="n">
        <f aca="false">Sens!$H$4632+Sens!$H$4633+Sens!$H$4634</f>
        <v>81.5831106680867</v>
      </c>
      <c r="I4635" s="38" t="n">
        <f aca="false">Sens!$I$4632+Sens!$I$4633+Sens!$I$4634</f>
        <v>118.832484210119</v>
      </c>
      <c r="J4635" s="38" t="n">
        <f aca="false">Sens!$J$4632+Sens!$J$4633+Sens!$J$4634</f>
        <v>152.647141240246</v>
      </c>
      <c r="K4635" s="38" t="n">
        <f aca="false">Sens!$K$4632+Sens!$K$4633+Sens!$K$4634</f>
        <v>186.727479426591</v>
      </c>
      <c r="L4635" s="38" t="n">
        <f aca="false">Sens!$L$4632+Sens!$L$4633+Sens!$L$4634</f>
        <v>212.454829256679</v>
      </c>
      <c r="M4635" s="38" t="n">
        <f aca="false">Sens!$M$4632+Sens!$M$4633+Sens!$M$4634</f>
        <v>229.77321063393</v>
      </c>
      <c r="N4635" s="38" t="n">
        <f aca="false">Sens!$N$4632+Sens!$N$4633+Sens!$N$4634</f>
        <v>18.822</v>
      </c>
      <c r="O4635" s="38" t="n">
        <f aca="false">Sens!$O$4632+Sens!$O$4633+Sens!$O$4634</f>
        <v>23.038</v>
      </c>
    </row>
    <row r="4636" customFormat="false" ht="17.15" hidden="false" customHeight="false" outlineLevel="0" collapsed="false">
      <c r="A4636" s="0" t="s">
        <v>757</v>
      </c>
      <c r="B4636" s="0" t="s">
        <v>86</v>
      </c>
      <c r="C4636" s="38" t="n">
        <f aca="false">Sens!$C$4607+Sens!$C$4612</f>
        <v>28.107</v>
      </c>
      <c r="D4636" s="38" t="n">
        <f aca="false">Sens!$D$4607+Sens!$D$4612</f>
        <v>34.3175</v>
      </c>
      <c r="E4636" s="38" t="n">
        <f aca="false">Sens!$E$4607+Sens!$E$4612</f>
        <v>18.526</v>
      </c>
      <c r="F4636" s="38" t="n">
        <f aca="false">Sens!$F$4607+Sens!$F$4612</f>
        <v>23.0786109972074</v>
      </c>
      <c r="G4636" s="38" t="n">
        <f aca="false">Sens!$G$4607+Sens!$G$4612</f>
        <v>41.6046109972074</v>
      </c>
      <c r="H4636" s="38" t="n">
        <f aca="false">Sens!$H$4607+Sens!$H$4612</f>
        <v>50.2604957764278</v>
      </c>
      <c r="I4636" s="38" t="n">
        <f aca="false">Sens!$I$4607+Sens!$I$4612</f>
        <v>59.4096179706066</v>
      </c>
      <c r="J4636" s="38" t="n">
        <f aca="false">Sens!$J$4607+Sens!$J$4612</f>
        <v>68.678530173233</v>
      </c>
      <c r="K4636" s="38" t="n">
        <f aca="false">Sens!$K$4607+Sens!$K$4612</f>
        <v>77.6067390957533</v>
      </c>
      <c r="L4636" s="38" t="n">
        <f aca="false">Sens!$L$4607+Sens!$L$4612</f>
        <v>87.6956151782012</v>
      </c>
      <c r="M4636" s="38" t="n">
        <f aca="false">Sens!$M$4607+Sens!$M$4612</f>
        <v>99.0960451513673</v>
      </c>
      <c r="N4636" s="38" t="n">
        <f aca="false">Sens!$N$4607+Sens!$N$4612</f>
        <v>14.8075</v>
      </c>
      <c r="O4636" s="38" t="n">
        <f aca="false">Sens!$O$4607+Sens!$O$4612</f>
        <v>19.51</v>
      </c>
    </row>
    <row r="4637" customFormat="false" ht="17.15" hidden="false" customHeight="false" outlineLevel="0" collapsed="false">
      <c r="A4637" s="0" t="s">
        <v>758</v>
      </c>
      <c r="B4637" s="0" t="s">
        <v>86</v>
      </c>
      <c r="C4637" s="38" t="n">
        <f aca="false">Sens!$C$4611+Sens!$C$4616+Sens!$C$4632+Sens!$C$4633-Sens!$C$4636</f>
        <v>19.399</v>
      </c>
      <c r="D4637" s="38" t="n">
        <f aca="false">Sens!$D$4611+Sens!$D$4616+Sens!$D$4632+Sens!$D$4633-Sens!$D$4636</f>
        <v>20.4615</v>
      </c>
      <c r="E4637" s="38" t="n">
        <f aca="false">Sens!$E$4611+Sens!$E$4616+Sens!$E$4632+Sens!$E$4633-Sens!$E$4636</f>
        <v>13.355</v>
      </c>
      <c r="F4637" s="38" t="n">
        <f aca="false">Sens!$F$4611+Sens!$F$4616+Sens!$F$4632+Sens!$F$4633-Sens!$F$4636</f>
        <v>12.7680546411015</v>
      </c>
      <c r="G4637" s="38" t="n">
        <f aca="false">Sens!$G$4611+Sens!$G$4616+Sens!$G$4632+Sens!$G$4633-Sens!$G$4636</f>
        <v>26.1230546411015</v>
      </c>
      <c r="H4637" s="38" t="n">
        <f aca="false">Sens!$H$4611+Sens!$H$4616+Sens!$H$4632+Sens!$H$4633-Sens!$H$4636</f>
        <v>28.4875778254673</v>
      </c>
      <c r="I4637" s="38" t="n">
        <f aca="false">Sens!$I$4611+Sens!$I$4616+Sens!$I$4632+Sens!$I$4633-Sens!$I$4636</f>
        <v>30.7994245126553</v>
      </c>
      <c r="J4637" s="38" t="n">
        <f aca="false">Sens!$J$4611+Sens!$J$4616+Sens!$J$4632+Sens!$J$4633-Sens!$J$4636</f>
        <v>33.1499677715188</v>
      </c>
      <c r="K4637" s="38" t="n">
        <f aca="false">Sens!$K$4611+Sens!$K$4616+Sens!$K$4632+Sens!$K$4633-Sens!$K$4636</f>
        <v>35.7179127654613</v>
      </c>
      <c r="L4637" s="38" t="n">
        <f aca="false">Sens!$L$4611+Sens!$L$4616+Sens!$L$4632+Sens!$L$4633-Sens!$L$4636</f>
        <v>37.5449840671377</v>
      </c>
      <c r="M4637" s="38" t="n">
        <f aca="false">Sens!$M$4611+Sens!$M$4616+Sens!$M$4632+Sens!$M$4633-Sens!$M$4636</f>
        <v>40.2097989290947</v>
      </c>
      <c r="N4637" s="38" t="n">
        <f aca="false">Sens!$N$4611+Sens!$N$4616+Sens!$N$4632+Sens!$N$4633-Sens!$N$4636</f>
        <v>10.6495</v>
      </c>
      <c r="O4637" s="38" t="n">
        <f aca="false">Sens!$O$4611+Sens!$O$4616+Sens!$O$4632+Sens!$O$4633-Sens!$O$4636</f>
        <v>9.81200000000001</v>
      </c>
    </row>
    <row r="4638" customFormat="false" ht="17.15" hidden="false" customHeight="false" outlineLevel="0" collapsed="false">
      <c r="A4638" s="0" t="s">
        <v>759</v>
      </c>
      <c r="B4638" s="0" t="s">
        <v>86</v>
      </c>
      <c r="C4638" s="38" t="n">
        <f aca="false">Sens!$C$4618+Sens!$C$4634-ext_sh*Sens!$C$4553</f>
        <v>51.3470500115664</v>
      </c>
      <c r="D4638" s="38" t="n">
        <f aca="false">Sens!$D$4618+Sens!$D$4634-ext_sh*Sens!$D$4553</f>
        <v>60.2799375433739</v>
      </c>
      <c r="E4638" s="38" t="n">
        <f aca="false">Sens!$E$4618+Sens!$E$4634-ext_sh*Sens!$E$4553</f>
        <v>39.5095167090767</v>
      </c>
      <c r="F4638" s="38" t="n">
        <f aca="false">Sens!$F$4618+Sens!$F$4634-ext_sh*Sens!$F$4553</f>
        <v>37.951394214027</v>
      </c>
      <c r="G4638" s="38" t="n">
        <f aca="false">Sens!$G$4618+Sens!$G$4634-ext_sh*Sens!$G$4553</f>
        <v>77.4609109231037</v>
      </c>
      <c r="H4638" s="38" t="n">
        <f aca="false">Sens!$H$4618+Sens!$H$4634-ext_sh*Sens!$H$4553</f>
        <v>85.1453558128916</v>
      </c>
      <c r="I4638" s="38" t="n">
        <f aca="false">Sens!$I$4618+Sens!$I$4634-ext_sh*Sens!$I$4553</f>
        <v>94.532921967974</v>
      </c>
      <c r="J4638" s="38" t="n">
        <f aca="false">Sens!$J$4618+Sens!$J$4634-ext_sh*Sens!$J$4553</f>
        <v>103.525527532583</v>
      </c>
      <c r="K4638" s="38" t="n">
        <f aca="false">Sens!$K$4618+Sens!$K$4634-ext_sh*Sens!$K$4553</f>
        <v>111.80756973519</v>
      </c>
      <c r="L4638" s="38" t="n">
        <f aca="false">Sens!$L$4618+Sens!$L$4634-ext_sh*Sens!$L$4553</f>
        <v>120.752175314005</v>
      </c>
      <c r="M4638" s="38" t="n">
        <f aca="false">Sens!$M$4618+Sens!$M$4634-ext_sh*Sens!$M$4553</f>
        <v>130.412349339125</v>
      </c>
      <c r="N4638" s="38" t="n">
        <f aca="false">Sens!$N$4618+Sens!$N$4634-ext_sh*Sens!$N$4553</f>
        <v>28.5693781401809</v>
      </c>
      <c r="O4638" s="38" t="n">
        <f aca="false">Sens!$O$4618+Sens!$O$4634-ext_sh*Sens!$O$4553</f>
        <v>31.7105594031931</v>
      </c>
    </row>
    <row r="4639" customFormat="false" ht="17.15" hidden="false" customHeight="false" outlineLevel="0" collapsed="false">
      <c r="A4639" s="0" t="s">
        <v>760</v>
      </c>
      <c r="B4639" s="0" t="s">
        <v>86</v>
      </c>
      <c r="C4639" s="38" t="n">
        <f aca="false">Sens!$C$4556</f>
        <v>1.80694998843362</v>
      </c>
      <c r="D4639" s="38" t="n">
        <f aca="false">Sens!$D$4556</f>
        <v>6.77606245662607</v>
      </c>
      <c r="E4639" s="38" t="n">
        <f aca="false">Sens!$E$4556</f>
        <v>6.62548329092326</v>
      </c>
      <c r="F4639" s="38" t="n">
        <f aca="false">Sens!$F$4556</f>
        <v>11.7200577158706</v>
      </c>
      <c r="G4639" s="38" t="n">
        <f aca="false">Sens!$G$4556</f>
        <v>18.3455410067939</v>
      </c>
      <c r="H4639" s="38" t="n">
        <f aca="false">Sens!$H$4556</f>
        <v>47.5171727060453</v>
      </c>
      <c r="I4639" s="38" t="n">
        <f aca="false">Sens!$I$4556</f>
        <v>80.5539692643667</v>
      </c>
      <c r="J4639" s="38" t="n">
        <f aca="false">Sens!$J$4556</f>
        <v>113.759316834883</v>
      </c>
      <c r="K4639" s="38" t="n">
        <f aca="false">Sens!$K$4556</f>
        <v>142.084411492169</v>
      </c>
      <c r="L4639" s="38" t="n">
        <f aca="false">Sens!$L$4556</f>
        <v>160.69964615804</v>
      </c>
      <c r="M4639" s="38" t="n">
        <f aca="false">Sens!$M$4556</f>
        <v>169.577607141793</v>
      </c>
      <c r="N4639" s="38" t="n">
        <f aca="false">Sens!$N$4556</f>
        <v>2.37162185981912</v>
      </c>
      <c r="O4639" s="38" t="n">
        <f aca="false">Sens!$O$4556</f>
        <v>4.40444059680694</v>
      </c>
    </row>
    <row r="4640" customFormat="false" ht="17.15" hidden="false" customHeight="false" outlineLevel="0" collapsed="false">
      <c r="A4640" s="0" t="s">
        <v>761</v>
      </c>
      <c r="B4640" s="0" t="s">
        <v>86</v>
      </c>
      <c r="C4640" s="38" t="n">
        <f aca="false">Sens!$C$4621+Sens!$C$4635</f>
        <v>100.66</v>
      </c>
      <c r="D4640" s="38" t="n">
        <f aca="false">Sens!$D$4621+Sens!$D$4635</f>
        <v>121.835</v>
      </c>
      <c r="E4640" s="38" t="n">
        <f aca="false">Sens!$E$4621+Sens!$E$4635</f>
        <v>78.016</v>
      </c>
      <c r="F4640" s="38" t="n">
        <f aca="false">Sens!$F$4621+Sens!$F$4635</f>
        <v>85.5181175682064</v>
      </c>
      <c r="G4640" s="38" t="n">
        <f aca="false">Sens!$G$4621+Sens!$G$4635</f>
        <v>163.534117568206</v>
      </c>
      <c r="H4640" s="38" t="n">
        <f aca="false">Sens!$H$4621+Sens!$H$4635</f>
        <v>211.410602120832</v>
      </c>
      <c r="I4640" s="38" t="n">
        <f aca="false">Sens!$I$4621+Sens!$I$4635</f>
        <v>265.295933715603</v>
      </c>
      <c r="J4640" s="38" t="n">
        <f aca="false">Sens!$J$4621+Sens!$J$4635</f>
        <v>319.113342312218</v>
      </c>
      <c r="K4640" s="38" t="n">
        <f aca="false">Sens!$K$4621+Sens!$K$4635</f>
        <v>367.216633088574</v>
      </c>
      <c r="L4640" s="38" t="n">
        <f aca="false">Sens!$L$4621+Sens!$L$4635</f>
        <v>406.692420717384</v>
      </c>
      <c r="M4640" s="38" t="n">
        <f aca="false">Sens!$M$4621+Sens!$M$4635</f>
        <v>439.295800561381</v>
      </c>
      <c r="N4640" s="38" t="n">
        <f aca="false">Sens!$N$4621+Sens!$N$4635</f>
        <v>56.398</v>
      </c>
      <c r="O4640" s="38" t="n">
        <f aca="false">Sens!$O$4621+Sens!$O$4635</f>
        <v>65.437</v>
      </c>
    </row>
    <row r="4641" customFormat="false" ht="17.15" hidden="false" customHeight="false" outlineLevel="0" collapsed="false">
      <c r="A4641" s="1" t="s">
        <v>762</v>
      </c>
    </row>
    <row r="4642" customFormat="false" ht="15" hidden="false" customHeight="false" outlineLevel="0" collapsed="false">
      <c r="A4642" s="5" t="s">
        <v>551</v>
      </c>
      <c r="B4642" s="0" t="s">
        <v>86</v>
      </c>
      <c r="C4642" s="38" t="n">
        <f aca="false">Q!$D$34</f>
        <v>2.406</v>
      </c>
      <c r="D4642" s="38" t="n">
        <f aca="false">Q!$E$34</f>
        <v>2.274</v>
      </c>
      <c r="E4642" s="38" t="n">
        <f aca="false">Q!$P$34</f>
        <v>2.114</v>
      </c>
      <c r="F4642" s="38" t="n">
        <f aca="false">Sens!$F$4680</f>
        <v>3.24888962733561</v>
      </c>
      <c r="G4642" s="38" t="n">
        <f aca="false">Sens!$E$4642+Sens!$F$4642</f>
        <v>5.36288962733561</v>
      </c>
      <c r="H4642" s="38" t="n">
        <f aca="false">Sens!$H$4680</f>
        <v>7.42354172302123</v>
      </c>
      <c r="I4642" s="38" t="n">
        <f aca="false">Sens!$I$4680</f>
        <v>7.82739537733705</v>
      </c>
      <c r="J4642" s="38" t="n">
        <f aca="false">Sens!$J$4680</f>
        <v>8.71776500770285</v>
      </c>
      <c r="K4642" s="38" t="n">
        <f aca="false">Sens!$K$4680</f>
        <v>8.71776500770285</v>
      </c>
      <c r="L4642" s="38" t="n">
        <f aca="false">Sens!$L$4680</f>
        <v>8.71776500770285</v>
      </c>
      <c r="M4642" s="38" t="n">
        <f aca="false">Sens!$M$4680</f>
        <v>8.71776500770285</v>
      </c>
      <c r="N4642" s="38" t="n">
        <f aca="false">Q!$N$34</f>
        <v>1.057</v>
      </c>
      <c r="O4642" s="38" t="n">
        <f aca="false">Q!$O$34</f>
        <v>1.217</v>
      </c>
    </row>
    <row r="4643" customFormat="false" ht="15" hidden="false" customHeight="false" outlineLevel="0" collapsed="false">
      <c r="A4643" s="5" t="s">
        <v>763</v>
      </c>
      <c r="B4643" s="0" t="s">
        <v>86</v>
      </c>
      <c r="F4643" s="38" t="n">
        <f aca="false">Sens!$F$4681</f>
        <v>2.59</v>
      </c>
      <c r="H4643" s="38" t="n">
        <f aca="false">Sens!$H$4681</f>
        <v>4.1153774832261</v>
      </c>
      <c r="I4643" s="38" t="n">
        <f aca="false">Sens!$I$4681</f>
        <v>2.10589651022864</v>
      </c>
      <c r="J4643" s="38" t="n">
        <f aca="false">Sens!$J$4681</f>
        <v>2.10589651022864</v>
      </c>
      <c r="K4643" s="38" t="n">
        <f aca="false">Sens!$K$4681</f>
        <v>3.26876416115295</v>
      </c>
      <c r="L4643" s="38" t="n">
        <f aca="false">Sens!$L$4681</f>
        <v>8.58874950057543</v>
      </c>
      <c r="M4643" s="38" t="n">
        <f aca="false">Sens!$M$4681</f>
        <v>16.4938095727102</v>
      </c>
    </row>
    <row r="4644" customFormat="false" ht="17.15" hidden="false" customHeight="false" outlineLevel="0" collapsed="false">
      <c r="A4644" s="5" t="s">
        <v>764</v>
      </c>
      <c r="B4644" s="0" t="s">
        <v>86</v>
      </c>
      <c r="C4644" s="38" t="n">
        <f aca="false">Q!$D$39</f>
        <v>2.427</v>
      </c>
      <c r="D4644" s="38" t="n">
        <f aca="false">Q!$E$39</f>
        <v>19.61</v>
      </c>
      <c r="E4644" s="38" t="n">
        <f aca="false">Q!$P$39</f>
        <v>71.492</v>
      </c>
      <c r="F4644" s="39" t="n">
        <v>0</v>
      </c>
      <c r="G4644" s="38" t="n">
        <f aca="false">Sens!$E$4644+Sens!$F$4644</f>
        <v>71.492</v>
      </c>
      <c r="H4644" s="39" t="n">
        <v>0</v>
      </c>
      <c r="I4644" s="39" t="n">
        <v>0</v>
      </c>
      <c r="J4644" s="39" t="n">
        <v>0</v>
      </c>
      <c r="K4644" s="39" t="n">
        <v>0</v>
      </c>
      <c r="L4644" s="39" t="n">
        <v>0</v>
      </c>
      <c r="M4644" s="39" t="n">
        <v>0</v>
      </c>
      <c r="N4644" s="38" t="n">
        <f aca="false">Q!$N$39</f>
        <v>6.017</v>
      </c>
      <c r="O4644" s="38" t="n">
        <f aca="false">Q!$O$39</f>
        <v>13.593</v>
      </c>
      <c r="P4644" s="5" t="s">
        <v>765</v>
      </c>
    </row>
    <row r="4645" customFormat="false" ht="15" hidden="false" customHeight="false" outlineLevel="0" collapsed="false">
      <c r="A4645" s="5" t="s">
        <v>554</v>
      </c>
      <c r="B4645" s="0" t="s">
        <v>86</v>
      </c>
      <c r="C4645" s="38" t="n">
        <f aca="false">Q!$D$36</f>
        <v>68.614</v>
      </c>
      <c r="D4645" s="38" t="n">
        <f aca="false">Q!$E$36</f>
        <v>97.311</v>
      </c>
      <c r="E4645" s="38" t="n">
        <f aca="false">Q!$P$36</f>
        <v>120.691</v>
      </c>
      <c r="F4645" s="38" t="n">
        <f aca="false">Sens!$F$4621-Sens!$F$4642+Sens!$F$4643+Sens!$F$4644</f>
        <v>55.7063670713938</v>
      </c>
      <c r="G4645" s="38" t="n">
        <f aca="false">Sens!$E$4645+Sens!$F$4645</f>
        <v>176.397367071394</v>
      </c>
      <c r="H4645" s="38" t="n">
        <f aca="false">Sens!$H$4621-Sens!$H$4642+Sens!$H$4643+Sens!$H$4644</f>
        <v>126.51932721295</v>
      </c>
      <c r="I4645" s="38" t="n">
        <f aca="false">Sens!$I$4621-Sens!$I$4642+Sens!$I$4643+Sens!$I$4644</f>
        <v>140.741950638376</v>
      </c>
      <c r="J4645" s="38" t="n">
        <f aca="false">Sens!$J$4621-Sens!$J$4642+Sens!$J$4643+Sens!$J$4644</f>
        <v>159.854332574498</v>
      </c>
      <c r="K4645" s="38" t="n">
        <f aca="false">Sens!$K$4621-Sens!$K$4642+Sens!$K$4643+Sens!$K$4644</f>
        <v>175.040152815433</v>
      </c>
      <c r="L4645" s="38" t="n">
        <f aca="false">Sens!$L$4621-Sens!$L$4642+Sens!$L$4643+Sens!$L$4644</f>
        <v>194.108575953577</v>
      </c>
      <c r="M4645" s="38" t="n">
        <f aca="false">Sens!$M$4621-Sens!$M$4642+Sens!$M$4643+Sens!$M$4644</f>
        <v>217.298634492458</v>
      </c>
      <c r="N4645" s="38" t="n">
        <f aca="false">Q!$N$36</f>
        <v>42.536</v>
      </c>
      <c r="O4645" s="38" t="n">
        <f aca="false">Q!$O$36</f>
        <v>54.775</v>
      </c>
    </row>
    <row r="4646" customFormat="false" ht="15" hidden="false" customHeight="false" outlineLevel="0" collapsed="false">
      <c r="A4646" s="5" t="s">
        <v>555</v>
      </c>
      <c r="B4646" s="0" t="s">
        <v>86</v>
      </c>
      <c r="C4646" s="38" t="n">
        <f aca="false">Q!$D$37</f>
        <v>9.265</v>
      </c>
      <c r="D4646" s="38" t="n">
        <f aca="false">Q!$E$37</f>
        <v>19.087</v>
      </c>
      <c r="E4646" s="38" t="n">
        <f aca="false">Q!$P$37</f>
        <v>27.759</v>
      </c>
      <c r="F4646" s="38" t="n">
        <f aca="false">Sens!$F$4645*tax</f>
        <v>9.669763357865</v>
      </c>
      <c r="G4646" s="38" t="n">
        <f aca="false">Sens!$E$4646+Sens!$F$4646</f>
        <v>37.428763357865</v>
      </c>
      <c r="H4646" s="38" t="n">
        <f aca="false">Sens!$H$4645*tax</f>
        <v>21.9617975226706</v>
      </c>
      <c r="I4646" s="38" t="n">
        <f aca="false">Sens!$I$4645*tax</f>
        <v>24.4306248772822</v>
      </c>
      <c r="J4646" s="38" t="n">
        <f aca="false">Sens!$J$4645*tax</f>
        <v>27.7482386482643</v>
      </c>
      <c r="K4646" s="38" t="n">
        <f aca="false">Sens!$K$4645*tax</f>
        <v>30.3842620661389</v>
      </c>
      <c r="L4646" s="38" t="n">
        <f aca="false">Sens!$L$4645*tax</f>
        <v>33.6942452699831</v>
      </c>
      <c r="M4646" s="38" t="n">
        <f aca="false">Sens!$M$4645*tax</f>
        <v>37.7196806037686</v>
      </c>
      <c r="N4646" s="38" t="n">
        <f aca="false">Q!$N$37</f>
        <v>7.231</v>
      </c>
      <c r="O4646" s="38" t="n">
        <f aca="false">Q!$O$37</f>
        <v>11.856</v>
      </c>
    </row>
    <row r="4647" customFormat="false" ht="15" hidden="false" customHeight="false" outlineLevel="0" collapsed="false">
      <c r="A4647" s="3" t="s">
        <v>556</v>
      </c>
      <c r="B4647" s="8" t="s">
        <v>86</v>
      </c>
      <c r="C4647" s="38" t="n">
        <f aca="false">Q!$D$38</f>
        <v>59.248</v>
      </c>
      <c r="D4647" s="38" t="n">
        <f aca="false">Q!$E$38</f>
        <v>77.67</v>
      </c>
      <c r="E4647" s="38" t="n">
        <f aca="false">Q!$P$38</f>
        <v>92.902</v>
      </c>
      <c r="F4647" s="38" t="n">
        <f aca="false">Sens!$F$4645-Sens!$F$4646</f>
        <v>46.0366037135288</v>
      </c>
      <c r="G4647" s="38" t="n">
        <f aca="false">Sens!$E$4647+Sens!$F$4647</f>
        <v>138.938603713529</v>
      </c>
      <c r="H4647" s="38" t="n">
        <f aca="false">Sens!$H$4645-Sens!$H$4646</f>
        <v>104.55752969028</v>
      </c>
      <c r="I4647" s="38" t="n">
        <f aca="false">Sens!$I$4645-Sens!$I$4646</f>
        <v>116.311325761093</v>
      </c>
      <c r="J4647" s="38" t="n">
        <f aca="false">Sens!$J$4645-Sens!$J$4646</f>
        <v>132.106093926234</v>
      </c>
      <c r="K4647" s="38" t="n">
        <f aca="false">Sens!$K$4645-Sens!$K$4646</f>
        <v>144.655890749294</v>
      </c>
      <c r="L4647" s="38" t="n">
        <f aca="false">Sens!$L$4645-Sens!$L$4646</f>
        <v>160.414330683594</v>
      </c>
      <c r="M4647" s="38" t="n">
        <f aca="false">Sens!$M$4645-Sens!$M$4646</f>
        <v>179.578953888689</v>
      </c>
      <c r="N4647" s="38" t="n">
        <f aca="false">Q!$N$38</f>
        <v>35.291</v>
      </c>
      <c r="O4647" s="38" t="n">
        <f aca="false">Q!$O$38</f>
        <v>42.379</v>
      </c>
    </row>
    <row r="4648" customFormat="false" ht="17.15" hidden="false" customHeight="false" outlineLevel="0" collapsed="false">
      <c r="A4648" s="5" t="s">
        <v>559</v>
      </c>
      <c r="B4648" s="5" t="s">
        <v>33</v>
      </c>
      <c r="C4648" s="22" t="n">
        <f aca="false">Q!$D$41</f>
        <v>10.721</v>
      </c>
      <c r="D4648" s="22" t="n">
        <f aca="false">Q!$E$41</f>
        <v>10.827</v>
      </c>
      <c r="E4648" s="22" t="n">
        <f aca="false">(Q!$L$41+Q!$M$41)/2</f>
        <v>10.8885</v>
      </c>
      <c r="F4648" s="22" t="n">
        <f aca="false">Sens!$G$4648</f>
        <v>10.924806</v>
      </c>
      <c r="G4648" s="22" t="n">
        <f aca="false">Q!$M$41*(1+sh_g*0.25)</f>
        <v>10.924806</v>
      </c>
      <c r="H4648" s="22" t="n">
        <f aca="false">Sens!$G$4648*(1+sh_g)</f>
        <v>11.012204448</v>
      </c>
      <c r="I4648" s="22" t="n">
        <f aca="false">Sens!$H$4648*(1+sh_g)</f>
        <v>11.100302083584</v>
      </c>
      <c r="J4648" s="22" t="n">
        <f aca="false">Sens!$I$4648*(1+sh_g)</f>
        <v>11.1891045002527</v>
      </c>
      <c r="K4648" s="22" t="n">
        <f aca="false">Sens!$J$4648*(1+sh_g)</f>
        <v>11.2786173362547</v>
      </c>
      <c r="L4648" s="22" t="n">
        <f aca="false">Sens!$K$4648*(1+sh_g)</f>
        <v>11.3688462749447</v>
      </c>
      <c r="M4648" s="22" t="n">
        <f aca="false">Sens!$L$4648*(1+sh_g)</f>
        <v>11.4597970451443</v>
      </c>
      <c r="P4648" s="5" t="s">
        <v>766</v>
      </c>
    </row>
    <row r="4649" customFormat="false" ht="17.15" hidden="false" customHeight="false" outlineLevel="0" collapsed="false">
      <c r="A4649" s="5" t="s">
        <v>767</v>
      </c>
      <c r="B4649" s="0" t="s">
        <v>86</v>
      </c>
      <c r="C4649" s="38" t="n">
        <f aca="false">Sens!$C$4647+Sens!$C$4623*(1-tax)</f>
        <v>59.248</v>
      </c>
      <c r="D4649" s="38" t="n">
        <f aca="false">Sens!$D$4647+Sens!$D$4623*(1-tax)</f>
        <v>77.67</v>
      </c>
      <c r="E4649" s="38" t="n">
        <f aca="false">Sens!$E$4647+Sens!$E$4623*(1-tax)</f>
        <v>92.902</v>
      </c>
      <c r="F4649" s="38" t="n">
        <f aca="false">Sens!$F$4647+Sens!$F$4623*(1-tax)</f>
        <v>49.1531986731775</v>
      </c>
      <c r="G4649" s="38" t="n">
        <f aca="false">Sens!$G$4647+Sens!$G$4623*(1-tax)</f>
        <v>142.055198673178</v>
      </c>
      <c r="H4649" s="38" t="n">
        <f aca="false">Sens!$H$4647+Sens!$H$4623*(1-tax)</f>
        <v>117.088925645624</v>
      </c>
      <c r="I4649" s="38" t="n">
        <f aca="false">Sens!$I$4647+Sens!$I$4623*(1-tax)</f>
        <v>137.452590836033</v>
      </c>
      <c r="J4649" s="38" t="n">
        <f aca="false">Sens!$J$4647+Sens!$J$4623*(1-tax)</f>
        <v>161.895530870518</v>
      </c>
      <c r="K4649" s="38" t="n">
        <f aca="false">Sens!$K$4647+Sens!$K$4623*(1-tax)</f>
        <v>181.823196445953</v>
      </c>
      <c r="L4649" s="38" t="n">
        <f aca="false">Sens!$L$4647+Sens!$L$4623*(1-tax)</f>
        <v>202.430408024149</v>
      </c>
      <c r="M4649" s="38" t="n">
        <f aca="false">Sens!$M$4647+Sens!$M$4623*(1-tax)</f>
        <v>223.90847607953</v>
      </c>
      <c r="N4649" s="38" t="n">
        <f aca="false">Sens!$N$4647+Sens!$N$4623*(1-tax)</f>
        <v>35.291</v>
      </c>
      <c r="O4649" s="38" t="n">
        <f aca="false">Sens!$O$4647+Sens!$O$4623*(1-tax)</f>
        <v>42.379</v>
      </c>
    </row>
    <row r="4650" customFormat="false" ht="17.15" hidden="false" customHeight="false" outlineLevel="0" collapsed="false">
      <c r="A4650" s="43" t="s">
        <v>768</v>
      </c>
      <c r="B4650" s="14" t="s">
        <v>27</v>
      </c>
      <c r="C4650" s="44" t="n">
        <f aca="false">Sens!$C$4649/Sens!$C$4648</f>
        <v>5.52635015390355</v>
      </c>
      <c r="D4650" s="44" t="n">
        <f aca="false">Sens!$D$4649/Sens!$D$4648</f>
        <v>7.1737323358271</v>
      </c>
      <c r="E4650" s="44" t="n">
        <f aca="false">Sens!$E$4649/Sens!$E$4648</f>
        <v>8.53212104513937</v>
      </c>
      <c r="F4650" s="14"/>
      <c r="G4650" s="44" t="n">
        <f aca="false">Sens!$G$4649/Sens!$G$4648</f>
        <v>13.0029950804781</v>
      </c>
      <c r="H4650" s="44" t="n">
        <f aca="false">Sens!$H$4649/Sens!$H$4648</f>
        <v>10.6326509100446</v>
      </c>
      <c r="I4650" s="44" t="n">
        <f aca="false">Sens!$I$4649/Sens!$I$4648</f>
        <v>12.3827792974489</v>
      </c>
      <c r="J4650" s="44" t="n">
        <f aca="false">Sens!$J$4649/Sens!$J$4648</f>
        <v>14.4690337700271</v>
      </c>
      <c r="K4650" s="44" t="n">
        <f aca="false">Sens!$K$4649/Sens!$K$4648</f>
        <v>16.1210537626353</v>
      </c>
      <c r="L4650" s="44" t="n">
        <f aca="false">Sens!$L$4649/Sens!$L$4648</f>
        <v>17.8057124820375</v>
      </c>
      <c r="M4650" s="44" t="n">
        <f aca="false">Sens!$M$4649/Sens!$M$4648</f>
        <v>19.5386074637686</v>
      </c>
      <c r="N4650" s="14"/>
      <c r="O4650" s="14"/>
    </row>
    <row r="4651" customFormat="false" ht="17.15" hidden="false" customHeight="false" outlineLevel="0" collapsed="false">
      <c r="A4651" s="0" t="s">
        <v>769</v>
      </c>
      <c r="B4651" s="0" t="s">
        <v>27</v>
      </c>
      <c r="C4651" s="30" t="n">
        <f aca="false">Sens!$C$4647/Sens!$C$4648</f>
        <v>5.52635015390355</v>
      </c>
      <c r="D4651" s="30" t="n">
        <f aca="false">Sens!$D$4647/Sens!$D$4648</f>
        <v>7.1737323358271</v>
      </c>
      <c r="E4651" s="30" t="n">
        <f aca="false">Sens!$E$4647/Sens!$E$4648</f>
        <v>8.53212104513937</v>
      </c>
      <c r="G4651" s="30" t="n">
        <f aca="false">Sens!$G$4647/Sens!$G$4648</f>
        <v>12.7177181648378</v>
      </c>
      <c r="H4651" s="30" t="n">
        <f aca="false">Sens!$H$4647/Sens!$H$4648</f>
        <v>9.49469565190183</v>
      </c>
      <c r="I4651" s="30" t="n">
        <f aca="false">Sens!$I$4647/Sens!$I$4648</f>
        <v>10.47821265451</v>
      </c>
      <c r="J4651" s="30" t="n">
        <f aca="false">Sens!$J$4647/Sens!$J$4648</f>
        <v>11.806672636157</v>
      </c>
      <c r="K4651" s="30" t="n">
        <f aca="false">Sens!$K$4647/Sens!$K$4648</f>
        <v>12.8256759172335</v>
      </c>
      <c r="L4651" s="30" t="n">
        <f aca="false">Sens!$L$4647/Sens!$L$4648</f>
        <v>14.1099920611226</v>
      </c>
      <c r="M4651" s="30" t="n">
        <f aca="false">Sens!$M$4647/Sens!$M$4648</f>
        <v>15.6703433037481</v>
      </c>
    </row>
    <row r="4652" customFormat="false" ht="17.15" hidden="false" customHeight="false" outlineLevel="0" collapsed="false">
      <c r="A4652" s="0" t="s">
        <v>770</v>
      </c>
      <c r="B4652" s="0" t="s">
        <v>27</v>
      </c>
      <c r="C4652" s="30" t="n">
        <f aca="false">(Sens!$C$4647-Sens!$C$4644*(1-tax))/Sens!$C$4648</f>
        <v>5.33926775917445</v>
      </c>
      <c r="D4652" s="30" t="n">
        <f aca="false">(Sens!$D$4647-Sens!$D$4644*(1-tax))/Sens!$D$4648</f>
        <v>5.67691812755503</v>
      </c>
      <c r="E4652" s="30" t="n">
        <f aca="false">(Sens!$E$4647-Sens!$E$4644*(1-tax))/Sens!$E$4648</f>
        <v>3.10602057006846</v>
      </c>
      <c r="G4652" s="30" t="n">
        <f aca="false">(Sens!$G$4647-Sens!$G$4644*(1-tax))/Sens!$G$4648</f>
        <v>7.30965004694081</v>
      </c>
      <c r="H4652" s="30" t="n">
        <f aca="false">(Sens!$H$4647-Sens!$H$4644*(1-tax))/Sens!$H$4648</f>
        <v>9.49469565190183</v>
      </c>
      <c r="I4652" s="30" t="n">
        <f aca="false">(Sens!$I$4647-Sens!$I$4644*(1-tax))/Sens!$I$4648</f>
        <v>10.47821265451</v>
      </c>
      <c r="J4652" s="30" t="n">
        <f aca="false">(Sens!$J$4647-Sens!$J$4644*(1-tax))/Sens!$J$4648</f>
        <v>11.806672636157</v>
      </c>
      <c r="K4652" s="30" t="n">
        <f aca="false">(Sens!$K$4647-Sens!$K$4644*(1-tax))/Sens!$K$4648</f>
        <v>12.8256759172335</v>
      </c>
      <c r="L4652" s="30" t="n">
        <f aca="false">(Sens!$L$4647-Sens!$L$4644*(1-tax))/Sens!$L$4648</f>
        <v>14.1099920611226</v>
      </c>
      <c r="M4652" s="30" t="n">
        <f aca="false">(Sens!$M$4647-Sens!$M$4644*(1-tax))/Sens!$M$4648</f>
        <v>15.6703433037481</v>
      </c>
      <c r="P4652" s="5" t="s">
        <v>771</v>
      </c>
    </row>
    <row r="4653" customFormat="false" ht="17.15" hidden="false" customHeight="false" outlineLevel="0" collapsed="false">
      <c r="A4653" s="0" t="s">
        <v>772</v>
      </c>
      <c r="B4653" s="0" t="s">
        <v>52</v>
      </c>
      <c r="H4653" s="13" t="n">
        <f aca="false">Sens!$H$4650/Sens!$G$4650-1</f>
        <v>-0.182292168516789</v>
      </c>
      <c r="I4653" s="13" t="n">
        <f aca="false">Sens!$I$4650/Sens!$H$4650-1</f>
        <v>0.164599440178267</v>
      </c>
      <c r="J4653" s="13" t="n">
        <f aca="false">Sens!$J$4650/Sens!$I$4650-1</f>
        <v>0.168480308213843</v>
      </c>
      <c r="K4653" s="13" t="n">
        <f aca="false">Sens!$K$4650/Sens!$J$4650-1</f>
        <v>0.114176248315245</v>
      </c>
      <c r="L4653" s="13" t="n">
        <f aca="false">Sens!$L$4650/Sens!$K$4650-1</f>
        <v>0.104500533538746</v>
      </c>
      <c r="M4653" s="13" t="n">
        <f aca="false">Sens!$M$4650/Sens!$L$4650-1</f>
        <v>0.0973224173691005</v>
      </c>
    </row>
    <row r="4656" customFormat="false" ht="19.4" hidden="false" customHeight="false" outlineLevel="0" collapsed="false">
      <c r="A4656" s="31" t="s">
        <v>1245</v>
      </c>
    </row>
    <row r="4657" customFormat="false" ht="17.15" hidden="false" customHeight="false" outlineLevel="0" collapsed="false">
      <c r="A4657" s="6" t="s">
        <v>16</v>
      </c>
      <c r="B4657" s="6" t="s">
        <v>17</v>
      </c>
      <c r="C4657" s="20" t="s">
        <v>504</v>
      </c>
      <c r="D4657" s="20" t="s">
        <v>505</v>
      </c>
      <c r="E4657" s="20" t="s">
        <v>587</v>
      </c>
      <c r="F4657" s="20" t="s">
        <v>588</v>
      </c>
      <c r="G4657" s="20" t="s">
        <v>589</v>
      </c>
      <c r="H4657" s="20" t="s">
        <v>590</v>
      </c>
      <c r="I4657" s="20" t="s">
        <v>591</v>
      </c>
      <c r="J4657" s="20" t="s">
        <v>592</v>
      </c>
      <c r="K4657" s="20" t="s">
        <v>593</v>
      </c>
      <c r="L4657" s="20" t="s">
        <v>594</v>
      </c>
      <c r="M4657" s="20" t="s">
        <v>595</v>
      </c>
      <c r="N4657" s="20" t="s">
        <v>596</v>
      </c>
      <c r="O4657" s="20" t="s">
        <v>597</v>
      </c>
      <c r="P4657" s="6" t="s">
        <v>23</v>
      </c>
      <c r="R4657" s="20" t="n">
        <v>2023</v>
      </c>
      <c r="S4657" s="20" t="n">
        <v>2024</v>
      </c>
      <c r="T4657" s="20" t="n">
        <v>2025</v>
      </c>
      <c r="U4657" s="20" t="n">
        <v>2026</v>
      </c>
      <c r="V4657" s="20" t="n">
        <v>2027</v>
      </c>
      <c r="W4657" s="20" t="n">
        <v>2028</v>
      </c>
      <c r="X4657" s="20" t="n">
        <v>2029</v>
      </c>
      <c r="Y4657" s="20" t="n">
        <v>2030</v>
      </c>
      <c r="Z4657" s="20" t="n">
        <v>2031</v>
      </c>
      <c r="AA4657" s="20" t="n">
        <v>2032</v>
      </c>
    </row>
    <row r="4658" customFormat="false" ht="15" hidden="false" customHeight="false" outlineLevel="0" collapsed="false">
      <c r="A4658" s="5" t="s">
        <v>556</v>
      </c>
      <c r="B4658" s="0" t="s">
        <v>86</v>
      </c>
      <c r="C4658" s="38" t="n">
        <f aca="false">Sens!$C$4647</f>
        <v>59.248</v>
      </c>
      <c r="D4658" s="38" t="n">
        <f aca="false">Sens!$D$4647</f>
        <v>77.67</v>
      </c>
      <c r="E4658" s="38" t="n">
        <f aca="false">Sens!$E$4647</f>
        <v>92.902</v>
      </c>
      <c r="F4658" s="38" t="n">
        <f aca="false">Sens!$F$4647</f>
        <v>46.0366037135288</v>
      </c>
      <c r="G4658" s="38" t="n">
        <f aca="false">Sens!$G$4647</f>
        <v>138.938603713529</v>
      </c>
      <c r="H4658" s="38" t="n">
        <f aca="false">Sens!$H$4647</f>
        <v>104.55752969028</v>
      </c>
      <c r="I4658" s="38" t="n">
        <f aca="false">Sens!$I$4647</f>
        <v>116.311325761093</v>
      </c>
      <c r="J4658" s="38" t="n">
        <f aca="false">Sens!$J$4647</f>
        <v>132.106093926234</v>
      </c>
      <c r="K4658" s="38" t="n">
        <f aca="false">Sens!$K$4647</f>
        <v>144.655890749294</v>
      </c>
      <c r="L4658" s="38" t="n">
        <f aca="false">Sens!$L$4647</f>
        <v>160.414330683594</v>
      </c>
      <c r="M4658" s="38" t="n">
        <f aca="false">Sens!$M$4647</f>
        <v>179.578953888689</v>
      </c>
    </row>
    <row r="4659" customFormat="false" ht="17.15" hidden="false" customHeight="false" outlineLevel="0" collapsed="false">
      <c r="A4659" s="5" t="s">
        <v>795</v>
      </c>
      <c r="B4659" s="0" t="s">
        <v>86</v>
      </c>
      <c r="C4659" s="38" t="n">
        <f aca="false">Sens!$C$4635</f>
        <v>32.067</v>
      </c>
      <c r="D4659" s="38" t="n">
        <f aca="false">Sens!$D$4635</f>
        <v>41.86</v>
      </c>
      <c r="E4659" s="38" t="n">
        <f aca="false">Sens!$E$4635</f>
        <v>26.703</v>
      </c>
      <c r="F4659" s="38" t="n">
        <f aca="false">Sens!$F$4635</f>
        <v>29.152860869477</v>
      </c>
      <c r="G4659" s="38" t="n">
        <f aca="false">Sens!$G$4635</f>
        <v>55.855860869477</v>
      </c>
      <c r="H4659" s="38" t="n">
        <f aca="false">Sens!$H$4635</f>
        <v>81.5831106680867</v>
      </c>
      <c r="I4659" s="38" t="n">
        <f aca="false">Sens!$I$4635</f>
        <v>118.832484210119</v>
      </c>
      <c r="J4659" s="38" t="n">
        <f aca="false">Sens!$J$4635</f>
        <v>152.647141240246</v>
      </c>
      <c r="K4659" s="38" t="n">
        <f aca="false">Sens!$K$4635</f>
        <v>186.727479426591</v>
      </c>
      <c r="L4659" s="38" t="n">
        <f aca="false">Sens!$L$4635</f>
        <v>212.454829256679</v>
      </c>
      <c r="M4659" s="38" t="n">
        <f aca="false">Sens!$M$4635</f>
        <v>229.77321063393</v>
      </c>
    </row>
    <row r="4660" customFormat="false" ht="15" hidden="false" customHeight="false" outlineLevel="0" collapsed="false">
      <c r="A4660" s="5" t="s">
        <v>796</v>
      </c>
      <c r="B4660" s="0" t="s">
        <v>86</v>
      </c>
      <c r="C4660" s="38" t="n">
        <f aca="false">Q!$D$48</f>
        <v>22.011</v>
      </c>
      <c r="D4660" s="38" t="n">
        <f aca="false">Q!$E$48</f>
        <v>19.467</v>
      </c>
      <c r="E4660" s="38" t="n">
        <f aca="false">Q!$P$48</f>
        <v>10.07</v>
      </c>
      <c r="F4660" s="38" t="n">
        <f aca="false">sbc_r*Sens!$F$4577</f>
        <v>10.8507035798037</v>
      </c>
      <c r="G4660" s="38" t="n">
        <f aca="false">Sens!$E$4660+Sens!$F$4660</f>
        <v>20.9207035798037</v>
      </c>
      <c r="H4660" s="38" t="n">
        <f aca="false">sbc_r*Sens!$H$4577</f>
        <v>23.4777826380942</v>
      </c>
      <c r="I4660" s="38" t="n">
        <f aca="false">sbc_r*Sens!$I$4577</f>
        <v>26.6682739744594</v>
      </c>
      <c r="J4660" s="38" t="n">
        <f aca="false">sbc_r*Sens!$J$4577</f>
        <v>29.7577593890437</v>
      </c>
      <c r="K4660" s="38" t="n">
        <f aca="false">sbc_r*Sens!$K$4577</f>
        <v>32.516476491721</v>
      </c>
      <c r="L4660" s="38" t="n">
        <f aca="false">sbc_r*Sens!$L$4577</f>
        <v>35.1247680383598</v>
      </c>
      <c r="M4660" s="38" t="n">
        <f aca="false">sbc_r*Sens!$M$4577</f>
        <v>37.5958182996773</v>
      </c>
    </row>
    <row r="4661" customFormat="false" ht="17.15" hidden="false" customHeight="false" outlineLevel="0" collapsed="false">
      <c r="A4661" s="5" t="s">
        <v>797</v>
      </c>
      <c r="B4661" s="0" t="s">
        <v>86</v>
      </c>
      <c r="C4661" s="38" t="n">
        <f aca="false">Q!$D$44-Sens!$C$4658-Sens!$C$4659-Sens!$C$4660</f>
        <v>2.551</v>
      </c>
      <c r="D4661" s="38" t="n">
        <f aca="false">Q!$E$44-Sens!$D$4658-Sens!$D$4659-Sens!$D$4660</f>
        <v>0.51700000000001</v>
      </c>
      <c r="E4661" s="38" t="n">
        <f aca="false">Q!$P$44-Sens!$E$4658-Sens!$E$4659-Sens!$E$4660</f>
        <v>-58.256</v>
      </c>
      <c r="F4661" s="38" t="n">
        <f aca="false">oth_r*Sens!$F$4577</f>
        <v>5.22265251035878</v>
      </c>
      <c r="G4661" s="38" t="n">
        <f aca="false">Sens!$E$4661+Sens!$F$4661</f>
        <v>-53.0333474896412</v>
      </c>
      <c r="H4661" s="38" t="n">
        <f aca="false">oth_r*Sens!$H$4577</f>
        <v>11.3003087339632</v>
      </c>
      <c r="I4661" s="38" t="n">
        <f aca="false">oth_r*Sens!$I$4577</f>
        <v>12.8359536315124</v>
      </c>
      <c r="J4661" s="38" t="n">
        <f aca="false">oth_r*Sens!$J$4577</f>
        <v>14.322982434532</v>
      </c>
      <c r="K4661" s="38" t="n">
        <f aca="false">oth_r*Sens!$K$4577</f>
        <v>15.6508060816994</v>
      </c>
      <c r="L4661" s="38" t="n">
        <f aca="false">oth_r*Sens!$L$4577</f>
        <v>16.9062270130348</v>
      </c>
      <c r="M4661" s="38" t="n">
        <f aca="false">oth_r*Sens!$M$4577</f>
        <v>18.0955910718331</v>
      </c>
      <c r="P4661" s="8" t="s">
        <v>798</v>
      </c>
    </row>
    <row r="4662" customFormat="false" ht="15" hidden="false" customHeight="false" outlineLevel="0" collapsed="false">
      <c r="A4662" s="3" t="s">
        <v>562</v>
      </c>
      <c r="B4662" s="8" t="s">
        <v>86</v>
      </c>
      <c r="C4662" s="38" t="n">
        <f aca="false">Q!$D$44</f>
        <v>115.877</v>
      </c>
      <c r="D4662" s="38" t="n">
        <f aca="false">Q!$E$44</f>
        <v>139.514</v>
      </c>
      <c r="E4662" s="38" t="n">
        <f aca="false">Q!$P$44</f>
        <v>71.419</v>
      </c>
      <c r="F4662" s="38" t="n">
        <f aca="false">Sens!$F$4658+Sens!$F$4659+Sens!$F$4660+Sens!$F$4661</f>
        <v>91.2628206731683</v>
      </c>
      <c r="G4662" s="38" t="n">
        <f aca="false">Sens!$E$4662+Sens!$F$4662</f>
        <v>162.681820673168</v>
      </c>
      <c r="H4662" s="38" t="n">
        <f aca="false">Sens!$H$4658+Sens!$H$4659+Sens!$H$4660+Sens!$H$4661</f>
        <v>220.918731730424</v>
      </c>
      <c r="I4662" s="38" t="n">
        <f aca="false">Sens!$I$4658+Sens!$I$4659+Sens!$I$4660+Sens!$I$4661</f>
        <v>274.648037577184</v>
      </c>
      <c r="J4662" s="38" t="n">
        <f aca="false">Sens!$J$4658+Sens!$J$4659+Sens!$J$4660+Sens!$J$4661</f>
        <v>328.833976990055</v>
      </c>
      <c r="K4662" s="38" t="n">
        <f aca="false">Sens!$K$4658+Sens!$K$4659+Sens!$K$4660+Sens!$K$4661</f>
        <v>379.550652749305</v>
      </c>
      <c r="L4662" s="38" t="n">
        <f aca="false">Sens!$L$4658+Sens!$L$4659+Sens!$L$4660+Sens!$L$4661</f>
        <v>424.900154991668</v>
      </c>
      <c r="M4662" s="38" t="n">
        <f aca="false">Sens!$M$4658+Sens!$M$4659+Sens!$M$4660+Sens!$M$4661</f>
        <v>465.04357389413</v>
      </c>
    </row>
    <row r="4663" customFormat="false" ht="17.15" hidden="false" customHeight="false" outlineLevel="0" collapsed="false">
      <c r="A4663" s="5" t="s">
        <v>799</v>
      </c>
      <c r="B4663" s="0" t="s">
        <v>86</v>
      </c>
      <c r="C4663" s="38" t="n">
        <f aca="false">Sens!$C$4541</f>
        <v>25.2781053077374</v>
      </c>
      <c r="D4663" s="38" t="n">
        <f aca="false">Sens!$D$4541</f>
        <v>69.5686316310026</v>
      </c>
      <c r="E4663" s="38" t="n">
        <f aca="false">Sens!$E$4541</f>
        <v>64.1899206485108</v>
      </c>
      <c r="F4663" s="38" t="n">
        <f aca="false">Sens!$F$4541</f>
        <v>88.7165504612134</v>
      </c>
      <c r="G4663" s="38" t="n">
        <f aca="false">Sens!$G$4541</f>
        <v>152.906471109724</v>
      </c>
      <c r="H4663" s="38" t="n">
        <f aca="false">Sens!$H$4541</f>
        <v>198.57136494475</v>
      </c>
      <c r="I4663" s="38" t="n">
        <f aca="false">Sens!$I$4541</f>
        <v>204.6464699105</v>
      </c>
      <c r="J4663" s="38" t="n">
        <f aca="false">Sens!$J$4541</f>
        <v>209.8832381105</v>
      </c>
      <c r="K4663" s="38" t="n">
        <f aca="false">Sens!$K$4541</f>
        <v>155.238385275201</v>
      </c>
      <c r="L4663" s="38" t="n">
        <f aca="false">Sens!$L$4541</f>
        <v>132.014141639902</v>
      </c>
      <c r="M4663" s="38" t="n">
        <f aca="false">Sens!$M$4541</f>
        <v>132.230981659852</v>
      </c>
    </row>
    <row r="4664" customFormat="false" ht="17.15" hidden="false" customHeight="false" outlineLevel="0" collapsed="false">
      <c r="A4664" s="5" t="s">
        <v>800</v>
      </c>
      <c r="B4664" s="0" t="s">
        <v>86</v>
      </c>
      <c r="C4664" s="38" t="n">
        <f aca="false">cx_awso*Sens!$C$4575</f>
        <v>21.0469989286053</v>
      </c>
      <c r="D4664" s="38" t="n">
        <f aca="false">cx_awso*Sens!$D$4575</f>
        <v>24.0042459822698</v>
      </c>
      <c r="E4664" s="38" t="n">
        <f aca="false">cx_awso*Sens!$E$4575</f>
        <v>14.261729404886</v>
      </c>
      <c r="F4664" s="38" t="n">
        <f aca="false">cx_awso*Sens!$F$4575</f>
        <v>14.3538599588493</v>
      </c>
      <c r="G4664" s="38" t="n">
        <f aca="false">Sens!$E$4664+Sens!$F$4664</f>
        <v>28.6155893637353</v>
      </c>
      <c r="H4664" s="38" t="n">
        <f aca="false">cx_awso*Sens!$H$4575</f>
        <v>32.2034154158406</v>
      </c>
      <c r="I4664" s="38" t="n">
        <f aca="false">cx_awso*Sens!$I$4575</f>
        <v>35.7539519042915</v>
      </c>
      <c r="J4664" s="38" t="n">
        <f aca="false">cx_awso*Sens!$J$4575</f>
        <v>39.1551076091815</v>
      </c>
      <c r="K4664" s="38" t="n">
        <f aca="false">cx_awso*Sens!$K$4575</f>
        <v>42.287516217916</v>
      </c>
      <c r="L4664" s="38" t="n">
        <f aca="false">cx_awso*Sens!$L$4575</f>
        <v>45.6705175153492</v>
      </c>
      <c r="M4664" s="38" t="n">
        <f aca="false">cx_awso*Sens!$M$4575</f>
        <v>49.3241589165772</v>
      </c>
    </row>
    <row r="4665" customFormat="false" ht="17.15" hidden="false" customHeight="false" outlineLevel="0" collapsed="false">
      <c r="A4665" s="5" t="s">
        <v>801</v>
      </c>
      <c r="B4665" s="0" t="s">
        <v>86</v>
      </c>
      <c r="C4665" s="38" t="n">
        <f aca="false">Q!$D$46-Sens!$C$4663-Sens!$C$4664</f>
        <v>31.3328957636573</v>
      </c>
      <c r="D4665" s="38" t="n">
        <f aca="false">Q!$E$46-Sens!$D$4663-Sens!$D$4664</f>
        <v>34.7471223867276</v>
      </c>
      <c r="E4665" s="38" t="n">
        <f aca="false">Q!$P$46-Sens!$E$4663-Sens!$E$4664</f>
        <v>17.8583499466032</v>
      </c>
      <c r="F4665" s="38" t="n">
        <f aca="false">cx_rt*Sens!$F$4504</f>
        <v>20.6195895799373</v>
      </c>
      <c r="G4665" s="38" t="n">
        <f aca="false">Sens!$E$4665+Sens!$F$4665</f>
        <v>38.4779395265405</v>
      </c>
      <c r="H4665" s="38" t="n">
        <f aca="false">cx_rt*Sens!$H$4504</f>
        <v>42.6347655819557</v>
      </c>
      <c r="I4665" s="38" t="n">
        <f aca="false">cx_rt*Sens!$I$4504</f>
        <v>46.7134867002408</v>
      </c>
      <c r="J4665" s="38" t="n">
        <f aca="false">cx_rt*Sens!$J$4504</f>
        <v>50.5858307584282</v>
      </c>
      <c r="K4665" s="38" t="n">
        <f aca="false">cx_rt*Sens!$K$4504</f>
        <v>54.113099340186</v>
      </c>
      <c r="L4665" s="38" t="n">
        <f aca="false">cx_rt*Sens!$L$4504</f>
        <v>57.9267838380165</v>
      </c>
      <c r="M4665" s="38" t="n">
        <f aca="false">cx_rt*Sens!$M$4504</f>
        <v>62.0540093592106</v>
      </c>
    </row>
    <row r="4666" customFormat="false" ht="15" hidden="false" customHeight="false" outlineLevel="0" collapsed="false">
      <c r="A4666" s="3" t="s">
        <v>802</v>
      </c>
      <c r="B4666" s="8" t="s">
        <v>86</v>
      </c>
      <c r="C4666" s="38" t="n">
        <f aca="false">Q!$D$46</f>
        <v>77.658</v>
      </c>
      <c r="D4666" s="38" t="n">
        <f aca="false">Q!$E$46</f>
        <v>128.32</v>
      </c>
      <c r="E4666" s="38" t="n">
        <f aca="false">Q!$P$46</f>
        <v>96.31</v>
      </c>
      <c r="F4666" s="38" t="n">
        <f aca="false">Sens!$F$4663+Sens!$F$4664+Sens!$F$4665</f>
        <v>123.69</v>
      </c>
      <c r="G4666" s="38" t="n">
        <f aca="false">Sens!$E$4666+Sens!$F$4666</f>
        <v>220</v>
      </c>
      <c r="H4666" s="38" t="n">
        <f aca="false">Sens!$H$4663+Sens!$H$4664+Sens!$H$4665</f>
        <v>273.409545942546</v>
      </c>
      <c r="I4666" s="38" t="n">
        <f aca="false">Sens!$I$4663+Sens!$I$4664+Sens!$I$4665</f>
        <v>287.113908515032</v>
      </c>
      <c r="J4666" s="38" t="n">
        <f aca="false">Sens!$J$4663+Sens!$J$4664+Sens!$J$4665</f>
        <v>299.62417647811</v>
      </c>
      <c r="K4666" s="38" t="n">
        <f aca="false">Sens!$K$4663+Sens!$K$4664+Sens!$K$4665</f>
        <v>251.639000833303</v>
      </c>
      <c r="L4666" s="38" t="n">
        <f aca="false">Sens!$L$4663+Sens!$L$4664+Sens!$L$4665</f>
        <v>235.611442993267</v>
      </c>
      <c r="M4666" s="38" t="n">
        <f aca="false">Sens!$M$4663+Sens!$M$4664+Sens!$M$4665</f>
        <v>243.60914993564</v>
      </c>
    </row>
    <row r="4667" customFormat="false" ht="17.15" hidden="false" customHeight="false" outlineLevel="0" collapsed="false">
      <c r="A4667" s="5" t="s">
        <v>570</v>
      </c>
      <c r="B4667" s="0" t="s">
        <v>86</v>
      </c>
      <c r="C4667" s="38" t="n">
        <f aca="false">Q!$D$50</f>
        <v>2.043</v>
      </c>
      <c r="D4667" s="38" t="n">
        <f aca="false">Q!$E$50</f>
        <v>1.557</v>
      </c>
      <c r="E4667" s="38" t="n">
        <f aca="false">lease_pr/2</f>
        <v>0.8</v>
      </c>
      <c r="F4667" s="38" t="n">
        <f aca="false">lease_pr/2</f>
        <v>0.8</v>
      </c>
      <c r="G4667" s="38" t="n">
        <f aca="false">Sens!$E$4667+Sens!$F$4667</f>
        <v>1.6</v>
      </c>
      <c r="H4667" s="38" t="n">
        <f aca="false">lease_pr</f>
        <v>1.6</v>
      </c>
      <c r="I4667" s="38" t="n">
        <f aca="false">lease_pr</f>
        <v>1.6</v>
      </c>
      <c r="J4667" s="38" t="n">
        <f aca="false">lease_pr</f>
        <v>1.6</v>
      </c>
      <c r="K4667" s="38" t="n">
        <f aca="false">lease_pr</f>
        <v>1.6</v>
      </c>
      <c r="L4667" s="38" t="n">
        <f aca="false">lease_pr</f>
        <v>1.6</v>
      </c>
      <c r="M4667" s="38" t="n">
        <f aca="false">lease_pr</f>
        <v>1.6</v>
      </c>
      <c r="P4667" s="8" t="s">
        <v>803</v>
      </c>
    </row>
    <row r="4668" customFormat="false" ht="15" hidden="false" customHeight="false" outlineLevel="0" collapsed="false">
      <c r="A4668" s="47" t="s">
        <v>804</v>
      </c>
      <c r="B4668" s="14" t="s">
        <v>86</v>
      </c>
      <c r="C4668" s="48" t="n">
        <f aca="false">Sens!$C$4662-Sens!$C$4666-Sens!$C$4667</f>
        <v>36.176</v>
      </c>
      <c r="D4668" s="48" t="n">
        <f aca="false">Sens!$D$4662-Sens!$D$4666-Sens!$D$4667</f>
        <v>9.63700000000002</v>
      </c>
      <c r="E4668" s="48" t="n">
        <f aca="false">Sens!$E$4662-Sens!$E$4666-Sens!$E$4667</f>
        <v>-25.691</v>
      </c>
      <c r="F4668" s="48" t="n">
        <f aca="false">Sens!$F$4662-Sens!$F$4666-Sens!$F$4667</f>
        <v>-33.2271793268317</v>
      </c>
      <c r="G4668" s="48" t="n">
        <f aca="false">Sens!$G$4662-Sens!$G$4666-Sens!$G$4667</f>
        <v>-58.9181793268317</v>
      </c>
      <c r="H4668" s="48" t="n">
        <f aca="false">Sens!$H$4662-Sens!$H$4666-Sens!$H$4667</f>
        <v>-54.0908142121227</v>
      </c>
      <c r="I4668" s="48" t="n">
        <f aca="false">Sens!$I$4662-Sens!$I$4666-Sens!$I$4667</f>
        <v>-14.0658709378485</v>
      </c>
      <c r="J4668" s="48" t="n">
        <f aca="false">Sens!$J$4662-Sens!$J$4666-Sens!$J$4667</f>
        <v>27.6098005119457</v>
      </c>
      <c r="K4668" s="48" t="n">
        <f aca="false">Sens!$K$4662-Sens!$K$4666-Sens!$K$4667</f>
        <v>126.311651916002</v>
      </c>
      <c r="L4668" s="48" t="n">
        <f aca="false">Sens!$L$4662-Sens!$L$4666-Sens!$L$4667</f>
        <v>187.6887119984</v>
      </c>
      <c r="M4668" s="48" t="n">
        <f aca="false">Sens!$M$4662-Sens!$M$4666-Sens!$M$4667</f>
        <v>219.83442395849</v>
      </c>
      <c r="N4668" s="14"/>
      <c r="O4668" s="14"/>
    </row>
    <row r="4669" customFormat="false" ht="17.15" hidden="false" customHeight="false" outlineLevel="0" collapsed="false">
      <c r="A4669" s="5" t="s">
        <v>805</v>
      </c>
      <c r="B4669" s="0" t="s">
        <v>86</v>
      </c>
      <c r="C4669" s="38" t="n">
        <f aca="false">dps*Sens!$C$4648</f>
        <v>0</v>
      </c>
      <c r="D4669" s="38" t="n">
        <f aca="false">dps*Sens!$D$4648</f>
        <v>0</v>
      </c>
      <c r="E4669" s="38" t="n">
        <f aca="false">dps*Sens!$E$4648</f>
        <v>0</v>
      </c>
      <c r="F4669" s="38" t="n">
        <f aca="false">0</f>
        <v>0</v>
      </c>
      <c r="G4669" s="38" t="n">
        <f aca="false">dps*Sens!$G$4648</f>
        <v>0</v>
      </c>
      <c r="H4669" s="38" t="n">
        <f aca="false">dps*Sens!$H$4648</f>
        <v>0</v>
      </c>
      <c r="I4669" s="38" t="n">
        <f aca="false">dps*Sens!$I$4648</f>
        <v>0</v>
      </c>
      <c r="J4669" s="38" t="n">
        <f aca="false">dps*Sens!$J$4648</f>
        <v>0</v>
      </c>
      <c r="K4669" s="38" t="n">
        <f aca="false">dps*Sens!$K$4648</f>
        <v>0</v>
      </c>
      <c r="L4669" s="38" t="n">
        <f aca="false">dps*Sens!$L$4648</f>
        <v>0</v>
      </c>
      <c r="M4669" s="38" t="n">
        <f aca="false">dps*Sens!$M$4648</f>
        <v>0</v>
      </c>
      <c r="P4669" s="8" t="s">
        <v>806</v>
      </c>
    </row>
    <row r="4670" customFormat="false" ht="17.15" hidden="false" customHeight="false" outlineLevel="0" collapsed="false">
      <c r="A4670" s="5" t="s">
        <v>807</v>
      </c>
      <c r="B4670" s="0" t="s">
        <v>86</v>
      </c>
      <c r="C4670" s="38" t="n">
        <f aca="false">0</f>
        <v>0</v>
      </c>
      <c r="D4670" s="38" t="n">
        <f aca="false">0</f>
        <v>0</v>
      </c>
      <c r="E4670" s="38" t="n">
        <f aca="false">0</f>
        <v>0</v>
      </c>
      <c r="F4670" s="38" t="n">
        <f aca="false">0</f>
        <v>0</v>
      </c>
      <c r="G4670" s="38" t="n">
        <f aca="false">0</f>
        <v>0</v>
      </c>
      <c r="H4670" s="38" t="n">
        <f aca="false">0</f>
        <v>0</v>
      </c>
      <c r="I4670" s="38" t="n">
        <f aca="false">0</f>
        <v>0</v>
      </c>
      <c r="J4670" s="38" t="n">
        <f aca="false">0</f>
        <v>0</v>
      </c>
      <c r="K4670" s="38" t="n">
        <f aca="false">0</f>
        <v>0</v>
      </c>
      <c r="L4670" s="38" t="n">
        <f aca="false">0</f>
        <v>0</v>
      </c>
      <c r="M4670" s="38" t="n">
        <f aca="false">0</f>
        <v>0</v>
      </c>
      <c r="P4670" s="8" t="s">
        <v>808</v>
      </c>
    </row>
    <row r="4671" customFormat="false" ht="15" hidden="false" customHeight="false" outlineLevel="0" collapsed="false">
      <c r="A4671" s="3" t="s">
        <v>809</v>
      </c>
      <c r="B4671" s="8" t="s">
        <v>86</v>
      </c>
      <c r="C4671" s="38" t="n">
        <f aca="false">Sens!$C$4668-Sens!$C$4669</f>
        <v>36.176</v>
      </c>
      <c r="D4671" s="38" t="n">
        <f aca="false">Sens!$D$4668-Sens!$D$4669</f>
        <v>9.63700000000002</v>
      </c>
      <c r="E4671" s="38" t="n">
        <f aca="false">Sens!$E$4668-Sens!$E$4669</f>
        <v>-25.691</v>
      </c>
      <c r="F4671" s="38" t="n">
        <f aca="false">Sens!$F$4668-Sens!$F$4669</f>
        <v>-33.2271793268317</v>
      </c>
      <c r="G4671" s="38" t="n">
        <f aca="false">Sens!$G$4668-Sens!$G$4669</f>
        <v>-58.9181793268317</v>
      </c>
      <c r="H4671" s="38" t="n">
        <f aca="false">Sens!$H$4668-Sens!$H$4669</f>
        <v>-54.0908142121227</v>
      </c>
      <c r="I4671" s="38" t="n">
        <f aca="false">Sens!$I$4668-Sens!$I$4669</f>
        <v>-14.0658709378485</v>
      </c>
      <c r="J4671" s="38" t="n">
        <f aca="false">Sens!$J$4668-Sens!$J$4669</f>
        <v>27.6098005119457</v>
      </c>
      <c r="K4671" s="38" t="n">
        <f aca="false">Sens!$K$4668-Sens!$K$4669</f>
        <v>126.311651916002</v>
      </c>
      <c r="L4671" s="38" t="n">
        <f aca="false">Sens!$L$4668-Sens!$L$4669</f>
        <v>187.6887119984</v>
      </c>
      <c r="M4671" s="38" t="n">
        <f aca="false">Sens!$M$4668-Sens!$M$4669</f>
        <v>219.83442395849</v>
      </c>
    </row>
    <row r="4672" customFormat="false" ht="17.15" hidden="false" customHeight="false" outlineLevel="0" collapsed="false">
      <c r="A4672" s="5" t="s">
        <v>810</v>
      </c>
      <c r="B4672" s="0" t="s">
        <v>86</v>
      </c>
      <c r="E4672" s="38" t="n">
        <f aca="false">Q!$P$53</f>
        <v>39.767</v>
      </c>
      <c r="F4672" s="38" t="n">
        <f aca="false">inv_2h26</f>
        <v>21.3</v>
      </c>
      <c r="G4672" s="38" t="n">
        <f aca="false">Sens!$E$4672+Sens!$F$4672</f>
        <v>61.067</v>
      </c>
      <c r="H4672" s="39" t="n">
        <v>0</v>
      </c>
      <c r="I4672" s="39" t="n">
        <v>0</v>
      </c>
      <c r="J4672" s="39" t="n">
        <v>0</v>
      </c>
      <c r="K4672" s="39" t="n">
        <v>0</v>
      </c>
      <c r="L4672" s="39" t="n">
        <v>0</v>
      </c>
      <c r="M4672" s="39" t="n">
        <v>0</v>
      </c>
    </row>
    <row r="4673" customFormat="false" ht="17.15" hidden="false" customHeight="false" outlineLevel="0" collapsed="false">
      <c r="A4673" s="5" t="s">
        <v>811</v>
      </c>
      <c r="B4673" s="0" t="s">
        <v>86</v>
      </c>
      <c r="F4673" s="38" t="n">
        <f aca="false">iss_2h26</f>
        <v>29.249999</v>
      </c>
      <c r="G4673" s="38" t="n">
        <f aca="false">Sens!$F$4673</f>
        <v>29.249999</v>
      </c>
      <c r="H4673" s="39" t="n">
        <v>0</v>
      </c>
      <c r="I4673" s="39" t="n">
        <v>0</v>
      </c>
      <c r="J4673" s="39" t="n">
        <v>0</v>
      </c>
      <c r="K4673" s="39" t="n">
        <v>0</v>
      </c>
      <c r="L4673" s="39" t="n">
        <v>0</v>
      </c>
      <c r="M4673" s="39" t="n">
        <v>0</v>
      </c>
    </row>
    <row r="4674" customFormat="false" ht="17.15" hidden="false" customHeight="false" outlineLevel="0" collapsed="false">
      <c r="A4674" s="5" t="s">
        <v>812</v>
      </c>
      <c r="B4674" s="0" t="s">
        <v>86</v>
      </c>
      <c r="F4674" s="38" t="n">
        <f aca="false">cash_q2</f>
        <v>122.988</v>
      </c>
      <c r="G4674" s="38" t="n">
        <f aca="false">cash_q2</f>
        <v>122.988</v>
      </c>
      <c r="H4674" s="38" t="n">
        <f aca="false">Sens!$G$4677</f>
        <v>97.7108196731683</v>
      </c>
      <c r="I4674" s="38" t="n">
        <f aca="false">Sens!$H$4677</f>
        <v>50</v>
      </c>
      <c r="J4674" s="38" t="n">
        <f aca="false">Sens!$I$4677</f>
        <v>50</v>
      </c>
      <c r="K4674" s="38" t="n">
        <f aca="false">Sens!$J$4677</f>
        <v>77.6098005119457</v>
      </c>
      <c r="L4674" s="38" t="n">
        <f aca="false">Sens!$K$4677</f>
        <v>203.921452427948</v>
      </c>
      <c r="M4674" s="38" t="n">
        <f aca="false">Sens!$L$4677</f>
        <v>391.610164426349</v>
      </c>
    </row>
    <row r="4675" customFormat="false" ht="15" hidden="false" customHeight="false" outlineLevel="0" collapsed="false">
      <c r="A4675" s="5" t="s">
        <v>813</v>
      </c>
      <c r="B4675" s="0" t="s">
        <v>86</v>
      </c>
      <c r="F4675" s="38" t="n">
        <f aca="false">Sens!$F$4674+Sens!$F$4671-Sens!$F$4670-Sens!$F$4672+Sens!$F$4673</f>
        <v>97.7108196731683</v>
      </c>
      <c r="H4675" s="38" t="n">
        <f aca="false">Sens!$H$4674+Sens!$H$4671-Sens!$H$4670-Sens!$H$4672+Sens!$H$4673</f>
        <v>43.6200054610455</v>
      </c>
      <c r="I4675" s="38" t="n">
        <f aca="false">Sens!$I$4674+Sens!$I$4671-Sens!$I$4670-Sens!$I$4672+Sens!$I$4673</f>
        <v>35.9341290621515</v>
      </c>
      <c r="J4675" s="38" t="n">
        <f aca="false">Sens!$J$4674+Sens!$J$4671-Sens!$J$4670-Sens!$J$4672+Sens!$J$4673</f>
        <v>77.6098005119457</v>
      </c>
      <c r="K4675" s="38" t="n">
        <f aca="false">Sens!$K$4674+Sens!$K$4671-Sens!$K$4670-Sens!$K$4672+Sens!$K$4673</f>
        <v>203.921452427948</v>
      </c>
      <c r="L4675" s="38" t="n">
        <f aca="false">Sens!$L$4674+Sens!$L$4671-Sens!$L$4670-Sens!$L$4672+Sens!$L$4673</f>
        <v>391.610164426349</v>
      </c>
      <c r="M4675" s="38" t="n">
        <f aca="false">Sens!$M$4674+Sens!$M$4671-Sens!$M$4670-Sens!$M$4672+Sens!$M$4673</f>
        <v>611.444588384838</v>
      </c>
    </row>
    <row r="4676" customFormat="false" ht="17.15" hidden="false" customHeight="false" outlineLevel="0" collapsed="false">
      <c r="A4676" s="5" t="s">
        <v>814</v>
      </c>
      <c r="B4676" s="0" t="s">
        <v>86</v>
      </c>
      <c r="F4676" s="38" t="n">
        <f aca="false">MAX(0,min_cash-Sens!$F$4675)</f>
        <v>0</v>
      </c>
      <c r="G4676" s="38" t="n">
        <f aca="false">Sens!$F$4676</f>
        <v>0</v>
      </c>
      <c r="H4676" s="38" t="n">
        <f aca="false">MAX(0,min_cash-Sens!$H$4675)</f>
        <v>6.37999453895446</v>
      </c>
      <c r="I4676" s="38" t="n">
        <f aca="false">MAX(0,min_cash-Sens!$I$4675)</f>
        <v>14.0658709378485</v>
      </c>
      <c r="J4676" s="38" t="n">
        <f aca="false">MAX(0,min_cash-Sens!$J$4675)</f>
        <v>0</v>
      </c>
      <c r="K4676" s="38" t="n">
        <f aca="false">MAX(0,min_cash-Sens!$K$4675)</f>
        <v>0</v>
      </c>
      <c r="L4676" s="38" t="n">
        <f aca="false">MAX(0,min_cash-Sens!$L$4675)</f>
        <v>0</v>
      </c>
      <c r="M4676" s="38" t="n">
        <f aca="false">MAX(0,min_cash-Sens!$M$4675)</f>
        <v>0</v>
      </c>
      <c r="P4676" s="5" t="s">
        <v>815</v>
      </c>
    </row>
    <row r="4677" customFormat="false" ht="15" hidden="false" customHeight="false" outlineLevel="0" collapsed="false">
      <c r="A4677" s="5" t="s">
        <v>816</v>
      </c>
      <c r="B4677" s="0" t="s">
        <v>86</v>
      </c>
      <c r="D4677" s="38" t="n">
        <f aca="false">Q!$E$61</f>
        <v>123.029</v>
      </c>
      <c r="E4677" s="38" t="n">
        <f aca="false">Q!$M$61</f>
        <v>122.988</v>
      </c>
      <c r="F4677" s="38" t="n">
        <f aca="false">Sens!$F$4675+Sens!$F$4676</f>
        <v>97.7108196731683</v>
      </c>
      <c r="G4677" s="38" t="n">
        <f aca="false">Sens!$F$4677</f>
        <v>97.7108196731683</v>
      </c>
      <c r="H4677" s="38" t="n">
        <f aca="false">Sens!$H$4675+Sens!$H$4676</f>
        <v>50</v>
      </c>
      <c r="I4677" s="38" t="n">
        <f aca="false">Sens!$I$4675+Sens!$I$4676</f>
        <v>50</v>
      </c>
      <c r="J4677" s="38" t="n">
        <f aca="false">Sens!$J$4675+Sens!$J$4676</f>
        <v>77.6098005119457</v>
      </c>
      <c r="K4677" s="38" t="n">
        <f aca="false">Sens!$K$4675+Sens!$K$4676</f>
        <v>203.921452427948</v>
      </c>
      <c r="L4677" s="38" t="n">
        <f aca="false">Sens!$L$4675+Sens!$L$4676</f>
        <v>391.610164426349</v>
      </c>
      <c r="M4677" s="38" t="n">
        <f aca="false">Sens!$M$4675+Sens!$M$4676</f>
        <v>611.444588384838</v>
      </c>
    </row>
    <row r="4678" customFormat="false" ht="15" hidden="false" customHeight="false" outlineLevel="0" collapsed="false">
      <c r="A4678" s="5" t="s">
        <v>817</v>
      </c>
      <c r="B4678" s="0" t="s">
        <v>86</v>
      </c>
      <c r="D4678" s="38" t="n">
        <f aca="false">Q!$E$62</f>
        <v>68.836</v>
      </c>
      <c r="E4678" s="38" t="n">
        <f aca="false">Q!$M$62</f>
        <v>132.995</v>
      </c>
      <c r="F4678" s="38" t="n">
        <f aca="false">debt_q2+Sens!$F$4673+Sens!$F$4676</f>
        <v>162.244999</v>
      </c>
      <c r="G4678" s="38" t="n">
        <f aca="false">Sens!$F$4678</f>
        <v>162.244999</v>
      </c>
      <c r="H4678" s="38" t="n">
        <f aca="false">Sens!$G$4678+Sens!$H$4676</f>
        <v>168.624993538954</v>
      </c>
      <c r="I4678" s="38" t="n">
        <f aca="false">Sens!$H$4678+Sens!$I$4676</f>
        <v>182.690864476803</v>
      </c>
      <c r="J4678" s="38" t="n">
        <f aca="false">Sens!$I$4678+Sens!$J$4676</f>
        <v>182.690864476803</v>
      </c>
      <c r="K4678" s="38" t="n">
        <f aca="false">Sens!$J$4678+Sens!$K$4676</f>
        <v>182.690864476803</v>
      </c>
      <c r="L4678" s="38" t="n">
        <f aca="false">Sens!$K$4678+Sens!$L$4676</f>
        <v>182.690864476803</v>
      </c>
      <c r="M4678" s="38" t="n">
        <f aca="false">Sens!$L$4678+Sens!$M$4676</f>
        <v>182.690864476803</v>
      </c>
    </row>
    <row r="4679" customFormat="false" ht="15" hidden="false" customHeight="false" outlineLevel="0" collapsed="false">
      <c r="A4679" s="5" t="s">
        <v>818</v>
      </c>
      <c r="B4679" s="0" t="s">
        <v>86</v>
      </c>
      <c r="D4679" s="38" t="n">
        <f aca="false">Sens!$D$4678-Sens!$D$4677</f>
        <v>-54.193</v>
      </c>
      <c r="E4679" s="38" t="n">
        <f aca="false">Sens!$E$4678-Sens!$E$4677</f>
        <v>10.007</v>
      </c>
      <c r="F4679" s="38" t="n">
        <f aca="false">Sens!$F$4678-Sens!$F$4677</f>
        <v>64.5341793268317</v>
      </c>
      <c r="G4679" s="38" t="n">
        <f aca="false">Sens!$G$4678-Sens!$G$4677</f>
        <v>64.5341793268317</v>
      </c>
      <c r="H4679" s="38" t="n">
        <f aca="false">Sens!$H$4678-Sens!$H$4677</f>
        <v>118.624993538954</v>
      </c>
      <c r="I4679" s="38" t="n">
        <f aca="false">Sens!$I$4678-Sens!$I$4677</f>
        <v>132.690864476803</v>
      </c>
      <c r="J4679" s="38" t="n">
        <f aca="false">Sens!$J$4678-Sens!$J$4677</f>
        <v>105.081063964857</v>
      </c>
      <c r="K4679" s="38" t="n">
        <f aca="false">Sens!$K$4678-Sens!$K$4677</f>
        <v>-21.2305879511451</v>
      </c>
      <c r="L4679" s="38" t="n">
        <f aca="false">Sens!$L$4678-Sens!$L$4677</f>
        <v>-208.919299949546</v>
      </c>
      <c r="M4679" s="38" t="n">
        <f aca="false">Sens!$M$4678-Sens!$M$4677</f>
        <v>-428.753723908035</v>
      </c>
    </row>
    <row r="4680" customFormat="false" ht="17.15" hidden="false" customHeight="false" outlineLevel="0" collapsed="false">
      <c r="A4680" s="5" t="s">
        <v>819</v>
      </c>
      <c r="B4680" s="0" t="s">
        <v>86</v>
      </c>
      <c r="F4680" s="38" t="n">
        <f aca="false">debt_q2*kd_book*0.5+iss_2h26*kd_new*iss_t</f>
        <v>3.24888962733561</v>
      </c>
      <c r="H4680" s="38" t="n">
        <f aca="false">debt_q2*kd_book+(Sens!$G$4678-debt_q2)*kd_new</f>
        <v>7.42354172302123</v>
      </c>
      <c r="I4680" s="38" t="n">
        <f aca="false">debt_q2*kd_book+(Sens!$H$4678-debt_q2)*kd_new</f>
        <v>7.82739537733705</v>
      </c>
      <c r="J4680" s="38" t="n">
        <f aca="false">debt_q2*kd_book+(Sens!$I$4678-debt_q2)*kd_new</f>
        <v>8.71776500770285</v>
      </c>
      <c r="K4680" s="38" t="n">
        <f aca="false">debt_q2*kd_book+(Sens!$J$4678-debt_q2)*kd_new</f>
        <v>8.71776500770285</v>
      </c>
      <c r="L4680" s="38" t="n">
        <f aca="false">debt_q2*kd_book+(Sens!$K$4678-debt_q2)*kd_new</f>
        <v>8.71776500770285</v>
      </c>
      <c r="M4680" s="38" t="n">
        <f aca="false">debt_q2*kd_book+(Sens!$L$4678-debt_q2)*kd_new</f>
        <v>8.71776500770285</v>
      </c>
    </row>
    <row r="4681" customFormat="false" ht="17.15" hidden="false" customHeight="false" outlineLevel="0" collapsed="false">
      <c r="A4681" s="5" t="s">
        <v>820</v>
      </c>
      <c r="B4681" s="0" t="s">
        <v>86</v>
      </c>
      <c r="F4681" s="38" t="n">
        <f aca="false">cash_q2*y_cash*0.5</f>
        <v>2.59</v>
      </c>
      <c r="H4681" s="38" t="n">
        <f aca="false">Sens!$G$4677*y_cash</f>
        <v>4.1153774832261</v>
      </c>
      <c r="I4681" s="38" t="n">
        <f aca="false">Sens!$H$4677*y_cash</f>
        <v>2.10589651022864</v>
      </c>
      <c r="J4681" s="38" t="n">
        <f aca="false">Sens!$I$4677*y_cash</f>
        <v>2.10589651022864</v>
      </c>
      <c r="K4681" s="38" t="n">
        <f aca="false">Sens!$J$4677*y_cash</f>
        <v>3.26876416115295</v>
      </c>
      <c r="L4681" s="38" t="n">
        <f aca="false">Sens!$K$4677*y_cash</f>
        <v>8.58874950057543</v>
      </c>
      <c r="M4681" s="38" t="n">
        <f aca="false">Sens!$L$4677*y_cash</f>
        <v>16.4938095727102</v>
      </c>
    </row>
    <row r="4682" customFormat="false" ht="17.15" hidden="false" customHeight="false" outlineLevel="0" collapsed="false">
      <c r="A4682" s="47" t="s">
        <v>821</v>
      </c>
      <c r="B4682" s="14" t="s">
        <v>86</v>
      </c>
      <c r="C4682" s="14"/>
      <c r="D4682" s="14"/>
      <c r="E4682" s="14"/>
      <c r="F4682" s="14"/>
      <c r="G4682" s="48" t="n">
        <f aca="false">SUM(Sens!$G$4671:$K$4671)</f>
        <v>26.8465879511451</v>
      </c>
      <c r="H4682" s="14"/>
      <c r="I4682" s="14"/>
      <c r="J4682" s="14"/>
      <c r="K4682" s="14"/>
      <c r="L4682" s="14"/>
      <c r="M4682" s="14"/>
      <c r="N4682" s="14"/>
      <c r="O4682" s="14"/>
    </row>
    <row r="4683" customFormat="false" ht="17.15" hidden="false" customHeight="false" outlineLevel="0" collapsed="false">
      <c r="A4683" s="0" t="s">
        <v>787</v>
      </c>
      <c r="B4683" s="0" t="s">
        <v>86</v>
      </c>
      <c r="G4683" s="38" t="n">
        <f aca="false">SUM(Sens!$G$4676:$K$4676)</f>
        <v>20.4458654768029</v>
      </c>
    </row>
    <row r="4684" customFormat="false" ht="17.15" hidden="false" customHeight="false" outlineLevel="0" collapsed="false">
      <c r="A4684" s="24" t="s">
        <v>824</v>
      </c>
      <c r="B4684" s="25" t="s">
        <v>86</v>
      </c>
      <c r="C4684" s="25"/>
      <c r="D4684" s="25"/>
      <c r="E4684" s="25"/>
      <c r="F4684" s="25"/>
      <c r="G4684" s="41" t="n">
        <f aca="false">Sens!$G$4682-(Sens!$G$4671+Sens!$H$4671+Sens!$I$4671+Sens!$J$4671+Sens!$K$4671)</f>
        <v>0</v>
      </c>
      <c r="H4684" s="25"/>
      <c r="I4684" s="25"/>
      <c r="J4684" s="25"/>
      <c r="K4684" s="25"/>
      <c r="L4684" s="25"/>
      <c r="M4684" s="25"/>
      <c r="N4684" s="25"/>
      <c r="O4684" s="25"/>
    </row>
    <row r="4687" customFormat="false" ht="19.4" hidden="false" customHeight="false" outlineLevel="0" collapsed="false">
      <c r="A4687" s="31" t="s">
        <v>1246</v>
      </c>
    </row>
    <row r="4688" customFormat="false" ht="17.15" hidden="false" customHeight="false" outlineLevel="0" collapsed="false">
      <c r="A4688" s="6" t="s">
        <v>16</v>
      </c>
      <c r="B4688" s="6" t="s">
        <v>17</v>
      </c>
      <c r="C4688" s="20" t="s">
        <v>504</v>
      </c>
      <c r="D4688" s="20" t="s">
        <v>505</v>
      </c>
      <c r="E4688" s="20" t="s">
        <v>587</v>
      </c>
      <c r="F4688" s="20" t="s">
        <v>588</v>
      </c>
      <c r="G4688" s="20" t="s">
        <v>589</v>
      </c>
      <c r="H4688" s="20" t="s">
        <v>590</v>
      </c>
      <c r="I4688" s="20" t="s">
        <v>591</v>
      </c>
      <c r="J4688" s="20" t="s">
        <v>592</v>
      </c>
      <c r="K4688" s="20" t="s">
        <v>593</v>
      </c>
      <c r="L4688" s="20" t="s">
        <v>594</v>
      </c>
      <c r="M4688" s="20" t="s">
        <v>595</v>
      </c>
      <c r="N4688" s="20" t="s">
        <v>596</v>
      </c>
      <c r="O4688" s="20" t="s">
        <v>597</v>
      </c>
      <c r="P4688" s="6" t="s">
        <v>23</v>
      </c>
      <c r="R4688" s="20" t="n">
        <v>2023</v>
      </c>
      <c r="S4688" s="20" t="n">
        <v>2024</v>
      </c>
      <c r="T4688" s="20" t="n">
        <v>2025</v>
      </c>
      <c r="U4688" s="20" t="n">
        <v>2026</v>
      </c>
      <c r="V4688" s="20" t="n">
        <v>2027</v>
      </c>
      <c r="W4688" s="20" t="n">
        <v>2028</v>
      </c>
      <c r="X4688" s="20" t="n">
        <v>2029</v>
      </c>
      <c r="Y4688" s="20" t="n">
        <v>2030</v>
      </c>
      <c r="Z4688" s="20" t="n">
        <v>2031</v>
      </c>
      <c r="AA4688" s="20" t="n">
        <v>2032</v>
      </c>
    </row>
    <row r="4689" customFormat="false" ht="17.15" hidden="false" customHeight="false" outlineLevel="0" collapsed="false">
      <c r="A4689" s="1" t="s">
        <v>926</v>
      </c>
    </row>
    <row r="4690" customFormat="false" ht="17.15" hidden="false" customHeight="false" outlineLevel="0" collapsed="false">
      <c r="A4690" s="0" t="s">
        <v>927</v>
      </c>
      <c r="B4690" s="0" t="s">
        <v>86</v>
      </c>
      <c r="H4690" s="38" t="n">
        <f aca="false">Sens!$H$4624*(1-tax)</f>
        <v>119.82284376187</v>
      </c>
      <c r="I4690" s="38" t="n">
        <f aca="false">Sens!$I$4624*(1-tax)</f>
        <v>142.180926030731</v>
      </c>
      <c r="J4690" s="38" t="n">
        <f aca="false">Sens!$J$4624*(1-tax)</f>
        <v>167.359681304777</v>
      </c>
      <c r="K4690" s="38" t="n">
        <f aca="false">Sens!$K$4624*(1-tax)</f>
        <v>186.326335059997</v>
      </c>
      <c r="L4690" s="38" t="n">
        <f aca="false">Sens!$L$4624*(1-tax)</f>
        <v>202.537028435545</v>
      </c>
      <c r="M4690" s="38" t="n">
        <f aca="false">Sens!$M$4624*(1-tax)</f>
        <v>217.482232529323</v>
      </c>
    </row>
    <row r="4691" customFormat="false" ht="15" hidden="false" customHeight="false" outlineLevel="0" collapsed="false">
      <c r="A4691" s="5" t="s">
        <v>928</v>
      </c>
      <c r="B4691" s="0" t="s">
        <v>86</v>
      </c>
      <c r="H4691" s="38" t="n">
        <f aca="false">Sens!$H$4635</f>
        <v>81.5831106680867</v>
      </c>
      <c r="I4691" s="38" t="n">
        <f aca="false">Sens!$I$4635</f>
        <v>118.832484210119</v>
      </c>
      <c r="J4691" s="38" t="n">
        <f aca="false">Sens!$J$4635</f>
        <v>152.647141240246</v>
      </c>
      <c r="K4691" s="38" t="n">
        <f aca="false">Sens!$K$4635</f>
        <v>186.727479426591</v>
      </c>
      <c r="L4691" s="38" t="n">
        <f aca="false">Sens!$L$4635</f>
        <v>212.454829256679</v>
      </c>
      <c r="M4691" s="38" t="n">
        <f aca="false">Sens!$M$4635</f>
        <v>229.77321063393</v>
      </c>
    </row>
    <row r="4692" customFormat="false" ht="15" hidden="false" customHeight="false" outlineLevel="0" collapsed="false">
      <c r="A4692" s="5" t="s">
        <v>929</v>
      </c>
      <c r="B4692" s="0" t="s">
        <v>86</v>
      </c>
      <c r="H4692" s="38" t="n">
        <f aca="false">Sens!$H$4666</f>
        <v>273.409545942546</v>
      </c>
      <c r="I4692" s="38" t="n">
        <f aca="false">Sens!$I$4666</f>
        <v>287.113908515032</v>
      </c>
      <c r="J4692" s="38" t="n">
        <f aca="false">Sens!$J$4666</f>
        <v>299.62417647811</v>
      </c>
      <c r="K4692" s="38" t="n">
        <f aca="false">Sens!$K$4666</f>
        <v>251.639000833303</v>
      </c>
      <c r="L4692" s="38" t="n">
        <f aca="false">Sens!$L$4666</f>
        <v>235.611442993267</v>
      </c>
      <c r="M4692" s="38" t="n">
        <f aca="false">Sens!$M$4666</f>
        <v>243.60914993564</v>
      </c>
    </row>
    <row r="4693" customFormat="false" ht="15" hidden="false" customHeight="false" outlineLevel="0" collapsed="false">
      <c r="A4693" s="5" t="s">
        <v>930</v>
      </c>
      <c r="B4693" s="0" t="s">
        <v>86</v>
      </c>
      <c r="H4693" s="38" t="n">
        <f aca="false">Sens!$H$4667</f>
        <v>1.6</v>
      </c>
      <c r="I4693" s="38" t="n">
        <f aca="false">Sens!$I$4667</f>
        <v>1.6</v>
      </c>
      <c r="J4693" s="38" t="n">
        <f aca="false">Sens!$J$4667</f>
        <v>1.6</v>
      </c>
      <c r="K4693" s="38" t="n">
        <f aca="false">Sens!$K$4667</f>
        <v>1.6</v>
      </c>
      <c r="L4693" s="38" t="n">
        <f aca="false">Sens!$L$4667</f>
        <v>1.6</v>
      </c>
      <c r="M4693" s="38" t="n">
        <f aca="false">Sens!$M$4667</f>
        <v>1.6</v>
      </c>
    </row>
    <row r="4694" customFormat="false" ht="15" hidden="false" customHeight="false" outlineLevel="0" collapsed="false">
      <c r="A4694" s="5" t="s">
        <v>931</v>
      </c>
      <c r="B4694" s="0" t="s">
        <v>86</v>
      </c>
      <c r="H4694" s="38" t="n">
        <f aca="false">Sens!$H$4661</f>
        <v>11.3003087339632</v>
      </c>
      <c r="I4694" s="38" t="n">
        <f aca="false">Sens!$I$4661</f>
        <v>12.8359536315124</v>
      </c>
      <c r="J4694" s="38" t="n">
        <f aca="false">Sens!$J$4661</f>
        <v>14.322982434532</v>
      </c>
      <c r="K4694" s="38" t="n">
        <f aca="false">Sens!$K$4661</f>
        <v>15.6508060816994</v>
      </c>
      <c r="L4694" s="38" t="n">
        <f aca="false">Sens!$L$4661</f>
        <v>16.9062270130348</v>
      </c>
      <c r="M4694" s="38" t="n">
        <f aca="false">Sens!$M$4661</f>
        <v>18.0955910718331</v>
      </c>
    </row>
    <row r="4695" customFormat="false" ht="17.15" hidden="false" customHeight="false" outlineLevel="0" collapsed="false">
      <c r="A4695" s="1" t="s">
        <v>932</v>
      </c>
      <c r="B4695" s="8" t="s">
        <v>86</v>
      </c>
      <c r="H4695" s="38" t="n">
        <f aca="false">Sens!$H$4690+Sens!$H$4691-Sens!$H$4692-Sens!$H$4693+Sens!$H$4694</f>
        <v>-62.3032827786265</v>
      </c>
      <c r="I4695" s="38" t="n">
        <f aca="false">Sens!$I$4690+Sens!$I$4691-Sens!$I$4692-Sens!$I$4693+Sens!$I$4694</f>
        <v>-14.86454464267</v>
      </c>
      <c r="J4695" s="38" t="n">
        <f aca="false">Sens!$J$4690+Sens!$J$4691-Sens!$J$4692-Sens!$J$4693+Sens!$J$4694</f>
        <v>33.1056285014452</v>
      </c>
      <c r="K4695" s="38" t="n">
        <f aca="false">Sens!$K$4690+Sens!$K$4691-Sens!$K$4692-Sens!$K$4693+Sens!$K$4694</f>
        <v>135.465619734984</v>
      </c>
      <c r="L4695" s="38" t="n">
        <f aca="false">Sens!$L$4690+Sens!$L$4691-Sens!$L$4692-Sens!$L$4693+Sens!$L$4694</f>
        <v>194.686641711992</v>
      </c>
      <c r="M4695" s="38" t="n">
        <f aca="false">Sens!$M$4690+Sens!$M$4691-Sens!$M$4692-Sens!$M$4693+Sens!$M$4694</f>
        <v>220.141884299446</v>
      </c>
    </row>
    <row r="4696" customFormat="false" ht="15" hidden="false" customHeight="false" outlineLevel="0" collapsed="false">
      <c r="A4696" s="5" t="s">
        <v>933</v>
      </c>
      <c r="B4696" s="0" t="s">
        <v>57</v>
      </c>
      <c r="H4696" s="40" t="n">
        <f aca="false">1/(1+wacc)^(2027-2026-0.5)</f>
        <v>0.947751320380232</v>
      </c>
      <c r="I4696" s="40" t="n">
        <f aca="false">1/(1+wacc)^(2028-2026-0.5)</f>
        <v>0.851301099754987</v>
      </c>
      <c r="J4696" s="40" t="n">
        <f aca="false">1/(1+wacc)^(2029-2026-0.5)</f>
        <v>0.764666370660713</v>
      </c>
      <c r="K4696" s="40" t="n">
        <f aca="false">1/(1+wacc)^(2030-2026-0.5)</f>
        <v>0.686848235703811</v>
      </c>
      <c r="L4696" s="40" t="n">
        <f aca="false">1/(1+wacc)^(2031-2026-0.5)</f>
        <v>0.616949452715975</v>
      </c>
      <c r="M4696" s="40" t="n">
        <f aca="false">1/(1+wacc)^(2032-2026-0.5)</f>
        <v>0.554164089562688</v>
      </c>
    </row>
    <row r="4697" customFormat="false" ht="15" hidden="false" customHeight="false" outlineLevel="0" collapsed="false">
      <c r="A4697" s="5" t="s">
        <v>934</v>
      </c>
      <c r="B4697" s="0" t="s">
        <v>86</v>
      </c>
      <c r="H4697" s="38" t="n">
        <f aca="false">Sens!$H$4695*Sens!$H$4696</f>
        <v>-59.0480185174662</v>
      </c>
      <c r="I4697" s="38" t="n">
        <f aca="false">Sens!$I$4695*Sens!$I$4696</f>
        <v>-12.6542032016621</v>
      </c>
      <c r="J4697" s="38" t="n">
        <f aca="false">Sens!$J$4695*Sens!$J$4696</f>
        <v>25.314760794642</v>
      </c>
      <c r="K4697" s="38" t="n">
        <f aca="false">Sens!$K$4695*Sens!$K$4696</f>
        <v>93.0443219134973</v>
      </c>
      <c r="L4697" s="38" t="n">
        <f aca="false">Sens!$L$4695*Sens!$L$4696</f>
        <v>120.111817055325</v>
      </c>
      <c r="M4697" s="38" t="n">
        <f aca="false">Sens!$M$4695*Sens!$M$4696</f>
        <v>121.994726887417</v>
      </c>
    </row>
    <row r="4698" customFormat="false" ht="15" hidden="false" customHeight="false" outlineLevel="0" collapsed="false">
      <c r="A4698" s="5" t="s">
        <v>935</v>
      </c>
      <c r="B4698" s="0" t="s">
        <v>86</v>
      </c>
      <c r="C4698" s="38" t="n">
        <f aca="false">SUM(Sens!$H$4697:$M$4697)</f>
        <v>288.763404931753</v>
      </c>
    </row>
    <row r="4699" customFormat="false" ht="17.15" hidden="false" customHeight="false" outlineLevel="0" collapsed="false">
      <c r="A4699" s="5" t="s">
        <v>936</v>
      </c>
      <c r="B4699" s="0" t="s">
        <v>86</v>
      </c>
      <c r="C4699" s="38" t="n">
        <f aca="false">Sens!$M$4690*(1+tg)*(1-tg/ronic)/(wacc-tg)</f>
        <v>1977.15617864902</v>
      </c>
    </row>
    <row r="4700" customFormat="false" ht="15" hidden="false" customHeight="false" outlineLevel="0" collapsed="false">
      <c r="A4700" s="5" t="s">
        <v>937</v>
      </c>
      <c r="B4700" s="0" t="s">
        <v>86</v>
      </c>
      <c r="C4700" s="38" t="n">
        <f aca="false">Sens!$C$4699/(1+wacc)^6</f>
        <v>1038.42169753495</v>
      </c>
    </row>
    <row r="4701" customFormat="false" ht="17.15" hidden="false" customHeight="false" outlineLevel="0" collapsed="false">
      <c r="A4701" s="5" t="s">
        <v>938</v>
      </c>
      <c r="B4701" s="0" t="s">
        <v>86</v>
      </c>
      <c r="C4701" s="38" t="n">
        <f aca="false">Sens!$C$4698+Sens!$C$4700</f>
        <v>1327.1851024667</v>
      </c>
    </row>
    <row r="4702" customFormat="false" ht="17.15" hidden="false" customHeight="false" outlineLevel="0" collapsed="false">
      <c r="A4702" s="5" t="s">
        <v>939</v>
      </c>
      <c r="B4702" s="0" t="s">
        <v>52</v>
      </c>
      <c r="C4702" s="13" t="n">
        <f aca="false">Sens!$C$4700/Sens!$C$4701</f>
        <v>0.78242416645948</v>
      </c>
    </row>
    <row r="4703" customFormat="false" ht="17.15" hidden="false" customHeight="false" outlineLevel="0" collapsed="false">
      <c r="A4703" s="5" t="s">
        <v>940</v>
      </c>
      <c r="B4703" s="0" t="s">
        <v>86</v>
      </c>
      <c r="C4703" s="38" t="n">
        <f aca="false">Sens!$G$4679+fin_debt</f>
        <v>89.0551793268317</v>
      </c>
    </row>
    <row r="4704" customFormat="false" ht="17.15" hidden="false" customHeight="false" outlineLevel="0" collapsed="false">
      <c r="A4704" s="5" t="s">
        <v>941</v>
      </c>
      <c r="B4704" s="0" t="s">
        <v>86</v>
      </c>
      <c r="C4704" s="38" t="n">
        <f aca="false">(ant_val*ant_sh+oai_val*oai_sh)*(1-liq_disc)</f>
        <v>178.944</v>
      </c>
    </row>
    <row r="4705" customFormat="false" ht="15" hidden="false" customHeight="false" outlineLevel="0" collapsed="false">
      <c r="A4705" s="5" t="s">
        <v>942</v>
      </c>
      <c r="B4705" s="0" t="s">
        <v>86</v>
      </c>
      <c r="C4705" s="38" t="n">
        <f aca="false">Sens!$C$4701-Sens!$C$4703+Sens!$C$4704</f>
        <v>1417.07392313987</v>
      </c>
    </row>
    <row r="4706" customFormat="false" ht="17.15" hidden="false" customHeight="false" outlineLevel="0" collapsed="false">
      <c r="A4706" s="5" t="s">
        <v>943</v>
      </c>
      <c r="B4706" s="0" t="s">
        <v>27</v>
      </c>
      <c r="C4706" s="30" t="n">
        <f aca="false">Sens!$C$4705/sh_out</f>
        <v>131.377032333739</v>
      </c>
    </row>
    <row r="4707" customFormat="false" ht="17.15" hidden="false" customHeight="false" outlineLevel="0" collapsed="false">
      <c r="A4707" s="1" t="s">
        <v>944</v>
      </c>
      <c r="B4707" s="8" t="s">
        <v>27</v>
      </c>
      <c r="C4707" s="30" t="n">
        <f aca="false">Sens!$C$4706*(1+ke)^tp_yf-dps*tp_yf</f>
        <v>143.906308360669</v>
      </c>
    </row>
    <row r="4708" customFormat="false" ht="17.15" hidden="false" customHeight="false" outlineLevel="0" collapsed="false">
      <c r="A4708" s="3" t="s">
        <v>945</v>
      </c>
    </row>
    <row r="4709" customFormat="false" ht="17.15" hidden="false" customHeight="false" outlineLevel="0" collapsed="false">
      <c r="A4709" s="5" t="s">
        <v>946</v>
      </c>
      <c r="B4709" s="0" t="s">
        <v>86</v>
      </c>
      <c r="C4709" s="38" t="n">
        <f aca="false">(1-tp_yf)*(Sens!$H$4636+sbc_ab*Sens!$H$4660*Sens!$H$4497/Sens!$H$4577)+tp_yf*(Sens!$I$4636+sbc_ab*Sens!$I$4660*Sens!$I$4497/Sens!$I$4577)</f>
        <v>60.6577179255492</v>
      </c>
    </row>
    <row r="4710" customFormat="false" ht="15" hidden="false" customHeight="false" outlineLevel="0" collapsed="false">
      <c r="A4710" s="5" t="s">
        <v>947</v>
      </c>
      <c r="B4710" s="0" t="s">
        <v>57</v>
      </c>
      <c r="C4710" s="30" t="n">
        <f aca="false">m_ads*m_x</f>
        <v>9.11</v>
      </c>
    </row>
    <row r="4711" customFormat="false" ht="17.15" hidden="false" customHeight="false" outlineLevel="0" collapsed="false">
      <c r="A4711" s="5" t="s">
        <v>948</v>
      </c>
      <c r="B4711" s="0" t="s">
        <v>86</v>
      </c>
      <c r="C4711" s="38" t="n">
        <f aca="false">Sens!$C$4709*Sens!$C$4710</f>
        <v>552.591810301753</v>
      </c>
    </row>
    <row r="4712" customFormat="false" ht="17.15" hidden="false" customHeight="false" outlineLevel="0" collapsed="false">
      <c r="A4712" s="5" t="s">
        <v>949</v>
      </c>
      <c r="B4712" s="0" t="s">
        <v>86</v>
      </c>
      <c r="C4712" s="38" t="n">
        <f aca="false">(1-tp_yf)*(Sens!$H$4637+sbc_ab*Sens!$H$4660*(Sens!$H$4504-Sens!$H$4497)/Sens!$H$4577+IF(internal_ai_reading=2,1,0)*(1-ext_sh)*Sens!$H$4534)+tp_yf*(Sens!$I$4637+sbc_ab*Sens!$I$4660*(Sens!$I$4504-Sens!$I$4497)/Sens!$I$4577+IF(internal_ai_reading=2,1,0)*(1-ext_sh)*Sens!$I$4534)</f>
        <v>51.7616641750698</v>
      </c>
    </row>
    <row r="4713" customFormat="false" ht="17.15" hidden="false" customHeight="false" outlineLevel="0" collapsed="false">
      <c r="A4713" s="5" t="s">
        <v>950</v>
      </c>
      <c r="B4713" s="0" t="s">
        <v>57</v>
      </c>
      <c r="C4713" s="30" t="n">
        <f aca="false">m_retail*m_x</f>
        <v>17.72</v>
      </c>
    </row>
    <row r="4714" customFormat="false" ht="17.15" hidden="false" customHeight="false" outlineLevel="0" collapsed="false">
      <c r="A4714" s="5" t="s">
        <v>951</v>
      </c>
      <c r="B4714" s="0" t="s">
        <v>86</v>
      </c>
      <c r="C4714" s="38" t="n">
        <f aca="false">Sens!$C$4712*Sens!$C$4713</f>
        <v>917.216689182238</v>
      </c>
    </row>
    <row r="4715" customFormat="false" ht="17.15" hidden="false" customHeight="false" outlineLevel="0" collapsed="false">
      <c r="A4715" s="0" t="s">
        <v>952</v>
      </c>
      <c r="B4715" s="0" t="s">
        <v>86</v>
      </c>
      <c r="C4715" s="38" t="n">
        <f aca="false">(1-tp_yf)*(Sens!$H$4638+sbc_ab*Sens!$H$4660*Sens!$H$4575/Sens!$H$4577)+tp_yf*(Sens!$I$4638+sbc_ab*Sens!$I$4660*Sens!$I$4575/Sens!$I$4577)</f>
        <v>97.2337130506861</v>
      </c>
    </row>
    <row r="4716" customFormat="false" ht="17.15" hidden="false" customHeight="false" outlineLevel="0" collapsed="false">
      <c r="A4716" s="0" t="s">
        <v>953</v>
      </c>
      <c r="B4716" s="0" t="s">
        <v>57</v>
      </c>
      <c r="C4716" s="30" t="n">
        <f aca="false">m_cloud*m_x</f>
        <v>13.82</v>
      </c>
    </row>
    <row r="4717" customFormat="false" ht="17.15" hidden="false" customHeight="false" outlineLevel="0" collapsed="false">
      <c r="A4717" s="0" t="s">
        <v>954</v>
      </c>
      <c r="B4717" s="0" t="s">
        <v>86</v>
      </c>
      <c r="C4717" s="38" t="n">
        <f aca="false">Sens!$C$4715*Sens!$C$4716</f>
        <v>1343.76991436048</v>
      </c>
    </row>
    <row r="4718" customFormat="false" ht="17.15" hidden="false" customHeight="false" outlineLevel="0" collapsed="false">
      <c r="A4718" s="0" t="s">
        <v>955</v>
      </c>
      <c r="B4718" s="0" t="s">
        <v>86</v>
      </c>
      <c r="H4718" s="38" t="n">
        <f aca="false">Sens!$H$4556-tax*Sens!$H$4557-ext_sh*Sens!$H$4541</f>
        <v>-115.41576008619</v>
      </c>
      <c r="I4718" s="38" t="n">
        <f aca="false">Sens!$I$4556-tax*Sens!$I$4557-ext_sh*Sens!$I$4541</f>
        <v>-88.5401912683161</v>
      </c>
      <c r="J4718" s="38" t="n">
        <f aca="false">Sens!$J$4556-tax*Sens!$J$4557-ext_sh*Sens!$J$4541</f>
        <v>-61.2977422866746</v>
      </c>
      <c r="K4718" s="38" t="n">
        <f aca="false">Sens!$K$4556-tax*Sens!$K$4557-ext_sh*Sens!$K$4541</f>
        <v>9.91264760007891</v>
      </c>
      <c r="L4718" s="38" t="n">
        <f aca="false">Sens!$L$4556-tax*Sens!$L$4557-ext_sh*Sens!$L$4541</f>
        <v>46.750156871371</v>
      </c>
      <c r="M4718" s="38" t="n">
        <f aca="false">Sens!$M$4556-tax*Sens!$M$4557-ext_sh*Sens!$M$4541</f>
        <v>55.5634749071557</v>
      </c>
    </row>
    <row r="4719" customFormat="false" ht="17.15" hidden="false" customHeight="false" outlineLevel="0" collapsed="false">
      <c r="A4719" s="5" t="s">
        <v>956</v>
      </c>
      <c r="B4719" s="0" t="s">
        <v>86</v>
      </c>
      <c r="H4719" s="38" t="n">
        <f aca="false">Sens!$H$4718*Sens!$H$4696</f>
        <v>-109.385439014374</v>
      </c>
      <c r="I4719" s="38" t="n">
        <f aca="false">Sens!$I$4718*Sens!$I$4696</f>
        <v>-75.3743621992344</v>
      </c>
      <c r="J4719" s="38" t="n">
        <f aca="false">Sens!$J$4718*Sens!$J$4696</f>
        <v>-46.8723221240472</v>
      </c>
      <c r="K4719" s="38" t="n">
        <f aca="false">Sens!$K$4718*Sens!$K$4696</f>
        <v>6.80848451526782</v>
      </c>
      <c r="L4719" s="38" t="n">
        <f aca="false">Sens!$L$4718*Sens!$L$4696</f>
        <v>28.8424836961783</v>
      </c>
      <c r="M4719" s="38" t="n">
        <f aca="false">Sens!$M$4718*Sens!$M$4696</f>
        <v>30.7912824848632</v>
      </c>
    </row>
    <row r="4720" customFormat="false" ht="17.15" hidden="false" customHeight="false" outlineLevel="0" collapsed="false">
      <c r="A4720" s="5" t="s">
        <v>957</v>
      </c>
      <c r="B4720" s="0" t="s">
        <v>86</v>
      </c>
      <c r="C4720" s="38" t="n">
        <f aca="false">Sens!$M$4557*(1-tax)*(1+tg)*(1-tg/ronic)/(wacc-tg)</f>
        <v>356.180381489473</v>
      </c>
    </row>
    <row r="4721" customFormat="false" ht="17.15" hidden="false" customHeight="false" outlineLevel="0" collapsed="false">
      <c r="A4721" s="0" t="s">
        <v>958</v>
      </c>
      <c r="B4721" s="0" t="s">
        <v>86</v>
      </c>
      <c r="C4721" s="38" t="n">
        <f aca="false">(SUM(Sens!$I$4719:$M$4719)+Sens!$C$4720/(1+wacc)^6)*(1+wacc)^tp_yf</f>
        <v>143.3703803388</v>
      </c>
    </row>
    <row r="4722" customFormat="false" ht="17.15" hidden="false" customHeight="false" outlineLevel="0" collapsed="false">
      <c r="A4722" s="5" t="s">
        <v>959</v>
      </c>
      <c r="B4722" s="0" t="s">
        <v>86</v>
      </c>
      <c r="C4722" s="38" t="n">
        <f aca="false">(1-tp_yf)*(Sens!$H$4639)+tp_yf*(Sens!$I$4639)</f>
        <v>74.6707041238437</v>
      </c>
    </row>
    <row r="4723" customFormat="false" ht="17.15" hidden="false" customHeight="false" outlineLevel="0" collapsed="false">
      <c r="A4723" s="5" t="s">
        <v>960</v>
      </c>
      <c r="B4723" s="0" t="s">
        <v>86</v>
      </c>
      <c r="C4723" s="38" t="n">
        <f aca="false">Sens!$C$4722*m_ai</f>
        <v>448.024224743062</v>
      </c>
    </row>
    <row r="4724" customFormat="false" ht="17.15" hidden="false" customHeight="false" outlineLevel="0" collapsed="false">
      <c r="A4724" s="0" t="s">
        <v>961</v>
      </c>
      <c r="B4724" s="0" t="s">
        <v>86</v>
      </c>
      <c r="C4724" s="38" t="n">
        <f aca="false">IF(ai_leg=1,Sens!$C$4721,Sens!$C$4723)</f>
        <v>143.3703803388</v>
      </c>
    </row>
    <row r="4725" customFormat="false" ht="17.15" hidden="false" customHeight="false" outlineLevel="0" collapsed="false">
      <c r="A4725" s="5" t="s">
        <v>962</v>
      </c>
      <c r="B4725" s="0" t="s">
        <v>86</v>
      </c>
      <c r="C4725" s="38" t="n">
        <f aca="false">Sens!$C$4711+Sens!$C$4714+Sens!$C$4717+Sens!$C$4724</f>
        <v>2956.94879418327</v>
      </c>
    </row>
    <row r="4726" customFormat="false" ht="17.15" hidden="false" customHeight="false" outlineLevel="0" collapsed="false">
      <c r="A4726" s="5" t="s">
        <v>963</v>
      </c>
      <c r="B4726" s="0" t="s">
        <v>86</v>
      </c>
      <c r="C4726" s="38" t="n">
        <f aca="false">Sens!$H$4679+fin_debt</f>
        <v>143.145993538954</v>
      </c>
    </row>
    <row r="4727" customFormat="false" ht="15" hidden="false" customHeight="false" outlineLevel="0" collapsed="false">
      <c r="A4727" s="5" t="s">
        <v>964</v>
      </c>
      <c r="B4727" s="0" t="s">
        <v>86</v>
      </c>
      <c r="C4727" s="38" t="n">
        <f aca="false">Sens!$C$4725-Sens!$C$4726+Sens!$C$4704</f>
        <v>2992.74680064432</v>
      </c>
    </row>
    <row r="4728" customFormat="false" ht="15" hidden="false" customHeight="false" outlineLevel="0" collapsed="false">
      <c r="A4728" s="3" t="s">
        <v>965</v>
      </c>
      <c r="B4728" s="8" t="s">
        <v>27</v>
      </c>
      <c r="C4728" s="30" t="n">
        <f aca="false">Sens!$C$4727/sh_val</f>
        <v>271.320181877353</v>
      </c>
    </row>
    <row r="4729" customFormat="false" ht="17.15" hidden="false" customHeight="false" outlineLevel="0" collapsed="false">
      <c r="A4729" s="47" t="s">
        <v>966</v>
      </c>
      <c r="B4729" s="14" t="s">
        <v>27</v>
      </c>
      <c r="C4729" s="44" t="n">
        <f aca="false">w_dcf*Sens!$C$4707+(1-w_dcf)*Sens!$C$4728</f>
        <v>207.613245119011</v>
      </c>
      <c r="D4729" s="14"/>
      <c r="E4729" s="14"/>
      <c r="F4729" s="14"/>
      <c r="G4729" s="14"/>
      <c r="H4729" s="14"/>
      <c r="I4729" s="14"/>
      <c r="J4729" s="14"/>
      <c r="K4729" s="14"/>
      <c r="L4729" s="14"/>
      <c r="M4729" s="14"/>
      <c r="N4729" s="14"/>
      <c r="O4729" s="14"/>
    </row>
    <row r="4730" customFormat="false" ht="17.15" hidden="false" customHeight="false" outlineLevel="0" collapsed="false">
      <c r="A4730" s="5" t="s">
        <v>967</v>
      </c>
      <c r="B4730" s="0" t="s">
        <v>27</v>
      </c>
      <c r="C4730" s="30" t="n">
        <f aca="false">v022_wdcf*Sens!$C$4707+(1-v022_wdcf)*Sens!$C$4728</f>
        <v>213.983938794845</v>
      </c>
    </row>
    <row r="4731" customFormat="false" ht="17.15" hidden="false" customHeight="false" outlineLevel="0" collapsed="false">
      <c r="A4731" s="5" t="s">
        <v>968</v>
      </c>
      <c r="B4731" s="0" t="s">
        <v>27</v>
      </c>
      <c r="C4731" s="30" t="n">
        <f aca="false">(Sens!$C$4727-Sens!$C$4724+Sens!$C$4723)/sh_val</f>
        <v>298.939871072445</v>
      </c>
    </row>
    <row r="4734" customFormat="false" ht="19.4" hidden="false" customHeight="false" outlineLevel="0" collapsed="false">
      <c r="A4734" s="31" t="s">
        <v>1247</v>
      </c>
    </row>
    <row r="4735" customFormat="false" ht="17.15" hidden="false" customHeight="false" outlineLevel="0" collapsed="false">
      <c r="A4735" s="6" t="s">
        <v>16</v>
      </c>
      <c r="B4735" s="6" t="s">
        <v>17</v>
      </c>
      <c r="C4735" s="20" t="s">
        <v>504</v>
      </c>
      <c r="D4735" s="20" t="s">
        <v>505</v>
      </c>
      <c r="E4735" s="20" t="s">
        <v>587</v>
      </c>
      <c r="F4735" s="20" t="s">
        <v>588</v>
      </c>
      <c r="G4735" s="20" t="s">
        <v>589</v>
      </c>
      <c r="H4735" s="20" t="s">
        <v>590</v>
      </c>
      <c r="I4735" s="20" t="s">
        <v>591</v>
      </c>
      <c r="J4735" s="20" t="s">
        <v>592</v>
      </c>
      <c r="K4735" s="20" t="s">
        <v>593</v>
      </c>
      <c r="L4735" s="20" t="s">
        <v>594</v>
      </c>
      <c r="M4735" s="20" t="s">
        <v>595</v>
      </c>
      <c r="N4735" s="20" t="s">
        <v>596</v>
      </c>
      <c r="O4735" s="20" t="s">
        <v>597</v>
      </c>
      <c r="P4735" s="6" t="s">
        <v>23</v>
      </c>
      <c r="R4735" s="20" t="n">
        <v>2023</v>
      </c>
      <c r="S4735" s="20" t="n">
        <v>2024</v>
      </c>
      <c r="T4735" s="20" t="n">
        <v>2025</v>
      </c>
      <c r="U4735" s="20" t="n">
        <v>2026</v>
      </c>
      <c r="V4735" s="20" t="n">
        <v>2027</v>
      </c>
      <c r="W4735" s="20" t="n">
        <v>2028</v>
      </c>
      <c r="X4735" s="20" t="n">
        <v>2029</v>
      </c>
      <c r="Y4735" s="20" t="n">
        <v>2030</v>
      </c>
      <c r="Z4735" s="20" t="n">
        <v>2031</v>
      </c>
      <c r="AA4735" s="20" t="n">
        <v>2032</v>
      </c>
    </row>
    <row r="4736" customFormat="false" ht="17.15" hidden="false" customHeight="false" outlineLevel="0" collapsed="false">
      <c r="A4736" s="1" t="s">
        <v>677</v>
      </c>
    </row>
    <row r="4737" customFormat="false" ht="17.15" hidden="false" customHeight="false" outlineLevel="0" collapsed="false">
      <c r="A4737" s="0" t="s">
        <v>526</v>
      </c>
      <c r="B4737" s="0" t="s">
        <v>86</v>
      </c>
      <c r="C4737" s="38" t="n">
        <f aca="false">Q!$D$10</f>
        <v>247.029</v>
      </c>
      <c r="D4737" s="38" t="n">
        <f aca="false">Q!$E$10</f>
        <v>269.287</v>
      </c>
      <c r="E4737" s="38" t="n">
        <f aca="false">Q!$P$10</f>
        <v>134.686</v>
      </c>
      <c r="F4737" s="38" t="n">
        <f aca="false">Sens!$O$4737*(1+Sens!$F$4738)*Sens!$F$4749</f>
        <v>158.293876822267</v>
      </c>
      <c r="G4737" s="38" t="n">
        <f aca="false">Sens!$E$4737+Sens!$F$4737</f>
        <v>292.979876822267</v>
      </c>
      <c r="H4737" s="38" t="n">
        <f aca="false">Sens!$G$4737*(1+Sens!$H$4738)</f>
        <v>318.184543087396</v>
      </c>
      <c r="I4737" s="38" t="n">
        <f aca="false">Sens!$H$4737*(1+Sens!$I$4738)</f>
        <v>341.736278761793</v>
      </c>
      <c r="J4737" s="38" t="n">
        <f aca="false">Sens!$I$4737*(1+Sens!$J$4738)</f>
        <v>362.927192787048</v>
      </c>
      <c r="K4737" s="38" t="n">
        <f aca="false">Sens!$J$4737*(1+Sens!$K$4738)</f>
        <v>381.0735524264</v>
      </c>
      <c r="L4737" s="38" t="n">
        <f aca="false">Sens!$K$4737*(1+Sens!$L$4738)</f>
        <v>400.12723004772</v>
      </c>
      <c r="M4737" s="38" t="n">
        <f aca="false">Sens!$L$4737*(1+Sens!$M$4738)</f>
        <v>420.133591550106</v>
      </c>
      <c r="N4737" s="38" t="n">
        <f aca="false">Q!$N$10</f>
        <v>118.892</v>
      </c>
      <c r="O4737" s="38" t="n">
        <f aca="false">Q!$O$10</f>
        <v>150.395</v>
      </c>
      <c r="P4737" s="8" t="s">
        <v>678</v>
      </c>
    </row>
    <row r="4738" customFormat="false" ht="17.15" hidden="false" customHeight="false" outlineLevel="0" collapsed="false">
      <c r="A4738" s="0" t="s">
        <v>679</v>
      </c>
      <c r="B4738" s="0" t="s">
        <v>52</v>
      </c>
      <c r="E4738" s="13" t="n">
        <f aca="false">Sens!$E$4737/Sens!$N$4737-1</f>
        <v>0.132843252699929</v>
      </c>
      <c r="F4738" s="13" t="n">
        <f aca="false">Sens!$O$4737/(Q!$F$10+Q!$G$10)-1</f>
        <v>0.0980382135842941</v>
      </c>
      <c r="G4738" s="13" t="n">
        <f aca="false">Sens!$G$4737/Sens!$D$4737-1</f>
        <v>0.0879837378791657</v>
      </c>
      <c r="H4738" s="13" t="n">
        <f aca="false">Sens!$F$4738+(g_os-Sens!$F$4738)*1/4</f>
        <v>0.0860286601882206</v>
      </c>
      <c r="I4738" s="13" t="n">
        <f aca="false">Sens!$F$4738+(g_os-Sens!$F$4738)*2/4</f>
        <v>0.074019106792147</v>
      </c>
      <c r="J4738" s="13" t="n">
        <f aca="false">Sens!$F$4738+(g_os-Sens!$F$4738)*3/4</f>
        <v>0.0620095533960735</v>
      </c>
      <c r="K4738" s="13" t="n">
        <f aca="false">Sens!$F$4738+(g_os-Sens!$F$4738)*4/4</f>
        <v>0.05</v>
      </c>
      <c r="L4738" s="13" t="n">
        <f aca="false">g_os</f>
        <v>0.05</v>
      </c>
      <c r="M4738" s="13" t="n">
        <f aca="false">g_os</f>
        <v>0.05</v>
      </c>
      <c r="P4738" s="8" t="s">
        <v>680</v>
      </c>
    </row>
    <row r="4739" customFormat="false" ht="17.15" hidden="false" customHeight="false" outlineLevel="0" collapsed="false">
      <c r="A4739" s="0" t="s">
        <v>527</v>
      </c>
      <c r="B4739" s="0" t="s">
        <v>86</v>
      </c>
      <c r="C4739" s="38" t="n">
        <f aca="false">Q!$D$11</f>
        <v>21.215</v>
      </c>
      <c r="D4739" s="38" t="n">
        <f aca="false">Q!$E$11</f>
        <v>22.561</v>
      </c>
      <c r="E4739" s="38" t="n">
        <f aca="false">Q!$P$11</f>
        <v>11.579</v>
      </c>
      <c r="F4739" s="38" t="n">
        <f aca="false">Sens!$O$4739*(1+Sens!$F$4740)*Sens!$F$4749</f>
        <v>11.5938724610325</v>
      </c>
      <c r="G4739" s="38" t="n">
        <f aca="false">Sens!$E$4739+Sens!$F$4739</f>
        <v>23.1728724610325</v>
      </c>
      <c r="H4739" s="38" t="n">
        <f aca="false">Sens!$G$4739*(1+Sens!$H$4740)</f>
        <v>24.353392759506</v>
      </c>
      <c r="I4739" s="38" t="n">
        <f aca="false">Sens!$H$4739*(1+Sens!$I$4740)</f>
        <v>25.4240338872015</v>
      </c>
      <c r="J4739" s="38" t="n">
        <f aca="false">Sens!$I$4739*(1+Sens!$J$4740)</f>
        <v>26.3642491017174</v>
      </c>
      <c r="K4739" s="38" t="n">
        <f aca="false">Sens!$J$4739*(1+Sens!$K$4740)</f>
        <v>27.155176574769</v>
      </c>
      <c r="L4739" s="38" t="n">
        <f aca="false">Sens!$K$4739*(1+Sens!$L$4740)</f>
        <v>27.969831872012</v>
      </c>
      <c r="M4739" s="38" t="n">
        <f aca="false">Sens!$L$4739*(1+Sens!$M$4740)</f>
        <v>28.8089268281724</v>
      </c>
      <c r="N4739" s="38" t="n">
        <f aca="false">Q!$N$11</f>
        <v>11.128</v>
      </c>
      <c r="O4739" s="38" t="n">
        <f aca="false">Q!$O$11</f>
        <v>11.433</v>
      </c>
      <c r="P4739" s="8" t="s">
        <v>678</v>
      </c>
    </row>
    <row r="4740" customFormat="false" ht="17.15" hidden="false" customHeight="false" outlineLevel="0" collapsed="false">
      <c r="A4740" s="0" t="s">
        <v>681</v>
      </c>
      <c r="B4740" s="0" t="s">
        <v>52</v>
      </c>
      <c r="E4740" s="13" t="n">
        <f aca="false">Sens!$E$4739/Sens!$N$4739-1</f>
        <v>0.0405283968368082</v>
      </c>
      <c r="F4740" s="13" t="n">
        <f aca="false">Sens!$O$4739/(Q!$F$11+Q!$G$11)-1</f>
        <v>0.0579254187100955</v>
      </c>
      <c r="G4740" s="13" t="n">
        <f aca="false">Sens!$G$4739/Sens!$D$4739-1</f>
        <v>0.0271208040881397</v>
      </c>
      <c r="H4740" s="13" t="n">
        <f aca="false">Sens!$F$4740+(g_ps-Sens!$F$4740)*1/4</f>
        <v>0.0509440640325716</v>
      </c>
      <c r="I4740" s="13" t="n">
        <f aca="false">Sens!$F$4740+(g_ps-Sens!$F$4740)*2/4</f>
        <v>0.0439627093550477</v>
      </c>
      <c r="J4740" s="13" t="n">
        <f aca="false">Sens!$F$4740+(g_ps-Sens!$F$4740)*3/4</f>
        <v>0.0369813546775239</v>
      </c>
      <c r="K4740" s="13" t="n">
        <f aca="false">Sens!$F$4740+(g_ps-Sens!$F$4740)*4/4</f>
        <v>0.03</v>
      </c>
      <c r="L4740" s="13" t="n">
        <f aca="false">g_ps</f>
        <v>0.03</v>
      </c>
      <c r="M4740" s="13" t="n">
        <f aca="false">g_ps</f>
        <v>0.03</v>
      </c>
      <c r="P4740" s="8" t="s">
        <v>682</v>
      </c>
    </row>
    <row r="4741" customFormat="false" ht="17.15" hidden="false" customHeight="false" outlineLevel="0" collapsed="false">
      <c r="A4741" s="0" t="s">
        <v>528</v>
      </c>
      <c r="B4741" s="0" t="s">
        <v>86</v>
      </c>
      <c r="C4741" s="38" t="n">
        <f aca="false">Q!$D$12</f>
        <v>156.146</v>
      </c>
      <c r="D4741" s="38" t="n">
        <f aca="false">Q!$E$12</f>
        <v>172.162</v>
      </c>
      <c r="E4741" s="38" t="n">
        <f aca="false">Q!$P$12</f>
        <v>88.358</v>
      </c>
      <c r="F4741" s="38" t="n">
        <f aca="false">Sens!$O$4741*(1+Sens!$F$4742)*Sens!$F$4749</f>
        <v>102.004388260171</v>
      </c>
      <c r="G4741" s="38" t="n">
        <f aca="false">Sens!$E$4741+Sens!$F$4741</f>
        <v>190.362388260171</v>
      </c>
      <c r="H4741" s="38" t="n">
        <f aca="false">Sens!$G$4741*(1+Sens!$H$4742)</f>
        <v>210.343106588311</v>
      </c>
      <c r="I4741" s="38" t="n">
        <f aca="false">Sens!$H$4741*(1+Sens!$I$4742)</f>
        <v>229.969728494648</v>
      </c>
      <c r="J4741" s="38" t="n">
        <f aca="false">Sens!$I$4741*(1+Sens!$J$4742)</f>
        <v>248.747636972598</v>
      </c>
      <c r="K4741" s="38" t="n">
        <f aca="false">Sens!$J$4741*(1+Sens!$K$4742)</f>
        <v>266.15997156068</v>
      </c>
      <c r="L4741" s="38" t="n">
        <f aca="false">Sens!$K$4741*(1+Sens!$L$4742)</f>
        <v>284.791169569927</v>
      </c>
      <c r="M4741" s="38" t="n">
        <f aca="false">Sens!$L$4741*(1+Sens!$M$4742)</f>
        <v>304.726551439822</v>
      </c>
      <c r="N4741" s="38" t="n">
        <f aca="false">Q!$N$12</f>
        <v>76.86</v>
      </c>
      <c r="O4741" s="38" t="n">
        <f aca="false">Q!$O$12</f>
        <v>95.302</v>
      </c>
      <c r="P4741" s="8" t="s">
        <v>678</v>
      </c>
    </row>
    <row r="4742" customFormat="false" ht="17.15" hidden="false" customHeight="false" outlineLevel="0" collapsed="false">
      <c r="A4742" s="0" t="s">
        <v>683</v>
      </c>
      <c r="B4742" s="0" t="s">
        <v>52</v>
      </c>
      <c r="E4742" s="13" t="n">
        <f aca="false">Sens!$E$4741/Sens!$N$4741-1</f>
        <v>0.1495966692688</v>
      </c>
      <c r="F4742" s="13" t="n">
        <f aca="false">Sens!$O$4741/(Q!$F$12+Q!$G$12)-1</f>
        <v>0.11661530890813</v>
      </c>
      <c r="G4742" s="13" t="n">
        <f aca="false">Sens!$G$4741/Sens!$D$4741-1</f>
        <v>0.105716640490767</v>
      </c>
      <c r="H4742" s="13" t="n">
        <f aca="false">Sens!$F$4742+(g_sp-Sens!$F$4742)*1/4</f>
        <v>0.104961481681098</v>
      </c>
      <c r="I4742" s="13" t="n">
        <f aca="false">Sens!$F$4742+(g_sp-Sens!$F$4742)*2/4</f>
        <v>0.0933076544540651</v>
      </c>
      <c r="J4742" s="13" t="n">
        <f aca="false">Sens!$F$4742+(g_sp-Sens!$F$4742)*3/4</f>
        <v>0.0816538272270325</v>
      </c>
      <c r="K4742" s="13" t="n">
        <f aca="false">Sens!$F$4742+(g_sp-Sens!$F$4742)*4/4</f>
        <v>0.07</v>
      </c>
      <c r="L4742" s="13" t="n">
        <f aca="false">g_sp</f>
        <v>0.07</v>
      </c>
      <c r="M4742" s="13" t="n">
        <f aca="false">g_sp</f>
        <v>0.07</v>
      </c>
      <c r="P4742" s="8" t="s">
        <v>684</v>
      </c>
    </row>
    <row r="4743" customFormat="false" ht="17.15" hidden="false" customHeight="false" outlineLevel="0" collapsed="false">
      <c r="A4743" s="0" t="s">
        <v>529</v>
      </c>
      <c r="B4743" s="0" t="s">
        <v>86</v>
      </c>
      <c r="C4743" s="38" t="n">
        <f aca="false">Q!$D$13</f>
        <v>56.214</v>
      </c>
      <c r="D4743" s="38" t="n">
        <f aca="false">Q!$E$13</f>
        <v>68.635</v>
      </c>
      <c r="E4743" s="38" t="n">
        <f aca="false">Q!$P$13</f>
        <v>37.052</v>
      </c>
      <c r="F4743" s="38" t="n">
        <f aca="false">Sens!$O$4743*(1+Sens!$F$4744)*Sens!$F$4749</f>
        <v>46.1572219944148</v>
      </c>
      <c r="G4743" s="38" t="n">
        <f aca="false">Sens!$E$4743+Sens!$F$4743</f>
        <v>83.2092219944148</v>
      </c>
      <c r="H4743" s="38" t="n">
        <f aca="false">Sens!$G$4743*(1+Sens!$H$4744)</f>
        <v>99.8969223878976</v>
      </c>
      <c r="I4743" s="38" t="n">
        <f aca="false">Sens!$H$4743*(1+Sens!$I$4744)</f>
        <v>116.583111095496</v>
      </c>
      <c r="J4743" s="38" t="n">
        <f aca="false">Sens!$I$4743*(1+Sens!$J$4744)</f>
        <v>132.148941941952</v>
      </c>
      <c r="K4743" s="38" t="n">
        <f aca="false">Sens!$J$4743*(1+Sens!$K$4744)</f>
        <v>145.363836136147</v>
      </c>
      <c r="L4743" s="38" t="n">
        <f aca="false">Sens!$K$4743*(1+Sens!$L$4744)</f>
        <v>159.900219749762</v>
      </c>
      <c r="M4743" s="38" t="n">
        <f aca="false">Sens!$L$4743*(1+Sens!$M$4744)</f>
        <v>175.890241724738</v>
      </c>
      <c r="N4743" s="38" t="n">
        <f aca="false">Q!$N$13</f>
        <v>29.615</v>
      </c>
      <c r="O4743" s="38" t="n">
        <f aca="false">Q!$O$13</f>
        <v>39.02</v>
      </c>
      <c r="P4743" s="8" t="s">
        <v>678</v>
      </c>
    </row>
    <row r="4744" customFormat="false" ht="17.15" hidden="false" customHeight="false" outlineLevel="0" collapsed="false">
      <c r="A4744" s="0" t="s">
        <v>685</v>
      </c>
      <c r="B4744" s="0" t="s">
        <v>52</v>
      </c>
      <c r="E4744" s="13" t="n">
        <f aca="false">Sens!$E$4743/Sens!$N$4743-1</f>
        <v>0.25112274185379</v>
      </c>
      <c r="F4744" s="13" t="n">
        <f aca="false">Sens!$O$4743/(Q!$F$13+Q!$G$13)-1</f>
        <v>0.234068123596572</v>
      </c>
      <c r="G4744" s="13" t="n">
        <f aca="false">Sens!$G$4743/Sens!$D$4743-1</f>
        <v>0.212343876949294</v>
      </c>
      <c r="H4744" s="13" t="n">
        <f aca="false">Sens!$F$4744+(g_ad-Sens!$F$4744)*1/4</f>
        <v>0.200551092697429</v>
      </c>
      <c r="I4744" s="13" t="n">
        <f aca="false">Sens!$F$4744+(g_ad-Sens!$F$4744)*2/4</f>
        <v>0.167034061798286</v>
      </c>
      <c r="J4744" s="13" t="n">
        <f aca="false">Sens!$F$4744+(g_ad-Sens!$F$4744)*3/4</f>
        <v>0.133517030899143</v>
      </c>
      <c r="K4744" s="13" t="n">
        <f aca="false">Sens!$F$4744+(g_ad-Sens!$F$4744)*4/4</f>
        <v>0.1</v>
      </c>
      <c r="L4744" s="13" t="n">
        <f aca="false">g_ad</f>
        <v>0.1</v>
      </c>
      <c r="M4744" s="13" t="n">
        <f aca="false">g_ad</f>
        <v>0.1</v>
      </c>
      <c r="P4744" s="8" t="s">
        <v>686</v>
      </c>
    </row>
    <row r="4745" customFormat="false" ht="17.15" hidden="false" customHeight="false" outlineLevel="0" collapsed="false">
      <c r="A4745" s="0" t="s">
        <v>530</v>
      </c>
      <c r="B4745" s="0" t="s">
        <v>86</v>
      </c>
      <c r="C4745" s="38" t="n">
        <f aca="false">Q!$D$14</f>
        <v>44.374</v>
      </c>
      <c r="D4745" s="38" t="n">
        <f aca="false">Q!$E$14</f>
        <v>49.619</v>
      </c>
      <c r="E4745" s="38" t="n">
        <f aca="false">Q!$P$14</f>
        <v>27.157</v>
      </c>
      <c r="F4745" s="38" t="n">
        <f aca="false">Sens!$O$4745*(1+Sens!$F$4746)*Sens!$F$4749</f>
        <v>27.7764165988154</v>
      </c>
      <c r="G4745" s="38" t="n">
        <f aca="false">Sens!$E$4745+Sens!$F$4745</f>
        <v>54.9334165988154</v>
      </c>
      <c r="H4745" s="38" t="n">
        <f aca="false">Sens!$G$4745*(1+Sens!$H$4746)</f>
        <v>61.1564112561829</v>
      </c>
      <c r="I4745" s="38" t="n">
        <f aca="false">Sens!$H$4745*(1+Sens!$I$4746)</f>
        <v>67.2020282103945</v>
      </c>
      <c r="J4745" s="38" t="n">
        <f aca="false">Sens!$I$4745*(1+Sens!$J$4746)</f>
        <v>72.8757274028885</v>
      </c>
      <c r="K4745" s="38" t="n">
        <f aca="false">Sens!$J$4745*(1+Sens!$K$4746)</f>
        <v>77.9770283210907</v>
      </c>
      <c r="L4745" s="38" t="n">
        <f aca="false">Sens!$K$4745*(1+Sens!$L$4746)</f>
        <v>83.4354203035671</v>
      </c>
      <c r="M4745" s="38" t="n">
        <f aca="false">Sens!$L$4745*(1+Sens!$M$4746)</f>
        <v>89.2758997248168</v>
      </c>
      <c r="N4745" s="38" t="n">
        <f aca="false">Q!$N$14</f>
        <v>23.923</v>
      </c>
      <c r="O4745" s="38" t="n">
        <f aca="false">Q!$O$14</f>
        <v>25.696</v>
      </c>
      <c r="P4745" s="8" t="s">
        <v>678</v>
      </c>
    </row>
    <row r="4746" customFormat="false" ht="17.15" hidden="false" customHeight="false" outlineLevel="0" collapsed="false">
      <c r="A4746" s="0" t="s">
        <v>687</v>
      </c>
      <c r="B4746" s="0" t="s">
        <v>52</v>
      </c>
      <c r="E4746" s="13" t="n">
        <f aca="false">Sens!$E$4745/Sens!$N$4745-1</f>
        <v>0.135183714417088</v>
      </c>
      <c r="F4746" s="13" t="n">
        <f aca="false">Sens!$O$4745/(Q!$F$14+Q!$G$14)-1</f>
        <v>0.127709997366804</v>
      </c>
      <c r="G4746" s="13" t="n">
        <f aca="false">Sens!$G$4745/Sens!$D$4745-1</f>
        <v>0.107104468022641</v>
      </c>
      <c r="H4746" s="13" t="n">
        <f aca="false">Sens!$F$4746+(g_sub-Sens!$F$4746)*1/4</f>
        <v>0.113282498025103</v>
      </c>
      <c r="I4746" s="13" t="n">
        <f aca="false">Sens!$F$4746+(g_sub-Sens!$F$4746)*2/4</f>
        <v>0.0988549986834021</v>
      </c>
      <c r="J4746" s="13" t="n">
        <f aca="false">Sens!$F$4746+(g_sub-Sens!$F$4746)*3/4</f>
        <v>0.084427499341701</v>
      </c>
      <c r="K4746" s="13" t="n">
        <f aca="false">Sens!$F$4746+(g_sub-Sens!$F$4746)*4/4</f>
        <v>0.07</v>
      </c>
      <c r="L4746" s="13" t="n">
        <f aca="false">g_sub</f>
        <v>0.07</v>
      </c>
      <c r="M4746" s="13" t="n">
        <f aca="false">g_sub</f>
        <v>0.07</v>
      </c>
      <c r="P4746" s="8" t="s">
        <v>688</v>
      </c>
    </row>
    <row r="4747" customFormat="false" ht="17.15" hidden="false" customHeight="false" outlineLevel="0" collapsed="false">
      <c r="A4747" s="0" t="s">
        <v>531</v>
      </c>
      <c r="B4747" s="0" t="s">
        <v>86</v>
      </c>
      <c r="C4747" s="38" t="n">
        <f aca="false">Q!$D$15</f>
        <v>5.425</v>
      </c>
      <c r="D4747" s="38" t="n">
        <f aca="false">Q!$E$15</f>
        <v>5.935</v>
      </c>
      <c r="E4747" s="38" t="n">
        <f aca="false">Q!$P$15</f>
        <v>3.474</v>
      </c>
      <c r="F4747" s="38" t="n">
        <f aca="false">Sens!$O$4747*(1+Sens!$F$4748)*Sens!$F$4749</f>
        <v>3.22246550883619</v>
      </c>
      <c r="G4747" s="38" t="n">
        <f aca="false">Sens!$E$4747+Sens!$F$4747</f>
        <v>6.69646550883619</v>
      </c>
      <c r="H4747" s="38" t="n">
        <f aca="false">Sens!$G$4747*(1+Sens!$H$4748)</f>
        <v>7.16251344209196</v>
      </c>
      <c r="I4747" s="38" t="n">
        <f aca="false">Sens!$H$4747*(1+Sens!$I$4748)</f>
        <v>7.61421070299826</v>
      </c>
      <c r="J4747" s="38" t="n">
        <f aca="false">Sens!$I$4747*(1+Sens!$J$4748)</f>
        <v>8.04465753523932</v>
      </c>
      <c r="K4747" s="38" t="n">
        <f aca="false">Sens!$J$4747*(1+Sens!$K$4748)</f>
        <v>8.44689041200128</v>
      </c>
      <c r="L4747" s="38" t="n">
        <f aca="false">Sens!$K$4747*(1+Sens!$L$4748)</f>
        <v>8.86923493260135</v>
      </c>
      <c r="M4747" s="38" t="n">
        <f aca="false">Sens!$L$4747*(1+Sens!$M$4748)</f>
        <v>9.31269667923142</v>
      </c>
      <c r="N4747" s="38" t="n">
        <f aca="false">Q!$N$15</f>
        <v>2.811</v>
      </c>
      <c r="O4747" s="38" t="n">
        <f aca="false">Q!$O$15</f>
        <v>3.124</v>
      </c>
      <c r="P4747" s="8" t="s">
        <v>678</v>
      </c>
    </row>
    <row r="4748" customFormat="false" ht="17.15" hidden="false" customHeight="false" outlineLevel="0" collapsed="false">
      <c r="A4748" s="0" t="s">
        <v>689</v>
      </c>
      <c r="B4748" s="0" t="s">
        <v>52</v>
      </c>
      <c r="E4748" s="13" t="n">
        <f aca="false">Sens!$E$4747/Sens!$N$4747-1</f>
        <v>0.235859124866596</v>
      </c>
      <c r="F4748" s="13" t="n">
        <f aca="false">Sens!$O$4747/(Q!$F$15+Q!$G$15)-1</f>
        <v>0.0761281433000345</v>
      </c>
      <c r="G4748" s="13" t="n">
        <f aca="false">Sens!$G$4747/Sens!$D$4747-1</f>
        <v>0.128300843948811</v>
      </c>
      <c r="H4748" s="13" t="n">
        <f aca="false">Sens!$F$4748+(g_ot-Sens!$F$4748)*1/4</f>
        <v>0.0695961074750259</v>
      </c>
      <c r="I4748" s="13" t="n">
        <f aca="false">Sens!$F$4748+(g_ot-Sens!$F$4748)*2/4</f>
        <v>0.0630640716500172</v>
      </c>
      <c r="J4748" s="13" t="n">
        <f aca="false">Sens!$F$4748+(g_ot-Sens!$F$4748)*3/4</f>
        <v>0.0565320358250086</v>
      </c>
      <c r="K4748" s="13" t="n">
        <f aca="false">Sens!$F$4748+(g_ot-Sens!$F$4748)*4/4</f>
        <v>0.05</v>
      </c>
      <c r="L4748" s="13" t="n">
        <f aca="false">g_ot</f>
        <v>0.05</v>
      </c>
      <c r="M4748" s="13" t="n">
        <f aca="false">g_ot</f>
        <v>0.05</v>
      </c>
      <c r="P4748" s="8" t="s">
        <v>690</v>
      </c>
    </row>
    <row r="4749" customFormat="false" ht="17.15" hidden="false" customHeight="false" outlineLevel="0" collapsed="false">
      <c r="A4749" s="0" t="s">
        <v>691</v>
      </c>
      <c r="B4749" s="0" t="s">
        <v>57</v>
      </c>
      <c r="F4749" s="40" t="n">
        <f aca="false">(g26q3_mid*Q!$O$8/Q!$J$8-Thesis!$F$89-Thesis!$F$93)/(Sens!$O$4737*(1+Sens!$F$4738)+Sens!$O$4739*(1+Sens!$F$4740)+Sens!$O$4741*(1+Sens!$F$4742)+Sens!$O$4743*(1+Sens!$F$4744)+Sens!$O$4745*(1+Sens!$F$4746)+Sens!$O$4747*(1+Sens!$F$4748))</f>
        <v>0.958546670622329</v>
      </c>
      <c r="P4749" s="8" t="s">
        <v>692</v>
      </c>
    </row>
    <row r="4750" customFormat="false" ht="17.15" hidden="false" customHeight="false" outlineLevel="0" collapsed="false">
      <c r="A4750" s="3" t="s">
        <v>693</v>
      </c>
      <c r="B4750" s="8" t="s">
        <v>86</v>
      </c>
      <c r="C4750" s="38" t="n">
        <f aca="false">Sens!$C$4737+Sens!$C$4739+Sens!$C$4741+Sens!$C$4743+Sens!$C$4745+Sens!$C$4747</f>
        <v>530.403</v>
      </c>
      <c r="D4750" s="38" t="n">
        <f aca="false">Sens!$D$4737+Sens!$D$4739+Sens!$D$4741+Sens!$D$4743+Sens!$D$4745+Sens!$D$4747</f>
        <v>588.199</v>
      </c>
      <c r="E4750" s="38" t="n">
        <f aca="false">Sens!$E$4737+Sens!$E$4739+Sens!$E$4741+Sens!$E$4743+Sens!$E$4745+Sens!$E$4747</f>
        <v>302.306</v>
      </c>
      <c r="F4750" s="38" t="n">
        <f aca="false">Sens!$F$4737+Sens!$F$4739+Sens!$F$4741+Sens!$F$4743+Sens!$F$4745+Sens!$F$4747</f>
        <v>349.048241645537</v>
      </c>
      <c r="G4750" s="38" t="n">
        <f aca="false">Sens!$G$4737+Sens!$G$4739+Sens!$G$4741+Sens!$G$4743+Sens!$G$4745+Sens!$G$4747</f>
        <v>651.354241645537</v>
      </c>
      <c r="H4750" s="38" t="n">
        <f aca="false">Sens!$H$4737+Sens!$H$4739+Sens!$H$4741+Sens!$H$4743+Sens!$H$4745+Sens!$H$4747</f>
        <v>721.096889521386</v>
      </c>
      <c r="I4750" s="38" t="n">
        <f aca="false">Sens!$I$4737+Sens!$I$4739+Sens!$I$4741+Sens!$I$4743+Sens!$I$4745+Sens!$I$4747</f>
        <v>788.529391152531</v>
      </c>
      <c r="J4750" s="38" t="n">
        <f aca="false">Sens!$J$4737+Sens!$J$4739+Sens!$J$4741+Sens!$J$4743+Sens!$J$4745+Sens!$J$4747</f>
        <v>851.108405741443</v>
      </c>
      <c r="K4750" s="38" t="n">
        <f aca="false">Sens!$K$4737+Sens!$K$4739+Sens!$K$4741+Sens!$K$4743+Sens!$K$4745+Sens!$K$4747</f>
        <v>906.176455431088</v>
      </c>
      <c r="L4750" s="38" t="n">
        <f aca="false">Sens!$L$4737+Sens!$L$4739+Sens!$L$4741+Sens!$L$4743+Sens!$L$4745+Sens!$L$4747</f>
        <v>965.093106475589</v>
      </c>
      <c r="M4750" s="38" t="n">
        <f aca="false">Sens!$M$4737+Sens!$M$4739+Sens!$M$4741+Sens!$M$4743+Sens!$M$4745+Sens!$M$4747</f>
        <v>1028.14790794689</v>
      </c>
      <c r="N4750" s="38" t="n">
        <f aca="false">Sens!$N$4737+Sens!$N$4739+Sens!$N$4741+Sens!$N$4743+Sens!$N$4745+Sens!$N$4747</f>
        <v>263.229</v>
      </c>
      <c r="O4750" s="38" t="n">
        <f aca="false">Sens!$O$4737+Sens!$O$4739+Sens!$O$4741+Sens!$O$4743+Sens!$O$4745+Sens!$O$4747</f>
        <v>324.97</v>
      </c>
    </row>
    <row r="4751" customFormat="false" ht="17.15" hidden="false" customHeight="false" outlineLevel="0" collapsed="false">
      <c r="A4751" s="5" t="s">
        <v>694</v>
      </c>
      <c r="B4751" s="0" t="s">
        <v>52</v>
      </c>
      <c r="C4751" s="13" t="n">
        <f aca="false">Q!$D$5/(Q!$D$5+Q!$D$6)</f>
        <v>0.730570905519011</v>
      </c>
      <c r="D4751" s="13" t="n">
        <f aca="false">Q!$E$5/(Q!$E$5+Q!$E$6)</f>
        <v>0.724763217890544</v>
      </c>
      <c r="E4751" s="13" t="n">
        <f aca="false">Q!$P$5/(Q!$P$5+Q!$P$6)</f>
        <v>0.728797972914861</v>
      </c>
      <c r="F4751" s="13" t="n">
        <f aca="false">Sens!$O$4751</f>
        <v>0.718066283041511</v>
      </c>
      <c r="G4751" s="13" t="n">
        <f aca="false">Sens!$G$4752/Sens!$G$4750</f>
        <v>0.723047066202847</v>
      </c>
      <c r="H4751" s="13" t="n">
        <f aca="false">Sens!$G$4751</f>
        <v>0.723047066202847</v>
      </c>
      <c r="I4751" s="13" t="n">
        <f aca="false">Sens!$G$4751</f>
        <v>0.723047066202847</v>
      </c>
      <c r="J4751" s="13" t="n">
        <f aca="false">Sens!$G$4751</f>
        <v>0.723047066202847</v>
      </c>
      <c r="K4751" s="13" t="n">
        <f aca="false">Sens!$G$4751</f>
        <v>0.723047066202847</v>
      </c>
      <c r="L4751" s="13" t="n">
        <f aca="false">Sens!$G$4751</f>
        <v>0.723047066202847</v>
      </c>
      <c r="M4751" s="13" t="n">
        <f aca="false">Sens!$G$4751</f>
        <v>0.723047066202847</v>
      </c>
      <c r="N4751" s="13" t="n">
        <f aca="false">Q!$N$5/(Q!$N$5+Q!$N$6)</f>
        <v>0.733030935041352</v>
      </c>
      <c r="O4751" s="13" t="n">
        <f aca="false">Q!$O$5/(Q!$O$5+Q!$O$6)</f>
        <v>0.718066283041511</v>
      </c>
      <c r="P4751" s="8" t="s">
        <v>695</v>
      </c>
    </row>
    <row r="4752" customFormat="false" ht="17.15" hidden="false" customHeight="false" outlineLevel="0" collapsed="false">
      <c r="A4752" s="1" t="s">
        <v>519</v>
      </c>
      <c r="B4752" s="8" t="s">
        <v>86</v>
      </c>
      <c r="C4752" s="38" t="n">
        <f aca="false">Q!$D$5</f>
        <v>387.497</v>
      </c>
      <c r="D4752" s="38" t="n">
        <f aca="false">Q!$E$5</f>
        <v>426.305</v>
      </c>
      <c r="E4752" s="38" t="n">
        <f aca="false">Q!$P$5</f>
        <v>220.32</v>
      </c>
      <c r="F4752" s="38" t="n">
        <f aca="false">Sens!$F$4750*Sens!$F$4751</f>
        <v>250.639773480586</v>
      </c>
      <c r="G4752" s="38" t="n">
        <f aca="false">Sens!$E$4752+Sens!$F$4752</f>
        <v>470.959773480586</v>
      </c>
      <c r="H4752" s="38" t="n">
        <f aca="false">Sens!$H$4750*Sens!$H$4751</f>
        <v>521.386990416437</v>
      </c>
      <c r="I4752" s="38" t="n">
        <f aca="false">Sens!$I$4750*Sens!$I$4751</f>
        <v>570.143862887555</v>
      </c>
      <c r="J4752" s="38" t="n">
        <f aca="false">Sens!$J$4750*Sens!$J$4751</f>
        <v>615.391435791933</v>
      </c>
      <c r="K4752" s="38" t="n">
        <f aca="false">Sens!$K$4750*Sens!$K$4751</f>
        <v>655.208227561543</v>
      </c>
      <c r="L4752" s="38" t="n">
        <f aca="false">Sens!$L$4750*Sens!$L$4751</f>
        <v>697.807739249767</v>
      </c>
      <c r="M4752" s="38" t="n">
        <f aca="false">Sens!$M$4750*Sens!$M$4751</f>
        <v>743.399328463592</v>
      </c>
      <c r="N4752" s="38" t="n">
        <f aca="false">Q!$N$5</f>
        <v>192.955</v>
      </c>
      <c r="O4752" s="38" t="n">
        <f aca="false">Q!$O$5</f>
        <v>233.35</v>
      </c>
      <c r="P4752" s="5" t="s">
        <v>696</v>
      </c>
    </row>
    <row r="4753" customFormat="false" ht="17.15" hidden="false" customHeight="false" outlineLevel="0" collapsed="false">
      <c r="A4753" s="1" t="s">
        <v>522</v>
      </c>
      <c r="B4753" s="8" t="s">
        <v>86</v>
      </c>
      <c r="C4753" s="38" t="n">
        <f aca="false">Q!$D$6</f>
        <v>142.906</v>
      </c>
      <c r="D4753" s="38" t="n">
        <f aca="false">Q!$E$6</f>
        <v>161.894</v>
      </c>
      <c r="E4753" s="38" t="n">
        <f aca="false">Q!$P$6</f>
        <v>81.986</v>
      </c>
      <c r="F4753" s="38" t="n">
        <f aca="false">Sens!$F$4750*(1-Sens!$F$4751)</f>
        <v>98.408468164951</v>
      </c>
      <c r="G4753" s="38" t="n">
        <f aca="false">Sens!$E$4753+Sens!$F$4753</f>
        <v>180.394468164951</v>
      </c>
      <c r="H4753" s="38" t="n">
        <f aca="false">Sens!$H$4750*(1-Sens!$H$4751)</f>
        <v>199.709899104949</v>
      </c>
      <c r="I4753" s="38" t="n">
        <f aca="false">Sens!$I$4750*(1-Sens!$I$4751)</f>
        <v>218.385528264976</v>
      </c>
      <c r="J4753" s="38" t="n">
        <f aca="false">Sens!$J$4750*(1-Sens!$J$4751)</f>
        <v>235.71696994951</v>
      </c>
      <c r="K4753" s="38" t="n">
        <f aca="false">Sens!$K$4750*(1-Sens!$K$4751)</f>
        <v>250.968227869545</v>
      </c>
      <c r="L4753" s="38" t="n">
        <f aca="false">Sens!$L$4750*(1-Sens!$L$4751)</f>
        <v>267.285367225822</v>
      </c>
      <c r="M4753" s="38" t="n">
        <f aca="false">Sens!$M$4750*(1-Sens!$M$4751)</f>
        <v>284.748579483295</v>
      </c>
      <c r="N4753" s="38" t="n">
        <f aca="false">Q!$N$6</f>
        <v>70.274</v>
      </c>
      <c r="O4753" s="38" t="n">
        <f aca="false">Q!$O$6</f>
        <v>91.62</v>
      </c>
      <c r="P4753" s="5" t="s">
        <v>697</v>
      </c>
    </row>
    <row r="4754" customFormat="false" ht="17.15" hidden="false" customHeight="false" outlineLevel="0" collapsed="false">
      <c r="A4754" s="5" t="s">
        <v>698</v>
      </c>
      <c r="B4754" s="0" t="s">
        <v>86</v>
      </c>
      <c r="C4754" s="38" t="n">
        <f aca="false">Sens!$C$4743*Sens!$C$4751</f>
        <v>41.0683128828457</v>
      </c>
      <c r="D4754" s="38" t="n">
        <f aca="false">Sens!$D$4743*Sens!$D$4751</f>
        <v>49.7441234599175</v>
      </c>
      <c r="E4754" s="38" t="n">
        <f aca="false">Sens!$E$4743*Sens!$E$4751</f>
        <v>27.0034224924414</v>
      </c>
      <c r="F4754" s="38" t="n">
        <f aca="false">Sens!$F$4743*Sens!$F$4751</f>
        <v>33.1439448330513</v>
      </c>
      <c r="G4754" s="38" t="n">
        <f aca="false">Sens!$G$4743*Sens!$G$4751</f>
        <v>60.164183844083</v>
      </c>
      <c r="H4754" s="38" t="n">
        <f aca="false">Sens!$H$4743*Sens!$H$4751</f>
        <v>72.2301766552629</v>
      </c>
      <c r="I4754" s="38" t="n">
        <f aca="false">Sens!$I$4743*Sens!$I$4751</f>
        <v>84.2950764463991</v>
      </c>
      <c r="J4754" s="38" t="n">
        <f aca="false">Sens!$J$4743*Sens!$J$4751</f>
        <v>95.5499047729386</v>
      </c>
      <c r="K4754" s="38" t="n">
        <f aca="false">Sens!$K$4743*Sens!$K$4751</f>
        <v>105.104895250232</v>
      </c>
      <c r="L4754" s="38" t="n">
        <f aca="false">Sens!$L$4743*Sens!$L$4751</f>
        <v>115.615384775256</v>
      </c>
      <c r="M4754" s="38" t="n">
        <f aca="false">Sens!$M$4743*Sens!$M$4751</f>
        <v>127.176923252781</v>
      </c>
      <c r="N4754" s="38" t="n">
        <f aca="false">Sens!$N$4743*Sens!$N$4751</f>
        <v>21.7087111412496</v>
      </c>
      <c r="O4754" s="38" t="n">
        <f aca="false">Sens!$O$4743*Sens!$O$4751</f>
        <v>28.0189463642798</v>
      </c>
      <c r="P4754" s="5" t="s">
        <v>699</v>
      </c>
    </row>
    <row r="4755" customFormat="false" ht="15" hidden="false" customHeight="false" outlineLevel="0" collapsed="false">
      <c r="A4755" s="5" t="s">
        <v>700</v>
      </c>
      <c r="B4755" s="0" t="s">
        <v>86</v>
      </c>
      <c r="C4755" s="38" t="n">
        <f aca="false">Sens!$C$4743-Sens!$C$4754</f>
        <v>15.1456871171543</v>
      </c>
      <c r="D4755" s="38" t="n">
        <f aca="false">Sens!$D$4743-Sens!$D$4754</f>
        <v>18.8908765400825</v>
      </c>
      <c r="E4755" s="38" t="n">
        <f aca="false">Sens!$E$4743-Sens!$E$4754</f>
        <v>10.0485775075586</v>
      </c>
      <c r="F4755" s="38" t="n">
        <f aca="false">Sens!$F$4743-Sens!$F$4754</f>
        <v>13.0132771613635</v>
      </c>
      <c r="G4755" s="38" t="n">
        <f aca="false">Sens!$G$4743-Sens!$G$4754</f>
        <v>23.0450381503318</v>
      </c>
      <c r="H4755" s="38" t="n">
        <f aca="false">Sens!$H$4743-Sens!$H$4754</f>
        <v>27.6667457326347</v>
      </c>
      <c r="I4755" s="38" t="n">
        <f aca="false">Sens!$I$4743-Sens!$I$4754</f>
        <v>32.2880346490971</v>
      </c>
      <c r="J4755" s="38" t="n">
        <f aca="false">Sens!$J$4743-Sens!$J$4754</f>
        <v>36.5990371690132</v>
      </c>
      <c r="K4755" s="38" t="n">
        <f aca="false">Sens!$K$4743-Sens!$K$4754</f>
        <v>40.2589408859145</v>
      </c>
      <c r="L4755" s="38" t="n">
        <f aca="false">Sens!$L$4743-Sens!$L$4754</f>
        <v>44.2848349745059</v>
      </c>
      <c r="M4755" s="38" t="n">
        <f aca="false">Sens!$M$4743-Sens!$M$4754</f>
        <v>48.7133184719565</v>
      </c>
      <c r="N4755" s="38" t="n">
        <f aca="false">Sens!$N$4743-Sens!$N$4754</f>
        <v>7.90628885875037</v>
      </c>
      <c r="O4755" s="38" t="n">
        <f aca="false">Sens!$O$4743-Sens!$O$4754</f>
        <v>11.0010536357202</v>
      </c>
    </row>
    <row r="4756" customFormat="false" ht="19.4" hidden="false" customHeight="false" outlineLevel="0" collapsed="false">
      <c r="A4756" s="31" t="s">
        <v>1248</v>
      </c>
    </row>
    <row r="4757" customFormat="false" ht="17.15" hidden="false" customHeight="false" outlineLevel="0" collapsed="false">
      <c r="A4757" s="6" t="s">
        <v>16</v>
      </c>
      <c r="B4757" s="6" t="s">
        <v>17</v>
      </c>
      <c r="C4757" s="20" t="s">
        <v>504</v>
      </c>
      <c r="D4757" s="20" t="s">
        <v>505</v>
      </c>
      <c r="E4757" s="20" t="s">
        <v>587</v>
      </c>
      <c r="F4757" s="20" t="s">
        <v>588</v>
      </c>
      <c r="G4757" s="20" t="s">
        <v>589</v>
      </c>
      <c r="H4757" s="20" t="s">
        <v>590</v>
      </c>
      <c r="I4757" s="20" t="s">
        <v>591</v>
      </c>
      <c r="J4757" s="20" t="s">
        <v>592</v>
      </c>
      <c r="K4757" s="20" t="s">
        <v>593</v>
      </c>
      <c r="L4757" s="20" t="s">
        <v>594</v>
      </c>
      <c r="M4757" s="20" t="s">
        <v>595</v>
      </c>
      <c r="N4757" s="20" t="s">
        <v>596</v>
      </c>
      <c r="O4757" s="20" t="s">
        <v>597</v>
      </c>
      <c r="P4757" s="6" t="s">
        <v>23</v>
      </c>
      <c r="R4757" s="20" t="n">
        <v>2023</v>
      </c>
      <c r="S4757" s="20" t="n">
        <v>2024</v>
      </c>
      <c r="T4757" s="20" t="n">
        <v>2025</v>
      </c>
      <c r="U4757" s="20" t="n">
        <v>2026</v>
      </c>
      <c r="V4757" s="20" t="n">
        <v>2027</v>
      </c>
      <c r="W4757" s="20" t="n">
        <v>2028</v>
      </c>
      <c r="X4757" s="20" t="n">
        <v>2029</v>
      </c>
      <c r="Y4757" s="20" t="n">
        <v>2030</v>
      </c>
      <c r="Z4757" s="20" t="n">
        <v>2031</v>
      </c>
      <c r="AA4757" s="20" t="n">
        <v>2032</v>
      </c>
    </row>
    <row r="4758" customFormat="false" ht="17.15" hidden="false" customHeight="false" outlineLevel="0" collapsed="false">
      <c r="A4758" s="1" t="s">
        <v>598</v>
      </c>
    </row>
    <row r="4759" customFormat="false" ht="17.15" hidden="false" customHeight="false" outlineLevel="0" collapsed="false">
      <c r="A4759" s="5" t="s">
        <v>599</v>
      </c>
      <c r="B4759" s="0" t="s">
        <v>144</v>
      </c>
      <c r="H4759" s="32" t="n">
        <f aca="false">pace_B</f>
        <v>3634.3</v>
      </c>
      <c r="I4759" s="32" t="n">
        <f aca="false">pace_B</f>
        <v>3634.3</v>
      </c>
      <c r="J4759" s="32" t="n">
        <f aca="false">pace_B</f>
        <v>3634.3</v>
      </c>
      <c r="K4759" s="32" t="n">
        <f aca="false">pace_B+(Sens!$J$4760*tg-pace_B)*1/3</f>
        <v>2570.86716666667</v>
      </c>
      <c r="L4759" s="32" t="n">
        <f aca="false">pace_B+(Sens!$J$4760*tg-pace_B)*2/3</f>
        <v>1507.43433333333</v>
      </c>
      <c r="M4759" s="32" t="n">
        <f aca="false">pace_B+(Sens!$J$4760*tg-pace_B)*3/3</f>
        <v>444.0015</v>
      </c>
      <c r="P4759" s="5" t="s">
        <v>600</v>
      </c>
    </row>
    <row r="4760" customFormat="false" ht="17.15" hidden="false" customHeight="false" outlineLevel="0" collapsed="false">
      <c r="A4760" s="15" t="s">
        <v>601</v>
      </c>
      <c r="B4760" s="14" t="s">
        <v>129</v>
      </c>
      <c r="C4760" s="33" t="n">
        <f aca="false">mw_ye24</f>
        <v>360</v>
      </c>
      <c r="D4760" s="33" t="n">
        <f aca="false">mw_ye25</f>
        <v>1440</v>
      </c>
      <c r="E4760" s="33" t="n">
        <f aca="false">mw_open</f>
        <v>2080</v>
      </c>
      <c r="F4760" s="33" t="n">
        <f aca="false">Sens!$E$4760+pace_B*0.5</f>
        <v>3897.15</v>
      </c>
      <c r="G4760" s="33" t="n">
        <f aca="false">Sens!$F$4760</f>
        <v>3897.15</v>
      </c>
      <c r="H4760" s="33" t="n">
        <f aca="false">Sens!$G$4760+Sens!$H$4759</f>
        <v>7531.45</v>
      </c>
      <c r="I4760" s="33" t="n">
        <f aca="false">Sens!$H$4760+Sens!$I$4759</f>
        <v>11165.75</v>
      </c>
      <c r="J4760" s="33" t="n">
        <f aca="false">Sens!$I$4760+Sens!$J$4759</f>
        <v>14800.05</v>
      </c>
      <c r="K4760" s="33" t="n">
        <f aca="false">Sens!$J$4760+Sens!$K$4759</f>
        <v>17370.9171666667</v>
      </c>
      <c r="L4760" s="33" t="n">
        <f aca="false">Sens!$K$4760+Sens!$L$4759</f>
        <v>18878.3515</v>
      </c>
      <c r="M4760" s="33" t="n">
        <f aca="false">Sens!$L$4760+Sens!$M$4759</f>
        <v>19322.353</v>
      </c>
      <c r="N4760" s="33" t="n">
        <f aca="false">(mw_ye24+mw_ye25)/2</f>
        <v>900</v>
      </c>
      <c r="O4760" s="33" t="n">
        <f aca="false">mw_ye25</f>
        <v>1440</v>
      </c>
      <c r="P4760" s="5" t="s">
        <v>602</v>
      </c>
    </row>
    <row r="4761" customFormat="false" ht="17.15" hidden="false" customHeight="false" outlineLevel="0" collapsed="false">
      <c r="A4761" s="5" t="s">
        <v>603</v>
      </c>
      <c r="B4761" s="0" t="s">
        <v>129</v>
      </c>
      <c r="C4761" s="32" t="n">
        <f aca="false">(mw_ye23+mw_ye24)/2</f>
        <v>240</v>
      </c>
      <c r="D4761" s="32" t="n">
        <f aca="false">(Sens!$C$4760+Sens!$D$4760)/2</f>
        <v>900</v>
      </c>
      <c r="E4761" s="32" t="n">
        <f aca="false">(Sens!$D$4760+Sens!$E$4760)/2</f>
        <v>1760</v>
      </c>
      <c r="F4761" s="32" t="n">
        <f aca="false">(Sens!$E$4760+Sens!$F$4760)/2</f>
        <v>2988.575</v>
      </c>
      <c r="G4761" s="32" t="n">
        <f aca="false">(Sens!$E$4761+Sens!$F$4761)/2</f>
        <v>2374.2875</v>
      </c>
      <c r="H4761" s="32" t="n">
        <f aca="false">(Sens!$G$4760+Sens!$H$4760)/2</f>
        <v>5714.3</v>
      </c>
      <c r="I4761" s="32" t="n">
        <f aca="false">(Sens!$H$4760+Sens!$I$4760)/2</f>
        <v>9348.6</v>
      </c>
      <c r="J4761" s="32" t="n">
        <f aca="false">(Sens!$I$4760+Sens!$J$4760)/2</f>
        <v>12982.9</v>
      </c>
      <c r="K4761" s="32" t="n">
        <f aca="false">(Sens!$J$4760+Sens!$K$4760)/2</f>
        <v>16085.4835833333</v>
      </c>
      <c r="L4761" s="32" t="n">
        <f aca="false">(Sens!$K$4760+Sens!$L$4760)/2</f>
        <v>18124.6343333333</v>
      </c>
      <c r="M4761" s="32" t="n">
        <f aca="false">(Sens!$L$4760+Sens!$M$4760)/2</f>
        <v>19100.35225</v>
      </c>
      <c r="N4761" s="32" t="n">
        <f aca="false">(Sens!$C$4760+Sens!$N$4760)/2</f>
        <v>630</v>
      </c>
      <c r="O4761" s="32" t="n">
        <f aca="false">(Sens!$N$4760+Sens!$O$4760)/2</f>
        <v>1170</v>
      </c>
    </row>
    <row r="4762" customFormat="false" ht="15" hidden="false" customHeight="false" outlineLevel="0" collapsed="false">
      <c r="A4762" s="5" t="s">
        <v>604</v>
      </c>
      <c r="B4762" s="5" t="s">
        <v>123</v>
      </c>
      <c r="C4762" s="34" t="n">
        <v>1</v>
      </c>
      <c r="D4762" s="34" t="n">
        <v>1</v>
      </c>
      <c r="E4762" s="34" t="n">
        <v>0.5</v>
      </c>
      <c r="F4762" s="34" t="n">
        <v>0.5</v>
      </c>
      <c r="G4762" s="34" t="n">
        <v>1</v>
      </c>
      <c r="H4762" s="34" t="n">
        <v>1</v>
      </c>
      <c r="I4762" s="34" t="n">
        <v>1</v>
      </c>
      <c r="J4762" s="34" t="n">
        <v>1</v>
      </c>
      <c r="K4762" s="34" t="n">
        <v>1</v>
      </c>
      <c r="L4762" s="34" t="n">
        <v>1</v>
      </c>
      <c r="M4762" s="34" t="n">
        <v>1</v>
      </c>
      <c r="N4762" s="34" t="n">
        <v>0.5</v>
      </c>
      <c r="O4762" s="34" t="n">
        <v>0.5</v>
      </c>
    </row>
    <row r="4763" customFormat="false" ht="17.15" hidden="false" customHeight="false" outlineLevel="0" collapsed="false">
      <c r="A4763" s="5" t="s">
        <v>605</v>
      </c>
      <c r="B4763" s="0" t="s">
        <v>129</v>
      </c>
      <c r="C4763" s="32" t="n">
        <f aca="false">Sens!$C$4760-mw_ye23</f>
        <v>240</v>
      </c>
      <c r="D4763" s="32" t="n">
        <f aca="false">Sens!$D$4760-Sens!$C$4760</f>
        <v>1080</v>
      </c>
      <c r="E4763" s="32" t="n">
        <f aca="false">Sens!$E$4760-Sens!$D$4760</f>
        <v>640</v>
      </c>
      <c r="F4763" s="32" t="n">
        <f aca="false">Sens!$F$4760-Sens!$E$4760</f>
        <v>1817.15</v>
      </c>
      <c r="G4763" s="32" t="n">
        <f aca="false">Sens!$E$4763+Sens!$F$4763</f>
        <v>2457.15</v>
      </c>
      <c r="H4763" s="32" t="n">
        <f aca="false">Sens!$H$4760-Sens!$G$4760</f>
        <v>3634.3</v>
      </c>
      <c r="I4763" s="32" t="n">
        <f aca="false">Sens!$I$4760-Sens!$H$4760</f>
        <v>3634.3</v>
      </c>
      <c r="J4763" s="32" t="n">
        <f aca="false">Sens!$J$4760-Sens!$I$4760</f>
        <v>3634.3</v>
      </c>
      <c r="K4763" s="32" t="n">
        <f aca="false">Sens!$K$4760-Sens!$J$4760</f>
        <v>2570.86716666667</v>
      </c>
      <c r="L4763" s="32" t="n">
        <f aca="false">Sens!$L$4760-Sens!$K$4760</f>
        <v>1507.43433333333</v>
      </c>
      <c r="M4763" s="32" t="n">
        <f aca="false">Sens!$M$4760-Sens!$L$4760</f>
        <v>444.001499999999</v>
      </c>
      <c r="N4763" s="32" t="n">
        <f aca="false">Sens!$N$4760-Sens!$C$4760</f>
        <v>540</v>
      </c>
      <c r="O4763" s="32" t="n">
        <f aca="false">Sens!$O$4760-Sens!$N$4760</f>
        <v>540</v>
      </c>
    </row>
    <row r="4764" customFormat="false" ht="17.15" hidden="false" customHeight="false" outlineLevel="0" collapsed="false">
      <c r="A4764" s="5" t="s">
        <v>606</v>
      </c>
      <c r="B4764" s="0" t="s">
        <v>129</v>
      </c>
      <c r="C4764" s="32" t="n">
        <f aca="false">Sens!$C$4763/ext_sh</f>
        <v>300</v>
      </c>
      <c r="D4764" s="32" t="n">
        <f aca="false">Sens!$D$4763/ext_sh</f>
        <v>1350</v>
      </c>
      <c r="E4764" s="32" t="n">
        <f aca="false">Sens!$E$4763/ext_sh</f>
        <v>800</v>
      </c>
      <c r="F4764" s="32" t="n">
        <f aca="false">Sens!$F$4763/ext_sh</f>
        <v>2271.4375</v>
      </c>
      <c r="G4764" s="32" t="n">
        <f aca="false">Sens!$G$4763/ext_sh</f>
        <v>3071.4375</v>
      </c>
      <c r="H4764" s="32" t="n">
        <f aca="false">Sens!$H$4763/ext_sh</f>
        <v>4542.875</v>
      </c>
      <c r="I4764" s="32" t="n">
        <f aca="false">Sens!$I$4763/ext_sh</f>
        <v>4542.875</v>
      </c>
      <c r="J4764" s="32" t="n">
        <f aca="false">Sens!$J$4763/ext_sh</f>
        <v>4542.875</v>
      </c>
      <c r="K4764" s="32" t="n">
        <f aca="false">Sens!$K$4763/ext_sh</f>
        <v>3213.58395833333</v>
      </c>
      <c r="L4764" s="32" t="n">
        <f aca="false">Sens!$L$4763/ext_sh</f>
        <v>1884.29291666667</v>
      </c>
      <c r="M4764" s="32" t="n">
        <f aca="false">Sens!$M$4763/ext_sh</f>
        <v>555.001874999998</v>
      </c>
      <c r="N4764" s="32" t="n">
        <f aca="false">Sens!$N$4763/ext_sh</f>
        <v>675</v>
      </c>
      <c r="O4764" s="32" t="n">
        <f aca="false">Sens!$O$4763/ext_sh</f>
        <v>675</v>
      </c>
      <c r="P4764" s="8" t="s">
        <v>607</v>
      </c>
      <c r="R4764" s="32" t="n">
        <f aca="false">mw_ye23/ext_sh</f>
        <v>150</v>
      </c>
      <c r="S4764" s="32" t="n">
        <f aca="false">Sens!$C$4764</f>
        <v>300</v>
      </c>
      <c r="T4764" s="32" t="n">
        <f aca="false">Sens!$D$4764</f>
        <v>1350</v>
      </c>
      <c r="U4764" s="32" t="n">
        <f aca="false">Sens!$G$4764</f>
        <v>3071.4375</v>
      </c>
      <c r="V4764" s="32" t="n">
        <f aca="false">Sens!$H$4764</f>
        <v>4542.875</v>
      </c>
      <c r="W4764" s="32" t="n">
        <f aca="false">Sens!$I$4764</f>
        <v>4542.875</v>
      </c>
      <c r="X4764" s="32" t="n">
        <f aca="false">Sens!$J$4764</f>
        <v>4542.875</v>
      </c>
      <c r="Y4764" s="32" t="n">
        <f aca="false">Sens!$K$4764</f>
        <v>3213.58395833333</v>
      </c>
      <c r="Z4764" s="32" t="n">
        <f aca="false">Sens!$L$4764</f>
        <v>1884.29291666667</v>
      </c>
      <c r="AA4764" s="32" t="n">
        <f aca="false">Sens!$M$4764</f>
        <v>555.001874999998</v>
      </c>
    </row>
    <row r="4765" customFormat="false" ht="17.15" hidden="false" customHeight="false" outlineLevel="0" collapsed="false">
      <c r="A4765" s="1" t="s">
        <v>608</v>
      </c>
    </row>
    <row r="4766" customFormat="false" ht="17.15" hidden="false" customHeight="false" outlineLevel="0" collapsed="false">
      <c r="A4766" s="0" t="s">
        <v>609</v>
      </c>
      <c r="B4766" s="0" t="s">
        <v>52</v>
      </c>
      <c r="F4766" s="35" t="n">
        <f aca="false">na_vr26</f>
        <v>0</v>
      </c>
      <c r="G4766" s="35" t="n">
        <f aca="false">na_vr26</f>
        <v>0</v>
      </c>
      <c r="H4766" s="35" t="n">
        <f aca="false">na_vr27</f>
        <v>0.5</v>
      </c>
      <c r="I4766" s="35" t="n">
        <f aca="false">na_vr28</f>
        <v>1</v>
      </c>
      <c r="J4766" s="35" t="n">
        <f aca="false">na_vr28</f>
        <v>1</v>
      </c>
      <c r="K4766" s="35" t="n">
        <f aca="false">na_vr28</f>
        <v>1</v>
      </c>
      <c r="L4766" s="35" t="n">
        <f aca="false">na_vr28</f>
        <v>1</v>
      </c>
      <c r="M4766" s="35" t="n">
        <f aca="false">na_vr28</f>
        <v>1</v>
      </c>
    </row>
    <row r="4767" customFormat="false" ht="17.15" hidden="false" customHeight="false" outlineLevel="0" collapsed="false">
      <c r="A4767" s="5" t="s">
        <v>610</v>
      </c>
      <c r="B4767" s="0" t="s">
        <v>173</v>
      </c>
      <c r="F4767" s="36" t="n">
        <f aca="false">cust_sh*tk_he_gb300*cf_chip+(1-cust_sh)*((1-Sens!$F$4766)*tk_he_gb300+Sens!$F$4766*tk_he_vr200)</f>
        <v>10.8864110021101</v>
      </c>
      <c r="G4767" s="36" t="n">
        <f aca="false">cust_sh*tk_he_gb300*cf_chip+(1-cust_sh)*((1-Sens!$G$4766)*tk_he_gb300+Sens!$G$4766*tk_he_vr200)</f>
        <v>10.8864110021101</v>
      </c>
      <c r="H4767" s="36" t="n">
        <f aca="false">cust_sh*tk_he_gb300*cf_chip+(1-cust_sh)*((1-Sens!$H$4766)*tk_he_gb300+Sens!$H$4766*tk_he_vr200)</f>
        <v>11.2211760027286</v>
      </c>
      <c r="I4767" s="36" t="n">
        <f aca="false">cust_sh*tk_he_gb300*cf_chip+(1-cust_sh)*((1-Sens!$I$4766)*tk_he_gb300+Sens!$I$4766*tk_he_vr200)</f>
        <v>11.5559410033471</v>
      </c>
      <c r="J4767" s="36" t="n">
        <f aca="false">cust_sh*tk_he_gb300*cf_chip+(1-cust_sh)*((1-Sens!$J$4766)*tk_he_gb300+Sens!$J$4766*tk_he_vr200)</f>
        <v>11.5559410033471</v>
      </c>
      <c r="K4767" s="36" t="n">
        <f aca="false">cust_sh*tk_he_gb300*cf_chip+(1-cust_sh)*((1-Sens!$K$4766)*tk_he_gb300+Sens!$K$4766*tk_he_vr200)</f>
        <v>11.5559410033471</v>
      </c>
      <c r="L4767" s="36" t="n">
        <f aca="false">cust_sh*tk_he_gb300*cf_chip+(1-cust_sh)*((1-Sens!$L$4766)*tk_he_gb300+Sens!$L$4766*tk_he_vr200)</f>
        <v>11.5559410033471</v>
      </c>
      <c r="M4767" s="36" t="n">
        <f aca="false">cust_sh*tk_he_gb300*cf_chip+(1-cust_sh)*((1-Sens!$M$4766)*tk_he_gb300+Sens!$M$4766*tk_he_vr200)</f>
        <v>11.5559410033471</v>
      </c>
    </row>
    <row r="4768" customFormat="false" ht="17.15" hidden="false" customHeight="false" outlineLevel="0" collapsed="false">
      <c r="A4768" s="5" t="s">
        <v>611</v>
      </c>
      <c r="B4768" s="0" t="s">
        <v>173</v>
      </c>
      <c r="F4768" s="36" t="n">
        <f aca="false">cust_sh*tk_ox_gb300+(1-cust_sh)*((1-Sens!$F$4766)*tk_ox_gb300+Sens!$F$4766*tk_ox_vr200)</f>
        <v>1.98263481314457</v>
      </c>
      <c r="G4768" s="36" t="n">
        <f aca="false">cust_sh*tk_ox_gb300+(1-cust_sh)*((1-Sens!$G$4766)*tk_ox_gb300+Sens!$G$4766*tk_ox_vr200)</f>
        <v>1.98263481314457</v>
      </c>
      <c r="H4768" s="36" t="n">
        <f aca="false">cust_sh*tk_ox_gb300+(1-cust_sh)*((1-Sens!$H$4766)*tk_ox_gb300+Sens!$H$4766*tk_ox_vr200)</f>
        <v>2.01034999693694</v>
      </c>
      <c r="I4768" s="36" t="n">
        <f aca="false">cust_sh*tk_ox_gb300+(1-cust_sh)*((1-Sens!$I$4766)*tk_ox_gb300+Sens!$I$4766*tk_ox_vr200)</f>
        <v>2.0380651807293</v>
      </c>
      <c r="J4768" s="36" t="n">
        <f aca="false">cust_sh*tk_ox_gb300+(1-cust_sh)*((1-Sens!$J$4766)*tk_ox_gb300+Sens!$J$4766*tk_ox_vr200)</f>
        <v>2.0380651807293</v>
      </c>
      <c r="K4768" s="36" t="n">
        <f aca="false">cust_sh*tk_ox_gb300+(1-cust_sh)*((1-Sens!$K$4766)*tk_ox_gb300+Sens!$K$4766*tk_ox_vr200)</f>
        <v>2.0380651807293</v>
      </c>
      <c r="L4768" s="36" t="n">
        <f aca="false">cust_sh*tk_ox_gb300+(1-cust_sh)*((1-Sens!$L$4766)*tk_ox_gb300+Sens!$L$4766*tk_ox_vr200)</f>
        <v>2.0380651807293</v>
      </c>
      <c r="M4768" s="36" t="n">
        <f aca="false">cust_sh*tk_ox_gb300+(1-cust_sh)*((1-Sens!$M$4766)*tk_ox_gb300+Sens!$M$4766*tk_ox_vr200)</f>
        <v>2.0380651807293</v>
      </c>
    </row>
    <row r="4769" customFormat="false" ht="17.15" hidden="false" customHeight="false" outlineLevel="0" collapsed="false">
      <c r="A4769" s="5" t="s">
        <v>612</v>
      </c>
      <c r="B4769" s="0" t="s">
        <v>192</v>
      </c>
      <c r="F4769" s="36" t="n">
        <f aca="false">cust_sh*tk_cx_gb300*cf_cx+(1-cust_sh)*((1-Sens!$F$4766)*tk_cx_gb300+Sens!$F$4766*tk_cx_vr200)</f>
        <v>32.237224</v>
      </c>
      <c r="G4769" s="36" t="n">
        <f aca="false">cust_sh*tk_cx_gb300*cf_cx+(1-cust_sh)*((1-Sens!$G$4766)*tk_cx_gb300+Sens!$G$4766*tk_cx_vr200)</f>
        <v>32.237224</v>
      </c>
      <c r="H4769" s="36" t="n">
        <f aca="false">cust_sh*tk_cx_gb300*cf_cx+(1-cust_sh)*((1-Sens!$H$4766)*tk_cx_gb300+Sens!$H$4766*tk_cx_vr200)</f>
        <v>33.574506</v>
      </c>
      <c r="I4769" s="36" t="n">
        <f aca="false">cust_sh*tk_cx_gb300*cf_cx+(1-cust_sh)*((1-Sens!$I$4766)*tk_cx_gb300+Sens!$I$4766*tk_cx_vr200)</f>
        <v>34.911788</v>
      </c>
      <c r="J4769" s="36" t="n">
        <f aca="false">cust_sh*tk_cx_gb300*cf_cx+(1-cust_sh)*((1-Sens!$J$4766)*tk_cx_gb300+Sens!$J$4766*tk_cx_vr200)</f>
        <v>34.911788</v>
      </c>
      <c r="K4769" s="36" t="n">
        <f aca="false">cust_sh*tk_cx_gb300*cf_cx+(1-cust_sh)*((1-Sens!$K$4766)*tk_cx_gb300+Sens!$K$4766*tk_cx_vr200)</f>
        <v>34.911788</v>
      </c>
      <c r="L4769" s="36" t="n">
        <f aca="false">cust_sh*tk_cx_gb300*cf_cx+(1-cust_sh)*((1-Sens!$L$4766)*tk_cx_gb300+Sens!$L$4766*tk_cx_vr200)</f>
        <v>34.911788</v>
      </c>
      <c r="M4769" s="36" t="n">
        <f aca="false">cust_sh*tk_cx_gb300*cf_cx+(1-cust_sh)*((1-Sens!$M$4766)*tk_cx_gb300+Sens!$M$4766*tk_cx_vr200)</f>
        <v>34.911788</v>
      </c>
    </row>
    <row r="4770" customFormat="false" ht="17.15" hidden="false" customHeight="false" outlineLevel="0" collapsed="false">
      <c r="A4770" s="5" t="s">
        <v>613</v>
      </c>
      <c r="B4770" s="0" t="s">
        <v>129</v>
      </c>
      <c r="F4770" s="32" t="n">
        <f aca="false">Sens!$F$4760-mw_open</f>
        <v>1817.15</v>
      </c>
      <c r="G4770" s="32" t="n">
        <f aca="false">Sens!$F$4770</f>
        <v>1817.15</v>
      </c>
      <c r="H4770" s="32" t="n">
        <f aca="false">Sens!$H$4760-mw_open</f>
        <v>5451.45</v>
      </c>
      <c r="I4770" s="32" t="n">
        <f aca="false">Sens!$I$4760-mw_open</f>
        <v>9085.75</v>
      </c>
      <c r="J4770" s="32" t="n">
        <f aca="false">Sens!$J$4760-mw_open</f>
        <v>12720.05</v>
      </c>
      <c r="K4770" s="32" t="n">
        <f aca="false">Sens!$K$4760-mw_open</f>
        <v>15290.9171666667</v>
      </c>
      <c r="L4770" s="32" t="n">
        <f aca="false">Sens!$L$4760-mw_open</f>
        <v>16798.3515</v>
      </c>
      <c r="M4770" s="32" t="n">
        <f aca="false">Sens!$M$4760-mw_open</f>
        <v>17242.353</v>
      </c>
    </row>
    <row r="4771" customFormat="false" ht="17.15" hidden="false" customHeight="false" outlineLevel="0" collapsed="false">
      <c r="A4771" s="0" t="s">
        <v>614</v>
      </c>
      <c r="B4771" s="0" t="s">
        <v>615</v>
      </c>
      <c r="F4771" s="32" t="n">
        <f aca="false">Sens!$F$4763*Sens!$F$4767</f>
        <v>19782.2417524844</v>
      </c>
      <c r="G4771" s="32" t="n">
        <f aca="false">Sens!$F$4771</f>
        <v>19782.2417524844</v>
      </c>
      <c r="H4771" s="32" t="n">
        <f aca="false">Sens!$G$4771+Sens!$H$4763*Sens!$H$4767</f>
        <v>60563.3616992009</v>
      </c>
      <c r="I4771" s="32" t="n">
        <f aca="false">Sens!$H$4771+Sens!$I$4763*Sens!$I$4767</f>
        <v>102561.118087665</v>
      </c>
      <c r="J4771" s="32" t="n">
        <f aca="false">Sens!$I$4771+Sens!$J$4763*Sens!$J$4767</f>
        <v>144558.87447613</v>
      </c>
      <c r="K4771" s="32" t="n">
        <f aca="false">Sens!$J$4771+Sens!$K$4763*Sens!$K$4767</f>
        <v>174267.663781572</v>
      </c>
      <c r="L4771" s="32" t="n">
        <f aca="false">Sens!$K$4771+Sens!$L$4763*Sens!$L$4767</f>
        <v>191687.486003992</v>
      </c>
      <c r="M4771" s="32" t="n">
        <f aca="false">Sens!$L$4771+Sens!$M$4763*Sens!$M$4767</f>
        <v>196818.341143389</v>
      </c>
    </row>
    <row r="4772" customFormat="false" ht="17.15" hidden="false" customHeight="false" outlineLevel="0" collapsed="false">
      <c r="A4772" s="0" t="s">
        <v>616</v>
      </c>
      <c r="B4772" s="0" t="s">
        <v>615</v>
      </c>
      <c r="F4772" s="32" t="n">
        <f aca="false">Sens!$F$4763*Sens!$F$4768</f>
        <v>3602.74485070566</v>
      </c>
      <c r="G4772" s="32" t="n">
        <f aca="false">Sens!$F$4772</f>
        <v>3602.74485070566</v>
      </c>
      <c r="H4772" s="32" t="n">
        <f aca="false">Sens!$G$4772+Sens!$H$4763*Sens!$H$4768</f>
        <v>10908.9598445736</v>
      </c>
      <c r="I4772" s="32" t="n">
        <f aca="false">Sens!$H$4772+Sens!$I$4763*Sens!$I$4768</f>
        <v>18315.9001308981</v>
      </c>
      <c r="J4772" s="32" t="n">
        <f aca="false">Sens!$I$4772+Sens!$J$4763*Sens!$J$4768</f>
        <v>25722.8404172225</v>
      </c>
      <c r="K4772" s="32" t="n">
        <f aca="false">Sens!$J$4772+Sens!$K$4763*Sens!$K$4768</f>
        <v>30962.4352738861</v>
      </c>
      <c r="L4772" s="32" t="n">
        <f aca="false">Sens!$K$4772+Sens!$L$4763*Sens!$L$4768</f>
        <v>34034.6847008886</v>
      </c>
      <c r="M4772" s="32" t="n">
        <f aca="false">Sens!$L$4772+Sens!$M$4763*Sens!$M$4768</f>
        <v>34939.5886982302</v>
      </c>
    </row>
    <row r="4773" customFormat="false" ht="17.15" hidden="false" customHeight="false" outlineLevel="0" collapsed="false">
      <c r="A4773" s="5" t="s">
        <v>617</v>
      </c>
      <c r="B4773" s="0" t="s">
        <v>173</v>
      </c>
      <c r="F4773" s="36" t="n">
        <f aca="false">IF(Sens!$F$4770&gt;0,Sens!$F$4771/Sens!$F$4770,Sens!$F$4767)</f>
        <v>10.8864110021101</v>
      </c>
      <c r="G4773" s="36" t="n">
        <f aca="false">IF(Sens!$G$4770&gt;0,Sens!$G$4771/Sens!$G$4770,Sens!$G$4767)</f>
        <v>10.8864110021101</v>
      </c>
      <c r="H4773" s="36" t="n">
        <f aca="false">IF(Sens!$H$4770&gt;0,Sens!$H$4771/Sens!$H$4770,Sens!$H$4767)</f>
        <v>11.1095876691891</v>
      </c>
      <c r="I4773" s="36" t="n">
        <f aca="false">IF(Sens!$I$4770&gt;0,Sens!$I$4771/Sens!$I$4770,Sens!$I$4767)</f>
        <v>11.2881290028523</v>
      </c>
      <c r="J4773" s="36" t="n">
        <f aca="false">IF(Sens!$J$4770&gt;0,Sens!$J$4771/Sens!$J$4770,Sens!$J$4767)</f>
        <v>11.3646467172794</v>
      </c>
      <c r="K4773" s="36" t="n">
        <f aca="false">IF(Sens!$K$4770&gt;0,Sens!$K$4771/Sens!$K$4770,Sens!$K$4767)</f>
        <v>11.3968090914432</v>
      </c>
      <c r="L4773" s="36" t="n">
        <f aca="false">IF(Sens!$L$4770&gt;0,Sens!$L$4771/Sens!$L$4770,Sens!$L$4767)</f>
        <v>11.4110891181192</v>
      </c>
      <c r="M4773" s="36" t="n">
        <f aca="false">IF(Sens!$M$4770&gt;0,Sens!$M$4771/Sens!$M$4770,Sens!$M$4767)</f>
        <v>11.4148191458201</v>
      </c>
    </row>
    <row r="4774" customFormat="false" ht="17.15" hidden="false" customHeight="false" outlineLevel="0" collapsed="false">
      <c r="A4774" s="5" t="s">
        <v>618</v>
      </c>
      <c r="B4774" s="0" t="s">
        <v>173</v>
      </c>
      <c r="F4774" s="36" t="n">
        <f aca="false">IF(Sens!$F$4770&gt;0,Sens!$F$4772/Sens!$F$4770,Sens!$F$4768)</f>
        <v>1.98263481314457</v>
      </c>
      <c r="G4774" s="36" t="n">
        <f aca="false">IF(Sens!$G$4770&gt;0,Sens!$G$4772/Sens!$G$4770,Sens!$G$4768)</f>
        <v>1.98263481314457</v>
      </c>
      <c r="H4774" s="36" t="n">
        <f aca="false">IF(Sens!$H$4770&gt;0,Sens!$H$4772/Sens!$H$4770,Sens!$H$4768)</f>
        <v>2.00111160233948</v>
      </c>
      <c r="I4774" s="36" t="n">
        <f aca="false">IF(Sens!$I$4770&gt;0,Sens!$I$4772/Sens!$I$4770,Sens!$I$4768)</f>
        <v>2.01589303369541</v>
      </c>
      <c r="J4774" s="36" t="n">
        <f aca="false">IF(Sens!$J$4770&gt;0,Sens!$J$4772/Sens!$J$4770,Sens!$J$4768)</f>
        <v>2.02222793284795</v>
      </c>
      <c r="K4774" s="36" t="n">
        <f aca="false">IF(Sens!$K$4770&gt;0,Sens!$K$4772/Sens!$K$4770,Sens!$K$4768)</f>
        <v>2.02489065478573</v>
      </c>
      <c r="L4774" s="36" t="n">
        <f aca="false">IF(Sens!$L$4770&gt;0,Sens!$L$4772/Sens!$L$4770,Sens!$L$4768)</f>
        <v>2.0260728977417</v>
      </c>
      <c r="M4774" s="36" t="n">
        <f aca="false">IF(Sens!$M$4770&gt;0,Sens!$M$4772/Sens!$M$4770,Sens!$M$4768)</f>
        <v>2.02638170661685</v>
      </c>
    </row>
    <row r="4775" customFormat="false" ht="17.15" hidden="false" customHeight="false" outlineLevel="0" collapsed="false">
      <c r="A4775" s="15" t="s">
        <v>619</v>
      </c>
      <c r="B4775" s="14" t="s">
        <v>173</v>
      </c>
      <c r="C4775" s="14"/>
      <c r="D4775" s="14"/>
      <c r="E4775" s="14"/>
      <c r="F4775" s="37" t="n">
        <f aca="false">Sens!$F$4773*k_B</f>
        <v>10.7987645808025</v>
      </c>
      <c r="G4775" s="37" t="n">
        <f aca="false">Sens!$G$4773*k_B</f>
        <v>10.7987645808025</v>
      </c>
      <c r="H4775" s="37" t="n">
        <f aca="false">Sens!$H$4773*k_B</f>
        <v>11.0201444540452</v>
      </c>
      <c r="I4775" s="37" t="n">
        <f aca="false">Sens!$I$4773*k_B</f>
        <v>11.1972483526393</v>
      </c>
      <c r="J4775" s="37" t="n">
        <f aca="false">Sens!$J$4773*k_B</f>
        <v>11.2731500234653</v>
      </c>
      <c r="K4775" s="37" t="n">
        <f aca="false">Sens!$K$4773*k_B</f>
        <v>11.3050534585724</v>
      </c>
      <c r="L4775" s="37" t="n">
        <f aca="false">Sens!$L$4773*k_B</f>
        <v>11.3192185168503</v>
      </c>
      <c r="M4775" s="37" t="n">
        <f aca="false">Sens!$M$4773*k_B</f>
        <v>11.3229185141234</v>
      </c>
      <c r="N4775" s="14"/>
      <c r="O4775" s="14"/>
      <c r="P4775" s="5" t="s">
        <v>620</v>
      </c>
    </row>
    <row r="4776" customFormat="false" ht="17.15" hidden="false" customHeight="false" outlineLevel="0" collapsed="false">
      <c r="A4776" s="5" t="s">
        <v>621</v>
      </c>
      <c r="B4776" s="0" t="s">
        <v>129</v>
      </c>
      <c r="F4776" s="32" t="n">
        <f aca="false">Sens!$F$4770/2</f>
        <v>908.575</v>
      </c>
      <c r="H4776" s="32" t="n">
        <f aca="false">(Sens!$G$4770+Sens!$H$4770)/2</f>
        <v>3634.3</v>
      </c>
      <c r="I4776" s="32" t="n">
        <f aca="false">(Sens!$H$4770+Sens!$I$4770)/2</f>
        <v>7268.6</v>
      </c>
      <c r="J4776" s="32" t="n">
        <f aca="false">(Sens!$I$4770+Sens!$J$4770)/2</f>
        <v>10902.9</v>
      </c>
      <c r="K4776" s="32" t="n">
        <f aca="false">(Sens!$J$4770+Sens!$K$4770)/2</f>
        <v>14005.4835833333</v>
      </c>
      <c r="L4776" s="32" t="n">
        <f aca="false">(Sens!$K$4770+Sens!$L$4770)/2</f>
        <v>16044.6343333333</v>
      </c>
      <c r="M4776" s="32" t="n">
        <f aca="false">(Sens!$L$4770+Sens!$M$4770)/2</f>
        <v>17020.35225</v>
      </c>
    </row>
    <row r="4777" customFormat="false" ht="17.15" hidden="false" customHeight="false" outlineLevel="0" collapsed="false">
      <c r="A4777" s="1" t="s">
        <v>622</v>
      </c>
    </row>
    <row r="4778" customFormat="false" ht="17.15" hidden="false" customHeight="false" outlineLevel="0" collapsed="false">
      <c r="A4778" s="1" t="s">
        <v>623</v>
      </c>
      <c r="B4778" s="8" t="s">
        <v>86</v>
      </c>
      <c r="C4778" s="38" t="n">
        <f aca="false">Sens!$C$4761*rpm_open*Sens!$C$4762/1000</f>
        <v>2.32100535697364</v>
      </c>
      <c r="D4778" s="38" t="n">
        <f aca="false">Sens!$D$4761*rpm_open*Sens!$D$4762/1000</f>
        <v>8.70377008865116</v>
      </c>
      <c r="E4778" s="38" t="n">
        <f aca="false">Sens!$E$4761*rpm_open*Sens!$E$4762/1000</f>
        <v>8.51035297557002</v>
      </c>
      <c r="F4778" s="38" t="n">
        <f aca="false">(mw_open*rpm_open+Sens!$F$4776*Sens!$F$4775)*Sens!$F$4762/1000</f>
        <v>14.9634336447205</v>
      </c>
      <c r="G4778" s="38" t="n">
        <f aca="false">Sens!$E$4778+Sens!$F$4778</f>
        <v>23.4737866202905</v>
      </c>
      <c r="H4778" s="38" t="n">
        <f aca="false">(mw_open*rpm_open+Sens!$H$4776*Sens!$H$4775)/1000</f>
        <v>60.1658907497746</v>
      </c>
      <c r="I4778" s="38" t="n">
        <f aca="false">(mw_open*rpm_open+Sens!$I$4776*Sens!$I$4775)/1000</f>
        <v>101.503699136432</v>
      </c>
      <c r="J4778" s="38" t="n">
        <f aca="false">(mw_open*rpm_open+Sens!$J$4776*Sens!$J$4775)/1000</f>
        <v>143.025407151278</v>
      </c>
      <c r="K4778" s="38" t="n">
        <f aca="false">(mw_open*rpm_open+Sens!$K$4776*Sens!$K$4775)/1000</f>
        <v>178.44812038318</v>
      </c>
      <c r="L4778" s="38" t="n">
        <f aca="false">(mw_open*rpm_open+Sens!$L$4776*Sens!$L$4775)/1000</f>
        <v>201.728101802396</v>
      </c>
      <c r="M4778" s="38" t="n">
        <f aca="false">(mw_open*rpm_open+Sens!$M$4776*Sens!$M$4775)/1000</f>
        <v>212.835441368865</v>
      </c>
      <c r="N4778" s="38" t="n">
        <f aca="false">Sens!$N$4761*rpm_open*Sens!$N$4762/1000</f>
        <v>3.04631953102791</v>
      </c>
      <c r="O4778" s="38" t="n">
        <f aca="false">Sens!$O$4761*rpm_open*Sens!$O$4762/1000</f>
        <v>5.65745055762326</v>
      </c>
      <c r="P4778" s="5" t="s">
        <v>624</v>
      </c>
    </row>
    <row r="4779" customFormat="false" ht="17.15" hidden="false" customHeight="false" outlineLevel="0" collapsed="false">
      <c r="A4779" s="5" t="s">
        <v>625</v>
      </c>
      <c r="B4779" s="0" t="s">
        <v>173</v>
      </c>
      <c r="C4779" s="36" t="n">
        <f aca="false">Sens!$C$4778*1000/(Sens!$C$4761*Sens!$C$4762)</f>
        <v>9.67085565405685</v>
      </c>
      <c r="D4779" s="36" t="n">
        <f aca="false">Sens!$D$4778*1000/(Sens!$D$4761*Sens!$D$4762)</f>
        <v>9.67085565405685</v>
      </c>
      <c r="E4779" s="36" t="n">
        <f aca="false">Sens!$E$4778*1000/(Sens!$E$4761*Sens!$E$4762)</f>
        <v>9.67085565405685</v>
      </c>
      <c r="F4779" s="36" t="n">
        <f aca="false">Sens!$F$4778*1000/(Sens!$F$4761*Sens!$F$4762)</f>
        <v>10.0137581588017</v>
      </c>
      <c r="G4779" s="36" t="n">
        <f aca="false">Sens!$G$4778*1000/(Sens!$G$4761*Sens!$G$4762)</f>
        <v>9.88666562928478</v>
      </c>
      <c r="H4779" s="36" t="n">
        <f aca="false">Sens!$H$4778*1000/(Sens!$H$4761*Sens!$H$4762)</f>
        <v>10.5290045586992</v>
      </c>
      <c r="I4779" s="36" t="n">
        <f aca="false">Sens!$I$4778*1000/(Sens!$I$4761*Sens!$I$4762)</f>
        <v>10.8576363451674</v>
      </c>
      <c r="J4779" s="36" t="n">
        <f aca="false">Sens!$J$4778*1000/(Sens!$J$4761*Sens!$J$4762)</f>
        <v>11.0164452588619</v>
      </c>
      <c r="K4779" s="36" t="n">
        <f aca="false">Sens!$K$4778*1000/(Sens!$K$4761*Sens!$K$4762)</f>
        <v>11.0937367508227</v>
      </c>
      <c r="L4779" s="36" t="n">
        <f aca="false">Sens!$L$4778*1000/(Sens!$L$4761*Sens!$L$4762)</f>
        <v>11.1300508519168</v>
      </c>
      <c r="M4779" s="36" t="n">
        <f aca="false">Sens!$M$4778*1000/(Sens!$M$4761*Sens!$M$4762)</f>
        <v>11.1430113216297</v>
      </c>
      <c r="N4779" s="36" t="n">
        <f aca="false">Sens!$N$4778*1000/(Sens!$N$4761*Sens!$N$4762)</f>
        <v>9.67085565405685</v>
      </c>
      <c r="O4779" s="36" t="n">
        <f aca="false">Sens!$O$4778*1000/(Sens!$O$4761*Sens!$O$4762)</f>
        <v>9.67085565405685</v>
      </c>
    </row>
    <row r="4780" customFormat="false" ht="17.15" hidden="false" customHeight="false" outlineLevel="0" collapsed="false">
      <c r="A4780" s="0" t="s">
        <v>626</v>
      </c>
      <c r="B4780" s="0" t="s">
        <v>86</v>
      </c>
      <c r="C4780" s="38" t="n">
        <f aca="false">Sens!$C$4761/ext_sh*(ox_open+rent_mw)*Sens!$C$4762/1000</f>
        <v>0.642569210675032</v>
      </c>
      <c r="D4780" s="38" t="n">
        <f aca="false">Sens!$D$4761/ext_sh*(ox_open+rent_mw)*Sens!$D$4762/1000</f>
        <v>2.40963454003137</v>
      </c>
      <c r="E4780" s="38" t="n">
        <f aca="false">Sens!$E$4761/ext_sh*(ox_open+rent_mw)*Sens!$E$4762/1000</f>
        <v>2.35608710580845</v>
      </c>
      <c r="F4780" s="38" t="n">
        <f aca="false">((mw_open*ox_open+Sens!$F$4776*Sens!$F$4774)/ext_sh+Sens!$F$4761/ext_sh*rent_mw)*Sens!$F$4762/1000</f>
        <v>4.05421991106232</v>
      </c>
      <c r="G4780" s="38" t="n">
        <f aca="false">Sens!$E$4780+Sens!$F$4780</f>
        <v>6.41030701687077</v>
      </c>
      <c r="H4780" s="38" t="n">
        <f aca="false">((mw_open*ox_open+Sens!$H$4776*Sens!$H$4774)/ext_sh+Sens!$H$4761/ext_sh*rent_mw)*Sens!$H$4762/1000</f>
        <v>15.8108975546616</v>
      </c>
      <c r="I4780" s="38" t="n">
        <f aca="false">((mw_open*ox_open+Sens!$I$4776*Sens!$I$4774)/ext_sh+Sens!$I$4761/ext_sh*rent_mw)*Sens!$I$4762/1000</f>
        <v>26.1871623400817</v>
      </c>
      <c r="J4780" s="38" t="n">
        <f aca="false">((mw_open*ox_open+Sens!$J$4776*Sens!$J$4774)/ext_sh+Sens!$J$4761/ext_sh*rent_mw)*Sens!$J$4762/1000</f>
        <v>36.5826128954935</v>
      </c>
      <c r="K4780" s="38" t="n">
        <f aca="false">((mw_open*ox_open+Sens!$K$4776*Sens!$K$4774)/ext_sh+Sens!$K$4761/ext_sh*rent_mw)*Sens!$K$4762/1000</f>
        <v>45.4546361137628</v>
      </c>
      <c r="L4780" s="38" t="n">
        <f aca="false">((mw_open*ox_open+Sens!$L$4776*Sens!$L$4774)/ext_sh+Sens!$L$4761/ext_sh*rent_mw)*Sens!$L$4762/1000</f>
        <v>51.2855695554452</v>
      </c>
      <c r="M4780" s="38" t="n">
        <f aca="false">((mw_open*ox_open+Sens!$M$4776*Sens!$M$4774)/ext_sh+Sens!$M$4761/ext_sh*rent_mw)*Sens!$M$4762/1000</f>
        <v>54.0722927838398</v>
      </c>
      <c r="N4780" s="38" t="n">
        <f aca="false">Sens!$N$4761/ext_sh*(ox_open+rent_mw)*Sens!$N$4762/1000</f>
        <v>0.84337208901098</v>
      </c>
      <c r="O4780" s="38" t="n">
        <f aca="false">Sens!$O$4761/ext_sh*(ox_open+rent_mw)*Sens!$O$4762/1000</f>
        <v>1.56626245102039</v>
      </c>
    </row>
    <row r="4781" customFormat="false" ht="17.15" hidden="false" customHeight="false" outlineLevel="0" collapsed="false">
      <c r="A4781" s="0" t="s">
        <v>627</v>
      </c>
      <c r="B4781" s="0" t="s">
        <v>86</v>
      </c>
      <c r="C4781" s="38" t="n">
        <f aca="false">Q!$D$7</f>
        <v>107.556</v>
      </c>
      <c r="D4781" s="38" t="n">
        <f aca="false">Q!$E$7</f>
        <v>128.725</v>
      </c>
      <c r="E4781" s="38" t="n">
        <f aca="false">Q!$P$7</f>
        <v>79.819</v>
      </c>
      <c r="N4781" s="38" t="n">
        <f aca="false">Q!$N$7</f>
        <v>60.14</v>
      </c>
      <c r="O4781" s="38" t="n">
        <f aca="false">Q!$O$7</f>
        <v>68.585</v>
      </c>
    </row>
    <row r="4782" customFormat="false" ht="17.15" hidden="false" customHeight="false" outlineLevel="0" collapsed="false">
      <c r="A4782" s="1" t="s">
        <v>628</v>
      </c>
      <c r="B4782" s="8" t="s">
        <v>86</v>
      </c>
      <c r="C4782" s="38" t="n">
        <f aca="false">Sens!$C$4781-Sens!$C$4778</f>
        <v>105.234994643026</v>
      </c>
      <c r="D4782" s="38" t="n">
        <f aca="false">Sens!$D$4781-Sens!$D$4778</f>
        <v>120.021229911349</v>
      </c>
      <c r="E4782" s="38" t="n">
        <f aca="false">Sens!$E$4781-Sens!$E$4778</f>
        <v>71.30864702443</v>
      </c>
      <c r="F4782" s="38" t="n">
        <f aca="false">Sens!$O$4782*(1+Sens!$F$4783)</f>
        <v>71.7692997942464</v>
      </c>
      <c r="G4782" s="38" t="n">
        <f aca="false">Sens!$E$4782+Sens!$F$4782</f>
        <v>143.077946818676</v>
      </c>
      <c r="H4782" s="38" t="n">
        <f aca="false">Sens!$G$4782*(1+Sens!$H$4783)</f>
        <v>161.017077079203</v>
      </c>
      <c r="I4782" s="38" t="n">
        <f aca="false">Sens!$H$4782*(1+Sens!$I$4783)</f>
        <v>178.769759521457</v>
      </c>
      <c r="J4782" s="38" t="n">
        <f aca="false">Sens!$I$4782*(1+Sens!$J$4783)</f>
        <v>195.775538045907</v>
      </c>
      <c r="K4782" s="38" t="n">
        <f aca="false">Sens!$J$4782*(1+Sens!$K$4783)</f>
        <v>211.43758108958</v>
      </c>
      <c r="L4782" s="38" t="n">
        <f aca="false">Sens!$K$4782*(1+Sens!$L$4783)</f>
        <v>228.352587576746</v>
      </c>
      <c r="M4782" s="38" t="n">
        <f aca="false">Sens!$L$4782*(1+Sens!$M$4783)</f>
        <v>246.620794582886</v>
      </c>
      <c r="N4782" s="38" t="n">
        <f aca="false">Sens!$N$4781-Sens!$N$4778</f>
        <v>57.0936804689721</v>
      </c>
      <c r="O4782" s="38" t="n">
        <f aca="false">Sens!$O$4781-Sens!$O$4778</f>
        <v>62.9275494423768</v>
      </c>
      <c r="P4782" s="5" t="s">
        <v>629</v>
      </c>
    </row>
    <row r="4783" customFormat="false" ht="17.15" hidden="false" customHeight="false" outlineLevel="0" collapsed="false">
      <c r="A4783" s="0" t="s">
        <v>630</v>
      </c>
      <c r="B4783" s="0" t="s">
        <v>52</v>
      </c>
      <c r="D4783" s="13" t="n">
        <f aca="false">Sens!$D$4782/Sens!$C$4782-1</f>
        <v>0.140506827776062</v>
      </c>
      <c r="E4783" s="13" t="n">
        <f aca="false">Sens!$E$4782/Sens!$N$4782-1</f>
        <v>0.248976181579029</v>
      </c>
      <c r="F4783" s="13" t="n">
        <f aca="false">Sens!$D$4783</f>
        <v>0.140506827776062</v>
      </c>
      <c r="G4783" s="13" t="n">
        <f aca="false">Sens!$G$4782/Sens!$D$4782-1</f>
        <v>0.19210532106993</v>
      </c>
      <c r="H4783" s="13" t="n">
        <f aca="false">Sens!$F$4783+(g_awso_lt-Sens!$F$4783)*1/4</f>
        <v>0.125380120832046</v>
      </c>
      <c r="I4783" s="13" t="n">
        <f aca="false">Sens!$F$4783+(g_awso_lt-Sens!$F$4783)*2/4</f>
        <v>0.110253413888031</v>
      </c>
      <c r="J4783" s="13" t="n">
        <f aca="false">Sens!$F$4783+(g_awso_lt-Sens!$F$4783)*3/4</f>
        <v>0.0951267069440154</v>
      </c>
      <c r="K4783" s="13" t="n">
        <f aca="false">Sens!$F$4783+(g_awso_lt-Sens!$F$4783)*4/4</f>
        <v>0.08</v>
      </c>
      <c r="L4783" s="13" t="n">
        <f aca="false">g_awso_lt</f>
        <v>0.08</v>
      </c>
      <c r="M4783" s="13" t="n">
        <f aca="false">g_awso_lt</f>
        <v>0.08</v>
      </c>
      <c r="P4783" s="5" t="s">
        <v>631</v>
      </c>
    </row>
    <row r="4784" customFormat="false" ht="17.15" hidden="false" customHeight="false" outlineLevel="0" collapsed="false">
      <c r="A4784" s="1" t="s">
        <v>632</v>
      </c>
    </row>
    <row r="4785" customFormat="false" ht="17.15" hidden="false" customHeight="false" outlineLevel="0" collapsed="false">
      <c r="A4785" s="0" t="s">
        <v>633</v>
      </c>
      <c r="B4785" s="0" t="s">
        <v>86</v>
      </c>
      <c r="F4785" s="38" t="n">
        <f aca="false">cx_rt*Sens!$F$4750+cx_awso*Sens!$F$4782</f>
        <v>34.9734495387866</v>
      </c>
    </row>
    <row r="4786" customFormat="false" ht="17.15" hidden="false" customHeight="false" outlineLevel="0" collapsed="false">
      <c r="A4786" s="0" t="s">
        <v>634</v>
      </c>
      <c r="B4786" s="0" t="s">
        <v>52</v>
      </c>
      <c r="C4786" s="13" t="n">
        <f aca="false">tk_cx_h100/(tk_cx_h100+tk_fac*(1-colo_sh))</f>
        <v>0.730756458006641</v>
      </c>
      <c r="D4786" s="13" t="n">
        <f aca="false">tk_cx_h100/(tk_cx_h100+tk_fac*(1-colo_sh))</f>
        <v>0.730756458006641</v>
      </c>
      <c r="E4786" s="13" t="n">
        <f aca="false">Sens!$F$4786</f>
        <v>0.760792334328868</v>
      </c>
      <c r="F4786" s="13" t="n">
        <f aca="false">Sens!$F$4769/(Sens!$F$4769+tk_fac*(1-colo_sh))</f>
        <v>0.760792334328868</v>
      </c>
      <c r="G4786" s="13" t="n">
        <f aca="false">Sens!$G$4769/(Sens!$G$4769+tk_fac*(1-colo_sh))</f>
        <v>0.760792334328868</v>
      </c>
      <c r="H4786" s="13" t="n">
        <f aca="false">Sens!$H$4769/(Sens!$H$4769+tk_fac*(1-colo_sh))</f>
        <v>0.768110668862996</v>
      </c>
      <c r="I4786" s="13" t="n">
        <f aca="false">Sens!$I$4769/(Sens!$I$4769+tk_fac*(1-colo_sh))</f>
        <v>0.77499450139483</v>
      </c>
      <c r="J4786" s="13" t="n">
        <f aca="false">Sens!$J$4769/(Sens!$J$4769+tk_fac*(1-colo_sh))</f>
        <v>0.77499450139483</v>
      </c>
      <c r="K4786" s="13" t="n">
        <f aca="false">Sens!$K$4769/(Sens!$K$4769+tk_fac*(1-colo_sh))</f>
        <v>0.77499450139483</v>
      </c>
      <c r="L4786" s="13" t="n">
        <f aca="false">Sens!$L$4769/(Sens!$L$4769+tk_fac*(1-colo_sh))</f>
        <v>0.77499450139483</v>
      </c>
      <c r="M4786" s="13" t="n">
        <f aca="false">Sens!$M$4769/(Sens!$M$4769+tk_fac*(1-colo_sh))</f>
        <v>0.77499450139483</v>
      </c>
    </row>
    <row r="4787" customFormat="false" ht="17.15" hidden="false" customHeight="false" outlineLevel="0" collapsed="false">
      <c r="A4787" s="1" t="s">
        <v>635</v>
      </c>
      <c r="B4787" s="8" t="s">
        <v>86</v>
      </c>
      <c r="C4787" s="38" t="n">
        <f aca="false">Q!$D$46-cx_rt*Q!$D$16-cx_awso*Sens!$C$4782</f>
        <v>25.2781053077374</v>
      </c>
      <c r="D4787" s="38" t="n">
        <f aca="false">Q!$E$46-cx_rt*Q!$E$16-cx_awso*Sens!$D$4782</f>
        <v>69.5686316310026</v>
      </c>
      <c r="E4787" s="38" t="n">
        <f aca="false">Q!$P$46-cx_rt*Q!$P$16-cx_awso*Sens!$E$4782</f>
        <v>64.1899206485108</v>
      </c>
      <c r="F4787" s="38" t="n">
        <f aca="false">capex_g26-Q!$P$46-Sens!$F$4785</f>
        <v>88.7165504612134</v>
      </c>
      <c r="G4787" s="38" t="n">
        <f aca="false">Sens!$E$4787+Sens!$F$4787</f>
        <v>152.906471109724</v>
      </c>
      <c r="H4787" s="38" t="n">
        <f aca="false">Sens!$H$4764*(Sens!$H$4769+tk_fac*(1-colo_sh))/1000+Sens!$H$4788</f>
        <v>198.57136494475</v>
      </c>
      <c r="I4787" s="38" t="n">
        <f aca="false">Sens!$I$4764*(Sens!$I$4769+tk_fac*(1-colo_sh))/1000+Sens!$I$4788</f>
        <v>204.6464699105</v>
      </c>
      <c r="J4787" s="38" t="n">
        <f aca="false">Sens!$J$4764*(Sens!$J$4769+tk_fac*(1-colo_sh))/1000+Sens!$J$4788</f>
        <v>209.8832381105</v>
      </c>
      <c r="K4787" s="38" t="n">
        <f aca="false">Sens!$K$4764*(Sens!$K$4769+tk_fac*(1-colo_sh))/1000+Sens!$K$4788</f>
        <v>155.238385275201</v>
      </c>
      <c r="L4787" s="38" t="n">
        <f aca="false">Sens!$L$4764*(Sens!$L$4769+tk_fac*(1-colo_sh))/1000+Sens!$L$4788</f>
        <v>132.014141639902</v>
      </c>
      <c r="M4787" s="38" t="n">
        <f aca="false">Sens!$M$4764*(Sens!$M$4769+tk_fac*(1-colo_sh))/1000+Sens!$M$4788</f>
        <v>132.230981659852</v>
      </c>
      <c r="P4787" s="5" t="s">
        <v>636</v>
      </c>
      <c r="R4787" s="38" t="n">
        <f aca="false">Q!$C$46-cx_rt*Q!$C$16-cx_awso*(Q!$C$7-mw_ye23/2*rpm_open/1000)</f>
        <v>1.50429979529945</v>
      </c>
      <c r="S4787" s="38" t="n">
        <f aca="false">Sens!$C$4787</f>
        <v>25.2781053077374</v>
      </c>
      <c r="T4787" s="38" t="n">
        <f aca="false">Sens!$D$4787</f>
        <v>69.5686316310026</v>
      </c>
      <c r="U4787" s="38" t="n">
        <f aca="false">Sens!$G$4787</f>
        <v>152.906471109724</v>
      </c>
      <c r="V4787" s="38" t="n">
        <f aca="false">Sens!$H$4787</f>
        <v>198.57136494475</v>
      </c>
      <c r="W4787" s="38" t="n">
        <f aca="false">Sens!$I$4787</f>
        <v>204.6464699105</v>
      </c>
      <c r="X4787" s="38" t="n">
        <f aca="false">Sens!$J$4787</f>
        <v>209.8832381105</v>
      </c>
      <c r="Y4787" s="38" t="n">
        <f aca="false">Sens!$K$4787</f>
        <v>155.238385275201</v>
      </c>
      <c r="Z4787" s="38" t="n">
        <f aca="false">Sens!$L$4787</f>
        <v>132.014141639902</v>
      </c>
      <c r="AA4787" s="38" t="n">
        <f aca="false">Sens!$M$4787</f>
        <v>132.230981659852</v>
      </c>
    </row>
    <row r="4788" customFormat="false" ht="17.15" hidden="false" customHeight="false" outlineLevel="0" collapsed="false">
      <c r="A4788" s="0" t="s">
        <v>637</v>
      </c>
      <c r="B4788" s="0" t="s">
        <v>86</v>
      </c>
      <c r="H4788" s="38" t="n">
        <f aca="false">SUMPRODUCT(--(Sens!$R$4757:$AA$4757=2027-tk_life),Sens!$R$4764:$AA$4764)*Sens!$H$4769/1000</f>
        <v>0</v>
      </c>
      <c r="I4788" s="38" t="n">
        <f aca="false">SUMPRODUCT(--(Sens!$R$4757:$AA$4757=2028-tk_life),Sens!$R$4764:$AA$4764)*Sens!$I$4769/1000</f>
        <v>0</v>
      </c>
      <c r="J4788" s="38" t="n">
        <f aca="false">SUMPRODUCT(--(Sens!$R$4757:$AA$4757=2029-tk_life),Sens!$R$4764:$AA$4764)*Sens!$J$4769/1000</f>
        <v>5.2367682</v>
      </c>
      <c r="K4788" s="38" t="n">
        <f aca="false">SUMPRODUCT(--(Sens!$R$4757:$AA$4757=2030-tk_life),Sens!$R$4764:$AA$4764)*Sens!$K$4769/1000</f>
        <v>10.4735364</v>
      </c>
      <c r="L4788" s="38" t="n">
        <f aca="false">SUMPRODUCT(--(Sens!$R$4757:$AA$4757=2031-tk_life),Sens!$R$4764:$AA$4764)*Sens!$L$4769/1000</f>
        <v>47.1309138</v>
      </c>
      <c r="M4788" s="38" t="n">
        <f aca="false">SUMPRODUCT(--(Sens!$R$4757:$AA$4757=2032-tk_life),Sens!$R$4764:$AA$4764)*Sens!$M$4769/1000</f>
        <v>107.22937485525</v>
      </c>
    </row>
    <row r="4789" customFormat="false" ht="17.15" hidden="false" customHeight="false" outlineLevel="0" collapsed="false">
      <c r="A4789" s="0" t="s">
        <v>638</v>
      </c>
      <c r="B4789" s="0" t="s">
        <v>86</v>
      </c>
      <c r="C4789" s="38" t="n">
        <f aca="false">MIN(Sens!$C$4787,Sens!$C$4764*(tk_cx_h100+tk_fac*(1-colo_sh))/1000)</f>
        <v>11.2938642</v>
      </c>
      <c r="D4789" s="38" t="n">
        <f aca="false">MIN(Sens!$D$4787,Sens!$D$4764*(tk_cx_h100+tk_fac*(1-colo_sh))/1000)</f>
        <v>50.8223889</v>
      </c>
      <c r="E4789" s="38" t="n">
        <f aca="false">MIN(Sens!$E$4787,Sens!$E$4764*(Sens!$F$4769+tk_fac*(1-colo_sh))/1000)</f>
        <v>33.8985792</v>
      </c>
      <c r="F4789" s="38" t="n">
        <f aca="false">Sens!$F$4787</f>
        <v>88.7165504612134</v>
      </c>
      <c r="G4789" s="38" t="n">
        <f aca="false">Sens!$E$4789+Sens!$F$4789</f>
        <v>122.615129661213</v>
      </c>
      <c r="H4789" s="38" t="n">
        <f aca="false">Sens!$H$4787</f>
        <v>198.57136494475</v>
      </c>
      <c r="I4789" s="38" t="n">
        <f aca="false">Sens!$I$4787</f>
        <v>204.6464699105</v>
      </c>
      <c r="J4789" s="38" t="n">
        <f aca="false">Sens!$J$4787</f>
        <v>209.8832381105</v>
      </c>
      <c r="K4789" s="38" t="n">
        <f aca="false">Sens!$K$4787</f>
        <v>155.238385275201</v>
      </c>
      <c r="L4789" s="38" t="n">
        <f aca="false">Sens!$L$4787</f>
        <v>132.014141639902</v>
      </c>
      <c r="M4789" s="38" t="n">
        <f aca="false">Sens!$M$4787</f>
        <v>132.230981659852</v>
      </c>
      <c r="P4789" s="5" t="s">
        <v>639</v>
      </c>
      <c r="R4789" s="38" t="n">
        <f aca="false">MIN(Sens!$R$4787,Sens!$R$4764*(tk_cx_h100+tk_fac*(1-colo_sh))/1000)</f>
        <v>1.50429979529945</v>
      </c>
      <c r="S4789" s="38" t="n">
        <f aca="false">Sens!$C$4789</f>
        <v>11.2938642</v>
      </c>
      <c r="T4789" s="38" t="n">
        <f aca="false">Sens!$D$4789</f>
        <v>50.8223889</v>
      </c>
      <c r="U4789" s="38" t="n">
        <f aca="false">Sens!$G$4789</f>
        <v>122.615129661213</v>
      </c>
      <c r="V4789" s="38" t="n">
        <f aca="false">Sens!$H$4789</f>
        <v>198.57136494475</v>
      </c>
      <c r="W4789" s="38" t="n">
        <f aca="false">Sens!$I$4789</f>
        <v>204.6464699105</v>
      </c>
      <c r="X4789" s="38" t="n">
        <f aca="false">Sens!$J$4789</f>
        <v>209.8832381105</v>
      </c>
      <c r="Y4789" s="38" t="n">
        <f aca="false">Sens!$K$4789</f>
        <v>155.238385275201</v>
      </c>
      <c r="Z4789" s="38" t="n">
        <f aca="false">Sens!$L$4789</f>
        <v>132.014141639902</v>
      </c>
      <c r="AA4789" s="38" t="n">
        <f aca="false">Sens!$M$4789</f>
        <v>132.230981659852</v>
      </c>
    </row>
    <row r="4790" customFormat="false" ht="17.15" hidden="false" customHeight="false" outlineLevel="0" collapsed="false">
      <c r="A4790" s="5" t="s">
        <v>640</v>
      </c>
      <c r="B4790" s="0" t="s">
        <v>86</v>
      </c>
      <c r="C4790" s="38" t="n">
        <f aca="false">Sens!$C$4787-Sens!$C$4789</f>
        <v>13.9842411077374</v>
      </c>
      <c r="D4790" s="38" t="n">
        <f aca="false">Sens!$D$4787-Sens!$D$4789</f>
        <v>18.7462427310026</v>
      </c>
      <c r="E4790" s="38" t="n">
        <f aca="false">Sens!$E$4787-Sens!$E$4789</f>
        <v>30.2913414485108</v>
      </c>
      <c r="F4790" s="38" t="n">
        <f aca="false">Sens!$F$4787-Sens!$F$4789</f>
        <v>0</v>
      </c>
      <c r="G4790" s="38" t="n">
        <f aca="false">Sens!$G$4787-Sens!$G$4789</f>
        <v>30.2913414485108</v>
      </c>
      <c r="H4790" s="38" t="n">
        <f aca="false">Sens!$H$4787-Sens!$H$4789</f>
        <v>0</v>
      </c>
      <c r="I4790" s="38" t="n">
        <f aca="false">Sens!$I$4787-Sens!$I$4789</f>
        <v>0</v>
      </c>
      <c r="J4790" s="38" t="n">
        <f aca="false">Sens!$J$4787-Sens!$J$4789</f>
        <v>0</v>
      </c>
      <c r="K4790" s="38" t="n">
        <f aca="false">Sens!$K$4787-Sens!$K$4789</f>
        <v>0</v>
      </c>
      <c r="L4790" s="38" t="n">
        <f aca="false">Sens!$L$4787-Sens!$L$4789</f>
        <v>0</v>
      </c>
      <c r="M4790" s="38" t="n">
        <f aca="false">Sens!$M$4787-Sens!$M$4789</f>
        <v>0</v>
      </c>
      <c r="P4790" s="5" t="s">
        <v>641</v>
      </c>
      <c r="R4790" s="38" t="n">
        <f aca="false">Sens!$R$4787-Sens!$R$4789</f>
        <v>0</v>
      </c>
      <c r="S4790" s="38" t="n">
        <f aca="false">Sens!$S$4787-Sens!$S$4789</f>
        <v>13.9842411077374</v>
      </c>
      <c r="T4790" s="38" t="n">
        <f aca="false">Sens!$T$4787-Sens!$T$4789</f>
        <v>18.7462427310026</v>
      </c>
      <c r="U4790" s="38" t="n">
        <f aca="false">Sens!$U$4787-Sens!$U$4789</f>
        <v>30.2913414485108</v>
      </c>
      <c r="V4790" s="38" t="n">
        <f aca="false">Sens!$V$4787-Sens!$V$4789</f>
        <v>0</v>
      </c>
      <c r="W4790" s="38" t="n">
        <f aca="false">Sens!$W$4787-Sens!$W$4789</f>
        <v>0</v>
      </c>
      <c r="X4790" s="38" t="n">
        <f aca="false">Sens!$X$4787-Sens!$X$4789</f>
        <v>0</v>
      </c>
      <c r="Y4790" s="38" t="n">
        <f aca="false">Sens!$Y$4787-Sens!$Y$4789</f>
        <v>0</v>
      </c>
      <c r="Z4790" s="38" t="n">
        <f aca="false">Sens!$Z$4787-Sens!$Z$4789</f>
        <v>0</v>
      </c>
      <c r="AA4790" s="38" t="n">
        <f aca="false">Sens!$AA$4787-Sens!$AA$4789</f>
        <v>0</v>
      </c>
    </row>
    <row r="4791" customFormat="false" ht="17.15" hidden="false" customHeight="false" outlineLevel="0" collapsed="false">
      <c r="A4791" s="5" t="s">
        <v>642</v>
      </c>
      <c r="B4791" s="0" t="s">
        <v>86</v>
      </c>
      <c r="R4791" s="38" t="n">
        <f aca="false">Sens!$R$4790*Sens!$C$4786</f>
        <v>0</v>
      </c>
      <c r="S4791" s="38" t="n">
        <f aca="false">Sens!$S$4790*Sens!$C$4786</f>
        <v>10.219074499801</v>
      </c>
      <c r="T4791" s="38" t="n">
        <f aca="false">Sens!$T$4790*Sens!$C$4786</f>
        <v>13.6989379390402</v>
      </c>
      <c r="U4791" s="38" t="n">
        <f aca="false">Sens!$U$4790*Sens!$E$4786</f>
        <v>23.0454203705653</v>
      </c>
      <c r="V4791" s="38" t="n">
        <f aca="false">Sens!$V$4790*Sens!$E$4786</f>
        <v>0</v>
      </c>
      <c r="W4791" s="38" t="n">
        <f aca="false">Sens!$W$4790*Sens!$E$4786</f>
        <v>0</v>
      </c>
      <c r="X4791" s="38" t="n">
        <f aca="false">Sens!$X$4790*Sens!$E$4786</f>
        <v>0</v>
      </c>
      <c r="Y4791" s="38" t="n">
        <f aca="false">Sens!$Y$4790*Sens!$E$4786</f>
        <v>0</v>
      </c>
      <c r="Z4791" s="38" t="n">
        <f aca="false">Sens!$Z$4790*Sens!$E$4786</f>
        <v>0</v>
      </c>
      <c r="AA4791" s="38" t="n">
        <f aca="false">Sens!$AA$4790*Sens!$E$4786</f>
        <v>0</v>
      </c>
    </row>
    <row r="4792" customFormat="false" ht="17.15" hidden="false" customHeight="false" outlineLevel="0" collapsed="false">
      <c r="A4792" s="5" t="s">
        <v>643</v>
      </c>
      <c r="B4792" s="0" t="s">
        <v>86</v>
      </c>
      <c r="R4792" s="38" t="n">
        <f aca="false">SUMPRODUCT(--(Sens!$R$4757:$AA$4757=2023-cip_lag),Sens!$R$4791:$AA$4791)</f>
        <v>0</v>
      </c>
      <c r="S4792" s="38" t="n">
        <f aca="false">SUMPRODUCT(--(Sens!$R$4757:$AA$4757=2024-cip_lag),Sens!$R$4791:$AA$4791)</f>
        <v>0</v>
      </c>
      <c r="T4792" s="38" t="n">
        <f aca="false">SUMPRODUCT(--(Sens!$R$4757:$AA$4757=2025-cip_lag),Sens!$R$4791:$AA$4791)</f>
        <v>10.219074499801</v>
      </c>
      <c r="U4792" s="38" t="n">
        <f aca="false">SUMPRODUCT(--(Sens!$R$4757:$AA$4757=2026-cip_lag),Sens!$R$4791:$AA$4791)</f>
        <v>13.6989379390402</v>
      </c>
      <c r="V4792" s="38" t="n">
        <f aca="false">SUMPRODUCT(--(Sens!$R$4757:$AA$4757=2027-cip_lag),Sens!$R$4791:$AA$4791)</f>
        <v>23.0454203705653</v>
      </c>
      <c r="W4792" s="38" t="n">
        <f aca="false">SUMPRODUCT(--(Sens!$R$4757:$AA$4757=2028-cip_lag),Sens!$R$4791:$AA$4791)</f>
        <v>0</v>
      </c>
      <c r="X4792" s="38" t="n">
        <f aca="false">SUMPRODUCT(--(Sens!$R$4757:$AA$4757=2029-cip_lag),Sens!$R$4791:$AA$4791)</f>
        <v>0</v>
      </c>
      <c r="Y4792" s="38" t="n">
        <f aca="false">SUMPRODUCT(--(Sens!$R$4757:$AA$4757=2030-cip_lag),Sens!$R$4791:$AA$4791)</f>
        <v>0</v>
      </c>
      <c r="Z4792" s="38" t="n">
        <f aca="false">SUMPRODUCT(--(Sens!$R$4757:$AA$4757=2031-cip_lag),Sens!$R$4791:$AA$4791)</f>
        <v>0</v>
      </c>
      <c r="AA4792" s="38" t="n">
        <f aca="false">SUMPRODUCT(--(Sens!$R$4757:$AA$4757=2032-cip_lag),Sens!$R$4791:$AA$4791)</f>
        <v>0</v>
      </c>
    </row>
    <row r="4793" customFormat="false" ht="15" hidden="false" customHeight="false" outlineLevel="0" collapsed="false">
      <c r="A4793" s="5" t="s">
        <v>644</v>
      </c>
      <c r="B4793" s="0" t="s">
        <v>86</v>
      </c>
      <c r="R4793" s="38" t="n">
        <f aca="false">SUMPRODUCT(--(Sens!$R$4757:$AA$4757=2023-cip_lag),Sens!$R$4790:$AA$4790)-Sens!$R$4792</f>
        <v>0</v>
      </c>
      <c r="S4793" s="38" t="n">
        <f aca="false">SUMPRODUCT(--(Sens!$R$4757:$AA$4757=2024-cip_lag),Sens!$R$4790:$AA$4790)-Sens!$S$4792</f>
        <v>0</v>
      </c>
      <c r="T4793" s="38" t="n">
        <f aca="false">SUMPRODUCT(--(Sens!$R$4757:$AA$4757=2025-cip_lag),Sens!$R$4790:$AA$4790)-Sens!$T$4792</f>
        <v>3.76516660793636</v>
      </c>
      <c r="U4793" s="38" t="n">
        <f aca="false">SUMPRODUCT(--(Sens!$R$4757:$AA$4757=2026-cip_lag),Sens!$R$4790:$AA$4790)-Sens!$U$4792</f>
        <v>5.04730479196242</v>
      </c>
      <c r="V4793" s="38" t="n">
        <f aca="false">SUMPRODUCT(--(Sens!$R$4757:$AA$4757=2027-cip_lag),Sens!$R$4790:$AA$4790)-Sens!$V$4792</f>
        <v>7.24592107794548</v>
      </c>
      <c r="W4793" s="38" t="n">
        <f aca="false">SUMPRODUCT(--(Sens!$R$4757:$AA$4757=2028-cip_lag),Sens!$R$4790:$AA$4790)-Sens!$W$4792</f>
        <v>0</v>
      </c>
      <c r="X4793" s="38" t="n">
        <f aca="false">SUMPRODUCT(--(Sens!$R$4757:$AA$4757=2029-cip_lag),Sens!$R$4790:$AA$4790)-Sens!$X$4792</f>
        <v>0</v>
      </c>
      <c r="Y4793" s="38" t="n">
        <f aca="false">SUMPRODUCT(--(Sens!$R$4757:$AA$4757=2030-cip_lag),Sens!$R$4790:$AA$4790)-Sens!$Y$4792</f>
        <v>0</v>
      </c>
      <c r="Z4793" s="38" t="n">
        <f aca="false">SUMPRODUCT(--(Sens!$R$4757:$AA$4757=2031-cip_lag),Sens!$R$4790:$AA$4790)-Sens!$Z$4792</f>
        <v>0</v>
      </c>
      <c r="AA4793" s="38" t="n">
        <f aca="false">SUMPRODUCT(--(Sens!$R$4757:$AA$4757=2032-cip_lag),Sens!$R$4790:$AA$4790)-Sens!$AA$4792</f>
        <v>0</v>
      </c>
    </row>
    <row r="4794" customFormat="false" ht="17.15" hidden="false" customHeight="false" outlineLevel="0" collapsed="false">
      <c r="A4794" s="5" t="s">
        <v>645</v>
      </c>
      <c r="B4794" s="0" t="s">
        <v>86</v>
      </c>
      <c r="C4794" s="38" t="n">
        <f aca="false">Sens!$C$4789*Sens!$C$4786</f>
        <v>8.2530642</v>
      </c>
      <c r="D4794" s="38" t="n">
        <f aca="false">Sens!$D$4789*Sens!$D$4786</f>
        <v>37.1387889</v>
      </c>
      <c r="E4794" s="38" t="n">
        <f aca="false">Sens!$E$4789*Sens!$E$4786</f>
        <v>25.7897792</v>
      </c>
      <c r="F4794" s="38" t="n">
        <f aca="false">Sens!$F$4789*Sens!$F$4786</f>
        <v>67.4948715189913</v>
      </c>
      <c r="G4794" s="38" t="n">
        <f aca="false">Sens!$E$4794+Sens!$F$4794</f>
        <v>93.2846507189913</v>
      </c>
      <c r="H4794" s="38" t="n">
        <f aca="false">(Sens!$H$4789-Sens!$H$4788)*Sens!$H$4786+Sens!$H$4788</f>
        <v>152.52478394475</v>
      </c>
      <c r="I4794" s="38" t="n">
        <f aca="false">(Sens!$I$4789-Sens!$I$4788)*Sens!$I$4786+Sens!$I$4788</f>
        <v>158.5998889105</v>
      </c>
      <c r="J4794" s="38" t="n">
        <f aca="false">(Sens!$J$4789-Sens!$J$4788)*Sens!$J$4786+Sens!$J$4788</f>
        <v>163.8366571105</v>
      </c>
      <c r="K4794" s="38" t="n">
        <f aca="false">(Sens!$K$4789-Sens!$K$4788)*Sens!$K$4786+Sens!$K$4788</f>
        <v>122.665498273534</v>
      </c>
      <c r="L4794" s="38" t="n">
        <f aca="false">(Sens!$L$4789-Sens!$L$4788)*Sens!$L$4786+Sens!$L$4788</f>
        <v>112.914948636568</v>
      </c>
      <c r="M4794" s="38" t="n">
        <f aca="false">(Sens!$M$4789-Sens!$M$4788)*Sens!$M$4786+Sens!$M$4788</f>
        <v>126.605482654852</v>
      </c>
      <c r="R4794" s="38" t="n">
        <f aca="false">Sens!$R$4789*Sens!$C$4786</f>
        <v>1.09927679019314</v>
      </c>
      <c r="S4794" s="38" t="n">
        <f aca="false">Sens!$C$4794</f>
        <v>8.2530642</v>
      </c>
      <c r="T4794" s="38" t="n">
        <f aca="false">Sens!$D$4794</f>
        <v>37.1387889</v>
      </c>
      <c r="U4794" s="38" t="n">
        <f aca="false">Sens!$G$4794</f>
        <v>93.2846507189913</v>
      </c>
      <c r="V4794" s="38" t="n">
        <f aca="false">Sens!$H$4794</f>
        <v>152.52478394475</v>
      </c>
      <c r="W4794" s="38" t="n">
        <f aca="false">Sens!$I$4794</f>
        <v>158.5998889105</v>
      </c>
      <c r="X4794" s="38" t="n">
        <f aca="false">Sens!$J$4794</f>
        <v>163.8366571105</v>
      </c>
      <c r="Y4794" s="38" t="n">
        <f aca="false">Sens!$K$4794</f>
        <v>122.665498273534</v>
      </c>
      <c r="Z4794" s="38" t="n">
        <f aca="false">Sens!$L$4794</f>
        <v>112.914948636568</v>
      </c>
      <c r="AA4794" s="38" t="n">
        <f aca="false">Sens!$M$4794</f>
        <v>126.605482654852</v>
      </c>
    </row>
    <row r="4795" customFormat="false" ht="15" hidden="false" customHeight="false" outlineLevel="0" collapsed="false">
      <c r="A4795" s="5" t="s">
        <v>646</v>
      </c>
      <c r="B4795" s="0" t="s">
        <v>86</v>
      </c>
      <c r="C4795" s="38" t="n">
        <f aca="false">Sens!$C$4789-Sens!$C$4794</f>
        <v>3.0408</v>
      </c>
      <c r="D4795" s="38" t="n">
        <f aca="false">Sens!$D$4789-Sens!$D$4794</f>
        <v>13.6836</v>
      </c>
      <c r="E4795" s="38" t="n">
        <f aca="false">Sens!$E$4789-Sens!$E$4794</f>
        <v>8.1088</v>
      </c>
      <c r="F4795" s="38" t="n">
        <f aca="false">Sens!$F$4789-Sens!$F$4794</f>
        <v>21.2216789422221</v>
      </c>
      <c r="G4795" s="38" t="n">
        <f aca="false">Sens!$G$4789-Sens!$G$4794</f>
        <v>29.3304789422221</v>
      </c>
      <c r="H4795" s="38" t="n">
        <f aca="false">Sens!$H$4789-Sens!$H$4794</f>
        <v>46.046581</v>
      </c>
      <c r="I4795" s="38" t="n">
        <f aca="false">Sens!$I$4789-Sens!$I$4794</f>
        <v>46.046581</v>
      </c>
      <c r="J4795" s="38" t="n">
        <f aca="false">Sens!$J$4789-Sens!$J$4794</f>
        <v>46.046581</v>
      </c>
      <c r="K4795" s="38" t="n">
        <f aca="false">Sens!$K$4789-Sens!$K$4794</f>
        <v>32.5728870016667</v>
      </c>
      <c r="L4795" s="38" t="n">
        <f aca="false">Sens!$L$4789-Sens!$L$4794</f>
        <v>19.0991930033334</v>
      </c>
      <c r="M4795" s="38" t="n">
        <f aca="false">Sens!$M$4789-Sens!$M$4794</f>
        <v>5.62549900499998</v>
      </c>
      <c r="R4795" s="38" t="n">
        <f aca="false">Sens!$R$4789-Sens!$R$4794</f>
        <v>0.405023005106309</v>
      </c>
      <c r="S4795" s="38" t="n">
        <f aca="false">Sens!$S$4789-Sens!$S$4794</f>
        <v>3.0408</v>
      </c>
      <c r="T4795" s="38" t="n">
        <f aca="false">Sens!$T$4789-Sens!$T$4794</f>
        <v>13.6836</v>
      </c>
      <c r="U4795" s="38" t="n">
        <f aca="false">Sens!$U$4789-Sens!$U$4794</f>
        <v>29.3304789422221</v>
      </c>
      <c r="V4795" s="38" t="n">
        <f aca="false">Sens!$V$4789-Sens!$V$4794</f>
        <v>46.046581</v>
      </c>
      <c r="W4795" s="38" t="n">
        <f aca="false">Sens!$W$4789-Sens!$W$4794</f>
        <v>46.046581</v>
      </c>
      <c r="X4795" s="38" t="n">
        <f aca="false">Sens!$X$4789-Sens!$X$4794</f>
        <v>46.046581</v>
      </c>
      <c r="Y4795" s="38" t="n">
        <f aca="false">Sens!$Y$4789-Sens!$Y$4794</f>
        <v>32.5728870016667</v>
      </c>
      <c r="Z4795" s="38" t="n">
        <f aca="false">Sens!$Z$4789-Sens!$Z$4794</f>
        <v>19.0991930033334</v>
      </c>
      <c r="AA4795" s="38" t="n">
        <f aca="false">Sens!$AA$4789-Sens!$AA$4794</f>
        <v>5.62549900499998</v>
      </c>
    </row>
    <row r="4796" customFormat="false" ht="17.15" hidden="false" customHeight="false" outlineLevel="0" collapsed="false">
      <c r="A4796" s="0" t="s">
        <v>647</v>
      </c>
      <c r="B4796" s="0" t="s">
        <v>52</v>
      </c>
      <c r="C4796" s="13" t="n">
        <f aca="false">Sens!$C$4787/Sens!$C$4912</f>
        <v>0.325505489553393</v>
      </c>
      <c r="D4796" s="13" t="n">
        <f aca="false">Sens!$D$4787/Sens!$D$4912</f>
        <v>0.54214956071542</v>
      </c>
      <c r="E4796" s="13" t="n">
        <f aca="false">Sens!$E$4787/Sens!$E$4912</f>
        <v>0.666492790452817</v>
      </c>
      <c r="F4796" s="13" t="n">
        <f aca="false">Sens!$F$4787/Sens!$F$4912</f>
        <v>0.71724917504417</v>
      </c>
      <c r="G4796" s="13" t="n">
        <f aca="false">Sens!$G$4787/Sens!$G$4912</f>
        <v>0.69502941413511</v>
      </c>
      <c r="H4796" s="13" t="n">
        <f aca="false">Sens!$H$4787/Sens!$H$4912</f>
        <v>0.726376041178204</v>
      </c>
      <c r="I4796" s="13" t="n">
        <f aca="false">Sens!$I$4787/Sens!$I$4912</f>
        <v>0.713099092661699</v>
      </c>
      <c r="J4796" s="13" t="n">
        <f aca="false">Sens!$J$4787/Sens!$J$4912</f>
        <v>0.701208348786245</v>
      </c>
      <c r="K4796" s="13" t="n">
        <f aca="false">Sens!$K$4787/Sens!$K$4912</f>
        <v>0.618338844562383</v>
      </c>
      <c r="L4796" s="13" t="n">
        <f aca="false">Sens!$L$4787/Sens!$L$4912</f>
        <v>0.562489158462506</v>
      </c>
      <c r="M4796" s="13" t="n">
        <f aca="false">Sens!$M$4787/Sens!$M$4912</f>
        <v>0.545751190895923</v>
      </c>
    </row>
    <row r="4797" customFormat="false" ht="17.15" hidden="false" customHeight="false" outlineLevel="0" collapsed="false">
      <c r="A4797" s="0" t="s">
        <v>648</v>
      </c>
      <c r="B4797" s="0" t="s">
        <v>86</v>
      </c>
      <c r="C4797" s="38" t="n">
        <f aca="false">Sens!$S$4797</f>
        <v>0.183212798365523</v>
      </c>
      <c r="D4797" s="38" t="n">
        <f aca="false">Sens!$T$4797</f>
        <v>1.55872349836552</v>
      </c>
      <c r="E4797" s="38" t="n">
        <f aca="false">Sens!$G$4797/2</f>
        <v>4.72585036583285</v>
      </c>
      <c r="F4797" s="38" t="n">
        <f aca="false">Sens!$G$4797/2</f>
        <v>4.72585036583285</v>
      </c>
      <c r="G4797" s="38" t="n">
        <f aca="false">Sens!$U$4797</f>
        <v>9.4517007316657</v>
      </c>
      <c r="H4797" s="38" t="n">
        <f aca="false">Sens!$V$4797</f>
        <v>27.2822988413376</v>
      </c>
      <c r="I4797" s="38" t="n">
        <f aca="false">Sens!$W$4797</f>
        <v>56.5439995605568</v>
      </c>
      <c r="J4797" s="38" t="n">
        <f aca="false">Sens!$X$4797</f>
        <v>82.9773143789735</v>
      </c>
      <c r="K4797" s="38" t="n">
        <f aca="false">Sens!$Y$4797</f>
        <v>110.100211099025</v>
      </c>
      <c r="L4797" s="38" t="n">
        <f aca="false">Sens!$Z$4797</f>
        <v>129.16895011128</v>
      </c>
      <c r="M4797" s="38" t="n">
        <f aca="false">Sens!$AA$4797</f>
        <v>140.095130984075</v>
      </c>
      <c r="N4797" s="38" t="n">
        <f aca="false">Sens!$D$4797/2</f>
        <v>0.779361749182762</v>
      </c>
      <c r="O4797" s="38" t="n">
        <f aca="false">Sens!$D$4797/2</f>
        <v>0.779361749182762</v>
      </c>
      <c r="R4797" s="38" t="n">
        <f aca="false">(SUMPRODUCT(--(Sens!$R$4757:$AA$4757&lt;Sens!R$4757),--(Sens!$R$4757:$AA$4757&gt;=Sens!R$4757-tk_life),Sens!$R$4794:$AA$4794)+SUMPRODUCT(--(Sens!$R$4757:$AA$4757&lt;Sens!R$4757),--(Sens!$R$4757:$AA$4757&gt;=Sens!R$4757-tk_life),Sens!$R$4792:$AA$4792))/tk_life</f>
        <v>0</v>
      </c>
      <c r="S4797" s="38" t="n">
        <f aca="false">(SUMPRODUCT(--(Sens!$R$4757:$AA$4757&lt;Sens!S$4757),--(Sens!$R$4757:$AA$4757&gt;=Sens!S$4757-tk_life),Sens!$R$4794:$AA$4794)+SUMPRODUCT(--(Sens!$R$4757:$AA$4757&lt;Sens!S$4757),--(Sens!$R$4757:$AA$4757&gt;=Sens!S$4757-tk_life),Sens!$R$4792:$AA$4792))/tk_life</f>
        <v>0.183212798365523</v>
      </c>
      <c r="T4797" s="38" t="n">
        <f aca="false">(SUMPRODUCT(--(Sens!$R$4757:$AA$4757&lt;Sens!T$4757),--(Sens!$R$4757:$AA$4757&gt;=Sens!T$4757-tk_life),Sens!$R$4794:$AA$4794)+SUMPRODUCT(--(Sens!$R$4757:$AA$4757&lt;Sens!T$4757),--(Sens!$R$4757:$AA$4757&gt;=Sens!T$4757-tk_life),Sens!$R$4792:$AA$4792))/tk_life</f>
        <v>1.55872349836552</v>
      </c>
      <c r="U4797" s="38" t="n">
        <f aca="false">(SUMPRODUCT(--(Sens!$R$4757:$AA$4757&lt;Sens!U$4757),--(Sens!$R$4757:$AA$4757&gt;=Sens!U$4757-tk_life),Sens!$R$4794:$AA$4794)+SUMPRODUCT(--(Sens!$R$4757:$AA$4757&lt;Sens!U$4757),--(Sens!$R$4757:$AA$4757&gt;=Sens!U$4757-tk_life),Sens!$R$4792:$AA$4792))/tk_life</f>
        <v>9.4517007316657</v>
      </c>
      <c r="V4797" s="38" t="n">
        <f aca="false">(SUMPRODUCT(--(Sens!$R$4757:$AA$4757&lt;Sens!V$4757),--(Sens!$R$4757:$AA$4757&gt;=Sens!V$4757-tk_life),Sens!$R$4794:$AA$4794)+SUMPRODUCT(--(Sens!$R$4757:$AA$4757&lt;Sens!V$4757),--(Sens!$R$4757:$AA$4757&gt;=Sens!V$4757-tk_life),Sens!$R$4792:$AA$4792))/tk_life</f>
        <v>27.2822988413376</v>
      </c>
      <c r="W4797" s="38" t="n">
        <f aca="false">(SUMPRODUCT(--(Sens!$R$4757:$AA$4757&lt;Sens!W$4757),--(Sens!$R$4757:$AA$4757&gt;=Sens!W$4757-tk_life),Sens!$R$4794:$AA$4794)+SUMPRODUCT(--(Sens!$R$4757:$AA$4757&lt;Sens!W$4757),--(Sens!$R$4757:$AA$4757&gt;=Sens!W$4757-tk_life),Sens!$R$4792:$AA$4792))/tk_life</f>
        <v>56.5439995605568</v>
      </c>
      <c r="X4797" s="38" t="n">
        <f aca="false">(SUMPRODUCT(--(Sens!$R$4757:$AA$4757&lt;Sens!X$4757),--(Sens!$R$4757:$AA$4757&gt;=Sens!X$4757-tk_life),Sens!$R$4794:$AA$4794)+SUMPRODUCT(--(Sens!$R$4757:$AA$4757&lt;Sens!X$4757),--(Sens!$R$4757:$AA$4757&gt;=Sens!X$4757-tk_life),Sens!$R$4792:$AA$4792))/tk_life</f>
        <v>82.9773143789735</v>
      </c>
      <c r="Y4797" s="38" t="n">
        <f aca="false">(SUMPRODUCT(--(Sens!$R$4757:$AA$4757&lt;Sens!Y$4757),--(Sens!$R$4757:$AA$4757&gt;=Sens!Y$4757-tk_life),Sens!$R$4794:$AA$4794)+SUMPRODUCT(--(Sens!$R$4757:$AA$4757&lt;Sens!Y$4757),--(Sens!$R$4757:$AA$4757&gt;=Sens!Y$4757-tk_life),Sens!$R$4792:$AA$4792))/tk_life</f>
        <v>110.100211099025</v>
      </c>
      <c r="Z4797" s="38" t="n">
        <f aca="false">(SUMPRODUCT(--(Sens!$R$4757:$AA$4757&lt;Sens!Z$4757),--(Sens!$R$4757:$AA$4757&gt;=Sens!Z$4757-tk_life),Sens!$R$4794:$AA$4794)+SUMPRODUCT(--(Sens!$R$4757:$AA$4757&lt;Sens!Z$4757),--(Sens!$R$4757:$AA$4757&gt;=Sens!Z$4757-tk_life),Sens!$R$4792:$AA$4792))/tk_life</f>
        <v>129.16895011128</v>
      </c>
      <c r="AA4797" s="38" t="n">
        <f aca="false">(SUMPRODUCT(--(Sens!$R$4757:$AA$4757&lt;Sens!AA$4757),--(Sens!$R$4757:$AA$4757&gt;=Sens!AA$4757-tk_life),Sens!$R$4794:$AA$4794)+SUMPRODUCT(--(Sens!$R$4757:$AA$4757&lt;Sens!AA$4757),--(Sens!$R$4757:$AA$4757&gt;=Sens!AA$4757-tk_life),Sens!$R$4792:$AA$4792))/tk_life</f>
        <v>140.095130984075</v>
      </c>
    </row>
    <row r="4798" customFormat="false" ht="17.15" hidden="false" customHeight="false" outlineLevel="0" collapsed="false">
      <c r="A4798" s="0" t="s">
        <v>649</v>
      </c>
      <c r="B4798" s="0" t="s">
        <v>86</v>
      </c>
      <c r="C4798" s="38" t="n">
        <f aca="false">Sens!$S$4798</f>
        <v>0.0202511502553155</v>
      </c>
      <c r="D4798" s="38" t="n">
        <f aca="false">Sens!$T$4798</f>
        <v>0.172291150255315</v>
      </c>
      <c r="E4798" s="38" t="n">
        <f aca="false">Sens!$G$4798/2</f>
        <v>0.522364740326067</v>
      </c>
      <c r="F4798" s="38" t="n">
        <f aca="false">Sens!$G$4798/2</f>
        <v>0.522364740326067</v>
      </c>
      <c r="G4798" s="38" t="n">
        <f aca="false">Sens!$U$4798</f>
        <v>1.04472948065213</v>
      </c>
      <c r="H4798" s="38" t="n">
        <f aca="false">Sens!$V$4798</f>
        <v>2.76361866736136</v>
      </c>
      <c r="I4798" s="38" t="n">
        <f aca="false">Sens!$W$4798</f>
        <v>5.42824377125863</v>
      </c>
      <c r="J4798" s="38" t="n">
        <f aca="false">Sens!$X$4798</f>
        <v>7.73057282125864</v>
      </c>
      <c r="K4798" s="38" t="n">
        <f aca="false">Sens!$Y$4798</f>
        <v>10.0329018712586</v>
      </c>
      <c r="L4798" s="38" t="n">
        <f aca="false">Sens!$Z$4798</f>
        <v>11.661546221342</v>
      </c>
      <c r="M4798" s="38" t="n">
        <f aca="false">Sens!$AA$4798</f>
        <v>12.6165058715086</v>
      </c>
      <c r="N4798" s="38" t="n">
        <f aca="false">Sens!$D$4798/2</f>
        <v>0.0861455751276577</v>
      </c>
      <c r="O4798" s="38" t="n">
        <f aca="false">Sens!$D$4798/2</f>
        <v>0.0861455751276577</v>
      </c>
      <c r="R4798" s="38" t="n">
        <f aca="false">(SUMPRODUCT(--(Sens!$R$4757:$AA$4757&lt;Sens!R$4757),Sens!$R$4795:$AA$4795)+SUMPRODUCT(--(Sens!$R$4757:$AA$4757&lt;Sens!R$4757),Sens!$R$4793:$AA$4793))/fac_life</f>
        <v>0</v>
      </c>
      <c r="S4798" s="38" t="n">
        <f aca="false">(SUMPRODUCT(--(Sens!$R$4757:$AA$4757&lt;Sens!S$4757),Sens!$R$4795:$AA$4795)+SUMPRODUCT(--(Sens!$R$4757:$AA$4757&lt;Sens!S$4757),Sens!$R$4793:$AA$4793))/fac_life</f>
        <v>0.0202511502553155</v>
      </c>
      <c r="T4798" s="38" t="n">
        <f aca="false">(SUMPRODUCT(--(Sens!$R$4757:$AA$4757&lt;Sens!T$4757),Sens!$R$4795:$AA$4795)+SUMPRODUCT(--(Sens!$R$4757:$AA$4757&lt;Sens!T$4757),Sens!$R$4793:$AA$4793))/fac_life</f>
        <v>0.172291150255315</v>
      </c>
      <c r="U4798" s="38" t="n">
        <f aca="false">(SUMPRODUCT(--(Sens!$R$4757:$AA$4757&lt;Sens!U$4757),Sens!$R$4795:$AA$4795)+SUMPRODUCT(--(Sens!$R$4757:$AA$4757&lt;Sens!U$4757),Sens!$R$4793:$AA$4793))/fac_life</f>
        <v>1.04472948065213</v>
      </c>
      <c r="V4798" s="38" t="n">
        <f aca="false">(SUMPRODUCT(--(Sens!$R$4757:$AA$4757&lt;Sens!V$4757),Sens!$R$4795:$AA$4795)+SUMPRODUCT(--(Sens!$R$4757:$AA$4757&lt;Sens!V$4757),Sens!$R$4793:$AA$4793))/fac_life</f>
        <v>2.76361866736136</v>
      </c>
      <c r="W4798" s="38" t="n">
        <f aca="false">(SUMPRODUCT(--(Sens!$R$4757:$AA$4757&lt;Sens!W$4757),Sens!$R$4795:$AA$4795)+SUMPRODUCT(--(Sens!$R$4757:$AA$4757&lt;Sens!W$4757),Sens!$R$4793:$AA$4793))/fac_life</f>
        <v>5.42824377125863</v>
      </c>
      <c r="X4798" s="38" t="n">
        <f aca="false">(SUMPRODUCT(--(Sens!$R$4757:$AA$4757&lt;Sens!X$4757),Sens!$R$4795:$AA$4795)+SUMPRODUCT(--(Sens!$R$4757:$AA$4757&lt;Sens!X$4757),Sens!$R$4793:$AA$4793))/fac_life</f>
        <v>7.73057282125864</v>
      </c>
      <c r="Y4798" s="38" t="n">
        <f aca="false">(SUMPRODUCT(--(Sens!$R$4757:$AA$4757&lt;Sens!Y$4757),Sens!$R$4795:$AA$4795)+SUMPRODUCT(--(Sens!$R$4757:$AA$4757&lt;Sens!Y$4757),Sens!$R$4793:$AA$4793))/fac_life</f>
        <v>10.0329018712586</v>
      </c>
      <c r="Z4798" s="38" t="n">
        <f aca="false">(SUMPRODUCT(--(Sens!$R$4757:$AA$4757&lt;Sens!Z$4757),Sens!$R$4795:$AA$4795)+SUMPRODUCT(--(Sens!$R$4757:$AA$4757&lt;Sens!Z$4757),Sens!$R$4793:$AA$4793))/fac_life</f>
        <v>11.661546221342</v>
      </c>
      <c r="AA4798" s="38" t="n">
        <f aca="false">(SUMPRODUCT(--(Sens!$R$4757:$AA$4757&lt;Sens!AA$4757),Sens!$R$4795:$AA$4795)+SUMPRODUCT(--(Sens!$R$4757:$AA$4757&lt;Sens!AA$4757),Sens!$R$4793:$AA$4793))/fac_life</f>
        <v>12.6165058715086</v>
      </c>
    </row>
    <row r="4799" customFormat="false" ht="17.15" hidden="false" customHeight="false" outlineLevel="0" collapsed="false">
      <c r="A4799" s="1" t="s">
        <v>650</v>
      </c>
      <c r="B4799" s="8" t="s">
        <v>86</v>
      </c>
      <c r="C4799" s="38" t="n">
        <f aca="false">Sens!$C$4797+Sens!$C$4798</f>
        <v>0.203463948620839</v>
      </c>
      <c r="D4799" s="38" t="n">
        <f aca="false">Sens!$D$4797+Sens!$D$4798</f>
        <v>1.73101464862084</v>
      </c>
      <c r="E4799" s="38" t="n">
        <f aca="false">Sens!$E$4797+Sens!$E$4798</f>
        <v>5.24821510615892</v>
      </c>
      <c r="F4799" s="38" t="n">
        <f aca="false">Sens!$F$4797+Sens!$F$4798</f>
        <v>5.24821510615892</v>
      </c>
      <c r="G4799" s="38" t="n">
        <f aca="false">Sens!$G$4797+Sens!$G$4798</f>
        <v>10.4964302123178</v>
      </c>
      <c r="H4799" s="38" t="n">
        <f aca="false">Sens!$H$4797+Sens!$H$4798</f>
        <v>30.045917508699</v>
      </c>
      <c r="I4799" s="38" t="n">
        <f aca="false">Sens!$I$4797+Sens!$I$4798</f>
        <v>61.9722433318155</v>
      </c>
      <c r="J4799" s="38" t="n">
        <f aca="false">Sens!$J$4797+Sens!$J$4798</f>
        <v>90.7078872002321</v>
      </c>
      <c r="K4799" s="38" t="n">
        <f aca="false">Sens!$K$4797+Sens!$K$4798</f>
        <v>120.133112970283</v>
      </c>
      <c r="L4799" s="38" t="n">
        <f aca="false">Sens!$L$4797+Sens!$L$4798</f>
        <v>140.830496332622</v>
      </c>
      <c r="M4799" s="38" t="n">
        <f aca="false">Sens!$M$4797+Sens!$M$4798</f>
        <v>152.711636855584</v>
      </c>
      <c r="N4799" s="38" t="n">
        <f aca="false">Sens!$N$4797+Sens!$N$4798</f>
        <v>0.865507324310419</v>
      </c>
      <c r="O4799" s="38" t="n">
        <f aca="false">Sens!$O$4797+Sens!$O$4798</f>
        <v>0.865507324310419</v>
      </c>
      <c r="R4799" s="38" t="n">
        <f aca="false">Sens!$R$4797+Sens!$R$4798</f>
        <v>0</v>
      </c>
      <c r="S4799" s="38" t="n">
        <f aca="false">Sens!$S$4797+Sens!$S$4798</f>
        <v>0.203463948620839</v>
      </c>
      <c r="T4799" s="38" t="n">
        <f aca="false">Sens!$T$4797+Sens!$T$4798</f>
        <v>1.73101464862084</v>
      </c>
      <c r="U4799" s="38" t="n">
        <f aca="false">Sens!$U$4797+Sens!$U$4798</f>
        <v>10.4964302123178</v>
      </c>
      <c r="V4799" s="38" t="n">
        <f aca="false">Sens!$V$4797+Sens!$V$4798</f>
        <v>30.045917508699</v>
      </c>
      <c r="W4799" s="38" t="n">
        <f aca="false">Sens!$W$4797+Sens!$W$4798</f>
        <v>61.9722433318155</v>
      </c>
      <c r="X4799" s="38" t="n">
        <f aca="false">Sens!$X$4797+Sens!$X$4798</f>
        <v>90.7078872002321</v>
      </c>
      <c r="Y4799" s="38" t="n">
        <f aca="false">Sens!$Y$4797+Sens!$Y$4798</f>
        <v>120.133112970283</v>
      </c>
      <c r="Z4799" s="38" t="n">
        <f aca="false">Sens!$Z$4797+Sens!$Z$4798</f>
        <v>140.830496332622</v>
      </c>
      <c r="AA4799" s="38" t="n">
        <f aca="false">Sens!$AA$4797+Sens!$AA$4798</f>
        <v>152.711636855584</v>
      </c>
    </row>
    <row r="4800" customFormat="false" ht="17.15" hidden="false" customHeight="false" outlineLevel="0" collapsed="false">
      <c r="A4800" s="0" t="s">
        <v>651</v>
      </c>
      <c r="B4800" s="0" t="s">
        <v>86</v>
      </c>
      <c r="C4800" s="38" t="n">
        <f aca="false">Sens!$S$4800</f>
        <v>26.578941154416</v>
      </c>
      <c r="D4800" s="38" t="n">
        <f aca="false">Sens!$T$4800</f>
        <v>94.4165581367978</v>
      </c>
      <c r="G4800" s="38" t="n">
        <f aca="false">Sens!$U$4800</f>
        <v>236.826599034204</v>
      </c>
      <c r="H4800" s="38" t="n">
        <f aca="false">Sens!$V$4800</f>
        <v>405.352046470255</v>
      </c>
      <c r="I4800" s="38" t="n">
        <f aca="false">Sens!$W$4800</f>
        <v>548.02627304894</v>
      </c>
      <c r="J4800" s="38" t="n">
        <f aca="false">Sens!$X$4800</f>
        <v>667.201623959208</v>
      </c>
      <c r="K4800" s="38" t="n">
        <f aca="false">Sens!$Y$4800</f>
        <v>702.306896264125</v>
      </c>
      <c r="L4800" s="38" t="n">
        <f aca="false">Sens!$Z$4800</f>
        <v>693.490541571405</v>
      </c>
      <c r="M4800" s="38" t="n">
        <f aca="false">Sens!$AA$4800</f>
        <v>673.009886375674</v>
      </c>
      <c r="R4800" s="38" t="n">
        <f aca="false">SUM(Sens!$R$4787:$R$4787)-SUM(Sens!$R$4799:$R$4799)</f>
        <v>1.50429979529945</v>
      </c>
      <c r="S4800" s="38" t="n">
        <f aca="false">SUM(Sens!$R$4787:$S$4787)-SUM(Sens!$R$4799:$S$4799)</f>
        <v>26.578941154416</v>
      </c>
      <c r="T4800" s="38" t="n">
        <f aca="false">SUM(Sens!$R$4787:$T$4787)-SUM(Sens!$R$4799:$T$4799)</f>
        <v>94.4165581367978</v>
      </c>
      <c r="U4800" s="38" t="n">
        <f aca="false">SUM(Sens!$R$4787:$U$4787)-SUM(Sens!$R$4799:$U$4799)</f>
        <v>236.826599034204</v>
      </c>
      <c r="V4800" s="38" t="n">
        <f aca="false">SUM(Sens!$R$4787:$V$4787)-SUM(Sens!$R$4799:$V$4799)</f>
        <v>405.352046470255</v>
      </c>
      <c r="W4800" s="38" t="n">
        <f aca="false">SUM(Sens!$R$4787:$W$4787)-SUM(Sens!$R$4799:$W$4799)</f>
        <v>548.02627304894</v>
      </c>
      <c r="X4800" s="38" t="n">
        <f aca="false">SUM(Sens!$R$4787:$X$4787)-SUM(Sens!$R$4799:$X$4799)</f>
        <v>667.201623959208</v>
      </c>
      <c r="Y4800" s="38" t="n">
        <f aca="false">SUM(Sens!$R$4787:$Y$4787)-SUM(Sens!$R$4799:$Y$4799)</f>
        <v>702.306896264125</v>
      </c>
      <c r="Z4800" s="38" t="n">
        <f aca="false">SUM(Sens!$R$4787:$Z$4787)-SUM(Sens!$R$4799:$Z$4799)</f>
        <v>693.490541571405</v>
      </c>
      <c r="AA4800" s="38" t="n">
        <f aca="false">SUM(Sens!$R$4787:$AA$4787)-SUM(Sens!$R$4799:$AA$4799)</f>
        <v>673.009886375674</v>
      </c>
    </row>
    <row r="4801" customFormat="false" ht="17.15" hidden="false" customHeight="false" outlineLevel="0" collapsed="false">
      <c r="A4801" s="1" t="s">
        <v>652</v>
      </c>
    </row>
    <row r="4802" customFormat="false" ht="17.15" hidden="false" customHeight="false" outlineLevel="0" collapsed="false">
      <c r="A4802" s="0" t="s">
        <v>653</v>
      </c>
      <c r="B4802" s="0" t="s">
        <v>86</v>
      </c>
      <c r="C4802" s="38" t="n">
        <f aca="false">Sens!$C$4778-ext_sh*Sens!$C$4780</f>
        <v>1.80694998843362</v>
      </c>
      <c r="D4802" s="38" t="n">
        <f aca="false">Sens!$D$4778-ext_sh*Sens!$D$4780</f>
        <v>6.77606245662607</v>
      </c>
      <c r="E4802" s="38" t="n">
        <f aca="false">Sens!$E$4778-ext_sh*Sens!$E$4780</f>
        <v>6.62548329092326</v>
      </c>
      <c r="F4802" s="38" t="n">
        <f aca="false">Sens!$F$4778-ext_sh*Sens!$F$4780</f>
        <v>11.7200577158706</v>
      </c>
      <c r="G4802" s="38" t="n">
        <f aca="false">Sens!$G$4778-ext_sh*Sens!$G$4780</f>
        <v>18.3455410067939</v>
      </c>
      <c r="H4802" s="38" t="n">
        <f aca="false">Sens!$H$4778-ext_sh*Sens!$H$4780</f>
        <v>47.5171727060453</v>
      </c>
      <c r="I4802" s="38" t="n">
        <f aca="false">Sens!$I$4778-ext_sh*Sens!$I$4780</f>
        <v>80.5539692643667</v>
      </c>
      <c r="J4802" s="38" t="n">
        <f aca="false">Sens!$J$4778-ext_sh*Sens!$J$4780</f>
        <v>113.759316834883</v>
      </c>
      <c r="K4802" s="38" t="n">
        <f aca="false">Sens!$K$4778-ext_sh*Sens!$K$4780</f>
        <v>142.084411492169</v>
      </c>
      <c r="L4802" s="38" t="n">
        <f aca="false">Sens!$L$4778-ext_sh*Sens!$L$4780</f>
        <v>160.69964615804</v>
      </c>
      <c r="M4802" s="38" t="n">
        <f aca="false">Sens!$M$4778-ext_sh*Sens!$M$4780</f>
        <v>169.577607141793</v>
      </c>
      <c r="N4802" s="38" t="n">
        <f aca="false">Sens!$N$4778-ext_sh*Sens!$N$4780</f>
        <v>2.37162185981912</v>
      </c>
      <c r="O4802" s="38" t="n">
        <f aca="false">Sens!$O$4778-ext_sh*Sens!$O$4780</f>
        <v>4.40444059680694</v>
      </c>
    </row>
    <row r="4803" customFormat="false" ht="17.15" hidden="false" customHeight="false" outlineLevel="0" collapsed="false">
      <c r="A4803" s="1" t="s">
        <v>654</v>
      </c>
      <c r="B4803" s="8" t="s">
        <v>86</v>
      </c>
      <c r="C4803" s="38" t="n">
        <f aca="false">Sens!$C$4802-ext_sh*Sens!$C$4799</f>
        <v>1.64417882953695</v>
      </c>
      <c r="D4803" s="38" t="n">
        <f aca="false">Sens!$D$4802-ext_sh*Sens!$D$4799</f>
        <v>5.39125073772939</v>
      </c>
      <c r="E4803" s="38" t="n">
        <f aca="false">Sens!$E$4802-ext_sh*Sens!$E$4799</f>
        <v>2.42691120599613</v>
      </c>
      <c r="F4803" s="38" t="n">
        <f aca="false">Sens!$F$4802-ext_sh*Sens!$F$4799</f>
        <v>7.52148563094346</v>
      </c>
      <c r="G4803" s="38" t="n">
        <f aca="false">Sens!$G$4802-ext_sh*Sens!$G$4799</f>
        <v>9.94839683693959</v>
      </c>
      <c r="H4803" s="38" t="n">
        <f aca="false">Sens!$H$4802-ext_sh*Sens!$H$4799</f>
        <v>23.4804386990861</v>
      </c>
      <c r="I4803" s="38" t="n">
        <f aca="false">Sens!$I$4802-ext_sh*Sens!$I$4799</f>
        <v>30.9761745989143</v>
      </c>
      <c r="J4803" s="38" t="n">
        <f aca="false">Sens!$J$4802-ext_sh*Sens!$J$4799</f>
        <v>41.1930070746977</v>
      </c>
      <c r="K4803" s="38" t="n">
        <f aca="false">Sens!$K$4802-ext_sh*Sens!$K$4799</f>
        <v>45.9779211159428</v>
      </c>
      <c r="L4803" s="38" t="n">
        <f aca="false">Sens!$L$4802-ext_sh*Sens!$L$4799</f>
        <v>48.0352490919424</v>
      </c>
      <c r="M4803" s="38" t="n">
        <f aca="false">Sens!$M$4802-ext_sh*Sens!$M$4799</f>
        <v>47.4082976573265</v>
      </c>
      <c r="N4803" s="38" t="n">
        <f aca="false">Sens!$N$4802-ext_sh*Sens!$N$4799</f>
        <v>1.67921600037079</v>
      </c>
      <c r="O4803" s="38" t="n">
        <f aca="false">Sens!$O$4802-ext_sh*Sens!$O$4799</f>
        <v>3.71203473735861</v>
      </c>
    </row>
    <row r="4804" customFormat="false" ht="17.15" hidden="false" customHeight="false" outlineLevel="0" collapsed="false">
      <c r="A4804" s="0" t="s">
        <v>655</v>
      </c>
      <c r="B4804" s="0" t="s">
        <v>52</v>
      </c>
      <c r="C4804" s="13" t="n">
        <f aca="false">Sens!$C$4803/Sens!$C$4778</f>
        <v>0.708390794789371</v>
      </c>
      <c r="D4804" s="13" t="n">
        <f aca="false">Sens!$D$4803/Sens!$D$4778</f>
        <v>0.619415573115729</v>
      </c>
      <c r="E4804" s="13" t="n">
        <f aca="false">Sens!$E$4803/Sens!$E$4778</f>
        <v>0.285171627189009</v>
      </c>
      <c r="F4804" s="13" t="n">
        <f aca="false">Sens!$F$4803/Sens!$F$4778</f>
        <v>0.502657732812366</v>
      </c>
      <c r="G4804" s="13" t="n">
        <f aca="false">Sens!$G$4803/Sens!$G$4778</f>
        <v>0.423808778611812</v>
      </c>
      <c r="H4804" s="13" t="n">
        <f aca="false">Sens!$H$4803/Sens!$H$4778</f>
        <v>0.390261631739809</v>
      </c>
      <c r="I4804" s="13" t="n">
        <f aca="false">Sens!$I$4803/Sens!$I$4778</f>
        <v>0.305172864264572</v>
      </c>
      <c r="J4804" s="13" t="n">
        <f aca="false">Sens!$J$4803/Sens!$J$4778</f>
        <v>0.288011814789856</v>
      </c>
      <c r="K4804" s="13" t="n">
        <f aca="false">Sens!$K$4803/Sens!$K$4778</f>
        <v>0.25765427518774</v>
      </c>
      <c r="L4804" s="13" t="n">
        <f aca="false">Sens!$L$4803/Sens!$L$4778</f>
        <v>0.238118778012374</v>
      </c>
      <c r="M4804" s="13" t="n">
        <f aca="false">Sens!$M$4803/Sens!$M$4778</f>
        <v>0.222746255757109</v>
      </c>
      <c r="N4804" s="13" t="n">
        <f aca="false">Sens!$N$4803/Sens!$N$4778</f>
        <v>0.551227795793364</v>
      </c>
      <c r="O4804" s="13" t="n">
        <f aca="false">Sens!$O$4803/Sens!$O$4778</f>
        <v>0.656132068597002</v>
      </c>
    </row>
    <row r="4805" customFormat="false" ht="17.15" hidden="false" customHeight="false" outlineLevel="0" collapsed="false">
      <c r="A4805" s="5" t="s">
        <v>656</v>
      </c>
      <c r="B4805" s="0" t="s">
        <v>86</v>
      </c>
      <c r="C4805" s="39" t="n">
        <v>0</v>
      </c>
      <c r="D4805" s="39" t="n">
        <v>0</v>
      </c>
      <c r="E4805" s="39" t="n">
        <v>0</v>
      </c>
      <c r="F4805" s="38" t="n">
        <f aca="false">IF(internal_ai_reading=2,1,0)*(1-ext_sh)/ext_sh*(mw_open*he_open+Sens!$F$4776*Sens!$F$4773)*Sens!$F$4762/1000</f>
        <v>3.77122048175818</v>
      </c>
      <c r="G4805" s="38" t="n">
        <f aca="false">Sens!$E$4805+Sens!$F$4805</f>
        <v>3.77122048175818</v>
      </c>
      <c r="H4805" s="38" t="n">
        <f aca="false">IF(internal_ai_reading=2,1,0)*(1-ext_sh)/ext_sh*(mw_open*he_open+Sens!$H$4776*Sens!$H$4773)*Sens!$H$4762/1000</f>
        <v>15.1635543609893</v>
      </c>
      <c r="I4805" s="38" t="n">
        <f aca="false">IF(internal_ai_reading=2,1,0)*(1-ext_sh)/ext_sh*(mw_open*he_open+Sens!$I$4776*Sens!$I$4773)*Sens!$I$4762/1000</f>
        <v>25.5818843619889</v>
      </c>
      <c r="J4805" s="38" t="n">
        <f aca="false">IF(internal_ai_reading=2,1,0)*(1-ext_sh)/ext_sh*(mw_open*he_open+Sens!$J$4776*Sens!$J$4773)*Sens!$J$4762/1000</f>
        <v>36.0465624179122</v>
      </c>
      <c r="K4805" s="38" t="n">
        <f aca="false">IF(internal_ai_reading=2,1,0)*(1-ext_sh)/ext_sh*(mw_open*he_open+Sens!$K$4776*Sens!$K$4773)*Sens!$K$4762/1000</f>
        <v>44.9741164026038</v>
      </c>
      <c r="L4805" s="38" t="n">
        <f aca="false">IF(internal_ai_reading=2,1,0)*(1-ext_sh)/ext_sh*(mw_open*he_open+Sens!$L$4776*Sens!$L$4773)*Sens!$L$4762/1000</f>
        <v>50.8413488057813</v>
      </c>
      <c r="M4805" s="38" t="n">
        <f aca="false">IF(internal_ai_reading=2,1,0)*(1-ext_sh)/ext_sh*(mw_open*he_open+Sens!$M$4776*Sens!$M$4773)*Sens!$M$4762/1000</f>
        <v>53.6407214274315</v>
      </c>
      <c r="N4805" s="39" t="n">
        <v>0</v>
      </c>
      <c r="O4805" s="39" t="n">
        <v>0</v>
      </c>
      <c r="P4805" s="8" t="s">
        <v>657</v>
      </c>
    </row>
    <row r="4806" customFormat="false" ht="17.15" hidden="false" customHeight="false" outlineLevel="0" collapsed="false">
      <c r="A4806" s="5" t="s">
        <v>658</v>
      </c>
      <c r="B4806" s="0" t="s">
        <v>86</v>
      </c>
      <c r="C4806" s="38" t="n">
        <f aca="false">(1-ext_sh)*(Sens!$C$4780+Sens!$C$4799)</f>
        <v>0.169206631859174</v>
      </c>
      <c r="D4806" s="38" t="n">
        <f aca="false">(1-ext_sh)*(Sens!$D$4780+Sens!$D$4799)</f>
        <v>0.828129837730442</v>
      </c>
      <c r="E4806" s="38" t="n">
        <f aca="false">(1-ext_sh)*(Sens!$E$4780+Sens!$E$4799)</f>
        <v>1.52086044239347</v>
      </c>
      <c r="F4806" s="38" t="n">
        <f aca="false">(1-ext_sh)*(Sens!$F$4780+Sens!$F$4799)</f>
        <v>1.86048700344425</v>
      </c>
      <c r="G4806" s="38" t="n">
        <f aca="false">(1-ext_sh)*(Sens!$G$4780+Sens!$G$4799)</f>
        <v>3.38134744583772</v>
      </c>
      <c r="H4806" s="38" t="n">
        <f aca="false">(1-ext_sh)*(Sens!$H$4780+Sens!$H$4799)</f>
        <v>9.17136301267211</v>
      </c>
      <c r="I4806" s="38" t="n">
        <f aca="false">(1-ext_sh)*(Sens!$I$4780+Sens!$I$4799)</f>
        <v>17.6318811343794</v>
      </c>
      <c r="J4806" s="38" t="n">
        <f aca="false">(1-ext_sh)*(Sens!$J$4780+Sens!$J$4799)</f>
        <v>25.4581000191451</v>
      </c>
      <c r="K4806" s="38" t="n">
        <f aca="false">(1-ext_sh)*(Sens!$K$4780+Sens!$K$4799)</f>
        <v>33.1175498168092</v>
      </c>
      <c r="L4806" s="38" t="n">
        <f aca="false">(1-ext_sh)*(Sens!$L$4780+Sens!$L$4799)</f>
        <v>38.4232131776135</v>
      </c>
      <c r="M4806" s="38" t="n">
        <f aca="false">(1-ext_sh)*(Sens!$M$4780+Sens!$M$4799)</f>
        <v>41.3567859278847</v>
      </c>
      <c r="N4806" s="38" t="n">
        <f aca="false">(1-ext_sh)*(Sens!$N$4780+Sens!$N$4799)</f>
        <v>0.34177588266428</v>
      </c>
      <c r="O4806" s="38" t="n">
        <f aca="false">(1-ext_sh)*(Sens!$O$4780+Sens!$O$4799)</f>
        <v>0.486353955066162</v>
      </c>
    </row>
    <row r="4807" customFormat="false" ht="17.15" hidden="false" customHeight="false" outlineLevel="0" collapsed="false">
      <c r="A4807" s="0" t="s">
        <v>659</v>
      </c>
      <c r="B4807" s="0" t="s">
        <v>86</v>
      </c>
      <c r="C4807" s="38" t="n">
        <f aca="false">Q!$D$24</f>
        <v>39.834</v>
      </c>
      <c r="D4807" s="38" t="n">
        <f aca="false">Q!$E$24</f>
        <v>45.606</v>
      </c>
      <c r="E4807" s="38" t="n">
        <f aca="false">Q!$P$24</f>
        <v>30.782</v>
      </c>
      <c r="N4807" s="38" t="n">
        <f aca="false">Q!$N$24</f>
        <v>21.707</v>
      </c>
      <c r="O4807" s="38" t="n">
        <f aca="false">Q!$O$24</f>
        <v>23.899</v>
      </c>
    </row>
    <row r="4808" customFormat="false" ht="17.15" hidden="false" customHeight="false" outlineLevel="0" collapsed="false">
      <c r="A4808" s="0" t="s">
        <v>660</v>
      </c>
      <c r="B4808" s="0" t="s">
        <v>86</v>
      </c>
      <c r="C4808" s="38" t="n">
        <f aca="false">Sens!$C$4807-Sens!$C$4803</f>
        <v>38.1898211704631</v>
      </c>
      <c r="D4808" s="38" t="n">
        <f aca="false">Sens!$D$4807-Sens!$D$4803</f>
        <v>40.2147492622706</v>
      </c>
      <c r="E4808" s="38" t="n">
        <f aca="false">Sens!$E$4807-Sens!$E$4803</f>
        <v>28.3550887940039</v>
      </c>
      <c r="F4808" s="38" t="n">
        <f aca="false">Sens!$F$4782*Sens!$F$4809</f>
        <v>25.9529793149447</v>
      </c>
      <c r="G4808" s="38" t="n">
        <f aca="false">Sens!$E$4808+Sens!$F$4808</f>
        <v>54.3080681089486</v>
      </c>
      <c r="H4808" s="38" t="n">
        <f aca="false">Sens!$H$4782*Sens!$H$4809</f>
        <v>58.2264684589333</v>
      </c>
      <c r="I4808" s="38" t="n">
        <f aca="false">Sens!$I$4782*Sens!$I$4809</f>
        <v>64.6461353851744</v>
      </c>
      <c r="J4808" s="38" t="n">
        <f aca="false">Sens!$J$4782*Sens!$J$4809</f>
        <v>70.7957093610231</v>
      </c>
      <c r="K4808" s="38" t="n">
        <f aca="false">Sens!$K$4782*Sens!$K$4809</f>
        <v>76.4593661099049</v>
      </c>
      <c r="L4808" s="38" t="n">
        <f aca="false">Sens!$L$4782*Sens!$L$4809</f>
        <v>82.5761153986973</v>
      </c>
      <c r="M4808" s="38" t="n">
        <f aca="false">Sens!$M$4782*Sens!$M$4809</f>
        <v>89.1822046305931</v>
      </c>
      <c r="N4808" s="38" t="n">
        <f aca="false">Sens!$N$4807-Sens!$N$4803</f>
        <v>20.0277839996292</v>
      </c>
      <c r="O4808" s="38" t="n">
        <f aca="false">Sens!$O$4807-Sens!$O$4803</f>
        <v>20.1869652626414</v>
      </c>
      <c r="P4808" s="5" t="s">
        <v>661</v>
      </c>
    </row>
    <row r="4809" customFormat="false" ht="17.15" hidden="false" customHeight="false" outlineLevel="0" collapsed="false">
      <c r="A4809" s="0" t="s">
        <v>662</v>
      </c>
      <c r="B4809" s="0" t="s">
        <v>52</v>
      </c>
      <c r="C4809" s="13" t="n">
        <f aca="false">Sens!$C$4808/Sens!$C$4782</f>
        <v>0.362900395443635</v>
      </c>
      <c r="D4809" s="13" t="n">
        <f aca="false">Sens!$D$4808/Sens!$D$4782</f>
        <v>0.335063632425483</v>
      </c>
      <c r="E4809" s="13" t="n">
        <f aca="false">Sens!$E$4808/Sens!$E$4782</f>
        <v>0.397638855555478</v>
      </c>
      <c r="F4809" s="13" t="n">
        <f aca="false">(Sens!$O$4808+Sens!$E$4808)/(Sens!$O$4782+Sens!$E$4782)</f>
        <v>0.361616727338133</v>
      </c>
      <c r="G4809" s="13" t="n">
        <f aca="false">Sens!$G$4808/Sens!$G$4782</f>
        <v>0.379569803149143</v>
      </c>
      <c r="H4809" s="13" t="n">
        <f aca="false">Sens!$F$4809</f>
        <v>0.361616727338133</v>
      </c>
      <c r="I4809" s="13" t="n">
        <f aca="false">Sens!$F$4809</f>
        <v>0.361616727338133</v>
      </c>
      <c r="J4809" s="13" t="n">
        <f aca="false">Sens!$F$4809</f>
        <v>0.361616727338133</v>
      </c>
      <c r="K4809" s="13" t="n">
        <f aca="false">Sens!$F$4809</f>
        <v>0.361616727338133</v>
      </c>
      <c r="L4809" s="13" t="n">
        <f aca="false">Sens!$F$4809</f>
        <v>0.361616727338133</v>
      </c>
      <c r="M4809" s="13" t="n">
        <f aca="false">Sens!$F$4809</f>
        <v>0.361616727338133</v>
      </c>
      <c r="N4809" s="13" t="n">
        <f aca="false">Sens!$N$4808/Sens!$N$4782</f>
        <v>0.35078810535806</v>
      </c>
      <c r="O4809" s="13" t="n">
        <f aca="false">Sens!$O$4808/Sens!$O$4782</f>
        <v>0.320796939361619</v>
      </c>
      <c r="P4809" s="8" t="s">
        <v>663</v>
      </c>
    </row>
    <row r="4810" customFormat="false" ht="17.15" hidden="false" customHeight="false" outlineLevel="0" collapsed="false">
      <c r="A4810" s="0" t="s">
        <v>664</v>
      </c>
      <c r="B4810" s="0" t="s">
        <v>52</v>
      </c>
      <c r="D4810" s="13" t="n">
        <f aca="false">(Q!$E$31-ext_sh*Sens!$D$4799)/Sens!$D$4782</f>
        <v>0.167180325480118</v>
      </c>
    </row>
    <row r="4811" customFormat="false" ht="17.15" hidden="false" customHeight="false" outlineLevel="0" collapsed="false">
      <c r="A4811" s="0" t="s">
        <v>665</v>
      </c>
      <c r="B4811" s="0" t="s">
        <v>86</v>
      </c>
      <c r="C4811" s="38" t="n">
        <f aca="false">Q!$D$31</f>
        <v>13.32</v>
      </c>
      <c r="D4811" s="38" t="n">
        <f aca="false">Q!$E$31</f>
        <v>21.45</v>
      </c>
      <c r="E4811" s="38" t="n">
        <f aca="false">Q!$P$31</f>
        <v>15.353</v>
      </c>
      <c r="F4811" s="38" t="n">
        <f aca="false">ext_sh*Sens!$F$4799+Sens!$D$4810*Sens!$F$4782</f>
        <v>16.1969869840094</v>
      </c>
      <c r="G4811" s="38" t="n">
        <f aca="false">Sens!$E$4811+Sens!$F$4811</f>
        <v>31.5499869840094</v>
      </c>
      <c r="H4811" s="38" t="n">
        <f aca="false">ext_sh*Sens!$H$4799+Sens!$D$4810*Sens!$H$4782</f>
        <v>50.9556213609176</v>
      </c>
      <c r="I4811" s="38" t="n">
        <f aca="false">ext_sh*Sens!$I$4799+Sens!$D$4810*Sens!$I$4782</f>
        <v>79.464581248252</v>
      </c>
      <c r="J4811" s="38" t="n">
        <f aca="false">ext_sh*Sens!$J$4799+Sens!$D$4810*Sens!$J$4782</f>
        <v>105.296127931746</v>
      </c>
      <c r="K4811" s="38" t="n">
        <f aca="false">ext_sh*Sens!$K$4799+Sens!$D$4810*Sens!$K$4782</f>
        <v>131.454694001511</v>
      </c>
      <c r="L4811" s="38" t="n">
        <f aca="false">ext_sh*Sens!$L$4799+Sens!$D$4810*Sens!$L$4782</f>
        <v>150.840456981405</v>
      </c>
      <c r="M4811" s="38" t="n">
        <f aca="false">ext_sh*Sens!$M$4799+Sens!$D$4810*Sens!$M$4782</f>
        <v>163.399454192999</v>
      </c>
      <c r="N4811" s="38" t="n">
        <f aca="false">Q!$N$31</f>
        <v>9.234</v>
      </c>
      <c r="O4811" s="38" t="n">
        <f aca="false">Q!$O$31</f>
        <v>12.216</v>
      </c>
    </row>
    <row r="4812" customFormat="false" ht="17.15" hidden="false" customHeight="false" outlineLevel="0" collapsed="false">
      <c r="A4812" s="1" t="s">
        <v>666</v>
      </c>
    </row>
    <row r="4813" customFormat="false" ht="17.15" hidden="false" customHeight="false" outlineLevel="0" collapsed="false">
      <c r="A4813" s="15" t="s">
        <v>667</v>
      </c>
      <c r="B4813" s="14" t="s">
        <v>52</v>
      </c>
      <c r="C4813" s="14"/>
      <c r="D4813" s="14"/>
      <c r="E4813" s="14"/>
      <c r="F4813" s="14"/>
      <c r="G4813" s="17" t="n">
        <f aca="false">Sens!$G$4803*(1-tax)/(ext_sh*(Sens!$D$4800+Sens!$G$4800)/2)</f>
        <v>0.0620504069546486</v>
      </c>
      <c r="H4813" s="17" t="n">
        <f aca="false">Sens!$H$4803*(1-tax)/(ext_sh*(Sens!$G$4800+Sens!$H$4800)/2)</f>
        <v>0.0755420551527686</v>
      </c>
      <c r="I4813" s="17" t="n">
        <f aca="false">Sens!$I$4803*(1-tax)/(ext_sh*(Sens!$H$4800+Sens!$I$4800)/2)</f>
        <v>0.067127575356291</v>
      </c>
      <c r="J4813" s="17" t="n">
        <f aca="false">Sens!$J$4803*(1-tax)/(ext_sh*(Sens!$I$4800+Sens!$J$4800)/2)</f>
        <v>0.0700332392906535</v>
      </c>
      <c r="K4813" s="17" t="n">
        <f aca="false">Sens!$K$4803*(1-tax)/(ext_sh*(Sens!$J$4800+Sens!$K$4800)/2)</f>
        <v>0.0693622290093833</v>
      </c>
      <c r="L4813" s="17" t="n">
        <f aca="false">Sens!$L$4803*(1-tax)/(ext_sh*(Sens!$K$4800+Sens!$L$4800)/2)</f>
        <v>0.0711010638813626</v>
      </c>
      <c r="M4813" s="17" t="n">
        <f aca="false">Sens!$M$4803*(1-tax)/(ext_sh*(Sens!$L$4800+Sens!$M$4800)/2)</f>
        <v>0.071677531066401</v>
      </c>
      <c r="N4813" s="14"/>
      <c r="O4813" s="14"/>
      <c r="P4813" s="8" t="s">
        <v>668</v>
      </c>
    </row>
    <row r="4814" customFormat="false" ht="17.15" hidden="false" customHeight="false" outlineLevel="0" collapsed="false">
      <c r="A4814" s="5" t="s">
        <v>669</v>
      </c>
      <c r="B4814" s="0" t="s">
        <v>57</v>
      </c>
      <c r="H4814" s="36" t="n">
        <f aca="false">Sens!$H$4778*1000/(mw_open*he_open+Sens!$H$4776*Sens!$H$4773)</f>
        <v>0.991949006767191</v>
      </c>
      <c r="I4814" s="36" t="n">
        <f aca="false">Sens!$I$4778*1000/(mw_open*he_open+Sens!$I$4776*Sens!$I$4773)</f>
        <v>0.991949006767191</v>
      </c>
      <c r="J4814" s="36" t="n">
        <f aca="false">Sens!$J$4778*1000/(mw_open*he_open+Sens!$J$4776*Sens!$J$4773)</f>
        <v>0.991949006767191</v>
      </c>
      <c r="K4814" s="36" t="n">
        <f aca="false">Sens!$K$4778*1000/(mw_open*he_open+Sens!$K$4776*Sens!$K$4773)</f>
        <v>0.991949006767191</v>
      </c>
      <c r="L4814" s="36" t="n">
        <f aca="false">Sens!$L$4778*1000/(mw_open*he_open+Sens!$L$4776*Sens!$L$4773)</f>
        <v>0.991949006767191</v>
      </c>
      <c r="M4814" s="36" t="n">
        <f aca="false">Sens!$M$4778*1000/(mw_open*he_open+Sens!$M$4776*Sens!$M$4773)</f>
        <v>0.991949006767191</v>
      </c>
    </row>
    <row r="4815" customFormat="false" ht="17.15" hidden="false" customHeight="false" outlineLevel="0" collapsed="false">
      <c r="A4815" s="5" t="s">
        <v>670</v>
      </c>
      <c r="B4815" s="0" t="s">
        <v>57</v>
      </c>
      <c r="H4815" s="36" t="n">
        <f aca="false">Sens!$H$4814*(Sens!$H$4778+wacc*ext_sh*(Sens!$G$4800+Sens!$H$4800)/2/(1-tax)-Sens!$H$4803)/Sens!$H$4778</f>
        <v>1.18542857552197</v>
      </c>
      <c r="I4815" s="36" t="n">
        <f aca="false">Sens!$I$4814*(Sens!$I$4778+wacc*ext_sh*(Sens!$H$4800+Sens!$I$4800)/2/(1-tax)-Sens!$I$4803)/Sens!$I$4778</f>
        <v>1.20015476648903</v>
      </c>
      <c r="J4815" s="36" t="n">
        <f aca="false">Sens!$J$4814*(Sens!$J$4778+wacc*ext_sh*(Sens!$I$4800+Sens!$J$4800)/2/(1-tax)-Sens!$J$4803)/Sens!$J$4778</f>
        <v>1.16844056931249</v>
      </c>
      <c r="K4815" s="36" t="n">
        <f aca="false">Sens!$K$4814*(Sens!$K$4778+wacc*ext_sh*(Sens!$J$4800+Sens!$K$4800)/2/(1-tax)-Sens!$K$4803)/Sens!$K$4778</f>
        <v>1.15383758356873</v>
      </c>
      <c r="L4815" s="36" t="n">
        <f aca="false">Sens!$L$4814*(Sens!$L$4778+wacc*ext_sh*(Sens!$K$4800+Sens!$L$4800)/2/(1-tax)-Sens!$L$4803)/Sens!$L$4778</f>
        <v>1.13212765595665</v>
      </c>
      <c r="M4815" s="36" t="n">
        <f aca="false">Sens!$M$4814*(Sens!$M$4778+wacc*ext_sh*(Sens!$L$4800+Sens!$M$4800)/2/(1-tax)-Sens!$M$4803)/Sens!$M$4778</f>
        <v>1.12024635139935</v>
      </c>
    </row>
    <row r="4816" customFormat="false" ht="17.15" hidden="false" customHeight="false" outlineLevel="0" collapsed="false">
      <c r="A4816" s="5" t="s">
        <v>671</v>
      </c>
      <c r="B4816" s="0" t="s">
        <v>52</v>
      </c>
      <c r="C4816" s="13" t="n">
        <f aca="false">Sens!$C$4779/tk_pq</f>
        <v>0.195316432429398</v>
      </c>
      <c r="D4816" s="13" t="n">
        <f aca="false">Sens!$D$4779/tk_pq</f>
        <v>0.195316432429398</v>
      </c>
      <c r="E4816" s="13" t="n">
        <f aca="false">Sens!$E$4779/tk_pq</f>
        <v>0.195316432429398</v>
      </c>
      <c r="F4816" s="13" t="n">
        <f aca="false">Sens!$F$4779/tk_pq</f>
        <v>0.202241827274866</v>
      </c>
      <c r="G4816" s="13" t="n">
        <f aca="false">Sens!$G$4779/tk_pq</f>
        <v>0.199675016194063</v>
      </c>
      <c r="H4816" s="13" t="n">
        <f aca="false">Sens!$H$4779/tk_pq</f>
        <v>0.212647947710325</v>
      </c>
      <c r="I4816" s="13" t="n">
        <f aca="false">Sens!$I$4779/tk_pq</f>
        <v>0.219285125475351</v>
      </c>
      <c r="J4816" s="13" t="n">
        <f aca="false">Sens!$J$4779/tk_pq</f>
        <v>0.222492493217189</v>
      </c>
      <c r="K4816" s="13" t="n">
        <f aca="false">Sens!$K$4779/tk_pq</f>
        <v>0.224053502812094</v>
      </c>
      <c r="L4816" s="13" t="n">
        <f aca="false">Sens!$L$4779/tk_pq</f>
        <v>0.224786916785614</v>
      </c>
      <c r="M4816" s="13" t="n">
        <f aca="false">Sens!$M$4779/tk_pq</f>
        <v>0.225048671566937</v>
      </c>
      <c r="N4816" s="13" t="n">
        <f aca="false">Sens!$N$4779/tk_pq</f>
        <v>0.195316432429398</v>
      </c>
      <c r="O4816" s="13" t="n">
        <f aca="false">Sens!$O$4779/tk_pq</f>
        <v>0.195316432429398</v>
      </c>
      <c r="P4816" s="5" t="s">
        <v>672</v>
      </c>
    </row>
    <row r="4819" customFormat="false" ht="17.15" hidden="false" customHeight="false" outlineLevel="0" collapsed="false">
      <c r="A4819" s="1" t="s">
        <v>701</v>
      </c>
    </row>
    <row r="4820" customFormat="false" ht="17.15" hidden="false" customHeight="false" outlineLevel="0" collapsed="false">
      <c r="A4820" s="0" t="s">
        <v>702</v>
      </c>
      <c r="B4820" s="0" t="s">
        <v>86</v>
      </c>
      <c r="C4820" s="38" t="n">
        <f aca="false">Sens!$C$4778</f>
        <v>2.32100535697364</v>
      </c>
      <c r="D4820" s="38" t="n">
        <f aca="false">Sens!$D$4778</f>
        <v>8.70377008865116</v>
      </c>
      <c r="E4820" s="38" t="n">
        <f aca="false">Sens!$E$4778</f>
        <v>8.51035297557002</v>
      </c>
      <c r="F4820" s="38" t="n">
        <f aca="false">Sens!$F$4778</f>
        <v>14.9634336447205</v>
      </c>
      <c r="G4820" s="38" t="n">
        <f aca="false">Sens!$G$4778</f>
        <v>23.4737866202905</v>
      </c>
      <c r="H4820" s="38" t="n">
        <f aca="false">Sens!$H$4778</f>
        <v>60.1658907497746</v>
      </c>
      <c r="I4820" s="38" t="n">
        <f aca="false">Sens!$I$4778</f>
        <v>101.503699136432</v>
      </c>
      <c r="J4820" s="38" t="n">
        <f aca="false">Sens!$J$4778</f>
        <v>143.025407151278</v>
      </c>
      <c r="K4820" s="38" t="n">
        <f aca="false">Sens!$K$4778</f>
        <v>178.44812038318</v>
      </c>
      <c r="L4820" s="38" t="n">
        <f aca="false">Sens!$L$4778</f>
        <v>201.728101802396</v>
      </c>
      <c r="M4820" s="38" t="n">
        <f aca="false">Sens!$M$4778</f>
        <v>212.835441368865</v>
      </c>
      <c r="N4820" s="38" t="n">
        <f aca="false">Sens!$N$4778</f>
        <v>3.04631953102791</v>
      </c>
      <c r="O4820" s="38" t="n">
        <f aca="false">Sens!$O$4778</f>
        <v>5.65745055762326</v>
      </c>
      <c r="P4820" s="8" t="s">
        <v>703</v>
      </c>
    </row>
    <row r="4821" customFormat="false" ht="17.15" hidden="false" customHeight="false" outlineLevel="0" collapsed="false">
      <c r="A4821" s="0" t="s">
        <v>704</v>
      </c>
      <c r="B4821" s="0" t="s">
        <v>86</v>
      </c>
      <c r="C4821" s="38" t="n">
        <f aca="false">Sens!$C$4782</f>
        <v>105.234994643026</v>
      </c>
      <c r="D4821" s="38" t="n">
        <f aca="false">Sens!$D$4782</f>
        <v>120.021229911349</v>
      </c>
      <c r="E4821" s="38" t="n">
        <f aca="false">Sens!$E$4782</f>
        <v>71.30864702443</v>
      </c>
      <c r="F4821" s="38" t="n">
        <f aca="false">Sens!$F$4782</f>
        <v>71.7692997942464</v>
      </c>
      <c r="G4821" s="38" t="n">
        <f aca="false">Sens!$G$4782</f>
        <v>143.077946818676</v>
      </c>
      <c r="H4821" s="38" t="n">
        <f aca="false">Sens!$H$4782</f>
        <v>161.017077079203</v>
      </c>
      <c r="I4821" s="38" t="n">
        <f aca="false">Sens!$I$4782</f>
        <v>178.769759521457</v>
      </c>
      <c r="J4821" s="38" t="n">
        <f aca="false">Sens!$J$4782</f>
        <v>195.775538045907</v>
      </c>
      <c r="K4821" s="38" t="n">
        <f aca="false">Sens!$K$4782</f>
        <v>211.43758108958</v>
      </c>
      <c r="L4821" s="38" t="n">
        <f aca="false">Sens!$L$4782</f>
        <v>228.352587576746</v>
      </c>
      <c r="M4821" s="38" t="n">
        <f aca="false">Sens!$M$4782</f>
        <v>246.620794582886</v>
      </c>
      <c r="N4821" s="38" t="n">
        <f aca="false">Sens!$N$4782</f>
        <v>57.0936804689721</v>
      </c>
      <c r="O4821" s="38" t="n">
        <f aca="false">Sens!$O$4782</f>
        <v>62.9275494423768</v>
      </c>
      <c r="P4821" s="8" t="s">
        <v>703</v>
      </c>
    </row>
    <row r="4822" customFormat="false" ht="17.15" hidden="false" customHeight="false" outlineLevel="0" collapsed="false">
      <c r="A4822" s="1" t="s">
        <v>523</v>
      </c>
      <c r="B4822" s="8" t="s">
        <v>86</v>
      </c>
      <c r="C4822" s="38" t="n">
        <f aca="false">Q!$D$7</f>
        <v>107.556</v>
      </c>
      <c r="D4822" s="38" t="n">
        <f aca="false">Q!$E$7</f>
        <v>128.725</v>
      </c>
      <c r="E4822" s="38" t="n">
        <f aca="false">Q!$P$7</f>
        <v>79.819</v>
      </c>
      <c r="F4822" s="38" t="n">
        <f aca="false">Sens!$F$4820+Sens!$F$4821</f>
        <v>86.7327334389669</v>
      </c>
      <c r="G4822" s="38" t="n">
        <f aca="false">Sens!$G$4820+Sens!$G$4821</f>
        <v>166.551733438967</v>
      </c>
      <c r="H4822" s="38" t="n">
        <f aca="false">Sens!$H$4820+Sens!$H$4821</f>
        <v>221.182967828978</v>
      </c>
      <c r="I4822" s="38" t="n">
        <f aca="false">Sens!$I$4820+Sens!$I$4821</f>
        <v>280.27345865789</v>
      </c>
      <c r="J4822" s="38" t="n">
        <f aca="false">Sens!$J$4820+Sens!$J$4821</f>
        <v>338.800945197185</v>
      </c>
      <c r="K4822" s="38" t="n">
        <f aca="false">Sens!$K$4820+Sens!$K$4821</f>
        <v>389.88570147276</v>
      </c>
      <c r="L4822" s="38" t="n">
        <f aca="false">Sens!$L$4820+Sens!$L$4821</f>
        <v>430.080689379143</v>
      </c>
      <c r="M4822" s="38" t="n">
        <f aca="false">Sens!$M$4820+Sens!$M$4821</f>
        <v>459.456235951751</v>
      </c>
      <c r="N4822" s="38" t="n">
        <f aca="false">Q!$N$7</f>
        <v>60.14</v>
      </c>
      <c r="O4822" s="38" t="n">
        <f aca="false">Q!$O$7</f>
        <v>68.585</v>
      </c>
      <c r="P4822" s="5" t="s">
        <v>705</v>
      </c>
    </row>
    <row r="4823" customFormat="false" ht="15" hidden="false" customHeight="false" outlineLevel="0" collapsed="false">
      <c r="A4823" s="3" t="s">
        <v>706</v>
      </c>
      <c r="B4823" s="8" t="s">
        <v>86</v>
      </c>
      <c r="C4823" s="38" t="n">
        <f aca="false">Q!$D$8</f>
        <v>637.959</v>
      </c>
      <c r="D4823" s="38" t="n">
        <f aca="false">Q!$E$8</f>
        <v>716.924</v>
      </c>
      <c r="E4823" s="38" t="n">
        <f aca="false">Q!$P$8</f>
        <v>382.125</v>
      </c>
      <c r="F4823" s="38" t="n">
        <f aca="false">Sens!$F$4750+Sens!$F$4822</f>
        <v>435.780975084504</v>
      </c>
      <c r="G4823" s="38" t="n">
        <f aca="false">Sens!$G$4750+Sens!$G$4822</f>
        <v>817.905975084504</v>
      </c>
      <c r="H4823" s="38" t="n">
        <f aca="false">Sens!$H$4750+Sens!$H$4822</f>
        <v>942.279857350364</v>
      </c>
      <c r="I4823" s="38" t="n">
        <f aca="false">Sens!$I$4750+Sens!$I$4822</f>
        <v>1068.80284981042</v>
      </c>
      <c r="J4823" s="38" t="n">
        <f aca="false">Sens!$J$4750+Sens!$J$4822</f>
        <v>1189.90935093863</v>
      </c>
      <c r="K4823" s="38" t="n">
        <f aca="false">Sens!$K$4750+Sens!$K$4822</f>
        <v>1296.06215690385</v>
      </c>
      <c r="L4823" s="38" t="n">
        <f aca="false">Sens!$L$4750+Sens!$L$4822</f>
        <v>1395.17379585473</v>
      </c>
      <c r="M4823" s="38" t="n">
        <f aca="false">Sens!$M$4750+Sens!$M$4822</f>
        <v>1487.60414389864</v>
      </c>
      <c r="N4823" s="38" t="n">
        <f aca="false">Q!$N$8</f>
        <v>323.369</v>
      </c>
      <c r="O4823" s="38" t="n">
        <f aca="false">Q!$O$8</f>
        <v>393.555</v>
      </c>
    </row>
    <row r="4824" customFormat="false" ht="17.15" hidden="false" customHeight="false" outlineLevel="0" collapsed="false">
      <c r="A4824" s="24" t="s">
        <v>714</v>
      </c>
      <c r="B4824" s="25" t="s">
        <v>86</v>
      </c>
      <c r="C4824" s="41" t="n">
        <f aca="false">Sens!$C$4750-(Sens!$C$4752+Sens!$C$4753)</f>
        <v>0</v>
      </c>
      <c r="D4824" s="41" t="n">
        <f aca="false">Sens!$D$4750-(Sens!$D$4752+Sens!$D$4753)</f>
        <v>0</v>
      </c>
      <c r="E4824" s="41" t="n">
        <f aca="false">Sens!$E$4750-(Sens!$E$4752+Sens!$E$4753)</f>
        <v>0</v>
      </c>
      <c r="F4824" s="41" t="n">
        <f aca="false">Sens!$F$4750-(Sens!$F$4752+Sens!$F$4753)</f>
        <v>0</v>
      </c>
      <c r="G4824" s="41" t="n">
        <f aca="false">Sens!$G$4750-(Sens!$G$4752+Sens!$G$4753)</f>
        <v>0</v>
      </c>
      <c r="H4824" s="41" t="n">
        <f aca="false">Sens!$H$4750-(Sens!$H$4752+Sens!$H$4753)</f>
        <v>0</v>
      </c>
      <c r="I4824" s="41" t="n">
        <f aca="false">Sens!$I$4750-(Sens!$I$4752+Sens!$I$4753)</f>
        <v>0</v>
      </c>
      <c r="J4824" s="41" t="n">
        <f aca="false">Sens!$J$4750-(Sens!$J$4752+Sens!$J$4753)</f>
        <v>0</v>
      </c>
      <c r="K4824" s="41" t="n">
        <f aca="false">Sens!$K$4750-(Sens!$K$4752+Sens!$K$4753)</f>
        <v>0</v>
      </c>
      <c r="L4824" s="41" t="n">
        <f aca="false">Sens!$L$4750-(Sens!$L$4752+Sens!$L$4753)</f>
        <v>0</v>
      </c>
      <c r="M4824" s="41" t="n">
        <f aca="false">Sens!$M$4750-(Sens!$M$4752+Sens!$M$4753)</f>
        <v>0</v>
      </c>
      <c r="N4824" s="41" t="n">
        <f aca="false">Sens!$N$4750-(Sens!$N$4752+Sens!$N$4753)</f>
        <v>0</v>
      </c>
      <c r="O4824" s="41" t="n">
        <f aca="false">Sens!$O$4750-(Sens!$O$4752+Sens!$O$4753)</f>
        <v>0</v>
      </c>
    </row>
    <row r="4825" customFormat="false" ht="17.15" hidden="false" customHeight="false" outlineLevel="0" collapsed="false">
      <c r="A4825" s="24" t="s">
        <v>715</v>
      </c>
      <c r="B4825" s="25" t="s">
        <v>86</v>
      </c>
      <c r="C4825" s="41" t="n">
        <f aca="false">Sens!$C$4820+Sens!$C$4821-Sens!$C$4822</f>
        <v>0</v>
      </c>
      <c r="D4825" s="41" t="n">
        <f aca="false">Sens!$D$4820+Sens!$D$4821-Sens!$D$4822</f>
        <v>0</v>
      </c>
      <c r="E4825" s="41" t="n">
        <f aca="false">Sens!$E$4820+Sens!$E$4821-Sens!$E$4822</f>
        <v>0</v>
      </c>
      <c r="F4825" s="41" t="n">
        <f aca="false">Sens!$F$4820+Sens!$F$4821-Sens!$F$4822</f>
        <v>0</v>
      </c>
      <c r="G4825" s="41" t="n">
        <f aca="false">Sens!$G$4820+Sens!$G$4821-Sens!$G$4822</f>
        <v>0</v>
      </c>
      <c r="H4825" s="41" t="n">
        <f aca="false">Sens!$H$4820+Sens!$H$4821-Sens!$H$4822</f>
        <v>0</v>
      </c>
      <c r="I4825" s="41" t="n">
        <f aca="false">Sens!$I$4820+Sens!$I$4821-Sens!$I$4822</f>
        <v>0</v>
      </c>
      <c r="J4825" s="41" t="n">
        <f aca="false">Sens!$J$4820+Sens!$J$4821-Sens!$J$4822</f>
        <v>0</v>
      </c>
      <c r="K4825" s="41" t="n">
        <f aca="false">Sens!$K$4820+Sens!$K$4821-Sens!$K$4822</f>
        <v>0</v>
      </c>
      <c r="L4825" s="41" t="n">
        <f aca="false">Sens!$L$4820+Sens!$L$4821-Sens!$L$4822</f>
        <v>0</v>
      </c>
      <c r="M4825" s="41" t="n">
        <f aca="false">Sens!$M$4820+Sens!$M$4821-Sens!$M$4822</f>
        <v>0</v>
      </c>
      <c r="N4825" s="41" t="n">
        <f aca="false">Sens!$N$4820+Sens!$N$4821-Sens!$N$4822</f>
        <v>0</v>
      </c>
      <c r="O4825" s="41" t="n">
        <f aca="false">Sens!$O$4820+Sens!$O$4821-Sens!$O$4822</f>
        <v>0</v>
      </c>
    </row>
    <row r="4826" customFormat="false" ht="17.15" hidden="false" customHeight="false" outlineLevel="0" collapsed="false">
      <c r="A4826" s="24" t="s">
        <v>716</v>
      </c>
      <c r="B4826" s="25" t="s">
        <v>86</v>
      </c>
      <c r="C4826" s="41" t="n">
        <f aca="false">Sens!$C$4752+Sens!$C$4753+Sens!$C$4822-Sens!$C$4823</f>
        <v>0</v>
      </c>
      <c r="D4826" s="41" t="n">
        <f aca="false">Sens!$D$4752+Sens!$D$4753+Sens!$D$4822-Sens!$D$4823</f>
        <v>0</v>
      </c>
      <c r="E4826" s="41" t="n">
        <f aca="false">Sens!$E$4752+Sens!$E$4753+Sens!$E$4822-Sens!$E$4823</f>
        <v>0</v>
      </c>
      <c r="F4826" s="41" t="n">
        <f aca="false">Sens!$F$4752+Sens!$F$4753+Sens!$F$4822-Sens!$F$4823</f>
        <v>0</v>
      </c>
      <c r="G4826" s="41" t="n">
        <f aca="false">Sens!$G$4752+Sens!$G$4753+Sens!$G$4822-Sens!$G$4823</f>
        <v>0</v>
      </c>
      <c r="H4826" s="41" t="n">
        <f aca="false">Sens!$H$4752+Sens!$H$4753+Sens!$H$4822-Sens!$H$4823</f>
        <v>0</v>
      </c>
      <c r="I4826" s="41" t="n">
        <f aca="false">Sens!$I$4752+Sens!$I$4753+Sens!$I$4822-Sens!$I$4823</f>
        <v>0</v>
      </c>
      <c r="J4826" s="41" t="n">
        <f aca="false">Sens!$J$4752+Sens!$J$4753+Sens!$J$4822-Sens!$J$4823</f>
        <v>0</v>
      </c>
      <c r="K4826" s="41" t="n">
        <f aca="false">Sens!$K$4752+Sens!$K$4753+Sens!$K$4822-Sens!$K$4823</f>
        <v>0</v>
      </c>
      <c r="L4826" s="41" t="n">
        <f aca="false">Sens!$L$4752+Sens!$L$4753+Sens!$L$4822-Sens!$L$4823</f>
        <v>0</v>
      </c>
      <c r="M4826" s="41" t="n">
        <f aca="false">Sens!$M$4752+Sens!$M$4753+Sens!$M$4822-Sens!$M$4823</f>
        <v>0</v>
      </c>
      <c r="N4826" s="41" t="n">
        <f aca="false">Sens!$N$4752+Sens!$N$4753+Sens!$N$4822-Sens!$N$4823</f>
        <v>0</v>
      </c>
      <c r="O4826" s="41" t="n">
        <f aca="false">Sens!$O$4752+Sens!$O$4753+Sens!$O$4822-Sens!$O$4823</f>
        <v>0</v>
      </c>
    </row>
    <row r="4827" customFormat="false" ht="15" hidden="false" customHeight="false" outlineLevel="0" collapsed="false">
      <c r="A4827" s="5" t="s">
        <v>710</v>
      </c>
      <c r="B4827" s="0" t="s">
        <v>52</v>
      </c>
      <c r="G4827" s="13" t="n">
        <f aca="false">Sens!$G$4823/Sens!$D$4823-1</f>
        <v>0.140854504918937</v>
      </c>
      <c r="H4827" s="13" t="n">
        <f aca="false">Sens!$H$4823/Sens!$G$4823-1</f>
        <v>0.152063789793209</v>
      </c>
      <c r="I4827" s="13" t="n">
        <f aca="false">Sens!$I$4823/Sens!$H$4823-1</f>
        <v>0.134273264437417</v>
      </c>
      <c r="J4827" s="13" t="n">
        <f aca="false">Sens!$J$4823/Sens!$I$4823-1</f>
        <v>0.113310421234083</v>
      </c>
      <c r="K4827" s="13" t="n">
        <f aca="false">Sens!$K$4823/Sens!$J$4823-1</f>
        <v>0.0892108343223652</v>
      </c>
      <c r="L4827" s="13" t="n">
        <f aca="false">Sens!$L$4823/Sens!$K$4823-1</f>
        <v>0.076471362444261</v>
      </c>
      <c r="M4827" s="13" t="n">
        <f aca="false">Sens!$M$4823/Sens!$L$4823-1</f>
        <v>0.066250060256672</v>
      </c>
    </row>
    <row r="4828" customFormat="false" ht="17.15" hidden="false" customHeight="false" outlineLevel="0" collapsed="false">
      <c r="A4828" s="0" t="s">
        <v>711</v>
      </c>
      <c r="B4828" s="0" t="s">
        <v>52</v>
      </c>
      <c r="C4828" s="13" t="n">
        <f aca="false">Sens!$C$4822/Sens!$C$4823</f>
        <v>0.168593906504964</v>
      </c>
      <c r="D4828" s="13" t="n">
        <f aca="false">Sens!$D$4822/Sens!$D$4823</f>
        <v>0.179551807444025</v>
      </c>
      <c r="E4828" s="13" t="n">
        <f aca="false">Sens!$E$4822/Sens!$E$4823</f>
        <v>0.208881910369643</v>
      </c>
      <c r="F4828" s="13" t="n">
        <f aca="false">Sens!$F$4822/Sens!$F$4823</f>
        <v>0.199028269699356</v>
      </c>
      <c r="G4828" s="13" t="n">
        <f aca="false">Sens!$G$4822/Sens!$G$4823</f>
        <v>0.203631882529968</v>
      </c>
      <c r="H4828" s="13" t="n">
        <f aca="false">Sens!$H$4822/Sens!$H$4823</f>
        <v>0.234731715958496</v>
      </c>
      <c r="I4828" s="13" t="n">
        <f aca="false">Sens!$I$4822/Sens!$I$4823</f>
        <v>0.262231204480418</v>
      </c>
      <c r="J4828" s="13" t="n">
        <f aca="false">Sens!$J$4822/Sens!$J$4823</f>
        <v>0.284728366013706</v>
      </c>
      <c r="K4828" s="13" t="n">
        <f aca="false">Sens!$K$4822/Sens!$K$4823</f>
        <v>0.300823304959505</v>
      </c>
      <c r="L4828" s="13" t="n">
        <f aca="false">Sens!$L$4822/Sens!$L$4823</f>
        <v>0.308263164529735</v>
      </c>
      <c r="M4828" s="13" t="n">
        <f aca="false">Sens!$M$4822/Sens!$M$4823</f>
        <v>0.308856517936036</v>
      </c>
      <c r="N4828" s="13" t="n">
        <f aca="false">Sens!$N$4822/Sens!$N$4823</f>
        <v>0.185979484737251</v>
      </c>
      <c r="O4828" s="13" t="n">
        <f aca="false">Sens!$O$4822/Sens!$O$4823</f>
        <v>0.174270432341096</v>
      </c>
    </row>
    <row r="4829" customFormat="false" ht="17.15" hidden="false" customHeight="false" outlineLevel="0" collapsed="false">
      <c r="A4829" s="0" t="s">
        <v>712</v>
      </c>
      <c r="B4829" s="0" t="s">
        <v>52</v>
      </c>
      <c r="C4829" s="13" t="n">
        <f aca="false">Sens!$C$4820/Sens!$C$4822</f>
        <v>0.0215795060896058</v>
      </c>
      <c r="D4829" s="13" t="n">
        <f aca="false">Sens!$D$4820/Sens!$D$4822</f>
        <v>0.0676152269462122</v>
      </c>
      <c r="E4829" s="13" t="n">
        <f aca="false">Sens!$E$4820/Sens!$E$4822</f>
        <v>0.106620641395783</v>
      </c>
      <c r="F4829" s="13" t="n">
        <f aca="false">Sens!$F$4820/Sens!$F$4822</f>
        <v>0.172523487401099</v>
      </c>
      <c r="G4829" s="13" t="n">
        <f aca="false">Sens!$G$4820/Sens!$G$4822</f>
        <v>0.140939911795589</v>
      </c>
      <c r="H4829" s="13" t="n">
        <f aca="false">Sens!$H$4820/Sens!$H$4822</f>
        <v>0.272018642937714</v>
      </c>
      <c r="I4829" s="13" t="n">
        <f aca="false">Sens!$I$4820/Sens!$I$4822</f>
        <v>0.362159512436497</v>
      </c>
      <c r="J4829" s="13" t="n">
        <f aca="false">Sens!$J$4820/Sens!$J$4822</f>
        <v>0.422151735934609</v>
      </c>
      <c r="K4829" s="13" t="n">
        <f aca="false">Sens!$K$4820/Sens!$K$4822</f>
        <v>0.45769342068485</v>
      </c>
      <c r="L4829" s="13" t="n">
        <f aca="false">Sens!$L$4820/Sens!$L$4822</f>
        <v>0.469047103913472</v>
      </c>
      <c r="M4829" s="13" t="n">
        <f aca="false">Sens!$M$4820/Sens!$M$4822</f>
        <v>0.463233328258093</v>
      </c>
      <c r="N4829" s="13" t="n">
        <f aca="false">Sens!$N$4820/Sens!$N$4822</f>
        <v>0.0506537999838362</v>
      </c>
      <c r="O4829" s="13" t="n">
        <f aca="false">Sens!$O$4820/Sens!$O$4822</f>
        <v>0.0824881615167056</v>
      </c>
    </row>
    <row r="4832" customFormat="false" ht="19.4" hidden="false" customHeight="false" outlineLevel="0" collapsed="false">
      <c r="A4832" s="31" t="s">
        <v>1249</v>
      </c>
    </row>
    <row r="4833" customFormat="false" ht="17.15" hidden="false" customHeight="false" outlineLevel="0" collapsed="false">
      <c r="A4833" s="6" t="s">
        <v>16</v>
      </c>
      <c r="B4833" s="6" t="s">
        <v>17</v>
      </c>
      <c r="C4833" s="20" t="s">
        <v>504</v>
      </c>
      <c r="D4833" s="20" t="s">
        <v>505</v>
      </c>
      <c r="E4833" s="20" t="s">
        <v>587</v>
      </c>
      <c r="F4833" s="20" t="s">
        <v>588</v>
      </c>
      <c r="G4833" s="20" t="s">
        <v>589</v>
      </c>
      <c r="H4833" s="20" t="s">
        <v>590</v>
      </c>
      <c r="I4833" s="20" t="s">
        <v>591</v>
      </c>
      <c r="J4833" s="20" t="s">
        <v>592</v>
      </c>
      <c r="K4833" s="20" t="s">
        <v>593</v>
      </c>
      <c r="L4833" s="20" t="s">
        <v>594</v>
      </c>
      <c r="M4833" s="20" t="s">
        <v>595</v>
      </c>
      <c r="N4833" s="20" t="s">
        <v>596</v>
      </c>
      <c r="O4833" s="20" t="s">
        <v>597</v>
      </c>
      <c r="P4833" s="6" t="s">
        <v>23</v>
      </c>
      <c r="R4833" s="20" t="n">
        <v>2023</v>
      </c>
      <c r="S4833" s="20" t="n">
        <v>2024</v>
      </c>
      <c r="T4833" s="20" t="n">
        <v>2025</v>
      </c>
      <c r="U4833" s="20" t="n">
        <v>2026</v>
      </c>
      <c r="V4833" s="20" t="n">
        <v>2027</v>
      </c>
      <c r="W4833" s="20" t="n">
        <v>2028</v>
      </c>
      <c r="X4833" s="20" t="n">
        <v>2029</v>
      </c>
      <c r="Y4833" s="20" t="n">
        <v>2030</v>
      </c>
      <c r="Z4833" s="20" t="n">
        <v>2031</v>
      </c>
      <c r="AA4833" s="20" t="n">
        <v>2032</v>
      </c>
    </row>
    <row r="4834" customFormat="false" ht="17.15" hidden="false" customHeight="false" outlineLevel="0" collapsed="false">
      <c r="A4834" s="1" t="s">
        <v>727</v>
      </c>
    </row>
    <row r="4835" customFormat="false" ht="15" hidden="false" customHeight="false" outlineLevel="0" collapsed="false">
      <c r="A4835" s="0" t="s">
        <v>526</v>
      </c>
      <c r="B4835" s="0" t="s">
        <v>86</v>
      </c>
      <c r="C4835" s="38" t="n">
        <f aca="false">Sens!$C$4737</f>
        <v>247.029</v>
      </c>
      <c r="D4835" s="38" t="n">
        <f aca="false">Sens!$D$4737</f>
        <v>269.287</v>
      </c>
      <c r="E4835" s="38" t="n">
        <f aca="false">Sens!$E$4737</f>
        <v>134.686</v>
      </c>
      <c r="F4835" s="38" t="n">
        <f aca="false">Sens!$F$4737</f>
        <v>158.293876822267</v>
      </c>
      <c r="G4835" s="38" t="n">
        <f aca="false">Sens!$G$4737</f>
        <v>292.979876822267</v>
      </c>
      <c r="H4835" s="38" t="n">
        <f aca="false">Sens!$H$4737</f>
        <v>318.184543087396</v>
      </c>
      <c r="I4835" s="38" t="n">
        <f aca="false">Sens!$I$4737</f>
        <v>341.736278761793</v>
      </c>
      <c r="J4835" s="38" t="n">
        <f aca="false">Sens!$J$4737</f>
        <v>362.927192787048</v>
      </c>
      <c r="K4835" s="38" t="n">
        <f aca="false">Sens!$K$4737</f>
        <v>381.0735524264</v>
      </c>
      <c r="L4835" s="38" t="n">
        <f aca="false">Sens!$L$4737</f>
        <v>400.12723004772</v>
      </c>
      <c r="M4835" s="38" t="n">
        <f aca="false">Sens!$M$4737</f>
        <v>420.133591550106</v>
      </c>
      <c r="N4835" s="38" t="n">
        <f aca="false">Sens!$N$4737</f>
        <v>118.892</v>
      </c>
      <c r="O4835" s="38" t="n">
        <f aca="false">Sens!$O$4737</f>
        <v>150.395</v>
      </c>
    </row>
    <row r="4836" customFormat="false" ht="15" hidden="false" customHeight="false" outlineLevel="0" collapsed="false">
      <c r="A4836" s="0" t="s">
        <v>527</v>
      </c>
      <c r="B4836" s="0" t="s">
        <v>86</v>
      </c>
      <c r="C4836" s="38" t="n">
        <f aca="false">Sens!$C$4739</f>
        <v>21.215</v>
      </c>
      <c r="D4836" s="38" t="n">
        <f aca="false">Sens!$D$4739</f>
        <v>22.561</v>
      </c>
      <c r="E4836" s="38" t="n">
        <f aca="false">Sens!$E$4739</f>
        <v>11.579</v>
      </c>
      <c r="F4836" s="38" t="n">
        <f aca="false">Sens!$F$4739</f>
        <v>11.5938724610325</v>
      </c>
      <c r="G4836" s="38" t="n">
        <f aca="false">Sens!$G$4739</f>
        <v>23.1728724610325</v>
      </c>
      <c r="H4836" s="38" t="n">
        <f aca="false">Sens!$H$4739</f>
        <v>24.353392759506</v>
      </c>
      <c r="I4836" s="38" t="n">
        <f aca="false">Sens!$I$4739</f>
        <v>25.4240338872015</v>
      </c>
      <c r="J4836" s="38" t="n">
        <f aca="false">Sens!$J$4739</f>
        <v>26.3642491017174</v>
      </c>
      <c r="K4836" s="38" t="n">
        <f aca="false">Sens!$K$4739</f>
        <v>27.155176574769</v>
      </c>
      <c r="L4836" s="38" t="n">
        <f aca="false">Sens!$L$4739</f>
        <v>27.969831872012</v>
      </c>
      <c r="M4836" s="38" t="n">
        <f aca="false">Sens!$M$4739</f>
        <v>28.8089268281724</v>
      </c>
      <c r="N4836" s="38" t="n">
        <f aca="false">Sens!$N$4739</f>
        <v>11.128</v>
      </c>
      <c r="O4836" s="38" t="n">
        <f aca="false">Sens!$O$4739</f>
        <v>11.433</v>
      </c>
    </row>
    <row r="4837" customFormat="false" ht="15" hidden="false" customHeight="false" outlineLevel="0" collapsed="false">
      <c r="A4837" s="0" t="s">
        <v>528</v>
      </c>
      <c r="B4837" s="0" t="s">
        <v>86</v>
      </c>
      <c r="C4837" s="38" t="n">
        <f aca="false">Sens!$C$4741</f>
        <v>156.146</v>
      </c>
      <c r="D4837" s="38" t="n">
        <f aca="false">Sens!$D$4741</f>
        <v>172.162</v>
      </c>
      <c r="E4837" s="38" t="n">
        <f aca="false">Sens!$E$4741</f>
        <v>88.358</v>
      </c>
      <c r="F4837" s="38" t="n">
        <f aca="false">Sens!$F$4741</f>
        <v>102.004388260171</v>
      </c>
      <c r="G4837" s="38" t="n">
        <f aca="false">Sens!$G$4741</f>
        <v>190.362388260171</v>
      </c>
      <c r="H4837" s="38" t="n">
        <f aca="false">Sens!$H$4741</f>
        <v>210.343106588311</v>
      </c>
      <c r="I4837" s="38" t="n">
        <f aca="false">Sens!$I$4741</f>
        <v>229.969728494648</v>
      </c>
      <c r="J4837" s="38" t="n">
        <f aca="false">Sens!$J$4741</f>
        <v>248.747636972598</v>
      </c>
      <c r="K4837" s="38" t="n">
        <f aca="false">Sens!$K$4741</f>
        <v>266.15997156068</v>
      </c>
      <c r="L4837" s="38" t="n">
        <f aca="false">Sens!$L$4741</f>
        <v>284.791169569927</v>
      </c>
      <c r="M4837" s="38" t="n">
        <f aca="false">Sens!$M$4741</f>
        <v>304.726551439822</v>
      </c>
      <c r="N4837" s="38" t="n">
        <f aca="false">Sens!$N$4741</f>
        <v>76.86</v>
      </c>
      <c r="O4837" s="38" t="n">
        <f aca="false">Sens!$O$4741</f>
        <v>95.302</v>
      </c>
    </row>
    <row r="4838" customFormat="false" ht="15" hidden="false" customHeight="false" outlineLevel="0" collapsed="false">
      <c r="A4838" s="0" t="s">
        <v>529</v>
      </c>
      <c r="B4838" s="0" t="s">
        <v>86</v>
      </c>
      <c r="C4838" s="38" t="n">
        <f aca="false">Sens!$C$4743</f>
        <v>56.214</v>
      </c>
      <c r="D4838" s="38" t="n">
        <f aca="false">Sens!$D$4743</f>
        <v>68.635</v>
      </c>
      <c r="E4838" s="38" t="n">
        <f aca="false">Sens!$E$4743</f>
        <v>37.052</v>
      </c>
      <c r="F4838" s="38" t="n">
        <f aca="false">Sens!$F$4743</f>
        <v>46.1572219944148</v>
      </c>
      <c r="G4838" s="38" t="n">
        <f aca="false">Sens!$G$4743</f>
        <v>83.2092219944148</v>
      </c>
      <c r="H4838" s="38" t="n">
        <f aca="false">Sens!$H$4743</f>
        <v>99.8969223878976</v>
      </c>
      <c r="I4838" s="38" t="n">
        <f aca="false">Sens!$I$4743</f>
        <v>116.583111095496</v>
      </c>
      <c r="J4838" s="38" t="n">
        <f aca="false">Sens!$J$4743</f>
        <v>132.148941941952</v>
      </c>
      <c r="K4838" s="38" t="n">
        <f aca="false">Sens!$K$4743</f>
        <v>145.363836136147</v>
      </c>
      <c r="L4838" s="38" t="n">
        <f aca="false">Sens!$L$4743</f>
        <v>159.900219749762</v>
      </c>
      <c r="M4838" s="38" t="n">
        <f aca="false">Sens!$M$4743</f>
        <v>175.890241724738</v>
      </c>
      <c r="N4838" s="38" t="n">
        <f aca="false">Sens!$N$4743</f>
        <v>29.615</v>
      </c>
      <c r="O4838" s="38" t="n">
        <f aca="false">Sens!$O$4743</f>
        <v>39.02</v>
      </c>
    </row>
    <row r="4839" customFormat="false" ht="15" hidden="false" customHeight="false" outlineLevel="0" collapsed="false">
      <c r="A4839" s="0" t="s">
        <v>530</v>
      </c>
      <c r="B4839" s="0" t="s">
        <v>86</v>
      </c>
      <c r="C4839" s="38" t="n">
        <f aca="false">Sens!$C$4745</f>
        <v>44.374</v>
      </c>
      <c r="D4839" s="38" t="n">
        <f aca="false">Sens!$D$4745</f>
        <v>49.619</v>
      </c>
      <c r="E4839" s="38" t="n">
        <f aca="false">Sens!$E$4745</f>
        <v>27.157</v>
      </c>
      <c r="F4839" s="38" t="n">
        <f aca="false">Sens!$F$4745</f>
        <v>27.7764165988154</v>
      </c>
      <c r="G4839" s="38" t="n">
        <f aca="false">Sens!$G$4745</f>
        <v>54.9334165988154</v>
      </c>
      <c r="H4839" s="38" t="n">
        <f aca="false">Sens!$H$4745</f>
        <v>61.1564112561829</v>
      </c>
      <c r="I4839" s="38" t="n">
        <f aca="false">Sens!$I$4745</f>
        <v>67.2020282103945</v>
      </c>
      <c r="J4839" s="38" t="n">
        <f aca="false">Sens!$J$4745</f>
        <v>72.8757274028885</v>
      </c>
      <c r="K4839" s="38" t="n">
        <f aca="false">Sens!$K$4745</f>
        <v>77.9770283210907</v>
      </c>
      <c r="L4839" s="38" t="n">
        <f aca="false">Sens!$L$4745</f>
        <v>83.4354203035671</v>
      </c>
      <c r="M4839" s="38" t="n">
        <f aca="false">Sens!$M$4745</f>
        <v>89.2758997248168</v>
      </c>
      <c r="N4839" s="38" t="n">
        <f aca="false">Sens!$N$4745</f>
        <v>23.923</v>
      </c>
      <c r="O4839" s="38" t="n">
        <f aca="false">Sens!$O$4745</f>
        <v>25.696</v>
      </c>
    </row>
    <row r="4840" customFormat="false" ht="15" hidden="false" customHeight="false" outlineLevel="0" collapsed="false">
      <c r="A4840" s="0" t="s">
        <v>531</v>
      </c>
      <c r="B4840" s="0" t="s">
        <v>86</v>
      </c>
      <c r="C4840" s="38" t="n">
        <f aca="false">Sens!$C$4747</f>
        <v>5.425</v>
      </c>
      <c r="D4840" s="38" t="n">
        <f aca="false">Sens!$D$4747</f>
        <v>5.935</v>
      </c>
      <c r="E4840" s="38" t="n">
        <f aca="false">Sens!$E$4747</f>
        <v>3.474</v>
      </c>
      <c r="F4840" s="38" t="n">
        <f aca="false">Sens!$F$4747</f>
        <v>3.22246550883619</v>
      </c>
      <c r="G4840" s="38" t="n">
        <f aca="false">Sens!$G$4747</f>
        <v>6.69646550883619</v>
      </c>
      <c r="H4840" s="38" t="n">
        <f aca="false">Sens!$H$4747</f>
        <v>7.16251344209196</v>
      </c>
      <c r="I4840" s="38" t="n">
        <f aca="false">Sens!$I$4747</f>
        <v>7.61421070299826</v>
      </c>
      <c r="J4840" s="38" t="n">
        <f aca="false">Sens!$J$4747</f>
        <v>8.04465753523932</v>
      </c>
      <c r="K4840" s="38" t="n">
        <f aca="false">Sens!$K$4747</f>
        <v>8.44689041200128</v>
      </c>
      <c r="L4840" s="38" t="n">
        <f aca="false">Sens!$L$4747</f>
        <v>8.86923493260135</v>
      </c>
      <c r="M4840" s="38" t="n">
        <f aca="false">Sens!$M$4747</f>
        <v>9.31269667923142</v>
      </c>
      <c r="N4840" s="38" t="n">
        <f aca="false">Sens!$N$4747</f>
        <v>2.811</v>
      </c>
      <c r="O4840" s="38" t="n">
        <f aca="false">Sens!$O$4747</f>
        <v>3.124</v>
      </c>
    </row>
    <row r="4841" customFormat="false" ht="17.15" hidden="false" customHeight="false" outlineLevel="0" collapsed="false">
      <c r="A4841" s="0" t="s">
        <v>728</v>
      </c>
      <c r="B4841" s="0" t="s">
        <v>86</v>
      </c>
      <c r="C4841" s="38" t="n">
        <f aca="false">Sens!$C$4822</f>
        <v>107.556</v>
      </c>
      <c r="D4841" s="38" t="n">
        <f aca="false">Sens!$D$4822</f>
        <v>128.725</v>
      </c>
      <c r="E4841" s="38" t="n">
        <f aca="false">Sens!$E$4822</f>
        <v>79.819</v>
      </c>
      <c r="F4841" s="38" t="n">
        <f aca="false">Sens!$F$4822</f>
        <v>86.7327334389669</v>
      </c>
      <c r="G4841" s="38" t="n">
        <f aca="false">Sens!$G$4822</f>
        <v>166.551733438967</v>
      </c>
      <c r="H4841" s="38" t="n">
        <f aca="false">Sens!$H$4822</f>
        <v>221.182967828978</v>
      </c>
      <c r="I4841" s="38" t="n">
        <f aca="false">Sens!$I$4822</f>
        <v>280.27345865789</v>
      </c>
      <c r="J4841" s="38" t="n">
        <f aca="false">Sens!$J$4822</f>
        <v>338.800945197185</v>
      </c>
      <c r="K4841" s="38" t="n">
        <f aca="false">Sens!$K$4822</f>
        <v>389.88570147276</v>
      </c>
      <c r="L4841" s="38" t="n">
        <f aca="false">Sens!$L$4822</f>
        <v>430.080689379143</v>
      </c>
      <c r="M4841" s="38" t="n">
        <f aca="false">Sens!$M$4822</f>
        <v>459.456235951751</v>
      </c>
      <c r="N4841" s="38" t="n">
        <f aca="false">Sens!$N$4822</f>
        <v>60.14</v>
      </c>
      <c r="O4841" s="38" t="n">
        <f aca="false">Sens!$O$4822</f>
        <v>68.585</v>
      </c>
    </row>
    <row r="4842" customFormat="false" ht="15" hidden="false" customHeight="false" outlineLevel="0" collapsed="false">
      <c r="A4842" s="1" t="s">
        <v>519</v>
      </c>
      <c r="B4842" s="8" t="s">
        <v>86</v>
      </c>
      <c r="C4842" s="38" t="n">
        <f aca="false">Sens!$C$4752</f>
        <v>387.497</v>
      </c>
      <c r="D4842" s="38" t="n">
        <f aca="false">Sens!$D$4752</f>
        <v>426.305</v>
      </c>
      <c r="E4842" s="38" t="n">
        <f aca="false">Sens!$E$4752</f>
        <v>220.32</v>
      </c>
      <c r="F4842" s="38" t="n">
        <f aca="false">Sens!$F$4752</f>
        <v>250.639773480586</v>
      </c>
      <c r="G4842" s="38" t="n">
        <f aca="false">Sens!$G$4752</f>
        <v>470.959773480586</v>
      </c>
      <c r="H4842" s="38" t="n">
        <f aca="false">Sens!$H$4752</f>
        <v>521.386990416437</v>
      </c>
      <c r="I4842" s="38" t="n">
        <f aca="false">Sens!$I$4752</f>
        <v>570.143862887555</v>
      </c>
      <c r="J4842" s="38" t="n">
        <f aca="false">Sens!$J$4752</f>
        <v>615.391435791933</v>
      </c>
      <c r="K4842" s="38" t="n">
        <f aca="false">Sens!$K$4752</f>
        <v>655.208227561543</v>
      </c>
      <c r="L4842" s="38" t="n">
        <f aca="false">Sens!$L$4752</f>
        <v>697.807739249767</v>
      </c>
      <c r="M4842" s="38" t="n">
        <f aca="false">Sens!$M$4752</f>
        <v>743.399328463592</v>
      </c>
      <c r="N4842" s="38" t="n">
        <f aca="false">Sens!$N$4752</f>
        <v>192.955</v>
      </c>
      <c r="O4842" s="38" t="n">
        <f aca="false">Sens!$O$4752</f>
        <v>233.35</v>
      </c>
    </row>
    <row r="4843" customFormat="false" ht="15" hidden="false" customHeight="false" outlineLevel="0" collapsed="false">
      <c r="A4843" s="1" t="s">
        <v>522</v>
      </c>
      <c r="B4843" s="8" t="s">
        <v>86</v>
      </c>
      <c r="C4843" s="38" t="n">
        <f aca="false">Sens!$C$4753</f>
        <v>142.906</v>
      </c>
      <c r="D4843" s="38" t="n">
        <f aca="false">Sens!$D$4753</f>
        <v>161.894</v>
      </c>
      <c r="E4843" s="38" t="n">
        <f aca="false">Sens!$E$4753</f>
        <v>81.986</v>
      </c>
      <c r="F4843" s="38" t="n">
        <f aca="false">Sens!$F$4753</f>
        <v>98.408468164951</v>
      </c>
      <c r="G4843" s="38" t="n">
        <f aca="false">Sens!$G$4753</f>
        <v>180.394468164951</v>
      </c>
      <c r="H4843" s="38" t="n">
        <f aca="false">Sens!$H$4753</f>
        <v>199.709899104949</v>
      </c>
      <c r="I4843" s="38" t="n">
        <f aca="false">Sens!$I$4753</f>
        <v>218.385528264976</v>
      </c>
      <c r="J4843" s="38" t="n">
        <f aca="false">Sens!$J$4753</f>
        <v>235.71696994951</v>
      </c>
      <c r="K4843" s="38" t="n">
        <f aca="false">Sens!$K$4753</f>
        <v>250.968227869545</v>
      </c>
      <c r="L4843" s="38" t="n">
        <f aca="false">Sens!$L$4753</f>
        <v>267.285367225822</v>
      </c>
      <c r="M4843" s="38" t="n">
        <f aca="false">Sens!$M$4753</f>
        <v>284.748579483295</v>
      </c>
      <c r="N4843" s="38" t="n">
        <f aca="false">Sens!$N$4753</f>
        <v>70.274</v>
      </c>
      <c r="O4843" s="38" t="n">
        <f aca="false">Sens!$O$4753</f>
        <v>91.62</v>
      </c>
    </row>
    <row r="4844" customFormat="false" ht="15" hidden="false" customHeight="false" outlineLevel="0" collapsed="false">
      <c r="A4844" s="1" t="s">
        <v>523</v>
      </c>
      <c r="B4844" s="8" t="s">
        <v>86</v>
      </c>
      <c r="C4844" s="38" t="n">
        <f aca="false">Sens!$C$4822</f>
        <v>107.556</v>
      </c>
      <c r="D4844" s="38" t="n">
        <f aca="false">Sens!$D$4822</f>
        <v>128.725</v>
      </c>
      <c r="E4844" s="38" t="n">
        <f aca="false">Sens!$E$4822</f>
        <v>79.819</v>
      </c>
      <c r="F4844" s="38" t="n">
        <f aca="false">Sens!$F$4822</f>
        <v>86.7327334389669</v>
      </c>
      <c r="G4844" s="38" t="n">
        <f aca="false">Sens!$G$4822</f>
        <v>166.551733438967</v>
      </c>
      <c r="H4844" s="38" t="n">
        <f aca="false">Sens!$H$4822</f>
        <v>221.182967828978</v>
      </c>
      <c r="I4844" s="38" t="n">
        <f aca="false">Sens!$I$4822</f>
        <v>280.27345865789</v>
      </c>
      <c r="J4844" s="38" t="n">
        <f aca="false">Sens!$J$4822</f>
        <v>338.800945197185</v>
      </c>
      <c r="K4844" s="38" t="n">
        <f aca="false">Sens!$K$4822</f>
        <v>389.88570147276</v>
      </c>
      <c r="L4844" s="38" t="n">
        <f aca="false">Sens!$L$4822</f>
        <v>430.080689379143</v>
      </c>
      <c r="M4844" s="38" t="n">
        <f aca="false">Sens!$M$4822</f>
        <v>459.456235951751</v>
      </c>
      <c r="N4844" s="38" t="n">
        <f aca="false">Sens!$N$4822</f>
        <v>60.14</v>
      </c>
      <c r="O4844" s="38" t="n">
        <f aca="false">Sens!$O$4822</f>
        <v>68.585</v>
      </c>
    </row>
    <row r="4845" customFormat="false" ht="17.15" hidden="false" customHeight="false" outlineLevel="0" collapsed="false">
      <c r="A4845" s="0" t="s">
        <v>702</v>
      </c>
      <c r="B4845" s="0" t="s">
        <v>86</v>
      </c>
      <c r="C4845" s="38" t="n">
        <f aca="false">Sens!$C$4820</f>
        <v>2.32100535697364</v>
      </c>
      <c r="D4845" s="38" t="n">
        <f aca="false">Sens!$D$4820</f>
        <v>8.70377008865116</v>
      </c>
      <c r="E4845" s="38" t="n">
        <f aca="false">Sens!$E$4820</f>
        <v>8.51035297557002</v>
      </c>
      <c r="F4845" s="38" t="n">
        <f aca="false">Sens!$F$4820</f>
        <v>14.9634336447205</v>
      </c>
      <c r="G4845" s="38" t="n">
        <f aca="false">Sens!$G$4820</f>
        <v>23.4737866202905</v>
      </c>
      <c r="H4845" s="38" t="n">
        <f aca="false">Sens!$H$4820</f>
        <v>60.1658907497746</v>
      </c>
      <c r="I4845" s="38" t="n">
        <f aca="false">Sens!$I$4820</f>
        <v>101.503699136432</v>
      </c>
      <c r="J4845" s="38" t="n">
        <f aca="false">Sens!$J$4820</f>
        <v>143.025407151278</v>
      </c>
      <c r="K4845" s="38" t="n">
        <f aca="false">Sens!$K$4820</f>
        <v>178.44812038318</v>
      </c>
      <c r="L4845" s="38" t="n">
        <f aca="false">Sens!$L$4820</f>
        <v>201.728101802396</v>
      </c>
      <c r="M4845" s="38" t="n">
        <f aca="false">Sens!$M$4820</f>
        <v>212.835441368865</v>
      </c>
      <c r="N4845" s="38" t="n">
        <f aca="false">Sens!$N$4820</f>
        <v>3.04631953102791</v>
      </c>
      <c r="O4845" s="38" t="n">
        <f aca="false">Sens!$O$4820</f>
        <v>5.65745055762326</v>
      </c>
    </row>
    <row r="4846" customFormat="false" ht="17.15" hidden="false" customHeight="false" outlineLevel="0" collapsed="false">
      <c r="A4846" s="0" t="s">
        <v>704</v>
      </c>
      <c r="B4846" s="0" t="s">
        <v>86</v>
      </c>
      <c r="C4846" s="38" t="n">
        <f aca="false">Sens!$C$4821</f>
        <v>105.234994643026</v>
      </c>
      <c r="D4846" s="38" t="n">
        <f aca="false">Sens!$D$4821</f>
        <v>120.021229911349</v>
      </c>
      <c r="E4846" s="38" t="n">
        <f aca="false">Sens!$E$4821</f>
        <v>71.30864702443</v>
      </c>
      <c r="F4846" s="38" t="n">
        <f aca="false">Sens!$F$4821</f>
        <v>71.7692997942464</v>
      </c>
      <c r="G4846" s="38" t="n">
        <f aca="false">Sens!$G$4821</f>
        <v>143.077946818676</v>
      </c>
      <c r="H4846" s="38" t="n">
        <f aca="false">Sens!$H$4821</f>
        <v>161.017077079203</v>
      </c>
      <c r="I4846" s="38" t="n">
        <f aca="false">Sens!$I$4821</f>
        <v>178.769759521457</v>
      </c>
      <c r="J4846" s="38" t="n">
        <f aca="false">Sens!$J$4821</f>
        <v>195.775538045907</v>
      </c>
      <c r="K4846" s="38" t="n">
        <f aca="false">Sens!$K$4821</f>
        <v>211.43758108958</v>
      </c>
      <c r="L4846" s="38" t="n">
        <f aca="false">Sens!$L$4821</f>
        <v>228.352587576746</v>
      </c>
      <c r="M4846" s="38" t="n">
        <f aca="false">Sens!$M$4821</f>
        <v>246.620794582886</v>
      </c>
      <c r="N4846" s="38" t="n">
        <f aca="false">Sens!$N$4821</f>
        <v>57.0936804689721</v>
      </c>
      <c r="O4846" s="38" t="n">
        <f aca="false">Sens!$O$4821</f>
        <v>62.9275494423768</v>
      </c>
    </row>
    <row r="4847" customFormat="false" ht="15" hidden="false" customHeight="false" outlineLevel="0" collapsed="false">
      <c r="A4847" s="3" t="s">
        <v>524</v>
      </c>
      <c r="B4847" s="8" t="s">
        <v>86</v>
      </c>
      <c r="C4847" s="38" t="n">
        <f aca="false">Sens!$C$4823</f>
        <v>637.959</v>
      </c>
      <c r="D4847" s="38" t="n">
        <f aca="false">Sens!$D$4823</f>
        <v>716.924</v>
      </c>
      <c r="E4847" s="38" t="n">
        <f aca="false">Sens!$E$4823</f>
        <v>382.125</v>
      </c>
      <c r="F4847" s="38" t="n">
        <f aca="false">Sens!$F$4823</f>
        <v>435.780975084504</v>
      </c>
      <c r="G4847" s="38" t="n">
        <f aca="false">Sens!$G$4823</f>
        <v>817.905975084504</v>
      </c>
      <c r="H4847" s="38" t="n">
        <f aca="false">Sens!$H$4823</f>
        <v>942.279857350364</v>
      </c>
      <c r="I4847" s="38" t="n">
        <f aca="false">Sens!$I$4823</f>
        <v>1068.80284981042</v>
      </c>
      <c r="J4847" s="38" t="n">
        <f aca="false">Sens!$J$4823</f>
        <v>1189.90935093863</v>
      </c>
      <c r="K4847" s="38" t="n">
        <f aca="false">Sens!$K$4823</f>
        <v>1296.06215690385</v>
      </c>
      <c r="L4847" s="38" t="n">
        <f aca="false">Sens!$L$4823</f>
        <v>1395.17379585473</v>
      </c>
      <c r="M4847" s="38" t="n">
        <f aca="false">Sens!$M$4823</f>
        <v>1487.60414389864</v>
      </c>
      <c r="N4847" s="38" t="n">
        <f aca="false">Sens!$N$4823</f>
        <v>323.369</v>
      </c>
      <c r="O4847" s="38" t="n">
        <f aca="false">Sens!$O$4823</f>
        <v>393.555</v>
      </c>
    </row>
    <row r="4848" customFormat="false" ht="17.15" hidden="false" customHeight="false" outlineLevel="0" collapsed="false">
      <c r="A4848" s="24" t="s">
        <v>714</v>
      </c>
      <c r="B4848" s="25" t="s">
        <v>86</v>
      </c>
      <c r="C4848" s="41" t="n">
        <f aca="false">Sens!$C$4835+Sens!$C$4836+Sens!$C$4837+Sens!$C$4838+Sens!$C$4839+Sens!$C$4840-(Sens!$C$4842+Sens!$C$4843)</f>
        <v>0</v>
      </c>
      <c r="D4848" s="41" t="n">
        <f aca="false">Sens!$D$4835+Sens!$D$4836+Sens!$D$4837+Sens!$D$4838+Sens!$D$4839+Sens!$D$4840-(Sens!$D$4842+Sens!$D$4843)</f>
        <v>0</v>
      </c>
      <c r="E4848" s="41" t="n">
        <f aca="false">Sens!$E$4835+Sens!$E$4836+Sens!$E$4837+Sens!$E$4838+Sens!$E$4839+Sens!$E$4840-(Sens!$E$4842+Sens!$E$4843)</f>
        <v>0</v>
      </c>
      <c r="F4848" s="41" t="n">
        <f aca="false">Sens!$F$4835+Sens!$F$4836+Sens!$F$4837+Sens!$F$4838+Sens!$F$4839+Sens!$F$4840-(Sens!$F$4842+Sens!$F$4843)</f>
        <v>0</v>
      </c>
      <c r="G4848" s="41" t="n">
        <f aca="false">Sens!$G$4835+Sens!$G$4836+Sens!$G$4837+Sens!$G$4838+Sens!$G$4839+Sens!$G$4840-(Sens!$G$4842+Sens!$G$4843)</f>
        <v>0</v>
      </c>
      <c r="H4848" s="41" t="n">
        <f aca="false">Sens!$H$4835+Sens!$H$4836+Sens!$H$4837+Sens!$H$4838+Sens!$H$4839+Sens!$H$4840-(Sens!$H$4842+Sens!$H$4843)</f>
        <v>0</v>
      </c>
      <c r="I4848" s="41" t="n">
        <f aca="false">Sens!$I$4835+Sens!$I$4836+Sens!$I$4837+Sens!$I$4838+Sens!$I$4839+Sens!$I$4840-(Sens!$I$4842+Sens!$I$4843)</f>
        <v>0</v>
      </c>
      <c r="J4848" s="41" t="n">
        <f aca="false">Sens!$J$4835+Sens!$J$4836+Sens!$J$4837+Sens!$J$4838+Sens!$J$4839+Sens!$J$4840-(Sens!$J$4842+Sens!$J$4843)</f>
        <v>0</v>
      </c>
      <c r="K4848" s="41" t="n">
        <f aca="false">Sens!$K$4835+Sens!$K$4836+Sens!$K$4837+Sens!$K$4838+Sens!$K$4839+Sens!$K$4840-(Sens!$K$4842+Sens!$K$4843)</f>
        <v>0</v>
      </c>
      <c r="L4848" s="41" t="n">
        <f aca="false">Sens!$L$4835+Sens!$L$4836+Sens!$L$4837+Sens!$L$4838+Sens!$L$4839+Sens!$L$4840-(Sens!$L$4842+Sens!$L$4843)</f>
        <v>0</v>
      </c>
      <c r="M4848" s="41" t="n">
        <f aca="false">Sens!$M$4835+Sens!$M$4836+Sens!$M$4837+Sens!$M$4838+Sens!$M$4839+Sens!$M$4840-(Sens!$M$4842+Sens!$M$4843)</f>
        <v>0</v>
      </c>
      <c r="N4848" s="41" t="n">
        <f aca="false">Sens!$N$4835+Sens!$N$4836+Sens!$N$4837+Sens!$N$4838+Sens!$N$4839+Sens!$N$4840-(Sens!$N$4842+Sens!$N$4843)</f>
        <v>0</v>
      </c>
      <c r="O4848" s="41" t="n">
        <f aca="false">Sens!$O$4835+Sens!$O$4836+Sens!$O$4837+Sens!$O$4838+Sens!$O$4839+Sens!$O$4840-(Sens!$O$4842+Sens!$O$4843)</f>
        <v>0</v>
      </c>
    </row>
    <row r="4849" customFormat="false" ht="17.15" hidden="false" customHeight="false" outlineLevel="0" collapsed="false">
      <c r="A4849" s="24" t="s">
        <v>715</v>
      </c>
      <c r="B4849" s="25" t="s">
        <v>86</v>
      </c>
      <c r="C4849" s="41" t="n">
        <f aca="false">Sens!$C$4845+Sens!$C$4846-Sens!$C$4844</f>
        <v>0</v>
      </c>
      <c r="D4849" s="41" t="n">
        <f aca="false">Sens!$D$4845+Sens!$D$4846-Sens!$D$4844</f>
        <v>0</v>
      </c>
      <c r="E4849" s="41" t="n">
        <f aca="false">Sens!$E$4845+Sens!$E$4846-Sens!$E$4844</f>
        <v>0</v>
      </c>
      <c r="F4849" s="41" t="n">
        <f aca="false">Sens!$F$4845+Sens!$F$4846-Sens!$F$4844</f>
        <v>0</v>
      </c>
      <c r="G4849" s="41" t="n">
        <f aca="false">Sens!$G$4845+Sens!$G$4846-Sens!$G$4844</f>
        <v>0</v>
      </c>
      <c r="H4849" s="41" t="n">
        <f aca="false">Sens!$H$4845+Sens!$H$4846-Sens!$H$4844</f>
        <v>0</v>
      </c>
      <c r="I4849" s="41" t="n">
        <f aca="false">Sens!$I$4845+Sens!$I$4846-Sens!$I$4844</f>
        <v>0</v>
      </c>
      <c r="J4849" s="41" t="n">
        <f aca="false">Sens!$J$4845+Sens!$J$4846-Sens!$J$4844</f>
        <v>0</v>
      </c>
      <c r="K4849" s="41" t="n">
        <f aca="false">Sens!$K$4845+Sens!$K$4846-Sens!$K$4844</f>
        <v>0</v>
      </c>
      <c r="L4849" s="41" t="n">
        <f aca="false">Sens!$L$4845+Sens!$L$4846-Sens!$L$4844</f>
        <v>0</v>
      </c>
      <c r="M4849" s="41" t="n">
        <f aca="false">Sens!$M$4845+Sens!$M$4846-Sens!$M$4844</f>
        <v>0</v>
      </c>
      <c r="N4849" s="41" t="n">
        <f aca="false">Sens!$N$4845+Sens!$N$4846-Sens!$N$4844</f>
        <v>0</v>
      </c>
      <c r="O4849" s="41" t="n">
        <f aca="false">Sens!$O$4845+Sens!$O$4846-Sens!$O$4844</f>
        <v>0</v>
      </c>
    </row>
    <row r="4850" customFormat="false" ht="17.15" hidden="false" customHeight="false" outlineLevel="0" collapsed="false">
      <c r="A4850" s="24" t="s">
        <v>774</v>
      </c>
      <c r="B4850" s="25" t="s">
        <v>86</v>
      </c>
      <c r="C4850" s="41" t="n">
        <f aca="false">Sens!$C$4835+Sens!$C$4836+Sens!$C$4837+Sens!$C$4838+Sens!$C$4839+Sens!$C$4840+Sens!$C$4841-Sens!$C$4847</f>
        <v>0</v>
      </c>
      <c r="D4850" s="41" t="n">
        <f aca="false">Sens!$D$4835+Sens!$D$4836+Sens!$D$4837+Sens!$D$4838+Sens!$D$4839+Sens!$D$4840+Sens!$D$4841-Sens!$D$4847</f>
        <v>0</v>
      </c>
      <c r="E4850" s="41" t="n">
        <f aca="false">Sens!$E$4835+Sens!$E$4836+Sens!$E$4837+Sens!$E$4838+Sens!$E$4839+Sens!$E$4840+Sens!$E$4841-Sens!$E$4847</f>
        <v>0</v>
      </c>
      <c r="F4850" s="41" t="n">
        <f aca="false">Sens!$F$4835+Sens!$F$4836+Sens!$F$4837+Sens!$F$4838+Sens!$F$4839+Sens!$F$4840+Sens!$F$4841-Sens!$F$4847</f>
        <v>0</v>
      </c>
      <c r="G4850" s="41" t="n">
        <f aca="false">Sens!$G$4835+Sens!$G$4836+Sens!$G$4837+Sens!$G$4838+Sens!$G$4839+Sens!$G$4840+Sens!$G$4841-Sens!$G$4847</f>
        <v>0</v>
      </c>
      <c r="H4850" s="41" t="n">
        <f aca="false">Sens!$H$4835+Sens!$H$4836+Sens!$H$4837+Sens!$H$4838+Sens!$H$4839+Sens!$H$4840+Sens!$H$4841-Sens!$H$4847</f>
        <v>0</v>
      </c>
      <c r="I4850" s="41" t="n">
        <f aca="false">Sens!$I$4835+Sens!$I$4836+Sens!$I$4837+Sens!$I$4838+Sens!$I$4839+Sens!$I$4840+Sens!$I$4841-Sens!$I$4847</f>
        <v>0</v>
      </c>
      <c r="J4850" s="41" t="n">
        <f aca="false">Sens!$J$4835+Sens!$J$4836+Sens!$J$4837+Sens!$J$4838+Sens!$J$4839+Sens!$J$4840+Sens!$J$4841-Sens!$J$4847</f>
        <v>0</v>
      </c>
      <c r="K4850" s="41" t="n">
        <f aca="false">Sens!$K$4835+Sens!$K$4836+Sens!$K$4837+Sens!$K$4838+Sens!$K$4839+Sens!$K$4840+Sens!$K$4841-Sens!$K$4847</f>
        <v>0</v>
      </c>
      <c r="L4850" s="41" t="n">
        <f aca="false">Sens!$L$4835+Sens!$L$4836+Sens!$L$4837+Sens!$L$4838+Sens!$L$4839+Sens!$L$4840+Sens!$L$4841-Sens!$L$4847</f>
        <v>0</v>
      </c>
      <c r="M4850" s="41" t="n">
        <f aca="false">Sens!$M$4835+Sens!$M$4836+Sens!$M$4837+Sens!$M$4838+Sens!$M$4839+Sens!$M$4840+Sens!$M$4841-Sens!$M$4847</f>
        <v>0</v>
      </c>
      <c r="N4850" s="41" t="n">
        <f aca="false">Sens!$N$4835+Sens!$N$4836+Sens!$N$4837+Sens!$N$4838+Sens!$N$4839+Sens!$N$4840+Sens!$N$4841-Sens!$N$4847</f>
        <v>0</v>
      </c>
      <c r="O4850" s="41" t="n">
        <f aca="false">Sens!$O$4835+Sens!$O$4836+Sens!$O$4837+Sens!$O$4838+Sens!$O$4839+Sens!$O$4840+Sens!$O$4841-Sens!$O$4847</f>
        <v>0</v>
      </c>
    </row>
    <row r="4851" customFormat="false" ht="17.15" hidden="false" customHeight="false" outlineLevel="0" collapsed="false">
      <c r="A4851" s="24" t="s">
        <v>716</v>
      </c>
      <c r="B4851" s="25" t="s">
        <v>86</v>
      </c>
      <c r="C4851" s="41" t="n">
        <f aca="false">Sens!$C$4842+Sens!$C$4843+Sens!$C$4844-Sens!$C$4847</f>
        <v>0</v>
      </c>
      <c r="D4851" s="41" t="n">
        <f aca="false">Sens!$D$4842+Sens!$D$4843+Sens!$D$4844-Sens!$D$4847</f>
        <v>0</v>
      </c>
      <c r="E4851" s="41" t="n">
        <f aca="false">Sens!$E$4842+Sens!$E$4843+Sens!$E$4844-Sens!$E$4847</f>
        <v>0</v>
      </c>
      <c r="F4851" s="41" t="n">
        <f aca="false">Sens!$F$4842+Sens!$F$4843+Sens!$F$4844-Sens!$F$4847</f>
        <v>0</v>
      </c>
      <c r="G4851" s="41" t="n">
        <f aca="false">Sens!$G$4842+Sens!$G$4843+Sens!$G$4844-Sens!$G$4847</f>
        <v>0</v>
      </c>
      <c r="H4851" s="41" t="n">
        <f aca="false">Sens!$H$4842+Sens!$H$4843+Sens!$H$4844-Sens!$H$4847</f>
        <v>0</v>
      </c>
      <c r="I4851" s="41" t="n">
        <f aca="false">Sens!$I$4842+Sens!$I$4843+Sens!$I$4844-Sens!$I$4847</f>
        <v>0</v>
      </c>
      <c r="J4851" s="41" t="n">
        <f aca="false">Sens!$J$4842+Sens!$J$4843+Sens!$J$4844-Sens!$J$4847</f>
        <v>0</v>
      </c>
      <c r="K4851" s="41" t="n">
        <f aca="false">Sens!$K$4842+Sens!$K$4843+Sens!$K$4844-Sens!$K$4847</f>
        <v>0</v>
      </c>
      <c r="L4851" s="41" t="n">
        <f aca="false">Sens!$L$4842+Sens!$L$4843+Sens!$L$4844-Sens!$L$4847</f>
        <v>0</v>
      </c>
      <c r="M4851" s="41" t="n">
        <f aca="false">Sens!$M$4842+Sens!$M$4843+Sens!$M$4844-Sens!$M$4847</f>
        <v>0</v>
      </c>
      <c r="N4851" s="41" t="n">
        <f aca="false">Sens!$N$4842+Sens!$N$4843+Sens!$N$4844-Sens!$N$4847</f>
        <v>0</v>
      </c>
      <c r="O4851" s="41" t="n">
        <f aca="false">Sens!$O$4842+Sens!$O$4843+Sens!$O$4844-Sens!$O$4847</f>
        <v>0</v>
      </c>
    </row>
    <row r="4852" customFormat="false" ht="17.15" hidden="false" customHeight="false" outlineLevel="0" collapsed="false">
      <c r="A4852" s="1" t="s">
        <v>730</v>
      </c>
    </row>
    <row r="4853" customFormat="false" ht="17.15" hidden="false" customHeight="false" outlineLevel="0" collapsed="false">
      <c r="A4853" s="0" t="s">
        <v>731</v>
      </c>
      <c r="B4853" s="0" t="s">
        <v>86</v>
      </c>
      <c r="C4853" s="38" t="n">
        <f aca="false">Sens!$C$4754*m_ad</f>
        <v>20.5341564414228</v>
      </c>
      <c r="D4853" s="38" t="n">
        <f aca="false">Sens!$D$4754*m_ad</f>
        <v>24.8720617299587</v>
      </c>
      <c r="E4853" s="38" t="n">
        <f aca="false">Sens!$E$4754*m_ad</f>
        <v>13.5017112462207</v>
      </c>
      <c r="F4853" s="38" t="n">
        <f aca="false">Sens!$F$4754*m_ad</f>
        <v>16.5719724165257</v>
      </c>
      <c r="G4853" s="38" t="n">
        <f aca="false">Sens!$G$4754*m_ad</f>
        <v>30.0820919220415</v>
      </c>
      <c r="H4853" s="38" t="n">
        <f aca="false">Sens!$H$4754*m_ad</f>
        <v>36.1150883276314</v>
      </c>
      <c r="I4853" s="38" t="n">
        <f aca="false">Sens!$I$4754*m_ad</f>
        <v>42.1475382231996</v>
      </c>
      <c r="J4853" s="38" t="n">
        <f aca="false">Sens!$J$4754*m_ad</f>
        <v>47.7749523864693</v>
      </c>
      <c r="K4853" s="38" t="n">
        <f aca="false">Sens!$K$4754*m_ad</f>
        <v>52.5524476251162</v>
      </c>
      <c r="L4853" s="38" t="n">
        <f aca="false">Sens!$L$4754*m_ad</f>
        <v>57.8076923876279</v>
      </c>
      <c r="M4853" s="38" t="n">
        <f aca="false">Sens!$M$4754*m_ad</f>
        <v>63.5884616263907</v>
      </c>
      <c r="N4853" s="38" t="n">
        <f aca="false">Sens!$N$4754*m_ad</f>
        <v>10.8543555706248</v>
      </c>
      <c r="O4853" s="38" t="n">
        <f aca="false">Sens!$O$4754*m_ad</f>
        <v>14.0094731821399</v>
      </c>
    </row>
    <row r="4854" customFormat="false" ht="17.15" hidden="false" customHeight="false" outlineLevel="0" collapsed="false">
      <c r="A4854" s="0" t="s">
        <v>732</v>
      </c>
      <c r="B4854" s="0" t="s">
        <v>86</v>
      </c>
      <c r="C4854" s="38" t="n">
        <f aca="false">Sens!$C$4752-Sens!$C$4754</f>
        <v>346.428687117154</v>
      </c>
      <c r="D4854" s="38" t="n">
        <f aca="false">Sens!$D$4752-Sens!$D$4754</f>
        <v>376.560876540083</v>
      </c>
      <c r="E4854" s="38" t="n">
        <f aca="false">Sens!$E$4752-Sens!$E$4754</f>
        <v>193.316577507559</v>
      </c>
      <c r="F4854" s="38" t="n">
        <f aca="false">Sens!$F$4752-Sens!$F$4754</f>
        <v>217.495828647535</v>
      </c>
      <c r="G4854" s="38" t="n">
        <f aca="false">Sens!$G$4752-Sens!$G$4754</f>
        <v>410.795589636503</v>
      </c>
      <c r="H4854" s="38" t="n">
        <f aca="false">Sens!$H$4752-Sens!$H$4754</f>
        <v>449.156813761174</v>
      </c>
      <c r="I4854" s="38" t="n">
        <f aca="false">Sens!$I$4752-Sens!$I$4754</f>
        <v>485.848786441156</v>
      </c>
      <c r="J4854" s="38" t="n">
        <f aca="false">Sens!$J$4752-Sens!$J$4754</f>
        <v>519.841531018994</v>
      </c>
      <c r="K4854" s="38" t="n">
        <f aca="false">Sens!$K$4752-Sens!$K$4754</f>
        <v>550.103332311311</v>
      </c>
      <c r="L4854" s="38" t="n">
        <f aca="false">Sens!$L$4752-Sens!$L$4754</f>
        <v>582.192354474511</v>
      </c>
      <c r="M4854" s="38" t="n">
        <f aca="false">Sens!$M$4752-Sens!$M$4754</f>
        <v>616.22240521081</v>
      </c>
      <c r="N4854" s="38" t="n">
        <f aca="false">Sens!$N$4752-Sens!$N$4754</f>
        <v>171.24628885875</v>
      </c>
      <c r="O4854" s="38" t="n">
        <f aca="false">Sens!$O$4752-Sens!$O$4754</f>
        <v>205.33105363572</v>
      </c>
    </row>
    <row r="4855" customFormat="false" ht="17.15" hidden="false" customHeight="false" outlineLevel="0" collapsed="false">
      <c r="A4855" s="0" t="s">
        <v>733</v>
      </c>
      <c r="B4855" s="0" t="s">
        <v>86</v>
      </c>
      <c r="C4855" s="38" t="n">
        <f aca="false">Sens!$C$4806*Sens!$C$4751</f>
        <v>0.123617442257179</v>
      </c>
      <c r="D4855" s="38" t="n">
        <f aca="false">Sens!$D$4806*Sens!$D$4751</f>
        <v>0.600198046024689</v>
      </c>
      <c r="E4855" s="38" t="n">
        <f aca="false">Sens!$E$4806*Sens!$E$4751</f>
        <v>1.10840000750276</v>
      </c>
      <c r="F4855" s="38" t="n">
        <f aca="false">Sens!$F$4806*Sens!$F$4751</f>
        <v>1.33595298721025</v>
      </c>
      <c r="G4855" s="38" t="n">
        <f aca="false">Sens!$G$4806*Sens!$G$4751</f>
        <v>2.44487335052545</v>
      </c>
      <c r="H4855" s="38" t="n">
        <f aca="false">Sens!$H$4806*Sens!$H$4751</f>
        <v>6.63132711939388</v>
      </c>
      <c r="I4855" s="38" t="n">
        <f aca="false">Sens!$I$4806*Sens!$I$4751</f>
        <v>12.7486799258504</v>
      </c>
      <c r="J4855" s="38" t="n">
        <f aca="false">Sens!$J$4806*Sens!$J$4751</f>
        <v>18.4074045299415</v>
      </c>
      <c r="K4855" s="38" t="n">
        <f aca="false">Sens!$K$4806*Sens!$K$4751</f>
        <v>23.9455472348705</v>
      </c>
      <c r="L4855" s="38" t="n">
        <f aca="false">Sens!$L$4806*Sens!$L$4751</f>
        <v>27.78179156216</v>
      </c>
      <c r="M4855" s="38" t="n">
        <f aca="false">Sens!$M$4806*Sens!$M$4751</f>
        <v>29.9029027327362</v>
      </c>
      <c r="N4855" s="38" t="n">
        <f aca="false">Sens!$N$4806*Sens!$N$4751</f>
        <v>0.25053229484398</v>
      </c>
      <c r="O4855" s="38" t="n">
        <f aca="false">Sens!$O$4806*Sens!$O$4751</f>
        <v>0.349234376756897</v>
      </c>
    </row>
    <row r="4856" customFormat="false" ht="17.15" hidden="false" customHeight="false" outlineLevel="0" collapsed="false">
      <c r="A4856" s="0" t="s">
        <v>734</v>
      </c>
      <c r="B4856" s="0" t="s">
        <v>52</v>
      </c>
      <c r="C4856" s="28" t="n">
        <f aca="false">(Sens!$C$4857-Sens!$C$4853+Sens!$C$4855)/Sens!$C$4854</f>
        <v>0.0131526665379575</v>
      </c>
      <c r="D4856" s="28" t="n">
        <f aca="false">(Sens!$D$4857-Sens!$D$4853+Sens!$D$4855)/Sens!$D$4854</f>
        <v>0.0141999252954702</v>
      </c>
      <c r="E4856" s="28" t="n">
        <f aca="false">(Sens!$E$4857-Sens!$E$4853+Sens!$E$4855)/Sens!$E$4854</f>
        <v>0.0258471819939326</v>
      </c>
      <c r="F4856" s="28" t="n">
        <f aca="false">Sens!$O$4856+(Sens!$E$4856-Sens!$N$4856)</f>
        <v>0.0224302350712874</v>
      </c>
      <c r="G4856" s="28" t="n">
        <f aca="false">(Sens!$G$4857-Sens!$G$4853+Sens!$G$4855)/Sens!$G$4854</f>
        <v>0.0240199351461372</v>
      </c>
      <c r="H4856" s="28" t="n">
        <f aca="false">Sens!$G$4856+step_na_lo</f>
        <v>0.0240199351461372</v>
      </c>
      <c r="I4856" s="28" t="n">
        <f aca="false">Sens!$H$4856+step_na_lo</f>
        <v>0.0240199351461372</v>
      </c>
      <c r="J4856" s="28" t="n">
        <f aca="false">Sens!$I$4856+step_na_lo</f>
        <v>0.0240199351461372</v>
      </c>
      <c r="K4856" s="28" t="n">
        <f aca="false">Sens!$J$4856+step_na_lo</f>
        <v>0.0240199351461372</v>
      </c>
      <c r="L4856" s="28" t="n">
        <f aca="false">Sens!$K$4856</f>
        <v>0.0240199351461372</v>
      </c>
      <c r="M4856" s="28" t="n">
        <f aca="false">Sens!$L$4856</f>
        <v>0.0240199351461372</v>
      </c>
      <c r="N4856" s="28" t="n">
        <f aca="false">(Sens!$N$4857-Sens!$N$4853+Sens!$N$4855)/Sens!$N$4854</f>
        <v>0.0160831323269779</v>
      </c>
      <c r="O4856" s="28" t="n">
        <f aca="false">(Sens!$O$4857-Sens!$O$4853+Sens!$O$4855)/Sens!$O$4854</f>
        <v>0.0126661854043327</v>
      </c>
      <c r="P4856" s="8" t="s">
        <v>735</v>
      </c>
    </row>
    <row r="4857" customFormat="false" ht="17.15" hidden="false" customHeight="false" outlineLevel="0" collapsed="false">
      <c r="A4857" s="1" t="s">
        <v>736</v>
      </c>
      <c r="B4857" s="8" t="s">
        <v>86</v>
      </c>
      <c r="C4857" s="38" t="n">
        <f aca="false">Q!$D$22</f>
        <v>24.967</v>
      </c>
      <c r="D4857" s="38" t="n">
        <f aca="false">Q!$E$22</f>
        <v>29.619</v>
      </c>
      <c r="E4857" s="38" t="n">
        <f aca="false">Q!$P$22</f>
        <v>17.39</v>
      </c>
      <c r="F4857" s="38" t="n">
        <f aca="false">Sens!$F$4853+Sens!$F$4854*Sens!$F$4856-Sens!$F$4855</f>
        <v>20.1145019929041</v>
      </c>
      <c r="G4857" s="38" t="n">
        <f aca="false">Sens!$E$4857+Sens!$F$4857</f>
        <v>37.5045019929041</v>
      </c>
      <c r="H4857" s="38" t="n">
        <f aca="false">Sens!$H$4853+Sens!$H$4854*Sens!$H$4856-Sens!$H$4855</f>
        <v>40.2724787452266</v>
      </c>
      <c r="I4857" s="38" t="n">
        <f aca="false">Sens!$I$4853+Sens!$I$4854*Sens!$I$4856-Sens!$I$4855</f>
        <v>41.0689146384952</v>
      </c>
      <c r="J4857" s="38" t="n">
        <f aca="false">Sens!$J$4853+Sens!$J$4854*Sens!$J$4856-Sens!$J$4855</f>
        <v>41.8541077178727</v>
      </c>
      <c r="K4857" s="38" t="n">
        <f aca="false">Sens!$K$4853+Sens!$K$4854*Sens!$K$4856-Sens!$K$4855</f>
        <v>41.8203467560374</v>
      </c>
      <c r="L4857" s="38" t="n">
        <f aca="false">Sens!$L$4853+Sens!$L$4854*Sens!$L$4856-Sens!$L$4855</f>
        <v>44.0101234225225</v>
      </c>
      <c r="M4857" s="38" t="n">
        <f aca="false">Sens!$M$4853+Sens!$M$4854*Sens!$M$4856-Sens!$M$4855</f>
        <v>48.4871811024148</v>
      </c>
      <c r="N4857" s="38" t="n">
        <f aca="false">Q!$N$22</f>
        <v>13.358</v>
      </c>
      <c r="O4857" s="38" t="n">
        <f aca="false">Q!$O$22</f>
        <v>16.261</v>
      </c>
    </row>
    <row r="4858" customFormat="false" ht="17.15" hidden="false" customHeight="false" outlineLevel="0" collapsed="false">
      <c r="A4858" s="0" t="s">
        <v>737</v>
      </c>
      <c r="B4858" s="0" t="s">
        <v>86</v>
      </c>
      <c r="C4858" s="38" t="n">
        <f aca="false">Sens!$C$4755*m_ad</f>
        <v>7.57284355857716</v>
      </c>
      <c r="D4858" s="38" t="n">
        <f aca="false">Sens!$D$4755*m_ad</f>
        <v>9.44543827004127</v>
      </c>
      <c r="E4858" s="38" t="n">
        <f aca="false">Sens!$E$4755*m_ad</f>
        <v>5.02428875377928</v>
      </c>
      <c r="F4858" s="38" t="n">
        <f aca="false">Sens!$F$4755*m_ad</f>
        <v>6.50663858068173</v>
      </c>
      <c r="G4858" s="38" t="n">
        <f aca="false">Sens!$G$4755*m_ad</f>
        <v>11.5225190751659</v>
      </c>
      <c r="H4858" s="38" t="n">
        <f aca="false">Sens!$H$4755*m_ad</f>
        <v>13.8333728663174</v>
      </c>
      <c r="I4858" s="38" t="n">
        <f aca="false">Sens!$I$4755*m_ad</f>
        <v>16.1440173245485</v>
      </c>
      <c r="J4858" s="38" t="n">
        <f aca="false">Sens!$J$4755*m_ad</f>
        <v>18.2995185845066</v>
      </c>
      <c r="K4858" s="38" t="n">
        <f aca="false">Sens!$K$4755*m_ad</f>
        <v>20.1294704429572</v>
      </c>
      <c r="L4858" s="38" t="n">
        <f aca="false">Sens!$L$4755*m_ad</f>
        <v>22.142417487253</v>
      </c>
      <c r="M4858" s="38" t="n">
        <f aca="false">Sens!$M$4755*m_ad</f>
        <v>24.3566592359783</v>
      </c>
      <c r="N4858" s="38" t="n">
        <f aca="false">Sens!$N$4755*m_ad</f>
        <v>3.95314442937518</v>
      </c>
      <c r="O4858" s="38" t="n">
        <f aca="false">Sens!$O$4755*m_ad</f>
        <v>5.50052681786011</v>
      </c>
    </row>
    <row r="4859" customFormat="false" ht="17.15" hidden="false" customHeight="false" outlineLevel="0" collapsed="false">
      <c r="A4859" s="0" t="s">
        <v>738</v>
      </c>
      <c r="B4859" s="0" t="s">
        <v>86</v>
      </c>
      <c r="C4859" s="38" t="n">
        <f aca="false">Sens!$C$4753-Sens!$C$4755</f>
        <v>127.760312882846</v>
      </c>
      <c r="D4859" s="38" t="n">
        <f aca="false">Sens!$D$4753-Sens!$D$4755</f>
        <v>143.003123459917</v>
      </c>
      <c r="E4859" s="38" t="n">
        <f aca="false">Sens!$E$4753-Sens!$E$4755</f>
        <v>71.9374224924414</v>
      </c>
      <c r="F4859" s="38" t="n">
        <f aca="false">Sens!$F$4753-Sens!$F$4755</f>
        <v>85.3951910035875</v>
      </c>
      <c r="G4859" s="38" t="n">
        <f aca="false">Sens!$G$4753-Sens!$G$4755</f>
        <v>157.349430014619</v>
      </c>
      <c r="H4859" s="38" t="n">
        <f aca="false">Sens!$H$4753-Sens!$H$4755</f>
        <v>172.043153372315</v>
      </c>
      <c r="I4859" s="38" t="n">
        <f aca="false">Sens!$I$4753-Sens!$I$4755</f>
        <v>186.097493615879</v>
      </c>
      <c r="J4859" s="38" t="n">
        <f aca="false">Sens!$J$4753-Sens!$J$4755</f>
        <v>199.117932780497</v>
      </c>
      <c r="K4859" s="38" t="n">
        <f aca="false">Sens!$K$4753-Sens!$K$4755</f>
        <v>210.70928698363</v>
      </c>
      <c r="L4859" s="38" t="n">
        <f aca="false">Sens!$L$4753-Sens!$L$4755</f>
        <v>223.000532251316</v>
      </c>
      <c r="M4859" s="38" t="n">
        <f aca="false">Sens!$M$4753-Sens!$M$4755</f>
        <v>236.035261011339</v>
      </c>
      <c r="N4859" s="38" t="n">
        <f aca="false">Sens!$N$4753-Sens!$N$4755</f>
        <v>62.3677111412496</v>
      </c>
      <c r="O4859" s="38" t="n">
        <f aca="false">Sens!$O$4753-Sens!$O$4755</f>
        <v>80.6189463642798</v>
      </c>
    </row>
    <row r="4860" customFormat="false" ht="17.15" hidden="false" customHeight="false" outlineLevel="0" collapsed="false">
      <c r="A4860" s="0" t="s">
        <v>739</v>
      </c>
      <c r="B4860" s="0" t="s">
        <v>86</v>
      </c>
      <c r="C4860" s="38" t="n">
        <f aca="false">Sens!$C$4806*(1-Sens!$C$4751)</f>
        <v>0.0455891896019953</v>
      </c>
      <c r="D4860" s="38" t="n">
        <f aca="false">Sens!$D$4806*(1-Sens!$D$4751)</f>
        <v>0.227931791705753</v>
      </c>
      <c r="E4860" s="38" t="n">
        <f aca="false">Sens!$E$4806*(1-Sens!$E$4751)</f>
        <v>0.412460434890711</v>
      </c>
      <c r="F4860" s="38" t="n">
        <f aca="false">Sens!$F$4806*(1-Sens!$F$4751)</f>
        <v>0.524534016233997</v>
      </c>
      <c r="G4860" s="38" t="n">
        <f aca="false">Sens!$G$4806*(1-Sens!$G$4751)</f>
        <v>0.936474095312266</v>
      </c>
      <c r="H4860" s="38" t="n">
        <f aca="false">Sens!$H$4806*(1-Sens!$H$4751)</f>
        <v>2.54003589327823</v>
      </c>
      <c r="I4860" s="38" t="n">
        <f aca="false">Sens!$I$4806*(1-Sens!$I$4751)</f>
        <v>4.88320120852905</v>
      </c>
      <c r="J4860" s="38" t="n">
        <f aca="false">Sens!$J$4806*(1-Sens!$J$4751)</f>
        <v>7.05069548920359</v>
      </c>
      <c r="K4860" s="38" t="n">
        <f aca="false">Sens!$K$4806*(1-Sens!$K$4751)</f>
        <v>9.17200258193867</v>
      </c>
      <c r="L4860" s="38" t="n">
        <f aca="false">Sens!$L$4806*(1-Sens!$L$4751)</f>
        <v>10.6414216154535</v>
      </c>
      <c r="M4860" s="38" t="n">
        <f aca="false">Sens!$M$4806*(1-Sens!$M$4751)</f>
        <v>11.4538831951485</v>
      </c>
      <c r="N4860" s="38" t="n">
        <f aca="false">Sens!$N$4806*(1-Sens!$N$4751)</f>
        <v>0.0912435878202994</v>
      </c>
      <c r="O4860" s="38" t="n">
        <f aca="false">Sens!$O$4806*(1-Sens!$O$4751)</f>
        <v>0.137119578309265</v>
      </c>
    </row>
    <row r="4861" customFormat="false" ht="17.15" hidden="false" customHeight="false" outlineLevel="0" collapsed="false">
      <c r="A4861" s="0" t="s">
        <v>740</v>
      </c>
      <c r="B4861" s="0" t="s">
        <v>52</v>
      </c>
      <c r="C4861" s="28" t="n">
        <f aca="false">(Sens!$C$4862-Sens!$C$4858+Sens!$C$4860)/Sens!$C$4859</f>
        <v>-0.0292364215826579</v>
      </c>
      <c r="D4861" s="28" t="n">
        <f aca="false">(Sens!$D$4862-Sens!$D$4858+Sens!$D$4860)/Sens!$D$4859</f>
        <v>-0.0312406216748665</v>
      </c>
      <c r="E4861" s="28" t="n">
        <f aca="false">(Sens!$E$4862-Sens!$E$4858+Sens!$E$4860)/Sens!$E$4859</f>
        <v>-0.0204459413185552</v>
      </c>
      <c r="F4861" s="28" t="n">
        <f aca="false">Sens!$O$4861+(Sens!$E$4861-Sens!$N$4861)</f>
        <v>-0.0375409290246314</v>
      </c>
      <c r="G4861" s="28" t="n">
        <f aca="false">(Sens!$G$4862-Sens!$G$4858+Sens!$G$4860)/Sens!$G$4859</f>
        <v>-0.0296712560031684</v>
      </c>
      <c r="H4861" s="28" t="n">
        <f aca="false">Sens!$G$4861+step_in</f>
        <v>-0.0296712560031684</v>
      </c>
      <c r="I4861" s="28" t="n">
        <f aca="false">Sens!$H$4861+step_in</f>
        <v>-0.0296712560031684</v>
      </c>
      <c r="J4861" s="28" t="n">
        <f aca="false">Sens!$I$4861+step_in</f>
        <v>-0.0296712560031684</v>
      </c>
      <c r="K4861" s="28" t="n">
        <f aca="false">Sens!$J$4861+step_in</f>
        <v>-0.0296712560031684</v>
      </c>
      <c r="L4861" s="28" t="n">
        <f aca="false">Sens!$K$4861</f>
        <v>-0.0296712560031684</v>
      </c>
      <c r="M4861" s="28" t="n">
        <f aca="false">Sens!$L$4861</f>
        <v>-0.0296712560031684</v>
      </c>
      <c r="N4861" s="28" t="n">
        <f aca="false">(Sens!$N$4862-Sens!$N$4858+Sens!$N$4860)/Sens!$N$4859</f>
        <v>-0.0216602600421776</v>
      </c>
      <c r="O4861" s="28" t="n">
        <f aca="false">(Sens!$O$4862-Sens!$O$4858+Sens!$O$4860)/Sens!$O$4859</f>
        <v>-0.0387552477482538</v>
      </c>
      <c r="P4861" s="8" t="s">
        <v>735</v>
      </c>
    </row>
    <row r="4862" customFormat="false" ht="17.15" hidden="false" customHeight="false" outlineLevel="0" collapsed="false">
      <c r="A4862" s="1" t="s">
        <v>741</v>
      </c>
      <c r="B4862" s="8" t="s">
        <v>86</v>
      </c>
      <c r="C4862" s="38" t="n">
        <f aca="false">Q!$D$23</f>
        <v>3.792</v>
      </c>
      <c r="D4862" s="38" t="n">
        <f aca="false">Q!$E$23</f>
        <v>4.75</v>
      </c>
      <c r="E4862" s="38" t="n">
        <f aca="false">Q!$P$23</f>
        <v>3.141</v>
      </c>
      <c r="F4862" s="38" t="n">
        <f aca="false">Sens!$F$4858+Sens!$F$4859*Sens!$F$4861-Sens!$F$4860</f>
        <v>2.77628975993721</v>
      </c>
      <c r="G4862" s="38" t="n">
        <f aca="false">Sens!$E$4862+Sens!$F$4862</f>
        <v>5.91728975993721</v>
      </c>
      <c r="H4862" s="38" t="n">
        <f aca="false">Sens!$H$4858+Sens!$H$4859*Sens!$H$4861-Sens!$H$4860</f>
        <v>6.18860052573681</v>
      </c>
      <c r="I4862" s="38" t="n">
        <f aca="false">Sens!$I$4858+Sens!$I$4859*Sens!$I$4861-Sens!$I$4860</f>
        <v>5.73906974139474</v>
      </c>
      <c r="J4862" s="38" t="n">
        <f aca="false">Sens!$J$4858+Sens!$J$4859*Sens!$J$4861-Sens!$J$4860</f>
        <v>5.34074393695119</v>
      </c>
      <c r="K4862" s="38" t="n">
        <f aca="false">Sens!$K$4858+Sens!$K$4859*Sens!$K$4861-Sens!$K$4860</f>
        <v>4.7054586646822</v>
      </c>
      <c r="L4862" s="38" t="n">
        <f aca="false">Sens!$L$4858+Sens!$L$4859*Sens!$L$4861-Sens!$L$4860</f>
        <v>4.88428999052786</v>
      </c>
      <c r="M4862" s="38" t="n">
        <f aca="false">Sens!$M$4858+Sens!$M$4859*Sens!$M$4861-Sens!$M$4860</f>
        <v>5.89931338558769</v>
      </c>
      <c r="N4862" s="38" t="n">
        <f aca="false">Q!$N$23</f>
        <v>2.511</v>
      </c>
      <c r="O4862" s="38" t="n">
        <f aca="false">Q!$O$23</f>
        <v>2.239</v>
      </c>
    </row>
    <row r="4863" customFormat="false" ht="17.15" hidden="false" customHeight="false" outlineLevel="0" collapsed="false">
      <c r="A4863" s="0" t="s">
        <v>742</v>
      </c>
      <c r="B4863" s="0" t="s">
        <v>86</v>
      </c>
      <c r="C4863" s="38" t="n">
        <f aca="false">Sens!$C$4803</f>
        <v>1.64417882953695</v>
      </c>
      <c r="D4863" s="38" t="n">
        <f aca="false">Sens!$D$4803</f>
        <v>5.39125073772939</v>
      </c>
      <c r="E4863" s="38" t="n">
        <f aca="false">Sens!$E$4803</f>
        <v>2.42691120599613</v>
      </c>
      <c r="F4863" s="38" t="n">
        <f aca="false">Sens!$F$4803</f>
        <v>7.52148563094346</v>
      </c>
      <c r="G4863" s="38" t="n">
        <f aca="false">Sens!$G$4803</f>
        <v>9.94839683693959</v>
      </c>
      <c r="H4863" s="38" t="n">
        <f aca="false">Sens!$H$4803</f>
        <v>23.4804386990861</v>
      </c>
      <c r="I4863" s="38" t="n">
        <f aca="false">Sens!$I$4803</f>
        <v>30.9761745989143</v>
      </c>
      <c r="J4863" s="38" t="n">
        <f aca="false">Sens!$J$4803</f>
        <v>41.1930070746977</v>
      </c>
      <c r="K4863" s="38" t="n">
        <f aca="false">Sens!$K$4803</f>
        <v>45.9779211159428</v>
      </c>
      <c r="L4863" s="38" t="n">
        <f aca="false">Sens!$L$4803</f>
        <v>48.0352490919424</v>
      </c>
      <c r="M4863" s="38" t="n">
        <f aca="false">Sens!$M$4803</f>
        <v>47.4082976573265</v>
      </c>
      <c r="N4863" s="38" t="n">
        <f aca="false">Sens!$N$4803</f>
        <v>1.67921600037079</v>
      </c>
      <c r="O4863" s="38" t="n">
        <f aca="false">Sens!$O$4803</f>
        <v>3.71203473735861</v>
      </c>
    </row>
    <row r="4864" customFormat="false" ht="17.15" hidden="false" customHeight="false" outlineLevel="0" collapsed="false">
      <c r="A4864" s="0" t="s">
        <v>660</v>
      </c>
      <c r="B4864" s="0" t="s">
        <v>86</v>
      </c>
      <c r="C4864" s="38" t="n">
        <f aca="false">Sens!$C$4808</f>
        <v>38.1898211704631</v>
      </c>
      <c r="D4864" s="38" t="n">
        <f aca="false">Sens!$D$4808</f>
        <v>40.2147492622706</v>
      </c>
      <c r="E4864" s="38" t="n">
        <f aca="false">Sens!$E$4808</f>
        <v>28.3550887940039</v>
      </c>
      <c r="F4864" s="38" t="n">
        <f aca="false">Sens!$F$4808</f>
        <v>25.9529793149447</v>
      </c>
      <c r="G4864" s="38" t="n">
        <f aca="false">Sens!$G$4808</f>
        <v>54.3080681089486</v>
      </c>
      <c r="H4864" s="38" t="n">
        <f aca="false">Sens!$H$4808</f>
        <v>58.2264684589333</v>
      </c>
      <c r="I4864" s="38" t="n">
        <f aca="false">Sens!$I$4808</f>
        <v>64.6461353851744</v>
      </c>
      <c r="J4864" s="38" t="n">
        <f aca="false">Sens!$J$4808</f>
        <v>70.7957093610231</v>
      </c>
      <c r="K4864" s="38" t="n">
        <f aca="false">Sens!$K$4808</f>
        <v>76.4593661099049</v>
      </c>
      <c r="L4864" s="38" t="n">
        <f aca="false">Sens!$L$4808</f>
        <v>82.5761153986973</v>
      </c>
      <c r="M4864" s="38" t="n">
        <f aca="false">Sens!$M$4808</f>
        <v>89.1822046305931</v>
      </c>
      <c r="N4864" s="38" t="n">
        <f aca="false">Sens!$N$4808</f>
        <v>20.0277839996292</v>
      </c>
      <c r="O4864" s="38" t="n">
        <f aca="false">Sens!$O$4808</f>
        <v>20.1869652626414</v>
      </c>
    </row>
    <row r="4865" customFormat="false" ht="17.15" hidden="false" customHeight="false" outlineLevel="0" collapsed="false">
      <c r="A4865" s="1" t="s">
        <v>743</v>
      </c>
      <c r="B4865" s="8" t="s">
        <v>86</v>
      </c>
      <c r="C4865" s="38" t="n">
        <f aca="false">Q!$D$24</f>
        <v>39.834</v>
      </c>
      <c r="D4865" s="38" t="n">
        <f aca="false">Q!$E$24</f>
        <v>45.606</v>
      </c>
      <c r="E4865" s="38" t="n">
        <f aca="false">Q!$P$24</f>
        <v>30.782</v>
      </c>
      <c r="F4865" s="38" t="n">
        <f aca="false">Sens!$F$4863+Sens!$F$4864</f>
        <v>33.4744649458882</v>
      </c>
      <c r="G4865" s="38" t="n">
        <f aca="false">Sens!$G$4863+Sens!$G$4864</f>
        <v>64.2564649458882</v>
      </c>
      <c r="H4865" s="38" t="n">
        <f aca="false">Sens!$H$4863+Sens!$H$4864</f>
        <v>81.7069071580194</v>
      </c>
      <c r="I4865" s="38" t="n">
        <f aca="false">Sens!$I$4863+Sens!$I$4864</f>
        <v>95.6223099840887</v>
      </c>
      <c r="J4865" s="38" t="n">
        <f aca="false">Sens!$J$4863+Sens!$J$4864</f>
        <v>111.988716435721</v>
      </c>
      <c r="K4865" s="38" t="n">
        <f aca="false">Sens!$K$4863+Sens!$K$4864</f>
        <v>122.437287225848</v>
      </c>
      <c r="L4865" s="38" t="n">
        <f aca="false">Sens!$L$4863+Sens!$L$4864</f>
        <v>130.61136449064</v>
      </c>
      <c r="M4865" s="38" t="n">
        <f aca="false">Sens!$M$4863+Sens!$M$4864</f>
        <v>136.59050228792</v>
      </c>
      <c r="N4865" s="38" t="n">
        <f aca="false">Q!$N$24</f>
        <v>21.707</v>
      </c>
      <c r="O4865" s="38" t="n">
        <f aca="false">Q!$O$24</f>
        <v>23.899</v>
      </c>
    </row>
    <row r="4866" customFormat="false" ht="17.15" hidden="false" customHeight="false" outlineLevel="0" collapsed="false">
      <c r="A4866" s="5" t="s">
        <v>744</v>
      </c>
      <c r="B4866" s="0" t="s">
        <v>86</v>
      </c>
      <c r="C4866" s="38" t="n">
        <f aca="false">Q!$D$26</f>
        <v>0</v>
      </c>
      <c r="D4866" s="38" t="n">
        <f aca="false">Q!$E$26</f>
        <v>0</v>
      </c>
      <c r="E4866" s="38" t="n">
        <f aca="false">Q!$P$26</f>
        <v>0</v>
      </c>
      <c r="F4866" s="39" t="n">
        <v>0</v>
      </c>
      <c r="G4866" s="38" t="n">
        <f aca="false">Sens!$E$4866+Sens!$F$4866</f>
        <v>0</v>
      </c>
      <c r="H4866" s="39" t="n">
        <v>0</v>
      </c>
      <c r="I4866" s="39" t="n">
        <v>0</v>
      </c>
      <c r="J4866" s="39" t="n">
        <v>0</v>
      </c>
      <c r="K4866" s="39" t="n">
        <v>0</v>
      </c>
      <c r="L4866" s="39" t="n">
        <v>0</v>
      </c>
      <c r="M4866" s="39" t="n">
        <v>0</v>
      </c>
      <c r="N4866" s="38" t="n">
        <f aca="false">Q!$N$26</f>
        <v>0</v>
      </c>
      <c r="O4866" s="38" t="n">
        <f aca="false">Q!$O$26</f>
        <v>0</v>
      </c>
    </row>
    <row r="4867" customFormat="false" ht="15" hidden="false" customHeight="false" outlineLevel="0" collapsed="false">
      <c r="A4867" s="3" t="s">
        <v>541</v>
      </c>
      <c r="B4867" s="8" t="s">
        <v>86</v>
      </c>
      <c r="C4867" s="38" t="n">
        <f aca="false">Q!$D$25</f>
        <v>68.593</v>
      </c>
      <c r="D4867" s="38" t="n">
        <f aca="false">Q!$E$25</f>
        <v>79.975</v>
      </c>
      <c r="E4867" s="38" t="n">
        <f aca="false">Q!$P$25</f>
        <v>51.313</v>
      </c>
      <c r="F4867" s="38" t="n">
        <f aca="false">Sens!$F$4857+Sens!$F$4862+Sens!$F$4865+Sens!$F$4866</f>
        <v>56.3652566987294</v>
      </c>
      <c r="G4867" s="38" t="n">
        <f aca="false">Sens!$G$4857+Sens!$G$4862+Sens!$G$4865+Sens!$G$4866</f>
        <v>107.678256698729</v>
      </c>
      <c r="H4867" s="38" t="n">
        <f aca="false">Sens!$H$4857+Sens!$H$4862+Sens!$H$4865+Sens!$H$4866</f>
        <v>128.167986428983</v>
      </c>
      <c r="I4867" s="38" t="n">
        <f aca="false">Sens!$I$4857+Sens!$I$4862+Sens!$I$4865+Sens!$I$4866</f>
        <v>142.430294363979</v>
      </c>
      <c r="J4867" s="38" t="n">
        <f aca="false">Sens!$J$4857+Sens!$J$4862+Sens!$J$4865+Sens!$J$4866</f>
        <v>159.183568090545</v>
      </c>
      <c r="K4867" s="38" t="n">
        <f aca="false">Sens!$K$4857+Sens!$K$4862+Sens!$K$4865+Sens!$K$4866</f>
        <v>168.963092646567</v>
      </c>
      <c r="L4867" s="38" t="n">
        <f aca="false">Sens!$L$4857+Sens!$L$4862+Sens!$L$4865+Sens!$L$4866</f>
        <v>179.50577790369</v>
      </c>
      <c r="M4867" s="38" t="n">
        <f aca="false">Sens!$M$4857+Sens!$M$4862+Sens!$M$4865+Sens!$M$4866</f>
        <v>190.976996775922</v>
      </c>
      <c r="N4867" s="38" t="n">
        <f aca="false">Q!$N$25</f>
        <v>37.576</v>
      </c>
      <c r="O4867" s="38" t="n">
        <f aca="false">Q!$O$25</f>
        <v>42.399</v>
      </c>
    </row>
    <row r="4868" customFormat="false" ht="17.15" hidden="false" customHeight="false" outlineLevel="0" collapsed="false">
      <c r="A4868" s="24" t="s">
        <v>775</v>
      </c>
      <c r="B4868" s="25" t="s">
        <v>86</v>
      </c>
      <c r="C4868" s="41" t="n">
        <f aca="false">Sens!$C$4857+Sens!$C$4862+Sens!$C$4865+Sens!$C$4866-Sens!$C$4867</f>
        <v>0</v>
      </c>
      <c r="D4868" s="41" t="n">
        <f aca="false">Sens!$D$4857+Sens!$D$4862+Sens!$D$4865+Sens!$D$4866-Sens!$D$4867</f>
        <v>0</v>
      </c>
      <c r="E4868" s="41" t="n">
        <f aca="false">Sens!$E$4857+Sens!$E$4862+Sens!$E$4865+Sens!$E$4866-Sens!$E$4867</f>
        <v>0</v>
      </c>
      <c r="F4868" s="41" t="n">
        <f aca="false">Sens!$F$4857+Sens!$F$4862+Sens!$F$4865+Sens!$F$4866-Sens!$F$4867</f>
        <v>0</v>
      </c>
      <c r="G4868" s="41" t="n">
        <f aca="false">Sens!$G$4857+Sens!$G$4862+Sens!$G$4865+Sens!$G$4866-Sens!$G$4867</f>
        <v>0</v>
      </c>
      <c r="H4868" s="41" t="n">
        <f aca="false">Sens!$H$4857+Sens!$H$4862+Sens!$H$4865+Sens!$H$4866-Sens!$H$4867</f>
        <v>0</v>
      </c>
      <c r="I4868" s="41" t="n">
        <f aca="false">Sens!$I$4857+Sens!$I$4862+Sens!$I$4865+Sens!$I$4866-Sens!$I$4867</f>
        <v>0</v>
      </c>
      <c r="J4868" s="41" t="n">
        <f aca="false">Sens!$J$4857+Sens!$J$4862+Sens!$J$4865+Sens!$J$4866-Sens!$J$4867</f>
        <v>0</v>
      </c>
      <c r="K4868" s="41" t="n">
        <f aca="false">Sens!$K$4857+Sens!$K$4862+Sens!$K$4865+Sens!$K$4866-Sens!$K$4867</f>
        <v>0</v>
      </c>
      <c r="L4868" s="41" t="n">
        <f aca="false">Sens!$L$4857+Sens!$L$4862+Sens!$L$4865+Sens!$L$4866-Sens!$L$4867</f>
        <v>0</v>
      </c>
      <c r="M4868" s="41" t="n">
        <f aca="false">Sens!$M$4857+Sens!$M$4862+Sens!$M$4865+Sens!$M$4866-Sens!$M$4867</f>
        <v>0</v>
      </c>
      <c r="N4868" s="41" t="n">
        <f aca="false">Sens!$N$4857+Sens!$N$4862+Sens!$N$4865+Sens!$N$4866-Sens!$N$4867</f>
        <v>0</v>
      </c>
      <c r="O4868" s="41" t="n">
        <f aca="false">Sens!$O$4857+Sens!$O$4862+Sens!$O$4865+Sens!$O$4866-Sens!$O$4867</f>
        <v>0</v>
      </c>
    </row>
    <row r="4869" customFormat="false" ht="17.15" hidden="false" customHeight="false" outlineLevel="0" collapsed="false">
      <c r="A4869" s="5" t="s">
        <v>746</v>
      </c>
      <c r="B4869" s="0" t="s">
        <v>86</v>
      </c>
      <c r="C4869" s="38" t="n">
        <f aca="false">Sens!$C$4805</f>
        <v>0</v>
      </c>
      <c r="D4869" s="38" t="n">
        <f aca="false">Sens!$D$4805</f>
        <v>0</v>
      </c>
      <c r="E4869" s="38" t="n">
        <f aca="false">Sens!$E$4805</f>
        <v>0</v>
      </c>
      <c r="F4869" s="38" t="n">
        <f aca="false">Sens!$F$4805</f>
        <v>3.77122048175818</v>
      </c>
      <c r="G4869" s="38" t="n">
        <f aca="false">Sens!$G$4805</f>
        <v>3.77122048175818</v>
      </c>
      <c r="H4869" s="38" t="n">
        <f aca="false">Sens!$H$4805</f>
        <v>15.1635543609893</v>
      </c>
      <c r="I4869" s="38" t="n">
        <f aca="false">Sens!$I$4805</f>
        <v>25.5818843619889</v>
      </c>
      <c r="J4869" s="38" t="n">
        <f aca="false">Sens!$J$4805</f>
        <v>36.0465624179122</v>
      </c>
      <c r="K4869" s="38" t="n">
        <f aca="false">Sens!$K$4805</f>
        <v>44.9741164026038</v>
      </c>
      <c r="L4869" s="38" t="n">
        <f aca="false">Sens!$L$4805</f>
        <v>50.8413488057813</v>
      </c>
      <c r="M4869" s="38" t="n">
        <f aca="false">Sens!$M$4805</f>
        <v>53.6407214274315</v>
      </c>
      <c r="N4869" s="38" t="n">
        <f aca="false">Sens!$N$4805</f>
        <v>0</v>
      </c>
      <c r="O4869" s="38" t="n">
        <f aca="false">Sens!$O$4805</f>
        <v>0</v>
      </c>
      <c r="P4869" s="5" t="s">
        <v>747</v>
      </c>
    </row>
    <row r="4870" customFormat="false" ht="17.15" hidden="false" customHeight="false" outlineLevel="0" collapsed="false">
      <c r="A4870" s="5" t="s">
        <v>748</v>
      </c>
      <c r="B4870" s="0" t="s">
        <v>86</v>
      </c>
      <c r="C4870" s="38" t="n">
        <f aca="false">Sens!$C$4867+Sens!$C$4869</f>
        <v>68.593</v>
      </c>
      <c r="D4870" s="38" t="n">
        <f aca="false">Sens!$D$4867+Sens!$D$4869</f>
        <v>79.975</v>
      </c>
      <c r="E4870" s="38" t="n">
        <f aca="false">Sens!$E$4867+Sens!$E$4869</f>
        <v>51.313</v>
      </c>
      <c r="F4870" s="38" t="n">
        <f aca="false">Sens!$F$4867+Sens!$F$4869</f>
        <v>60.1364771804876</v>
      </c>
      <c r="G4870" s="38" t="n">
        <f aca="false">Sens!$G$4867+Sens!$G$4869</f>
        <v>111.449477180488</v>
      </c>
      <c r="H4870" s="38" t="n">
        <f aca="false">Sens!$H$4867+Sens!$H$4869</f>
        <v>143.331540789972</v>
      </c>
      <c r="I4870" s="38" t="n">
        <f aca="false">Sens!$I$4867+Sens!$I$4869</f>
        <v>168.012178725968</v>
      </c>
      <c r="J4870" s="38" t="n">
        <f aca="false">Sens!$J$4867+Sens!$J$4869</f>
        <v>195.230130508457</v>
      </c>
      <c r="K4870" s="38" t="n">
        <f aca="false">Sens!$K$4867+Sens!$K$4869</f>
        <v>213.937209049171</v>
      </c>
      <c r="L4870" s="38" t="n">
        <f aca="false">Sens!$L$4867+Sens!$L$4869</f>
        <v>230.347126709471</v>
      </c>
      <c r="M4870" s="38" t="n">
        <f aca="false">Sens!$M$4867+Sens!$M$4869</f>
        <v>244.617718203354</v>
      </c>
      <c r="N4870" s="38" t="n">
        <f aca="false">Sens!$N$4867+Sens!$N$4869</f>
        <v>37.576</v>
      </c>
      <c r="O4870" s="38" t="n">
        <f aca="false">Sens!$O$4867+Sens!$O$4869</f>
        <v>42.399</v>
      </c>
    </row>
    <row r="4871" customFormat="false" ht="17.15" hidden="false" customHeight="false" outlineLevel="0" collapsed="false">
      <c r="A4871" s="0" t="s">
        <v>749</v>
      </c>
      <c r="B4871" s="0" t="s">
        <v>52</v>
      </c>
      <c r="C4871" s="13" t="n">
        <f aca="false">Sens!$C$4857/Sens!$C$4842</f>
        <v>0.0644314665661928</v>
      </c>
      <c r="D4871" s="13" t="n">
        <f aca="false">Sens!$D$4857/Sens!$D$4842</f>
        <v>0.0694784250712518</v>
      </c>
      <c r="E4871" s="13" t="n">
        <f aca="false">Sens!$E$4857/Sens!$E$4842</f>
        <v>0.0789306463326071</v>
      </c>
      <c r="F4871" s="13" t="n">
        <f aca="false">Sens!$F$4857/Sens!$F$4842</f>
        <v>0.0802526339438384</v>
      </c>
      <c r="G4871" s="13" t="n">
        <f aca="false">Sens!$G$4857/Sens!$G$4842</f>
        <v>0.0796341940538369</v>
      </c>
      <c r="H4871" s="13" t="n">
        <f aca="false">Sens!$H$4857/Sens!$H$4842</f>
        <v>0.0772410502860084</v>
      </c>
      <c r="I4871" s="13" t="n">
        <f aca="false">Sens!$I$4857/Sens!$I$4842</f>
        <v>0.0720325470671512</v>
      </c>
      <c r="J4871" s="13" t="n">
        <f aca="false">Sens!$J$4857/Sens!$J$4842</f>
        <v>0.0680121712516386</v>
      </c>
      <c r="K4871" s="13" t="n">
        <f aca="false">Sens!$K$4857/Sens!$K$4842</f>
        <v>0.0638275665610582</v>
      </c>
      <c r="L4871" s="13" t="n">
        <f aca="false">Sens!$L$4857/Sens!$L$4842</f>
        <v>0.0630691248420934</v>
      </c>
      <c r="M4871" s="13" t="n">
        <f aca="false">Sens!$M$4857/Sens!$M$4842</f>
        <v>0.0652236008910916</v>
      </c>
      <c r="N4871" s="13" t="n">
        <f aca="false">Sens!$N$4857/Sens!$N$4842</f>
        <v>0.069228576611127</v>
      </c>
      <c r="O4871" s="13" t="n">
        <f aca="false">Sens!$O$4857/Sens!$O$4842</f>
        <v>0.069685022498393</v>
      </c>
    </row>
    <row r="4872" customFormat="false" ht="17.15" hidden="false" customHeight="false" outlineLevel="0" collapsed="false">
      <c r="A4872" s="0" t="s">
        <v>750</v>
      </c>
      <c r="B4872" s="0" t="s">
        <v>52</v>
      </c>
      <c r="C4872" s="13" t="n">
        <f aca="false">Sens!$C$4862/Sens!$C$4843</f>
        <v>0.026534925055631</v>
      </c>
      <c r="D4872" s="13" t="n">
        <f aca="false">Sens!$D$4862/Sens!$D$4843</f>
        <v>0.0293401855535103</v>
      </c>
      <c r="E4872" s="13" t="n">
        <f aca="false">Sens!$E$4862/Sens!$E$4843</f>
        <v>0.03831141902276</v>
      </c>
      <c r="F4872" s="13" t="n">
        <f aca="false">Sens!$F$4862/Sens!$F$4843</f>
        <v>0.0282118989524726</v>
      </c>
      <c r="G4872" s="13" t="n">
        <f aca="false">Sens!$G$4862/Sens!$G$4843</f>
        <v>0.0328019468674976</v>
      </c>
      <c r="H4872" s="13" t="n">
        <f aca="false">Sens!$H$4862/Sens!$H$4843</f>
        <v>0.0309879507899839</v>
      </c>
      <c r="I4872" s="13" t="n">
        <f aca="false">Sens!$I$4862/Sens!$I$4843</f>
        <v>0.0262795332043765</v>
      </c>
      <c r="J4872" s="13" t="n">
        <f aca="false">Sens!$J$4862/Sens!$J$4843</f>
        <v>0.0226574435353346</v>
      </c>
      <c r="K4872" s="13" t="n">
        <f aca="false">Sens!$K$4862/Sens!$K$4843</f>
        <v>0.0187492205871101</v>
      </c>
      <c r="L4872" s="13" t="n">
        <f aca="false">Sens!$L$4862/Sens!$L$4843</f>
        <v>0.018273690180732</v>
      </c>
      <c r="M4872" s="13" t="n">
        <f aca="false">Sens!$M$4862/Sens!$M$4843</f>
        <v>0.0207176218272716</v>
      </c>
      <c r="N4872" s="13" t="n">
        <f aca="false">Sens!$N$4862/Sens!$N$4843</f>
        <v>0.0357315650169337</v>
      </c>
      <c r="O4872" s="13" t="n">
        <f aca="false">Sens!$O$4862/Sens!$O$4843</f>
        <v>0.0244378956559703</v>
      </c>
    </row>
    <row r="4873" customFormat="false" ht="17.15" hidden="false" customHeight="false" outlineLevel="0" collapsed="false">
      <c r="A4873" s="14" t="s">
        <v>751</v>
      </c>
      <c r="B4873" s="14" t="s">
        <v>52</v>
      </c>
      <c r="C4873" s="17" t="n">
        <f aca="false">Sens!$C$4865/Sens!$C$4844</f>
        <v>0.370355907620217</v>
      </c>
      <c r="D4873" s="17" t="n">
        <f aca="false">Sens!$D$4865/Sens!$D$4844</f>
        <v>0.35429015342785</v>
      </c>
      <c r="E4873" s="17" t="n">
        <f aca="false">Sens!$E$4865/Sens!$E$4844</f>
        <v>0.385647527531039</v>
      </c>
      <c r="F4873" s="17" t="n">
        <f aca="false">Sens!$F$4865/Sens!$F$4844</f>
        <v>0.385949613469105</v>
      </c>
      <c r="G4873" s="17" t="n">
        <f aca="false">Sens!$G$4865/Sens!$G$4844</f>
        <v>0.385804840448779</v>
      </c>
      <c r="H4873" s="17" t="n">
        <f aca="false">Sens!$H$4865/Sens!$H$4844</f>
        <v>0.369408675360557</v>
      </c>
      <c r="I4873" s="17" t="n">
        <f aca="false">Sens!$I$4865/Sens!$I$4844</f>
        <v>0.34117504540738</v>
      </c>
      <c r="J4873" s="17" t="n">
        <f aca="false">Sens!$J$4865/Sens!$J$4844</f>
        <v>0.330544285732563</v>
      </c>
      <c r="K4873" s="17" t="n">
        <f aca="false">Sens!$K$4865/Sens!$K$4844</f>
        <v>0.314033796990635</v>
      </c>
      <c r="L4873" s="17" t="n">
        <f aca="false">Sens!$L$4865/Sens!$L$4844</f>
        <v>0.303690371867633</v>
      </c>
      <c r="M4873" s="17" t="n">
        <f aca="false">Sens!$M$4865/Sens!$M$4844</f>
        <v>0.297287296590884</v>
      </c>
      <c r="N4873" s="17" t="n">
        <f aca="false">Sens!$N$4865/Sens!$N$4844</f>
        <v>0.360941137346192</v>
      </c>
      <c r="O4873" s="17" t="n">
        <f aca="false">Sens!$O$4865/Sens!$O$4844</f>
        <v>0.348458117664212</v>
      </c>
    </row>
    <row r="4874" customFormat="false" ht="17.15" hidden="false" customHeight="false" outlineLevel="0" collapsed="false">
      <c r="A4874" s="0" t="s">
        <v>752</v>
      </c>
      <c r="B4874" s="0" t="s">
        <v>52</v>
      </c>
      <c r="C4874" s="13" t="n">
        <f aca="false">Sens!$C$4863/Sens!$C$4845</f>
        <v>0.708390794789371</v>
      </c>
      <c r="D4874" s="13" t="n">
        <f aca="false">Sens!$D$4863/Sens!$D$4845</f>
        <v>0.619415573115729</v>
      </c>
      <c r="E4874" s="13" t="n">
        <f aca="false">Sens!$E$4863/Sens!$E$4845</f>
        <v>0.285171627189009</v>
      </c>
      <c r="F4874" s="13" t="n">
        <f aca="false">Sens!$F$4863/Sens!$F$4845</f>
        <v>0.502657732812366</v>
      </c>
      <c r="G4874" s="13" t="n">
        <f aca="false">Sens!$G$4863/Sens!$G$4845</f>
        <v>0.423808778611812</v>
      </c>
      <c r="H4874" s="13" t="n">
        <f aca="false">Sens!$H$4863/Sens!$H$4845</f>
        <v>0.390261631739809</v>
      </c>
      <c r="I4874" s="13" t="n">
        <f aca="false">Sens!$I$4863/Sens!$I$4845</f>
        <v>0.305172864264572</v>
      </c>
      <c r="J4874" s="13" t="n">
        <f aca="false">Sens!$J$4863/Sens!$J$4845</f>
        <v>0.288011814789856</v>
      </c>
      <c r="K4874" s="13" t="n">
        <f aca="false">Sens!$K$4863/Sens!$K$4845</f>
        <v>0.25765427518774</v>
      </c>
      <c r="L4874" s="13" t="n">
        <f aca="false">Sens!$L$4863/Sens!$L$4845</f>
        <v>0.238118778012374</v>
      </c>
      <c r="M4874" s="13" t="n">
        <f aca="false">Sens!$M$4863/Sens!$M$4845</f>
        <v>0.222746255757109</v>
      </c>
      <c r="N4874" s="13" t="n">
        <f aca="false">Sens!$N$4863/Sens!$N$4845</f>
        <v>0.551227795793364</v>
      </c>
      <c r="O4874" s="13" t="n">
        <f aca="false">Sens!$O$4863/Sens!$O$4845</f>
        <v>0.656132068597002</v>
      </c>
    </row>
    <row r="4875" customFormat="false" ht="15" hidden="false" customHeight="false" outlineLevel="0" collapsed="false">
      <c r="A4875" s="5" t="s">
        <v>753</v>
      </c>
      <c r="B4875" s="0" t="s">
        <v>52</v>
      </c>
      <c r="C4875" s="13" t="n">
        <f aca="false">Sens!$C$4867/Sens!$C$4847</f>
        <v>0.107519448742004</v>
      </c>
      <c r="D4875" s="13" t="n">
        <f aca="false">Sens!$D$4867/Sens!$D$4847</f>
        <v>0.111552967957552</v>
      </c>
      <c r="E4875" s="13" t="n">
        <f aca="false">Sens!$E$4867/Sens!$E$4847</f>
        <v>0.13428328426562</v>
      </c>
      <c r="F4875" s="13" t="n">
        <f aca="false">Sens!$F$4867/Sens!$F$4847</f>
        <v>0.129343087287827</v>
      </c>
      <c r="G4875" s="13" t="n">
        <f aca="false">Sens!$G$4867/Sens!$G$4847</f>
        <v>0.131651143259596</v>
      </c>
      <c r="H4875" s="13" t="n">
        <f aca="false">Sens!$H$4867/Sens!$H$4847</f>
        <v>0.136019023891038</v>
      </c>
      <c r="I4875" s="13" t="n">
        <f aca="false">Sens!$I$4867/Sens!$I$4847</f>
        <v>0.13326152188801</v>
      </c>
      <c r="J4875" s="13" t="n">
        <f aca="false">Sens!$J$4867/Sens!$J$4847</f>
        <v>0.133777894900126</v>
      </c>
      <c r="K4875" s="13" t="n">
        <f aca="false">Sens!$K$4867/Sens!$K$4847</f>
        <v>0.130366504219367</v>
      </c>
      <c r="L4875" s="13" t="n">
        <f aca="false">Sens!$L$4867/Sens!$L$4847</f>
        <v>0.128661947663458</v>
      </c>
      <c r="M4875" s="13" t="n">
        <f aca="false">Sens!$M$4867/Sens!$M$4847</f>
        <v>0.128378908837548</v>
      </c>
      <c r="N4875" s="13" t="n">
        <f aca="false">Sens!$N$4867/Sens!$N$4847</f>
        <v>0.116201614873411</v>
      </c>
      <c r="O4875" s="13" t="n">
        <f aca="false">Sens!$O$4867/Sens!$O$4847</f>
        <v>0.107733353660861</v>
      </c>
    </row>
    <row r="4876" customFormat="false" ht="17.15" hidden="false" customHeight="false" outlineLevel="0" collapsed="false">
      <c r="A4876" s="1" t="s">
        <v>754</v>
      </c>
    </row>
    <row r="4877" customFormat="false" ht="17.15" hidden="false" customHeight="false" outlineLevel="0" collapsed="false">
      <c r="A4877" s="5" t="s">
        <v>755</v>
      </c>
      <c r="B4877" s="0" t="s">
        <v>52</v>
      </c>
      <c r="D4877" s="28" t="n">
        <f aca="false">(Q!$E$29+Q!$E$30-(1-ext_sh)*Sens!$D$4799)/Sens!$D$4750</f>
        <v>0.0341105596409988</v>
      </c>
    </row>
    <row r="4878" customFormat="false" ht="17.15" hidden="false" customHeight="false" outlineLevel="0" collapsed="false">
      <c r="A4878" s="0" t="s">
        <v>545</v>
      </c>
      <c r="B4878" s="0" t="s">
        <v>86</v>
      </c>
      <c r="C4878" s="38" t="n">
        <f aca="false">Q!$D$29</f>
        <v>14.285</v>
      </c>
      <c r="D4878" s="38" t="n">
        <f aca="false">Q!$E$29</f>
        <v>15.503</v>
      </c>
      <c r="E4878" s="38" t="n">
        <f aca="false">Q!$P$29</f>
        <v>8.78</v>
      </c>
      <c r="F4878" s="38" t="n">
        <f aca="false">(Sens!$D$4877*Sens!$F$4750+(1-ext_sh)*Sens!$F$4799)*Sens!$F$4751</f>
        <v>9.30317620449232</v>
      </c>
      <c r="G4878" s="38" t="n">
        <f aca="false">Sens!$E$4878+Sens!$F$4878</f>
        <v>18.0831762044923</v>
      </c>
      <c r="H4878" s="38" t="n">
        <f aca="false">(Sens!$D$4877*Sens!$H$4750+(1-ext_sh)*Sens!$H$4799)*Sens!$H$4751</f>
        <v>22.1297245338482</v>
      </c>
      <c r="I4878" s="38" t="n">
        <f aca="false">(Sens!$D$4877*Sens!$I$4750+(1-ext_sh)*Sens!$I$4799)*Sens!$I$4751</f>
        <v>28.409695984391</v>
      </c>
      <c r="J4878" s="38" t="n">
        <f aca="false">(Sens!$D$4877*Sens!$J$4750+(1-ext_sh)*Sens!$J$4799)*Sens!$J$4751</f>
        <v>34.1085606174579</v>
      </c>
      <c r="K4878" s="38" t="n">
        <f aca="false">(Sens!$D$4877*Sens!$K$4750+(1-ext_sh)*Sens!$K$4799)*Sens!$K$4751</f>
        <v>39.7218983009068</v>
      </c>
      <c r="L4878" s="38" t="n">
        <f aca="false">(Sens!$D$4877*Sens!$L$4750+(1-ext_sh)*Sens!$L$4799)*Sens!$L$4751</f>
        <v>44.1680279486684</v>
      </c>
      <c r="M4878" s="38" t="n">
        <f aca="false">(Sens!$D$4877*Sens!$M$4750+(1-ext_sh)*Sens!$M$4799)*Sens!$M$4751</f>
        <v>47.4413073313286</v>
      </c>
      <c r="N4878" s="38" t="n">
        <f aca="false">Q!$N$29</f>
        <v>7.272</v>
      </c>
      <c r="O4878" s="38" t="n">
        <f aca="false">Q!$O$29</f>
        <v>8.231</v>
      </c>
    </row>
    <row r="4879" customFormat="false" ht="17.15" hidden="false" customHeight="false" outlineLevel="0" collapsed="false">
      <c r="A4879" s="0" t="s">
        <v>547</v>
      </c>
      <c r="B4879" s="0" t="s">
        <v>86</v>
      </c>
      <c r="C4879" s="38" t="n">
        <f aca="false">Q!$D$30</f>
        <v>4.462</v>
      </c>
      <c r="D4879" s="38" t="n">
        <f aca="false">Q!$E$30</f>
        <v>4.907</v>
      </c>
      <c r="E4879" s="38" t="n">
        <f aca="false">Q!$P$30</f>
        <v>2.57</v>
      </c>
      <c r="F4879" s="38" t="n">
        <f aca="false">(Sens!$D$4877*Sens!$F$4750+(1-ext_sh)*Sens!$F$4799)*(1-Sens!$F$4751)</f>
        <v>3.6526976809753</v>
      </c>
      <c r="G4879" s="38" t="n">
        <f aca="false">Sens!$E$4879+Sens!$F$4879</f>
        <v>6.2226976809753</v>
      </c>
      <c r="H4879" s="38" t="n">
        <f aca="false">(Sens!$D$4877*Sens!$H$4750+(1-ext_sh)*Sens!$H$4799)*(1-Sens!$H$4751)</f>
        <v>8.4764774248495</v>
      </c>
      <c r="I4879" s="38" t="n">
        <f aca="false">(Sens!$D$4877*Sens!$I$4750+(1-ext_sh)*Sens!$I$4799)*(1-Sens!$I$4751)</f>
        <v>10.881931507561</v>
      </c>
      <c r="J4879" s="38" t="n">
        <f aca="false">(Sens!$D$4877*Sens!$J$4750+(1-ext_sh)*Sens!$J$4799)*(1-Sens!$J$4751)</f>
        <v>13.0648008575874</v>
      </c>
      <c r="K4879" s="38" t="n">
        <f aca="false">(Sens!$D$4877*Sens!$K$4750+(1-ext_sh)*Sens!$K$4799)*(1-Sens!$K$4751)</f>
        <v>15.2149103214008</v>
      </c>
      <c r="L4879" s="38" t="n">
        <f aca="false">(Sens!$D$4877*Sens!$L$4750+(1-ext_sh)*Sens!$L$4799)*(1-Sens!$L$4751)</f>
        <v>16.9179372854085</v>
      </c>
      <c r="M4879" s="38" t="n">
        <f aca="false">(Sens!$D$4877*Sens!$M$4750+(1-ext_sh)*Sens!$M$4799)*(1-Sens!$M$4751)</f>
        <v>18.1717205735785</v>
      </c>
      <c r="N4879" s="38" t="n">
        <f aca="false">Q!$N$30</f>
        <v>2.316</v>
      </c>
      <c r="O4879" s="38" t="n">
        <f aca="false">Q!$O$30</f>
        <v>2.591</v>
      </c>
    </row>
    <row r="4880" customFormat="false" ht="17.15" hidden="false" customHeight="false" outlineLevel="0" collapsed="false">
      <c r="A4880" s="0" t="s">
        <v>548</v>
      </c>
      <c r="B4880" s="0" t="s">
        <v>86</v>
      </c>
      <c r="C4880" s="38" t="n">
        <f aca="false">Sens!$C$4811</f>
        <v>13.32</v>
      </c>
      <c r="D4880" s="38" t="n">
        <f aca="false">Sens!$D$4811</f>
        <v>21.45</v>
      </c>
      <c r="E4880" s="38" t="n">
        <f aca="false">Sens!$E$4811</f>
        <v>15.353</v>
      </c>
      <c r="F4880" s="38" t="n">
        <f aca="false">Sens!$F$4811</f>
        <v>16.1969869840094</v>
      </c>
      <c r="G4880" s="38" t="n">
        <f aca="false">Sens!$G$4811</f>
        <v>31.5499869840094</v>
      </c>
      <c r="H4880" s="38" t="n">
        <f aca="false">Sens!$H$4811</f>
        <v>50.9556213609176</v>
      </c>
      <c r="I4880" s="38" t="n">
        <f aca="false">Sens!$I$4811</f>
        <v>79.464581248252</v>
      </c>
      <c r="J4880" s="38" t="n">
        <f aca="false">Sens!$J$4811</f>
        <v>105.296127931746</v>
      </c>
      <c r="K4880" s="38" t="n">
        <f aca="false">Sens!$K$4811</f>
        <v>131.454694001511</v>
      </c>
      <c r="L4880" s="38" t="n">
        <f aca="false">Sens!$L$4811</f>
        <v>150.840456981405</v>
      </c>
      <c r="M4880" s="38" t="n">
        <f aca="false">Sens!$M$4811</f>
        <v>163.399454192999</v>
      </c>
      <c r="N4880" s="38" t="n">
        <f aca="false">Sens!$N$4811</f>
        <v>9.234</v>
      </c>
      <c r="O4880" s="38" t="n">
        <f aca="false">Sens!$O$4811</f>
        <v>12.216</v>
      </c>
    </row>
    <row r="4881" customFormat="false" ht="17.15" hidden="false" customHeight="false" outlineLevel="0" collapsed="false">
      <c r="A4881" s="5" t="s">
        <v>756</v>
      </c>
      <c r="B4881" s="0" t="s">
        <v>86</v>
      </c>
      <c r="C4881" s="38" t="n">
        <f aca="false">Sens!$C$4878+Sens!$C$4879+Sens!$C$4880</f>
        <v>32.067</v>
      </c>
      <c r="D4881" s="38" t="n">
        <f aca="false">Sens!$D$4878+Sens!$D$4879+Sens!$D$4880</f>
        <v>41.86</v>
      </c>
      <c r="E4881" s="38" t="n">
        <f aca="false">Sens!$E$4878+Sens!$E$4879+Sens!$E$4880</f>
        <v>26.703</v>
      </c>
      <c r="F4881" s="38" t="n">
        <f aca="false">Sens!$F$4878+Sens!$F$4879+Sens!$F$4880</f>
        <v>29.152860869477</v>
      </c>
      <c r="G4881" s="38" t="n">
        <f aca="false">Sens!$G$4878+Sens!$G$4879+Sens!$G$4880</f>
        <v>55.855860869477</v>
      </c>
      <c r="H4881" s="38" t="n">
        <f aca="false">Sens!$H$4878+Sens!$H$4879+Sens!$H$4880</f>
        <v>81.5618233196153</v>
      </c>
      <c r="I4881" s="38" t="n">
        <f aca="false">Sens!$I$4878+Sens!$I$4879+Sens!$I$4880</f>
        <v>118.756208740204</v>
      </c>
      <c r="J4881" s="38" t="n">
        <f aca="false">Sens!$J$4878+Sens!$J$4879+Sens!$J$4880</f>
        <v>152.469489406791</v>
      </c>
      <c r="K4881" s="38" t="n">
        <f aca="false">Sens!$K$4878+Sens!$K$4879+Sens!$K$4880</f>
        <v>186.391502623819</v>
      </c>
      <c r="L4881" s="38" t="n">
        <f aca="false">Sens!$L$4878+Sens!$L$4879+Sens!$L$4880</f>
        <v>211.926422215482</v>
      </c>
      <c r="M4881" s="38" t="n">
        <f aca="false">Sens!$M$4878+Sens!$M$4879+Sens!$M$4880</f>
        <v>229.012482097906</v>
      </c>
      <c r="N4881" s="38" t="n">
        <f aca="false">Sens!$N$4878+Sens!$N$4879+Sens!$N$4880</f>
        <v>18.822</v>
      </c>
      <c r="O4881" s="38" t="n">
        <f aca="false">Sens!$O$4878+Sens!$O$4879+Sens!$O$4880</f>
        <v>23.038</v>
      </c>
    </row>
    <row r="4882" customFormat="false" ht="17.15" hidden="false" customHeight="false" outlineLevel="0" collapsed="false">
      <c r="A4882" s="0" t="s">
        <v>757</v>
      </c>
      <c r="B4882" s="0" t="s">
        <v>86</v>
      </c>
      <c r="C4882" s="38" t="n">
        <f aca="false">Sens!$C$4853+Sens!$C$4858</f>
        <v>28.107</v>
      </c>
      <c r="D4882" s="38" t="n">
        <f aca="false">Sens!$D$4853+Sens!$D$4858</f>
        <v>34.3175</v>
      </c>
      <c r="E4882" s="38" t="n">
        <f aca="false">Sens!$E$4853+Sens!$E$4858</f>
        <v>18.526</v>
      </c>
      <c r="F4882" s="38" t="n">
        <f aca="false">Sens!$F$4853+Sens!$F$4858</f>
        <v>23.0786109972074</v>
      </c>
      <c r="G4882" s="38" t="n">
        <f aca="false">Sens!$G$4853+Sens!$G$4858</f>
        <v>41.6046109972074</v>
      </c>
      <c r="H4882" s="38" t="n">
        <f aca="false">Sens!$H$4853+Sens!$H$4858</f>
        <v>49.9484611939488</v>
      </c>
      <c r="I4882" s="38" t="n">
        <f aca="false">Sens!$I$4853+Sens!$I$4858</f>
        <v>58.2915555477481</v>
      </c>
      <c r="J4882" s="38" t="n">
        <f aca="false">Sens!$J$4853+Sens!$J$4858</f>
        <v>66.0744709709759</v>
      </c>
      <c r="K4882" s="38" t="n">
        <f aca="false">Sens!$K$4853+Sens!$K$4858</f>
        <v>72.6819180680735</v>
      </c>
      <c r="L4882" s="38" t="n">
        <f aca="false">Sens!$L$4853+Sens!$L$4858</f>
        <v>79.9501098748808</v>
      </c>
      <c r="M4882" s="38" t="n">
        <f aca="false">Sens!$M$4853+Sens!$M$4858</f>
        <v>87.9451208623689</v>
      </c>
      <c r="N4882" s="38" t="n">
        <f aca="false">Sens!$N$4853+Sens!$N$4858</f>
        <v>14.8075</v>
      </c>
      <c r="O4882" s="38" t="n">
        <f aca="false">Sens!$O$4853+Sens!$O$4858</f>
        <v>19.51</v>
      </c>
    </row>
    <row r="4883" customFormat="false" ht="17.15" hidden="false" customHeight="false" outlineLevel="0" collapsed="false">
      <c r="A4883" s="0" t="s">
        <v>758</v>
      </c>
      <c r="B4883" s="0" t="s">
        <v>86</v>
      </c>
      <c r="C4883" s="38" t="n">
        <f aca="false">Sens!$C$4857+Sens!$C$4862+Sens!$C$4878+Sens!$C$4879-Sens!$C$4882</f>
        <v>19.399</v>
      </c>
      <c r="D4883" s="38" t="n">
        <f aca="false">Sens!$D$4857+Sens!$D$4862+Sens!$D$4878+Sens!$D$4879-Sens!$D$4882</f>
        <v>20.4615</v>
      </c>
      <c r="E4883" s="38" t="n">
        <f aca="false">Sens!$E$4857+Sens!$E$4862+Sens!$E$4878+Sens!$E$4879-Sens!$E$4882</f>
        <v>13.355</v>
      </c>
      <c r="F4883" s="38" t="n">
        <f aca="false">Sens!$F$4857+Sens!$F$4862+Sens!$F$4878+Sens!$F$4879-Sens!$F$4882</f>
        <v>12.7680546411015</v>
      </c>
      <c r="G4883" s="38" t="n">
        <f aca="false">Sens!$G$4857+Sens!$G$4862+Sens!$G$4878+Sens!$G$4879-Sens!$G$4882</f>
        <v>26.1230546411015</v>
      </c>
      <c r="H4883" s="38" t="n">
        <f aca="false">Sens!$H$4857+Sens!$H$4862+Sens!$H$4878+Sens!$H$4879-Sens!$H$4882</f>
        <v>27.1188200357123</v>
      </c>
      <c r="I4883" s="38" t="n">
        <f aca="false">Sens!$I$4857+Sens!$I$4862+Sens!$I$4878+Sens!$I$4879-Sens!$I$4882</f>
        <v>27.8080563240938</v>
      </c>
      <c r="J4883" s="38" t="n">
        <f aca="false">Sens!$J$4857+Sens!$J$4862+Sens!$J$4878+Sens!$J$4879-Sens!$J$4882</f>
        <v>28.2937421588933</v>
      </c>
      <c r="K4883" s="38" t="n">
        <f aca="false">Sens!$K$4857+Sens!$K$4862+Sens!$K$4878+Sens!$K$4879-Sens!$K$4882</f>
        <v>28.7806959749537</v>
      </c>
      <c r="L4883" s="38" t="n">
        <f aca="false">Sens!$L$4857+Sens!$L$4862+Sens!$L$4878+Sens!$L$4879-Sens!$L$4882</f>
        <v>30.0302687722464</v>
      </c>
      <c r="M4883" s="38" t="n">
        <f aca="false">Sens!$M$4857+Sens!$M$4862+Sens!$M$4878+Sens!$M$4879-Sens!$M$4882</f>
        <v>32.0544015305407</v>
      </c>
      <c r="N4883" s="38" t="n">
        <f aca="false">Sens!$N$4857+Sens!$N$4862+Sens!$N$4878+Sens!$N$4879-Sens!$N$4882</f>
        <v>10.6495</v>
      </c>
      <c r="O4883" s="38" t="n">
        <f aca="false">Sens!$O$4857+Sens!$O$4862+Sens!$O$4878+Sens!$O$4879-Sens!$O$4882</f>
        <v>9.81200000000001</v>
      </c>
    </row>
    <row r="4884" customFormat="false" ht="17.15" hidden="false" customHeight="false" outlineLevel="0" collapsed="false">
      <c r="A4884" s="0" t="s">
        <v>759</v>
      </c>
      <c r="B4884" s="0" t="s">
        <v>86</v>
      </c>
      <c r="C4884" s="38" t="n">
        <f aca="false">Sens!$C$4864+Sens!$C$4880-ext_sh*Sens!$C$4799</f>
        <v>51.3470500115664</v>
      </c>
      <c r="D4884" s="38" t="n">
        <f aca="false">Sens!$D$4864+Sens!$D$4880-ext_sh*Sens!$D$4799</f>
        <v>60.2799375433739</v>
      </c>
      <c r="E4884" s="38" t="n">
        <f aca="false">Sens!$E$4864+Sens!$E$4880-ext_sh*Sens!$E$4799</f>
        <v>39.5095167090767</v>
      </c>
      <c r="F4884" s="38" t="n">
        <f aca="false">Sens!$F$4864+Sens!$F$4880-ext_sh*Sens!$F$4799</f>
        <v>37.951394214027</v>
      </c>
      <c r="G4884" s="38" t="n">
        <f aca="false">Sens!$G$4864+Sens!$G$4880-ext_sh*Sens!$G$4799</f>
        <v>77.4609109231037</v>
      </c>
      <c r="H4884" s="38" t="n">
        <f aca="false">Sens!$H$4864+Sens!$H$4880-ext_sh*Sens!$H$4799</f>
        <v>85.1453558128916</v>
      </c>
      <c r="I4884" s="38" t="n">
        <f aca="false">Sens!$I$4864+Sens!$I$4880-ext_sh*Sens!$I$4799</f>
        <v>94.532921967974</v>
      </c>
      <c r="J4884" s="38" t="n">
        <f aca="false">Sens!$J$4864+Sens!$J$4880-ext_sh*Sens!$J$4799</f>
        <v>103.525527532583</v>
      </c>
      <c r="K4884" s="38" t="n">
        <f aca="false">Sens!$K$4864+Sens!$K$4880-ext_sh*Sens!$K$4799</f>
        <v>111.80756973519</v>
      </c>
      <c r="L4884" s="38" t="n">
        <f aca="false">Sens!$L$4864+Sens!$L$4880-ext_sh*Sens!$L$4799</f>
        <v>120.752175314005</v>
      </c>
      <c r="M4884" s="38" t="n">
        <f aca="false">Sens!$M$4864+Sens!$M$4880-ext_sh*Sens!$M$4799</f>
        <v>130.412349339125</v>
      </c>
      <c r="N4884" s="38" t="n">
        <f aca="false">Sens!$N$4864+Sens!$N$4880-ext_sh*Sens!$N$4799</f>
        <v>28.5693781401809</v>
      </c>
      <c r="O4884" s="38" t="n">
        <f aca="false">Sens!$O$4864+Sens!$O$4880-ext_sh*Sens!$O$4799</f>
        <v>31.7105594031931</v>
      </c>
    </row>
    <row r="4885" customFormat="false" ht="17.15" hidden="false" customHeight="false" outlineLevel="0" collapsed="false">
      <c r="A4885" s="0" t="s">
        <v>760</v>
      </c>
      <c r="B4885" s="0" t="s">
        <v>86</v>
      </c>
      <c r="C4885" s="38" t="n">
        <f aca="false">Sens!$C$4802</f>
        <v>1.80694998843362</v>
      </c>
      <c r="D4885" s="38" t="n">
        <f aca="false">Sens!$D$4802</f>
        <v>6.77606245662607</v>
      </c>
      <c r="E4885" s="38" t="n">
        <f aca="false">Sens!$E$4802</f>
        <v>6.62548329092326</v>
      </c>
      <c r="F4885" s="38" t="n">
        <f aca="false">Sens!$F$4802</f>
        <v>11.7200577158706</v>
      </c>
      <c r="G4885" s="38" t="n">
        <f aca="false">Sens!$G$4802</f>
        <v>18.3455410067939</v>
      </c>
      <c r="H4885" s="38" t="n">
        <f aca="false">Sens!$H$4802</f>
        <v>47.5171727060453</v>
      </c>
      <c r="I4885" s="38" t="n">
        <f aca="false">Sens!$I$4802</f>
        <v>80.5539692643667</v>
      </c>
      <c r="J4885" s="38" t="n">
        <f aca="false">Sens!$J$4802</f>
        <v>113.759316834883</v>
      </c>
      <c r="K4885" s="38" t="n">
        <f aca="false">Sens!$K$4802</f>
        <v>142.084411492169</v>
      </c>
      <c r="L4885" s="38" t="n">
        <f aca="false">Sens!$L$4802</f>
        <v>160.69964615804</v>
      </c>
      <c r="M4885" s="38" t="n">
        <f aca="false">Sens!$M$4802</f>
        <v>169.577607141793</v>
      </c>
      <c r="N4885" s="38" t="n">
        <f aca="false">Sens!$N$4802</f>
        <v>2.37162185981912</v>
      </c>
      <c r="O4885" s="38" t="n">
        <f aca="false">Sens!$O$4802</f>
        <v>4.40444059680694</v>
      </c>
    </row>
    <row r="4886" customFormat="false" ht="17.15" hidden="false" customHeight="false" outlineLevel="0" collapsed="false">
      <c r="A4886" s="0" t="s">
        <v>761</v>
      </c>
      <c r="B4886" s="0" t="s">
        <v>86</v>
      </c>
      <c r="C4886" s="38" t="n">
        <f aca="false">Sens!$C$4867+Sens!$C$4881</f>
        <v>100.66</v>
      </c>
      <c r="D4886" s="38" t="n">
        <f aca="false">Sens!$D$4867+Sens!$D$4881</f>
        <v>121.835</v>
      </c>
      <c r="E4886" s="38" t="n">
        <f aca="false">Sens!$E$4867+Sens!$E$4881</f>
        <v>78.016</v>
      </c>
      <c r="F4886" s="38" t="n">
        <f aca="false">Sens!$F$4867+Sens!$F$4881</f>
        <v>85.5181175682064</v>
      </c>
      <c r="G4886" s="38" t="n">
        <f aca="false">Sens!$G$4867+Sens!$G$4881</f>
        <v>163.534117568206</v>
      </c>
      <c r="H4886" s="38" t="n">
        <f aca="false">Sens!$H$4867+Sens!$H$4881</f>
        <v>209.729809748598</v>
      </c>
      <c r="I4886" s="38" t="n">
        <f aca="false">Sens!$I$4867+Sens!$I$4881</f>
        <v>261.186503104183</v>
      </c>
      <c r="J4886" s="38" t="n">
        <f aca="false">Sens!$J$4867+Sens!$J$4881</f>
        <v>311.653057497336</v>
      </c>
      <c r="K4886" s="38" t="n">
        <f aca="false">Sens!$K$4867+Sens!$K$4881</f>
        <v>355.354595270386</v>
      </c>
      <c r="L4886" s="38" t="n">
        <f aca="false">Sens!$L$4867+Sens!$L$4881</f>
        <v>391.432200119172</v>
      </c>
      <c r="M4886" s="38" t="n">
        <f aca="false">Sens!$M$4867+Sens!$M$4881</f>
        <v>419.989478873828</v>
      </c>
      <c r="N4886" s="38" t="n">
        <f aca="false">Sens!$N$4867+Sens!$N$4881</f>
        <v>56.398</v>
      </c>
      <c r="O4886" s="38" t="n">
        <f aca="false">Sens!$O$4867+Sens!$O$4881</f>
        <v>65.437</v>
      </c>
    </row>
    <row r="4887" customFormat="false" ht="17.15" hidden="false" customHeight="false" outlineLevel="0" collapsed="false">
      <c r="A4887" s="1" t="s">
        <v>762</v>
      </c>
    </row>
    <row r="4888" customFormat="false" ht="15" hidden="false" customHeight="false" outlineLevel="0" collapsed="false">
      <c r="A4888" s="5" t="s">
        <v>551</v>
      </c>
      <c r="B4888" s="0" t="s">
        <v>86</v>
      </c>
      <c r="C4888" s="38" t="n">
        <f aca="false">Q!$D$34</f>
        <v>2.406</v>
      </c>
      <c r="D4888" s="38" t="n">
        <f aca="false">Q!$E$34</f>
        <v>2.274</v>
      </c>
      <c r="E4888" s="38" t="n">
        <f aca="false">Q!$P$34</f>
        <v>2.114</v>
      </c>
      <c r="F4888" s="38" t="n">
        <f aca="false">Sens!$F$4926</f>
        <v>3.24888962733561</v>
      </c>
      <c r="G4888" s="38" t="n">
        <f aca="false">Sens!$E$4888+Sens!$F$4888</f>
        <v>5.36288962733561</v>
      </c>
      <c r="H4888" s="38" t="n">
        <f aca="false">Sens!$H$4926</f>
        <v>7.42354172302123</v>
      </c>
      <c r="I4888" s="38" t="n">
        <f aca="false">Sens!$I$4926</f>
        <v>7.91467848468424</v>
      </c>
      <c r="J4888" s="38" t="n">
        <f aca="false">Sens!$J$4926</f>
        <v>9.02228424489463</v>
      </c>
      <c r="K4888" s="38" t="n">
        <f aca="false">Sens!$K$4926</f>
        <v>9.02228424489463</v>
      </c>
      <c r="L4888" s="38" t="n">
        <f aca="false">Sens!$L$4926</f>
        <v>9.02228424489463</v>
      </c>
      <c r="M4888" s="38" t="n">
        <f aca="false">Sens!$M$4926</f>
        <v>9.02228424489463</v>
      </c>
      <c r="N4888" s="38" t="n">
        <f aca="false">Q!$N$34</f>
        <v>1.057</v>
      </c>
      <c r="O4888" s="38" t="n">
        <f aca="false">Q!$O$34</f>
        <v>1.217</v>
      </c>
    </row>
    <row r="4889" customFormat="false" ht="15" hidden="false" customHeight="false" outlineLevel="0" collapsed="false">
      <c r="A4889" s="5" t="s">
        <v>763</v>
      </c>
      <c r="B4889" s="0" t="s">
        <v>86</v>
      </c>
      <c r="F4889" s="38" t="n">
        <f aca="false">Sens!$F$4927</f>
        <v>2.59</v>
      </c>
      <c r="H4889" s="38" t="n">
        <f aca="false">Sens!$H$4927</f>
        <v>4.1153774832261</v>
      </c>
      <c r="I4889" s="38" t="n">
        <f aca="false">Sens!$I$4927</f>
        <v>2.10589651022864</v>
      </c>
      <c r="J4889" s="38" t="n">
        <f aca="false">Sens!$J$4927</f>
        <v>2.10589651022864</v>
      </c>
      <c r="K4889" s="38" t="n">
        <f aca="false">Sens!$K$4927</f>
        <v>3.00206394668691</v>
      </c>
      <c r="L4889" s="38" t="n">
        <f aca="false">Sens!$L$4927</f>
        <v>7.8960350275066</v>
      </c>
      <c r="M4889" s="38" t="n">
        <f aca="false">Sens!$M$4927</f>
        <v>15.2458378412419</v>
      </c>
    </row>
    <row r="4890" customFormat="false" ht="17.15" hidden="false" customHeight="false" outlineLevel="0" collapsed="false">
      <c r="A4890" s="5" t="s">
        <v>764</v>
      </c>
      <c r="B4890" s="0" t="s">
        <v>86</v>
      </c>
      <c r="C4890" s="38" t="n">
        <f aca="false">Q!$D$39</f>
        <v>2.427</v>
      </c>
      <c r="D4890" s="38" t="n">
        <f aca="false">Q!$E$39</f>
        <v>19.61</v>
      </c>
      <c r="E4890" s="38" t="n">
        <f aca="false">Q!$P$39</f>
        <v>71.492</v>
      </c>
      <c r="F4890" s="39" t="n">
        <v>0</v>
      </c>
      <c r="G4890" s="38" t="n">
        <f aca="false">Sens!$E$4890+Sens!$F$4890</f>
        <v>71.492</v>
      </c>
      <c r="H4890" s="39" t="n">
        <v>0</v>
      </c>
      <c r="I4890" s="39" t="n">
        <v>0</v>
      </c>
      <c r="J4890" s="39" t="n">
        <v>0</v>
      </c>
      <c r="K4890" s="39" t="n">
        <v>0</v>
      </c>
      <c r="L4890" s="39" t="n">
        <v>0</v>
      </c>
      <c r="M4890" s="39" t="n">
        <v>0</v>
      </c>
      <c r="N4890" s="38" t="n">
        <f aca="false">Q!$N$39</f>
        <v>6.017</v>
      </c>
      <c r="O4890" s="38" t="n">
        <f aca="false">Q!$O$39</f>
        <v>13.593</v>
      </c>
      <c r="P4890" s="5" t="s">
        <v>765</v>
      </c>
    </row>
    <row r="4891" customFormat="false" ht="15" hidden="false" customHeight="false" outlineLevel="0" collapsed="false">
      <c r="A4891" s="5" t="s">
        <v>554</v>
      </c>
      <c r="B4891" s="0" t="s">
        <v>86</v>
      </c>
      <c r="C4891" s="38" t="n">
        <f aca="false">Q!$D$36</f>
        <v>68.614</v>
      </c>
      <c r="D4891" s="38" t="n">
        <f aca="false">Q!$E$36</f>
        <v>97.311</v>
      </c>
      <c r="E4891" s="38" t="n">
        <f aca="false">Q!$P$36</f>
        <v>120.691</v>
      </c>
      <c r="F4891" s="38" t="n">
        <f aca="false">Sens!$F$4867-Sens!$F$4888+Sens!$F$4889+Sens!$F$4890</f>
        <v>55.7063670713938</v>
      </c>
      <c r="G4891" s="38" t="n">
        <f aca="false">Sens!$E$4891+Sens!$F$4891</f>
        <v>176.397367071394</v>
      </c>
      <c r="H4891" s="38" t="n">
        <f aca="false">Sens!$H$4867-Sens!$H$4888+Sens!$H$4889+Sens!$H$4890</f>
        <v>124.859822189188</v>
      </c>
      <c r="I4891" s="38" t="n">
        <f aca="false">Sens!$I$4867-Sens!$I$4888+Sens!$I$4889+Sens!$I$4890</f>
        <v>136.621512389523</v>
      </c>
      <c r="J4891" s="38" t="n">
        <f aca="false">Sens!$J$4867-Sens!$J$4888+Sens!$J$4889+Sens!$J$4890</f>
        <v>152.267180355879</v>
      </c>
      <c r="K4891" s="38" t="n">
        <f aca="false">Sens!$K$4867-Sens!$K$4888+Sens!$K$4889+Sens!$K$4890</f>
        <v>162.94287234836</v>
      </c>
      <c r="L4891" s="38" t="n">
        <f aca="false">Sens!$L$4867-Sens!$L$4888+Sens!$L$4889+Sens!$L$4890</f>
        <v>178.379528686302</v>
      </c>
      <c r="M4891" s="38" t="n">
        <f aca="false">Sens!$M$4867-Sens!$M$4888+Sens!$M$4889+Sens!$M$4890</f>
        <v>197.200550372269</v>
      </c>
      <c r="N4891" s="38" t="n">
        <f aca="false">Q!$N$36</f>
        <v>42.536</v>
      </c>
      <c r="O4891" s="38" t="n">
        <f aca="false">Q!$O$36</f>
        <v>54.775</v>
      </c>
    </row>
    <row r="4892" customFormat="false" ht="15" hidden="false" customHeight="false" outlineLevel="0" collapsed="false">
      <c r="A4892" s="5" t="s">
        <v>555</v>
      </c>
      <c r="B4892" s="0" t="s">
        <v>86</v>
      </c>
      <c r="C4892" s="38" t="n">
        <f aca="false">Q!$D$37</f>
        <v>9.265</v>
      </c>
      <c r="D4892" s="38" t="n">
        <f aca="false">Q!$E$37</f>
        <v>19.087</v>
      </c>
      <c r="E4892" s="38" t="n">
        <f aca="false">Q!$P$37</f>
        <v>27.759</v>
      </c>
      <c r="F4892" s="38" t="n">
        <f aca="false">Sens!$F$4891*tax</f>
        <v>9.669763357865</v>
      </c>
      <c r="G4892" s="38" t="n">
        <f aca="false">Sens!$E$4892+Sens!$F$4892</f>
        <v>37.428763357865</v>
      </c>
      <c r="H4892" s="38" t="n">
        <f aca="false">Sens!$H$4891*tax</f>
        <v>21.6737331286956</v>
      </c>
      <c r="I4892" s="38" t="n">
        <f aca="false">Sens!$I$4891*tax</f>
        <v>23.715380554384</v>
      </c>
      <c r="J4892" s="38" t="n">
        <f aca="false">Sens!$J$4891*tax</f>
        <v>26.4312264219936</v>
      </c>
      <c r="K4892" s="38" t="n">
        <f aca="false">Sens!$K$4891*tax</f>
        <v>28.2843613628602</v>
      </c>
      <c r="L4892" s="38" t="n">
        <f aca="false">Sens!$L$4891*tax</f>
        <v>30.9639260458934</v>
      </c>
      <c r="M4892" s="38" t="n">
        <f aca="false">Sens!$M$4891*tax</f>
        <v>34.2309641857761</v>
      </c>
      <c r="N4892" s="38" t="n">
        <f aca="false">Q!$N$37</f>
        <v>7.231</v>
      </c>
      <c r="O4892" s="38" t="n">
        <f aca="false">Q!$O$37</f>
        <v>11.856</v>
      </c>
    </row>
    <row r="4893" customFormat="false" ht="15" hidden="false" customHeight="false" outlineLevel="0" collapsed="false">
      <c r="A4893" s="3" t="s">
        <v>556</v>
      </c>
      <c r="B4893" s="8" t="s">
        <v>86</v>
      </c>
      <c r="C4893" s="38" t="n">
        <f aca="false">Q!$D$38</f>
        <v>59.248</v>
      </c>
      <c r="D4893" s="38" t="n">
        <f aca="false">Q!$E$38</f>
        <v>77.67</v>
      </c>
      <c r="E4893" s="38" t="n">
        <f aca="false">Q!$P$38</f>
        <v>92.902</v>
      </c>
      <c r="F4893" s="38" t="n">
        <f aca="false">Sens!$F$4891-Sens!$F$4892</f>
        <v>46.0366037135288</v>
      </c>
      <c r="G4893" s="38" t="n">
        <f aca="false">Sens!$E$4893+Sens!$F$4893</f>
        <v>138.938603713529</v>
      </c>
      <c r="H4893" s="38" t="n">
        <f aca="false">Sens!$H$4891-Sens!$H$4892</f>
        <v>103.186089060492</v>
      </c>
      <c r="I4893" s="38" t="n">
        <f aca="false">Sens!$I$4891-Sens!$I$4892</f>
        <v>112.906131835139</v>
      </c>
      <c r="J4893" s="38" t="n">
        <f aca="false">Sens!$J$4891-Sens!$J$4892</f>
        <v>125.835953933885</v>
      </c>
      <c r="K4893" s="38" t="n">
        <f aca="false">Sens!$K$4891-Sens!$K$4892</f>
        <v>134.658510985499</v>
      </c>
      <c r="L4893" s="38" t="n">
        <f aca="false">Sens!$L$4891-Sens!$L$4892</f>
        <v>147.415602640409</v>
      </c>
      <c r="M4893" s="38" t="n">
        <f aca="false">Sens!$M$4891-Sens!$M$4892</f>
        <v>162.969586186493</v>
      </c>
      <c r="N4893" s="38" t="n">
        <f aca="false">Q!$N$38</f>
        <v>35.291</v>
      </c>
      <c r="O4893" s="38" t="n">
        <f aca="false">Q!$O$38</f>
        <v>42.379</v>
      </c>
    </row>
    <row r="4894" customFormat="false" ht="17.15" hidden="false" customHeight="false" outlineLevel="0" collapsed="false">
      <c r="A4894" s="5" t="s">
        <v>559</v>
      </c>
      <c r="B4894" s="5" t="s">
        <v>33</v>
      </c>
      <c r="C4894" s="22" t="n">
        <f aca="false">Q!$D$41</f>
        <v>10.721</v>
      </c>
      <c r="D4894" s="22" t="n">
        <f aca="false">Q!$E$41</f>
        <v>10.827</v>
      </c>
      <c r="E4894" s="22" t="n">
        <f aca="false">(Q!$L$41+Q!$M$41)/2</f>
        <v>10.8885</v>
      </c>
      <c r="F4894" s="22" t="n">
        <f aca="false">Sens!$G$4894</f>
        <v>10.924806</v>
      </c>
      <c r="G4894" s="22" t="n">
        <f aca="false">Q!$M$41*(1+sh_g*0.25)</f>
        <v>10.924806</v>
      </c>
      <c r="H4894" s="22" t="n">
        <f aca="false">Sens!$G$4894*(1+sh_g)</f>
        <v>11.012204448</v>
      </c>
      <c r="I4894" s="22" t="n">
        <f aca="false">Sens!$H$4894*(1+sh_g)</f>
        <v>11.100302083584</v>
      </c>
      <c r="J4894" s="22" t="n">
        <f aca="false">Sens!$I$4894*(1+sh_g)</f>
        <v>11.1891045002527</v>
      </c>
      <c r="K4894" s="22" t="n">
        <f aca="false">Sens!$J$4894*(1+sh_g)</f>
        <v>11.2786173362547</v>
      </c>
      <c r="L4894" s="22" t="n">
        <f aca="false">Sens!$K$4894*(1+sh_g)</f>
        <v>11.3688462749447</v>
      </c>
      <c r="M4894" s="22" t="n">
        <f aca="false">Sens!$L$4894*(1+sh_g)</f>
        <v>11.4597970451443</v>
      </c>
      <c r="P4894" s="5" t="s">
        <v>766</v>
      </c>
    </row>
    <row r="4895" customFormat="false" ht="17.15" hidden="false" customHeight="false" outlineLevel="0" collapsed="false">
      <c r="A4895" s="5" t="s">
        <v>767</v>
      </c>
      <c r="B4895" s="0" t="s">
        <v>86</v>
      </c>
      <c r="C4895" s="38" t="n">
        <f aca="false">Sens!$C$4893+Sens!$C$4869*(1-tax)</f>
        <v>59.248</v>
      </c>
      <c r="D4895" s="38" t="n">
        <f aca="false">Sens!$D$4893+Sens!$D$4869*(1-tax)</f>
        <v>77.67</v>
      </c>
      <c r="E4895" s="38" t="n">
        <f aca="false">Sens!$E$4893+Sens!$E$4869*(1-tax)</f>
        <v>92.902</v>
      </c>
      <c r="F4895" s="38" t="n">
        <f aca="false">Sens!$F$4893+Sens!$F$4869*(1-tax)</f>
        <v>49.1531986731775</v>
      </c>
      <c r="G4895" s="38" t="n">
        <f aca="false">Sens!$G$4893+Sens!$G$4869*(1-tax)</f>
        <v>142.055198673178</v>
      </c>
      <c r="H4895" s="38" t="n">
        <f aca="false">Sens!$H$4893+Sens!$H$4869*(1-tax)</f>
        <v>115.717485015837</v>
      </c>
      <c r="I4895" s="38" t="n">
        <f aca="false">Sens!$I$4893+Sens!$I$4869*(1-tax)</f>
        <v>134.047396910078</v>
      </c>
      <c r="J4895" s="38" t="n">
        <f aca="false">Sens!$J$4893+Sens!$J$4869*(1-tax)</f>
        <v>155.625390878169</v>
      </c>
      <c r="K4895" s="38" t="n">
        <f aca="false">Sens!$K$4893+Sens!$K$4869*(1-tax)</f>
        <v>171.825816682158</v>
      </c>
      <c r="L4895" s="38" t="n">
        <f aca="false">Sens!$L$4893+Sens!$L$4869*(1-tax)</f>
        <v>189.431679980964</v>
      </c>
      <c r="M4895" s="38" t="n">
        <f aca="false">Sens!$M$4893+Sens!$M$4869*(1-tax)</f>
        <v>207.299108377334</v>
      </c>
      <c r="N4895" s="38" t="n">
        <f aca="false">Sens!$N$4893+Sens!$N$4869*(1-tax)</f>
        <v>35.291</v>
      </c>
      <c r="O4895" s="38" t="n">
        <f aca="false">Sens!$O$4893+Sens!$O$4869*(1-tax)</f>
        <v>42.379</v>
      </c>
    </row>
    <row r="4896" customFormat="false" ht="17.15" hidden="false" customHeight="false" outlineLevel="0" collapsed="false">
      <c r="A4896" s="43" t="s">
        <v>768</v>
      </c>
      <c r="B4896" s="14" t="s">
        <v>27</v>
      </c>
      <c r="C4896" s="44" t="n">
        <f aca="false">Sens!$C$4895/Sens!$C$4894</f>
        <v>5.52635015390355</v>
      </c>
      <c r="D4896" s="44" t="n">
        <f aca="false">Sens!$D$4895/Sens!$D$4894</f>
        <v>7.1737323358271</v>
      </c>
      <c r="E4896" s="44" t="n">
        <f aca="false">Sens!$E$4895/Sens!$E$4894</f>
        <v>8.53212104513937</v>
      </c>
      <c r="F4896" s="14"/>
      <c r="G4896" s="44" t="n">
        <f aca="false">Sens!$G$4895/Sens!$G$4894</f>
        <v>13.0029950804781</v>
      </c>
      <c r="H4896" s="44" t="n">
        <f aca="false">Sens!$H$4895/Sens!$H$4894</f>
        <v>10.5081126637504</v>
      </c>
      <c r="I4896" s="44" t="n">
        <f aca="false">Sens!$I$4895/Sens!$I$4894</f>
        <v>12.0760134184382</v>
      </c>
      <c r="J4896" s="44" t="n">
        <f aca="false">Sens!$J$4895/Sens!$J$4894</f>
        <v>13.9086546983858</v>
      </c>
      <c r="K4896" s="44" t="n">
        <f aca="false">Sens!$K$4895/Sens!$K$4894</f>
        <v>15.2346525783644</v>
      </c>
      <c r="L4896" s="44" t="n">
        <f aca="false">Sens!$L$4895/Sens!$L$4894</f>
        <v>16.6623486147793</v>
      </c>
      <c r="M4896" s="44" t="n">
        <f aca="false">Sens!$M$4895/Sens!$M$4894</f>
        <v>18.0892477904022</v>
      </c>
      <c r="N4896" s="14"/>
      <c r="O4896" s="14"/>
    </row>
    <row r="4897" customFormat="false" ht="17.15" hidden="false" customHeight="false" outlineLevel="0" collapsed="false">
      <c r="A4897" s="0" t="s">
        <v>769</v>
      </c>
      <c r="B4897" s="0" t="s">
        <v>27</v>
      </c>
      <c r="C4897" s="30" t="n">
        <f aca="false">Sens!$C$4893/Sens!$C$4894</f>
        <v>5.52635015390355</v>
      </c>
      <c r="D4897" s="30" t="n">
        <f aca="false">Sens!$D$4893/Sens!$D$4894</f>
        <v>7.1737323358271</v>
      </c>
      <c r="E4897" s="30" t="n">
        <f aca="false">Sens!$E$4893/Sens!$E$4894</f>
        <v>8.53212104513937</v>
      </c>
      <c r="G4897" s="30" t="n">
        <f aca="false">Sens!$G$4893/Sens!$G$4894</f>
        <v>12.7177181648378</v>
      </c>
      <c r="H4897" s="30" t="n">
        <f aca="false">Sens!$H$4893/Sens!$H$4894</f>
        <v>9.37015740560759</v>
      </c>
      <c r="I4897" s="30" t="n">
        <f aca="false">Sens!$I$4893/Sens!$I$4894</f>
        <v>10.1714467754993</v>
      </c>
      <c r="J4897" s="30" t="n">
        <f aca="false">Sens!$J$4893/Sens!$J$4894</f>
        <v>11.2462935645157</v>
      </c>
      <c r="K4897" s="30" t="n">
        <f aca="false">Sens!$K$4893/Sens!$K$4894</f>
        <v>11.9392747329626</v>
      </c>
      <c r="L4897" s="30" t="n">
        <f aca="false">Sens!$L$4893/Sens!$L$4894</f>
        <v>12.9666281938644</v>
      </c>
      <c r="M4897" s="30" t="n">
        <f aca="false">Sens!$M$4893/Sens!$M$4894</f>
        <v>14.2209836303817</v>
      </c>
    </row>
    <row r="4898" customFormat="false" ht="17.15" hidden="false" customHeight="false" outlineLevel="0" collapsed="false">
      <c r="A4898" s="0" t="s">
        <v>770</v>
      </c>
      <c r="B4898" s="0" t="s">
        <v>27</v>
      </c>
      <c r="C4898" s="30" t="n">
        <f aca="false">(Sens!$C$4893-Sens!$C$4890*(1-tax))/Sens!$C$4894</f>
        <v>5.33926775917445</v>
      </c>
      <c r="D4898" s="30" t="n">
        <f aca="false">(Sens!$D$4893-Sens!$D$4890*(1-tax))/Sens!$D$4894</f>
        <v>5.67691812755503</v>
      </c>
      <c r="E4898" s="30" t="n">
        <f aca="false">(Sens!$E$4893-Sens!$E$4890*(1-tax))/Sens!$E$4894</f>
        <v>3.10602057006846</v>
      </c>
      <c r="G4898" s="30" t="n">
        <f aca="false">(Sens!$G$4893-Sens!$G$4890*(1-tax))/Sens!$G$4894</f>
        <v>7.30965004694081</v>
      </c>
      <c r="H4898" s="30" t="n">
        <f aca="false">(Sens!$H$4893-Sens!$H$4890*(1-tax))/Sens!$H$4894</f>
        <v>9.37015740560759</v>
      </c>
      <c r="I4898" s="30" t="n">
        <f aca="false">(Sens!$I$4893-Sens!$I$4890*(1-tax))/Sens!$I$4894</f>
        <v>10.1714467754993</v>
      </c>
      <c r="J4898" s="30" t="n">
        <f aca="false">(Sens!$J$4893-Sens!$J$4890*(1-tax))/Sens!$J$4894</f>
        <v>11.2462935645157</v>
      </c>
      <c r="K4898" s="30" t="n">
        <f aca="false">(Sens!$K$4893-Sens!$K$4890*(1-tax))/Sens!$K$4894</f>
        <v>11.9392747329626</v>
      </c>
      <c r="L4898" s="30" t="n">
        <f aca="false">(Sens!$L$4893-Sens!$L$4890*(1-tax))/Sens!$L$4894</f>
        <v>12.9666281938644</v>
      </c>
      <c r="M4898" s="30" t="n">
        <f aca="false">(Sens!$M$4893-Sens!$M$4890*(1-tax))/Sens!$M$4894</f>
        <v>14.2209836303817</v>
      </c>
      <c r="P4898" s="5" t="s">
        <v>771</v>
      </c>
    </row>
    <row r="4899" customFormat="false" ht="17.15" hidden="false" customHeight="false" outlineLevel="0" collapsed="false">
      <c r="A4899" s="0" t="s">
        <v>772</v>
      </c>
      <c r="B4899" s="0" t="s">
        <v>52</v>
      </c>
      <c r="H4899" s="13" t="n">
        <f aca="false">Sens!$H$4896/Sens!$G$4896-1</f>
        <v>-0.191869827011885</v>
      </c>
      <c r="I4899" s="13" t="n">
        <f aca="false">Sens!$I$4896/Sens!$H$4896-1</f>
        <v>0.14920859766727</v>
      </c>
      <c r="J4899" s="13" t="n">
        <f aca="false">Sens!$J$4896/Sens!$I$4896-1</f>
        <v>0.151758797911682</v>
      </c>
      <c r="K4899" s="13" t="n">
        <f aca="false">Sens!$K$4896/Sens!$J$4896-1</f>
        <v>0.0953361708039633</v>
      </c>
      <c r="L4899" s="13" t="n">
        <f aca="false">Sens!$L$4896/Sens!$K$4896-1</f>
        <v>0.0937137246203046</v>
      </c>
      <c r="M4899" s="13" t="n">
        <f aca="false">Sens!$M$4896/Sens!$L$4896-1</f>
        <v>0.085636137414461</v>
      </c>
    </row>
    <row r="4902" customFormat="false" ht="19.4" hidden="false" customHeight="false" outlineLevel="0" collapsed="false">
      <c r="A4902" s="31" t="s">
        <v>1250</v>
      </c>
    </row>
    <row r="4903" customFormat="false" ht="17.15" hidden="false" customHeight="false" outlineLevel="0" collapsed="false">
      <c r="A4903" s="6" t="s">
        <v>16</v>
      </c>
      <c r="B4903" s="6" t="s">
        <v>17</v>
      </c>
      <c r="C4903" s="20" t="s">
        <v>504</v>
      </c>
      <c r="D4903" s="20" t="s">
        <v>505</v>
      </c>
      <c r="E4903" s="20" t="s">
        <v>587</v>
      </c>
      <c r="F4903" s="20" t="s">
        <v>588</v>
      </c>
      <c r="G4903" s="20" t="s">
        <v>589</v>
      </c>
      <c r="H4903" s="20" t="s">
        <v>590</v>
      </c>
      <c r="I4903" s="20" t="s">
        <v>591</v>
      </c>
      <c r="J4903" s="20" t="s">
        <v>592</v>
      </c>
      <c r="K4903" s="20" t="s">
        <v>593</v>
      </c>
      <c r="L4903" s="20" t="s">
        <v>594</v>
      </c>
      <c r="M4903" s="20" t="s">
        <v>595</v>
      </c>
      <c r="N4903" s="20" t="s">
        <v>596</v>
      </c>
      <c r="O4903" s="20" t="s">
        <v>597</v>
      </c>
      <c r="P4903" s="6" t="s">
        <v>23</v>
      </c>
      <c r="R4903" s="20" t="n">
        <v>2023</v>
      </c>
      <c r="S4903" s="20" t="n">
        <v>2024</v>
      </c>
      <c r="T4903" s="20" t="n">
        <v>2025</v>
      </c>
      <c r="U4903" s="20" t="n">
        <v>2026</v>
      </c>
      <c r="V4903" s="20" t="n">
        <v>2027</v>
      </c>
      <c r="W4903" s="20" t="n">
        <v>2028</v>
      </c>
      <c r="X4903" s="20" t="n">
        <v>2029</v>
      </c>
      <c r="Y4903" s="20" t="n">
        <v>2030</v>
      </c>
      <c r="Z4903" s="20" t="n">
        <v>2031</v>
      </c>
      <c r="AA4903" s="20" t="n">
        <v>2032</v>
      </c>
    </row>
    <row r="4904" customFormat="false" ht="15" hidden="false" customHeight="false" outlineLevel="0" collapsed="false">
      <c r="A4904" s="5" t="s">
        <v>556</v>
      </c>
      <c r="B4904" s="0" t="s">
        <v>86</v>
      </c>
      <c r="C4904" s="38" t="n">
        <f aca="false">Sens!$C$4893</f>
        <v>59.248</v>
      </c>
      <c r="D4904" s="38" t="n">
        <f aca="false">Sens!$D$4893</f>
        <v>77.67</v>
      </c>
      <c r="E4904" s="38" t="n">
        <f aca="false">Sens!$E$4893</f>
        <v>92.902</v>
      </c>
      <c r="F4904" s="38" t="n">
        <f aca="false">Sens!$F$4893</f>
        <v>46.0366037135288</v>
      </c>
      <c r="G4904" s="38" t="n">
        <f aca="false">Sens!$G$4893</f>
        <v>138.938603713529</v>
      </c>
      <c r="H4904" s="38" t="n">
        <f aca="false">Sens!$H$4893</f>
        <v>103.186089060492</v>
      </c>
      <c r="I4904" s="38" t="n">
        <f aca="false">Sens!$I$4893</f>
        <v>112.906131835139</v>
      </c>
      <c r="J4904" s="38" t="n">
        <f aca="false">Sens!$J$4893</f>
        <v>125.835953933885</v>
      </c>
      <c r="K4904" s="38" t="n">
        <f aca="false">Sens!$K$4893</f>
        <v>134.658510985499</v>
      </c>
      <c r="L4904" s="38" t="n">
        <f aca="false">Sens!$L$4893</f>
        <v>147.415602640409</v>
      </c>
      <c r="M4904" s="38" t="n">
        <f aca="false">Sens!$M$4893</f>
        <v>162.969586186493</v>
      </c>
    </row>
    <row r="4905" customFormat="false" ht="17.15" hidden="false" customHeight="false" outlineLevel="0" collapsed="false">
      <c r="A4905" s="5" t="s">
        <v>795</v>
      </c>
      <c r="B4905" s="0" t="s">
        <v>86</v>
      </c>
      <c r="C4905" s="38" t="n">
        <f aca="false">Sens!$C$4881</f>
        <v>32.067</v>
      </c>
      <c r="D4905" s="38" t="n">
        <f aca="false">Sens!$D$4881</f>
        <v>41.86</v>
      </c>
      <c r="E4905" s="38" t="n">
        <f aca="false">Sens!$E$4881</f>
        <v>26.703</v>
      </c>
      <c r="F4905" s="38" t="n">
        <f aca="false">Sens!$F$4881</f>
        <v>29.152860869477</v>
      </c>
      <c r="G4905" s="38" t="n">
        <f aca="false">Sens!$G$4881</f>
        <v>55.855860869477</v>
      </c>
      <c r="H4905" s="38" t="n">
        <f aca="false">Sens!$H$4881</f>
        <v>81.5618233196153</v>
      </c>
      <c r="I4905" s="38" t="n">
        <f aca="false">Sens!$I$4881</f>
        <v>118.756208740204</v>
      </c>
      <c r="J4905" s="38" t="n">
        <f aca="false">Sens!$J$4881</f>
        <v>152.469489406791</v>
      </c>
      <c r="K4905" s="38" t="n">
        <f aca="false">Sens!$K$4881</f>
        <v>186.391502623819</v>
      </c>
      <c r="L4905" s="38" t="n">
        <f aca="false">Sens!$L$4881</f>
        <v>211.926422215482</v>
      </c>
      <c r="M4905" s="38" t="n">
        <f aca="false">Sens!$M$4881</f>
        <v>229.012482097906</v>
      </c>
    </row>
    <row r="4906" customFormat="false" ht="15" hidden="false" customHeight="false" outlineLevel="0" collapsed="false">
      <c r="A4906" s="5" t="s">
        <v>796</v>
      </c>
      <c r="B4906" s="0" t="s">
        <v>86</v>
      </c>
      <c r="C4906" s="38" t="n">
        <f aca="false">Q!$D$48</f>
        <v>22.011</v>
      </c>
      <c r="D4906" s="38" t="n">
        <f aca="false">Q!$E$48</f>
        <v>19.467</v>
      </c>
      <c r="E4906" s="38" t="n">
        <f aca="false">Q!$P$48</f>
        <v>10.07</v>
      </c>
      <c r="F4906" s="38" t="n">
        <f aca="false">sbc_r*Sens!$F$4823</f>
        <v>10.8507035798037</v>
      </c>
      <c r="G4906" s="38" t="n">
        <f aca="false">Sens!$E$4906+Sens!$F$4906</f>
        <v>20.9207035798037</v>
      </c>
      <c r="H4906" s="38" t="n">
        <f aca="false">sbc_r*Sens!$H$4823</f>
        <v>23.46224366345</v>
      </c>
      <c r="I4906" s="38" t="n">
        <f aca="false">sbc_r*Sens!$I$4823</f>
        <v>26.6125957111676</v>
      </c>
      <c r="J4906" s="38" t="n">
        <f aca="false">sbc_r*Sens!$J$4823</f>
        <v>29.6280801413323</v>
      </c>
      <c r="K4906" s="38" t="n">
        <f aca="false">sbc_r*Sens!$K$4823</f>
        <v>32.2712258901105</v>
      </c>
      <c r="L4906" s="38" t="n">
        <f aca="false">sbc_r*Sens!$L$4823</f>
        <v>34.7390505016737</v>
      </c>
      <c r="M4906" s="38" t="n">
        <f aca="false">sbc_r*Sens!$M$4823</f>
        <v>37.0405146906692</v>
      </c>
    </row>
    <row r="4907" customFormat="false" ht="17.15" hidden="false" customHeight="false" outlineLevel="0" collapsed="false">
      <c r="A4907" s="5" t="s">
        <v>797</v>
      </c>
      <c r="B4907" s="0" t="s">
        <v>86</v>
      </c>
      <c r="C4907" s="38" t="n">
        <f aca="false">Q!$D$44-Sens!$C$4904-Sens!$C$4905-Sens!$C$4906</f>
        <v>2.551</v>
      </c>
      <c r="D4907" s="38" t="n">
        <f aca="false">Q!$E$44-Sens!$D$4904-Sens!$D$4905-Sens!$D$4906</f>
        <v>0.51700000000001</v>
      </c>
      <c r="E4907" s="38" t="n">
        <f aca="false">Q!$P$44-Sens!$E$4904-Sens!$E$4905-Sens!$E$4906</f>
        <v>-58.256</v>
      </c>
      <c r="F4907" s="38" t="n">
        <f aca="false">oth_r*Sens!$F$4823</f>
        <v>5.22265251035878</v>
      </c>
      <c r="G4907" s="38" t="n">
        <f aca="false">Sens!$E$4907+Sens!$F$4907</f>
        <v>-53.0333474896412</v>
      </c>
      <c r="H4907" s="38" t="n">
        <f aca="false">oth_r*Sens!$H$4823</f>
        <v>11.2928295263397</v>
      </c>
      <c r="I4907" s="38" t="n">
        <f aca="false">oth_r*Sens!$I$4823</f>
        <v>12.8091546115766</v>
      </c>
      <c r="J4907" s="38" t="n">
        <f aca="false">oth_r*Sens!$J$4823</f>
        <v>14.2605653162668</v>
      </c>
      <c r="K4907" s="38" t="n">
        <f aca="false">oth_r*Sens!$K$4823</f>
        <v>15.5327622460396</v>
      </c>
      <c r="L4907" s="38" t="n">
        <f aca="false">oth_r*Sens!$L$4823</f>
        <v>16.720573737517</v>
      </c>
      <c r="M4907" s="38" t="n">
        <f aca="false">oth_r*Sens!$M$4823</f>
        <v>17.8283127551536</v>
      </c>
      <c r="P4907" s="8" t="s">
        <v>798</v>
      </c>
    </row>
    <row r="4908" customFormat="false" ht="15" hidden="false" customHeight="false" outlineLevel="0" collapsed="false">
      <c r="A4908" s="3" t="s">
        <v>562</v>
      </c>
      <c r="B4908" s="8" t="s">
        <v>86</v>
      </c>
      <c r="C4908" s="38" t="n">
        <f aca="false">Q!$D$44</f>
        <v>115.877</v>
      </c>
      <c r="D4908" s="38" t="n">
        <f aca="false">Q!$E$44</f>
        <v>139.514</v>
      </c>
      <c r="E4908" s="38" t="n">
        <f aca="false">Q!$P$44</f>
        <v>71.419</v>
      </c>
      <c r="F4908" s="38" t="n">
        <f aca="false">Sens!$F$4904+Sens!$F$4905+Sens!$F$4906+Sens!$F$4907</f>
        <v>91.2628206731683</v>
      </c>
      <c r="G4908" s="38" t="n">
        <f aca="false">Sens!$E$4908+Sens!$F$4908</f>
        <v>162.681820673168</v>
      </c>
      <c r="H4908" s="38" t="n">
        <f aca="false">Sens!$H$4904+Sens!$H$4905+Sens!$H$4906+Sens!$H$4907</f>
        <v>219.502985569897</v>
      </c>
      <c r="I4908" s="38" t="n">
        <f aca="false">Sens!$I$4904+Sens!$I$4905+Sens!$I$4906+Sens!$I$4907</f>
        <v>271.084090898087</v>
      </c>
      <c r="J4908" s="38" t="n">
        <f aca="false">Sens!$J$4904+Sens!$J$4905+Sens!$J$4906+Sens!$J$4907</f>
        <v>322.194088798275</v>
      </c>
      <c r="K4908" s="38" t="n">
        <f aca="false">Sens!$K$4904+Sens!$K$4905+Sens!$K$4906+Sens!$K$4907</f>
        <v>368.854001745468</v>
      </c>
      <c r="L4908" s="38" t="n">
        <f aca="false">Sens!$L$4904+Sens!$L$4905+Sens!$L$4906+Sens!$L$4907</f>
        <v>410.801649095082</v>
      </c>
      <c r="M4908" s="38" t="n">
        <f aca="false">Sens!$M$4904+Sens!$M$4905+Sens!$M$4906+Sens!$M$4907</f>
        <v>446.850895730222</v>
      </c>
    </row>
    <row r="4909" customFormat="false" ht="17.15" hidden="false" customHeight="false" outlineLevel="0" collapsed="false">
      <c r="A4909" s="5" t="s">
        <v>799</v>
      </c>
      <c r="B4909" s="0" t="s">
        <v>86</v>
      </c>
      <c r="C4909" s="38" t="n">
        <f aca="false">Sens!$C$4787</f>
        <v>25.2781053077374</v>
      </c>
      <c r="D4909" s="38" t="n">
        <f aca="false">Sens!$D$4787</f>
        <v>69.5686316310026</v>
      </c>
      <c r="E4909" s="38" t="n">
        <f aca="false">Sens!$E$4787</f>
        <v>64.1899206485108</v>
      </c>
      <c r="F4909" s="38" t="n">
        <f aca="false">Sens!$F$4787</f>
        <v>88.7165504612134</v>
      </c>
      <c r="G4909" s="38" t="n">
        <f aca="false">Sens!$G$4787</f>
        <v>152.906471109724</v>
      </c>
      <c r="H4909" s="38" t="n">
        <f aca="false">Sens!$H$4787</f>
        <v>198.57136494475</v>
      </c>
      <c r="I4909" s="38" t="n">
        <f aca="false">Sens!$I$4787</f>
        <v>204.6464699105</v>
      </c>
      <c r="J4909" s="38" t="n">
        <f aca="false">Sens!$J$4787</f>
        <v>209.8832381105</v>
      </c>
      <c r="K4909" s="38" t="n">
        <f aca="false">Sens!$K$4787</f>
        <v>155.238385275201</v>
      </c>
      <c r="L4909" s="38" t="n">
        <f aca="false">Sens!$L$4787</f>
        <v>132.014141639902</v>
      </c>
      <c r="M4909" s="38" t="n">
        <f aca="false">Sens!$M$4787</f>
        <v>132.230981659852</v>
      </c>
    </row>
    <row r="4910" customFormat="false" ht="17.15" hidden="false" customHeight="false" outlineLevel="0" collapsed="false">
      <c r="A4910" s="5" t="s">
        <v>800</v>
      </c>
      <c r="B4910" s="0" t="s">
        <v>86</v>
      </c>
      <c r="C4910" s="38" t="n">
        <f aca="false">cx_awso*Sens!$C$4821</f>
        <v>21.0469989286053</v>
      </c>
      <c r="D4910" s="38" t="n">
        <f aca="false">cx_awso*Sens!$D$4821</f>
        <v>24.0042459822698</v>
      </c>
      <c r="E4910" s="38" t="n">
        <f aca="false">cx_awso*Sens!$E$4821</f>
        <v>14.261729404886</v>
      </c>
      <c r="F4910" s="38" t="n">
        <f aca="false">cx_awso*Sens!$F$4821</f>
        <v>14.3538599588493</v>
      </c>
      <c r="G4910" s="38" t="n">
        <f aca="false">Sens!$E$4910+Sens!$F$4910</f>
        <v>28.6155893637353</v>
      </c>
      <c r="H4910" s="38" t="n">
        <f aca="false">cx_awso*Sens!$H$4821</f>
        <v>32.2034154158406</v>
      </c>
      <c r="I4910" s="38" t="n">
        <f aca="false">cx_awso*Sens!$I$4821</f>
        <v>35.7539519042915</v>
      </c>
      <c r="J4910" s="38" t="n">
        <f aca="false">cx_awso*Sens!$J$4821</f>
        <v>39.1551076091815</v>
      </c>
      <c r="K4910" s="38" t="n">
        <f aca="false">cx_awso*Sens!$K$4821</f>
        <v>42.287516217916</v>
      </c>
      <c r="L4910" s="38" t="n">
        <f aca="false">cx_awso*Sens!$L$4821</f>
        <v>45.6705175153492</v>
      </c>
      <c r="M4910" s="38" t="n">
        <f aca="false">cx_awso*Sens!$M$4821</f>
        <v>49.3241589165772</v>
      </c>
    </row>
    <row r="4911" customFormat="false" ht="17.15" hidden="false" customHeight="false" outlineLevel="0" collapsed="false">
      <c r="A4911" s="5" t="s">
        <v>801</v>
      </c>
      <c r="B4911" s="0" t="s">
        <v>86</v>
      </c>
      <c r="C4911" s="38" t="n">
        <f aca="false">Q!$D$46-Sens!$C$4909-Sens!$C$4910</f>
        <v>31.3328957636573</v>
      </c>
      <c r="D4911" s="38" t="n">
        <f aca="false">Q!$E$46-Sens!$D$4909-Sens!$D$4910</f>
        <v>34.7471223867276</v>
      </c>
      <c r="E4911" s="38" t="n">
        <f aca="false">Q!$P$46-Sens!$E$4909-Sens!$E$4910</f>
        <v>17.8583499466032</v>
      </c>
      <c r="F4911" s="38" t="n">
        <f aca="false">cx_rt*Sens!$F$4750</f>
        <v>20.6195895799373</v>
      </c>
      <c r="G4911" s="38" t="n">
        <f aca="false">Sens!$E$4911+Sens!$F$4911</f>
        <v>38.4779395265405</v>
      </c>
      <c r="H4911" s="38" t="n">
        <f aca="false">cx_rt*Sens!$H$4750</f>
        <v>42.5978994743075</v>
      </c>
      <c r="I4911" s="38" t="n">
        <f aca="false">cx_rt*Sens!$I$4750</f>
        <v>46.5813904136335</v>
      </c>
      <c r="J4911" s="38" t="n">
        <f aca="false">cx_rt*Sens!$J$4750</f>
        <v>50.2781676586844</v>
      </c>
      <c r="K4911" s="38" t="n">
        <f aca="false">cx_rt*Sens!$K$4750</f>
        <v>53.5312440191755</v>
      </c>
      <c r="L4911" s="38" t="n">
        <f aca="false">cx_rt*Sens!$L$4750</f>
        <v>57.0116717051447</v>
      </c>
      <c r="M4911" s="38" t="n">
        <f aca="false">cx_rt*Sens!$M$4750</f>
        <v>60.7365554669226</v>
      </c>
    </row>
    <row r="4912" customFormat="false" ht="15" hidden="false" customHeight="false" outlineLevel="0" collapsed="false">
      <c r="A4912" s="3" t="s">
        <v>802</v>
      </c>
      <c r="B4912" s="8" t="s">
        <v>86</v>
      </c>
      <c r="C4912" s="38" t="n">
        <f aca="false">Q!$D$46</f>
        <v>77.658</v>
      </c>
      <c r="D4912" s="38" t="n">
        <f aca="false">Q!$E$46</f>
        <v>128.32</v>
      </c>
      <c r="E4912" s="38" t="n">
        <f aca="false">Q!$P$46</f>
        <v>96.31</v>
      </c>
      <c r="F4912" s="38" t="n">
        <f aca="false">Sens!$F$4909+Sens!$F$4910+Sens!$F$4911</f>
        <v>123.69</v>
      </c>
      <c r="G4912" s="38" t="n">
        <f aca="false">Sens!$E$4912+Sens!$F$4912</f>
        <v>220</v>
      </c>
      <c r="H4912" s="38" t="n">
        <f aca="false">Sens!$H$4909+Sens!$H$4910+Sens!$H$4911</f>
        <v>273.372679834898</v>
      </c>
      <c r="I4912" s="38" t="n">
        <f aca="false">Sens!$I$4909+Sens!$I$4910+Sens!$I$4911</f>
        <v>286.981812228425</v>
      </c>
      <c r="J4912" s="38" t="n">
        <f aca="false">Sens!$J$4909+Sens!$J$4910+Sens!$J$4911</f>
        <v>299.316513378366</v>
      </c>
      <c r="K4912" s="38" t="n">
        <f aca="false">Sens!$K$4909+Sens!$K$4910+Sens!$K$4911</f>
        <v>251.057145512292</v>
      </c>
      <c r="L4912" s="38" t="n">
        <f aca="false">Sens!$L$4909+Sens!$L$4910+Sens!$L$4911</f>
        <v>234.696330860396</v>
      </c>
      <c r="M4912" s="38" t="n">
        <f aca="false">Sens!$M$4909+Sens!$M$4910+Sens!$M$4911</f>
        <v>242.291696043352</v>
      </c>
    </row>
    <row r="4913" customFormat="false" ht="17.15" hidden="false" customHeight="false" outlineLevel="0" collapsed="false">
      <c r="A4913" s="5" t="s">
        <v>570</v>
      </c>
      <c r="B4913" s="0" t="s">
        <v>86</v>
      </c>
      <c r="C4913" s="38" t="n">
        <f aca="false">Q!$D$50</f>
        <v>2.043</v>
      </c>
      <c r="D4913" s="38" t="n">
        <f aca="false">Q!$E$50</f>
        <v>1.557</v>
      </c>
      <c r="E4913" s="38" t="n">
        <f aca="false">lease_pr/2</f>
        <v>0.8</v>
      </c>
      <c r="F4913" s="38" t="n">
        <f aca="false">lease_pr/2</f>
        <v>0.8</v>
      </c>
      <c r="G4913" s="38" t="n">
        <f aca="false">Sens!$E$4913+Sens!$F$4913</f>
        <v>1.6</v>
      </c>
      <c r="H4913" s="38" t="n">
        <f aca="false">lease_pr</f>
        <v>1.6</v>
      </c>
      <c r="I4913" s="38" t="n">
        <f aca="false">lease_pr</f>
        <v>1.6</v>
      </c>
      <c r="J4913" s="38" t="n">
        <f aca="false">lease_pr</f>
        <v>1.6</v>
      </c>
      <c r="K4913" s="38" t="n">
        <f aca="false">lease_pr</f>
        <v>1.6</v>
      </c>
      <c r="L4913" s="38" t="n">
        <f aca="false">lease_pr</f>
        <v>1.6</v>
      </c>
      <c r="M4913" s="38" t="n">
        <f aca="false">lease_pr</f>
        <v>1.6</v>
      </c>
      <c r="P4913" s="8" t="s">
        <v>803</v>
      </c>
    </row>
    <row r="4914" customFormat="false" ht="15" hidden="false" customHeight="false" outlineLevel="0" collapsed="false">
      <c r="A4914" s="47" t="s">
        <v>804</v>
      </c>
      <c r="B4914" s="14" t="s">
        <v>86</v>
      </c>
      <c r="C4914" s="48" t="n">
        <f aca="false">Sens!$C$4908-Sens!$C$4912-Sens!$C$4913</f>
        <v>36.176</v>
      </c>
      <c r="D4914" s="48" t="n">
        <f aca="false">Sens!$D$4908-Sens!$D$4912-Sens!$D$4913</f>
        <v>9.63700000000002</v>
      </c>
      <c r="E4914" s="48" t="n">
        <f aca="false">Sens!$E$4908-Sens!$E$4912-Sens!$E$4913</f>
        <v>-25.691</v>
      </c>
      <c r="F4914" s="48" t="n">
        <f aca="false">Sens!$F$4908-Sens!$F$4912-Sens!$F$4913</f>
        <v>-33.2271793268317</v>
      </c>
      <c r="G4914" s="48" t="n">
        <f aca="false">Sens!$G$4908-Sens!$G$4912-Sens!$G$4913</f>
        <v>-58.9181793268317</v>
      </c>
      <c r="H4914" s="48" t="n">
        <f aca="false">Sens!$H$4908-Sens!$H$4912-Sens!$H$4913</f>
        <v>-55.469694265001</v>
      </c>
      <c r="I4914" s="48" t="n">
        <f aca="false">Sens!$I$4908-Sens!$I$4912-Sens!$I$4913</f>
        <v>-17.4977213303378</v>
      </c>
      <c r="J4914" s="48" t="n">
        <f aca="false">Sens!$J$4908-Sens!$J$4912-Sens!$J$4913</f>
        <v>21.2775754199092</v>
      </c>
      <c r="K4914" s="48" t="n">
        <f aca="false">Sens!$K$4908-Sens!$K$4912-Sens!$K$4913</f>
        <v>116.196856233176</v>
      </c>
      <c r="L4914" s="48" t="n">
        <f aca="false">Sens!$L$4908-Sens!$L$4912-Sens!$L$4913</f>
        <v>174.505318234686</v>
      </c>
      <c r="M4914" s="48" t="n">
        <f aca="false">Sens!$M$4908-Sens!$M$4912-Sens!$M$4913</f>
        <v>202.95919968687</v>
      </c>
      <c r="N4914" s="14"/>
      <c r="O4914" s="14"/>
    </row>
    <row r="4915" customFormat="false" ht="17.15" hidden="false" customHeight="false" outlineLevel="0" collapsed="false">
      <c r="A4915" s="5" t="s">
        <v>805</v>
      </c>
      <c r="B4915" s="0" t="s">
        <v>86</v>
      </c>
      <c r="C4915" s="38" t="n">
        <f aca="false">dps*Sens!$C$4894</f>
        <v>0</v>
      </c>
      <c r="D4915" s="38" t="n">
        <f aca="false">dps*Sens!$D$4894</f>
        <v>0</v>
      </c>
      <c r="E4915" s="38" t="n">
        <f aca="false">dps*Sens!$E$4894</f>
        <v>0</v>
      </c>
      <c r="F4915" s="38" t="n">
        <f aca="false">0</f>
        <v>0</v>
      </c>
      <c r="G4915" s="38" t="n">
        <f aca="false">dps*Sens!$G$4894</f>
        <v>0</v>
      </c>
      <c r="H4915" s="38" t="n">
        <f aca="false">dps*Sens!$H$4894</f>
        <v>0</v>
      </c>
      <c r="I4915" s="38" t="n">
        <f aca="false">dps*Sens!$I$4894</f>
        <v>0</v>
      </c>
      <c r="J4915" s="38" t="n">
        <f aca="false">dps*Sens!$J$4894</f>
        <v>0</v>
      </c>
      <c r="K4915" s="38" t="n">
        <f aca="false">dps*Sens!$K$4894</f>
        <v>0</v>
      </c>
      <c r="L4915" s="38" t="n">
        <f aca="false">dps*Sens!$L$4894</f>
        <v>0</v>
      </c>
      <c r="M4915" s="38" t="n">
        <f aca="false">dps*Sens!$M$4894</f>
        <v>0</v>
      </c>
      <c r="P4915" s="8" t="s">
        <v>806</v>
      </c>
    </row>
    <row r="4916" customFormat="false" ht="17.15" hidden="false" customHeight="false" outlineLevel="0" collapsed="false">
      <c r="A4916" s="5" t="s">
        <v>807</v>
      </c>
      <c r="B4916" s="0" t="s">
        <v>86</v>
      </c>
      <c r="C4916" s="38" t="n">
        <f aca="false">0</f>
        <v>0</v>
      </c>
      <c r="D4916" s="38" t="n">
        <f aca="false">0</f>
        <v>0</v>
      </c>
      <c r="E4916" s="38" t="n">
        <f aca="false">0</f>
        <v>0</v>
      </c>
      <c r="F4916" s="38" t="n">
        <f aca="false">0</f>
        <v>0</v>
      </c>
      <c r="G4916" s="38" t="n">
        <f aca="false">0</f>
        <v>0</v>
      </c>
      <c r="H4916" s="38" t="n">
        <f aca="false">0</f>
        <v>0</v>
      </c>
      <c r="I4916" s="38" t="n">
        <f aca="false">0</f>
        <v>0</v>
      </c>
      <c r="J4916" s="38" t="n">
        <f aca="false">0</f>
        <v>0</v>
      </c>
      <c r="K4916" s="38" t="n">
        <f aca="false">0</f>
        <v>0</v>
      </c>
      <c r="L4916" s="38" t="n">
        <f aca="false">0</f>
        <v>0</v>
      </c>
      <c r="M4916" s="38" t="n">
        <f aca="false">0</f>
        <v>0</v>
      </c>
      <c r="P4916" s="8" t="s">
        <v>808</v>
      </c>
    </row>
    <row r="4917" customFormat="false" ht="15" hidden="false" customHeight="false" outlineLevel="0" collapsed="false">
      <c r="A4917" s="3" t="s">
        <v>809</v>
      </c>
      <c r="B4917" s="8" t="s">
        <v>86</v>
      </c>
      <c r="C4917" s="38" t="n">
        <f aca="false">Sens!$C$4914-Sens!$C$4915</f>
        <v>36.176</v>
      </c>
      <c r="D4917" s="38" t="n">
        <f aca="false">Sens!$D$4914-Sens!$D$4915</f>
        <v>9.63700000000002</v>
      </c>
      <c r="E4917" s="38" t="n">
        <f aca="false">Sens!$E$4914-Sens!$E$4915</f>
        <v>-25.691</v>
      </c>
      <c r="F4917" s="38" t="n">
        <f aca="false">Sens!$F$4914-Sens!$F$4915</f>
        <v>-33.2271793268317</v>
      </c>
      <c r="G4917" s="38" t="n">
        <f aca="false">Sens!$G$4914-Sens!$G$4915</f>
        <v>-58.9181793268317</v>
      </c>
      <c r="H4917" s="38" t="n">
        <f aca="false">Sens!$H$4914-Sens!$H$4915</f>
        <v>-55.469694265001</v>
      </c>
      <c r="I4917" s="38" t="n">
        <f aca="false">Sens!$I$4914-Sens!$I$4915</f>
        <v>-17.4977213303378</v>
      </c>
      <c r="J4917" s="38" t="n">
        <f aca="false">Sens!$J$4914-Sens!$J$4915</f>
        <v>21.2775754199092</v>
      </c>
      <c r="K4917" s="38" t="n">
        <f aca="false">Sens!$K$4914-Sens!$K$4915</f>
        <v>116.196856233176</v>
      </c>
      <c r="L4917" s="38" t="n">
        <f aca="false">Sens!$L$4914-Sens!$L$4915</f>
        <v>174.505318234686</v>
      </c>
      <c r="M4917" s="38" t="n">
        <f aca="false">Sens!$M$4914-Sens!$M$4915</f>
        <v>202.95919968687</v>
      </c>
    </row>
    <row r="4918" customFormat="false" ht="17.15" hidden="false" customHeight="false" outlineLevel="0" collapsed="false">
      <c r="A4918" s="5" t="s">
        <v>810</v>
      </c>
      <c r="B4918" s="0" t="s">
        <v>86</v>
      </c>
      <c r="E4918" s="38" t="n">
        <f aca="false">Q!$P$53</f>
        <v>39.767</v>
      </c>
      <c r="F4918" s="38" t="n">
        <f aca="false">inv_2h26</f>
        <v>21.3</v>
      </c>
      <c r="G4918" s="38" t="n">
        <f aca="false">Sens!$E$4918+Sens!$F$4918</f>
        <v>61.067</v>
      </c>
      <c r="H4918" s="39" t="n">
        <v>0</v>
      </c>
      <c r="I4918" s="39" t="n">
        <v>0</v>
      </c>
      <c r="J4918" s="39" t="n">
        <v>0</v>
      </c>
      <c r="K4918" s="39" t="n">
        <v>0</v>
      </c>
      <c r="L4918" s="39" t="n">
        <v>0</v>
      </c>
      <c r="M4918" s="39" t="n">
        <v>0</v>
      </c>
    </row>
    <row r="4919" customFormat="false" ht="17.15" hidden="false" customHeight="false" outlineLevel="0" collapsed="false">
      <c r="A4919" s="5" t="s">
        <v>811</v>
      </c>
      <c r="B4919" s="0" t="s">
        <v>86</v>
      </c>
      <c r="F4919" s="38" t="n">
        <f aca="false">iss_2h26</f>
        <v>29.249999</v>
      </c>
      <c r="G4919" s="38" t="n">
        <f aca="false">Sens!$F$4919</f>
        <v>29.249999</v>
      </c>
      <c r="H4919" s="39" t="n">
        <v>0</v>
      </c>
      <c r="I4919" s="39" t="n">
        <v>0</v>
      </c>
      <c r="J4919" s="39" t="n">
        <v>0</v>
      </c>
      <c r="K4919" s="39" t="n">
        <v>0</v>
      </c>
      <c r="L4919" s="39" t="n">
        <v>0</v>
      </c>
      <c r="M4919" s="39" t="n">
        <v>0</v>
      </c>
    </row>
    <row r="4920" customFormat="false" ht="17.15" hidden="false" customHeight="false" outlineLevel="0" collapsed="false">
      <c r="A4920" s="5" t="s">
        <v>812</v>
      </c>
      <c r="B4920" s="0" t="s">
        <v>86</v>
      </c>
      <c r="F4920" s="38" t="n">
        <f aca="false">cash_q2</f>
        <v>122.988</v>
      </c>
      <c r="G4920" s="38" t="n">
        <f aca="false">cash_q2</f>
        <v>122.988</v>
      </c>
      <c r="H4920" s="38" t="n">
        <f aca="false">Sens!$G$4923</f>
        <v>97.7108196731683</v>
      </c>
      <c r="I4920" s="38" t="n">
        <f aca="false">Sens!$H$4923</f>
        <v>50</v>
      </c>
      <c r="J4920" s="38" t="n">
        <f aca="false">Sens!$I$4923</f>
        <v>50</v>
      </c>
      <c r="K4920" s="38" t="n">
        <f aca="false">Sens!$J$4923</f>
        <v>71.2775754199093</v>
      </c>
      <c r="L4920" s="38" t="n">
        <f aca="false">Sens!$K$4923</f>
        <v>187.474431653085</v>
      </c>
      <c r="M4920" s="38" t="n">
        <f aca="false">Sens!$L$4923</f>
        <v>361.979749887771</v>
      </c>
    </row>
    <row r="4921" customFormat="false" ht="15" hidden="false" customHeight="false" outlineLevel="0" collapsed="false">
      <c r="A4921" s="5" t="s">
        <v>813</v>
      </c>
      <c r="B4921" s="0" t="s">
        <v>86</v>
      </c>
      <c r="F4921" s="38" t="n">
        <f aca="false">Sens!$F$4920+Sens!$F$4917-Sens!$F$4916-Sens!$F$4918+Sens!$F$4919</f>
        <v>97.7108196731683</v>
      </c>
      <c r="H4921" s="38" t="n">
        <f aca="false">Sens!$H$4920+Sens!$H$4917-Sens!$H$4916-Sens!$H$4918+Sens!$H$4919</f>
        <v>42.2411254081672</v>
      </c>
      <c r="I4921" s="38" t="n">
        <f aca="false">Sens!$I$4920+Sens!$I$4917-Sens!$I$4916-Sens!$I$4918+Sens!$I$4919</f>
        <v>32.5022786696622</v>
      </c>
      <c r="J4921" s="38" t="n">
        <f aca="false">Sens!$J$4920+Sens!$J$4917-Sens!$J$4916-Sens!$J$4918+Sens!$J$4919</f>
        <v>71.2775754199093</v>
      </c>
      <c r="K4921" s="38" t="n">
        <f aca="false">Sens!$K$4920+Sens!$K$4917-Sens!$K$4916-Sens!$K$4918+Sens!$K$4919</f>
        <v>187.474431653085</v>
      </c>
      <c r="L4921" s="38" t="n">
        <f aca="false">Sens!$L$4920+Sens!$L$4917-Sens!$L$4916-Sens!$L$4918+Sens!$L$4919</f>
        <v>361.979749887771</v>
      </c>
      <c r="M4921" s="38" t="n">
        <f aca="false">Sens!$M$4920+Sens!$M$4917-Sens!$M$4916-Sens!$M$4918+Sens!$M$4919</f>
        <v>564.938949574641</v>
      </c>
    </row>
    <row r="4922" customFormat="false" ht="17.15" hidden="false" customHeight="false" outlineLevel="0" collapsed="false">
      <c r="A4922" s="5" t="s">
        <v>814</v>
      </c>
      <c r="B4922" s="0" t="s">
        <v>86</v>
      </c>
      <c r="F4922" s="38" t="n">
        <f aca="false">MAX(0,min_cash-Sens!$F$4921)</f>
        <v>0</v>
      </c>
      <c r="G4922" s="38" t="n">
        <f aca="false">Sens!$F$4922</f>
        <v>0</v>
      </c>
      <c r="H4922" s="38" t="n">
        <f aca="false">MAX(0,min_cash-Sens!$H$4921)</f>
        <v>7.75887459183277</v>
      </c>
      <c r="I4922" s="38" t="n">
        <f aca="false">MAX(0,min_cash-Sens!$I$4921)</f>
        <v>17.4977213303378</v>
      </c>
      <c r="J4922" s="38" t="n">
        <f aca="false">MAX(0,min_cash-Sens!$J$4921)</f>
        <v>0</v>
      </c>
      <c r="K4922" s="38" t="n">
        <f aca="false">MAX(0,min_cash-Sens!$K$4921)</f>
        <v>0</v>
      </c>
      <c r="L4922" s="38" t="n">
        <f aca="false">MAX(0,min_cash-Sens!$L$4921)</f>
        <v>0</v>
      </c>
      <c r="M4922" s="38" t="n">
        <f aca="false">MAX(0,min_cash-Sens!$M$4921)</f>
        <v>0</v>
      </c>
      <c r="P4922" s="5" t="s">
        <v>815</v>
      </c>
    </row>
    <row r="4923" customFormat="false" ht="15" hidden="false" customHeight="false" outlineLevel="0" collapsed="false">
      <c r="A4923" s="5" t="s">
        <v>816</v>
      </c>
      <c r="B4923" s="0" t="s">
        <v>86</v>
      </c>
      <c r="D4923" s="38" t="n">
        <f aca="false">Q!$E$61</f>
        <v>123.029</v>
      </c>
      <c r="E4923" s="38" t="n">
        <f aca="false">Q!$M$61</f>
        <v>122.988</v>
      </c>
      <c r="F4923" s="38" t="n">
        <f aca="false">Sens!$F$4921+Sens!$F$4922</f>
        <v>97.7108196731683</v>
      </c>
      <c r="G4923" s="38" t="n">
        <f aca="false">Sens!$F$4923</f>
        <v>97.7108196731683</v>
      </c>
      <c r="H4923" s="38" t="n">
        <f aca="false">Sens!$H$4921+Sens!$H$4922</f>
        <v>50</v>
      </c>
      <c r="I4923" s="38" t="n">
        <f aca="false">Sens!$I$4921+Sens!$I$4922</f>
        <v>50</v>
      </c>
      <c r="J4923" s="38" t="n">
        <f aca="false">Sens!$J$4921+Sens!$J$4922</f>
        <v>71.2775754199093</v>
      </c>
      <c r="K4923" s="38" t="n">
        <f aca="false">Sens!$K$4921+Sens!$K$4922</f>
        <v>187.474431653085</v>
      </c>
      <c r="L4923" s="38" t="n">
        <f aca="false">Sens!$L$4921+Sens!$L$4922</f>
        <v>361.979749887771</v>
      </c>
      <c r="M4923" s="38" t="n">
        <f aca="false">Sens!$M$4921+Sens!$M$4922</f>
        <v>564.938949574641</v>
      </c>
    </row>
    <row r="4924" customFormat="false" ht="15" hidden="false" customHeight="false" outlineLevel="0" collapsed="false">
      <c r="A4924" s="5" t="s">
        <v>817</v>
      </c>
      <c r="B4924" s="0" t="s">
        <v>86</v>
      </c>
      <c r="D4924" s="38" t="n">
        <f aca="false">Q!$E$62</f>
        <v>68.836</v>
      </c>
      <c r="E4924" s="38" t="n">
        <f aca="false">Q!$M$62</f>
        <v>132.995</v>
      </c>
      <c r="F4924" s="38" t="n">
        <f aca="false">debt_q2+Sens!$F$4919+Sens!$F$4922</f>
        <v>162.244999</v>
      </c>
      <c r="G4924" s="38" t="n">
        <f aca="false">Sens!$F$4924</f>
        <v>162.244999</v>
      </c>
      <c r="H4924" s="38" t="n">
        <f aca="false">Sens!$G$4924+Sens!$H$4922</f>
        <v>170.003873591833</v>
      </c>
      <c r="I4924" s="38" t="n">
        <f aca="false">Sens!$H$4924+Sens!$I$4922</f>
        <v>187.501594922171</v>
      </c>
      <c r="J4924" s="38" t="n">
        <f aca="false">Sens!$I$4924+Sens!$J$4922</f>
        <v>187.501594922171</v>
      </c>
      <c r="K4924" s="38" t="n">
        <f aca="false">Sens!$J$4924+Sens!$K$4922</f>
        <v>187.501594922171</v>
      </c>
      <c r="L4924" s="38" t="n">
        <f aca="false">Sens!$K$4924+Sens!$L$4922</f>
        <v>187.501594922171</v>
      </c>
      <c r="M4924" s="38" t="n">
        <f aca="false">Sens!$L$4924+Sens!$M$4922</f>
        <v>187.501594922171</v>
      </c>
    </row>
    <row r="4925" customFormat="false" ht="15" hidden="false" customHeight="false" outlineLevel="0" collapsed="false">
      <c r="A4925" s="5" t="s">
        <v>818</v>
      </c>
      <c r="B4925" s="0" t="s">
        <v>86</v>
      </c>
      <c r="D4925" s="38" t="n">
        <f aca="false">Sens!$D$4924-Sens!$D$4923</f>
        <v>-54.193</v>
      </c>
      <c r="E4925" s="38" t="n">
        <f aca="false">Sens!$E$4924-Sens!$E$4923</f>
        <v>10.007</v>
      </c>
      <c r="F4925" s="38" t="n">
        <f aca="false">Sens!$F$4924-Sens!$F$4923</f>
        <v>64.5341793268317</v>
      </c>
      <c r="G4925" s="38" t="n">
        <f aca="false">Sens!$G$4924-Sens!$G$4923</f>
        <v>64.5341793268317</v>
      </c>
      <c r="H4925" s="38" t="n">
        <f aca="false">Sens!$H$4924-Sens!$H$4923</f>
        <v>120.003873591833</v>
      </c>
      <c r="I4925" s="38" t="n">
        <f aca="false">Sens!$I$4924-Sens!$I$4923</f>
        <v>137.501594922171</v>
      </c>
      <c r="J4925" s="38" t="n">
        <f aca="false">Sens!$J$4924-Sens!$J$4923</f>
        <v>116.224019502261</v>
      </c>
      <c r="K4925" s="38" t="n">
        <f aca="false">Sens!$K$4924-Sens!$K$4923</f>
        <v>0.0271632690852925</v>
      </c>
      <c r="L4925" s="38" t="n">
        <f aca="false">Sens!$L$4924-Sens!$L$4923</f>
        <v>-174.478154965601</v>
      </c>
      <c r="M4925" s="38" t="n">
        <f aca="false">Sens!$M$4924-Sens!$M$4923</f>
        <v>-377.43735465247</v>
      </c>
    </row>
    <row r="4926" customFormat="false" ht="17.15" hidden="false" customHeight="false" outlineLevel="0" collapsed="false">
      <c r="A4926" s="5" t="s">
        <v>819</v>
      </c>
      <c r="B4926" s="0" t="s">
        <v>86</v>
      </c>
      <c r="F4926" s="38" t="n">
        <f aca="false">debt_q2*kd_book*0.5+iss_2h26*kd_new*iss_t</f>
        <v>3.24888962733561</v>
      </c>
      <c r="H4926" s="38" t="n">
        <f aca="false">debt_q2*kd_book+(Sens!$G$4924-debt_q2)*kd_new</f>
        <v>7.42354172302123</v>
      </c>
      <c r="I4926" s="38" t="n">
        <f aca="false">debt_q2*kd_book+(Sens!$H$4924-debt_q2)*kd_new</f>
        <v>7.91467848468424</v>
      </c>
      <c r="J4926" s="38" t="n">
        <f aca="false">debt_q2*kd_book+(Sens!$I$4924-debt_q2)*kd_new</f>
        <v>9.02228424489463</v>
      </c>
      <c r="K4926" s="38" t="n">
        <f aca="false">debt_q2*kd_book+(Sens!$J$4924-debt_q2)*kd_new</f>
        <v>9.02228424489463</v>
      </c>
      <c r="L4926" s="38" t="n">
        <f aca="false">debt_q2*kd_book+(Sens!$K$4924-debt_q2)*kd_new</f>
        <v>9.02228424489463</v>
      </c>
      <c r="M4926" s="38" t="n">
        <f aca="false">debt_q2*kd_book+(Sens!$L$4924-debt_q2)*kd_new</f>
        <v>9.02228424489463</v>
      </c>
    </row>
    <row r="4927" customFormat="false" ht="17.15" hidden="false" customHeight="false" outlineLevel="0" collapsed="false">
      <c r="A4927" s="5" t="s">
        <v>820</v>
      </c>
      <c r="B4927" s="0" t="s">
        <v>86</v>
      </c>
      <c r="F4927" s="38" t="n">
        <f aca="false">cash_q2*y_cash*0.5</f>
        <v>2.59</v>
      </c>
      <c r="H4927" s="38" t="n">
        <f aca="false">Sens!$G$4923*y_cash</f>
        <v>4.1153774832261</v>
      </c>
      <c r="I4927" s="38" t="n">
        <f aca="false">Sens!$H$4923*y_cash</f>
        <v>2.10589651022864</v>
      </c>
      <c r="J4927" s="38" t="n">
        <f aca="false">Sens!$I$4923*y_cash</f>
        <v>2.10589651022864</v>
      </c>
      <c r="K4927" s="38" t="n">
        <f aca="false">Sens!$J$4923*y_cash</f>
        <v>3.00206394668691</v>
      </c>
      <c r="L4927" s="38" t="n">
        <f aca="false">Sens!$K$4923*y_cash</f>
        <v>7.8960350275066</v>
      </c>
      <c r="M4927" s="38" t="n">
        <f aca="false">Sens!$L$4923*y_cash</f>
        <v>15.2458378412419</v>
      </c>
    </row>
    <row r="4928" customFormat="false" ht="17.15" hidden="false" customHeight="false" outlineLevel="0" collapsed="false">
      <c r="A4928" s="47" t="s">
        <v>821</v>
      </c>
      <c r="B4928" s="14" t="s">
        <v>86</v>
      </c>
      <c r="C4928" s="14"/>
      <c r="D4928" s="14"/>
      <c r="E4928" s="14"/>
      <c r="F4928" s="14"/>
      <c r="G4928" s="48" t="n">
        <f aca="false">SUM(Sens!$G$4917:$K$4917)</f>
        <v>5.58883673091469</v>
      </c>
      <c r="H4928" s="14"/>
      <c r="I4928" s="14"/>
      <c r="J4928" s="14"/>
      <c r="K4928" s="14"/>
      <c r="L4928" s="14"/>
      <c r="M4928" s="14"/>
      <c r="N4928" s="14"/>
      <c r="O4928" s="14"/>
    </row>
    <row r="4929" customFormat="false" ht="17.15" hidden="false" customHeight="false" outlineLevel="0" collapsed="false">
      <c r="A4929" s="0" t="s">
        <v>787</v>
      </c>
      <c r="B4929" s="0" t="s">
        <v>86</v>
      </c>
      <c r="G4929" s="38" t="n">
        <f aca="false">SUM(Sens!$G$4922:$K$4922)</f>
        <v>25.2565959221706</v>
      </c>
    </row>
    <row r="4930" customFormat="false" ht="17.15" hidden="false" customHeight="false" outlineLevel="0" collapsed="false">
      <c r="A4930" s="24" t="s">
        <v>824</v>
      </c>
      <c r="B4930" s="25" t="s">
        <v>86</v>
      </c>
      <c r="C4930" s="25"/>
      <c r="D4930" s="25"/>
      <c r="E4930" s="25"/>
      <c r="F4930" s="25"/>
      <c r="G4930" s="41" t="n">
        <f aca="false">Sens!$G$4928-(Sens!$G$4917+Sens!$H$4917+Sens!$I$4917+Sens!$J$4917+Sens!$K$4917)</f>
        <v>0</v>
      </c>
      <c r="H4930" s="25"/>
      <c r="I4930" s="25"/>
      <c r="J4930" s="25"/>
      <c r="K4930" s="25"/>
      <c r="L4930" s="25"/>
      <c r="M4930" s="25"/>
      <c r="N4930" s="25"/>
      <c r="O4930" s="25"/>
    </row>
    <row r="4933" customFormat="false" ht="19.4" hidden="false" customHeight="false" outlineLevel="0" collapsed="false">
      <c r="A4933" s="31" t="s">
        <v>1251</v>
      </c>
    </row>
    <row r="4934" customFormat="false" ht="17.15" hidden="false" customHeight="false" outlineLevel="0" collapsed="false">
      <c r="A4934" s="6" t="s">
        <v>16</v>
      </c>
      <c r="B4934" s="6" t="s">
        <v>17</v>
      </c>
      <c r="C4934" s="20" t="s">
        <v>504</v>
      </c>
      <c r="D4934" s="20" t="s">
        <v>505</v>
      </c>
      <c r="E4934" s="20" t="s">
        <v>587</v>
      </c>
      <c r="F4934" s="20" t="s">
        <v>588</v>
      </c>
      <c r="G4934" s="20" t="s">
        <v>589</v>
      </c>
      <c r="H4934" s="20" t="s">
        <v>590</v>
      </c>
      <c r="I4934" s="20" t="s">
        <v>591</v>
      </c>
      <c r="J4934" s="20" t="s">
        <v>592</v>
      </c>
      <c r="K4934" s="20" t="s">
        <v>593</v>
      </c>
      <c r="L4934" s="20" t="s">
        <v>594</v>
      </c>
      <c r="M4934" s="20" t="s">
        <v>595</v>
      </c>
      <c r="N4934" s="20" t="s">
        <v>596</v>
      </c>
      <c r="O4934" s="20" t="s">
        <v>597</v>
      </c>
      <c r="P4934" s="6" t="s">
        <v>23</v>
      </c>
      <c r="R4934" s="20" t="n">
        <v>2023</v>
      </c>
      <c r="S4934" s="20" t="n">
        <v>2024</v>
      </c>
      <c r="T4934" s="20" t="n">
        <v>2025</v>
      </c>
      <c r="U4934" s="20" t="n">
        <v>2026</v>
      </c>
      <c r="V4934" s="20" t="n">
        <v>2027</v>
      </c>
      <c r="W4934" s="20" t="n">
        <v>2028</v>
      </c>
      <c r="X4934" s="20" t="n">
        <v>2029</v>
      </c>
      <c r="Y4934" s="20" t="n">
        <v>2030</v>
      </c>
      <c r="Z4934" s="20" t="n">
        <v>2031</v>
      </c>
      <c r="AA4934" s="20" t="n">
        <v>2032</v>
      </c>
    </row>
    <row r="4935" customFormat="false" ht="17.15" hidden="false" customHeight="false" outlineLevel="0" collapsed="false">
      <c r="A4935" s="1" t="s">
        <v>926</v>
      </c>
    </row>
    <row r="4936" customFormat="false" ht="17.15" hidden="false" customHeight="false" outlineLevel="0" collapsed="false">
      <c r="A4936" s="0" t="s">
        <v>927</v>
      </c>
      <c r="B4936" s="0" t="s">
        <v>86</v>
      </c>
      <c r="H4936" s="38" t="n">
        <f aca="false">Sens!$H$4870*(1-tax)</f>
        <v>118.451403132083</v>
      </c>
      <c r="I4936" s="38" t="n">
        <f aca="false">Sens!$I$4870*(1-tax)</f>
        <v>138.847864215253</v>
      </c>
      <c r="J4936" s="38" t="n">
        <f aca="false">Sens!$J$4870*(1-tax)</f>
        <v>161.341200721985</v>
      </c>
      <c r="K4936" s="38" t="n">
        <f aca="false">Sens!$K$4870*(1-tax)</f>
        <v>176.801019889747</v>
      </c>
      <c r="L4936" s="38" t="n">
        <f aca="false">Sens!$L$4870*(1-tax)</f>
        <v>190.362429761094</v>
      </c>
      <c r="M4936" s="38" t="n">
        <f aca="false">Sens!$M$4870*(1-tax)</f>
        <v>202.155867385909</v>
      </c>
    </row>
    <row r="4937" customFormat="false" ht="15" hidden="false" customHeight="false" outlineLevel="0" collapsed="false">
      <c r="A4937" s="5" t="s">
        <v>928</v>
      </c>
      <c r="B4937" s="0" t="s">
        <v>86</v>
      </c>
      <c r="H4937" s="38" t="n">
        <f aca="false">Sens!$H$4881</f>
        <v>81.5618233196153</v>
      </c>
      <c r="I4937" s="38" t="n">
        <f aca="false">Sens!$I$4881</f>
        <v>118.756208740204</v>
      </c>
      <c r="J4937" s="38" t="n">
        <f aca="false">Sens!$J$4881</f>
        <v>152.469489406791</v>
      </c>
      <c r="K4937" s="38" t="n">
        <f aca="false">Sens!$K$4881</f>
        <v>186.391502623819</v>
      </c>
      <c r="L4937" s="38" t="n">
        <f aca="false">Sens!$L$4881</f>
        <v>211.926422215482</v>
      </c>
      <c r="M4937" s="38" t="n">
        <f aca="false">Sens!$M$4881</f>
        <v>229.012482097906</v>
      </c>
    </row>
    <row r="4938" customFormat="false" ht="15" hidden="false" customHeight="false" outlineLevel="0" collapsed="false">
      <c r="A4938" s="5" t="s">
        <v>929</v>
      </c>
      <c r="B4938" s="0" t="s">
        <v>86</v>
      </c>
      <c r="H4938" s="38" t="n">
        <f aca="false">Sens!$H$4912</f>
        <v>273.372679834898</v>
      </c>
      <c r="I4938" s="38" t="n">
        <f aca="false">Sens!$I$4912</f>
        <v>286.981812228425</v>
      </c>
      <c r="J4938" s="38" t="n">
        <f aca="false">Sens!$J$4912</f>
        <v>299.316513378366</v>
      </c>
      <c r="K4938" s="38" t="n">
        <f aca="false">Sens!$K$4912</f>
        <v>251.057145512292</v>
      </c>
      <c r="L4938" s="38" t="n">
        <f aca="false">Sens!$L$4912</f>
        <v>234.696330860396</v>
      </c>
      <c r="M4938" s="38" t="n">
        <f aca="false">Sens!$M$4912</f>
        <v>242.291696043352</v>
      </c>
    </row>
    <row r="4939" customFormat="false" ht="15" hidden="false" customHeight="false" outlineLevel="0" collapsed="false">
      <c r="A4939" s="5" t="s">
        <v>930</v>
      </c>
      <c r="B4939" s="0" t="s">
        <v>86</v>
      </c>
      <c r="H4939" s="38" t="n">
        <f aca="false">Sens!$H$4913</f>
        <v>1.6</v>
      </c>
      <c r="I4939" s="38" t="n">
        <f aca="false">Sens!$I$4913</f>
        <v>1.6</v>
      </c>
      <c r="J4939" s="38" t="n">
        <f aca="false">Sens!$J$4913</f>
        <v>1.6</v>
      </c>
      <c r="K4939" s="38" t="n">
        <f aca="false">Sens!$K$4913</f>
        <v>1.6</v>
      </c>
      <c r="L4939" s="38" t="n">
        <f aca="false">Sens!$L$4913</f>
        <v>1.6</v>
      </c>
      <c r="M4939" s="38" t="n">
        <f aca="false">Sens!$M$4913</f>
        <v>1.6</v>
      </c>
    </row>
    <row r="4940" customFormat="false" ht="15" hidden="false" customHeight="false" outlineLevel="0" collapsed="false">
      <c r="A4940" s="5" t="s">
        <v>931</v>
      </c>
      <c r="B4940" s="0" t="s">
        <v>86</v>
      </c>
      <c r="H4940" s="38" t="n">
        <f aca="false">Sens!$H$4907</f>
        <v>11.2928295263397</v>
      </c>
      <c r="I4940" s="38" t="n">
        <f aca="false">Sens!$I$4907</f>
        <v>12.8091546115766</v>
      </c>
      <c r="J4940" s="38" t="n">
        <f aca="false">Sens!$J$4907</f>
        <v>14.2605653162668</v>
      </c>
      <c r="K4940" s="38" t="n">
        <f aca="false">Sens!$K$4907</f>
        <v>15.5327622460396</v>
      </c>
      <c r="L4940" s="38" t="n">
        <f aca="false">Sens!$L$4907</f>
        <v>16.720573737517</v>
      </c>
      <c r="M4940" s="38" t="n">
        <f aca="false">Sens!$M$4907</f>
        <v>17.8283127551536</v>
      </c>
    </row>
    <row r="4941" customFormat="false" ht="17.15" hidden="false" customHeight="false" outlineLevel="0" collapsed="false">
      <c r="A4941" s="1" t="s">
        <v>932</v>
      </c>
      <c r="B4941" s="8" t="s">
        <v>86</v>
      </c>
      <c r="H4941" s="38" t="n">
        <f aca="false">Sens!$H$4936+Sens!$H$4937-Sens!$H$4938-Sens!$H$4939+Sens!$H$4940</f>
        <v>-63.6666238568606</v>
      </c>
      <c r="I4941" s="38" t="n">
        <f aca="false">Sens!$I$4936+Sens!$I$4937-Sens!$I$4938-Sens!$I$4939+Sens!$I$4940</f>
        <v>-18.1685846613912</v>
      </c>
      <c r="J4941" s="38" t="n">
        <f aca="false">Sens!$J$4936+Sens!$J$4937-Sens!$J$4938-Sens!$J$4939+Sens!$J$4940</f>
        <v>27.1547420666771</v>
      </c>
      <c r="K4941" s="38" t="n">
        <f aca="false">Sens!$K$4936+Sens!$K$4937-Sens!$K$4938-Sens!$K$4939+Sens!$K$4940</f>
        <v>126.068139247314</v>
      </c>
      <c r="L4941" s="38" t="n">
        <f aca="false">Sens!$L$4936+Sens!$L$4937-Sens!$L$4938-Sens!$L$4939+Sens!$L$4940</f>
        <v>182.713094853698</v>
      </c>
      <c r="M4941" s="38" t="n">
        <f aca="false">Sens!$M$4936+Sens!$M$4937-Sens!$M$4938-Sens!$M$4939+Sens!$M$4940</f>
        <v>205.104966195617</v>
      </c>
    </row>
    <row r="4942" customFormat="false" ht="15" hidden="false" customHeight="false" outlineLevel="0" collapsed="false">
      <c r="A4942" s="5" t="s">
        <v>933</v>
      </c>
      <c r="B4942" s="0" t="s">
        <v>57</v>
      </c>
      <c r="H4942" s="40" t="n">
        <f aca="false">1/(1+wacc)^(2027-2026-0.5)</f>
        <v>0.947751320380232</v>
      </c>
      <c r="I4942" s="40" t="n">
        <f aca="false">1/(1+wacc)^(2028-2026-0.5)</f>
        <v>0.851301099754987</v>
      </c>
      <c r="J4942" s="40" t="n">
        <f aca="false">1/(1+wacc)^(2029-2026-0.5)</f>
        <v>0.764666370660713</v>
      </c>
      <c r="K4942" s="40" t="n">
        <f aca="false">1/(1+wacc)^(2030-2026-0.5)</f>
        <v>0.686848235703811</v>
      </c>
      <c r="L4942" s="40" t="n">
        <f aca="false">1/(1+wacc)^(2031-2026-0.5)</f>
        <v>0.616949452715975</v>
      </c>
      <c r="M4942" s="40" t="n">
        <f aca="false">1/(1+wacc)^(2032-2026-0.5)</f>
        <v>0.554164089562688</v>
      </c>
    </row>
    <row r="4943" customFormat="false" ht="15" hidden="false" customHeight="false" outlineLevel="0" collapsed="false">
      <c r="A4943" s="5" t="s">
        <v>934</v>
      </c>
      <c r="B4943" s="0" t="s">
        <v>86</v>
      </c>
      <c r="H4943" s="38" t="n">
        <f aca="false">Sens!$H$4941*Sens!$H$4942</f>
        <v>-60.3401268244912</v>
      </c>
      <c r="I4943" s="38" t="n">
        <f aca="false">Sens!$I$4941*Sens!$I$4942</f>
        <v>-15.4669361032339</v>
      </c>
      <c r="J4943" s="38" t="n">
        <f aca="false">Sens!$J$4941*Sens!$J$4942</f>
        <v>20.7643180623537</v>
      </c>
      <c r="K4943" s="38" t="n">
        <f aca="false">Sens!$K$4941*Sens!$K$4942</f>
        <v>86.5896790204796</v>
      </c>
      <c r="L4943" s="38" t="n">
        <f aca="false">Sens!$L$4941*Sens!$L$4942</f>
        <v>112.724743874031</v>
      </c>
      <c r="M4943" s="38" t="n">
        <f aca="false">Sens!$M$4941*Sens!$M$4942</f>
        <v>113.66180685658</v>
      </c>
    </row>
    <row r="4944" customFormat="false" ht="15" hidden="false" customHeight="false" outlineLevel="0" collapsed="false">
      <c r="A4944" s="5" t="s">
        <v>935</v>
      </c>
      <c r="B4944" s="0" t="s">
        <v>86</v>
      </c>
      <c r="C4944" s="38" t="n">
        <f aca="false">SUM(Sens!$H$4943:$M$4943)</f>
        <v>257.933484885719</v>
      </c>
    </row>
    <row r="4945" customFormat="false" ht="17.15" hidden="false" customHeight="false" outlineLevel="0" collapsed="false">
      <c r="A4945" s="5" t="s">
        <v>936</v>
      </c>
      <c r="B4945" s="0" t="s">
        <v>86</v>
      </c>
      <c r="C4945" s="38" t="n">
        <f aca="false">Sens!$M$4936*(1+tg)*(1-tg/ronic)/(wacc-tg)</f>
        <v>1837.82241704876</v>
      </c>
    </row>
    <row r="4946" customFormat="false" ht="15" hidden="false" customHeight="false" outlineLevel="0" collapsed="false">
      <c r="A4946" s="5" t="s">
        <v>937</v>
      </c>
      <c r="B4946" s="0" t="s">
        <v>86</v>
      </c>
      <c r="C4946" s="38" t="n">
        <f aca="false">Sens!$C$4945/(1+wacc)^6</f>
        <v>965.242247774062</v>
      </c>
    </row>
    <row r="4947" customFormat="false" ht="17.15" hidden="false" customHeight="false" outlineLevel="0" collapsed="false">
      <c r="A4947" s="5" t="s">
        <v>938</v>
      </c>
      <c r="B4947" s="0" t="s">
        <v>86</v>
      </c>
      <c r="C4947" s="38" t="n">
        <f aca="false">Sens!$C$4944+Sens!$C$4946</f>
        <v>1223.17573265978</v>
      </c>
    </row>
    <row r="4948" customFormat="false" ht="17.15" hidden="false" customHeight="false" outlineLevel="0" collapsed="false">
      <c r="A4948" s="5" t="s">
        <v>939</v>
      </c>
      <c r="B4948" s="0" t="s">
        <v>52</v>
      </c>
      <c r="C4948" s="13" t="n">
        <f aca="false">Sens!$C$4946/Sens!$C$4947</f>
        <v>0.789128023064318</v>
      </c>
    </row>
    <row r="4949" customFormat="false" ht="17.15" hidden="false" customHeight="false" outlineLevel="0" collapsed="false">
      <c r="A4949" s="5" t="s">
        <v>940</v>
      </c>
      <c r="B4949" s="0" t="s">
        <v>86</v>
      </c>
      <c r="C4949" s="38" t="n">
        <f aca="false">Sens!$G$4925+fin_debt</f>
        <v>89.0551793268317</v>
      </c>
    </row>
    <row r="4950" customFormat="false" ht="17.15" hidden="false" customHeight="false" outlineLevel="0" collapsed="false">
      <c r="A4950" s="5" t="s">
        <v>941</v>
      </c>
      <c r="B4950" s="0" t="s">
        <v>86</v>
      </c>
      <c r="C4950" s="38" t="n">
        <f aca="false">(ant_val*ant_sh+oai_val*oai_sh)*(1-liq_disc)</f>
        <v>178.944</v>
      </c>
    </row>
    <row r="4951" customFormat="false" ht="15" hidden="false" customHeight="false" outlineLevel="0" collapsed="false">
      <c r="A4951" s="5" t="s">
        <v>942</v>
      </c>
      <c r="B4951" s="0" t="s">
        <v>86</v>
      </c>
      <c r="C4951" s="38" t="n">
        <f aca="false">Sens!$C$4947-Sens!$C$4949+Sens!$C$4950</f>
        <v>1313.06455333295</v>
      </c>
    </row>
    <row r="4952" customFormat="false" ht="17.15" hidden="false" customHeight="false" outlineLevel="0" collapsed="false">
      <c r="A4952" s="5" t="s">
        <v>943</v>
      </c>
      <c r="B4952" s="0" t="s">
        <v>27</v>
      </c>
      <c r="C4952" s="30" t="n">
        <f aca="false">Sens!$C$4951/sh_out</f>
        <v>121.734315664549</v>
      </c>
    </row>
    <row r="4953" customFormat="false" ht="17.15" hidden="false" customHeight="false" outlineLevel="0" collapsed="false">
      <c r="A4953" s="1" t="s">
        <v>944</v>
      </c>
      <c r="B4953" s="8" t="s">
        <v>27</v>
      </c>
      <c r="C4953" s="30" t="n">
        <f aca="false">Sens!$C$4952*(1+ke)^tp_yf-dps*tp_yf</f>
        <v>133.343976925857</v>
      </c>
    </row>
    <row r="4954" customFormat="false" ht="17.15" hidden="false" customHeight="false" outlineLevel="0" collapsed="false">
      <c r="A4954" s="3" t="s">
        <v>945</v>
      </c>
    </row>
    <row r="4955" customFormat="false" ht="17.15" hidden="false" customHeight="false" outlineLevel="0" collapsed="false">
      <c r="A4955" s="5" t="s">
        <v>946</v>
      </c>
      <c r="B4955" s="0" t="s">
        <v>86</v>
      </c>
      <c r="C4955" s="38" t="n">
        <f aca="false">(1-tp_yf)*(Sens!$H$4882+sbc_ab*Sens!$H$4906*Sens!$H$4743/Sens!$H$4823)+tp_yf*(Sens!$I$4882+sbc_ab*Sens!$I$4906*Sens!$I$4743/Sens!$I$4823)</f>
        <v>59.634664536349</v>
      </c>
    </row>
    <row r="4956" customFormat="false" ht="15" hidden="false" customHeight="false" outlineLevel="0" collapsed="false">
      <c r="A4956" s="5" t="s">
        <v>947</v>
      </c>
      <c r="B4956" s="0" t="s">
        <v>57</v>
      </c>
      <c r="C4956" s="30" t="n">
        <f aca="false">m_ads*m_x</f>
        <v>9.11</v>
      </c>
    </row>
    <row r="4957" customFormat="false" ht="17.15" hidden="false" customHeight="false" outlineLevel="0" collapsed="false">
      <c r="A4957" s="5" t="s">
        <v>948</v>
      </c>
      <c r="B4957" s="0" t="s">
        <v>86</v>
      </c>
      <c r="C4957" s="38" t="n">
        <f aca="false">Sens!$C$4955*Sens!$C$4956</f>
        <v>543.271793926139</v>
      </c>
    </row>
    <row r="4958" customFormat="false" ht="17.15" hidden="false" customHeight="false" outlineLevel="0" collapsed="false">
      <c r="A4958" s="5" t="s">
        <v>949</v>
      </c>
      <c r="B4958" s="0" t="s">
        <v>86</v>
      </c>
      <c r="C4958" s="38" t="n">
        <f aca="false">(1-tp_yf)*(Sens!$H$4883+sbc_ab*Sens!$H$4906*(Sens!$H$4750-Sens!$H$4743)/Sens!$H$4823+IF(internal_ai_reading=2,1,0)*(1-ext_sh)*Sens!$H$4780)+tp_yf*(Sens!$I$4883+sbc_ab*Sens!$I$4906*(Sens!$I$4750-Sens!$I$4743)/Sens!$I$4823+IF(internal_ai_reading=2,1,0)*(1-ext_sh)*Sens!$I$4780)</f>
        <v>49.0592540027342</v>
      </c>
    </row>
    <row r="4959" customFormat="false" ht="17.15" hidden="false" customHeight="false" outlineLevel="0" collapsed="false">
      <c r="A4959" s="5" t="s">
        <v>950</v>
      </c>
      <c r="B4959" s="0" t="s">
        <v>57</v>
      </c>
      <c r="C4959" s="30" t="n">
        <f aca="false">m_retail*m_x</f>
        <v>17.72</v>
      </c>
    </row>
    <row r="4960" customFormat="false" ht="17.15" hidden="false" customHeight="false" outlineLevel="0" collapsed="false">
      <c r="A4960" s="5" t="s">
        <v>951</v>
      </c>
      <c r="B4960" s="0" t="s">
        <v>86</v>
      </c>
      <c r="C4960" s="38" t="n">
        <f aca="false">Sens!$C$4958*Sens!$C$4959</f>
        <v>869.32998092845</v>
      </c>
    </row>
    <row r="4961" customFormat="false" ht="17.15" hidden="false" customHeight="false" outlineLevel="0" collapsed="false">
      <c r="A4961" s="0" t="s">
        <v>952</v>
      </c>
      <c r="B4961" s="0" t="s">
        <v>86</v>
      </c>
      <c r="C4961" s="38" t="n">
        <f aca="false">(1-tp_yf)*(Sens!$H$4884+sbc_ab*Sens!$H$4906*Sens!$H$4821/Sens!$H$4823)+tp_yf*(Sens!$I$4884+sbc_ab*Sens!$I$4906*Sens!$I$4821/Sens!$I$4823)</f>
        <v>97.2337130506861</v>
      </c>
    </row>
    <row r="4962" customFormat="false" ht="17.15" hidden="false" customHeight="false" outlineLevel="0" collapsed="false">
      <c r="A4962" s="0" t="s">
        <v>953</v>
      </c>
      <c r="B4962" s="0" t="s">
        <v>57</v>
      </c>
      <c r="C4962" s="30" t="n">
        <f aca="false">m_cloud*m_x</f>
        <v>13.82</v>
      </c>
    </row>
    <row r="4963" customFormat="false" ht="17.15" hidden="false" customHeight="false" outlineLevel="0" collapsed="false">
      <c r="A4963" s="0" t="s">
        <v>954</v>
      </c>
      <c r="B4963" s="0" t="s">
        <v>86</v>
      </c>
      <c r="C4963" s="38" t="n">
        <f aca="false">Sens!$C$4961*Sens!$C$4962</f>
        <v>1343.76991436048</v>
      </c>
    </row>
    <row r="4964" customFormat="false" ht="17.15" hidden="false" customHeight="false" outlineLevel="0" collapsed="false">
      <c r="A4964" s="0" t="s">
        <v>955</v>
      </c>
      <c r="B4964" s="0" t="s">
        <v>86</v>
      </c>
      <c r="H4964" s="38" t="n">
        <f aca="false">Sens!$H$4802-tax*Sens!$H$4803-ext_sh*Sens!$H$4787</f>
        <v>-115.41576008619</v>
      </c>
      <c r="I4964" s="38" t="n">
        <f aca="false">Sens!$I$4802-tax*Sens!$I$4803-ext_sh*Sens!$I$4787</f>
        <v>-88.5401912683161</v>
      </c>
      <c r="J4964" s="38" t="n">
        <f aca="false">Sens!$J$4802-tax*Sens!$J$4803-ext_sh*Sens!$J$4787</f>
        <v>-61.2977422866746</v>
      </c>
      <c r="K4964" s="38" t="n">
        <f aca="false">Sens!$K$4802-tax*Sens!$K$4803-ext_sh*Sens!$K$4787</f>
        <v>9.91264760007891</v>
      </c>
      <c r="L4964" s="38" t="n">
        <f aca="false">Sens!$L$4802-tax*Sens!$L$4803-ext_sh*Sens!$L$4787</f>
        <v>46.750156871371</v>
      </c>
      <c r="M4964" s="38" t="n">
        <f aca="false">Sens!$M$4802-tax*Sens!$M$4803-ext_sh*Sens!$M$4787</f>
        <v>55.5634749071557</v>
      </c>
    </row>
    <row r="4965" customFormat="false" ht="17.15" hidden="false" customHeight="false" outlineLevel="0" collapsed="false">
      <c r="A4965" s="5" t="s">
        <v>956</v>
      </c>
      <c r="B4965" s="0" t="s">
        <v>86</v>
      </c>
      <c r="H4965" s="38" t="n">
        <f aca="false">Sens!$H$4964*Sens!$H$4942</f>
        <v>-109.385439014374</v>
      </c>
      <c r="I4965" s="38" t="n">
        <f aca="false">Sens!$I$4964*Sens!$I$4942</f>
        <v>-75.3743621992344</v>
      </c>
      <c r="J4965" s="38" t="n">
        <f aca="false">Sens!$J$4964*Sens!$J$4942</f>
        <v>-46.8723221240472</v>
      </c>
      <c r="K4965" s="38" t="n">
        <f aca="false">Sens!$K$4964*Sens!$K$4942</f>
        <v>6.80848451526782</v>
      </c>
      <c r="L4965" s="38" t="n">
        <f aca="false">Sens!$L$4964*Sens!$L$4942</f>
        <v>28.8424836961783</v>
      </c>
      <c r="M4965" s="38" t="n">
        <f aca="false">Sens!$M$4964*Sens!$M$4942</f>
        <v>30.7912824848632</v>
      </c>
    </row>
    <row r="4966" customFormat="false" ht="17.15" hidden="false" customHeight="false" outlineLevel="0" collapsed="false">
      <c r="A4966" s="5" t="s">
        <v>957</v>
      </c>
      <c r="B4966" s="0" t="s">
        <v>86</v>
      </c>
      <c r="C4966" s="38" t="n">
        <f aca="false">Sens!$M$4803*(1-tax)*(1+tg)*(1-tg/ronic)/(wacc-tg)</f>
        <v>356.180381489473</v>
      </c>
    </row>
    <row r="4967" customFormat="false" ht="17.15" hidden="false" customHeight="false" outlineLevel="0" collapsed="false">
      <c r="A4967" s="0" t="s">
        <v>958</v>
      </c>
      <c r="B4967" s="0" t="s">
        <v>86</v>
      </c>
      <c r="C4967" s="38" t="n">
        <f aca="false">(SUM(Sens!$I$4965:$M$4965)+Sens!$C$4966/(1+wacc)^6)*(1+wacc)^tp_yf</f>
        <v>143.3703803388</v>
      </c>
    </row>
    <row r="4968" customFormat="false" ht="17.15" hidden="false" customHeight="false" outlineLevel="0" collapsed="false">
      <c r="A4968" s="5" t="s">
        <v>959</v>
      </c>
      <c r="B4968" s="0" t="s">
        <v>86</v>
      </c>
      <c r="C4968" s="38" t="n">
        <f aca="false">(1-tp_yf)*(Sens!$H$4885)+tp_yf*(Sens!$I$4885)</f>
        <v>74.6707041238437</v>
      </c>
    </row>
    <row r="4969" customFormat="false" ht="17.15" hidden="false" customHeight="false" outlineLevel="0" collapsed="false">
      <c r="A4969" s="5" t="s">
        <v>960</v>
      </c>
      <c r="B4969" s="0" t="s">
        <v>86</v>
      </c>
      <c r="C4969" s="38" t="n">
        <f aca="false">Sens!$C$4968*m_ai</f>
        <v>448.024224743062</v>
      </c>
    </row>
    <row r="4970" customFormat="false" ht="17.15" hidden="false" customHeight="false" outlineLevel="0" collapsed="false">
      <c r="A4970" s="0" t="s">
        <v>961</v>
      </c>
      <c r="B4970" s="0" t="s">
        <v>86</v>
      </c>
      <c r="C4970" s="38" t="n">
        <f aca="false">IF(ai_leg=1,Sens!$C$4967,Sens!$C$4969)</f>
        <v>143.3703803388</v>
      </c>
    </row>
    <row r="4971" customFormat="false" ht="17.15" hidden="false" customHeight="false" outlineLevel="0" collapsed="false">
      <c r="A4971" s="5" t="s">
        <v>962</v>
      </c>
      <c r="B4971" s="0" t="s">
        <v>86</v>
      </c>
      <c r="C4971" s="38" t="n">
        <f aca="false">Sens!$C$4957+Sens!$C$4960+Sens!$C$4963+Sens!$C$4970</f>
        <v>2899.74206955387</v>
      </c>
    </row>
    <row r="4972" customFormat="false" ht="17.15" hidden="false" customHeight="false" outlineLevel="0" collapsed="false">
      <c r="A4972" s="5" t="s">
        <v>963</v>
      </c>
      <c r="B4972" s="0" t="s">
        <v>86</v>
      </c>
      <c r="C4972" s="38" t="n">
        <f aca="false">Sens!$H$4925+fin_debt</f>
        <v>144.524873591833</v>
      </c>
    </row>
    <row r="4973" customFormat="false" ht="15" hidden="false" customHeight="false" outlineLevel="0" collapsed="false">
      <c r="A4973" s="5" t="s">
        <v>964</v>
      </c>
      <c r="B4973" s="0" t="s">
        <v>86</v>
      </c>
      <c r="C4973" s="38" t="n">
        <f aca="false">Sens!$C$4971-Sens!$C$4972+Sens!$C$4950</f>
        <v>2934.16119596204</v>
      </c>
    </row>
    <row r="4974" customFormat="false" ht="15" hidden="false" customHeight="false" outlineLevel="0" collapsed="false">
      <c r="A4974" s="3" t="s">
        <v>965</v>
      </c>
      <c r="B4974" s="8" t="s">
        <v>27</v>
      </c>
      <c r="C4974" s="30" t="n">
        <f aca="false">Sens!$C$4973/sh_val</f>
        <v>266.008854866873</v>
      </c>
    </row>
    <row r="4975" customFormat="false" ht="17.15" hidden="false" customHeight="false" outlineLevel="0" collapsed="false">
      <c r="A4975" s="47" t="s">
        <v>966</v>
      </c>
      <c r="B4975" s="14" t="s">
        <v>27</v>
      </c>
      <c r="C4975" s="44" t="n">
        <f aca="false">w_dcf*Sens!$C$4953+(1-w_dcf)*Sens!$C$4974</f>
        <v>199.676415896365</v>
      </c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</row>
    <row r="4976" customFormat="false" ht="17.15" hidden="false" customHeight="false" outlineLevel="0" collapsed="false">
      <c r="A4976" s="5" t="s">
        <v>967</v>
      </c>
      <c r="B4976" s="0" t="s">
        <v>27</v>
      </c>
      <c r="C4976" s="30" t="n">
        <f aca="false">v022_wdcf*Sens!$C$4953+(1-v022_wdcf)*Sens!$C$4974</f>
        <v>206.309659793416</v>
      </c>
    </row>
    <row r="4977" customFormat="false" ht="17.15" hidden="false" customHeight="false" outlineLevel="0" collapsed="false">
      <c r="A4977" s="5" t="s">
        <v>968</v>
      </c>
      <c r="B4977" s="0" t="s">
        <v>27</v>
      </c>
      <c r="C4977" s="30" t="n">
        <f aca="false">(Sens!$C$4973-Sens!$C$4970+Sens!$C$4969)/sh_val</f>
        <v>293.628544061964</v>
      </c>
    </row>
    <row r="4980" customFormat="false" ht="19.4" hidden="false" customHeight="false" outlineLevel="0" collapsed="false">
      <c r="A4980" s="31" t="s">
        <v>1252</v>
      </c>
    </row>
    <row r="4981" customFormat="false" ht="17.15" hidden="false" customHeight="false" outlineLevel="0" collapsed="false">
      <c r="A4981" s="6" t="s">
        <v>16</v>
      </c>
      <c r="B4981" s="6" t="s">
        <v>17</v>
      </c>
      <c r="C4981" s="20" t="s">
        <v>504</v>
      </c>
      <c r="D4981" s="20" t="s">
        <v>505</v>
      </c>
      <c r="E4981" s="20" t="s">
        <v>587</v>
      </c>
      <c r="F4981" s="20" t="s">
        <v>588</v>
      </c>
      <c r="G4981" s="20" t="s">
        <v>589</v>
      </c>
      <c r="H4981" s="20" t="s">
        <v>590</v>
      </c>
      <c r="I4981" s="20" t="s">
        <v>591</v>
      </c>
      <c r="J4981" s="20" t="s">
        <v>592</v>
      </c>
      <c r="K4981" s="20" t="s">
        <v>593</v>
      </c>
      <c r="L4981" s="20" t="s">
        <v>594</v>
      </c>
      <c r="M4981" s="20" t="s">
        <v>595</v>
      </c>
      <c r="N4981" s="20" t="s">
        <v>596</v>
      </c>
      <c r="O4981" s="20" t="s">
        <v>597</v>
      </c>
      <c r="P4981" s="6" t="s">
        <v>23</v>
      </c>
      <c r="R4981" s="20" t="n">
        <v>2023</v>
      </c>
      <c r="S4981" s="20" t="n">
        <v>2024</v>
      </c>
      <c r="T4981" s="20" t="n">
        <v>2025</v>
      </c>
      <c r="U4981" s="20" t="n">
        <v>2026</v>
      </c>
      <c r="V4981" s="20" t="n">
        <v>2027</v>
      </c>
      <c r="W4981" s="20" t="n">
        <v>2028</v>
      </c>
      <c r="X4981" s="20" t="n">
        <v>2029</v>
      </c>
      <c r="Y4981" s="20" t="n">
        <v>2030</v>
      </c>
      <c r="Z4981" s="20" t="n">
        <v>2031</v>
      </c>
      <c r="AA4981" s="20" t="n">
        <v>2032</v>
      </c>
    </row>
    <row r="4982" customFormat="false" ht="17.15" hidden="false" customHeight="false" outlineLevel="0" collapsed="false">
      <c r="A4982" s="1" t="s">
        <v>677</v>
      </c>
    </row>
    <row r="4983" customFormat="false" ht="17.15" hidden="false" customHeight="false" outlineLevel="0" collapsed="false">
      <c r="A4983" s="0" t="s">
        <v>526</v>
      </c>
      <c r="B4983" s="0" t="s">
        <v>86</v>
      </c>
      <c r="C4983" s="38" t="n">
        <f aca="false">Q!$D$10</f>
        <v>247.029</v>
      </c>
      <c r="D4983" s="38" t="n">
        <f aca="false">Q!$E$10</f>
        <v>269.287</v>
      </c>
      <c r="E4983" s="38" t="n">
        <f aca="false">Q!$P$10</f>
        <v>134.686</v>
      </c>
      <c r="F4983" s="38" t="n">
        <f aca="false">Sens!$O$4983*(1+Sens!$F$4984)*Sens!$F$4995</f>
        <v>158.293876822267</v>
      </c>
      <c r="G4983" s="38" t="n">
        <f aca="false">Sens!$E$4983+Sens!$F$4983</f>
        <v>292.979876822267</v>
      </c>
      <c r="H4983" s="38" t="n">
        <f aca="false">Sens!$G$4983*(1+Sens!$H$4984)</f>
        <v>318.184543087396</v>
      </c>
      <c r="I4983" s="38" t="n">
        <f aca="false">Sens!$H$4983*(1+Sens!$I$4984)</f>
        <v>341.736278761793</v>
      </c>
      <c r="J4983" s="38" t="n">
        <f aca="false">Sens!$I$4983*(1+Sens!$J$4984)</f>
        <v>362.927192787048</v>
      </c>
      <c r="K4983" s="38" t="n">
        <f aca="false">Sens!$J$4983*(1+Sens!$K$4984)</f>
        <v>381.0735524264</v>
      </c>
      <c r="L4983" s="38" t="n">
        <f aca="false">Sens!$K$4983*(1+Sens!$L$4984)</f>
        <v>400.12723004772</v>
      </c>
      <c r="M4983" s="38" t="n">
        <f aca="false">Sens!$L$4983*(1+Sens!$M$4984)</f>
        <v>420.133591550106</v>
      </c>
      <c r="N4983" s="38" t="n">
        <f aca="false">Q!$N$10</f>
        <v>118.892</v>
      </c>
      <c r="O4983" s="38" t="n">
        <f aca="false">Q!$O$10</f>
        <v>150.395</v>
      </c>
      <c r="P4983" s="8" t="s">
        <v>678</v>
      </c>
    </row>
    <row r="4984" customFormat="false" ht="17.15" hidden="false" customHeight="false" outlineLevel="0" collapsed="false">
      <c r="A4984" s="0" t="s">
        <v>679</v>
      </c>
      <c r="B4984" s="0" t="s">
        <v>52</v>
      </c>
      <c r="E4984" s="13" t="n">
        <f aca="false">Sens!$E$4983/Sens!$N$4983-1</f>
        <v>0.132843252699929</v>
      </c>
      <c r="F4984" s="13" t="n">
        <f aca="false">Sens!$O$4983/(Q!$F$10+Q!$G$10)-1</f>
        <v>0.0980382135842941</v>
      </c>
      <c r="G4984" s="13" t="n">
        <f aca="false">Sens!$G$4983/Sens!$D$4983-1</f>
        <v>0.0879837378791657</v>
      </c>
      <c r="H4984" s="13" t="n">
        <f aca="false">Sens!$F$4984+(g_os-Sens!$F$4984)*1/4</f>
        <v>0.0860286601882206</v>
      </c>
      <c r="I4984" s="13" t="n">
        <f aca="false">Sens!$F$4984+(g_os-Sens!$F$4984)*2/4</f>
        <v>0.074019106792147</v>
      </c>
      <c r="J4984" s="13" t="n">
        <f aca="false">Sens!$F$4984+(g_os-Sens!$F$4984)*3/4</f>
        <v>0.0620095533960735</v>
      </c>
      <c r="K4984" s="13" t="n">
        <f aca="false">Sens!$F$4984+(g_os-Sens!$F$4984)*4/4</f>
        <v>0.05</v>
      </c>
      <c r="L4984" s="13" t="n">
        <f aca="false">g_os</f>
        <v>0.05</v>
      </c>
      <c r="M4984" s="13" t="n">
        <f aca="false">g_os</f>
        <v>0.05</v>
      </c>
      <c r="P4984" s="8" t="s">
        <v>680</v>
      </c>
    </row>
    <row r="4985" customFormat="false" ht="17.15" hidden="false" customHeight="false" outlineLevel="0" collapsed="false">
      <c r="A4985" s="0" t="s">
        <v>527</v>
      </c>
      <c r="B4985" s="0" t="s">
        <v>86</v>
      </c>
      <c r="C4985" s="38" t="n">
        <f aca="false">Q!$D$11</f>
        <v>21.215</v>
      </c>
      <c r="D4985" s="38" t="n">
        <f aca="false">Q!$E$11</f>
        <v>22.561</v>
      </c>
      <c r="E4985" s="38" t="n">
        <f aca="false">Q!$P$11</f>
        <v>11.579</v>
      </c>
      <c r="F4985" s="38" t="n">
        <f aca="false">Sens!$O$4985*(1+Sens!$F$4986)*Sens!$F$4995</f>
        <v>11.5938724610325</v>
      </c>
      <c r="G4985" s="38" t="n">
        <f aca="false">Sens!$E$4985+Sens!$F$4985</f>
        <v>23.1728724610325</v>
      </c>
      <c r="H4985" s="38" t="n">
        <f aca="false">Sens!$G$4985*(1+Sens!$H$4986)</f>
        <v>24.353392759506</v>
      </c>
      <c r="I4985" s="38" t="n">
        <f aca="false">Sens!$H$4985*(1+Sens!$I$4986)</f>
        <v>25.4240338872015</v>
      </c>
      <c r="J4985" s="38" t="n">
        <f aca="false">Sens!$I$4985*(1+Sens!$J$4986)</f>
        <v>26.3642491017174</v>
      </c>
      <c r="K4985" s="38" t="n">
        <f aca="false">Sens!$J$4985*(1+Sens!$K$4986)</f>
        <v>27.155176574769</v>
      </c>
      <c r="L4985" s="38" t="n">
        <f aca="false">Sens!$K$4985*(1+Sens!$L$4986)</f>
        <v>27.969831872012</v>
      </c>
      <c r="M4985" s="38" t="n">
        <f aca="false">Sens!$L$4985*(1+Sens!$M$4986)</f>
        <v>28.8089268281724</v>
      </c>
      <c r="N4985" s="38" t="n">
        <f aca="false">Q!$N$11</f>
        <v>11.128</v>
      </c>
      <c r="O4985" s="38" t="n">
        <f aca="false">Q!$O$11</f>
        <v>11.433</v>
      </c>
      <c r="P4985" s="8" t="s">
        <v>678</v>
      </c>
    </row>
    <row r="4986" customFormat="false" ht="17.15" hidden="false" customHeight="false" outlineLevel="0" collapsed="false">
      <c r="A4986" s="0" t="s">
        <v>681</v>
      </c>
      <c r="B4986" s="0" t="s">
        <v>52</v>
      </c>
      <c r="E4986" s="13" t="n">
        <f aca="false">Sens!$E$4985/Sens!$N$4985-1</f>
        <v>0.0405283968368082</v>
      </c>
      <c r="F4986" s="13" t="n">
        <f aca="false">Sens!$O$4985/(Q!$F$11+Q!$G$11)-1</f>
        <v>0.0579254187100955</v>
      </c>
      <c r="G4986" s="13" t="n">
        <f aca="false">Sens!$G$4985/Sens!$D$4985-1</f>
        <v>0.0271208040881397</v>
      </c>
      <c r="H4986" s="13" t="n">
        <f aca="false">Sens!$F$4986+(g_ps-Sens!$F$4986)*1/4</f>
        <v>0.0509440640325716</v>
      </c>
      <c r="I4986" s="13" t="n">
        <f aca="false">Sens!$F$4986+(g_ps-Sens!$F$4986)*2/4</f>
        <v>0.0439627093550477</v>
      </c>
      <c r="J4986" s="13" t="n">
        <f aca="false">Sens!$F$4986+(g_ps-Sens!$F$4986)*3/4</f>
        <v>0.0369813546775239</v>
      </c>
      <c r="K4986" s="13" t="n">
        <f aca="false">Sens!$F$4986+(g_ps-Sens!$F$4986)*4/4</f>
        <v>0.03</v>
      </c>
      <c r="L4986" s="13" t="n">
        <f aca="false">g_ps</f>
        <v>0.03</v>
      </c>
      <c r="M4986" s="13" t="n">
        <f aca="false">g_ps</f>
        <v>0.03</v>
      </c>
      <c r="P4986" s="8" t="s">
        <v>682</v>
      </c>
    </row>
    <row r="4987" customFormat="false" ht="17.15" hidden="false" customHeight="false" outlineLevel="0" collapsed="false">
      <c r="A4987" s="0" t="s">
        <v>528</v>
      </c>
      <c r="B4987" s="0" t="s">
        <v>86</v>
      </c>
      <c r="C4987" s="38" t="n">
        <f aca="false">Q!$D$12</f>
        <v>156.146</v>
      </c>
      <c r="D4987" s="38" t="n">
        <f aca="false">Q!$E$12</f>
        <v>172.162</v>
      </c>
      <c r="E4987" s="38" t="n">
        <f aca="false">Q!$P$12</f>
        <v>88.358</v>
      </c>
      <c r="F4987" s="38" t="n">
        <f aca="false">Sens!$O$4987*(1+Sens!$F$4988)*Sens!$F$4995</f>
        <v>102.004388260171</v>
      </c>
      <c r="G4987" s="38" t="n">
        <f aca="false">Sens!$E$4987+Sens!$F$4987</f>
        <v>190.362388260171</v>
      </c>
      <c r="H4987" s="38" t="n">
        <f aca="false">Sens!$G$4987*(1+Sens!$H$4988)</f>
        <v>210.343106588311</v>
      </c>
      <c r="I4987" s="38" t="n">
        <f aca="false">Sens!$H$4987*(1+Sens!$I$4988)</f>
        <v>229.969728494648</v>
      </c>
      <c r="J4987" s="38" t="n">
        <f aca="false">Sens!$I$4987*(1+Sens!$J$4988)</f>
        <v>248.747636972598</v>
      </c>
      <c r="K4987" s="38" t="n">
        <f aca="false">Sens!$J$4987*(1+Sens!$K$4988)</f>
        <v>266.15997156068</v>
      </c>
      <c r="L4987" s="38" t="n">
        <f aca="false">Sens!$K$4987*(1+Sens!$L$4988)</f>
        <v>284.791169569927</v>
      </c>
      <c r="M4987" s="38" t="n">
        <f aca="false">Sens!$L$4987*(1+Sens!$M$4988)</f>
        <v>304.726551439822</v>
      </c>
      <c r="N4987" s="38" t="n">
        <f aca="false">Q!$N$12</f>
        <v>76.86</v>
      </c>
      <c r="O4987" s="38" t="n">
        <f aca="false">Q!$O$12</f>
        <v>95.302</v>
      </c>
      <c r="P4987" s="8" t="s">
        <v>678</v>
      </c>
    </row>
    <row r="4988" customFormat="false" ht="17.15" hidden="false" customHeight="false" outlineLevel="0" collapsed="false">
      <c r="A4988" s="0" t="s">
        <v>683</v>
      </c>
      <c r="B4988" s="0" t="s">
        <v>52</v>
      </c>
      <c r="E4988" s="13" t="n">
        <f aca="false">Sens!$E$4987/Sens!$N$4987-1</f>
        <v>0.1495966692688</v>
      </c>
      <c r="F4988" s="13" t="n">
        <f aca="false">Sens!$O$4987/(Q!$F$12+Q!$G$12)-1</f>
        <v>0.11661530890813</v>
      </c>
      <c r="G4988" s="13" t="n">
        <f aca="false">Sens!$G$4987/Sens!$D$4987-1</f>
        <v>0.105716640490767</v>
      </c>
      <c r="H4988" s="13" t="n">
        <f aca="false">Sens!$F$4988+(g_sp-Sens!$F$4988)*1/4</f>
        <v>0.104961481681098</v>
      </c>
      <c r="I4988" s="13" t="n">
        <f aca="false">Sens!$F$4988+(g_sp-Sens!$F$4988)*2/4</f>
        <v>0.0933076544540651</v>
      </c>
      <c r="J4988" s="13" t="n">
        <f aca="false">Sens!$F$4988+(g_sp-Sens!$F$4988)*3/4</f>
        <v>0.0816538272270325</v>
      </c>
      <c r="K4988" s="13" t="n">
        <f aca="false">Sens!$F$4988+(g_sp-Sens!$F$4988)*4/4</f>
        <v>0.07</v>
      </c>
      <c r="L4988" s="13" t="n">
        <f aca="false">g_sp</f>
        <v>0.07</v>
      </c>
      <c r="M4988" s="13" t="n">
        <f aca="false">g_sp</f>
        <v>0.07</v>
      </c>
      <c r="P4988" s="8" t="s">
        <v>684</v>
      </c>
    </row>
    <row r="4989" customFormat="false" ht="17.15" hidden="false" customHeight="false" outlineLevel="0" collapsed="false">
      <c r="A4989" s="0" t="s">
        <v>529</v>
      </c>
      <c r="B4989" s="0" t="s">
        <v>86</v>
      </c>
      <c r="C4989" s="38" t="n">
        <f aca="false">Q!$D$13</f>
        <v>56.214</v>
      </c>
      <c r="D4989" s="38" t="n">
        <f aca="false">Q!$E$13</f>
        <v>68.635</v>
      </c>
      <c r="E4989" s="38" t="n">
        <f aca="false">Q!$P$13</f>
        <v>37.052</v>
      </c>
      <c r="F4989" s="38" t="n">
        <f aca="false">Sens!$O$4989*(1+Sens!$F$4990)*Sens!$F$4995</f>
        <v>46.1572219944148</v>
      </c>
      <c r="G4989" s="38" t="n">
        <f aca="false">Sens!$E$4989+Sens!$F$4989</f>
        <v>83.2092219944148</v>
      </c>
      <c r="H4989" s="38" t="n">
        <f aca="false">Sens!$G$4989*(1+Sens!$H$4990)</f>
        <v>99.8969223878976</v>
      </c>
      <c r="I4989" s="38" t="n">
        <f aca="false">Sens!$H$4989*(1+Sens!$I$4990)</f>
        <v>116.583111095496</v>
      </c>
      <c r="J4989" s="38" t="n">
        <f aca="false">Sens!$I$4989*(1+Sens!$J$4990)</f>
        <v>132.148941941952</v>
      </c>
      <c r="K4989" s="38" t="n">
        <f aca="false">Sens!$J$4989*(1+Sens!$K$4990)</f>
        <v>145.363836136147</v>
      </c>
      <c r="L4989" s="38" t="n">
        <f aca="false">Sens!$K$4989*(1+Sens!$L$4990)</f>
        <v>159.900219749762</v>
      </c>
      <c r="M4989" s="38" t="n">
        <f aca="false">Sens!$L$4989*(1+Sens!$M$4990)</f>
        <v>175.890241724738</v>
      </c>
      <c r="N4989" s="38" t="n">
        <f aca="false">Q!$N$13</f>
        <v>29.615</v>
      </c>
      <c r="O4989" s="38" t="n">
        <f aca="false">Q!$O$13</f>
        <v>39.02</v>
      </c>
      <c r="P4989" s="8" t="s">
        <v>678</v>
      </c>
    </row>
    <row r="4990" customFormat="false" ht="17.15" hidden="false" customHeight="false" outlineLevel="0" collapsed="false">
      <c r="A4990" s="0" t="s">
        <v>685</v>
      </c>
      <c r="B4990" s="0" t="s">
        <v>52</v>
      </c>
      <c r="E4990" s="13" t="n">
        <f aca="false">Sens!$E$4989/Sens!$N$4989-1</f>
        <v>0.25112274185379</v>
      </c>
      <c r="F4990" s="13" t="n">
        <f aca="false">Sens!$O$4989/(Q!$F$13+Q!$G$13)-1</f>
        <v>0.234068123596572</v>
      </c>
      <c r="G4990" s="13" t="n">
        <f aca="false">Sens!$G$4989/Sens!$D$4989-1</f>
        <v>0.212343876949294</v>
      </c>
      <c r="H4990" s="13" t="n">
        <f aca="false">Sens!$F$4990+(g_ad-Sens!$F$4990)*1/4</f>
        <v>0.200551092697429</v>
      </c>
      <c r="I4990" s="13" t="n">
        <f aca="false">Sens!$F$4990+(g_ad-Sens!$F$4990)*2/4</f>
        <v>0.167034061798286</v>
      </c>
      <c r="J4990" s="13" t="n">
        <f aca="false">Sens!$F$4990+(g_ad-Sens!$F$4990)*3/4</f>
        <v>0.133517030899143</v>
      </c>
      <c r="K4990" s="13" t="n">
        <f aca="false">Sens!$F$4990+(g_ad-Sens!$F$4990)*4/4</f>
        <v>0.1</v>
      </c>
      <c r="L4990" s="13" t="n">
        <f aca="false">g_ad</f>
        <v>0.1</v>
      </c>
      <c r="M4990" s="13" t="n">
        <f aca="false">g_ad</f>
        <v>0.1</v>
      </c>
      <c r="P4990" s="8" t="s">
        <v>686</v>
      </c>
    </row>
    <row r="4991" customFormat="false" ht="17.15" hidden="false" customHeight="false" outlineLevel="0" collapsed="false">
      <c r="A4991" s="0" t="s">
        <v>530</v>
      </c>
      <c r="B4991" s="0" t="s">
        <v>86</v>
      </c>
      <c r="C4991" s="38" t="n">
        <f aca="false">Q!$D$14</f>
        <v>44.374</v>
      </c>
      <c r="D4991" s="38" t="n">
        <f aca="false">Q!$E$14</f>
        <v>49.619</v>
      </c>
      <c r="E4991" s="38" t="n">
        <f aca="false">Q!$P$14</f>
        <v>27.157</v>
      </c>
      <c r="F4991" s="38" t="n">
        <f aca="false">Sens!$O$4991*(1+Sens!$F$4992)*Sens!$F$4995</f>
        <v>27.7764165988154</v>
      </c>
      <c r="G4991" s="38" t="n">
        <f aca="false">Sens!$E$4991+Sens!$F$4991</f>
        <v>54.9334165988154</v>
      </c>
      <c r="H4991" s="38" t="n">
        <f aca="false">Sens!$G$4991*(1+Sens!$H$4992)</f>
        <v>61.1564112561829</v>
      </c>
      <c r="I4991" s="38" t="n">
        <f aca="false">Sens!$H$4991*(1+Sens!$I$4992)</f>
        <v>67.2020282103945</v>
      </c>
      <c r="J4991" s="38" t="n">
        <f aca="false">Sens!$I$4991*(1+Sens!$J$4992)</f>
        <v>72.8757274028885</v>
      </c>
      <c r="K4991" s="38" t="n">
        <f aca="false">Sens!$J$4991*(1+Sens!$K$4992)</f>
        <v>77.9770283210907</v>
      </c>
      <c r="L4991" s="38" t="n">
        <f aca="false">Sens!$K$4991*(1+Sens!$L$4992)</f>
        <v>83.4354203035671</v>
      </c>
      <c r="M4991" s="38" t="n">
        <f aca="false">Sens!$L$4991*(1+Sens!$M$4992)</f>
        <v>89.2758997248168</v>
      </c>
      <c r="N4991" s="38" t="n">
        <f aca="false">Q!$N$14</f>
        <v>23.923</v>
      </c>
      <c r="O4991" s="38" t="n">
        <f aca="false">Q!$O$14</f>
        <v>25.696</v>
      </c>
      <c r="P4991" s="8" t="s">
        <v>678</v>
      </c>
    </row>
    <row r="4992" customFormat="false" ht="17.15" hidden="false" customHeight="false" outlineLevel="0" collapsed="false">
      <c r="A4992" s="0" t="s">
        <v>687</v>
      </c>
      <c r="B4992" s="0" t="s">
        <v>52</v>
      </c>
      <c r="E4992" s="13" t="n">
        <f aca="false">Sens!$E$4991/Sens!$N$4991-1</f>
        <v>0.135183714417088</v>
      </c>
      <c r="F4992" s="13" t="n">
        <f aca="false">Sens!$O$4991/(Q!$F$14+Q!$G$14)-1</f>
        <v>0.127709997366804</v>
      </c>
      <c r="G4992" s="13" t="n">
        <f aca="false">Sens!$G$4991/Sens!$D$4991-1</f>
        <v>0.107104468022641</v>
      </c>
      <c r="H4992" s="13" t="n">
        <f aca="false">Sens!$F$4992+(g_sub-Sens!$F$4992)*1/4</f>
        <v>0.113282498025103</v>
      </c>
      <c r="I4992" s="13" t="n">
        <f aca="false">Sens!$F$4992+(g_sub-Sens!$F$4992)*2/4</f>
        <v>0.0988549986834021</v>
      </c>
      <c r="J4992" s="13" t="n">
        <f aca="false">Sens!$F$4992+(g_sub-Sens!$F$4992)*3/4</f>
        <v>0.084427499341701</v>
      </c>
      <c r="K4992" s="13" t="n">
        <f aca="false">Sens!$F$4992+(g_sub-Sens!$F$4992)*4/4</f>
        <v>0.07</v>
      </c>
      <c r="L4992" s="13" t="n">
        <f aca="false">g_sub</f>
        <v>0.07</v>
      </c>
      <c r="M4992" s="13" t="n">
        <f aca="false">g_sub</f>
        <v>0.07</v>
      </c>
      <c r="P4992" s="8" t="s">
        <v>688</v>
      </c>
    </row>
    <row r="4993" customFormat="false" ht="17.15" hidden="false" customHeight="false" outlineLevel="0" collapsed="false">
      <c r="A4993" s="0" t="s">
        <v>531</v>
      </c>
      <c r="B4993" s="0" t="s">
        <v>86</v>
      </c>
      <c r="C4993" s="38" t="n">
        <f aca="false">Q!$D$15</f>
        <v>5.425</v>
      </c>
      <c r="D4993" s="38" t="n">
        <f aca="false">Q!$E$15</f>
        <v>5.935</v>
      </c>
      <c r="E4993" s="38" t="n">
        <f aca="false">Q!$P$15</f>
        <v>3.474</v>
      </c>
      <c r="F4993" s="38" t="n">
        <f aca="false">Sens!$O$4993*(1+Sens!$F$4994)*Sens!$F$4995</f>
        <v>3.22246550883619</v>
      </c>
      <c r="G4993" s="38" t="n">
        <f aca="false">Sens!$E$4993+Sens!$F$4993</f>
        <v>6.69646550883619</v>
      </c>
      <c r="H4993" s="38" t="n">
        <f aca="false">Sens!$G$4993*(1+Sens!$H$4994)</f>
        <v>7.16251344209196</v>
      </c>
      <c r="I4993" s="38" t="n">
        <f aca="false">Sens!$H$4993*(1+Sens!$I$4994)</f>
        <v>7.61421070299826</v>
      </c>
      <c r="J4993" s="38" t="n">
        <f aca="false">Sens!$I$4993*(1+Sens!$J$4994)</f>
        <v>8.04465753523932</v>
      </c>
      <c r="K4993" s="38" t="n">
        <f aca="false">Sens!$J$4993*(1+Sens!$K$4994)</f>
        <v>8.44689041200128</v>
      </c>
      <c r="L4993" s="38" t="n">
        <f aca="false">Sens!$K$4993*(1+Sens!$L$4994)</f>
        <v>8.86923493260135</v>
      </c>
      <c r="M4993" s="38" t="n">
        <f aca="false">Sens!$L$4993*(1+Sens!$M$4994)</f>
        <v>9.31269667923142</v>
      </c>
      <c r="N4993" s="38" t="n">
        <f aca="false">Q!$N$15</f>
        <v>2.811</v>
      </c>
      <c r="O4993" s="38" t="n">
        <f aca="false">Q!$O$15</f>
        <v>3.124</v>
      </c>
      <c r="P4993" s="8" t="s">
        <v>678</v>
      </c>
    </row>
    <row r="4994" customFormat="false" ht="17.15" hidden="false" customHeight="false" outlineLevel="0" collapsed="false">
      <c r="A4994" s="0" t="s">
        <v>689</v>
      </c>
      <c r="B4994" s="0" t="s">
        <v>52</v>
      </c>
      <c r="E4994" s="13" t="n">
        <f aca="false">Sens!$E$4993/Sens!$N$4993-1</f>
        <v>0.235859124866596</v>
      </c>
      <c r="F4994" s="13" t="n">
        <f aca="false">Sens!$O$4993/(Q!$F$15+Q!$G$15)-1</f>
        <v>0.0761281433000345</v>
      </c>
      <c r="G4994" s="13" t="n">
        <f aca="false">Sens!$G$4993/Sens!$D$4993-1</f>
        <v>0.128300843948811</v>
      </c>
      <c r="H4994" s="13" t="n">
        <f aca="false">Sens!$F$4994+(g_ot-Sens!$F$4994)*1/4</f>
        <v>0.0695961074750259</v>
      </c>
      <c r="I4994" s="13" t="n">
        <f aca="false">Sens!$F$4994+(g_ot-Sens!$F$4994)*2/4</f>
        <v>0.0630640716500172</v>
      </c>
      <c r="J4994" s="13" t="n">
        <f aca="false">Sens!$F$4994+(g_ot-Sens!$F$4994)*3/4</f>
        <v>0.0565320358250086</v>
      </c>
      <c r="K4994" s="13" t="n">
        <f aca="false">Sens!$F$4994+(g_ot-Sens!$F$4994)*4/4</f>
        <v>0.05</v>
      </c>
      <c r="L4994" s="13" t="n">
        <f aca="false">g_ot</f>
        <v>0.05</v>
      </c>
      <c r="M4994" s="13" t="n">
        <f aca="false">g_ot</f>
        <v>0.05</v>
      </c>
      <c r="P4994" s="8" t="s">
        <v>690</v>
      </c>
    </row>
    <row r="4995" customFormat="false" ht="17.15" hidden="false" customHeight="false" outlineLevel="0" collapsed="false">
      <c r="A4995" s="0" t="s">
        <v>691</v>
      </c>
      <c r="B4995" s="0" t="s">
        <v>57</v>
      </c>
      <c r="F4995" s="40" t="n">
        <f aca="false">(g26q3_mid*Q!$O$8/Q!$J$8-Thesis!$F$89-Thesis!$F$93)/(Sens!$O$4983*(1+Sens!$F$4984)+Sens!$O$4985*(1+Sens!$F$4986)+Sens!$O$4987*(1+Sens!$F$4988)+Sens!$O$4989*(1+Sens!$F$4990)+Sens!$O$4991*(1+Sens!$F$4992)+Sens!$O$4993*(1+Sens!$F$4994))</f>
        <v>0.958546670622329</v>
      </c>
      <c r="P4995" s="8" t="s">
        <v>692</v>
      </c>
    </row>
    <row r="4996" customFormat="false" ht="17.15" hidden="false" customHeight="false" outlineLevel="0" collapsed="false">
      <c r="A4996" s="3" t="s">
        <v>693</v>
      </c>
      <c r="B4996" s="8" t="s">
        <v>86</v>
      </c>
      <c r="C4996" s="38" t="n">
        <f aca="false">Sens!$C$4983+Sens!$C$4985+Sens!$C$4987+Sens!$C$4989+Sens!$C$4991+Sens!$C$4993</f>
        <v>530.403</v>
      </c>
      <c r="D4996" s="38" t="n">
        <f aca="false">Sens!$D$4983+Sens!$D$4985+Sens!$D$4987+Sens!$D$4989+Sens!$D$4991+Sens!$D$4993</f>
        <v>588.199</v>
      </c>
      <c r="E4996" s="38" t="n">
        <f aca="false">Sens!$E$4983+Sens!$E$4985+Sens!$E$4987+Sens!$E$4989+Sens!$E$4991+Sens!$E$4993</f>
        <v>302.306</v>
      </c>
      <c r="F4996" s="38" t="n">
        <f aca="false">Sens!$F$4983+Sens!$F$4985+Sens!$F$4987+Sens!$F$4989+Sens!$F$4991+Sens!$F$4993</f>
        <v>349.048241645537</v>
      </c>
      <c r="G4996" s="38" t="n">
        <f aca="false">Sens!$G$4983+Sens!$G$4985+Sens!$G$4987+Sens!$G$4989+Sens!$G$4991+Sens!$G$4993</f>
        <v>651.354241645537</v>
      </c>
      <c r="H4996" s="38" t="n">
        <f aca="false">Sens!$H$4983+Sens!$H$4985+Sens!$H$4987+Sens!$H$4989+Sens!$H$4991+Sens!$H$4993</f>
        <v>721.096889521386</v>
      </c>
      <c r="I4996" s="38" t="n">
        <f aca="false">Sens!$I$4983+Sens!$I$4985+Sens!$I$4987+Sens!$I$4989+Sens!$I$4991+Sens!$I$4993</f>
        <v>788.529391152531</v>
      </c>
      <c r="J4996" s="38" t="n">
        <f aca="false">Sens!$J$4983+Sens!$J$4985+Sens!$J$4987+Sens!$J$4989+Sens!$J$4991+Sens!$J$4993</f>
        <v>851.108405741443</v>
      </c>
      <c r="K4996" s="38" t="n">
        <f aca="false">Sens!$K$4983+Sens!$K$4985+Sens!$K$4987+Sens!$K$4989+Sens!$K$4991+Sens!$K$4993</f>
        <v>906.176455431088</v>
      </c>
      <c r="L4996" s="38" t="n">
        <f aca="false">Sens!$L$4983+Sens!$L$4985+Sens!$L$4987+Sens!$L$4989+Sens!$L$4991+Sens!$L$4993</f>
        <v>965.093106475589</v>
      </c>
      <c r="M4996" s="38" t="n">
        <f aca="false">Sens!$M$4983+Sens!$M$4985+Sens!$M$4987+Sens!$M$4989+Sens!$M$4991+Sens!$M$4993</f>
        <v>1028.14790794689</v>
      </c>
      <c r="N4996" s="38" t="n">
        <f aca="false">Sens!$N$4983+Sens!$N$4985+Sens!$N$4987+Sens!$N$4989+Sens!$N$4991+Sens!$N$4993</f>
        <v>263.229</v>
      </c>
      <c r="O4996" s="38" t="n">
        <f aca="false">Sens!$O$4983+Sens!$O$4985+Sens!$O$4987+Sens!$O$4989+Sens!$O$4991+Sens!$O$4993</f>
        <v>324.97</v>
      </c>
    </row>
    <row r="4997" customFormat="false" ht="17.15" hidden="false" customHeight="false" outlineLevel="0" collapsed="false">
      <c r="A4997" s="5" t="s">
        <v>694</v>
      </c>
      <c r="B4997" s="0" t="s">
        <v>52</v>
      </c>
      <c r="C4997" s="13" t="n">
        <f aca="false">Q!$D$5/(Q!$D$5+Q!$D$6)</f>
        <v>0.730570905519011</v>
      </c>
      <c r="D4997" s="13" t="n">
        <f aca="false">Q!$E$5/(Q!$E$5+Q!$E$6)</f>
        <v>0.724763217890544</v>
      </c>
      <c r="E4997" s="13" t="n">
        <f aca="false">Q!$P$5/(Q!$P$5+Q!$P$6)</f>
        <v>0.728797972914861</v>
      </c>
      <c r="F4997" s="13" t="n">
        <f aca="false">Sens!$O$4997</f>
        <v>0.718066283041511</v>
      </c>
      <c r="G4997" s="13" t="n">
        <f aca="false">Sens!$G$4998/Sens!$G$4996</f>
        <v>0.723047066202847</v>
      </c>
      <c r="H4997" s="13" t="n">
        <f aca="false">Sens!$G$4997</f>
        <v>0.723047066202847</v>
      </c>
      <c r="I4997" s="13" t="n">
        <f aca="false">Sens!$G$4997</f>
        <v>0.723047066202847</v>
      </c>
      <c r="J4997" s="13" t="n">
        <f aca="false">Sens!$G$4997</f>
        <v>0.723047066202847</v>
      </c>
      <c r="K4997" s="13" t="n">
        <f aca="false">Sens!$G$4997</f>
        <v>0.723047066202847</v>
      </c>
      <c r="L4997" s="13" t="n">
        <f aca="false">Sens!$G$4997</f>
        <v>0.723047066202847</v>
      </c>
      <c r="M4997" s="13" t="n">
        <f aca="false">Sens!$G$4997</f>
        <v>0.723047066202847</v>
      </c>
      <c r="N4997" s="13" t="n">
        <f aca="false">Q!$N$5/(Q!$N$5+Q!$N$6)</f>
        <v>0.733030935041352</v>
      </c>
      <c r="O4997" s="13" t="n">
        <f aca="false">Q!$O$5/(Q!$O$5+Q!$O$6)</f>
        <v>0.718066283041511</v>
      </c>
      <c r="P4997" s="8" t="s">
        <v>695</v>
      </c>
    </row>
    <row r="4998" customFormat="false" ht="17.15" hidden="false" customHeight="false" outlineLevel="0" collapsed="false">
      <c r="A4998" s="1" t="s">
        <v>519</v>
      </c>
      <c r="B4998" s="8" t="s">
        <v>86</v>
      </c>
      <c r="C4998" s="38" t="n">
        <f aca="false">Q!$D$5</f>
        <v>387.497</v>
      </c>
      <c r="D4998" s="38" t="n">
        <f aca="false">Q!$E$5</f>
        <v>426.305</v>
      </c>
      <c r="E4998" s="38" t="n">
        <f aca="false">Q!$P$5</f>
        <v>220.32</v>
      </c>
      <c r="F4998" s="38" t="n">
        <f aca="false">Sens!$F$4996*Sens!$F$4997</f>
        <v>250.639773480586</v>
      </c>
      <c r="G4998" s="38" t="n">
        <f aca="false">Sens!$E$4998+Sens!$F$4998</f>
        <v>470.959773480586</v>
      </c>
      <c r="H4998" s="38" t="n">
        <f aca="false">Sens!$H$4996*Sens!$H$4997</f>
        <v>521.386990416437</v>
      </c>
      <c r="I4998" s="38" t="n">
        <f aca="false">Sens!$I$4996*Sens!$I$4997</f>
        <v>570.143862887555</v>
      </c>
      <c r="J4998" s="38" t="n">
        <f aca="false">Sens!$J$4996*Sens!$J$4997</f>
        <v>615.391435791933</v>
      </c>
      <c r="K4998" s="38" t="n">
        <f aca="false">Sens!$K$4996*Sens!$K$4997</f>
        <v>655.208227561543</v>
      </c>
      <c r="L4998" s="38" t="n">
        <f aca="false">Sens!$L$4996*Sens!$L$4997</f>
        <v>697.807739249767</v>
      </c>
      <c r="M4998" s="38" t="n">
        <f aca="false">Sens!$M$4996*Sens!$M$4997</f>
        <v>743.399328463592</v>
      </c>
      <c r="N4998" s="38" t="n">
        <f aca="false">Q!$N$5</f>
        <v>192.955</v>
      </c>
      <c r="O4998" s="38" t="n">
        <f aca="false">Q!$O$5</f>
        <v>233.35</v>
      </c>
      <c r="P4998" s="5" t="s">
        <v>696</v>
      </c>
    </row>
    <row r="4999" customFormat="false" ht="17.15" hidden="false" customHeight="false" outlineLevel="0" collapsed="false">
      <c r="A4999" s="1" t="s">
        <v>522</v>
      </c>
      <c r="B4999" s="8" t="s">
        <v>86</v>
      </c>
      <c r="C4999" s="38" t="n">
        <f aca="false">Q!$D$6</f>
        <v>142.906</v>
      </c>
      <c r="D4999" s="38" t="n">
        <f aca="false">Q!$E$6</f>
        <v>161.894</v>
      </c>
      <c r="E4999" s="38" t="n">
        <f aca="false">Q!$P$6</f>
        <v>81.986</v>
      </c>
      <c r="F4999" s="38" t="n">
        <f aca="false">Sens!$F$4996*(1-Sens!$F$4997)</f>
        <v>98.408468164951</v>
      </c>
      <c r="G4999" s="38" t="n">
        <f aca="false">Sens!$E$4999+Sens!$F$4999</f>
        <v>180.394468164951</v>
      </c>
      <c r="H4999" s="38" t="n">
        <f aca="false">Sens!$H$4996*(1-Sens!$H$4997)</f>
        <v>199.709899104949</v>
      </c>
      <c r="I4999" s="38" t="n">
        <f aca="false">Sens!$I$4996*(1-Sens!$I$4997)</f>
        <v>218.385528264976</v>
      </c>
      <c r="J4999" s="38" t="n">
        <f aca="false">Sens!$J$4996*(1-Sens!$J$4997)</f>
        <v>235.71696994951</v>
      </c>
      <c r="K4999" s="38" t="n">
        <f aca="false">Sens!$K$4996*(1-Sens!$K$4997)</f>
        <v>250.968227869545</v>
      </c>
      <c r="L4999" s="38" t="n">
        <f aca="false">Sens!$L$4996*(1-Sens!$L$4997)</f>
        <v>267.285367225822</v>
      </c>
      <c r="M4999" s="38" t="n">
        <f aca="false">Sens!$M$4996*(1-Sens!$M$4997)</f>
        <v>284.748579483295</v>
      </c>
      <c r="N4999" s="38" t="n">
        <f aca="false">Q!$N$6</f>
        <v>70.274</v>
      </c>
      <c r="O4999" s="38" t="n">
        <f aca="false">Q!$O$6</f>
        <v>91.62</v>
      </c>
      <c r="P4999" s="5" t="s">
        <v>697</v>
      </c>
    </row>
    <row r="5000" customFormat="false" ht="17.15" hidden="false" customHeight="false" outlineLevel="0" collapsed="false">
      <c r="A5000" s="5" t="s">
        <v>698</v>
      </c>
      <c r="B5000" s="0" t="s">
        <v>86</v>
      </c>
      <c r="C5000" s="38" t="n">
        <f aca="false">Sens!$C$4989*Sens!$C$4997</f>
        <v>41.0683128828457</v>
      </c>
      <c r="D5000" s="38" t="n">
        <f aca="false">Sens!$D$4989*Sens!$D$4997</f>
        <v>49.7441234599175</v>
      </c>
      <c r="E5000" s="38" t="n">
        <f aca="false">Sens!$E$4989*Sens!$E$4997</f>
        <v>27.0034224924414</v>
      </c>
      <c r="F5000" s="38" t="n">
        <f aca="false">Sens!$F$4989*Sens!$F$4997</f>
        <v>33.1439448330513</v>
      </c>
      <c r="G5000" s="38" t="n">
        <f aca="false">Sens!$G$4989*Sens!$G$4997</f>
        <v>60.164183844083</v>
      </c>
      <c r="H5000" s="38" t="n">
        <f aca="false">Sens!$H$4989*Sens!$H$4997</f>
        <v>72.2301766552629</v>
      </c>
      <c r="I5000" s="38" t="n">
        <f aca="false">Sens!$I$4989*Sens!$I$4997</f>
        <v>84.2950764463991</v>
      </c>
      <c r="J5000" s="38" t="n">
        <f aca="false">Sens!$J$4989*Sens!$J$4997</f>
        <v>95.5499047729386</v>
      </c>
      <c r="K5000" s="38" t="n">
        <f aca="false">Sens!$K$4989*Sens!$K$4997</f>
        <v>105.104895250232</v>
      </c>
      <c r="L5000" s="38" t="n">
        <f aca="false">Sens!$L$4989*Sens!$L$4997</f>
        <v>115.615384775256</v>
      </c>
      <c r="M5000" s="38" t="n">
        <f aca="false">Sens!$M$4989*Sens!$M$4997</f>
        <v>127.176923252781</v>
      </c>
      <c r="N5000" s="38" t="n">
        <f aca="false">Sens!$N$4989*Sens!$N$4997</f>
        <v>21.7087111412496</v>
      </c>
      <c r="O5000" s="38" t="n">
        <f aca="false">Sens!$O$4989*Sens!$O$4997</f>
        <v>28.0189463642798</v>
      </c>
      <c r="P5000" s="5" t="s">
        <v>699</v>
      </c>
    </row>
    <row r="5001" customFormat="false" ht="15" hidden="false" customHeight="false" outlineLevel="0" collapsed="false">
      <c r="A5001" s="5" t="s">
        <v>700</v>
      </c>
      <c r="B5001" s="0" t="s">
        <v>86</v>
      </c>
      <c r="C5001" s="38" t="n">
        <f aca="false">Sens!$C$4989-Sens!$C$5000</f>
        <v>15.1456871171543</v>
      </c>
      <c r="D5001" s="38" t="n">
        <f aca="false">Sens!$D$4989-Sens!$D$5000</f>
        <v>18.8908765400825</v>
      </c>
      <c r="E5001" s="38" t="n">
        <f aca="false">Sens!$E$4989-Sens!$E$5000</f>
        <v>10.0485775075586</v>
      </c>
      <c r="F5001" s="38" t="n">
        <f aca="false">Sens!$F$4989-Sens!$F$5000</f>
        <v>13.0132771613635</v>
      </c>
      <c r="G5001" s="38" t="n">
        <f aca="false">Sens!$G$4989-Sens!$G$5000</f>
        <v>23.0450381503318</v>
      </c>
      <c r="H5001" s="38" t="n">
        <f aca="false">Sens!$H$4989-Sens!$H$5000</f>
        <v>27.6667457326347</v>
      </c>
      <c r="I5001" s="38" t="n">
        <f aca="false">Sens!$I$4989-Sens!$I$5000</f>
        <v>32.2880346490971</v>
      </c>
      <c r="J5001" s="38" t="n">
        <f aca="false">Sens!$J$4989-Sens!$J$5000</f>
        <v>36.5990371690132</v>
      </c>
      <c r="K5001" s="38" t="n">
        <f aca="false">Sens!$K$4989-Sens!$K$5000</f>
        <v>40.2589408859145</v>
      </c>
      <c r="L5001" s="38" t="n">
        <f aca="false">Sens!$L$4989-Sens!$L$5000</f>
        <v>44.2848349745059</v>
      </c>
      <c r="M5001" s="38" t="n">
        <f aca="false">Sens!$M$4989-Sens!$M$5000</f>
        <v>48.7133184719565</v>
      </c>
      <c r="N5001" s="38" t="n">
        <f aca="false">Sens!$N$4989-Sens!$N$5000</f>
        <v>7.90628885875037</v>
      </c>
      <c r="O5001" s="38" t="n">
        <f aca="false">Sens!$O$4989-Sens!$O$5000</f>
        <v>11.0010536357202</v>
      </c>
    </row>
    <row r="5002" customFormat="false" ht="19.4" hidden="false" customHeight="false" outlineLevel="0" collapsed="false">
      <c r="A5002" s="31" t="s">
        <v>1253</v>
      </c>
    </row>
    <row r="5003" customFormat="false" ht="17.15" hidden="false" customHeight="false" outlineLevel="0" collapsed="false">
      <c r="A5003" s="6" t="s">
        <v>16</v>
      </c>
      <c r="B5003" s="6" t="s">
        <v>17</v>
      </c>
      <c r="C5003" s="20" t="s">
        <v>504</v>
      </c>
      <c r="D5003" s="20" t="s">
        <v>505</v>
      </c>
      <c r="E5003" s="20" t="s">
        <v>587</v>
      </c>
      <c r="F5003" s="20" t="s">
        <v>588</v>
      </c>
      <c r="G5003" s="20" t="s">
        <v>589</v>
      </c>
      <c r="H5003" s="20" t="s">
        <v>590</v>
      </c>
      <c r="I5003" s="20" t="s">
        <v>591</v>
      </c>
      <c r="J5003" s="20" t="s">
        <v>592</v>
      </c>
      <c r="K5003" s="20" t="s">
        <v>593</v>
      </c>
      <c r="L5003" s="20" t="s">
        <v>594</v>
      </c>
      <c r="M5003" s="20" t="s">
        <v>595</v>
      </c>
      <c r="N5003" s="20" t="s">
        <v>596</v>
      </c>
      <c r="O5003" s="20" t="s">
        <v>597</v>
      </c>
      <c r="P5003" s="6" t="s">
        <v>23</v>
      </c>
      <c r="R5003" s="20" t="n">
        <v>2023</v>
      </c>
      <c r="S5003" s="20" t="n">
        <v>2024</v>
      </c>
      <c r="T5003" s="20" t="n">
        <v>2025</v>
      </c>
      <c r="U5003" s="20" t="n">
        <v>2026</v>
      </c>
      <c r="V5003" s="20" t="n">
        <v>2027</v>
      </c>
      <c r="W5003" s="20" t="n">
        <v>2028</v>
      </c>
      <c r="X5003" s="20" t="n">
        <v>2029</v>
      </c>
      <c r="Y5003" s="20" t="n">
        <v>2030</v>
      </c>
      <c r="Z5003" s="20" t="n">
        <v>2031</v>
      </c>
      <c r="AA5003" s="20" t="n">
        <v>2032</v>
      </c>
    </row>
    <row r="5004" customFormat="false" ht="17.15" hidden="false" customHeight="false" outlineLevel="0" collapsed="false">
      <c r="A5004" s="1" t="s">
        <v>598</v>
      </c>
    </row>
    <row r="5005" customFormat="false" ht="17.15" hidden="false" customHeight="false" outlineLevel="0" collapsed="false">
      <c r="A5005" s="5" t="s">
        <v>599</v>
      </c>
      <c r="B5005" s="0" t="s">
        <v>144</v>
      </c>
      <c r="H5005" s="32" t="n">
        <f aca="false">pace_B</f>
        <v>3634.3</v>
      </c>
      <c r="I5005" s="32" t="n">
        <f aca="false">pace_B</f>
        <v>3634.3</v>
      </c>
      <c r="J5005" s="32" t="n">
        <f aca="false">pace_B</f>
        <v>3634.3</v>
      </c>
      <c r="K5005" s="32" t="n">
        <f aca="false">pace_B+(Sens!$J$5006*tg-pace_B)*1/3</f>
        <v>2570.86716666667</v>
      </c>
      <c r="L5005" s="32" t="n">
        <f aca="false">pace_B+(Sens!$J$5006*tg-pace_B)*2/3</f>
        <v>1507.43433333333</v>
      </c>
      <c r="M5005" s="32" t="n">
        <f aca="false">pace_B+(Sens!$J$5006*tg-pace_B)*3/3</f>
        <v>444.0015</v>
      </c>
      <c r="P5005" s="5" t="s">
        <v>600</v>
      </c>
    </row>
    <row r="5006" customFormat="false" ht="17.15" hidden="false" customHeight="false" outlineLevel="0" collapsed="false">
      <c r="A5006" s="15" t="s">
        <v>601</v>
      </c>
      <c r="B5006" s="14" t="s">
        <v>129</v>
      </c>
      <c r="C5006" s="33" t="n">
        <f aca="false">mw_ye24</f>
        <v>360</v>
      </c>
      <c r="D5006" s="33" t="n">
        <f aca="false">mw_ye25</f>
        <v>1440</v>
      </c>
      <c r="E5006" s="33" t="n">
        <f aca="false">mw_open</f>
        <v>2080</v>
      </c>
      <c r="F5006" s="33" t="n">
        <f aca="false">Sens!$E$5006+pace_B*0.5</f>
        <v>3897.15</v>
      </c>
      <c r="G5006" s="33" t="n">
        <f aca="false">Sens!$F$5006</f>
        <v>3897.15</v>
      </c>
      <c r="H5006" s="33" t="n">
        <f aca="false">Sens!$G$5006+Sens!$H$5005</f>
        <v>7531.45</v>
      </c>
      <c r="I5006" s="33" t="n">
        <f aca="false">Sens!$H$5006+Sens!$I$5005</f>
        <v>11165.75</v>
      </c>
      <c r="J5006" s="33" t="n">
        <f aca="false">Sens!$I$5006+Sens!$J$5005</f>
        <v>14800.05</v>
      </c>
      <c r="K5006" s="33" t="n">
        <f aca="false">Sens!$J$5006+Sens!$K$5005</f>
        <v>17370.9171666667</v>
      </c>
      <c r="L5006" s="33" t="n">
        <f aca="false">Sens!$K$5006+Sens!$L$5005</f>
        <v>18878.3515</v>
      </c>
      <c r="M5006" s="33" t="n">
        <f aca="false">Sens!$L$5006+Sens!$M$5005</f>
        <v>19322.353</v>
      </c>
      <c r="N5006" s="33" t="n">
        <f aca="false">(mw_ye24+mw_ye25)/2</f>
        <v>900</v>
      </c>
      <c r="O5006" s="33" t="n">
        <f aca="false">mw_ye25</f>
        <v>1440</v>
      </c>
      <c r="P5006" s="5" t="s">
        <v>602</v>
      </c>
    </row>
    <row r="5007" customFormat="false" ht="17.15" hidden="false" customHeight="false" outlineLevel="0" collapsed="false">
      <c r="A5007" s="5" t="s">
        <v>603</v>
      </c>
      <c r="B5007" s="0" t="s">
        <v>129</v>
      </c>
      <c r="C5007" s="32" t="n">
        <f aca="false">(mw_ye23+mw_ye24)/2</f>
        <v>240</v>
      </c>
      <c r="D5007" s="32" t="n">
        <f aca="false">(Sens!$C$5006+Sens!$D$5006)/2</f>
        <v>900</v>
      </c>
      <c r="E5007" s="32" t="n">
        <f aca="false">(Sens!$D$5006+Sens!$E$5006)/2</f>
        <v>1760</v>
      </c>
      <c r="F5007" s="32" t="n">
        <f aca="false">(Sens!$E$5006+Sens!$F$5006)/2</f>
        <v>2988.575</v>
      </c>
      <c r="G5007" s="32" t="n">
        <f aca="false">(Sens!$E$5007+Sens!$F$5007)/2</f>
        <v>2374.2875</v>
      </c>
      <c r="H5007" s="32" t="n">
        <f aca="false">(Sens!$G$5006+Sens!$H$5006)/2</f>
        <v>5714.3</v>
      </c>
      <c r="I5007" s="32" t="n">
        <f aca="false">(Sens!$H$5006+Sens!$I$5006)/2</f>
        <v>9348.6</v>
      </c>
      <c r="J5007" s="32" t="n">
        <f aca="false">(Sens!$I$5006+Sens!$J$5006)/2</f>
        <v>12982.9</v>
      </c>
      <c r="K5007" s="32" t="n">
        <f aca="false">(Sens!$J$5006+Sens!$K$5006)/2</f>
        <v>16085.4835833333</v>
      </c>
      <c r="L5007" s="32" t="n">
        <f aca="false">(Sens!$K$5006+Sens!$L$5006)/2</f>
        <v>18124.6343333333</v>
      </c>
      <c r="M5007" s="32" t="n">
        <f aca="false">(Sens!$L$5006+Sens!$M$5006)/2</f>
        <v>19100.35225</v>
      </c>
      <c r="N5007" s="32" t="n">
        <f aca="false">(Sens!$C$5006+Sens!$N$5006)/2</f>
        <v>630</v>
      </c>
      <c r="O5007" s="32" t="n">
        <f aca="false">(Sens!$N$5006+Sens!$O$5006)/2</f>
        <v>1170</v>
      </c>
    </row>
    <row r="5008" customFormat="false" ht="15" hidden="false" customHeight="false" outlineLevel="0" collapsed="false">
      <c r="A5008" s="5" t="s">
        <v>604</v>
      </c>
      <c r="B5008" s="5" t="s">
        <v>123</v>
      </c>
      <c r="C5008" s="34" t="n">
        <v>1</v>
      </c>
      <c r="D5008" s="34" t="n">
        <v>1</v>
      </c>
      <c r="E5008" s="34" t="n">
        <v>0.5</v>
      </c>
      <c r="F5008" s="34" t="n">
        <v>0.5</v>
      </c>
      <c r="G5008" s="34" t="n">
        <v>1</v>
      </c>
      <c r="H5008" s="34" t="n">
        <v>1</v>
      </c>
      <c r="I5008" s="34" t="n">
        <v>1</v>
      </c>
      <c r="J5008" s="34" t="n">
        <v>1</v>
      </c>
      <c r="K5008" s="34" t="n">
        <v>1</v>
      </c>
      <c r="L5008" s="34" t="n">
        <v>1</v>
      </c>
      <c r="M5008" s="34" t="n">
        <v>1</v>
      </c>
      <c r="N5008" s="34" t="n">
        <v>0.5</v>
      </c>
      <c r="O5008" s="34" t="n">
        <v>0.5</v>
      </c>
    </row>
    <row r="5009" customFormat="false" ht="17.15" hidden="false" customHeight="false" outlineLevel="0" collapsed="false">
      <c r="A5009" s="5" t="s">
        <v>605</v>
      </c>
      <c r="B5009" s="0" t="s">
        <v>129</v>
      </c>
      <c r="C5009" s="32" t="n">
        <f aca="false">Sens!$C$5006-mw_ye23</f>
        <v>240</v>
      </c>
      <c r="D5009" s="32" t="n">
        <f aca="false">Sens!$D$5006-Sens!$C$5006</f>
        <v>1080</v>
      </c>
      <c r="E5009" s="32" t="n">
        <f aca="false">Sens!$E$5006-Sens!$D$5006</f>
        <v>640</v>
      </c>
      <c r="F5009" s="32" t="n">
        <f aca="false">Sens!$F$5006-Sens!$E$5006</f>
        <v>1817.15</v>
      </c>
      <c r="G5009" s="32" t="n">
        <f aca="false">Sens!$E$5009+Sens!$F$5009</f>
        <v>2457.15</v>
      </c>
      <c r="H5009" s="32" t="n">
        <f aca="false">Sens!$H$5006-Sens!$G$5006</f>
        <v>3634.3</v>
      </c>
      <c r="I5009" s="32" t="n">
        <f aca="false">Sens!$I$5006-Sens!$H$5006</f>
        <v>3634.3</v>
      </c>
      <c r="J5009" s="32" t="n">
        <f aca="false">Sens!$J$5006-Sens!$I$5006</f>
        <v>3634.3</v>
      </c>
      <c r="K5009" s="32" t="n">
        <f aca="false">Sens!$K$5006-Sens!$J$5006</f>
        <v>2570.86716666667</v>
      </c>
      <c r="L5009" s="32" t="n">
        <f aca="false">Sens!$L$5006-Sens!$K$5006</f>
        <v>1507.43433333333</v>
      </c>
      <c r="M5009" s="32" t="n">
        <f aca="false">Sens!$M$5006-Sens!$L$5006</f>
        <v>444.001499999999</v>
      </c>
      <c r="N5009" s="32" t="n">
        <f aca="false">Sens!$N$5006-Sens!$C$5006</f>
        <v>540</v>
      </c>
      <c r="O5009" s="32" t="n">
        <f aca="false">Sens!$O$5006-Sens!$N$5006</f>
        <v>540</v>
      </c>
    </row>
    <row r="5010" customFormat="false" ht="17.15" hidden="false" customHeight="false" outlineLevel="0" collapsed="false">
      <c r="A5010" s="5" t="s">
        <v>606</v>
      </c>
      <c r="B5010" s="0" t="s">
        <v>129</v>
      </c>
      <c r="C5010" s="32" t="n">
        <f aca="false">Sens!$C$5009/ext_sh</f>
        <v>300</v>
      </c>
      <c r="D5010" s="32" t="n">
        <f aca="false">Sens!$D$5009/ext_sh</f>
        <v>1350</v>
      </c>
      <c r="E5010" s="32" t="n">
        <f aca="false">Sens!$E$5009/ext_sh</f>
        <v>800</v>
      </c>
      <c r="F5010" s="32" t="n">
        <f aca="false">Sens!$F$5009/ext_sh</f>
        <v>2271.4375</v>
      </c>
      <c r="G5010" s="32" t="n">
        <f aca="false">Sens!$G$5009/ext_sh</f>
        <v>3071.4375</v>
      </c>
      <c r="H5010" s="32" t="n">
        <f aca="false">Sens!$H$5009/ext_sh</f>
        <v>4542.875</v>
      </c>
      <c r="I5010" s="32" t="n">
        <f aca="false">Sens!$I$5009/ext_sh</f>
        <v>4542.875</v>
      </c>
      <c r="J5010" s="32" t="n">
        <f aca="false">Sens!$J$5009/ext_sh</f>
        <v>4542.875</v>
      </c>
      <c r="K5010" s="32" t="n">
        <f aca="false">Sens!$K$5009/ext_sh</f>
        <v>3213.58395833333</v>
      </c>
      <c r="L5010" s="32" t="n">
        <f aca="false">Sens!$L$5009/ext_sh</f>
        <v>1884.29291666667</v>
      </c>
      <c r="M5010" s="32" t="n">
        <f aca="false">Sens!$M$5009/ext_sh</f>
        <v>555.001874999998</v>
      </c>
      <c r="N5010" s="32" t="n">
        <f aca="false">Sens!$N$5009/ext_sh</f>
        <v>675</v>
      </c>
      <c r="O5010" s="32" t="n">
        <f aca="false">Sens!$O$5009/ext_sh</f>
        <v>675</v>
      </c>
      <c r="P5010" s="8" t="s">
        <v>607</v>
      </c>
      <c r="R5010" s="32" t="n">
        <f aca="false">mw_ye23/ext_sh</f>
        <v>150</v>
      </c>
      <c r="S5010" s="32" t="n">
        <f aca="false">Sens!$C$5010</f>
        <v>300</v>
      </c>
      <c r="T5010" s="32" t="n">
        <f aca="false">Sens!$D$5010</f>
        <v>1350</v>
      </c>
      <c r="U5010" s="32" t="n">
        <f aca="false">Sens!$G$5010</f>
        <v>3071.4375</v>
      </c>
      <c r="V5010" s="32" t="n">
        <f aca="false">Sens!$H$5010</f>
        <v>4542.875</v>
      </c>
      <c r="W5010" s="32" t="n">
        <f aca="false">Sens!$I$5010</f>
        <v>4542.875</v>
      </c>
      <c r="X5010" s="32" t="n">
        <f aca="false">Sens!$J$5010</f>
        <v>4542.875</v>
      </c>
      <c r="Y5010" s="32" t="n">
        <f aca="false">Sens!$K$5010</f>
        <v>3213.58395833333</v>
      </c>
      <c r="Z5010" s="32" t="n">
        <f aca="false">Sens!$L$5010</f>
        <v>1884.29291666667</v>
      </c>
      <c r="AA5010" s="32" t="n">
        <f aca="false">Sens!$M$5010</f>
        <v>555.001874999998</v>
      </c>
    </row>
    <row r="5011" customFormat="false" ht="17.15" hidden="false" customHeight="false" outlineLevel="0" collapsed="false">
      <c r="A5011" s="1" t="s">
        <v>608</v>
      </c>
    </row>
    <row r="5012" customFormat="false" ht="17.15" hidden="false" customHeight="false" outlineLevel="0" collapsed="false">
      <c r="A5012" s="0" t="s">
        <v>609</v>
      </c>
      <c r="B5012" s="0" t="s">
        <v>52</v>
      </c>
      <c r="F5012" s="35" t="n">
        <f aca="false">na_vr26</f>
        <v>0</v>
      </c>
      <c r="G5012" s="35" t="n">
        <f aca="false">na_vr26</f>
        <v>0</v>
      </c>
      <c r="H5012" s="35" t="n">
        <f aca="false">na_vr27</f>
        <v>0.5</v>
      </c>
      <c r="I5012" s="35" t="n">
        <f aca="false">na_vr28</f>
        <v>1</v>
      </c>
      <c r="J5012" s="35" t="n">
        <f aca="false">na_vr28</f>
        <v>1</v>
      </c>
      <c r="K5012" s="35" t="n">
        <f aca="false">na_vr28</f>
        <v>1</v>
      </c>
      <c r="L5012" s="35" t="n">
        <f aca="false">na_vr28</f>
        <v>1</v>
      </c>
      <c r="M5012" s="35" t="n">
        <f aca="false">na_vr28</f>
        <v>1</v>
      </c>
    </row>
    <row r="5013" customFormat="false" ht="17.15" hidden="false" customHeight="false" outlineLevel="0" collapsed="false">
      <c r="A5013" s="5" t="s">
        <v>610</v>
      </c>
      <c r="B5013" s="0" t="s">
        <v>173</v>
      </c>
      <c r="F5013" s="36" t="n">
        <f aca="false">cust_sh*tk_he_gb300*cf_chip+(1-cust_sh)*((1-Sens!$F$5012)*tk_he_gb300+Sens!$F$5012*tk_he_vr200)</f>
        <v>10.8864110021101</v>
      </c>
      <c r="G5013" s="36" t="n">
        <f aca="false">cust_sh*tk_he_gb300*cf_chip+(1-cust_sh)*((1-Sens!$G$5012)*tk_he_gb300+Sens!$G$5012*tk_he_vr200)</f>
        <v>10.8864110021101</v>
      </c>
      <c r="H5013" s="36" t="n">
        <f aca="false">cust_sh*tk_he_gb300*cf_chip+(1-cust_sh)*((1-Sens!$H$5012)*tk_he_gb300+Sens!$H$5012*tk_he_vr200)</f>
        <v>11.2211760027286</v>
      </c>
      <c r="I5013" s="36" t="n">
        <f aca="false">cust_sh*tk_he_gb300*cf_chip+(1-cust_sh)*((1-Sens!$I$5012)*tk_he_gb300+Sens!$I$5012*tk_he_vr200)</f>
        <v>11.5559410033471</v>
      </c>
      <c r="J5013" s="36" t="n">
        <f aca="false">cust_sh*tk_he_gb300*cf_chip+(1-cust_sh)*((1-Sens!$J$5012)*tk_he_gb300+Sens!$J$5012*tk_he_vr200)</f>
        <v>11.5559410033471</v>
      </c>
      <c r="K5013" s="36" t="n">
        <f aca="false">cust_sh*tk_he_gb300*cf_chip+(1-cust_sh)*((1-Sens!$K$5012)*tk_he_gb300+Sens!$K$5012*tk_he_vr200)</f>
        <v>11.5559410033471</v>
      </c>
      <c r="L5013" s="36" t="n">
        <f aca="false">cust_sh*tk_he_gb300*cf_chip+(1-cust_sh)*((1-Sens!$L$5012)*tk_he_gb300+Sens!$L$5012*tk_he_vr200)</f>
        <v>11.5559410033471</v>
      </c>
      <c r="M5013" s="36" t="n">
        <f aca="false">cust_sh*tk_he_gb300*cf_chip+(1-cust_sh)*((1-Sens!$M$5012)*tk_he_gb300+Sens!$M$5012*tk_he_vr200)</f>
        <v>11.5559410033471</v>
      </c>
    </row>
    <row r="5014" customFormat="false" ht="17.15" hidden="false" customHeight="false" outlineLevel="0" collapsed="false">
      <c r="A5014" s="5" t="s">
        <v>611</v>
      </c>
      <c r="B5014" s="0" t="s">
        <v>173</v>
      </c>
      <c r="F5014" s="36" t="n">
        <f aca="false">cust_sh*tk_ox_gb300+(1-cust_sh)*((1-Sens!$F$5012)*tk_ox_gb300+Sens!$F$5012*tk_ox_vr200)</f>
        <v>1.98263481314457</v>
      </c>
      <c r="G5014" s="36" t="n">
        <f aca="false">cust_sh*tk_ox_gb300+(1-cust_sh)*((1-Sens!$G$5012)*tk_ox_gb300+Sens!$G$5012*tk_ox_vr200)</f>
        <v>1.98263481314457</v>
      </c>
      <c r="H5014" s="36" t="n">
        <f aca="false">cust_sh*tk_ox_gb300+(1-cust_sh)*((1-Sens!$H$5012)*tk_ox_gb300+Sens!$H$5012*tk_ox_vr200)</f>
        <v>2.01034999693694</v>
      </c>
      <c r="I5014" s="36" t="n">
        <f aca="false">cust_sh*tk_ox_gb300+(1-cust_sh)*((1-Sens!$I$5012)*tk_ox_gb300+Sens!$I$5012*tk_ox_vr200)</f>
        <v>2.0380651807293</v>
      </c>
      <c r="J5014" s="36" t="n">
        <f aca="false">cust_sh*tk_ox_gb300+(1-cust_sh)*((1-Sens!$J$5012)*tk_ox_gb300+Sens!$J$5012*tk_ox_vr200)</f>
        <v>2.0380651807293</v>
      </c>
      <c r="K5014" s="36" t="n">
        <f aca="false">cust_sh*tk_ox_gb300+(1-cust_sh)*((1-Sens!$K$5012)*tk_ox_gb300+Sens!$K$5012*tk_ox_vr200)</f>
        <v>2.0380651807293</v>
      </c>
      <c r="L5014" s="36" t="n">
        <f aca="false">cust_sh*tk_ox_gb300+(1-cust_sh)*((1-Sens!$L$5012)*tk_ox_gb300+Sens!$L$5012*tk_ox_vr200)</f>
        <v>2.0380651807293</v>
      </c>
      <c r="M5014" s="36" t="n">
        <f aca="false">cust_sh*tk_ox_gb300+(1-cust_sh)*((1-Sens!$M$5012)*tk_ox_gb300+Sens!$M$5012*tk_ox_vr200)</f>
        <v>2.0380651807293</v>
      </c>
    </row>
    <row r="5015" customFormat="false" ht="17.15" hidden="false" customHeight="false" outlineLevel="0" collapsed="false">
      <c r="A5015" s="5" t="s">
        <v>612</v>
      </c>
      <c r="B5015" s="0" t="s">
        <v>192</v>
      </c>
      <c r="F5015" s="36" t="n">
        <f aca="false">cust_sh*tk_cx_gb300*cf_cx+(1-cust_sh)*((1-Sens!$F$5012)*tk_cx_gb300+Sens!$F$5012*tk_cx_vr200)</f>
        <v>32.237224</v>
      </c>
      <c r="G5015" s="36" t="n">
        <f aca="false">cust_sh*tk_cx_gb300*cf_cx+(1-cust_sh)*((1-Sens!$G$5012)*tk_cx_gb300+Sens!$G$5012*tk_cx_vr200)</f>
        <v>32.237224</v>
      </c>
      <c r="H5015" s="36" t="n">
        <f aca="false">cust_sh*tk_cx_gb300*cf_cx+(1-cust_sh)*((1-Sens!$H$5012)*tk_cx_gb300+Sens!$H$5012*tk_cx_vr200)</f>
        <v>33.574506</v>
      </c>
      <c r="I5015" s="36" t="n">
        <f aca="false">cust_sh*tk_cx_gb300*cf_cx+(1-cust_sh)*((1-Sens!$I$5012)*tk_cx_gb300+Sens!$I$5012*tk_cx_vr200)</f>
        <v>34.911788</v>
      </c>
      <c r="J5015" s="36" t="n">
        <f aca="false">cust_sh*tk_cx_gb300*cf_cx+(1-cust_sh)*((1-Sens!$J$5012)*tk_cx_gb300+Sens!$J$5012*tk_cx_vr200)</f>
        <v>34.911788</v>
      </c>
      <c r="K5015" s="36" t="n">
        <f aca="false">cust_sh*tk_cx_gb300*cf_cx+(1-cust_sh)*((1-Sens!$K$5012)*tk_cx_gb300+Sens!$K$5012*tk_cx_vr200)</f>
        <v>34.911788</v>
      </c>
      <c r="L5015" s="36" t="n">
        <f aca="false">cust_sh*tk_cx_gb300*cf_cx+(1-cust_sh)*((1-Sens!$L$5012)*tk_cx_gb300+Sens!$L$5012*tk_cx_vr200)</f>
        <v>34.911788</v>
      </c>
      <c r="M5015" s="36" t="n">
        <f aca="false">cust_sh*tk_cx_gb300*cf_cx+(1-cust_sh)*((1-Sens!$M$5012)*tk_cx_gb300+Sens!$M$5012*tk_cx_vr200)</f>
        <v>34.911788</v>
      </c>
    </row>
    <row r="5016" customFormat="false" ht="17.15" hidden="false" customHeight="false" outlineLevel="0" collapsed="false">
      <c r="A5016" s="5" t="s">
        <v>613</v>
      </c>
      <c r="B5016" s="0" t="s">
        <v>129</v>
      </c>
      <c r="F5016" s="32" t="n">
        <f aca="false">Sens!$F$5006-mw_open</f>
        <v>1817.15</v>
      </c>
      <c r="G5016" s="32" t="n">
        <f aca="false">Sens!$F$5016</f>
        <v>1817.15</v>
      </c>
      <c r="H5016" s="32" t="n">
        <f aca="false">Sens!$H$5006-mw_open</f>
        <v>5451.45</v>
      </c>
      <c r="I5016" s="32" t="n">
        <f aca="false">Sens!$I$5006-mw_open</f>
        <v>9085.75</v>
      </c>
      <c r="J5016" s="32" t="n">
        <f aca="false">Sens!$J$5006-mw_open</f>
        <v>12720.05</v>
      </c>
      <c r="K5016" s="32" t="n">
        <f aca="false">Sens!$K$5006-mw_open</f>
        <v>15290.9171666667</v>
      </c>
      <c r="L5016" s="32" t="n">
        <f aca="false">Sens!$L$5006-mw_open</f>
        <v>16798.3515</v>
      </c>
      <c r="M5016" s="32" t="n">
        <f aca="false">Sens!$M$5006-mw_open</f>
        <v>17242.353</v>
      </c>
    </row>
    <row r="5017" customFormat="false" ht="17.15" hidden="false" customHeight="false" outlineLevel="0" collapsed="false">
      <c r="A5017" s="0" t="s">
        <v>614</v>
      </c>
      <c r="B5017" s="0" t="s">
        <v>615</v>
      </c>
      <c r="F5017" s="32" t="n">
        <f aca="false">Sens!$F$5009*Sens!$F$5013</f>
        <v>19782.2417524844</v>
      </c>
      <c r="G5017" s="32" t="n">
        <f aca="false">Sens!$F$5017</f>
        <v>19782.2417524844</v>
      </c>
      <c r="H5017" s="32" t="n">
        <f aca="false">Sens!$G$5017+Sens!$H$5009*Sens!$H$5013</f>
        <v>60563.3616992009</v>
      </c>
      <c r="I5017" s="32" t="n">
        <f aca="false">Sens!$H$5017+Sens!$I$5009*Sens!$I$5013</f>
        <v>102561.118087665</v>
      </c>
      <c r="J5017" s="32" t="n">
        <f aca="false">Sens!$I$5017+Sens!$J$5009*Sens!$J$5013</f>
        <v>144558.87447613</v>
      </c>
      <c r="K5017" s="32" t="n">
        <f aca="false">Sens!$J$5017+Sens!$K$5009*Sens!$K$5013</f>
        <v>174267.663781572</v>
      </c>
      <c r="L5017" s="32" t="n">
        <f aca="false">Sens!$K$5017+Sens!$L$5009*Sens!$L$5013</f>
        <v>191687.486003992</v>
      </c>
      <c r="M5017" s="32" t="n">
        <f aca="false">Sens!$L$5017+Sens!$M$5009*Sens!$M$5013</f>
        <v>196818.341143389</v>
      </c>
    </row>
    <row r="5018" customFormat="false" ht="17.15" hidden="false" customHeight="false" outlineLevel="0" collapsed="false">
      <c r="A5018" s="0" t="s">
        <v>616</v>
      </c>
      <c r="B5018" s="0" t="s">
        <v>615</v>
      </c>
      <c r="F5018" s="32" t="n">
        <f aca="false">Sens!$F$5009*Sens!$F$5014</f>
        <v>3602.74485070566</v>
      </c>
      <c r="G5018" s="32" t="n">
        <f aca="false">Sens!$F$5018</f>
        <v>3602.74485070566</v>
      </c>
      <c r="H5018" s="32" t="n">
        <f aca="false">Sens!$G$5018+Sens!$H$5009*Sens!$H$5014</f>
        <v>10908.9598445736</v>
      </c>
      <c r="I5018" s="32" t="n">
        <f aca="false">Sens!$H$5018+Sens!$I$5009*Sens!$I$5014</f>
        <v>18315.9001308981</v>
      </c>
      <c r="J5018" s="32" t="n">
        <f aca="false">Sens!$I$5018+Sens!$J$5009*Sens!$J$5014</f>
        <v>25722.8404172225</v>
      </c>
      <c r="K5018" s="32" t="n">
        <f aca="false">Sens!$J$5018+Sens!$K$5009*Sens!$K$5014</f>
        <v>30962.4352738861</v>
      </c>
      <c r="L5018" s="32" t="n">
        <f aca="false">Sens!$K$5018+Sens!$L$5009*Sens!$L$5014</f>
        <v>34034.6847008886</v>
      </c>
      <c r="M5018" s="32" t="n">
        <f aca="false">Sens!$L$5018+Sens!$M$5009*Sens!$M$5014</f>
        <v>34939.5886982302</v>
      </c>
    </row>
    <row r="5019" customFormat="false" ht="17.15" hidden="false" customHeight="false" outlineLevel="0" collapsed="false">
      <c r="A5019" s="5" t="s">
        <v>617</v>
      </c>
      <c r="B5019" s="0" t="s">
        <v>173</v>
      </c>
      <c r="F5019" s="36" t="n">
        <f aca="false">IF(Sens!$F$5016&gt;0,Sens!$F$5017/Sens!$F$5016,Sens!$F$5013)</f>
        <v>10.8864110021101</v>
      </c>
      <c r="G5019" s="36" t="n">
        <f aca="false">IF(Sens!$G$5016&gt;0,Sens!$G$5017/Sens!$G$5016,Sens!$G$5013)</f>
        <v>10.8864110021101</v>
      </c>
      <c r="H5019" s="36" t="n">
        <f aca="false">IF(Sens!$H$5016&gt;0,Sens!$H$5017/Sens!$H$5016,Sens!$H$5013)</f>
        <v>11.1095876691891</v>
      </c>
      <c r="I5019" s="36" t="n">
        <f aca="false">IF(Sens!$I$5016&gt;0,Sens!$I$5017/Sens!$I$5016,Sens!$I$5013)</f>
        <v>11.2881290028523</v>
      </c>
      <c r="J5019" s="36" t="n">
        <f aca="false">IF(Sens!$J$5016&gt;0,Sens!$J$5017/Sens!$J$5016,Sens!$J$5013)</f>
        <v>11.3646467172794</v>
      </c>
      <c r="K5019" s="36" t="n">
        <f aca="false">IF(Sens!$K$5016&gt;0,Sens!$K$5017/Sens!$K$5016,Sens!$K$5013)</f>
        <v>11.3968090914432</v>
      </c>
      <c r="L5019" s="36" t="n">
        <f aca="false">IF(Sens!$L$5016&gt;0,Sens!$L$5017/Sens!$L$5016,Sens!$L$5013)</f>
        <v>11.4110891181192</v>
      </c>
      <c r="M5019" s="36" t="n">
        <f aca="false">IF(Sens!$M$5016&gt;0,Sens!$M$5017/Sens!$M$5016,Sens!$M$5013)</f>
        <v>11.4148191458201</v>
      </c>
    </row>
    <row r="5020" customFormat="false" ht="17.15" hidden="false" customHeight="false" outlineLevel="0" collapsed="false">
      <c r="A5020" s="5" t="s">
        <v>618</v>
      </c>
      <c r="B5020" s="0" t="s">
        <v>173</v>
      </c>
      <c r="F5020" s="36" t="n">
        <f aca="false">IF(Sens!$F$5016&gt;0,Sens!$F$5018/Sens!$F$5016,Sens!$F$5014)</f>
        <v>1.98263481314457</v>
      </c>
      <c r="G5020" s="36" t="n">
        <f aca="false">IF(Sens!$G$5016&gt;0,Sens!$G$5018/Sens!$G$5016,Sens!$G$5014)</f>
        <v>1.98263481314457</v>
      </c>
      <c r="H5020" s="36" t="n">
        <f aca="false">IF(Sens!$H$5016&gt;0,Sens!$H$5018/Sens!$H$5016,Sens!$H$5014)</f>
        <v>2.00111160233948</v>
      </c>
      <c r="I5020" s="36" t="n">
        <f aca="false">IF(Sens!$I$5016&gt;0,Sens!$I$5018/Sens!$I$5016,Sens!$I$5014)</f>
        <v>2.01589303369541</v>
      </c>
      <c r="J5020" s="36" t="n">
        <f aca="false">IF(Sens!$J$5016&gt;0,Sens!$J$5018/Sens!$J$5016,Sens!$J$5014)</f>
        <v>2.02222793284795</v>
      </c>
      <c r="K5020" s="36" t="n">
        <f aca="false">IF(Sens!$K$5016&gt;0,Sens!$K$5018/Sens!$K$5016,Sens!$K$5014)</f>
        <v>2.02489065478573</v>
      </c>
      <c r="L5020" s="36" t="n">
        <f aca="false">IF(Sens!$L$5016&gt;0,Sens!$L$5018/Sens!$L$5016,Sens!$L$5014)</f>
        <v>2.0260728977417</v>
      </c>
      <c r="M5020" s="36" t="n">
        <f aca="false">IF(Sens!$M$5016&gt;0,Sens!$M$5018/Sens!$M$5016,Sens!$M$5014)</f>
        <v>2.02638170661685</v>
      </c>
    </row>
    <row r="5021" customFormat="false" ht="17.15" hidden="false" customHeight="false" outlineLevel="0" collapsed="false">
      <c r="A5021" s="15" t="s">
        <v>619</v>
      </c>
      <c r="B5021" s="14" t="s">
        <v>173</v>
      </c>
      <c r="C5021" s="14"/>
      <c r="D5021" s="14"/>
      <c r="E5021" s="14"/>
      <c r="F5021" s="37" t="n">
        <f aca="false">Sens!$F$5019*k_B</f>
        <v>10.7987645808025</v>
      </c>
      <c r="G5021" s="37" t="n">
        <f aca="false">Sens!$G$5019*k_B</f>
        <v>10.7987645808025</v>
      </c>
      <c r="H5021" s="37" t="n">
        <f aca="false">Sens!$H$5019*k_B</f>
        <v>11.0201444540452</v>
      </c>
      <c r="I5021" s="37" t="n">
        <f aca="false">Sens!$I$5019*k_B</f>
        <v>11.1972483526393</v>
      </c>
      <c r="J5021" s="37" t="n">
        <f aca="false">Sens!$J$5019*k_B</f>
        <v>11.2731500234653</v>
      </c>
      <c r="K5021" s="37" t="n">
        <f aca="false">Sens!$K$5019*k_B</f>
        <v>11.3050534585724</v>
      </c>
      <c r="L5021" s="37" t="n">
        <f aca="false">Sens!$L$5019*k_B</f>
        <v>11.3192185168503</v>
      </c>
      <c r="M5021" s="37" t="n">
        <f aca="false">Sens!$M$5019*k_B</f>
        <v>11.3229185141234</v>
      </c>
      <c r="N5021" s="14"/>
      <c r="O5021" s="14"/>
      <c r="P5021" s="5" t="s">
        <v>620</v>
      </c>
    </row>
    <row r="5022" customFormat="false" ht="17.15" hidden="false" customHeight="false" outlineLevel="0" collapsed="false">
      <c r="A5022" s="5" t="s">
        <v>621</v>
      </c>
      <c r="B5022" s="0" t="s">
        <v>129</v>
      </c>
      <c r="F5022" s="32" t="n">
        <f aca="false">Sens!$F$5016/2</f>
        <v>908.575</v>
      </c>
      <c r="H5022" s="32" t="n">
        <f aca="false">(Sens!$G$5016+Sens!$H$5016)/2</f>
        <v>3634.3</v>
      </c>
      <c r="I5022" s="32" t="n">
        <f aca="false">(Sens!$H$5016+Sens!$I$5016)/2</f>
        <v>7268.6</v>
      </c>
      <c r="J5022" s="32" t="n">
        <f aca="false">(Sens!$I$5016+Sens!$J$5016)/2</f>
        <v>10902.9</v>
      </c>
      <c r="K5022" s="32" t="n">
        <f aca="false">(Sens!$J$5016+Sens!$K$5016)/2</f>
        <v>14005.4835833333</v>
      </c>
      <c r="L5022" s="32" t="n">
        <f aca="false">(Sens!$K$5016+Sens!$L$5016)/2</f>
        <v>16044.6343333333</v>
      </c>
      <c r="M5022" s="32" t="n">
        <f aca="false">(Sens!$L$5016+Sens!$M$5016)/2</f>
        <v>17020.35225</v>
      </c>
    </row>
    <row r="5023" customFormat="false" ht="17.15" hidden="false" customHeight="false" outlineLevel="0" collapsed="false">
      <c r="A5023" s="1" t="s">
        <v>622</v>
      </c>
    </row>
    <row r="5024" customFormat="false" ht="17.15" hidden="false" customHeight="false" outlineLevel="0" collapsed="false">
      <c r="A5024" s="1" t="s">
        <v>623</v>
      </c>
      <c r="B5024" s="8" t="s">
        <v>86</v>
      </c>
      <c r="C5024" s="38" t="n">
        <f aca="false">Sens!$C$5007*rpm_open*Sens!$C$5008/1000</f>
        <v>2.32100535697364</v>
      </c>
      <c r="D5024" s="38" t="n">
        <f aca="false">Sens!$D$5007*rpm_open*Sens!$D$5008/1000</f>
        <v>8.70377008865116</v>
      </c>
      <c r="E5024" s="38" t="n">
        <f aca="false">Sens!$E$5007*rpm_open*Sens!$E$5008/1000</f>
        <v>8.51035297557002</v>
      </c>
      <c r="F5024" s="38" t="n">
        <f aca="false">(mw_open*rpm_open+Sens!$F$5022*Sens!$F$5021)*Sens!$F$5008/1000</f>
        <v>14.9634336447205</v>
      </c>
      <c r="G5024" s="38" t="n">
        <f aca="false">Sens!$E$5024+Sens!$F$5024</f>
        <v>23.4737866202905</v>
      </c>
      <c r="H5024" s="38" t="n">
        <f aca="false">(mw_open*rpm_open+Sens!$H$5022*Sens!$H$5021)/1000</f>
        <v>60.1658907497746</v>
      </c>
      <c r="I5024" s="38" t="n">
        <f aca="false">(mw_open*rpm_open+Sens!$I$5022*Sens!$I$5021)/1000</f>
        <v>101.503699136432</v>
      </c>
      <c r="J5024" s="38" t="n">
        <f aca="false">(mw_open*rpm_open+Sens!$J$5022*Sens!$J$5021)/1000</f>
        <v>143.025407151278</v>
      </c>
      <c r="K5024" s="38" t="n">
        <f aca="false">(mw_open*rpm_open+Sens!$K$5022*Sens!$K$5021)/1000</f>
        <v>178.44812038318</v>
      </c>
      <c r="L5024" s="38" t="n">
        <f aca="false">(mw_open*rpm_open+Sens!$L$5022*Sens!$L$5021)/1000</f>
        <v>201.728101802396</v>
      </c>
      <c r="M5024" s="38" t="n">
        <f aca="false">(mw_open*rpm_open+Sens!$M$5022*Sens!$M$5021)/1000</f>
        <v>212.835441368865</v>
      </c>
      <c r="N5024" s="38" t="n">
        <f aca="false">Sens!$N$5007*rpm_open*Sens!$N$5008/1000</f>
        <v>3.04631953102791</v>
      </c>
      <c r="O5024" s="38" t="n">
        <f aca="false">Sens!$O$5007*rpm_open*Sens!$O$5008/1000</f>
        <v>5.65745055762326</v>
      </c>
      <c r="P5024" s="5" t="s">
        <v>624</v>
      </c>
    </row>
    <row r="5025" customFormat="false" ht="17.15" hidden="false" customHeight="false" outlineLevel="0" collapsed="false">
      <c r="A5025" s="5" t="s">
        <v>625</v>
      </c>
      <c r="B5025" s="0" t="s">
        <v>173</v>
      </c>
      <c r="C5025" s="36" t="n">
        <f aca="false">Sens!$C$5024*1000/(Sens!$C$5007*Sens!$C$5008)</f>
        <v>9.67085565405685</v>
      </c>
      <c r="D5025" s="36" t="n">
        <f aca="false">Sens!$D$5024*1000/(Sens!$D$5007*Sens!$D$5008)</f>
        <v>9.67085565405685</v>
      </c>
      <c r="E5025" s="36" t="n">
        <f aca="false">Sens!$E$5024*1000/(Sens!$E$5007*Sens!$E$5008)</f>
        <v>9.67085565405685</v>
      </c>
      <c r="F5025" s="36" t="n">
        <f aca="false">Sens!$F$5024*1000/(Sens!$F$5007*Sens!$F$5008)</f>
        <v>10.0137581588017</v>
      </c>
      <c r="G5025" s="36" t="n">
        <f aca="false">Sens!$G$5024*1000/(Sens!$G$5007*Sens!$G$5008)</f>
        <v>9.88666562928478</v>
      </c>
      <c r="H5025" s="36" t="n">
        <f aca="false">Sens!$H$5024*1000/(Sens!$H$5007*Sens!$H$5008)</f>
        <v>10.5290045586992</v>
      </c>
      <c r="I5025" s="36" t="n">
        <f aca="false">Sens!$I$5024*1000/(Sens!$I$5007*Sens!$I$5008)</f>
        <v>10.8576363451674</v>
      </c>
      <c r="J5025" s="36" t="n">
        <f aca="false">Sens!$J$5024*1000/(Sens!$J$5007*Sens!$J$5008)</f>
        <v>11.0164452588619</v>
      </c>
      <c r="K5025" s="36" t="n">
        <f aca="false">Sens!$K$5024*1000/(Sens!$K$5007*Sens!$K$5008)</f>
        <v>11.0937367508227</v>
      </c>
      <c r="L5025" s="36" t="n">
        <f aca="false">Sens!$L$5024*1000/(Sens!$L$5007*Sens!$L$5008)</f>
        <v>11.1300508519168</v>
      </c>
      <c r="M5025" s="36" t="n">
        <f aca="false">Sens!$M$5024*1000/(Sens!$M$5007*Sens!$M$5008)</f>
        <v>11.1430113216297</v>
      </c>
      <c r="N5025" s="36" t="n">
        <f aca="false">Sens!$N$5024*1000/(Sens!$N$5007*Sens!$N$5008)</f>
        <v>9.67085565405685</v>
      </c>
      <c r="O5025" s="36" t="n">
        <f aca="false">Sens!$O$5024*1000/(Sens!$O$5007*Sens!$O$5008)</f>
        <v>9.67085565405685</v>
      </c>
    </row>
    <row r="5026" customFormat="false" ht="17.15" hidden="false" customHeight="false" outlineLevel="0" collapsed="false">
      <c r="A5026" s="0" t="s">
        <v>626</v>
      </c>
      <c r="B5026" s="0" t="s">
        <v>86</v>
      </c>
      <c r="C5026" s="38" t="n">
        <f aca="false">Sens!$C$5007/ext_sh*(ox_open+rent_mw)*Sens!$C$5008/1000</f>
        <v>0.642569210675032</v>
      </c>
      <c r="D5026" s="38" t="n">
        <f aca="false">Sens!$D$5007/ext_sh*(ox_open+rent_mw)*Sens!$D$5008/1000</f>
        <v>2.40963454003137</v>
      </c>
      <c r="E5026" s="38" t="n">
        <f aca="false">Sens!$E$5007/ext_sh*(ox_open+rent_mw)*Sens!$E$5008/1000</f>
        <v>2.35608710580845</v>
      </c>
      <c r="F5026" s="38" t="n">
        <f aca="false">((mw_open*ox_open+Sens!$F$5022*Sens!$F$5020)/ext_sh+Sens!$F$5007/ext_sh*rent_mw)*Sens!$F$5008/1000</f>
        <v>4.05421991106232</v>
      </c>
      <c r="G5026" s="38" t="n">
        <f aca="false">Sens!$E$5026+Sens!$F$5026</f>
        <v>6.41030701687077</v>
      </c>
      <c r="H5026" s="38" t="n">
        <f aca="false">((mw_open*ox_open+Sens!$H$5022*Sens!$H$5020)/ext_sh+Sens!$H$5007/ext_sh*rent_mw)*Sens!$H$5008/1000</f>
        <v>15.8108975546616</v>
      </c>
      <c r="I5026" s="38" t="n">
        <f aca="false">((mw_open*ox_open+Sens!$I$5022*Sens!$I$5020)/ext_sh+Sens!$I$5007/ext_sh*rent_mw)*Sens!$I$5008/1000</f>
        <v>26.1871623400817</v>
      </c>
      <c r="J5026" s="38" t="n">
        <f aca="false">((mw_open*ox_open+Sens!$J$5022*Sens!$J$5020)/ext_sh+Sens!$J$5007/ext_sh*rent_mw)*Sens!$J$5008/1000</f>
        <v>36.5826128954935</v>
      </c>
      <c r="K5026" s="38" t="n">
        <f aca="false">((mw_open*ox_open+Sens!$K$5022*Sens!$K$5020)/ext_sh+Sens!$K$5007/ext_sh*rent_mw)*Sens!$K$5008/1000</f>
        <v>45.4546361137628</v>
      </c>
      <c r="L5026" s="38" t="n">
        <f aca="false">((mw_open*ox_open+Sens!$L$5022*Sens!$L$5020)/ext_sh+Sens!$L$5007/ext_sh*rent_mw)*Sens!$L$5008/1000</f>
        <v>51.2855695554452</v>
      </c>
      <c r="M5026" s="38" t="n">
        <f aca="false">((mw_open*ox_open+Sens!$M$5022*Sens!$M$5020)/ext_sh+Sens!$M$5007/ext_sh*rent_mw)*Sens!$M$5008/1000</f>
        <v>54.0722927838398</v>
      </c>
      <c r="N5026" s="38" t="n">
        <f aca="false">Sens!$N$5007/ext_sh*(ox_open+rent_mw)*Sens!$N$5008/1000</f>
        <v>0.84337208901098</v>
      </c>
      <c r="O5026" s="38" t="n">
        <f aca="false">Sens!$O$5007/ext_sh*(ox_open+rent_mw)*Sens!$O$5008/1000</f>
        <v>1.56626245102039</v>
      </c>
    </row>
    <row r="5027" customFormat="false" ht="17.15" hidden="false" customHeight="false" outlineLevel="0" collapsed="false">
      <c r="A5027" s="0" t="s">
        <v>627</v>
      </c>
      <c r="B5027" s="0" t="s">
        <v>86</v>
      </c>
      <c r="C5027" s="38" t="n">
        <f aca="false">Q!$D$7</f>
        <v>107.556</v>
      </c>
      <c r="D5027" s="38" t="n">
        <f aca="false">Q!$E$7</f>
        <v>128.725</v>
      </c>
      <c r="E5027" s="38" t="n">
        <f aca="false">Q!$P$7</f>
        <v>79.819</v>
      </c>
      <c r="N5027" s="38" t="n">
        <f aca="false">Q!$N$7</f>
        <v>60.14</v>
      </c>
      <c r="O5027" s="38" t="n">
        <f aca="false">Q!$O$7</f>
        <v>68.585</v>
      </c>
    </row>
    <row r="5028" customFormat="false" ht="17.15" hidden="false" customHeight="false" outlineLevel="0" collapsed="false">
      <c r="A5028" s="1" t="s">
        <v>628</v>
      </c>
      <c r="B5028" s="8" t="s">
        <v>86</v>
      </c>
      <c r="C5028" s="38" t="n">
        <f aca="false">Sens!$C$5027-Sens!$C$5024</f>
        <v>105.234994643026</v>
      </c>
      <c r="D5028" s="38" t="n">
        <f aca="false">Sens!$D$5027-Sens!$D$5024</f>
        <v>120.021229911349</v>
      </c>
      <c r="E5028" s="38" t="n">
        <f aca="false">Sens!$E$5027-Sens!$E$5024</f>
        <v>71.30864702443</v>
      </c>
      <c r="F5028" s="38" t="n">
        <f aca="false">Sens!$O$5028*(1+Sens!$F$5029)</f>
        <v>71.7692997942464</v>
      </c>
      <c r="G5028" s="38" t="n">
        <f aca="false">Sens!$E$5028+Sens!$F$5028</f>
        <v>143.077946818676</v>
      </c>
      <c r="H5028" s="38" t="n">
        <f aca="false">Sens!$G$5028*(1+Sens!$H$5029)</f>
        <v>161.017077079203</v>
      </c>
      <c r="I5028" s="38" t="n">
        <f aca="false">Sens!$H$5028*(1+Sens!$I$5029)</f>
        <v>178.769759521457</v>
      </c>
      <c r="J5028" s="38" t="n">
        <f aca="false">Sens!$I$5028*(1+Sens!$J$5029)</f>
        <v>195.775538045907</v>
      </c>
      <c r="K5028" s="38" t="n">
        <f aca="false">Sens!$J$5028*(1+Sens!$K$5029)</f>
        <v>211.43758108958</v>
      </c>
      <c r="L5028" s="38" t="n">
        <f aca="false">Sens!$K$5028*(1+Sens!$L$5029)</f>
        <v>228.352587576746</v>
      </c>
      <c r="M5028" s="38" t="n">
        <f aca="false">Sens!$L$5028*(1+Sens!$M$5029)</f>
        <v>246.620794582886</v>
      </c>
      <c r="N5028" s="38" t="n">
        <f aca="false">Sens!$N$5027-Sens!$N$5024</f>
        <v>57.0936804689721</v>
      </c>
      <c r="O5028" s="38" t="n">
        <f aca="false">Sens!$O$5027-Sens!$O$5024</f>
        <v>62.9275494423768</v>
      </c>
      <c r="P5028" s="5" t="s">
        <v>629</v>
      </c>
    </row>
    <row r="5029" customFormat="false" ht="17.15" hidden="false" customHeight="false" outlineLevel="0" collapsed="false">
      <c r="A5029" s="0" t="s">
        <v>630</v>
      </c>
      <c r="B5029" s="0" t="s">
        <v>52</v>
      </c>
      <c r="D5029" s="13" t="n">
        <f aca="false">Sens!$D$5028/Sens!$C$5028-1</f>
        <v>0.140506827776062</v>
      </c>
      <c r="E5029" s="13" t="n">
        <f aca="false">Sens!$E$5028/Sens!$N$5028-1</f>
        <v>0.248976181579029</v>
      </c>
      <c r="F5029" s="13" t="n">
        <f aca="false">Sens!$D$5029</f>
        <v>0.140506827776062</v>
      </c>
      <c r="G5029" s="13" t="n">
        <f aca="false">Sens!$G$5028/Sens!$D$5028-1</f>
        <v>0.19210532106993</v>
      </c>
      <c r="H5029" s="13" t="n">
        <f aca="false">Sens!$F$5029+(g_awso_lt-Sens!$F$5029)*1/4</f>
        <v>0.125380120832046</v>
      </c>
      <c r="I5029" s="13" t="n">
        <f aca="false">Sens!$F$5029+(g_awso_lt-Sens!$F$5029)*2/4</f>
        <v>0.110253413888031</v>
      </c>
      <c r="J5029" s="13" t="n">
        <f aca="false">Sens!$F$5029+(g_awso_lt-Sens!$F$5029)*3/4</f>
        <v>0.0951267069440154</v>
      </c>
      <c r="K5029" s="13" t="n">
        <f aca="false">Sens!$F$5029+(g_awso_lt-Sens!$F$5029)*4/4</f>
        <v>0.08</v>
      </c>
      <c r="L5029" s="13" t="n">
        <f aca="false">g_awso_lt</f>
        <v>0.08</v>
      </c>
      <c r="M5029" s="13" t="n">
        <f aca="false">g_awso_lt</f>
        <v>0.08</v>
      </c>
      <c r="P5029" s="5" t="s">
        <v>631</v>
      </c>
    </row>
    <row r="5030" customFormat="false" ht="17.15" hidden="false" customHeight="false" outlineLevel="0" collapsed="false">
      <c r="A5030" s="1" t="s">
        <v>632</v>
      </c>
    </row>
    <row r="5031" customFormat="false" ht="17.15" hidden="false" customHeight="false" outlineLevel="0" collapsed="false">
      <c r="A5031" s="0" t="s">
        <v>633</v>
      </c>
      <c r="B5031" s="0" t="s">
        <v>86</v>
      </c>
      <c r="F5031" s="38" t="n">
        <f aca="false">cx_rt*Sens!$F$4996+cx_awso*Sens!$F$5028</f>
        <v>34.9734495387866</v>
      </c>
    </row>
    <row r="5032" customFormat="false" ht="17.15" hidden="false" customHeight="false" outlineLevel="0" collapsed="false">
      <c r="A5032" s="0" t="s">
        <v>634</v>
      </c>
      <c r="B5032" s="0" t="s">
        <v>52</v>
      </c>
      <c r="C5032" s="13" t="n">
        <f aca="false">tk_cx_h100/(tk_cx_h100+tk_fac*(1-colo_sh))</f>
        <v>0.730756458006641</v>
      </c>
      <c r="D5032" s="13" t="n">
        <f aca="false">tk_cx_h100/(tk_cx_h100+tk_fac*(1-colo_sh))</f>
        <v>0.730756458006641</v>
      </c>
      <c r="E5032" s="13" t="n">
        <f aca="false">Sens!$F$5032</f>
        <v>0.760792334328868</v>
      </c>
      <c r="F5032" s="13" t="n">
        <f aca="false">Sens!$F$5015/(Sens!$F$5015+tk_fac*(1-colo_sh))</f>
        <v>0.760792334328868</v>
      </c>
      <c r="G5032" s="13" t="n">
        <f aca="false">Sens!$G$5015/(Sens!$G$5015+tk_fac*(1-colo_sh))</f>
        <v>0.760792334328868</v>
      </c>
      <c r="H5032" s="13" t="n">
        <f aca="false">Sens!$H$5015/(Sens!$H$5015+tk_fac*(1-colo_sh))</f>
        <v>0.768110668862996</v>
      </c>
      <c r="I5032" s="13" t="n">
        <f aca="false">Sens!$I$5015/(Sens!$I$5015+tk_fac*(1-colo_sh))</f>
        <v>0.77499450139483</v>
      </c>
      <c r="J5032" s="13" t="n">
        <f aca="false">Sens!$J$5015/(Sens!$J$5015+tk_fac*(1-colo_sh))</f>
        <v>0.77499450139483</v>
      </c>
      <c r="K5032" s="13" t="n">
        <f aca="false">Sens!$K$5015/(Sens!$K$5015+tk_fac*(1-colo_sh))</f>
        <v>0.77499450139483</v>
      </c>
      <c r="L5032" s="13" t="n">
        <f aca="false">Sens!$L$5015/(Sens!$L$5015+tk_fac*(1-colo_sh))</f>
        <v>0.77499450139483</v>
      </c>
      <c r="M5032" s="13" t="n">
        <f aca="false">Sens!$M$5015/(Sens!$M$5015+tk_fac*(1-colo_sh))</f>
        <v>0.77499450139483</v>
      </c>
    </row>
    <row r="5033" customFormat="false" ht="17.15" hidden="false" customHeight="false" outlineLevel="0" collapsed="false">
      <c r="A5033" s="1" t="s">
        <v>635</v>
      </c>
      <c r="B5033" s="8" t="s">
        <v>86</v>
      </c>
      <c r="C5033" s="38" t="n">
        <f aca="false">Q!$D$46-cx_rt*Q!$D$16-cx_awso*Sens!$C$5028</f>
        <v>25.2781053077374</v>
      </c>
      <c r="D5033" s="38" t="n">
        <f aca="false">Q!$E$46-cx_rt*Q!$E$16-cx_awso*Sens!$D$5028</f>
        <v>69.5686316310026</v>
      </c>
      <c r="E5033" s="38" t="n">
        <f aca="false">Q!$P$46-cx_rt*Q!$P$16-cx_awso*Sens!$E$5028</f>
        <v>64.1899206485108</v>
      </c>
      <c r="F5033" s="38" t="n">
        <f aca="false">capex_g26-Q!$P$46-Sens!$F$5031</f>
        <v>88.7165504612134</v>
      </c>
      <c r="G5033" s="38" t="n">
        <f aca="false">Sens!$E$5033+Sens!$F$5033</f>
        <v>152.906471109724</v>
      </c>
      <c r="H5033" s="38" t="n">
        <f aca="false">Sens!$H$5010*(Sens!$H$5015+tk_fac*(1-colo_sh))/1000+Sens!$H$5034</f>
        <v>198.57136494475</v>
      </c>
      <c r="I5033" s="38" t="n">
        <f aca="false">Sens!$I$5010*(Sens!$I$5015+tk_fac*(1-colo_sh))/1000+Sens!$I$5034</f>
        <v>204.6464699105</v>
      </c>
      <c r="J5033" s="38" t="n">
        <f aca="false">Sens!$J$5010*(Sens!$J$5015+tk_fac*(1-colo_sh))/1000+Sens!$J$5034</f>
        <v>209.8832381105</v>
      </c>
      <c r="K5033" s="38" t="n">
        <f aca="false">Sens!$K$5010*(Sens!$K$5015+tk_fac*(1-colo_sh))/1000+Sens!$K$5034</f>
        <v>155.238385275201</v>
      </c>
      <c r="L5033" s="38" t="n">
        <f aca="false">Sens!$L$5010*(Sens!$L$5015+tk_fac*(1-colo_sh))/1000+Sens!$L$5034</f>
        <v>132.014141639902</v>
      </c>
      <c r="M5033" s="38" t="n">
        <f aca="false">Sens!$M$5010*(Sens!$M$5015+tk_fac*(1-colo_sh))/1000+Sens!$M$5034</f>
        <v>132.230981659852</v>
      </c>
      <c r="P5033" s="5" t="s">
        <v>636</v>
      </c>
      <c r="R5033" s="38" t="n">
        <f aca="false">Q!$C$46-cx_rt*Q!$C$16-cx_awso*(Q!$C$7-mw_ye23/2*rpm_open/1000)</f>
        <v>1.50429979529945</v>
      </c>
      <c r="S5033" s="38" t="n">
        <f aca="false">Sens!$C$5033</f>
        <v>25.2781053077374</v>
      </c>
      <c r="T5033" s="38" t="n">
        <f aca="false">Sens!$D$5033</f>
        <v>69.5686316310026</v>
      </c>
      <c r="U5033" s="38" t="n">
        <f aca="false">Sens!$G$5033</f>
        <v>152.906471109724</v>
      </c>
      <c r="V5033" s="38" t="n">
        <f aca="false">Sens!$H$5033</f>
        <v>198.57136494475</v>
      </c>
      <c r="W5033" s="38" t="n">
        <f aca="false">Sens!$I$5033</f>
        <v>204.6464699105</v>
      </c>
      <c r="X5033" s="38" t="n">
        <f aca="false">Sens!$J$5033</f>
        <v>209.8832381105</v>
      </c>
      <c r="Y5033" s="38" t="n">
        <f aca="false">Sens!$K$5033</f>
        <v>155.238385275201</v>
      </c>
      <c r="Z5033" s="38" t="n">
        <f aca="false">Sens!$L$5033</f>
        <v>132.014141639902</v>
      </c>
      <c r="AA5033" s="38" t="n">
        <f aca="false">Sens!$M$5033</f>
        <v>132.230981659852</v>
      </c>
    </row>
    <row r="5034" customFormat="false" ht="17.15" hidden="false" customHeight="false" outlineLevel="0" collapsed="false">
      <c r="A5034" s="0" t="s">
        <v>637</v>
      </c>
      <c r="B5034" s="0" t="s">
        <v>86</v>
      </c>
      <c r="H5034" s="38" t="n">
        <f aca="false">SUMPRODUCT(--(Sens!$R$5003:$AA$5003=2027-tk_life),Sens!$R$5010:$AA$5010)*Sens!$H$5015/1000</f>
        <v>0</v>
      </c>
      <c r="I5034" s="38" t="n">
        <f aca="false">SUMPRODUCT(--(Sens!$R$5003:$AA$5003=2028-tk_life),Sens!$R$5010:$AA$5010)*Sens!$I$5015/1000</f>
        <v>0</v>
      </c>
      <c r="J5034" s="38" t="n">
        <f aca="false">SUMPRODUCT(--(Sens!$R$5003:$AA$5003=2029-tk_life),Sens!$R$5010:$AA$5010)*Sens!$J$5015/1000</f>
        <v>5.2367682</v>
      </c>
      <c r="K5034" s="38" t="n">
        <f aca="false">SUMPRODUCT(--(Sens!$R$5003:$AA$5003=2030-tk_life),Sens!$R$5010:$AA$5010)*Sens!$K$5015/1000</f>
        <v>10.4735364</v>
      </c>
      <c r="L5034" s="38" t="n">
        <f aca="false">SUMPRODUCT(--(Sens!$R$5003:$AA$5003=2031-tk_life),Sens!$R$5010:$AA$5010)*Sens!$L$5015/1000</f>
        <v>47.1309138</v>
      </c>
      <c r="M5034" s="38" t="n">
        <f aca="false">SUMPRODUCT(--(Sens!$R$5003:$AA$5003=2032-tk_life),Sens!$R$5010:$AA$5010)*Sens!$M$5015/1000</f>
        <v>107.22937485525</v>
      </c>
    </row>
    <row r="5035" customFormat="false" ht="17.15" hidden="false" customHeight="false" outlineLevel="0" collapsed="false">
      <c r="A5035" s="0" t="s">
        <v>638</v>
      </c>
      <c r="B5035" s="0" t="s">
        <v>86</v>
      </c>
      <c r="C5035" s="38" t="n">
        <f aca="false">MIN(Sens!$C$5033,Sens!$C$5010*(tk_cx_h100+tk_fac*(1-colo_sh))/1000)</f>
        <v>11.2938642</v>
      </c>
      <c r="D5035" s="38" t="n">
        <f aca="false">MIN(Sens!$D$5033,Sens!$D$5010*(tk_cx_h100+tk_fac*(1-colo_sh))/1000)</f>
        <v>50.8223889</v>
      </c>
      <c r="E5035" s="38" t="n">
        <f aca="false">MIN(Sens!$E$5033,Sens!$E$5010*(Sens!$F$5015+tk_fac*(1-colo_sh))/1000)</f>
        <v>33.8985792</v>
      </c>
      <c r="F5035" s="38" t="n">
        <f aca="false">Sens!$F$5033</f>
        <v>88.7165504612134</v>
      </c>
      <c r="G5035" s="38" t="n">
        <f aca="false">Sens!$E$5035+Sens!$F$5035</f>
        <v>122.615129661213</v>
      </c>
      <c r="H5035" s="38" t="n">
        <f aca="false">Sens!$H$5033</f>
        <v>198.57136494475</v>
      </c>
      <c r="I5035" s="38" t="n">
        <f aca="false">Sens!$I$5033</f>
        <v>204.6464699105</v>
      </c>
      <c r="J5035" s="38" t="n">
        <f aca="false">Sens!$J$5033</f>
        <v>209.8832381105</v>
      </c>
      <c r="K5035" s="38" t="n">
        <f aca="false">Sens!$K$5033</f>
        <v>155.238385275201</v>
      </c>
      <c r="L5035" s="38" t="n">
        <f aca="false">Sens!$L$5033</f>
        <v>132.014141639902</v>
      </c>
      <c r="M5035" s="38" t="n">
        <f aca="false">Sens!$M$5033</f>
        <v>132.230981659852</v>
      </c>
      <c r="P5035" s="5" t="s">
        <v>639</v>
      </c>
      <c r="R5035" s="38" t="n">
        <f aca="false">MIN(Sens!$R$5033,Sens!$R$5010*(tk_cx_h100+tk_fac*(1-colo_sh))/1000)</f>
        <v>1.50429979529945</v>
      </c>
      <c r="S5035" s="38" t="n">
        <f aca="false">Sens!$C$5035</f>
        <v>11.2938642</v>
      </c>
      <c r="T5035" s="38" t="n">
        <f aca="false">Sens!$D$5035</f>
        <v>50.8223889</v>
      </c>
      <c r="U5035" s="38" t="n">
        <f aca="false">Sens!$G$5035</f>
        <v>122.615129661213</v>
      </c>
      <c r="V5035" s="38" t="n">
        <f aca="false">Sens!$H$5035</f>
        <v>198.57136494475</v>
      </c>
      <c r="W5035" s="38" t="n">
        <f aca="false">Sens!$I$5035</f>
        <v>204.6464699105</v>
      </c>
      <c r="X5035" s="38" t="n">
        <f aca="false">Sens!$J$5035</f>
        <v>209.8832381105</v>
      </c>
      <c r="Y5035" s="38" t="n">
        <f aca="false">Sens!$K$5035</f>
        <v>155.238385275201</v>
      </c>
      <c r="Z5035" s="38" t="n">
        <f aca="false">Sens!$L$5035</f>
        <v>132.014141639902</v>
      </c>
      <c r="AA5035" s="38" t="n">
        <f aca="false">Sens!$M$5035</f>
        <v>132.230981659852</v>
      </c>
    </row>
    <row r="5036" customFormat="false" ht="17.15" hidden="false" customHeight="false" outlineLevel="0" collapsed="false">
      <c r="A5036" s="5" t="s">
        <v>640</v>
      </c>
      <c r="B5036" s="0" t="s">
        <v>86</v>
      </c>
      <c r="C5036" s="38" t="n">
        <f aca="false">Sens!$C$5033-Sens!$C$5035</f>
        <v>13.9842411077374</v>
      </c>
      <c r="D5036" s="38" t="n">
        <f aca="false">Sens!$D$5033-Sens!$D$5035</f>
        <v>18.7462427310026</v>
      </c>
      <c r="E5036" s="38" t="n">
        <f aca="false">Sens!$E$5033-Sens!$E$5035</f>
        <v>30.2913414485108</v>
      </c>
      <c r="F5036" s="38" t="n">
        <f aca="false">Sens!$F$5033-Sens!$F$5035</f>
        <v>0</v>
      </c>
      <c r="G5036" s="38" t="n">
        <f aca="false">Sens!$G$5033-Sens!$G$5035</f>
        <v>30.2913414485108</v>
      </c>
      <c r="H5036" s="38" t="n">
        <f aca="false">Sens!$H$5033-Sens!$H$5035</f>
        <v>0</v>
      </c>
      <c r="I5036" s="38" t="n">
        <f aca="false">Sens!$I$5033-Sens!$I$5035</f>
        <v>0</v>
      </c>
      <c r="J5036" s="38" t="n">
        <f aca="false">Sens!$J$5033-Sens!$J$5035</f>
        <v>0</v>
      </c>
      <c r="K5036" s="38" t="n">
        <f aca="false">Sens!$K$5033-Sens!$K$5035</f>
        <v>0</v>
      </c>
      <c r="L5036" s="38" t="n">
        <f aca="false">Sens!$L$5033-Sens!$L$5035</f>
        <v>0</v>
      </c>
      <c r="M5036" s="38" t="n">
        <f aca="false">Sens!$M$5033-Sens!$M$5035</f>
        <v>0</v>
      </c>
      <c r="P5036" s="5" t="s">
        <v>641</v>
      </c>
      <c r="R5036" s="38" t="n">
        <f aca="false">Sens!$R$5033-Sens!$R$5035</f>
        <v>0</v>
      </c>
      <c r="S5036" s="38" t="n">
        <f aca="false">Sens!$S$5033-Sens!$S$5035</f>
        <v>13.9842411077374</v>
      </c>
      <c r="T5036" s="38" t="n">
        <f aca="false">Sens!$T$5033-Sens!$T$5035</f>
        <v>18.7462427310026</v>
      </c>
      <c r="U5036" s="38" t="n">
        <f aca="false">Sens!$U$5033-Sens!$U$5035</f>
        <v>30.2913414485108</v>
      </c>
      <c r="V5036" s="38" t="n">
        <f aca="false">Sens!$V$5033-Sens!$V$5035</f>
        <v>0</v>
      </c>
      <c r="W5036" s="38" t="n">
        <f aca="false">Sens!$W$5033-Sens!$W$5035</f>
        <v>0</v>
      </c>
      <c r="X5036" s="38" t="n">
        <f aca="false">Sens!$X$5033-Sens!$X$5035</f>
        <v>0</v>
      </c>
      <c r="Y5036" s="38" t="n">
        <f aca="false">Sens!$Y$5033-Sens!$Y$5035</f>
        <v>0</v>
      </c>
      <c r="Z5036" s="38" t="n">
        <f aca="false">Sens!$Z$5033-Sens!$Z$5035</f>
        <v>0</v>
      </c>
      <c r="AA5036" s="38" t="n">
        <f aca="false">Sens!$AA$5033-Sens!$AA$5035</f>
        <v>0</v>
      </c>
    </row>
    <row r="5037" customFormat="false" ht="17.15" hidden="false" customHeight="false" outlineLevel="0" collapsed="false">
      <c r="A5037" s="5" t="s">
        <v>642</v>
      </c>
      <c r="B5037" s="0" t="s">
        <v>86</v>
      </c>
      <c r="R5037" s="38" t="n">
        <f aca="false">Sens!$R$5036*Sens!$C$5032</f>
        <v>0</v>
      </c>
      <c r="S5037" s="38" t="n">
        <f aca="false">Sens!$S$5036*Sens!$C$5032</f>
        <v>10.219074499801</v>
      </c>
      <c r="T5037" s="38" t="n">
        <f aca="false">Sens!$T$5036*Sens!$C$5032</f>
        <v>13.6989379390402</v>
      </c>
      <c r="U5037" s="38" t="n">
        <f aca="false">Sens!$U$5036*Sens!$E$5032</f>
        <v>23.0454203705653</v>
      </c>
      <c r="V5037" s="38" t="n">
        <f aca="false">Sens!$V$5036*Sens!$E$5032</f>
        <v>0</v>
      </c>
      <c r="W5037" s="38" t="n">
        <f aca="false">Sens!$W$5036*Sens!$E$5032</f>
        <v>0</v>
      </c>
      <c r="X5037" s="38" t="n">
        <f aca="false">Sens!$X$5036*Sens!$E$5032</f>
        <v>0</v>
      </c>
      <c r="Y5037" s="38" t="n">
        <f aca="false">Sens!$Y$5036*Sens!$E$5032</f>
        <v>0</v>
      </c>
      <c r="Z5037" s="38" t="n">
        <f aca="false">Sens!$Z$5036*Sens!$E$5032</f>
        <v>0</v>
      </c>
      <c r="AA5037" s="38" t="n">
        <f aca="false">Sens!$AA$5036*Sens!$E$5032</f>
        <v>0</v>
      </c>
    </row>
    <row r="5038" customFormat="false" ht="17.15" hidden="false" customHeight="false" outlineLevel="0" collapsed="false">
      <c r="A5038" s="5" t="s">
        <v>643</v>
      </c>
      <c r="B5038" s="0" t="s">
        <v>86</v>
      </c>
      <c r="R5038" s="38" t="n">
        <f aca="false">SUMPRODUCT(--(Sens!$R$5003:$AA$5003=2023-cip_lag),Sens!$R$5037:$AA$5037)</f>
        <v>0</v>
      </c>
      <c r="S5038" s="38" t="n">
        <f aca="false">SUMPRODUCT(--(Sens!$R$5003:$AA$5003=2024-cip_lag),Sens!$R$5037:$AA$5037)</f>
        <v>0</v>
      </c>
      <c r="T5038" s="38" t="n">
        <f aca="false">SUMPRODUCT(--(Sens!$R$5003:$AA$5003=2025-cip_lag),Sens!$R$5037:$AA$5037)</f>
        <v>10.219074499801</v>
      </c>
      <c r="U5038" s="38" t="n">
        <f aca="false">SUMPRODUCT(--(Sens!$R$5003:$AA$5003=2026-cip_lag),Sens!$R$5037:$AA$5037)</f>
        <v>13.6989379390402</v>
      </c>
      <c r="V5038" s="38" t="n">
        <f aca="false">SUMPRODUCT(--(Sens!$R$5003:$AA$5003=2027-cip_lag),Sens!$R$5037:$AA$5037)</f>
        <v>23.0454203705653</v>
      </c>
      <c r="W5038" s="38" t="n">
        <f aca="false">SUMPRODUCT(--(Sens!$R$5003:$AA$5003=2028-cip_lag),Sens!$R$5037:$AA$5037)</f>
        <v>0</v>
      </c>
      <c r="X5038" s="38" t="n">
        <f aca="false">SUMPRODUCT(--(Sens!$R$5003:$AA$5003=2029-cip_lag),Sens!$R$5037:$AA$5037)</f>
        <v>0</v>
      </c>
      <c r="Y5038" s="38" t="n">
        <f aca="false">SUMPRODUCT(--(Sens!$R$5003:$AA$5003=2030-cip_lag),Sens!$R$5037:$AA$5037)</f>
        <v>0</v>
      </c>
      <c r="Z5038" s="38" t="n">
        <f aca="false">SUMPRODUCT(--(Sens!$R$5003:$AA$5003=2031-cip_lag),Sens!$R$5037:$AA$5037)</f>
        <v>0</v>
      </c>
      <c r="AA5038" s="38" t="n">
        <f aca="false">SUMPRODUCT(--(Sens!$R$5003:$AA$5003=2032-cip_lag),Sens!$R$5037:$AA$5037)</f>
        <v>0</v>
      </c>
    </row>
    <row r="5039" customFormat="false" ht="15" hidden="false" customHeight="false" outlineLevel="0" collapsed="false">
      <c r="A5039" s="5" t="s">
        <v>644</v>
      </c>
      <c r="B5039" s="0" t="s">
        <v>86</v>
      </c>
      <c r="R5039" s="38" t="n">
        <f aca="false">SUMPRODUCT(--(Sens!$R$5003:$AA$5003=2023-cip_lag),Sens!$R$5036:$AA$5036)-Sens!$R$5038</f>
        <v>0</v>
      </c>
      <c r="S5039" s="38" t="n">
        <f aca="false">SUMPRODUCT(--(Sens!$R$5003:$AA$5003=2024-cip_lag),Sens!$R$5036:$AA$5036)-Sens!$S$5038</f>
        <v>0</v>
      </c>
      <c r="T5039" s="38" t="n">
        <f aca="false">SUMPRODUCT(--(Sens!$R$5003:$AA$5003=2025-cip_lag),Sens!$R$5036:$AA$5036)-Sens!$T$5038</f>
        <v>3.76516660793636</v>
      </c>
      <c r="U5039" s="38" t="n">
        <f aca="false">SUMPRODUCT(--(Sens!$R$5003:$AA$5003=2026-cip_lag),Sens!$R$5036:$AA$5036)-Sens!$U$5038</f>
        <v>5.04730479196242</v>
      </c>
      <c r="V5039" s="38" t="n">
        <f aca="false">SUMPRODUCT(--(Sens!$R$5003:$AA$5003=2027-cip_lag),Sens!$R$5036:$AA$5036)-Sens!$V$5038</f>
        <v>7.24592107794548</v>
      </c>
      <c r="W5039" s="38" t="n">
        <f aca="false">SUMPRODUCT(--(Sens!$R$5003:$AA$5003=2028-cip_lag),Sens!$R$5036:$AA$5036)-Sens!$W$5038</f>
        <v>0</v>
      </c>
      <c r="X5039" s="38" t="n">
        <f aca="false">SUMPRODUCT(--(Sens!$R$5003:$AA$5003=2029-cip_lag),Sens!$R$5036:$AA$5036)-Sens!$X$5038</f>
        <v>0</v>
      </c>
      <c r="Y5039" s="38" t="n">
        <f aca="false">SUMPRODUCT(--(Sens!$R$5003:$AA$5003=2030-cip_lag),Sens!$R$5036:$AA$5036)-Sens!$Y$5038</f>
        <v>0</v>
      </c>
      <c r="Z5039" s="38" t="n">
        <f aca="false">SUMPRODUCT(--(Sens!$R$5003:$AA$5003=2031-cip_lag),Sens!$R$5036:$AA$5036)-Sens!$Z$5038</f>
        <v>0</v>
      </c>
      <c r="AA5039" s="38" t="n">
        <f aca="false">SUMPRODUCT(--(Sens!$R$5003:$AA$5003=2032-cip_lag),Sens!$R$5036:$AA$5036)-Sens!$AA$5038</f>
        <v>0</v>
      </c>
    </row>
    <row r="5040" customFormat="false" ht="17.15" hidden="false" customHeight="false" outlineLevel="0" collapsed="false">
      <c r="A5040" s="5" t="s">
        <v>645</v>
      </c>
      <c r="B5040" s="0" t="s">
        <v>86</v>
      </c>
      <c r="C5040" s="38" t="n">
        <f aca="false">Sens!$C$5035*Sens!$C$5032</f>
        <v>8.2530642</v>
      </c>
      <c r="D5040" s="38" t="n">
        <f aca="false">Sens!$D$5035*Sens!$D$5032</f>
        <v>37.1387889</v>
      </c>
      <c r="E5040" s="38" t="n">
        <f aca="false">Sens!$E$5035*Sens!$E$5032</f>
        <v>25.7897792</v>
      </c>
      <c r="F5040" s="38" t="n">
        <f aca="false">Sens!$F$5035*Sens!$F$5032</f>
        <v>67.4948715189913</v>
      </c>
      <c r="G5040" s="38" t="n">
        <f aca="false">Sens!$E$5040+Sens!$F$5040</f>
        <v>93.2846507189913</v>
      </c>
      <c r="H5040" s="38" t="n">
        <f aca="false">(Sens!$H$5035-Sens!$H$5034)*Sens!$H$5032+Sens!$H$5034</f>
        <v>152.52478394475</v>
      </c>
      <c r="I5040" s="38" t="n">
        <f aca="false">(Sens!$I$5035-Sens!$I$5034)*Sens!$I$5032+Sens!$I$5034</f>
        <v>158.5998889105</v>
      </c>
      <c r="J5040" s="38" t="n">
        <f aca="false">(Sens!$J$5035-Sens!$J$5034)*Sens!$J$5032+Sens!$J$5034</f>
        <v>163.8366571105</v>
      </c>
      <c r="K5040" s="38" t="n">
        <f aca="false">(Sens!$K$5035-Sens!$K$5034)*Sens!$K$5032+Sens!$K$5034</f>
        <v>122.665498273534</v>
      </c>
      <c r="L5040" s="38" t="n">
        <f aca="false">(Sens!$L$5035-Sens!$L$5034)*Sens!$L$5032+Sens!$L$5034</f>
        <v>112.914948636568</v>
      </c>
      <c r="M5040" s="38" t="n">
        <f aca="false">(Sens!$M$5035-Sens!$M$5034)*Sens!$M$5032+Sens!$M$5034</f>
        <v>126.605482654852</v>
      </c>
      <c r="R5040" s="38" t="n">
        <f aca="false">Sens!$R$5035*Sens!$C$5032</f>
        <v>1.09927679019314</v>
      </c>
      <c r="S5040" s="38" t="n">
        <f aca="false">Sens!$C$5040</f>
        <v>8.2530642</v>
      </c>
      <c r="T5040" s="38" t="n">
        <f aca="false">Sens!$D$5040</f>
        <v>37.1387889</v>
      </c>
      <c r="U5040" s="38" t="n">
        <f aca="false">Sens!$G$5040</f>
        <v>93.2846507189913</v>
      </c>
      <c r="V5040" s="38" t="n">
        <f aca="false">Sens!$H$5040</f>
        <v>152.52478394475</v>
      </c>
      <c r="W5040" s="38" t="n">
        <f aca="false">Sens!$I$5040</f>
        <v>158.5998889105</v>
      </c>
      <c r="X5040" s="38" t="n">
        <f aca="false">Sens!$J$5040</f>
        <v>163.8366571105</v>
      </c>
      <c r="Y5040" s="38" t="n">
        <f aca="false">Sens!$K$5040</f>
        <v>122.665498273534</v>
      </c>
      <c r="Z5040" s="38" t="n">
        <f aca="false">Sens!$L$5040</f>
        <v>112.914948636568</v>
      </c>
      <c r="AA5040" s="38" t="n">
        <f aca="false">Sens!$M$5040</f>
        <v>126.605482654852</v>
      </c>
    </row>
    <row r="5041" customFormat="false" ht="15" hidden="false" customHeight="false" outlineLevel="0" collapsed="false">
      <c r="A5041" s="5" t="s">
        <v>646</v>
      </c>
      <c r="B5041" s="0" t="s">
        <v>86</v>
      </c>
      <c r="C5041" s="38" t="n">
        <f aca="false">Sens!$C$5035-Sens!$C$5040</f>
        <v>3.0408</v>
      </c>
      <c r="D5041" s="38" t="n">
        <f aca="false">Sens!$D$5035-Sens!$D$5040</f>
        <v>13.6836</v>
      </c>
      <c r="E5041" s="38" t="n">
        <f aca="false">Sens!$E$5035-Sens!$E$5040</f>
        <v>8.1088</v>
      </c>
      <c r="F5041" s="38" t="n">
        <f aca="false">Sens!$F$5035-Sens!$F$5040</f>
        <v>21.2216789422221</v>
      </c>
      <c r="G5041" s="38" t="n">
        <f aca="false">Sens!$G$5035-Sens!$G$5040</f>
        <v>29.3304789422221</v>
      </c>
      <c r="H5041" s="38" t="n">
        <f aca="false">Sens!$H$5035-Sens!$H$5040</f>
        <v>46.046581</v>
      </c>
      <c r="I5041" s="38" t="n">
        <f aca="false">Sens!$I$5035-Sens!$I$5040</f>
        <v>46.046581</v>
      </c>
      <c r="J5041" s="38" t="n">
        <f aca="false">Sens!$J$5035-Sens!$J$5040</f>
        <v>46.046581</v>
      </c>
      <c r="K5041" s="38" t="n">
        <f aca="false">Sens!$K$5035-Sens!$K$5040</f>
        <v>32.5728870016667</v>
      </c>
      <c r="L5041" s="38" t="n">
        <f aca="false">Sens!$L$5035-Sens!$L$5040</f>
        <v>19.0991930033334</v>
      </c>
      <c r="M5041" s="38" t="n">
        <f aca="false">Sens!$M$5035-Sens!$M$5040</f>
        <v>5.62549900499998</v>
      </c>
      <c r="R5041" s="38" t="n">
        <f aca="false">Sens!$R$5035-Sens!$R$5040</f>
        <v>0.405023005106309</v>
      </c>
      <c r="S5041" s="38" t="n">
        <f aca="false">Sens!$S$5035-Sens!$S$5040</f>
        <v>3.0408</v>
      </c>
      <c r="T5041" s="38" t="n">
        <f aca="false">Sens!$T$5035-Sens!$T$5040</f>
        <v>13.6836</v>
      </c>
      <c r="U5041" s="38" t="n">
        <f aca="false">Sens!$U$5035-Sens!$U$5040</f>
        <v>29.3304789422221</v>
      </c>
      <c r="V5041" s="38" t="n">
        <f aca="false">Sens!$V$5035-Sens!$V$5040</f>
        <v>46.046581</v>
      </c>
      <c r="W5041" s="38" t="n">
        <f aca="false">Sens!$W$5035-Sens!$W$5040</f>
        <v>46.046581</v>
      </c>
      <c r="X5041" s="38" t="n">
        <f aca="false">Sens!$X$5035-Sens!$X$5040</f>
        <v>46.046581</v>
      </c>
      <c r="Y5041" s="38" t="n">
        <f aca="false">Sens!$Y$5035-Sens!$Y$5040</f>
        <v>32.5728870016667</v>
      </c>
      <c r="Z5041" s="38" t="n">
        <f aca="false">Sens!$Z$5035-Sens!$Z$5040</f>
        <v>19.0991930033334</v>
      </c>
      <c r="AA5041" s="38" t="n">
        <f aca="false">Sens!$AA$5035-Sens!$AA$5040</f>
        <v>5.62549900499998</v>
      </c>
    </row>
    <row r="5042" customFormat="false" ht="17.15" hidden="false" customHeight="false" outlineLevel="0" collapsed="false">
      <c r="A5042" s="0" t="s">
        <v>647</v>
      </c>
      <c r="B5042" s="0" t="s">
        <v>52</v>
      </c>
      <c r="C5042" s="13" t="n">
        <f aca="false">Sens!$C$5033/Sens!$C$5158</f>
        <v>0.325505489553393</v>
      </c>
      <c r="D5042" s="13" t="n">
        <f aca="false">Sens!$D$5033/Sens!$D$5158</f>
        <v>0.54214956071542</v>
      </c>
      <c r="E5042" s="13" t="n">
        <f aca="false">Sens!$E$5033/Sens!$E$5158</f>
        <v>0.666492790452817</v>
      </c>
      <c r="F5042" s="13" t="n">
        <f aca="false">Sens!$F$5033/Sens!$F$5158</f>
        <v>0.71724917504417</v>
      </c>
      <c r="G5042" s="13" t="n">
        <f aca="false">Sens!$G$5033/Sens!$G$5158</f>
        <v>0.69502941413511</v>
      </c>
      <c r="H5042" s="13" t="n">
        <f aca="false">Sens!$H$5033/Sens!$H$5158</f>
        <v>0.726376041178204</v>
      </c>
      <c r="I5042" s="13" t="n">
        <f aca="false">Sens!$I$5033/Sens!$I$5158</f>
        <v>0.713099092661699</v>
      </c>
      <c r="J5042" s="13" t="n">
        <f aca="false">Sens!$J$5033/Sens!$J$5158</f>
        <v>0.701208348786245</v>
      </c>
      <c r="K5042" s="13" t="n">
        <f aca="false">Sens!$K$5033/Sens!$K$5158</f>
        <v>0.618338844562383</v>
      </c>
      <c r="L5042" s="13" t="n">
        <f aca="false">Sens!$L$5033/Sens!$L$5158</f>
        <v>0.562489158462506</v>
      </c>
      <c r="M5042" s="13" t="n">
        <f aca="false">Sens!$M$5033/Sens!$M$5158</f>
        <v>0.545751190895923</v>
      </c>
    </row>
    <row r="5043" customFormat="false" ht="17.15" hidden="false" customHeight="false" outlineLevel="0" collapsed="false">
      <c r="A5043" s="0" t="s">
        <v>648</v>
      </c>
      <c r="B5043" s="0" t="s">
        <v>86</v>
      </c>
      <c r="C5043" s="38" t="n">
        <f aca="false">Sens!$S$5043</f>
        <v>0.183212798365523</v>
      </c>
      <c r="D5043" s="38" t="n">
        <f aca="false">Sens!$T$5043</f>
        <v>1.55872349836552</v>
      </c>
      <c r="E5043" s="38" t="n">
        <f aca="false">Sens!$G$5043/2</f>
        <v>4.72585036583285</v>
      </c>
      <c r="F5043" s="38" t="n">
        <f aca="false">Sens!$G$5043/2</f>
        <v>4.72585036583285</v>
      </c>
      <c r="G5043" s="38" t="n">
        <f aca="false">Sens!$U$5043</f>
        <v>9.4517007316657</v>
      </c>
      <c r="H5043" s="38" t="n">
        <f aca="false">Sens!$V$5043</f>
        <v>27.2822988413376</v>
      </c>
      <c r="I5043" s="38" t="n">
        <f aca="false">Sens!$W$5043</f>
        <v>56.5439995605568</v>
      </c>
      <c r="J5043" s="38" t="n">
        <f aca="false">Sens!$X$5043</f>
        <v>82.9773143789735</v>
      </c>
      <c r="K5043" s="38" t="n">
        <f aca="false">Sens!$Y$5043</f>
        <v>110.100211099025</v>
      </c>
      <c r="L5043" s="38" t="n">
        <f aca="false">Sens!$Z$5043</f>
        <v>129.16895011128</v>
      </c>
      <c r="M5043" s="38" t="n">
        <f aca="false">Sens!$AA$5043</f>
        <v>140.095130984075</v>
      </c>
      <c r="N5043" s="38" t="n">
        <f aca="false">Sens!$D$5043/2</f>
        <v>0.779361749182762</v>
      </c>
      <c r="O5043" s="38" t="n">
        <f aca="false">Sens!$D$5043/2</f>
        <v>0.779361749182762</v>
      </c>
      <c r="R5043" s="38" t="n">
        <f aca="false">(SUMPRODUCT(--(Sens!$R$5003:$AA$5003&lt;Sens!R$5003),--(Sens!$R$5003:$AA$5003&gt;=Sens!R$5003-tk_life),Sens!$R$5040:$AA$5040)+SUMPRODUCT(--(Sens!$R$5003:$AA$5003&lt;Sens!R$5003),--(Sens!$R$5003:$AA$5003&gt;=Sens!R$5003-tk_life),Sens!$R$5038:$AA$5038))/tk_life</f>
        <v>0</v>
      </c>
      <c r="S5043" s="38" t="n">
        <f aca="false">(SUMPRODUCT(--(Sens!$R$5003:$AA$5003&lt;Sens!S$5003),--(Sens!$R$5003:$AA$5003&gt;=Sens!S$5003-tk_life),Sens!$R$5040:$AA$5040)+SUMPRODUCT(--(Sens!$R$5003:$AA$5003&lt;Sens!S$5003),--(Sens!$R$5003:$AA$5003&gt;=Sens!S$5003-tk_life),Sens!$R$5038:$AA$5038))/tk_life</f>
        <v>0.183212798365523</v>
      </c>
      <c r="T5043" s="38" t="n">
        <f aca="false">(SUMPRODUCT(--(Sens!$R$5003:$AA$5003&lt;Sens!T$5003),--(Sens!$R$5003:$AA$5003&gt;=Sens!T$5003-tk_life),Sens!$R$5040:$AA$5040)+SUMPRODUCT(--(Sens!$R$5003:$AA$5003&lt;Sens!T$5003),--(Sens!$R$5003:$AA$5003&gt;=Sens!T$5003-tk_life),Sens!$R$5038:$AA$5038))/tk_life</f>
        <v>1.55872349836552</v>
      </c>
      <c r="U5043" s="38" t="n">
        <f aca="false">(SUMPRODUCT(--(Sens!$R$5003:$AA$5003&lt;Sens!U$5003),--(Sens!$R$5003:$AA$5003&gt;=Sens!U$5003-tk_life),Sens!$R$5040:$AA$5040)+SUMPRODUCT(--(Sens!$R$5003:$AA$5003&lt;Sens!U$5003),--(Sens!$R$5003:$AA$5003&gt;=Sens!U$5003-tk_life),Sens!$R$5038:$AA$5038))/tk_life</f>
        <v>9.4517007316657</v>
      </c>
      <c r="V5043" s="38" t="n">
        <f aca="false">(SUMPRODUCT(--(Sens!$R$5003:$AA$5003&lt;Sens!V$5003),--(Sens!$R$5003:$AA$5003&gt;=Sens!V$5003-tk_life),Sens!$R$5040:$AA$5040)+SUMPRODUCT(--(Sens!$R$5003:$AA$5003&lt;Sens!V$5003),--(Sens!$R$5003:$AA$5003&gt;=Sens!V$5003-tk_life),Sens!$R$5038:$AA$5038))/tk_life</f>
        <v>27.2822988413376</v>
      </c>
      <c r="W5043" s="38" t="n">
        <f aca="false">(SUMPRODUCT(--(Sens!$R$5003:$AA$5003&lt;Sens!W$5003),--(Sens!$R$5003:$AA$5003&gt;=Sens!W$5003-tk_life),Sens!$R$5040:$AA$5040)+SUMPRODUCT(--(Sens!$R$5003:$AA$5003&lt;Sens!W$5003),--(Sens!$R$5003:$AA$5003&gt;=Sens!W$5003-tk_life),Sens!$R$5038:$AA$5038))/tk_life</f>
        <v>56.5439995605568</v>
      </c>
      <c r="X5043" s="38" t="n">
        <f aca="false">(SUMPRODUCT(--(Sens!$R$5003:$AA$5003&lt;Sens!X$5003),--(Sens!$R$5003:$AA$5003&gt;=Sens!X$5003-tk_life),Sens!$R$5040:$AA$5040)+SUMPRODUCT(--(Sens!$R$5003:$AA$5003&lt;Sens!X$5003),--(Sens!$R$5003:$AA$5003&gt;=Sens!X$5003-tk_life),Sens!$R$5038:$AA$5038))/tk_life</f>
        <v>82.9773143789735</v>
      </c>
      <c r="Y5043" s="38" t="n">
        <f aca="false">(SUMPRODUCT(--(Sens!$R$5003:$AA$5003&lt;Sens!Y$5003),--(Sens!$R$5003:$AA$5003&gt;=Sens!Y$5003-tk_life),Sens!$R$5040:$AA$5040)+SUMPRODUCT(--(Sens!$R$5003:$AA$5003&lt;Sens!Y$5003),--(Sens!$R$5003:$AA$5003&gt;=Sens!Y$5003-tk_life),Sens!$R$5038:$AA$5038))/tk_life</f>
        <v>110.100211099025</v>
      </c>
      <c r="Z5043" s="38" t="n">
        <f aca="false">(SUMPRODUCT(--(Sens!$R$5003:$AA$5003&lt;Sens!Z$5003),--(Sens!$R$5003:$AA$5003&gt;=Sens!Z$5003-tk_life),Sens!$R$5040:$AA$5040)+SUMPRODUCT(--(Sens!$R$5003:$AA$5003&lt;Sens!Z$5003),--(Sens!$R$5003:$AA$5003&gt;=Sens!Z$5003-tk_life),Sens!$R$5038:$AA$5038))/tk_life</f>
        <v>129.16895011128</v>
      </c>
      <c r="AA5043" s="38" t="n">
        <f aca="false">(SUMPRODUCT(--(Sens!$R$5003:$AA$5003&lt;Sens!AA$5003),--(Sens!$R$5003:$AA$5003&gt;=Sens!AA$5003-tk_life),Sens!$R$5040:$AA$5040)+SUMPRODUCT(--(Sens!$R$5003:$AA$5003&lt;Sens!AA$5003),--(Sens!$R$5003:$AA$5003&gt;=Sens!AA$5003-tk_life),Sens!$R$5038:$AA$5038))/tk_life</f>
        <v>140.095130984075</v>
      </c>
    </row>
    <row r="5044" customFormat="false" ht="17.15" hidden="false" customHeight="false" outlineLevel="0" collapsed="false">
      <c r="A5044" s="0" t="s">
        <v>649</v>
      </c>
      <c r="B5044" s="0" t="s">
        <v>86</v>
      </c>
      <c r="C5044" s="38" t="n">
        <f aca="false">Sens!$S$5044</f>
        <v>0.0202511502553155</v>
      </c>
      <c r="D5044" s="38" t="n">
        <f aca="false">Sens!$T$5044</f>
        <v>0.172291150255315</v>
      </c>
      <c r="E5044" s="38" t="n">
        <f aca="false">Sens!$G$5044/2</f>
        <v>0.522364740326067</v>
      </c>
      <c r="F5044" s="38" t="n">
        <f aca="false">Sens!$G$5044/2</f>
        <v>0.522364740326067</v>
      </c>
      <c r="G5044" s="38" t="n">
        <f aca="false">Sens!$U$5044</f>
        <v>1.04472948065213</v>
      </c>
      <c r="H5044" s="38" t="n">
        <f aca="false">Sens!$V$5044</f>
        <v>2.76361866736136</v>
      </c>
      <c r="I5044" s="38" t="n">
        <f aca="false">Sens!$W$5044</f>
        <v>5.42824377125863</v>
      </c>
      <c r="J5044" s="38" t="n">
        <f aca="false">Sens!$X$5044</f>
        <v>7.73057282125864</v>
      </c>
      <c r="K5044" s="38" t="n">
        <f aca="false">Sens!$Y$5044</f>
        <v>10.0329018712586</v>
      </c>
      <c r="L5044" s="38" t="n">
        <f aca="false">Sens!$Z$5044</f>
        <v>11.661546221342</v>
      </c>
      <c r="M5044" s="38" t="n">
        <f aca="false">Sens!$AA$5044</f>
        <v>12.6165058715086</v>
      </c>
      <c r="N5044" s="38" t="n">
        <f aca="false">Sens!$D$5044/2</f>
        <v>0.0861455751276577</v>
      </c>
      <c r="O5044" s="38" t="n">
        <f aca="false">Sens!$D$5044/2</f>
        <v>0.0861455751276577</v>
      </c>
      <c r="R5044" s="38" t="n">
        <f aca="false">(SUMPRODUCT(--(Sens!$R$5003:$AA$5003&lt;Sens!R$5003),Sens!$R$5041:$AA$5041)+SUMPRODUCT(--(Sens!$R$5003:$AA$5003&lt;Sens!R$5003),Sens!$R$5039:$AA$5039))/fac_life</f>
        <v>0</v>
      </c>
      <c r="S5044" s="38" t="n">
        <f aca="false">(SUMPRODUCT(--(Sens!$R$5003:$AA$5003&lt;Sens!S$5003),Sens!$R$5041:$AA$5041)+SUMPRODUCT(--(Sens!$R$5003:$AA$5003&lt;Sens!S$5003),Sens!$R$5039:$AA$5039))/fac_life</f>
        <v>0.0202511502553155</v>
      </c>
      <c r="T5044" s="38" t="n">
        <f aca="false">(SUMPRODUCT(--(Sens!$R$5003:$AA$5003&lt;Sens!T$5003),Sens!$R$5041:$AA$5041)+SUMPRODUCT(--(Sens!$R$5003:$AA$5003&lt;Sens!T$5003),Sens!$R$5039:$AA$5039))/fac_life</f>
        <v>0.172291150255315</v>
      </c>
      <c r="U5044" s="38" t="n">
        <f aca="false">(SUMPRODUCT(--(Sens!$R$5003:$AA$5003&lt;Sens!U$5003),Sens!$R$5041:$AA$5041)+SUMPRODUCT(--(Sens!$R$5003:$AA$5003&lt;Sens!U$5003),Sens!$R$5039:$AA$5039))/fac_life</f>
        <v>1.04472948065213</v>
      </c>
      <c r="V5044" s="38" t="n">
        <f aca="false">(SUMPRODUCT(--(Sens!$R$5003:$AA$5003&lt;Sens!V$5003),Sens!$R$5041:$AA$5041)+SUMPRODUCT(--(Sens!$R$5003:$AA$5003&lt;Sens!V$5003),Sens!$R$5039:$AA$5039))/fac_life</f>
        <v>2.76361866736136</v>
      </c>
      <c r="W5044" s="38" t="n">
        <f aca="false">(SUMPRODUCT(--(Sens!$R$5003:$AA$5003&lt;Sens!W$5003),Sens!$R$5041:$AA$5041)+SUMPRODUCT(--(Sens!$R$5003:$AA$5003&lt;Sens!W$5003),Sens!$R$5039:$AA$5039))/fac_life</f>
        <v>5.42824377125863</v>
      </c>
      <c r="X5044" s="38" t="n">
        <f aca="false">(SUMPRODUCT(--(Sens!$R$5003:$AA$5003&lt;Sens!X$5003),Sens!$R$5041:$AA$5041)+SUMPRODUCT(--(Sens!$R$5003:$AA$5003&lt;Sens!X$5003),Sens!$R$5039:$AA$5039))/fac_life</f>
        <v>7.73057282125864</v>
      </c>
      <c r="Y5044" s="38" t="n">
        <f aca="false">(SUMPRODUCT(--(Sens!$R$5003:$AA$5003&lt;Sens!Y$5003),Sens!$R$5041:$AA$5041)+SUMPRODUCT(--(Sens!$R$5003:$AA$5003&lt;Sens!Y$5003),Sens!$R$5039:$AA$5039))/fac_life</f>
        <v>10.0329018712586</v>
      </c>
      <c r="Z5044" s="38" t="n">
        <f aca="false">(SUMPRODUCT(--(Sens!$R$5003:$AA$5003&lt;Sens!Z$5003),Sens!$R$5041:$AA$5041)+SUMPRODUCT(--(Sens!$R$5003:$AA$5003&lt;Sens!Z$5003),Sens!$R$5039:$AA$5039))/fac_life</f>
        <v>11.661546221342</v>
      </c>
      <c r="AA5044" s="38" t="n">
        <f aca="false">(SUMPRODUCT(--(Sens!$R$5003:$AA$5003&lt;Sens!AA$5003),Sens!$R$5041:$AA$5041)+SUMPRODUCT(--(Sens!$R$5003:$AA$5003&lt;Sens!AA$5003),Sens!$R$5039:$AA$5039))/fac_life</f>
        <v>12.6165058715086</v>
      </c>
    </row>
    <row r="5045" customFormat="false" ht="17.15" hidden="false" customHeight="false" outlineLevel="0" collapsed="false">
      <c r="A5045" s="1" t="s">
        <v>650</v>
      </c>
      <c r="B5045" s="8" t="s">
        <v>86</v>
      </c>
      <c r="C5045" s="38" t="n">
        <f aca="false">Sens!$C$5043+Sens!$C$5044</f>
        <v>0.203463948620839</v>
      </c>
      <c r="D5045" s="38" t="n">
        <f aca="false">Sens!$D$5043+Sens!$D$5044</f>
        <v>1.73101464862084</v>
      </c>
      <c r="E5045" s="38" t="n">
        <f aca="false">Sens!$E$5043+Sens!$E$5044</f>
        <v>5.24821510615892</v>
      </c>
      <c r="F5045" s="38" t="n">
        <f aca="false">Sens!$F$5043+Sens!$F$5044</f>
        <v>5.24821510615892</v>
      </c>
      <c r="G5045" s="38" t="n">
        <f aca="false">Sens!$G$5043+Sens!$G$5044</f>
        <v>10.4964302123178</v>
      </c>
      <c r="H5045" s="38" t="n">
        <f aca="false">Sens!$H$5043+Sens!$H$5044</f>
        <v>30.045917508699</v>
      </c>
      <c r="I5045" s="38" t="n">
        <f aca="false">Sens!$I$5043+Sens!$I$5044</f>
        <v>61.9722433318155</v>
      </c>
      <c r="J5045" s="38" t="n">
        <f aca="false">Sens!$J$5043+Sens!$J$5044</f>
        <v>90.7078872002321</v>
      </c>
      <c r="K5045" s="38" t="n">
        <f aca="false">Sens!$K$5043+Sens!$K$5044</f>
        <v>120.133112970283</v>
      </c>
      <c r="L5045" s="38" t="n">
        <f aca="false">Sens!$L$5043+Sens!$L$5044</f>
        <v>140.830496332622</v>
      </c>
      <c r="M5045" s="38" t="n">
        <f aca="false">Sens!$M$5043+Sens!$M$5044</f>
        <v>152.711636855584</v>
      </c>
      <c r="N5045" s="38" t="n">
        <f aca="false">Sens!$N$5043+Sens!$N$5044</f>
        <v>0.865507324310419</v>
      </c>
      <c r="O5045" s="38" t="n">
        <f aca="false">Sens!$O$5043+Sens!$O$5044</f>
        <v>0.865507324310419</v>
      </c>
      <c r="R5045" s="38" t="n">
        <f aca="false">Sens!$R$5043+Sens!$R$5044</f>
        <v>0</v>
      </c>
      <c r="S5045" s="38" t="n">
        <f aca="false">Sens!$S$5043+Sens!$S$5044</f>
        <v>0.203463948620839</v>
      </c>
      <c r="T5045" s="38" t="n">
        <f aca="false">Sens!$T$5043+Sens!$T$5044</f>
        <v>1.73101464862084</v>
      </c>
      <c r="U5045" s="38" t="n">
        <f aca="false">Sens!$U$5043+Sens!$U$5044</f>
        <v>10.4964302123178</v>
      </c>
      <c r="V5045" s="38" t="n">
        <f aca="false">Sens!$V$5043+Sens!$V$5044</f>
        <v>30.045917508699</v>
      </c>
      <c r="W5045" s="38" t="n">
        <f aca="false">Sens!$W$5043+Sens!$W$5044</f>
        <v>61.9722433318155</v>
      </c>
      <c r="X5045" s="38" t="n">
        <f aca="false">Sens!$X$5043+Sens!$X$5044</f>
        <v>90.7078872002321</v>
      </c>
      <c r="Y5045" s="38" t="n">
        <f aca="false">Sens!$Y$5043+Sens!$Y$5044</f>
        <v>120.133112970283</v>
      </c>
      <c r="Z5045" s="38" t="n">
        <f aca="false">Sens!$Z$5043+Sens!$Z$5044</f>
        <v>140.830496332622</v>
      </c>
      <c r="AA5045" s="38" t="n">
        <f aca="false">Sens!$AA$5043+Sens!$AA$5044</f>
        <v>152.711636855584</v>
      </c>
    </row>
    <row r="5046" customFormat="false" ht="17.15" hidden="false" customHeight="false" outlineLevel="0" collapsed="false">
      <c r="A5046" s="0" t="s">
        <v>651</v>
      </c>
      <c r="B5046" s="0" t="s">
        <v>86</v>
      </c>
      <c r="C5046" s="38" t="n">
        <f aca="false">Sens!$S$5046</f>
        <v>26.578941154416</v>
      </c>
      <c r="D5046" s="38" t="n">
        <f aca="false">Sens!$T$5046</f>
        <v>94.4165581367978</v>
      </c>
      <c r="G5046" s="38" t="n">
        <f aca="false">Sens!$U$5046</f>
        <v>236.826599034204</v>
      </c>
      <c r="H5046" s="38" t="n">
        <f aca="false">Sens!$V$5046</f>
        <v>405.352046470255</v>
      </c>
      <c r="I5046" s="38" t="n">
        <f aca="false">Sens!$W$5046</f>
        <v>548.02627304894</v>
      </c>
      <c r="J5046" s="38" t="n">
        <f aca="false">Sens!$X$5046</f>
        <v>667.201623959208</v>
      </c>
      <c r="K5046" s="38" t="n">
        <f aca="false">Sens!$Y$5046</f>
        <v>702.306896264125</v>
      </c>
      <c r="L5046" s="38" t="n">
        <f aca="false">Sens!$Z$5046</f>
        <v>693.490541571405</v>
      </c>
      <c r="M5046" s="38" t="n">
        <f aca="false">Sens!$AA$5046</f>
        <v>673.009886375674</v>
      </c>
      <c r="R5046" s="38" t="n">
        <f aca="false">SUM(Sens!$R$5033:$R$5033)-SUM(Sens!$R$5045:$R$5045)</f>
        <v>1.50429979529945</v>
      </c>
      <c r="S5046" s="38" t="n">
        <f aca="false">SUM(Sens!$R$5033:$S$5033)-SUM(Sens!$R$5045:$S$5045)</f>
        <v>26.578941154416</v>
      </c>
      <c r="T5046" s="38" t="n">
        <f aca="false">SUM(Sens!$R$5033:$T$5033)-SUM(Sens!$R$5045:$T$5045)</f>
        <v>94.4165581367978</v>
      </c>
      <c r="U5046" s="38" t="n">
        <f aca="false">SUM(Sens!$R$5033:$U$5033)-SUM(Sens!$R$5045:$U$5045)</f>
        <v>236.826599034204</v>
      </c>
      <c r="V5046" s="38" t="n">
        <f aca="false">SUM(Sens!$R$5033:$V$5033)-SUM(Sens!$R$5045:$V$5045)</f>
        <v>405.352046470255</v>
      </c>
      <c r="W5046" s="38" t="n">
        <f aca="false">SUM(Sens!$R$5033:$W$5033)-SUM(Sens!$R$5045:$W$5045)</f>
        <v>548.02627304894</v>
      </c>
      <c r="X5046" s="38" t="n">
        <f aca="false">SUM(Sens!$R$5033:$X$5033)-SUM(Sens!$R$5045:$X$5045)</f>
        <v>667.201623959208</v>
      </c>
      <c r="Y5046" s="38" t="n">
        <f aca="false">SUM(Sens!$R$5033:$Y$5033)-SUM(Sens!$R$5045:$Y$5045)</f>
        <v>702.306896264125</v>
      </c>
      <c r="Z5046" s="38" t="n">
        <f aca="false">SUM(Sens!$R$5033:$Z$5033)-SUM(Sens!$R$5045:$Z$5045)</f>
        <v>693.490541571405</v>
      </c>
      <c r="AA5046" s="38" t="n">
        <f aca="false">SUM(Sens!$R$5033:$AA$5033)-SUM(Sens!$R$5045:$AA$5045)</f>
        <v>673.009886375674</v>
      </c>
    </row>
    <row r="5047" customFormat="false" ht="17.15" hidden="false" customHeight="false" outlineLevel="0" collapsed="false">
      <c r="A5047" s="1" t="s">
        <v>652</v>
      </c>
    </row>
    <row r="5048" customFormat="false" ht="17.15" hidden="false" customHeight="false" outlineLevel="0" collapsed="false">
      <c r="A5048" s="0" t="s">
        <v>653</v>
      </c>
      <c r="B5048" s="0" t="s">
        <v>86</v>
      </c>
      <c r="C5048" s="38" t="n">
        <f aca="false">Sens!$C$5024-ext_sh*Sens!$C$5026</f>
        <v>1.80694998843362</v>
      </c>
      <c r="D5048" s="38" t="n">
        <f aca="false">Sens!$D$5024-ext_sh*Sens!$D$5026</f>
        <v>6.77606245662607</v>
      </c>
      <c r="E5048" s="38" t="n">
        <f aca="false">Sens!$E$5024-ext_sh*Sens!$E$5026</f>
        <v>6.62548329092326</v>
      </c>
      <c r="F5048" s="38" t="n">
        <f aca="false">Sens!$F$5024-ext_sh*Sens!$F$5026</f>
        <v>11.7200577158706</v>
      </c>
      <c r="G5048" s="38" t="n">
        <f aca="false">Sens!$G$5024-ext_sh*Sens!$G$5026</f>
        <v>18.3455410067939</v>
      </c>
      <c r="H5048" s="38" t="n">
        <f aca="false">Sens!$H$5024-ext_sh*Sens!$H$5026</f>
        <v>47.5171727060453</v>
      </c>
      <c r="I5048" s="38" t="n">
        <f aca="false">Sens!$I$5024-ext_sh*Sens!$I$5026</f>
        <v>80.5539692643667</v>
      </c>
      <c r="J5048" s="38" t="n">
        <f aca="false">Sens!$J$5024-ext_sh*Sens!$J$5026</f>
        <v>113.759316834883</v>
      </c>
      <c r="K5048" s="38" t="n">
        <f aca="false">Sens!$K$5024-ext_sh*Sens!$K$5026</f>
        <v>142.084411492169</v>
      </c>
      <c r="L5048" s="38" t="n">
        <f aca="false">Sens!$L$5024-ext_sh*Sens!$L$5026</f>
        <v>160.69964615804</v>
      </c>
      <c r="M5048" s="38" t="n">
        <f aca="false">Sens!$M$5024-ext_sh*Sens!$M$5026</f>
        <v>169.577607141793</v>
      </c>
      <c r="N5048" s="38" t="n">
        <f aca="false">Sens!$N$5024-ext_sh*Sens!$N$5026</f>
        <v>2.37162185981912</v>
      </c>
      <c r="O5048" s="38" t="n">
        <f aca="false">Sens!$O$5024-ext_sh*Sens!$O$5026</f>
        <v>4.40444059680694</v>
      </c>
    </row>
    <row r="5049" customFormat="false" ht="17.15" hidden="false" customHeight="false" outlineLevel="0" collapsed="false">
      <c r="A5049" s="1" t="s">
        <v>654</v>
      </c>
      <c r="B5049" s="8" t="s">
        <v>86</v>
      </c>
      <c r="C5049" s="38" t="n">
        <f aca="false">Sens!$C$5048-ext_sh*Sens!$C$5045</f>
        <v>1.64417882953695</v>
      </c>
      <c r="D5049" s="38" t="n">
        <f aca="false">Sens!$D$5048-ext_sh*Sens!$D$5045</f>
        <v>5.39125073772939</v>
      </c>
      <c r="E5049" s="38" t="n">
        <f aca="false">Sens!$E$5048-ext_sh*Sens!$E$5045</f>
        <v>2.42691120599613</v>
      </c>
      <c r="F5049" s="38" t="n">
        <f aca="false">Sens!$F$5048-ext_sh*Sens!$F$5045</f>
        <v>7.52148563094346</v>
      </c>
      <c r="G5049" s="38" t="n">
        <f aca="false">Sens!$G$5048-ext_sh*Sens!$G$5045</f>
        <v>9.94839683693959</v>
      </c>
      <c r="H5049" s="38" t="n">
        <f aca="false">Sens!$H$5048-ext_sh*Sens!$H$5045</f>
        <v>23.4804386990861</v>
      </c>
      <c r="I5049" s="38" t="n">
        <f aca="false">Sens!$I$5048-ext_sh*Sens!$I$5045</f>
        <v>30.9761745989143</v>
      </c>
      <c r="J5049" s="38" t="n">
        <f aca="false">Sens!$J$5048-ext_sh*Sens!$J$5045</f>
        <v>41.1930070746977</v>
      </c>
      <c r="K5049" s="38" t="n">
        <f aca="false">Sens!$K$5048-ext_sh*Sens!$K$5045</f>
        <v>45.9779211159428</v>
      </c>
      <c r="L5049" s="38" t="n">
        <f aca="false">Sens!$L$5048-ext_sh*Sens!$L$5045</f>
        <v>48.0352490919424</v>
      </c>
      <c r="M5049" s="38" t="n">
        <f aca="false">Sens!$M$5048-ext_sh*Sens!$M$5045</f>
        <v>47.4082976573265</v>
      </c>
      <c r="N5049" s="38" t="n">
        <f aca="false">Sens!$N$5048-ext_sh*Sens!$N$5045</f>
        <v>1.67921600037079</v>
      </c>
      <c r="O5049" s="38" t="n">
        <f aca="false">Sens!$O$5048-ext_sh*Sens!$O$5045</f>
        <v>3.71203473735861</v>
      </c>
    </row>
    <row r="5050" customFormat="false" ht="17.15" hidden="false" customHeight="false" outlineLevel="0" collapsed="false">
      <c r="A5050" s="0" t="s">
        <v>655</v>
      </c>
      <c r="B5050" s="0" t="s">
        <v>52</v>
      </c>
      <c r="C5050" s="13" t="n">
        <f aca="false">Sens!$C$5049/Sens!$C$5024</f>
        <v>0.708390794789371</v>
      </c>
      <c r="D5050" s="13" t="n">
        <f aca="false">Sens!$D$5049/Sens!$D$5024</f>
        <v>0.619415573115729</v>
      </c>
      <c r="E5050" s="13" t="n">
        <f aca="false">Sens!$E$5049/Sens!$E$5024</f>
        <v>0.285171627189009</v>
      </c>
      <c r="F5050" s="13" t="n">
        <f aca="false">Sens!$F$5049/Sens!$F$5024</f>
        <v>0.502657732812366</v>
      </c>
      <c r="G5050" s="13" t="n">
        <f aca="false">Sens!$G$5049/Sens!$G$5024</f>
        <v>0.423808778611812</v>
      </c>
      <c r="H5050" s="13" t="n">
        <f aca="false">Sens!$H$5049/Sens!$H$5024</f>
        <v>0.390261631739809</v>
      </c>
      <c r="I5050" s="13" t="n">
        <f aca="false">Sens!$I$5049/Sens!$I$5024</f>
        <v>0.305172864264572</v>
      </c>
      <c r="J5050" s="13" t="n">
        <f aca="false">Sens!$J$5049/Sens!$J$5024</f>
        <v>0.288011814789856</v>
      </c>
      <c r="K5050" s="13" t="n">
        <f aca="false">Sens!$K$5049/Sens!$K$5024</f>
        <v>0.25765427518774</v>
      </c>
      <c r="L5050" s="13" t="n">
        <f aca="false">Sens!$L$5049/Sens!$L$5024</f>
        <v>0.238118778012374</v>
      </c>
      <c r="M5050" s="13" t="n">
        <f aca="false">Sens!$M$5049/Sens!$M$5024</f>
        <v>0.222746255757109</v>
      </c>
      <c r="N5050" s="13" t="n">
        <f aca="false">Sens!$N$5049/Sens!$N$5024</f>
        <v>0.551227795793364</v>
      </c>
      <c r="O5050" s="13" t="n">
        <f aca="false">Sens!$O$5049/Sens!$O$5024</f>
        <v>0.656132068597002</v>
      </c>
    </row>
    <row r="5051" customFormat="false" ht="17.15" hidden="false" customHeight="false" outlineLevel="0" collapsed="false">
      <c r="A5051" s="5" t="s">
        <v>656</v>
      </c>
      <c r="B5051" s="0" t="s">
        <v>86</v>
      </c>
      <c r="C5051" s="39" t="n">
        <v>0</v>
      </c>
      <c r="D5051" s="39" t="n">
        <v>0</v>
      </c>
      <c r="E5051" s="39" t="n">
        <v>0</v>
      </c>
      <c r="F5051" s="38" t="n">
        <f aca="false">IF(internal_ai_reading=2,1,0)*(1-ext_sh)/ext_sh*(mw_open*he_open+Sens!$F$5022*Sens!$F$5019)*Sens!$F$5008/1000</f>
        <v>3.77122048175818</v>
      </c>
      <c r="G5051" s="38" t="n">
        <f aca="false">Sens!$E$5051+Sens!$F$5051</f>
        <v>3.77122048175818</v>
      </c>
      <c r="H5051" s="38" t="n">
        <f aca="false">IF(internal_ai_reading=2,1,0)*(1-ext_sh)/ext_sh*(mw_open*he_open+Sens!$H$5022*Sens!$H$5019)*Sens!$H$5008/1000</f>
        <v>15.1635543609893</v>
      </c>
      <c r="I5051" s="38" t="n">
        <f aca="false">IF(internal_ai_reading=2,1,0)*(1-ext_sh)/ext_sh*(mw_open*he_open+Sens!$I$5022*Sens!$I$5019)*Sens!$I$5008/1000</f>
        <v>25.5818843619889</v>
      </c>
      <c r="J5051" s="38" t="n">
        <f aca="false">IF(internal_ai_reading=2,1,0)*(1-ext_sh)/ext_sh*(mw_open*he_open+Sens!$J$5022*Sens!$J$5019)*Sens!$J$5008/1000</f>
        <v>36.0465624179122</v>
      </c>
      <c r="K5051" s="38" t="n">
        <f aca="false">IF(internal_ai_reading=2,1,0)*(1-ext_sh)/ext_sh*(mw_open*he_open+Sens!$K$5022*Sens!$K$5019)*Sens!$K$5008/1000</f>
        <v>44.9741164026038</v>
      </c>
      <c r="L5051" s="38" t="n">
        <f aca="false">IF(internal_ai_reading=2,1,0)*(1-ext_sh)/ext_sh*(mw_open*he_open+Sens!$L$5022*Sens!$L$5019)*Sens!$L$5008/1000</f>
        <v>50.8413488057813</v>
      </c>
      <c r="M5051" s="38" t="n">
        <f aca="false">IF(internal_ai_reading=2,1,0)*(1-ext_sh)/ext_sh*(mw_open*he_open+Sens!$M$5022*Sens!$M$5019)*Sens!$M$5008/1000</f>
        <v>53.6407214274315</v>
      </c>
      <c r="N5051" s="39" t="n">
        <v>0</v>
      </c>
      <c r="O5051" s="39" t="n">
        <v>0</v>
      </c>
      <c r="P5051" s="8" t="s">
        <v>657</v>
      </c>
    </row>
    <row r="5052" customFormat="false" ht="17.15" hidden="false" customHeight="false" outlineLevel="0" collapsed="false">
      <c r="A5052" s="5" t="s">
        <v>658</v>
      </c>
      <c r="B5052" s="0" t="s">
        <v>86</v>
      </c>
      <c r="C5052" s="38" t="n">
        <f aca="false">(1-ext_sh)*(Sens!$C$5026+Sens!$C$5045)</f>
        <v>0.169206631859174</v>
      </c>
      <c r="D5052" s="38" t="n">
        <f aca="false">(1-ext_sh)*(Sens!$D$5026+Sens!$D$5045)</f>
        <v>0.828129837730442</v>
      </c>
      <c r="E5052" s="38" t="n">
        <f aca="false">(1-ext_sh)*(Sens!$E$5026+Sens!$E$5045)</f>
        <v>1.52086044239347</v>
      </c>
      <c r="F5052" s="38" t="n">
        <f aca="false">(1-ext_sh)*(Sens!$F$5026+Sens!$F$5045)</f>
        <v>1.86048700344425</v>
      </c>
      <c r="G5052" s="38" t="n">
        <f aca="false">(1-ext_sh)*(Sens!$G$5026+Sens!$G$5045)</f>
        <v>3.38134744583772</v>
      </c>
      <c r="H5052" s="38" t="n">
        <f aca="false">(1-ext_sh)*(Sens!$H$5026+Sens!$H$5045)</f>
        <v>9.17136301267211</v>
      </c>
      <c r="I5052" s="38" t="n">
        <f aca="false">(1-ext_sh)*(Sens!$I$5026+Sens!$I$5045)</f>
        <v>17.6318811343794</v>
      </c>
      <c r="J5052" s="38" t="n">
        <f aca="false">(1-ext_sh)*(Sens!$J$5026+Sens!$J$5045)</f>
        <v>25.4581000191451</v>
      </c>
      <c r="K5052" s="38" t="n">
        <f aca="false">(1-ext_sh)*(Sens!$K$5026+Sens!$K$5045)</f>
        <v>33.1175498168092</v>
      </c>
      <c r="L5052" s="38" t="n">
        <f aca="false">(1-ext_sh)*(Sens!$L$5026+Sens!$L$5045)</f>
        <v>38.4232131776135</v>
      </c>
      <c r="M5052" s="38" t="n">
        <f aca="false">(1-ext_sh)*(Sens!$M$5026+Sens!$M$5045)</f>
        <v>41.3567859278847</v>
      </c>
      <c r="N5052" s="38" t="n">
        <f aca="false">(1-ext_sh)*(Sens!$N$5026+Sens!$N$5045)</f>
        <v>0.34177588266428</v>
      </c>
      <c r="O5052" s="38" t="n">
        <f aca="false">(1-ext_sh)*(Sens!$O$5026+Sens!$O$5045)</f>
        <v>0.486353955066162</v>
      </c>
    </row>
    <row r="5053" customFormat="false" ht="17.15" hidden="false" customHeight="false" outlineLevel="0" collapsed="false">
      <c r="A5053" s="0" t="s">
        <v>659</v>
      </c>
      <c r="B5053" s="0" t="s">
        <v>86</v>
      </c>
      <c r="C5053" s="38" t="n">
        <f aca="false">Q!$D$24</f>
        <v>39.834</v>
      </c>
      <c r="D5053" s="38" t="n">
        <f aca="false">Q!$E$24</f>
        <v>45.606</v>
      </c>
      <c r="E5053" s="38" t="n">
        <f aca="false">Q!$P$24</f>
        <v>30.782</v>
      </c>
      <c r="N5053" s="38" t="n">
        <f aca="false">Q!$N$24</f>
        <v>21.707</v>
      </c>
      <c r="O5053" s="38" t="n">
        <f aca="false">Q!$O$24</f>
        <v>23.899</v>
      </c>
    </row>
    <row r="5054" customFormat="false" ht="17.15" hidden="false" customHeight="false" outlineLevel="0" collapsed="false">
      <c r="A5054" s="0" t="s">
        <v>660</v>
      </c>
      <c r="B5054" s="0" t="s">
        <v>86</v>
      </c>
      <c r="C5054" s="38" t="n">
        <f aca="false">Sens!$C$5053-Sens!$C$5049</f>
        <v>38.1898211704631</v>
      </c>
      <c r="D5054" s="38" t="n">
        <f aca="false">Sens!$D$5053-Sens!$D$5049</f>
        <v>40.2147492622706</v>
      </c>
      <c r="E5054" s="38" t="n">
        <f aca="false">Sens!$E$5053-Sens!$E$5049</f>
        <v>28.3550887940039</v>
      </c>
      <c r="F5054" s="38" t="n">
        <f aca="false">Sens!$F$5028*Sens!$F$5055</f>
        <v>25.9529793149447</v>
      </c>
      <c r="G5054" s="38" t="n">
        <f aca="false">Sens!$E$5054+Sens!$F$5054</f>
        <v>54.3080681089486</v>
      </c>
      <c r="H5054" s="38" t="n">
        <f aca="false">Sens!$H$5028*Sens!$H$5055</f>
        <v>58.2264684589333</v>
      </c>
      <c r="I5054" s="38" t="n">
        <f aca="false">Sens!$I$5028*Sens!$I$5055</f>
        <v>64.6461353851744</v>
      </c>
      <c r="J5054" s="38" t="n">
        <f aca="false">Sens!$J$5028*Sens!$J$5055</f>
        <v>70.7957093610231</v>
      </c>
      <c r="K5054" s="38" t="n">
        <f aca="false">Sens!$K$5028*Sens!$K$5055</f>
        <v>76.4593661099049</v>
      </c>
      <c r="L5054" s="38" t="n">
        <f aca="false">Sens!$L$5028*Sens!$L$5055</f>
        <v>82.5761153986973</v>
      </c>
      <c r="M5054" s="38" t="n">
        <f aca="false">Sens!$M$5028*Sens!$M$5055</f>
        <v>89.1822046305931</v>
      </c>
      <c r="N5054" s="38" t="n">
        <f aca="false">Sens!$N$5053-Sens!$N$5049</f>
        <v>20.0277839996292</v>
      </c>
      <c r="O5054" s="38" t="n">
        <f aca="false">Sens!$O$5053-Sens!$O$5049</f>
        <v>20.1869652626414</v>
      </c>
      <c r="P5054" s="5" t="s">
        <v>661</v>
      </c>
    </row>
    <row r="5055" customFormat="false" ht="17.15" hidden="false" customHeight="false" outlineLevel="0" collapsed="false">
      <c r="A5055" s="0" t="s">
        <v>662</v>
      </c>
      <c r="B5055" s="0" t="s">
        <v>52</v>
      </c>
      <c r="C5055" s="13" t="n">
        <f aca="false">Sens!$C$5054/Sens!$C$5028</f>
        <v>0.362900395443635</v>
      </c>
      <c r="D5055" s="13" t="n">
        <f aca="false">Sens!$D$5054/Sens!$D$5028</f>
        <v>0.335063632425483</v>
      </c>
      <c r="E5055" s="13" t="n">
        <f aca="false">Sens!$E$5054/Sens!$E$5028</f>
        <v>0.397638855555478</v>
      </c>
      <c r="F5055" s="13" t="n">
        <f aca="false">(Sens!$O$5054+Sens!$E$5054)/(Sens!$O$5028+Sens!$E$5028)</f>
        <v>0.361616727338133</v>
      </c>
      <c r="G5055" s="13" t="n">
        <f aca="false">Sens!$G$5054/Sens!$G$5028</f>
        <v>0.379569803149143</v>
      </c>
      <c r="H5055" s="13" t="n">
        <f aca="false">Sens!$F$5055</f>
        <v>0.361616727338133</v>
      </c>
      <c r="I5055" s="13" t="n">
        <f aca="false">Sens!$F$5055</f>
        <v>0.361616727338133</v>
      </c>
      <c r="J5055" s="13" t="n">
        <f aca="false">Sens!$F$5055</f>
        <v>0.361616727338133</v>
      </c>
      <c r="K5055" s="13" t="n">
        <f aca="false">Sens!$F$5055</f>
        <v>0.361616727338133</v>
      </c>
      <c r="L5055" s="13" t="n">
        <f aca="false">Sens!$F$5055</f>
        <v>0.361616727338133</v>
      </c>
      <c r="M5055" s="13" t="n">
        <f aca="false">Sens!$F$5055</f>
        <v>0.361616727338133</v>
      </c>
      <c r="N5055" s="13" t="n">
        <f aca="false">Sens!$N$5054/Sens!$N$5028</f>
        <v>0.35078810535806</v>
      </c>
      <c r="O5055" s="13" t="n">
        <f aca="false">Sens!$O$5054/Sens!$O$5028</f>
        <v>0.320796939361619</v>
      </c>
      <c r="P5055" s="8" t="s">
        <v>663</v>
      </c>
    </row>
    <row r="5056" customFormat="false" ht="17.15" hidden="false" customHeight="false" outlineLevel="0" collapsed="false">
      <c r="A5056" s="0" t="s">
        <v>664</v>
      </c>
      <c r="B5056" s="0" t="s">
        <v>52</v>
      </c>
      <c r="D5056" s="13" t="n">
        <f aca="false">(Q!$E$31-ext_sh*Sens!$D$5045)/Sens!$D$5028</f>
        <v>0.167180325480118</v>
      </c>
    </row>
    <row r="5057" customFormat="false" ht="17.15" hidden="false" customHeight="false" outlineLevel="0" collapsed="false">
      <c r="A5057" s="0" t="s">
        <v>665</v>
      </c>
      <c r="B5057" s="0" t="s">
        <v>86</v>
      </c>
      <c r="C5057" s="38" t="n">
        <f aca="false">Q!$D$31</f>
        <v>13.32</v>
      </c>
      <c r="D5057" s="38" t="n">
        <f aca="false">Q!$E$31</f>
        <v>21.45</v>
      </c>
      <c r="E5057" s="38" t="n">
        <f aca="false">Q!$P$31</f>
        <v>15.353</v>
      </c>
      <c r="F5057" s="38" t="n">
        <f aca="false">ext_sh*Sens!$F$5045+Sens!$D$5056*Sens!$F$5028</f>
        <v>16.1969869840094</v>
      </c>
      <c r="G5057" s="38" t="n">
        <f aca="false">Sens!$E$5057+Sens!$F$5057</f>
        <v>31.5499869840094</v>
      </c>
      <c r="H5057" s="38" t="n">
        <f aca="false">ext_sh*Sens!$H$5045+Sens!$D$5056*Sens!$H$5028</f>
        <v>50.9556213609176</v>
      </c>
      <c r="I5057" s="38" t="n">
        <f aca="false">ext_sh*Sens!$I$5045+Sens!$D$5056*Sens!$I$5028</f>
        <v>79.464581248252</v>
      </c>
      <c r="J5057" s="38" t="n">
        <f aca="false">ext_sh*Sens!$J$5045+Sens!$D$5056*Sens!$J$5028</f>
        <v>105.296127931746</v>
      </c>
      <c r="K5057" s="38" t="n">
        <f aca="false">ext_sh*Sens!$K$5045+Sens!$D$5056*Sens!$K$5028</f>
        <v>131.454694001511</v>
      </c>
      <c r="L5057" s="38" t="n">
        <f aca="false">ext_sh*Sens!$L$5045+Sens!$D$5056*Sens!$L$5028</f>
        <v>150.840456981405</v>
      </c>
      <c r="M5057" s="38" t="n">
        <f aca="false">ext_sh*Sens!$M$5045+Sens!$D$5056*Sens!$M$5028</f>
        <v>163.399454192999</v>
      </c>
      <c r="N5057" s="38" t="n">
        <f aca="false">Q!$N$31</f>
        <v>9.234</v>
      </c>
      <c r="O5057" s="38" t="n">
        <f aca="false">Q!$O$31</f>
        <v>12.216</v>
      </c>
    </row>
    <row r="5058" customFormat="false" ht="17.15" hidden="false" customHeight="false" outlineLevel="0" collapsed="false">
      <c r="A5058" s="1" t="s">
        <v>666</v>
      </c>
    </row>
    <row r="5059" customFormat="false" ht="17.15" hidden="false" customHeight="false" outlineLevel="0" collapsed="false">
      <c r="A5059" s="15" t="s">
        <v>667</v>
      </c>
      <c r="B5059" s="14" t="s">
        <v>52</v>
      </c>
      <c r="C5059" s="14"/>
      <c r="D5059" s="14"/>
      <c r="E5059" s="14"/>
      <c r="F5059" s="14"/>
      <c r="G5059" s="17" t="n">
        <f aca="false">Sens!$G$5049*(1-tax)/(ext_sh*(Sens!$D$5046+Sens!$G$5046)/2)</f>
        <v>0.0620504069546486</v>
      </c>
      <c r="H5059" s="17" t="n">
        <f aca="false">Sens!$H$5049*(1-tax)/(ext_sh*(Sens!$G$5046+Sens!$H$5046)/2)</f>
        <v>0.0755420551527686</v>
      </c>
      <c r="I5059" s="17" t="n">
        <f aca="false">Sens!$I$5049*(1-tax)/(ext_sh*(Sens!$H$5046+Sens!$I$5046)/2)</f>
        <v>0.067127575356291</v>
      </c>
      <c r="J5059" s="17" t="n">
        <f aca="false">Sens!$J$5049*(1-tax)/(ext_sh*(Sens!$I$5046+Sens!$J$5046)/2)</f>
        <v>0.0700332392906535</v>
      </c>
      <c r="K5059" s="17" t="n">
        <f aca="false">Sens!$K$5049*(1-tax)/(ext_sh*(Sens!$J$5046+Sens!$K$5046)/2)</f>
        <v>0.0693622290093833</v>
      </c>
      <c r="L5059" s="17" t="n">
        <f aca="false">Sens!$L$5049*(1-tax)/(ext_sh*(Sens!$K$5046+Sens!$L$5046)/2)</f>
        <v>0.0711010638813626</v>
      </c>
      <c r="M5059" s="17" t="n">
        <f aca="false">Sens!$M$5049*(1-tax)/(ext_sh*(Sens!$L$5046+Sens!$M$5046)/2)</f>
        <v>0.071677531066401</v>
      </c>
      <c r="N5059" s="14"/>
      <c r="O5059" s="14"/>
      <c r="P5059" s="8" t="s">
        <v>668</v>
      </c>
    </row>
    <row r="5060" customFormat="false" ht="17.15" hidden="false" customHeight="false" outlineLevel="0" collapsed="false">
      <c r="A5060" s="5" t="s">
        <v>669</v>
      </c>
      <c r="B5060" s="0" t="s">
        <v>57</v>
      </c>
      <c r="H5060" s="36" t="n">
        <f aca="false">Sens!$H$5024*1000/(mw_open*he_open+Sens!$H$5022*Sens!$H$5019)</f>
        <v>0.991949006767191</v>
      </c>
      <c r="I5060" s="36" t="n">
        <f aca="false">Sens!$I$5024*1000/(mw_open*he_open+Sens!$I$5022*Sens!$I$5019)</f>
        <v>0.991949006767191</v>
      </c>
      <c r="J5060" s="36" t="n">
        <f aca="false">Sens!$J$5024*1000/(mw_open*he_open+Sens!$J$5022*Sens!$J$5019)</f>
        <v>0.991949006767191</v>
      </c>
      <c r="K5060" s="36" t="n">
        <f aca="false">Sens!$K$5024*1000/(mw_open*he_open+Sens!$K$5022*Sens!$K$5019)</f>
        <v>0.991949006767191</v>
      </c>
      <c r="L5060" s="36" t="n">
        <f aca="false">Sens!$L$5024*1000/(mw_open*he_open+Sens!$L$5022*Sens!$L$5019)</f>
        <v>0.991949006767191</v>
      </c>
      <c r="M5060" s="36" t="n">
        <f aca="false">Sens!$M$5024*1000/(mw_open*he_open+Sens!$M$5022*Sens!$M$5019)</f>
        <v>0.991949006767191</v>
      </c>
    </row>
    <row r="5061" customFormat="false" ht="17.15" hidden="false" customHeight="false" outlineLevel="0" collapsed="false">
      <c r="A5061" s="5" t="s">
        <v>670</v>
      </c>
      <c r="B5061" s="0" t="s">
        <v>57</v>
      </c>
      <c r="H5061" s="36" t="n">
        <f aca="false">Sens!$H$5060*(Sens!$H$5024+wacc*ext_sh*(Sens!$G$5046+Sens!$H$5046)/2/(1-tax)-Sens!$H$5049)/Sens!$H$5024</f>
        <v>1.18542857552197</v>
      </c>
      <c r="I5061" s="36" t="n">
        <f aca="false">Sens!$I$5060*(Sens!$I$5024+wacc*ext_sh*(Sens!$H$5046+Sens!$I$5046)/2/(1-tax)-Sens!$I$5049)/Sens!$I$5024</f>
        <v>1.20015476648903</v>
      </c>
      <c r="J5061" s="36" t="n">
        <f aca="false">Sens!$J$5060*(Sens!$J$5024+wacc*ext_sh*(Sens!$I$5046+Sens!$J$5046)/2/(1-tax)-Sens!$J$5049)/Sens!$J$5024</f>
        <v>1.16844056931249</v>
      </c>
      <c r="K5061" s="36" t="n">
        <f aca="false">Sens!$K$5060*(Sens!$K$5024+wacc*ext_sh*(Sens!$J$5046+Sens!$K$5046)/2/(1-tax)-Sens!$K$5049)/Sens!$K$5024</f>
        <v>1.15383758356873</v>
      </c>
      <c r="L5061" s="36" t="n">
        <f aca="false">Sens!$L$5060*(Sens!$L$5024+wacc*ext_sh*(Sens!$K$5046+Sens!$L$5046)/2/(1-tax)-Sens!$L$5049)/Sens!$L$5024</f>
        <v>1.13212765595665</v>
      </c>
      <c r="M5061" s="36" t="n">
        <f aca="false">Sens!$M$5060*(Sens!$M$5024+wacc*ext_sh*(Sens!$L$5046+Sens!$M$5046)/2/(1-tax)-Sens!$M$5049)/Sens!$M$5024</f>
        <v>1.12024635139935</v>
      </c>
    </row>
    <row r="5062" customFormat="false" ht="17.15" hidden="false" customHeight="false" outlineLevel="0" collapsed="false">
      <c r="A5062" s="5" t="s">
        <v>671</v>
      </c>
      <c r="B5062" s="0" t="s">
        <v>52</v>
      </c>
      <c r="C5062" s="13" t="n">
        <f aca="false">Sens!$C$5025/tk_pq</f>
        <v>0.195316432429398</v>
      </c>
      <c r="D5062" s="13" t="n">
        <f aca="false">Sens!$D$5025/tk_pq</f>
        <v>0.195316432429398</v>
      </c>
      <c r="E5062" s="13" t="n">
        <f aca="false">Sens!$E$5025/tk_pq</f>
        <v>0.195316432429398</v>
      </c>
      <c r="F5062" s="13" t="n">
        <f aca="false">Sens!$F$5025/tk_pq</f>
        <v>0.202241827274866</v>
      </c>
      <c r="G5062" s="13" t="n">
        <f aca="false">Sens!$G$5025/tk_pq</f>
        <v>0.199675016194063</v>
      </c>
      <c r="H5062" s="13" t="n">
        <f aca="false">Sens!$H$5025/tk_pq</f>
        <v>0.212647947710325</v>
      </c>
      <c r="I5062" s="13" t="n">
        <f aca="false">Sens!$I$5025/tk_pq</f>
        <v>0.219285125475351</v>
      </c>
      <c r="J5062" s="13" t="n">
        <f aca="false">Sens!$J$5025/tk_pq</f>
        <v>0.222492493217189</v>
      </c>
      <c r="K5062" s="13" t="n">
        <f aca="false">Sens!$K$5025/tk_pq</f>
        <v>0.224053502812094</v>
      </c>
      <c r="L5062" s="13" t="n">
        <f aca="false">Sens!$L$5025/tk_pq</f>
        <v>0.224786916785614</v>
      </c>
      <c r="M5062" s="13" t="n">
        <f aca="false">Sens!$M$5025/tk_pq</f>
        <v>0.225048671566937</v>
      </c>
      <c r="N5062" s="13" t="n">
        <f aca="false">Sens!$N$5025/tk_pq</f>
        <v>0.195316432429398</v>
      </c>
      <c r="O5062" s="13" t="n">
        <f aca="false">Sens!$O$5025/tk_pq</f>
        <v>0.195316432429398</v>
      </c>
      <c r="P5062" s="5" t="s">
        <v>672</v>
      </c>
    </row>
    <row r="5065" customFormat="false" ht="17.15" hidden="false" customHeight="false" outlineLevel="0" collapsed="false">
      <c r="A5065" s="1" t="s">
        <v>701</v>
      </c>
    </row>
    <row r="5066" customFormat="false" ht="17.15" hidden="false" customHeight="false" outlineLevel="0" collapsed="false">
      <c r="A5066" s="0" t="s">
        <v>702</v>
      </c>
      <c r="B5066" s="0" t="s">
        <v>86</v>
      </c>
      <c r="C5066" s="38" t="n">
        <f aca="false">Sens!$C$5024</f>
        <v>2.32100535697364</v>
      </c>
      <c r="D5066" s="38" t="n">
        <f aca="false">Sens!$D$5024</f>
        <v>8.70377008865116</v>
      </c>
      <c r="E5066" s="38" t="n">
        <f aca="false">Sens!$E$5024</f>
        <v>8.51035297557002</v>
      </c>
      <c r="F5066" s="38" t="n">
        <f aca="false">Sens!$F$5024</f>
        <v>14.9634336447205</v>
      </c>
      <c r="G5066" s="38" t="n">
        <f aca="false">Sens!$G$5024</f>
        <v>23.4737866202905</v>
      </c>
      <c r="H5066" s="38" t="n">
        <f aca="false">Sens!$H$5024</f>
        <v>60.1658907497746</v>
      </c>
      <c r="I5066" s="38" t="n">
        <f aca="false">Sens!$I$5024</f>
        <v>101.503699136432</v>
      </c>
      <c r="J5066" s="38" t="n">
        <f aca="false">Sens!$J$5024</f>
        <v>143.025407151278</v>
      </c>
      <c r="K5066" s="38" t="n">
        <f aca="false">Sens!$K$5024</f>
        <v>178.44812038318</v>
      </c>
      <c r="L5066" s="38" t="n">
        <f aca="false">Sens!$L$5024</f>
        <v>201.728101802396</v>
      </c>
      <c r="M5066" s="38" t="n">
        <f aca="false">Sens!$M$5024</f>
        <v>212.835441368865</v>
      </c>
      <c r="N5066" s="38" t="n">
        <f aca="false">Sens!$N$5024</f>
        <v>3.04631953102791</v>
      </c>
      <c r="O5066" s="38" t="n">
        <f aca="false">Sens!$O$5024</f>
        <v>5.65745055762326</v>
      </c>
      <c r="P5066" s="8" t="s">
        <v>703</v>
      </c>
    </row>
    <row r="5067" customFormat="false" ht="17.15" hidden="false" customHeight="false" outlineLevel="0" collapsed="false">
      <c r="A5067" s="0" t="s">
        <v>704</v>
      </c>
      <c r="B5067" s="0" t="s">
        <v>86</v>
      </c>
      <c r="C5067" s="38" t="n">
        <f aca="false">Sens!$C$5028</f>
        <v>105.234994643026</v>
      </c>
      <c r="D5067" s="38" t="n">
        <f aca="false">Sens!$D$5028</f>
        <v>120.021229911349</v>
      </c>
      <c r="E5067" s="38" t="n">
        <f aca="false">Sens!$E$5028</f>
        <v>71.30864702443</v>
      </c>
      <c r="F5067" s="38" t="n">
        <f aca="false">Sens!$F$5028</f>
        <v>71.7692997942464</v>
      </c>
      <c r="G5067" s="38" t="n">
        <f aca="false">Sens!$G$5028</f>
        <v>143.077946818676</v>
      </c>
      <c r="H5067" s="38" t="n">
        <f aca="false">Sens!$H$5028</f>
        <v>161.017077079203</v>
      </c>
      <c r="I5067" s="38" t="n">
        <f aca="false">Sens!$I$5028</f>
        <v>178.769759521457</v>
      </c>
      <c r="J5067" s="38" t="n">
        <f aca="false">Sens!$J$5028</f>
        <v>195.775538045907</v>
      </c>
      <c r="K5067" s="38" t="n">
        <f aca="false">Sens!$K$5028</f>
        <v>211.43758108958</v>
      </c>
      <c r="L5067" s="38" t="n">
        <f aca="false">Sens!$L$5028</f>
        <v>228.352587576746</v>
      </c>
      <c r="M5067" s="38" t="n">
        <f aca="false">Sens!$M$5028</f>
        <v>246.620794582886</v>
      </c>
      <c r="N5067" s="38" t="n">
        <f aca="false">Sens!$N$5028</f>
        <v>57.0936804689721</v>
      </c>
      <c r="O5067" s="38" t="n">
        <f aca="false">Sens!$O$5028</f>
        <v>62.9275494423768</v>
      </c>
      <c r="P5067" s="8" t="s">
        <v>703</v>
      </c>
    </row>
    <row r="5068" customFormat="false" ht="17.15" hidden="false" customHeight="false" outlineLevel="0" collapsed="false">
      <c r="A5068" s="1" t="s">
        <v>523</v>
      </c>
      <c r="B5068" s="8" t="s">
        <v>86</v>
      </c>
      <c r="C5068" s="38" t="n">
        <f aca="false">Q!$D$7</f>
        <v>107.556</v>
      </c>
      <c r="D5068" s="38" t="n">
        <f aca="false">Q!$E$7</f>
        <v>128.725</v>
      </c>
      <c r="E5068" s="38" t="n">
        <f aca="false">Q!$P$7</f>
        <v>79.819</v>
      </c>
      <c r="F5068" s="38" t="n">
        <f aca="false">Sens!$F$5066+Sens!$F$5067</f>
        <v>86.7327334389669</v>
      </c>
      <c r="G5068" s="38" t="n">
        <f aca="false">Sens!$G$5066+Sens!$G$5067</f>
        <v>166.551733438967</v>
      </c>
      <c r="H5068" s="38" t="n">
        <f aca="false">Sens!$H$5066+Sens!$H$5067</f>
        <v>221.182967828978</v>
      </c>
      <c r="I5068" s="38" t="n">
        <f aca="false">Sens!$I$5066+Sens!$I$5067</f>
        <v>280.27345865789</v>
      </c>
      <c r="J5068" s="38" t="n">
        <f aca="false">Sens!$J$5066+Sens!$J$5067</f>
        <v>338.800945197185</v>
      </c>
      <c r="K5068" s="38" t="n">
        <f aca="false">Sens!$K$5066+Sens!$K$5067</f>
        <v>389.88570147276</v>
      </c>
      <c r="L5068" s="38" t="n">
        <f aca="false">Sens!$L$5066+Sens!$L$5067</f>
        <v>430.080689379143</v>
      </c>
      <c r="M5068" s="38" t="n">
        <f aca="false">Sens!$M$5066+Sens!$M$5067</f>
        <v>459.456235951751</v>
      </c>
      <c r="N5068" s="38" t="n">
        <f aca="false">Q!$N$7</f>
        <v>60.14</v>
      </c>
      <c r="O5068" s="38" t="n">
        <f aca="false">Q!$O$7</f>
        <v>68.585</v>
      </c>
      <c r="P5068" s="5" t="s">
        <v>705</v>
      </c>
    </row>
    <row r="5069" customFormat="false" ht="15" hidden="false" customHeight="false" outlineLevel="0" collapsed="false">
      <c r="A5069" s="3" t="s">
        <v>706</v>
      </c>
      <c r="B5069" s="8" t="s">
        <v>86</v>
      </c>
      <c r="C5069" s="38" t="n">
        <f aca="false">Q!$D$8</f>
        <v>637.959</v>
      </c>
      <c r="D5069" s="38" t="n">
        <f aca="false">Q!$E$8</f>
        <v>716.924</v>
      </c>
      <c r="E5069" s="38" t="n">
        <f aca="false">Q!$P$8</f>
        <v>382.125</v>
      </c>
      <c r="F5069" s="38" t="n">
        <f aca="false">Sens!$F$4996+Sens!$F$5068</f>
        <v>435.780975084504</v>
      </c>
      <c r="G5069" s="38" t="n">
        <f aca="false">Sens!$G$4996+Sens!$G$5068</f>
        <v>817.905975084504</v>
      </c>
      <c r="H5069" s="38" t="n">
        <f aca="false">Sens!$H$4996+Sens!$H$5068</f>
        <v>942.279857350364</v>
      </c>
      <c r="I5069" s="38" t="n">
        <f aca="false">Sens!$I$4996+Sens!$I$5068</f>
        <v>1068.80284981042</v>
      </c>
      <c r="J5069" s="38" t="n">
        <f aca="false">Sens!$J$4996+Sens!$J$5068</f>
        <v>1189.90935093863</v>
      </c>
      <c r="K5069" s="38" t="n">
        <f aca="false">Sens!$K$4996+Sens!$K$5068</f>
        <v>1296.06215690385</v>
      </c>
      <c r="L5069" s="38" t="n">
        <f aca="false">Sens!$L$4996+Sens!$L$5068</f>
        <v>1395.17379585473</v>
      </c>
      <c r="M5069" s="38" t="n">
        <f aca="false">Sens!$M$4996+Sens!$M$5068</f>
        <v>1487.60414389864</v>
      </c>
      <c r="N5069" s="38" t="n">
        <f aca="false">Q!$N$8</f>
        <v>323.369</v>
      </c>
      <c r="O5069" s="38" t="n">
        <f aca="false">Q!$O$8</f>
        <v>393.555</v>
      </c>
    </row>
    <row r="5070" customFormat="false" ht="17.15" hidden="false" customHeight="false" outlineLevel="0" collapsed="false">
      <c r="A5070" s="24" t="s">
        <v>714</v>
      </c>
      <c r="B5070" s="25" t="s">
        <v>86</v>
      </c>
      <c r="C5070" s="41" t="n">
        <f aca="false">Sens!$C$4996-(Sens!$C$4998+Sens!$C$4999)</f>
        <v>0</v>
      </c>
      <c r="D5070" s="41" t="n">
        <f aca="false">Sens!$D$4996-(Sens!$D$4998+Sens!$D$4999)</f>
        <v>0</v>
      </c>
      <c r="E5070" s="41" t="n">
        <f aca="false">Sens!$E$4996-(Sens!$E$4998+Sens!$E$4999)</f>
        <v>0</v>
      </c>
      <c r="F5070" s="41" t="n">
        <f aca="false">Sens!$F$4996-(Sens!$F$4998+Sens!$F$4999)</f>
        <v>0</v>
      </c>
      <c r="G5070" s="41" t="n">
        <f aca="false">Sens!$G$4996-(Sens!$G$4998+Sens!$G$4999)</f>
        <v>0</v>
      </c>
      <c r="H5070" s="41" t="n">
        <f aca="false">Sens!$H$4996-(Sens!$H$4998+Sens!$H$4999)</f>
        <v>0</v>
      </c>
      <c r="I5070" s="41" t="n">
        <f aca="false">Sens!$I$4996-(Sens!$I$4998+Sens!$I$4999)</f>
        <v>0</v>
      </c>
      <c r="J5070" s="41" t="n">
        <f aca="false">Sens!$J$4996-(Sens!$J$4998+Sens!$J$4999)</f>
        <v>0</v>
      </c>
      <c r="K5070" s="41" t="n">
        <f aca="false">Sens!$K$4996-(Sens!$K$4998+Sens!$K$4999)</f>
        <v>0</v>
      </c>
      <c r="L5070" s="41" t="n">
        <f aca="false">Sens!$L$4996-(Sens!$L$4998+Sens!$L$4999)</f>
        <v>0</v>
      </c>
      <c r="M5070" s="41" t="n">
        <f aca="false">Sens!$M$4996-(Sens!$M$4998+Sens!$M$4999)</f>
        <v>0</v>
      </c>
      <c r="N5070" s="41" t="n">
        <f aca="false">Sens!$N$4996-(Sens!$N$4998+Sens!$N$4999)</f>
        <v>0</v>
      </c>
      <c r="O5070" s="41" t="n">
        <f aca="false">Sens!$O$4996-(Sens!$O$4998+Sens!$O$4999)</f>
        <v>0</v>
      </c>
    </row>
    <row r="5071" customFormat="false" ht="17.15" hidden="false" customHeight="false" outlineLevel="0" collapsed="false">
      <c r="A5071" s="24" t="s">
        <v>715</v>
      </c>
      <c r="B5071" s="25" t="s">
        <v>86</v>
      </c>
      <c r="C5071" s="41" t="n">
        <f aca="false">Sens!$C$5066+Sens!$C$5067-Sens!$C$5068</f>
        <v>0</v>
      </c>
      <c r="D5071" s="41" t="n">
        <f aca="false">Sens!$D$5066+Sens!$D$5067-Sens!$D$5068</f>
        <v>0</v>
      </c>
      <c r="E5071" s="41" t="n">
        <f aca="false">Sens!$E$5066+Sens!$E$5067-Sens!$E$5068</f>
        <v>0</v>
      </c>
      <c r="F5071" s="41" t="n">
        <f aca="false">Sens!$F$5066+Sens!$F$5067-Sens!$F$5068</f>
        <v>0</v>
      </c>
      <c r="G5071" s="41" t="n">
        <f aca="false">Sens!$G$5066+Sens!$G$5067-Sens!$G$5068</f>
        <v>0</v>
      </c>
      <c r="H5071" s="41" t="n">
        <f aca="false">Sens!$H$5066+Sens!$H$5067-Sens!$H$5068</f>
        <v>0</v>
      </c>
      <c r="I5071" s="41" t="n">
        <f aca="false">Sens!$I$5066+Sens!$I$5067-Sens!$I$5068</f>
        <v>0</v>
      </c>
      <c r="J5071" s="41" t="n">
        <f aca="false">Sens!$J$5066+Sens!$J$5067-Sens!$J$5068</f>
        <v>0</v>
      </c>
      <c r="K5071" s="41" t="n">
        <f aca="false">Sens!$K$5066+Sens!$K$5067-Sens!$K$5068</f>
        <v>0</v>
      </c>
      <c r="L5071" s="41" t="n">
        <f aca="false">Sens!$L$5066+Sens!$L$5067-Sens!$L$5068</f>
        <v>0</v>
      </c>
      <c r="M5071" s="41" t="n">
        <f aca="false">Sens!$M$5066+Sens!$M$5067-Sens!$M$5068</f>
        <v>0</v>
      </c>
      <c r="N5071" s="41" t="n">
        <f aca="false">Sens!$N$5066+Sens!$N$5067-Sens!$N$5068</f>
        <v>0</v>
      </c>
      <c r="O5071" s="41" t="n">
        <f aca="false">Sens!$O$5066+Sens!$O$5067-Sens!$O$5068</f>
        <v>0</v>
      </c>
    </row>
    <row r="5072" customFormat="false" ht="17.15" hidden="false" customHeight="false" outlineLevel="0" collapsed="false">
      <c r="A5072" s="24" t="s">
        <v>716</v>
      </c>
      <c r="B5072" s="25" t="s">
        <v>86</v>
      </c>
      <c r="C5072" s="41" t="n">
        <f aca="false">Sens!$C$4998+Sens!$C$4999+Sens!$C$5068-Sens!$C$5069</f>
        <v>0</v>
      </c>
      <c r="D5072" s="41" t="n">
        <f aca="false">Sens!$D$4998+Sens!$D$4999+Sens!$D$5068-Sens!$D$5069</f>
        <v>0</v>
      </c>
      <c r="E5072" s="41" t="n">
        <f aca="false">Sens!$E$4998+Sens!$E$4999+Sens!$E$5068-Sens!$E$5069</f>
        <v>0</v>
      </c>
      <c r="F5072" s="41" t="n">
        <f aca="false">Sens!$F$4998+Sens!$F$4999+Sens!$F$5068-Sens!$F$5069</f>
        <v>0</v>
      </c>
      <c r="G5072" s="41" t="n">
        <f aca="false">Sens!$G$4998+Sens!$G$4999+Sens!$G$5068-Sens!$G$5069</f>
        <v>0</v>
      </c>
      <c r="H5072" s="41" t="n">
        <f aca="false">Sens!$H$4998+Sens!$H$4999+Sens!$H$5068-Sens!$H$5069</f>
        <v>0</v>
      </c>
      <c r="I5072" s="41" t="n">
        <f aca="false">Sens!$I$4998+Sens!$I$4999+Sens!$I$5068-Sens!$I$5069</f>
        <v>0</v>
      </c>
      <c r="J5072" s="41" t="n">
        <f aca="false">Sens!$J$4998+Sens!$J$4999+Sens!$J$5068-Sens!$J$5069</f>
        <v>0</v>
      </c>
      <c r="K5072" s="41" t="n">
        <f aca="false">Sens!$K$4998+Sens!$K$4999+Sens!$K$5068-Sens!$K$5069</f>
        <v>0</v>
      </c>
      <c r="L5072" s="41" t="n">
        <f aca="false">Sens!$L$4998+Sens!$L$4999+Sens!$L$5068-Sens!$L$5069</f>
        <v>0</v>
      </c>
      <c r="M5072" s="41" t="n">
        <f aca="false">Sens!$M$4998+Sens!$M$4999+Sens!$M$5068-Sens!$M$5069</f>
        <v>0</v>
      </c>
      <c r="N5072" s="41" t="n">
        <f aca="false">Sens!$N$4998+Sens!$N$4999+Sens!$N$5068-Sens!$N$5069</f>
        <v>0</v>
      </c>
      <c r="O5072" s="41" t="n">
        <f aca="false">Sens!$O$4998+Sens!$O$4999+Sens!$O$5068-Sens!$O$5069</f>
        <v>0</v>
      </c>
    </row>
    <row r="5073" customFormat="false" ht="15" hidden="false" customHeight="false" outlineLevel="0" collapsed="false">
      <c r="A5073" s="5" t="s">
        <v>710</v>
      </c>
      <c r="B5073" s="0" t="s">
        <v>52</v>
      </c>
      <c r="G5073" s="13" t="n">
        <f aca="false">Sens!$G$5069/Sens!$D$5069-1</f>
        <v>0.140854504918937</v>
      </c>
      <c r="H5073" s="13" t="n">
        <f aca="false">Sens!$H$5069/Sens!$G$5069-1</f>
        <v>0.152063789793209</v>
      </c>
      <c r="I5073" s="13" t="n">
        <f aca="false">Sens!$I$5069/Sens!$H$5069-1</f>
        <v>0.134273264437417</v>
      </c>
      <c r="J5073" s="13" t="n">
        <f aca="false">Sens!$J$5069/Sens!$I$5069-1</f>
        <v>0.113310421234083</v>
      </c>
      <c r="K5073" s="13" t="n">
        <f aca="false">Sens!$K$5069/Sens!$J$5069-1</f>
        <v>0.0892108343223652</v>
      </c>
      <c r="L5073" s="13" t="n">
        <f aca="false">Sens!$L$5069/Sens!$K$5069-1</f>
        <v>0.076471362444261</v>
      </c>
      <c r="M5073" s="13" t="n">
        <f aca="false">Sens!$M$5069/Sens!$L$5069-1</f>
        <v>0.066250060256672</v>
      </c>
    </row>
    <row r="5074" customFormat="false" ht="17.15" hidden="false" customHeight="false" outlineLevel="0" collapsed="false">
      <c r="A5074" s="0" t="s">
        <v>711</v>
      </c>
      <c r="B5074" s="0" t="s">
        <v>52</v>
      </c>
      <c r="C5074" s="13" t="n">
        <f aca="false">Sens!$C$5068/Sens!$C$5069</f>
        <v>0.168593906504964</v>
      </c>
      <c r="D5074" s="13" t="n">
        <f aca="false">Sens!$D$5068/Sens!$D$5069</f>
        <v>0.179551807444025</v>
      </c>
      <c r="E5074" s="13" t="n">
        <f aca="false">Sens!$E$5068/Sens!$E$5069</f>
        <v>0.208881910369643</v>
      </c>
      <c r="F5074" s="13" t="n">
        <f aca="false">Sens!$F$5068/Sens!$F$5069</f>
        <v>0.199028269699356</v>
      </c>
      <c r="G5074" s="13" t="n">
        <f aca="false">Sens!$G$5068/Sens!$G$5069</f>
        <v>0.203631882529968</v>
      </c>
      <c r="H5074" s="13" t="n">
        <f aca="false">Sens!$H$5068/Sens!$H$5069</f>
        <v>0.234731715958496</v>
      </c>
      <c r="I5074" s="13" t="n">
        <f aca="false">Sens!$I$5068/Sens!$I$5069</f>
        <v>0.262231204480418</v>
      </c>
      <c r="J5074" s="13" t="n">
        <f aca="false">Sens!$J$5068/Sens!$J$5069</f>
        <v>0.284728366013706</v>
      </c>
      <c r="K5074" s="13" t="n">
        <f aca="false">Sens!$K$5068/Sens!$K$5069</f>
        <v>0.300823304959505</v>
      </c>
      <c r="L5074" s="13" t="n">
        <f aca="false">Sens!$L$5068/Sens!$L$5069</f>
        <v>0.308263164529735</v>
      </c>
      <c r="M5074" s="13" t="n">
        <f aca="false">Sens!$M$5068/Sens!$M$5069</f>
        <v>0.308856517936036</v>
      </c>
      <c r="N5074" s="13" t="n">
        <f aca="false">Sens!$N$5068/Sens!$N$5069</f>
        <v>0.185979484737251</v>
      </c>
      <c r="O5074" s="13" t="n">
        <f aca="false">Sens!$O$5068/Sens!$O$5069</f>
        <v>0.174270432341096</v>
      </c>
    </row>
    <row r="5075" customFormat="false" ht="17.15" hidden="false" customHeight="false" outlineLevel="0" collapsed="false">
      <c r="A5075" s="0" t="s">
        <v>712</v>
      </c>
      <c r="B5075" s="0" t="s">
        <v>52</v>
      </c>
      <c r="C5075" s="13" t="n">
        <f aca="false">Sens!$C$5066/Sens!$C$5068</f>
        <v>0.0215795060896058</v>
      </c>
      <c r="D5075" s="13" t="n">
        <f aca="false">Sens!$D$5066/Sens!$D$5068</f>
        <v>0.0676152269462122</v>
      </c>
      <c r="E5075" s="13" t="n">
        <f aca="false">Sens!$E$5066/Sens!$E$5068</f>
        <v>0.106620641395783</v>
      </c>
      <c r="F5075" s="13" t="n">
        <f aca="false">Sens!$F$5066/Sens!$F$5068</f>
        <v>0.172523487401099</v>
      </c>
      <c r="G5075" s="13" t="n">
        <f aca="false">Sens!$G$5066/Sens!$G$5068</f>
        <v>0.140939911795589</v>
      </c>
      <c r="H5075" s="13" t="n">
        <f aca="false">Sens!$H$5066/Sens!$H$5068</f>
        <v>0.272018642937714</v>
      </c>
      <c r="I5075" s="13" t="n">
        <f aca="false">Sens!$I$5066/Sens!$I$5068</f>
        <v>0.362159512436497</v>
      </c>
      <c r="J5075" s="13" t="n">
        <f aca="false">Sens!$J$5066/Sens!$J$5068</f>
        <v>0.422151735934609</v>
      </c>
      <c r="K5075" s="13" t="n">
        <f aca="false">Sens!$K$5066/Sens!$K$5068</f>
        <v>0.45769342068485</v>
      </c>
      <c r="L5075" s="13" t="n">
        <f aca="false">Sens!$L$5066/Sens!$L$5068</f>
        <v>0.469047103913472</v>
      </c>
      <c r="M5075" s="13" t="n">
        <f aca="false">Sens!$M$5066/Sens!$M$5068</f>
        <v>0.463233328258093</v>
      </c>
      <c r="N5075" s="13" t="n">
        <f aca="false">Sens!$N$5066/Sens!$N$5068</f>
        <v>0.0506537999838362</v>
      </c>
      <c r="O5075" s="13" t="n">
        <f aca="false">Sens!$O$5066/Sens!$O$5068</f>
        <v>0.0824881615167056</v>
      </c>
    </row>
    <row r="5078" customFormat="false" ht="19.4" hidden="false" customHeight="false" outlineLevel="0" collapsed="false">
      <c r="A5078" s="31" t="s">
        <v>1254</v>
      </c>
    </row>
    <row r="5079" customFormat="false" ht="17.15" hidden="false" customHeight="false" outlineLevel="0" collapsed="false">
      <c r="A5079" s="6" t="s">
        <v>16</v>
      </c>
      <c r="B5079" s="6" t="s">
        <v>17</v>
      </c>
      <c r="C5079" s="20" t="s">
        <v>504</v>
      </c>
      <c r="D5079" s="20" t="s">
        <v>505</v>
      </c>
      <c r="E5079" s="20" t="s">
        <v>587</v>
      </c>
      <c r="F5079" s="20" t="s">
        <v>588</v>
      </c>
      <c r="G5079" s="20" t="s">
        <v>589</v>
      </c>
      <c r="H5079" s="20" t="s">
        <v>590</v>
      </c>
      <c r="I5079" s="20" t="s">
        <v>591</v>
      </c>
      <c r="J5079" s="20" t="s">
        <v>592</v>
      </c>
      <c r="K5079" s="20" t="s">
        <v>593</v>
      </c>
      <c r="L5079" s="20" t="s">
        <v>594</v>
      </c>
      <c r="M5079" s="20" t="s">
        <v>595</v>
      </c>
      <c r="N5079" s="20" t="s">
        <v>596</v>
      </c>
      <c r="O5079" s="20" t="s">
        <v>597</v>
      </c>
      <c r="P5079" s="6" t="s">
        <v>23</v>
      </c>
      <c r="R5079" s="20" t="n">
        <v>2023</v>
      </c>
      <c r="S5079" s="20" t="n">
        <v>2024</v>
      </c>
      <c r="T5079" s="20" t="n">
        <v>2025</v>
      </c>
      <c r="U5079" s="20" t="n">
        <v>2026</v>
      </c>
      <c r="V5079" s="20" t="n">
        <v>2027</v>
      </c>
      <c r="W5079" s="20" t="n">
        <v>2028</v>
      </c>
      <c r="X5079" s="20" t="n">
        <v>2029</v>
      </c>
      <c r="Y5079" s="20" t="n">
        <v>2030</v>
      </c>
      <c r="Z5079" s="20" t="n">
        <v>2031</v>
      </c>
      <c r="AA5079" s="20" t="n">
        <v>2032</v>
      </c>
    </row>
    <row r="5080" customFormat="false" ht="17.15" hidden="false" customHeight="false" outlineLevel="0" collapsed="false">
      <c r="A5080" s="1" t="s">
        <v>727</v>
      </c>
    </row>
    <row r="5081" customFormat="false" ht="15" hidden="false" customHeight="false" outlineLevel="0" collapsed="false">
      <c r="A5081" s="0" t="s">
        <v>526</v>
      </c>
      <c r="B5081" s="0" t="s">
        <v>86</v>
      </c>
      <c r="C5081" s="38" t="n">
        <f aca="false">Sens!$C$4983</f>
        <v>247.029</v>
      </c>
      <c r="D5081" s="38" t="n">
        <f aca="false">Sens!$D$4983</f>
        <v>269.287</v>
      </c>
      <c r="E5081" s="38" t="n">
        <f aca="false">Sens!$E$4983</f>
        <v>134.686</v>
      </c>
      <c r="F5081" s="38" t="n">
        <f aca="false">Sens!$F$4983</f>
        <v>158.293876822267</v>
      </c>
      <c r="G5081" s="38" t="n">
        <f aca="false">Sens!$G$4983</f>
        <v>292.979876822267</v>
      </c>
      <c r="H5081" s="38" t="n">
        <f aca="false">Sens!$H$4983</f>
        <v>318.184543087396</v>
      </c>
      <c r="I5081" s="38" t="n">
        <f aca="false">Sens!$I$4983</f>
        <v>341.736278761793</v>
      </c>
      <c r="J5081" s="38" t="n">
        <f aca="false">Sens!$J$4983</f>
        <v>362.927192787048</v>
      </c>
      <c r="K5081" s="38" t="n">
        <f aca="false">Sens!$K$4983</f>
        <v>381.0735524264</v>
      </c>
      <c r="L5081" s="38" t="n">
        <f aca="false">Sens!$L$4983</f>
        <v>400.12723004772</v>
      </c>
      <c r="M5081" s="38" t="n">
        <f aca="false">Sens!$M$4983</f>
        <v>420.133591550106</v>
      </c>
      <c r="N5081" s="38" t="n">
        <f aca="false">Sens!$N$4983</f>
        <v>118.892</v>
      </c>
      <c r="O5081" s="38" t="n">
        <f aca="false">Sens!$O$4983</f>
        <v>150.395</v>
      </c>
    </row>
    <row r="5082" customFormat="false" ht="15" hidden="false" customHeight="false" outlineLevel="0" collapsed="false">
      <c r="A5082" s="0" t="s">
        <v>527</v>
      </c>
      <c r="B5082" s="0" t="s">
        <v>86</v>
      </c>
      <c r="C5082" s="38" t="n">
        <f aca="false">Sens!$C$4985</f>
        <v>21.215</v>
      </c>
      <c r="D5082" s="38" t="n">
        <f aca="false">Sens!$D$4985</f>
        <v>22.561</v>
      </c>
      <c r="E5082" s="38" t="n">
        <f aca="false">Sens!$E$4985</f>
        <v>11.579</v>
      </c>
      <c r="F5082" s="38" t="n">
        <f aca="false">Sens!$F$4985</f>
        <v>11.5938724610325</v>
      </c>
      <c r="G5082" s="38" t="n">
        <f aca="false">Sens!$G$4985</f>
        <v>23.1728724610325</v>
      </c>
      <c r="H5082" s="38" t="n">
        <f aca="false">Sens!$H$4985</f>
        <v>24.353392759506</v>
      </c>
      <c r="I5082" s="38" t="n">
        <f aca="false">Sens!$I$4985</f>
        <v>25.4240338872015</v>
      </c>
      <c r="J5082" s="38" t="n">
        <f aca="false">Sens!$J$4985</f>
        <v>26.3642491017174</v>
      </c>
      <c r="K5082" s="38" t="n">
        <f aca="false">Sens!$K$4985</f>
        <v>27.155176574769</v>
      </c>
      <c r="L5082" s="38" t="n">
        <f aca="false">Sens!$L$4985</f>
        <v>27.969831872012</v>
      </c>
      <c r="M5082" s="38" t="n">
        <f aca="false">Sens!$M$4985</f>
        <v>28.8089268281724</v>
      </c>
      <c r="N5082" s="38" t="n">
        <f aca="false">Sens!$N$4985</f>
        <v>11.128</v>
      </c>
      <c r="O5082" s="38" t="n">
        <f aca="false">Sens!$O$4985</f>
        <v>11.433</v>
      </c>
    </row>
    <row r="5083" customFormat="false" ht="15" hidden="false" customHeight="false" outlineLevel="0" collapsed="false">
      <c r="A5083" s="0" t="s">
        <v>528</v>
      </c>
      <c r="B5083" s="0" t="s">
        <v>86</v>
      </c>
      <c r="C5083" s="38" t="n">
        <f aca="false">Sens!$C$4987</f>
        <v>156.146</v>
      </c>
      <c r="D5083" s="38" t="n">
        <f aca="false">Sens!$D$4987</f>
        <v>172.162</v>
      </c>
      <c r="E5083" s="38" t="n">
        <f aca="false">Sens!$E$4987</f>
        <v>88.358</v>
      </c>
      <c r="F5083" s="38" t="n">
        <f aca="false">Sens!$F$4987</f>
        <v>102.004388260171</v>
      </c>
      <c r="G5083" s="38" t="n">
        <f aca="false">Sens!$G$4987</f>
        <v>190.362388260171</v>
      </c>
      <c r="H5083" s="38" t="n">
        <f aca="false">Sens!$H$4987</f>
        <v>210.343106588311</v>
      </c>
      <c r="I5083" s="38" t="n">
        <f aca="false">Sens!$I$4987</f>
        <v>229.969728494648</v>
      </c>
      <c r="J5083" s="38" t="n">
        <f aca="false">Sens!$J$4987</f>
        <v>248.747636972598</v>
      </c>
      <c r="K5083" s="38" t="n">
        <f aca="false">Sens!$K$4987</f>
        <v>266.15997156068</v>
      </c>
      <c r="L5083" s="38" t="n">
        <f aca="false">Sens!$L$4987</f>
        <v>284.791169569927</v>
      </c>
      <c r="M5083" s="38" t="n">
        <f aca="false">Sens!$M$4987</f>
        <v>304.726551439822</v>
      </c>
      <c r="N5083" s="38" t="n">
        <f aca="false">Sens!$N$4987</f>
        <v>76.86</v>
      </c>
      <c r="O5083" s="38" t="n">
        <f aca="false">Sens!$O$4987</f>
        <v>95.302</v>
      </c>
    </row>
    <row r="5084" customFormat="false" ht="15" hidden="false" customHeight="false" outlineLevel="0" collapsed="false">
      <c r="A5084" s="0" t="s">
        <v>529</v>
      </c>
      <c r="B5084" s="0" t="s">
        <v>86</v>
      </c>
      <c r="C5084" s="38" t="n">
        <f aca="false">Sens!$C$4989</f>
        <v>56.214</v>
      </c>
      <c r="D5084" s="38" t="n">
        <f aca="false">Sens!$D$4989</f>
        <v>68.635</v>
      </c>
      <c r="E5084" s="38" t="n">
        <f aca="false">Sens!$E$4989</f>
        <v>37.052</v>
      </c>
      <c r="F5084" s="38" t="n">
        <f aca="false">Sens!$F$4989</f>
        <v>46.1572219944148</v>
      </c>
      <c r="G5084" s="38" t="n">
        <f aca="false">Sens!$G$4989</f>
        <v>83.2092219944148</v>
      </c>
      <c r="H5084" s="38" t="n">
        <f aca="false">Sens!$H$4989</f>
        <v>99.8969223878976</v>
      </c>
      <c r="I5084" s="38" t="n">
        <f aca="false">Sens!$I$4989</f>
        <v>116.583111095496</v>
      </c>
      <c r="J5084" s="38" t="n">
        <f aca="false">Sens!$J$4989</f>
        <v>132.148941941952</v>
      </c>
      <c r="K5084" s="38" t="n">
        <f aca="false">Sens!$K$4989</f>
        <v>145.363836136147</v>
      </c>
      <c r="L5084" s="38" t="n">
        <f aca="false">Sens!$L$4989</f>
        <v>159.900219749762</v>
      </c>
      <c r="M5084" s="38" t="n">
        <f aca="false">Sens!$M$4989</f>
        <v>175.890241724738</v>
      </c>
      <c r="N5084" s="38" t="n">
        <f aca="false">Sens!$N$4989</f>
        <v>29.615</v>
      </c>
      <c r="O5084" s="38" t="n">
        <f aca="false">Sens!$O$4989</f>
        <v>39.02</v>
      </c>
    </row>
    <row r="5085" customFormat="false" ht="15" hidden="false" customHeight="false" outlineLevel="0" collapsed="false">
      <c r="A5085" s="0" t="s">
        <v>530</v>
      </c>
      <c r="B5085" s="0" t="s">
        <v>86</v>
      </c>
      <c r="C5085" s="38" t="n">
        <f aca="false">Sens!$C$4991</f>
        <v>44.374</v>
      </c>
      <c r="D5085" s="38" t="n">
        <f aca="false">Sens!$D$4991</f>
        <v>49.619</v>
      </c>
      <c r="E5085" s="38" t="n">
        <f aca="false">Sens!$E$4991</f>
        <v>27.157</v>
      </c>
      <c r="F5085" s="38" t="n">
        <f aca="false">Sens!$F$4991</f>
        <v>27.7764165988154</v>
      </c>
      <c r="G5085" s="38" t="n">
        <f aca="false">Sens!$G$4991</f>
        <v>54.9334165988154</v>
      </c>
      <c r="H5085" s="38" t="n">
        <f aca="false">Sens!$H$4991</f>
        <v>61.1564112561829</v>
      </c>
      <c r="I5085" s="38" t="n">
        <f aca="false">Sens!$I$4991</f>
        <v>67.2020282103945</v>
      </c>
      <c r="J5085" s="38" t="n">
        <f aca="false">Sens!$J$4991</f>
        <v>72.8757274028885</v>
      </c>
      <c r="K5085" s="38" t="n">
        <f aca="false">Sens!$K$4991</f>
        <v>77.9770283210907</v>
      </c>
      <c r="L5085" s="38" t="n">
        <f aca="false">Sens!$L$4991</f>
        <v>83.4354203035671</v>
      </c>
      <c r="M5085" s="38" t="n">
        <f aca="false">Sens!$M$4991</f>
        <v>89.2758997248168</v>
      </c>
      <c r="N5085" s="38" t="n">
        <f aca="false">Sens!$N$4991</f>
        <v>23.923</v>
      </c>
      <c r="O5085" s="38" t="n">
        <f aca="false">Sens!$O$4991</f>
        <v>25.696</v>
      </c>
    </row>
    <row r="5086" customFormat="false" ht="15" hidden="false" customHeight="false" outlineLevel="0" collapsed="false">
      <c r="A5086" s="0" t="s">
        <v>531</v>
      </c>
      <c r="B5086" s="0" t="s">
        <v>86</v>
      </c>
      <c r="C5086" s="38" t="n">
        <f aca="false">Sens!$C$4993</f>
        <v>5.425</v>
      </c>
      <c r="D5086" s="38" t="n">
        <f aca="false">Sens!$D$4993</f>
        <v>5.935</v>
      </c>
      <c r="E5086" s="38" t="n">
        <f aca="false">Sens!$E$4993</f>
        <v>3.474</v>
      </c>
      <c r="F5086" s="38" t="n">
        <f aca="false">Sens!$F$4993</f>
        <v>3.22246550883619</v>
      </c>
      <c r="G5086" s="38" t="n">
        <f aca="false">Sens!$G$4993</f>
        <v>6.69646550883619</v>
      </c>
      <c r="H5086" s="38" t="n">
        <f aca="false">Sens!$H$4993</f>
        <v>7.16251344209196</v>
      </c>
      <c r="I5086" s="38" t="n">
        <f aca="false">Sens!$I$4993</f>
        <v>7.61421070299826</v>
      </c>
      <c r="J5086" s="38" t="n">
        <f aca="false">Sens!$J$4993</f>
        <v>8.04465753523932</v>
      </c>
      <c r="K5086" s="38" t="n">
        <f aca="false">Sens!$K$4993</f>
        <v>8.44689041200128</v>
      </c>
      <c r="L5086" s="38" t="n">
        <f aca="false">Sens!$L$4993</f>
        <v>8.86923493260135</v>
      </c>
      <c r="M5086" s="38" t="n">
        <f aca="false">Sens!$M$4993</f>
        <v>9.31269667923142</v>
      </c>
      <c r="N5086" s="38" t="n">
        <f aca="false">Sens!$N$4993</f>
        <v>2.811</v>
      </c>
      <c r="O5086" s="38" t="n">
        <f aca="false">Sens!$O$4993</f>
        <v>3.124</v>
      </c>
    </row>
    <row r="5087" customFormat="false" ht="17.15" hidden="false" customHeight="false" outlineLevel="0" collapsed="false">
      <c r="A5087" s="0" t="s">
        <v>728</v>
      </c>
      <c r="B5087" s="0" t="s">
        <v>86</v>
      </c>
      <c r="C5087" s="38" t="n">
        <f aca="false">Sens!$C$5068</f>
        <v>107.556</v>
      </c>
      <c r="D5087" s="38" t="n">
        <f aca="false">Sens!$D$5068</f>
        <v>128.725</v>
      </c>
      <c r="E5087" s="38" t="n">
        <f aca="false">Sens!$E$5068</f>
        <v>79.819</v>
      </c>
      <c r="F5087" s="38" t="n">
        <f aca="false">Sens!$F$5068</f>
        <v>86.7327334389669</v>
      </c>
      <c r="G5087" s="38" t="n">
        <f aca="false">Sens!$G$5068</f>
        <v>166.551733438967</v>
      </c>
      <c r="H5087" s="38" t="n">
        <f aca="false">Sens!$H$5068</f>
        <v>221.182967828978</v>
      </c>
      <c r="I5087" s="38" t="n">
        <f aca="false">Sens!$I$5068</f>
        <v>280.27345865789</v>
      </c>
      <c r="J5087" s="38" t="n">
        <f aca="false">Sens!$J$5068</f>
        <v>338.800945197185</v>
      </c>
      <c r="K5087" s="38" t="n">
        <f aca="false">Sens!$K$5068</f>
        <v>389.88570147276</v>
      </c>
      <c r="L5087" s="38" t="n">
        <f aca="false">Sens!$L$5068</f>
        <v>430.080689379143</v>
      </c>
      <c r="M5087" s="38" t="n">
        <f aca="false">Sens!$M$5068</f>
        <v>459.456235951751</v>
      </c>
      <c r="N5087" s="38" t="n">
        <f aca="false">Sens!$N$5068</f>
        <v>60.14</v>
      </c>
      <c r="O5087" s="38" t="n">
        <f aca="false">Sens!$O$5068</f>
        <v>68.585</v>
      </c>
    </row>
    <row r="5088" customFormat="false" ht="15" hidden="false" customHeight="false" outlineLevel="0" collapsed="false">
      <c r="A5088" s="1" t="s">
        <v>519</v>
      </c>
      <c r="B5088" s="8" t="s">
        <v>86</v>
      </c>
      <c r="C5088" s="38" t="n">
        <f aca="false">Sens!$C$4998</f>
        <v>387.497</v>
      </c>
      <c r="D5088" s="38" t="n">
        <f aca="false">Sens!$D$4998</f>
        <v>426.305</v>
      </c>
      <c r="E5088" s="38" t="n">
        <f aca="false">Sens!$E$4998</f>
        <v>220.32</v>
      </c>
      <c r="F5088" s="38" t="n">
        <f aca="false">Sens!$F$4998</f>
        <v>250.639773480586</v>
      </c>
      <c r="G5088" s="38" t="n">
        <f aca="false">Sens!$G$4998</f>
        <v>470.959773480586</v>
      </c>
      <c r="H5088" s="38" t="n">
        <f aca="false">Sens!$H$4998</f>
        <v>521.386990416437</v>
      </c>
      <c r="I5088" s="38" t="n">
        <f aca="false">Sens!$I$4998</f>
        <v>570.143862887555</v>
      </c>
      <c r="J5088" s="38" t="n">
        <f aca="false">Sens!$J$4998</f>
        <v>615.391435791933</v>
      </c>
      <c r="K5088" s="38" t="n">
        <f aca="false">Sens!$K$4998</f>
        <v>655.208227561543</v>
      </c>
      <c r="L5088" s="38" t="n">
        <f aca="false">Sens!$L$4998</f>
        <v>697.807739249767</v>
      </c>
      <c r="M5088" s="38" t="n">
        <f aca="false">Sens!$M$4998</f>
        <v>743.399328463592</v>
      </c>
      <c r="N5088" s="38" t="n">
        <f aca="false">Sens!$N$4998</f>
        <v>192.955</v>
      </c>
      <c r="O5088" s="38" t="n">
        <f aca="false">Sens!$O$4998</f>
        <v>233.35</v>
      </c>
    </row>
    <row r="5089" customFormat="false" ht="15" hidden="false" customHeight="false" outlineLevel="0" collapsed="false">
      <c r="A5089" s="1" t="s">
        <v>522</v>
      </c>
      <c r="B5089" s="8" t="s">
        <v>86</v>
      </c>
      <c r="C5089" s="38" t="n">
        <f aca="false">Sens!$C$4999</f>
        <v>142.906</v>
      </c>
      <c r="D5089" s="38" t="n">
        <f aca="false">Sens!$D$4999</f>
        <v>161.894</v>
      </c>
      <c r="E5089" s="38" t="n">
        <f aca="false">Sens!$E$4999</f>
        <v>81.986</v>
      </c>
      <c r="F5089" s="38" t="n">
        <f aca="false">Sens!$F$4999</f>
        <v>98.408468164951</v>
      </c>
      <c r="G5089" s="38" t="n">
        <f aca="false">Sens!$G$4999</f>
        <v>180.394468164951</v>
      </c>
      <c r="H5089" s="38" t="n">
        <f aca="false">Sens!$H$4999</f>
        <v>199.709899104949</v>
      </c>
      <c r="I5089" s="38" t="n">
        <f aca="false">Sens!$I$4999</f>
        <v>218.385528264976</v>
      </c>
      <c r="J5089" s="38" t="n">
        <f aca="false">Sens!$J$4999</f>
        <v>235.71696994951</v>
      </c>
      <c r="K5089" s="38" t="n">
        <f aca="false">Sens!$K$4999</f>
        <v>250.968227869545</v>
      </c>
      <c r="L5089" s="38" t="n">
        <f aca="false">Sens!$L$4999</f>
        <v>267.285367225822</v>
      </c>
      <c r="M5089" s="38" t="n">
        <f aca="false">Sens!$M$4999</f>
        <v>284.748579483295</v>
      </c>
      <c r="N5089" s="38" t="n">
        <f aca="false">Sens!$N$4999</f>
        <v>70.274</v>
      </c>
      <c r="O5089" s="38" t="n">
        <f aca="false">Sens!$O$4999</f>
        <v>91.62</v>
      </c>
    </row>
    <row r="5090" customFormat="false" ht="15" hidden="false" customHeight="false" outlineLevel="0" collapsed="false">
      <c r="A5090" s="1" t="s">
        <v>523</v>
      </c>
      <c r="B5090" s="8" t="s">
        <v>86</v>
      </c>
      <c r="C5090" s="38" t="n">
        <f aca="false">Sens!$C$5068</f>
        <v>107.556</v>
      </c>
      <c r="D5090" s="38" t="n">
        <f aca="false">Sens!$D$5068</f>
        <v>128.725</v>
      </c>
      <c r="E5090" s="38" t="n">
        <f aca="false">Sens!$E$5068</f>
        <v>79.819</v>
      </c>
      <c r="F5090" s="38" t="n">
        <f aca="false">Sens!$F$5068</f>
        <v>86.7327334389669</v>
      </c>
      <c r="G5090" s="38" t="n">
        <f aca="false">Sens!$G$5068</f>
        <v>166.551733438967</v>
      </c>
      <c r="H5090" s="38" t="n">
        <f aca="false">Sens!$H$5068</f>
        <v>221.182967828978</v>
      </c>
      <c r="I5090" s="38" t="n">
        <f aca="false">Sens!$I$5068</f>
        <v>280.27345865789</v>
      </c>
      <c r="J5090" s="38" t="n">
        <f aca="false">Sens!$J$5068</f>
        <v>338.800945197185</v>
      </c>
      <c r="K5090" s="38" t="n">
        <f aca="false">Sens!$K$5068</f>
        <v>389.88570147276</v>
      </c>
      <c r="L5090" s="38" t="n">
        <f aca="false">Sens!$L$5068</f>
        <v>430.080689379143</v>
      </c>
      <c r="M5090" s="38" t="n">
        <f aca="false">Sens!$M$5068</f>
        <v>459.456235951751</v>
      </c>
      <c r="N5090" s="38" t="n">
        <f aca="false">Sens!$N$5068</f>
        <v>60.14</v>
      </c>
      <c r="O5090" s="38" t="n">
        <f aca="false">Sens!$O$5068</f>
        <v>68.585</v>
      </c>
    </row>
    <row r="5091" customFormat="false" ht="17.15" hidden="false" customHeight="false" outlineLevel="0" collapsed="false">
      <c r="A5091" s="0" t="s">
        <v>702</v>
      </c>
      <c r="B5091" s="0" t="s">
        <v>86</v>
      </c>
      <c r="C5091" s="38" t="n">
        <f aca="false">Sens!$C$5066</f>
        <v>2.32100535697364</v>
      </c>
      <c r="D5091" s="38" t="n">
        <f aca="false">Sens!$D$5066</f>
        <v>8.70377008865116</v>
      </c>
      <c r="E5091" s="38" t="n">
        <f aca="false">Sens!$E$5066</f>
        <v>8.51035297557002</v>
      </c>
      <c r="F5091" s="38" t="n">
        <f aca="false">Sens!$F$5066</f>
        <v>14.9634336447205</v>
      </c>
      <c r="G5091" s="38" t="n">
        <f aca="false">Sens!$G$5066</f>
        <v>23.4737866202905</v>
      </c>
      <c r="H5091" s="38" t="n">
        <f aca="false">Sens!$H$5066</f>
        <v>60.1658907497746</v>
      </c>
      <c r="I5091" s="38" t="n">
        <f aca="false">Sens!$I$5066</f>
        <v>101.503699136432</v>
      </c>
      <c r="J5091" s="38" t="n">
        <f aca="false">Sens!$J$5066</f>
        <v>143.025407151278</v>
      </c>
      <c r="K5091" s="38" t="n">
        <f aca="false">Sens!$K$5066</f>
        <v>178.44812038318</v>
      </c>
      <c r="L5091" s="38" t="n">
        <f aca="false">Sens!$L$5066</f>
        <v>201.728101802396</v>
      </c>
      <c r="M5091" s="38" t="n">
        <f aca="false">Sens!$M$5066</f>
        <v>212.835441368865</v>
      </c>
      <c r="N5091" s="38" t="n">
        <f aca="false">Sens!$N$5066</f>
        <v>3.04631953102791</v>
      </c>
      <c r="O5091" s="38" t="n">
        <f aca="false">Sens!$O$5066</f>
        <v>5.65745055762326</v>
      </c>
    </row>
    <row r="5092" customFormat="false" ht="17.15" hidden="false" customHeight="false" outlineLevel="0" collapsed="false">
      <c r="A5092" s="0" t="s">
        <v>704</v>
      </c>
      <c r="B5092" s="0" t="s">
        <v>86</v>
      </c>
      <c r="C5092" s="38" t="n">
        <f aca="false">Sens!$C$5067</f>
        <v>105.234994643026</v>
      </c>
      <c r="D5092" s="38" t="n">
        <f aca="false">Sens!$D$5067</f>
        <v>120.021229911349</v>
      </c>
      <c r="E5092" s="38" t="n">
        <f aca="false">Sens!$E$5067</f>
        <v>71.30864702443</v>
      </c>
      <c r="F5092" s="38" t="n">
        <f aca="false">Sens!$F$5067</f>
        <v>71.7692997942464</v>
      </c>
      <c r="G5092" s="38" t="n">
        <f aca="false">Sens!$G$5067</f>
        <v>143.077946818676</v>
      </c>
      <c r="H5092" s="38" t="n">
        <f aca="false">Sens!$H$5067</f>
        <v>161.017077079203</v>
      </c>
      <c r="I5092" s="38" t="n">
        <f aca="false">Sens!$I$5067</f>
        <v>178.769759521457</v>
      </c>
      <c r="J5092" s="38" t="n">
        <f aca="false">Sens!$J$5067</f>
        <v>195.775538045907</v>
      </c>
      <c r="K5092" s="38" t="n">
        <f aca="false">Sens!$K$5067</f>
        <v>211.43758108958</v>
      </c>
      <c r="L5092" s="38" t="n">
        <f aca="false">Sens!$L$5067</f>
        <v>228.352587576746</v>
      </c>
      <c r="M5092" s="38" t="n">
        <f aca="false">Sens!$M$5067</f>
        <v>246.620794582886</v>
      </c>
      <c r="N5092" s="38" t="n">
        <f aca="false">Sens!$N$5067</f>
        <v>57.0936804689721</v>
      </c>
      <c r="O5092" s="38" t="n">
        <f aca="false">Sens!$O$5067</f>
        <v>62.9275494423768</v>
      </c>
    </row>
    <row r="5093" customFormat="false" ht="15" hidden="false" customHeight="false" outlineLevel="0" collapsed="false">
      <c r="A5093" s="3" t="s">
        <v>524</v>
      </c>
      <c r="B5093" s="8" t="s">
        <v>86</v>
      </c>
      <c r="C5093" s="38" t="n">
        <f aca="false">Sens!$C$5069</f>
        <v>637.959</v>
      </c>
      <c r="D5093" s="38" t="n">
        <f aca="false">Sens!$D$5069</f>
        <v>716.924</v>
      </c>
      <c r="E5093" s="38" t="n">
        <f aca="false">Sens!$E$5069</f>
        <v>382.125</v>
      </c>
      <c r="F5093" s="38" t="n">
        <f aca="false">Sens!$F$5069</f>
        <v>435.780975084504</v>
      </c>
      <c r="G5093" s="38" t="n">
        <f aca="false">Sens!$G$5069</f>
        <v>817.905975084504</v>
      </c>
      <c r="H5093" s="38" t="n">
        <f aca="false">Sens!$H$5069</f>
        <v>942.279857350364</v>
      </c>
      <c r="I5093" s="38" t="n">
        <f aca="false">Sens!$I$5069</f>
        <v>1068.80284981042</v>
      </c>
      <c r="J5093" s="38" t="n">
        <f aca="false">Sens!$J$5069</f>
        <v>1189.90935093863</v>
      </c>
      <c r="K5093" s="38" t="n">
        <f aca="false">Sens!$K$5069</f>
        <v>1296.06215690385</v>
      </c>
      <c r="L5093" s="38" t="n">
        <f aca="false">Sens!$L$5069</f>
        <v>1395.17379585473</v>
      </c>
      <c r="M5093" s="38" t="n">
        <f aca="false">Sens!$M$5069</f>
        <v>1487.60414389864</v>
      </c>
      <c r="N5093" s="38" t="n">
        <f aca="false">Sens!$N$5069</f>
        <v>323.369</v>
      </c>
      <c r="O5093" s="38" t="n">
        <f aca="false">Sens!$O$5069</f>
        <v>393.555</v>
      </c>
    </row>
    <row r="5094" customFormat="false" ht="17.15" hidden="false" customHeight="false" outlineLevel="0" collapsed="false">
      <c r="A5094" s="24" t="s">
        <v>714</v>
      </c>
      <c r="B5094" s="25" t="s">
        <v>86</v>
      </c>
      <c r="C5094" s="41" t="n">
        <f aca="false">Sens!$C$5081+Sens!$C$5082+Sens!$C$5083+Sens!$C$5084+Sens!$C$5085+Sens!$C$5086-(Sens!$C$5088+Sens!$C$5089)</f>
        <v>0</v>
      </c>
      <c r="D5094" s="41" t="n">
        <f aca="false">Sens!$D$5081+Sens!$D$5082+Sens!$D$5083+Sens!$D$5084+Sens!$D$5085+Sens!$D$5086-(Sens!$D$5088+Sens!$D$5089)</f>
        <v>0</v>
      </c>
      <c r="E5094" s="41" t="n">
        <f aca="false">Sens!$E$5081+Sens!$E$5082+Sens!$E$5083+Sens!$E$5084+Sens!$E$5085+Sens!$E$5086-(Sens!$E$5088+Sens!$E$5089)</f>
        <v>0</v>
      </c>
      <c r="F5094" s="41" t="n">
        <f aca="false">Sens!$F$5081+Sens!$F$5082+Sens!$F$5083+Sens!$F$5084+Sens!$F$5085+Sens!$F$5086-(Sens!$F$5088+Sens!$F$5089)</f>
        <v>0</v>
      </c>
      <c r="G5094" s="41" t="n">
        <f aca="false">Sens!$G$5081+Sens!$G$5082+Sens!$G$5083+Sens!$G$5084+Sens!$G$5085+Sens!$G$5086-(Sens!$G$5088+Sens!$G$5089)</f>
        <v>0</v>
      </c>
      <c r="H5094" s="41" t="n">
        <f aca="false">Sens!$H$5081+Sens!$H$5082+Sens!$H$5083+Sens!$H$5084+Sens!$H$5085+Sens!$H$5086-(Sens!$H$5088+Sens!$H$5089)</f>
        <v>0</v>
      </c>
      <c r="I5094" s="41" t="n">
        <f aca="false">Sens!$I$5081+Sens!$I$5082+Sens!$I$5083+Sens!$I$5084+Sens!$I$5085+Sens!$I$5086-(Sens!$I$5088+Sens!$I$5089)</f>
        <v>0</v>
      </c>
      <c r="J5094" s="41" t="n">
        <f aca="false">Sens!$J$5081+Sens!$J$5082+Sens!$J$5083+Sens!$J$5084+Sens!$J$5085+Sens!$J$5086-(Sens!$J$5088+Sens!$J$5089)</f>
        <v>0</v>
      </c>
      <c r="K5094" s="41" t="n">
        <f aca="false">Sens!$K$5081+Sens!$K$5082+Sens!$K$5083+Sens!$K$5084+Sens!$K$5085+Sens!$K$5086-(Sens!$K$5088+Sens!$K$5089)</f>
        <v>0</v>
      </c>
      <c r="L5094" s="41" t="n">
        <f aca="false">Sens!$L$5081+Sens!$L$5082+Sens!$L$5083+Sens!$L$5084+Sens!$L$5085+Sens!$L$5086-(Sens!$L$5088+Sens!$L$5089)</f>
        <v>0</v>
      </c>
      <c r="M5094" s="41" t="n">
        <f aca="false">Sens!$M$5081+Sens!$M$5082+Sens!$M$5083+Sens!$M$5084+Sens!$M$5085+Sens!$M$5086-(Sens!$M$5088+Sens!$M$5089)</f>
        <v>0</v>
      </c>
      <c r="N5094" s="41" t="n">
        <f aca="false">Sens!$N$5081+Sens!$N$5082+Sens!$N$5083+Sens!$N$5084+Sens!$N$5085+Sens!$N$5086-(Sens!$N$5088+Sens!$N$5089)</f>
        <v>0</v>
      </c>
      <c r="O5094" s="41" t="n">
        <f aca="false">Sens!$O$5081+Sens!$O$5082+Sens!$O$5083+Sens!$O$5084+Sens!$O$5085+Sens!$O$5086-(Sens!$O$5088+Sens!$O$5089)</f>
        <v>0</v>
      </c>
    </row>
    <row r="5095" customFormat="false" ht="17.15" hidden="false" customHeight="false" outlineLevel="0" collapsed="false">
      <c r="A5095" s="24" t="s">
        <v>715</v>
      </c>
      <c r="B5095" s="25" t="s">
        <v>86</v>
      </c>
      <c r="C5095" s="41" t="n">
        <f aca="false">Sens!$C$5091+Sens!$C$5092-Sens!$C$5090</f>
        <v>0</v>
      </c>
      <c r="D5095" s="41" t="n">
        <f aca="false">Sens!$D$5091+Sens!$D$5092-Sens!$D$5090</f>
        <v>0</v>
      </c>
      <c r="E5095" s="41" t="n">
        <f aca="false">Sens!$E$5091+Sens!$E$5092-Sens!$E$5090</f>
        <v>0</v>
      </c>
      <c r="F5095" s="41" t="n">
        <f aca="false">Sens!$F$5091+Sens!$F$5092-Sens!$F$5090</f>
        <v>0</v>
      </c>
      <c r="G5095" s="41" t="n">
        <f aca="false">Sens!$G$5091+Sens!$G$5092-Sens!$G$5090</f>
        <v>0</v>
      </c>
      <c r="H5095" s="41" t="n">
        <f aca="false">Sens!$H$5091+Sens!$H$5092-Sens!$H$5090</f>
        <v>0</v>
      </c>
      <c r="I5095" s="41" t="n">
        <f aca="false">Sens!$I$5091+Sens!$I$5092-Sens!$I$5090</f>
        <v>0</v>
      </c>
      <c r="J5095" s="41" t="n">
        <f aca="false">Sens!$J$5091+Sens!$J$5092-Sens!$J$5090</f>
        <v>0</v>
      </c>
      <c r="K5095" s="41" t="n">
        <f aca="false">Sens!$K$5091+Sens!$K$5092-Sens!$K$5090</f>
        <v>0</v>
      </c>
      <c r="L5095" s="41" t="n">
        <f aca="false">Sens!$L$5091+Sens!$L$5092-Sens!$L$5090</f>
        <v>0</v>
      </c>
      <c r="M5095" s="41" t="n">
        <f aca="false">Sens!$M$5091+Sens!$M$5092-Sens!$M$5090</f>
        <v>0</v>
      </c>
      <c r="N5095" s="41" t="n">
        <f aca="false">Sens!$N$5091+Sens!$N$5092-Sens!$N$5090</f>
        <v>0</v>
      </c>
      <c r="O5095" s="41" t="n">
        <f aca="false">Sens!$O$5091+Sens!$O$5092-Sens!$O$5090</f>
        <v>0</v>
      </c>
    </row>
    <row r="5096" customFormat="false" ht="17.15" hidden="false" customHeight="false" outlineLevel="0" collapsed="false">
      <c r="A5096" s="24" t="s">
        <v>774</v>
      </c>
      <c r="B5096" s="25" t="s">
        <v>86</v>
      </c>
      <c r="C5096" s="41" t="n">
        <f aca="false">Sens!$C$5081+Sens!$C$5082+Sens!$C$5083+Sens!$C$5084+Sens!$C$5085+Sens!$C$5086+Sens!$C$5087-Sens!$C$5093</f>
        <v>0</v>
      </c>
      <c r="D5096" s="41" t="n">
        <f aca="false">Sens!$D$5081+Sens!$D$5082+Sens!$D$5083+Sens!$D$5084+Sens!$D$5085+Sens!$D$5086+Sens!$D$5087-Sens!$D$5093</f>
        <v>0</v>
      </c>
      <c r="E5096" s="41" t="n">
        <f aca="false">Sens!$E$5081+Sens!$E$5082+Sens!$E$5083+Sens!$E$5084+Sens!$E$5085+Sens!$E$5086+Sens!$E$5087-Sens!$E$5093</f>
        <v>0</v>
      </c>
      <c r="F5096" s="41" t="n">
        <f aca="false">Sens!$F$5081+Sens!$F$5082+Sens!$F$5083+Sens!$F$5084+Sens!$F$5085+Sens!$F$5086+Sens!$F$5087-Sens!$F$5093</f>
        <v>0</v>
      </c>
      <c r="G5096" s="41" t="n">
        <f aca="false">Sens!$G$5081+Sens!$G$5082+Sens!$G$5083+Sens!$G$5084+Sens!$G$5085+Sens!$G$5086+Sens!$G$5087-Sens!$G$5093</f>
        <v>0</v>
      </c>
      <c r="H5096" s="41" t="n">
        <f aca="false">Sens!$H$5081+Sens!$H$5082+Sens!$H$5083+Sens!$H$5084+Sens!$H$5085+Sens!$H$5086+Sens!$H$5087-Sens!$H$5093</f>
        <v>0</v>
      </c>
      <c r="I5096" s="41" t="n">
        <f aca="false">Sens!$I$5081+Sens!$I$5082+Sens!$I$5083+Sens!$I$5084+Sens!$I$5085+Sens!$I$5086+Sens!$I$5087-Sens!$I$5093</f>
        <v>0</v>
      </c>
      <c r="J5096" s="41" t="n">
        <f aca="false">Sens!$J$5081+Sens!$J$5082+Sens!$J$5083+Sens!$J$5084+Sens!$J$5085+Sens!$J$5086+Sens!$J$5087-Sens!$J$5093</f>
        <v>0</v>
      </c>
      <c r="K5096" s="41" t="n">
        <f aca="false">Sens!$K$5081+Sens!$K$5082+Sens!$K$5083+Sens!$K$5084+Sens!$K$5085+Sens!$K$5086+Sens!$K$5087-Sens!$K$5093</f>
        <v>0</v>
      </c>
      <c r="L5096" s="41" t="n">
        <f aca="false">Sens!$L$5081+Sens!$L$5082+Sens!$L$5083+Sens!$L$5084+Sens!$L$5085+Sens!$L$5086+Sens!$L$5087-Sens!$L$5093</f>
        <v>0</v>
      </c>
      <c r="M5096" s="41" t="n">
        <f aca="false">Sens!$M$5081+Sens!$M$5082+Sens!$M$5083+Sens!$M$5084+Sens!$M$5085+Sens!$M$5086+Sens!$M$5087-Sens!$M$5093</f>
        <v>0</v>
      </c>
      <c r="N5096" s="41" t="n">
        <f aca="false">Sens!$N$5081+Sens!$N$5082+Sens!$N$5083+Sens!$N$5084+Sens!$N$5085+Sens!$N$5086+Sens!$N$5087-Sens!$N$5093</f>
        <v>0</v>
      </c>
      <c r="O5096" s="41" t="n">
        <f aca="false">Sens!$O$5081+Sens!$O$5082+Sens!$O$5083+Sens!$O$5084+Sens!$O$5085+Sens!$O$5086+Sens!$O$5087-Sens!$O$5093</f>
        <v>0</v>
      </c>
    </row>
    <row r="5097" customFormat="false" ht="17.15" hidden="false" customHeight="false" outlineLevel="0" collapsed="false">
      <c r="A5097" s="24" t="s">
        <v>716</v>
      </c>
      <c r="B5097" s="25" t="s">
        <v>86</v>
      </c>
      <c r="C5097" s="41" t="n">
        <f aca="false">Sens!$C$5088+Sens!$C$5089+Sens!$C$5090-Sens!$C$5093</f>
        <v>0</v>
      </c>
      <c r="D5097" s="41" t="n">
        <f aca="false">Sens!$D$5088+Sens!$D$5089+Sens!$D$5090-Sens!$D$5093</f>
        <v>0</v>
      </c>
      <c r="E5097" s="41" t="n">
        <f aca="false">Sens!$E$5088+Sens!$E$5089+Sens!$E$5090-Sens!$E$5093</f>
        <v>0</v>
      </c>
      <c r="F5097" s="41" t="n">
        <f aca="false">Sens!$F$5088+Sens!$F$5089+Sens!$F$5090-Sens!$F$5093</f>
        <v>0</v>
      </c>
      <c r="G5097" s="41" t="n">
        <f aca="false">Sens!$G$5088+Sens!$G$5089+Sens!$G$5090-Sens!$G$5093</f>
        <v>0</v>
      </c>
      <c r="H5097" s="41" t="n">
        <f aca="false">Sens!$H$5088+Sens!$H$5089+Sens!$H$5090-Sens!$H$5093</f>
        <v>0</v>
      </c>
      <c r="I5097" s="41" t="n">
        <f aca="false">Sens!$I$5088+Sens!$I$5089+Sens!$I$5090-Sens!$I$5093</f>
        <v>0</v>
      </c>
      <c r="J5097" s="41" t="n">
        <f aca="false">Sens!$J$5088+Sens!$J$5089+Sens!$J$5090-Sens!$J$5093</f>
        <v>0</v>
      </c>
      <c r="K5097" s="41" t="n">
        <f aca="false">Sens!$K$5088+Sens!$K$5089+Sens!$K$5090-Sens!$K$5093</f>
        <v>0</v>
      </c>
      <c r="L5097" s="41" t="n">
        <f aca="false">Sens!$L$5088+Sens!$L$5089+Sens!$L$5090-Sens!$L$5093</f>
        <v>0</v>
      </c>
      <c r="M5097" s="41" t="n">
        <f aca="false">Sens!$M$5088+Sens!$M$5089+Sens!$M$5090-Sens!$M$5093</f>
        <v>0</v>
      </c>
      <c r="N5097" s="41" t="n">
        <f aca="false">Sens!$N$5088+Sens!$N$5089+Sens!$N$5090-Sens!$N$5093</f>
        <v>0</v>
      </c>
      <c r="O5097" s="41" t="n">
        <f aca="false">Sens!$O$5088+Sens!$O$5089+Sens!$O$5090-Sens!$O$5093</f>
        <v>0</v>
      </c>
    </row>
    <row r="5098" customFormat="false" ht="17.15" hidden="false" customHeight="false" outlineLevel="0" collapsed="false">
      <c r="A5098" s="1" t="s">
        <v>730</v>
      </c>
    </row>
    <row r="5099" customFormat="false" ht="17.15" hidden="false" customHeight="false" outlineLevel="0" collapsed="false">
      <c r="A5099" s="0" t="s">
        <v>731</v>
      </c>
      <c r="B5099" s="0" t="s">
        <v>86</v>
      </c>
      <c r="C5099" s="38" t="n">
        <f aca="false">Sens!$C$5000*m_ad</f>
        <v>20.5341564414228</v>
      </c>
      <c r="D5099" s="38" t="n">
        <f aca="false">Sens!$D$5000*m_ad</f>
        <v>24.8720617299587</v>
      </c>
      <c r="E5099" s="38" t="n">
        <f aca="false">Sens!$E$5000*m_ad</f>
        <v>13.5017112462207</v>
      </c>
      <c r="F5099" s="38" t="n">
        <f aca="false">Sens!$F$5000*m_ad</f>
        <v>16.5719724165257</v>
      </c>
      <c r="G5099" s="38" t="n">
        <f aca="false">Sens!$G$5000*m_ad</f>
        <v>30.0820919220415</v>
      </c>
      <c r="H5099" s="38" t="n">
        <f aca="false">Sens!$H$5000*m_ad</f>
        <v>36.1150883276314</v>
      </c>
      <c r="I5099" s="38" t="n">
        <f aca="false">Sens!$I$5000*m_ad</f>
        <v>42.1475382231996</v>
      </c>
      <c r="J5099" s="38" t="n">
        <f aca="false">Sens!$J$5000*m_ad</f>
        <v>47.7749523864693</v>
      </c>
      <c r="K5099" s="38" t="n">
        <f aca="false">Sens!$K$5000*m_ad</f>
        <v>52.5524476251162</v>
      </c>
      <c r="L5099" s="38" t="n">
        <f aca="false">Sens!$L$5000*m_ad</f>
        <v>57.8076923876279</v>
      </c>
      <c r="M5099" s="38" t="n">
        <f aca="false">Sens!$M$5000*m_ad</f>
        <v>63.5884616263907</v>
      </c>
      <c r="N5099" s="38" t="n">
        <f aca="false">Sens!$N$5000*m_ad</f>
        <v>10.8543555706248</v>
      </c>
      <c r="O5099" s="38" t="n">
        <f aca="false">Sens!$O$5000*m_ad</f>
        <v>14.0094731821399</v>
      </c>
    </row>
    <row r="5100" customFormat="false" ht="17.15" hidden="false" customHeight="false" outlineLevel="0" collapsed="false">
      <c r="A5100" s="0" t="s">
        <v>732</v>
      </c>
      <c r="B5100" s="0" t="s">
        <v>86</v>
      </c>
      <c r="C5100" s="38" t="n">
        <f aca="false">Sens!$C$4998-Sens!$C$5000</f>
        <v>346.428687117154</v>
      </c>
      <c r="D5100" s="38" t="n">
        <f aca="false">Sens!$D$4998-Sens!$D$5000</f>
        <v>376.560876540083</v>
      </c>
      <c r="E5100" s="38" t="n">
        <f aca="false">Sens!$E$4998-Sens!$E$5000</f>
        <v>193.316577507559</v>
      </c>
      <c r="F5100" s="38" t="n">
        <f aca="false">Sens!$F$4998-Sens!$F$5000</f>
        <v>217.495828647535</v>
      </c>
      <c r="G5100" s="38" t="n">
        <f aca="false">Sens!$G$4998-Sens!$G$5000</f>
        <v>410.795589636503</v>
      </c>
      <c r="H5100" s="38" t="n">
        <f aca="false">Sens!$H$4998-Sens!$H$5000</f>
        <v>449.156813761174</v>
      </c>
      <c r="I5100" s="38" t="n">
        <f aca="false">Sens!$I$4998-Sens!$I$5000</f>
        <v>485.848786441156</v>
      </c>
      <c r="J5100" s="38" t="n">
        <f aca="false">Sens!$J$4998-Sens!$J$5000</f>
        <v>519.841531018994</v>
      </c>
      <c r="K5100" s="38" t="n">
        <f aca="false">Sens!$K$4998-Sens!$K$5000</f>
        <v>550.103332311311</v>
      </c>
      <c r="L5100" s="38" t="n">
        <f aca="false">Sens!$L$4998-Sens!$L$5000</f>
        <v>582.192354474511</v>
      </c>
      <c r="M5100" s="38" t="n">
        <f aca="false">Sens!$M$4998-Sens!$M$5000</f>
        <v>616.22240521081</v>
      </c>
      <c r="N5100" s="38" t="n">
        <f aca="false">Sens!$N$4998-Sens!$N$5000</f>
        <v>171.24628885875</v>
      </c>
      <c r="O5100" s="38" t="n">
        <f aca="false">Sens!$O$4998-Sens!$O$5000</f>
        <v>205.33105363572</v>
      </c>
    </row>
    <row r="5101" customFormat="false" ht="17.15" hidden="false" customHeight="false" outlineLevel="0" collapsed="false">
      <c r="A5101" s="0" t="s">
        <v>733</v>
      </c>
      <c r="B5101" s="0" t="s">
        <v>86</v>
      </c>
      <c r="C5101" s="38" t="n">
        <f aca="false">Sens!$C$5052*Sens!$C$4997</f>
        <v>0.123617442257179</v>
      </c>
      <c r="D5101" s="38" t="n">
        <f aca="false">Sens!$D$5052*Sens!$D$4997</f>
        <v>0.600198046024689</v>
      </c>
      <c r="E5101" s="38" t="n">
        <f aca="false">Sens!$E$5052*Sens!$E$4997</f>
        <v>1.10840000750276</v>
      </c>
      <c r="F5101" s="38" t="n">
        <f aca="false">Sens!$F$5052*Sens!$F$4997</f>
        <v>1.33595298721025</v>
      </c>
      <c r="G5101" s="38" t="n">
        <f aca="false">Sens!$G$5052*Sens!$G$4997</f>
        <v>2.44487335052545</v>
      </c>
      <c r="H5101" s="38" t="n">
        <f aca="false">Sens!$H$5052*Sens!$H$4997</f>
        <v>6.63132711939388</v>
      </c>
      <c r="I5101" s="38" t="n">
        <f aca="false">Sens!$I$5052*Sens!$I$4997</f>
        <v>12.7486799258504</v>
      </c>
      <c r="J5101" s="38" t="n">
        <f aca="false">Sens!$J$5052*Sens!$J$4997</f>
        <v>18.4074045299415</v>
      </c>
      <c r="K5101" s="38" t="n">
        <f aca="false">Sens!$K$5052*Sens!$K$4997</f>
        <v>23.9455472348705</v>
      </c>
      <c r="L5101" s="38" t="n">
        <f aca="false">Sens!$L$5052*Sens!$L$4997</f>
        <v>27.78179156216</v>
      </c>
      <c r="M5101" s="38" t="n">
        <f aca="false">Sens!$M$5052*Sens!$M$4997</f>
        <v>29.9029027327362</v>
      </c>
      <c r="N5101" s="38" t="n">
        <f aca="false">Sens!$N$5052*Sens!$N$4997</f>
        <v>0.25053229484398</v>
      </c>
      <c r="O5101" s="38" t="n">
        <f aca="false">Sens!$O$5052*Sens!$O$4997</f>
        <v>0.349234376756897</v>
      </c>
    </row>
    <row r="5102" customFormat="false" ht="17.15" hidden="false" customHeight="false" outlineLevel="0" collapsed="false">
      <c r="A5102" s="0" t="s">
        <v>734</v>
      </c>
      <c r="B5102" s="0" t="s">
        <v>52</v>
      </c>
      <c r="C5102" s="28" t="n">
        <f aca="false">(Sens!$C$5103-Sens!$C$5099+Sens!$C$5101)/Sens!$C$5100</f>
        <v>0.0131526665379575</v>
      </c>
      <c r="D5102" s="28" t="n">
        <f aca="false">(Sens!$D$5103-Sens!$D$5099+Sens!$D$5101)/Sens!$D$5100</f>
        <v>0.0141999252954702</v>
      </c>
      <c r="E5102" s="28" t="n">
        <f aca="false">(Sens!$E$5103-Sens!$E$5099+Sens!$E$5101)/Sens!$E$5100</f>
        <v>0.0258471819939326</v>
      </c>
      <c r="F5102" s="28" t="n">
        <f aca="false">Sens!$O$5102+(Sens!$E$5102-Sens!$N$5102)</f>
        <v>0.0224302350712874</v>
      </c>
      <c r="G5102" s="28" t="n">
        <f aca="false">(Sens!$G$5103-Sens!$G$5099+Sens!$G$5101)/Sens!$G$5100</f>
        <v>0.0240199351461372</v>
      </c>
      <c r="H5102" s="28" t="n">
        <f aca="false">Sens!$G$5102+step_na_hi</f>
        <v>0.0300199351461372</v>
      </c>
      <c r="I5102" s="28" t="n">
        <f aca="false">Sens!$H$5102+step_na_hi</f>
        <v>0.0360199351461372</v>
      </c>
      <c r="J5102" s="28" t="n">
        <f aca="false">Sens!$I$5102+step_na_hi</f>
        <v>0.0420199351461372</v>
      </c>
      <c r="K5102" s="28" t="n">
        <f aca="false">Sens!$J$5102+step_na_hi</f>
        <v>0.0480199351461372</v>
      </c>
      <c r="L5102" s="28" t="n">
        <f aca="false">Sens!$K$5102</f>
        <v>0.0480199351461372</v>
      </c>
      <c r="M5102" s="28" t="n">
        <f aca="false">Sens!$L$5102</f>
        <v>0.0480199351461372</v>
      </c>
      <c r="N5102" s="28" t="n">
        <f aca="false">(Sens!$N$5103-Sens!$N$5099+Sens!$N$5101)/Sens!$N$5100</f>
        <v>0.0160831323269779</v>
      </c>
      <c r="O5102" s="28" t="n">
        <f aca="false">(Sens!$O$5103-Sens!$O$5099+Sens!$O$5101)/Sens!$O$5100</f>
        <v>0.0126661854043327</v>
      </c>
      <c r="P5102" s="8" t="s">
        <v>735</v>
      </c>
    </row>
    <row r="5103" customFormat="false" ht="17.15" hidden="false" customHeight="false" outlineLevel="0" collapsed="false">
      <c r="A5103" s="1" t="s">
        <v>736</v>
      </c>
      <c r="B5103" s="8" t="s">
        <v>86</v>
      </c>
      <c r="C5103" s="38" t="n">
        <f aca="false">Q!$D$22</f>
        <v>24.967</v>
      </c>
      <c r="D5103" s="38" t="n">
        <f aca="false">Q!$E$22</f>
        <v>29.619</v>
      </c>
      <c r="E5103" s="38" t="n">
        <f aca="false">Q!$P$22</f>
        <v>17.39</v>
      </c>
      <c r="F5103" s="38" t="n">
        <f aca="false">Sens!$F$5099+Sens!$F$5100*Sens!$F$5102-Sens!$F$5101</f>
        <v>20.1145019929041</v>
      </c>
      <c r="G5103" s="38" t="n">
        <f aca="false">Sens!$E$5103+Sens!$F$5103</f>
        <v>37.5045019929041</v>
      </c>
      <c r="H5103" s="38" t="n">
        <f aca="false">Sens!$H$5099+Sens!$H$5100*Sens!$H$5102-Sens!$H$5101</f>
        <v>42.9674196277936</v>
      </c>
      <c r="I5103" s="38" t="n">
        <f aca="false">Sens!$I$5099+Sens!$I$5100*Sens!$I$5102-Sens!$I$5101</f>
        <v>46.8991000757891</v>
      </c>
      <c r="J5103" s="38" t="n">
        <f aca="false">Sens!$J$5099+Sens!$J$5100*Sens!$J$5102-Sens!$J$5101</f>
        <v>51.2112552762146</v>
      </c>
      <c r="K5103" s="38" t="n">
        <f aca="false">Sens!$K$5099+Sens!$K$5100*Sens!$K$5102-Sens!$K$5101</f>
        <v>55.0228267315088</v>
      </c>
      <c r="L5103" s="38" t="n">
        <f aca="false">Sens!$L$5099+Sens!$L$5100*Sens!$L$5102-Sens!$L$5101</f>
        <v>57.9827399299108</v>
      </c>
      <c r="M5103" s="38" t="n">
        <f aca="false">Sens!$M$5099+Sens!$M$5100*Sens!$M$5102-Sens!$M$5101</f>
        <v>63.2765188274742</v>
      </c>
      <c r="N5103" s="38" t="n">
        <f aca="false">Q!$N$22</f>
        <v>13.358</v>
      </c>
      <c r="O5103" s="38" t="n">
        <f aca="false">Q!$O$22</f>
        <v>16.261</v>
      </c>
    </row>
    <row r="5104" customFormat="false" ht="17.15" hidden="false" customHeight="false" outlineLevel="0" collapsed="false">
      <c r="A5104" s="0" t="s">
        <v>737</v>
      </c>
      <c r="B5104" s="0" t="s">
        <v>86</v>
      </c>
      <c r="C5104" s="38" t="n">
        <f aca="false">Sens!$C$5001*m_ad</f>
        <v>7.57284355857716</v>
      </c>
      <c r="D5104" s="38" t="n">
        <f aca="false">Sens!$D$5001*m_ad</f>
        <v>9.44543827004127</v>
      </c>
      <c r="E5104" s="38" t="n">
        <f aca="false">Sens!$E$5001*m_ad</f>
        <v>5.02428875377928</v>
      </c>
      <c r="F5104" s="38" t="n">
        <f aca="false">Sens!$F$5001*m_ad</f>
        <v>6.50663858068173</v>
      </c>
      <c r="G5104" s="38" t="n">
        <f aca="false">Sens!$G$5001*m_ad</f>
        <v>11.5225190751659</v>
      </c>
      <c r="H5104" s="38" t="n">
        <f aca="false">Sens!$H$5001*m_ad</f>
        <v>13.8333728663174</v>
      </c>
      <c r="I5104" s="38" t="n">
        <f aca="false">Sens!$I$5001*m_ad</f>
        <v>16.1440173245485</v>
      </c>
      <c r="J5104" s="38" t="n">
        <f aca="false">Sens!$J$5001*m_ad</f>
        <v>18.2995185845066</v>
      </c>
      <c r="K5104" s="38" t="n">
        <f aca="false">Sens!$K$5001*m_ad</f>
        <v>20.1294704429572</v>
      </c>
      <c r="L5104" s="38" t="n">
        <f aca="false">Sens!$L$5001*m_ad</f>
        <v>22.142417487253</v>
      </c>
      <c r="M5104" s="38" t="n">
        <f aca="false">Sens!$M$5001*m_ad</f>
        <v>24.3566592359783</v>
      </c>
      <c r="N5104" s="38" t="n">
        <f aca="false">Sens!$N$5001*m_ad</f>
        <v>3.95314442937518</v>
      </c>
      <c r="O5104" s="38" t="n">
        <f aca="false">Sens!$O$5001*m_ad</f>
        <v>5.50052681786011</v>
      </c>
    </row>
    <row r="5105" customFormat="false" ht="17.15" hidden="false" customHeight="false" outlineLevel="0" collapsed="false">
      <c r="A5105" s="0" t="s">
        <v>738</v>
      </c>
      <c r="B5105" s="0" t="s">
        <v>86</v>
      </c>
      <c r="C5105" s="38" t="n">
        <f aca="false">Sens!$C$4999-Sens!$C$5001</f>
        <v>127.760312882846</v>
      </c>
      <c r="D5105" s="38" t="n">
        <f aca="false">Sens!$D$4999-Sens!$D$5001</f>
        <v>143.003123459917</v>
      </c>
      <c r="E5105" s="38" t="n">
        <f aca="false">Sens!$E$4999-Sens!$E$5001</f>
        <v>71.9374224924414</v>
      </c>
      <c r="F5105" s="38" t="n">
        <f aca="false">Sens!$F$4999-Sens!$F$5001</f>
        <v>85.3951910035875</v>
      </c>
      <c r="G5105" s="38" t="n">
        <f aca="false">Sens!$G$4999-Sens!$G$5001</f>
        <v>157.349430014619</v>
      </c>
      <c r="H5105" s="38" t="n">
        <f aca="false">Sens!$H$4999-Sens!$H$5001</f>
        <v>172.043153372315</v>
      </c>
      <c r="I5105" s="38" t="n">
        <f aca="false">Sens!$I$4999-Sens!$I$5001</f>
        <v>186.097493615879</v>
      </c>
      <c r="J5105" s="38" t="n">
        <f aca="false">Sens!$J$4999-Sens!$J$5001</f>
        <v>199.117932780497</v>
      </c>
      <c r="K5105" s="38" t="n">
        <f aca="false">Sens!$K$4999-Sens!$K$5001</f>
        <v>210.70928698363</v>
      </c>
      <c r="L5105" s="38" t="n">
        <f aca="false">Sens!$L$4999-Sens!$L$5001</f>
        <v>223.000532251316</v>
      </c>
      <c r="M5105" s="38" t="n">
        <f aca="false">Sens!$M$4999-Sens!$M$5001</f>
        <v>236.035261011339</v>
      </c>
      <c r="N5105" s="38" t="n">
        <f aca="false">Sens!$N$4999-Sens!$N$5001</f>
        <v>62.3677111412496</v>
      </c>
      <c r="O5105" s="38" t="n">
        <f aca="false">Sens!$O$4999-Sens!$O$5001</f>
        <v>80.6189463642798</v>
      </c>
    </row>
    <row r="5106" customFormat="false" ht="17.15" hidden="false" customHeight="false" outlineLevel="0" collapsed="false">
      <c r="A5106" s="0" t="s">
        <v>739</v>
      </c>
      <c r="B5106" s="0" t="s">
        <v>86</v>
      </c>
      <c r="C5106" s="38" t="n">
        <f aca="false">Sens!$C$5052*(1-Sens!$C$4997)</f>
        <v>0.0455891896019953</v>
      </c>
      <c r="D5106" s="38" t="n">
        <f aca="false">Sens!$D$5052*(1-Sens!$D$4997)</f>
        <v>0.227931791705753</v>
      </c>
      <c r="E5106" s="38" t="n">
        <f aca="false">Sens!$E$5052*(1-Sens!$E$4997)</f>
        <v>0.412460434890711</v>
      </c>
      <c r="F5106" s="38" t="n">
        <f aca="false">Sens!$F$5052*(1-Sens!$F$4997)</f>
        <v>0.524534016233997</v>
      </c>
      <c r="G5106" s="38" t="n">
        <f aca="false">Sens!$G$5052*(1-Sens!$G$4997)</f>
        <v>0.936474095312266</v>
      </c>
      <c r="H5106" s="38" t="n">
        <f aca="false">Sens!$H$5052*(1-Sens!$H$4997)</f>
        <v>2.54003589327823</v>
      </c>
      <c r="I5106" s="38" t="n">
        <f aca="false">Sens!$I$5052*(1-Sens!$I$4997)</f>
        <v>4.88320120852905</v>
      </c>
      <c r="J5106" s="38" t="n">
        <f aca="false">Sens!$J$5052*(1-Sens!$J$4997)</f>
        <v>7.05069548920359</v>
      </c>
      <c r="K5106" s="38" t="n">
        <f aca="false">Sens!$K$5052*(1-Sens!$K$4997)</f>
        <v>9.17200258193867</v>
      </c>
      <c r="L5106" s="38" t="n">
        <f aca="false">Sens!$L$5052*(1-Sens!$L$4997)</f>
        <v>10.6414216154535</v>
      </c>
      <c r="M5106" s="38" t="n">
        <f aca="false">Sens!$M$5052*(1-Sens!$M$4997)</f>
        <v>11.4538831951485</v>
      </c>
      <c r="N5106" s="38" t="n">
        <f aca="false">Sens!$N$5052*(1-Sens!$N$4997)</f>
        <v>0.0912435878202994</v>
      </c>
      <c r="O5106" s="38" t="n">
        <f aca="false">Sens!$O$5052*(1-Sens!$O$4997)</f>
        <v>0.137119578309265</v>
      </c>
    </row>
    <row r="5107" customFormat="false" ht="17.15" hidden="false" customHeight="false" outlineLevel="0" collapsed="false">
      <c r="A5107" s="0" t="s">
        <v>740</v>
      </c>
      <c r="B5107" s="0" t="s">
        <v>52</v>
      </c>
      <c r="C5107" s="28" t="n">
        <f aca="false">(Sens!$C$5108-Sens!$C$5104+Sens!$C$5106)/Sens!$C$5105</f>
        <v>-0.0292364215826579</v>
      </c>
      <c r="D5107" s="28" t="n">
        <f aca="false">(Sens!$D$5108-Sens!$D$5104+Sens!$D$5106)/Sens!$D$5105</f>
        <v>-0.0312406216748665</v>
      </c>
      <c r="E5107" s="28" t="n">
        <f aca="false">(Sens!$E$5108-Sens!$E$5104+Sens!$E$5106)/Sens!$E$5105</f>
        <v>-0.0204459413185552</v>
      </c>
      <c r="F5107" s="28" t="n">
        <f aca="false">Sens!$O$5107+(Sens!$E$5107-Sens!$N$5107)</f>
        <v>-0.0375409290246314</v>
      </c>
      <c r="G5107" s="28" t="n">
        <f aca="false">(Sens!$G$5108-Sens!$G$5104+Sens!$G$5106)/Sens!$G$5105</f>
        <v>-0.0296712560031684</v>
      </c>
      <c r="H5107" s="28" t="n">
        <f aca="false">Sens!$G$5107+step_in</f>
        <v>-0.0296712560031684</v>
      </c>
      <c r="I5107" s="28" t="n">
        <f aca="false">Sens!$H$5107+step_in</f>
        <v>-0.0296712560031684</v>
      </c>
      <c r="J5107" s="28" t="n">
        <f aca="false">Sens!$I$5107+step_in</f>
        <v>-0.0296712560031684</v>
      </c>
      <c r="K5107" s="28" t="n">
        <f aca="false">Sens!$J$5107+step_in</f>
        <v>-0.0296712560031684</v>
      </c>
      <c r="L5107" s="28" t="n">
        <f aca="false">Sens!$K$5107</f>
        <v>-0.0296712560031684</v>
      </c>
      <c r="M5107" s="28" t="n">
        <f aca="false">Sens!$L$5107</f>
        <v>-0.0296712560031684</v>
      </c>
      <c r="N5107" s="28" t="n">
        <f aca="false">(Sens!$N$5108-Sens!$N$5104+Sens!$N$5106)/Sens!$N$5105</f>
        <v>-0.0216602600421776</v>
      </c>
      <c r="O5107" s="28" t="n">
        <f aca="false">(Sens!$O$5108-Sens!$O$5104+Sens!$O$5106)/Sens!$O$5105</f>
        <v>-0.0387552477482538</v>
      </c>
      <c r="P5107" s="8" t="s">
        <v>735</v>
      </c>
    </row>
    <row r="5108" customFormat="false" ht="17.15" hidden="false" customHeight="false" outlineLevel="0" collapsed="false">
      <c r="A5108" s="1" t="s">
        <v>741</v>
      </c>
      <c r="B5108" s="8" t="s">
        <v>86</v>
      </c>
      <c r="C5108" s="38" t="n">
        <f aca="false">Q!$D$23</f>
        <v>3.792</v>
      </c>
      <c r="D5108" s="38" t="n">
        <f aca="false">Q!$E$23</f>
        <v>4.75</v>
      </c>
      <c r="E5108" s="38" t="n">
        <f aca="false">Q!$P$23</f>
        <v>3.141</v>
      </c>
      <c r="F5108" s="38" t="n">
        <f aca="false">Sens!$F$5104+Sens!$F$5105*Sens!$F$5107-Sens!$F$5106</f>
        <v>2.77628975993721</v>
      </c>
      <c r="G5108" s="38" t="n">
        <f aca="false">Sens!$E$5108+Sens!$F$5108</f>
        <v>5.91728975993721</v>
      </c>
      <c r="H5108" s="38" t="n">
        <f aca="false">Sens!$H$5104+Sens!$H$5105*Sens!$H$5107-Sens!$H$5106</f>
        <v>6.18860052573681</v>
      </c>
      <c r="I5108" s="38" t="n">
        <f aca="false">Sens!$I$5104+Sens!$I$5105*Sens!$I$5107-Sens!$I$5106</f>
        <v>5.73906974139474</v>
      </c>
      <c r="J5108" s="38" t="n">
        <f aca="false">Sens!$J$5104+Sens!$J$5105*Sens!$J$5107-Sens!$J$5106</f>
        <v>5.34074393695119</v>
      </c>
      <c r="K5108" s="38" t="n">
        <f aca="false">Sens!$K$5104+Sens!$K$5105*Sens!$K$5107-Sens!$K$5106</f>
        <v>4.7054586646822</v>
      </c>
      <c r="L5108" s="38" t="n">
        <f aca="false">Sens!$L$5104+Sens!$L$5105*Sens!$L$5107-Sens!$L$5106</f>
        <v>4.88428999052786</v>
      </c>
      <c r="M5108" s="38" t="n">
        <f aca="false">Sens!$M$5104+Sens!$M$5105*Sens!$M$5107-Sens!$M$5106</f>
        <v>5.89931338558769</v>
      </c>
      <c r="N5108" s="38" t="n">
        <f aca="false">Q!$N$23</f>
        <v>2.511</v>
      </c>
      <c r="O5108" s="38" t="n">
        <f aca="false">Q!$O$23</f>
        <v>2.239</v>
      </c>
    </row>
    <row r="5109" customFormat="false" ht="17.15" hidden="false" customHeight="false" outlineLevel="0" collapsed="false">
      <c r="A5109" s="0" t="s">
        <v>742</v>
      </c>
      <c r="B5109" s="0" t="s">
        <v>86</v>
      </c>
      <c r="C5109" s="38" t="n">
        <f aca="false">Sens!$C$5049</f>
        <v>1.64417882953695</v>
      </c>
      <c r="D5109" s="38" t="n">
        <f aca="false">Sens!$D$5049</f>
        <v>5.39125073772939</v>
      </c>
      <c r="E5109" s="38" t="n">
        <f aca="false">Sens!$E$5049</f>
        <v>2.42691120599613</v>
      </c>
      <c r="F5109" s="38" t="n">
        <f aca="false">Sens!$F$5049</f>
        <v>7.52148563094346</v>
      </c>
      <c r="G5109" s="38" t="n">
        <f aca="false">Sens!$G$5049</f>
        <v>9.94839683693959</v>
      </c>
      <c r="H5109" s="38" t="n">
        <f aca="false">Sens!$H$5049</f>
        <v>23.4804386990861</v>
      </c>
      <c r="I5109" s="38" t="n">
        <f aca="false">Sens!$I$5049</f>
        <v>30.9761745989143</v>
      </c>
      <c r="J5109" s="38" t="n">
        <f aca="false">Sens!$J$5049</f>
        <v>41.1930070746977</v>
      </c>
      <c r="K5109" s="38" t="n">
        <f aca="false">Sens!$K$5049</f>
        <v>45.9779211159428</v>
      </c>
      <c r="L5109" s="38" t="n">
        <f aca="false">Sens!$L$5049</f>
        <v>48.0352490919424</v>
      </c>
      <c r="M5109" s="38" t="n">
        <f aca="false">Sens!$M$5049</f>
        <v>47.4082976573265</v>
      </c>
      <c r="N5109" s="38" t="n">
        <f aca="false">Sens!$N$5049</f>
        <v>1.67921600037079</v>
      </c>
      <c r="O5109" s="38" t="n">
        <f aca="false">Sens!$O$5049</f>
        <v>3.71203473735861</v>
      </c>
    </row>
    <row r="5110" customFormat="false" ht="17.15" hidden="false" customHeight="false" outlineLevel="0" collapsed="false">
      <c r="A5110" s="0" t="s">
        <v>660</v>
      </c>
      <c r="B5110" s="0" t="s">
        <v>86</v>
      </c>
      <c r="C5110" s="38" t="n">
        <f aca="false">Sens!$C$5054</f>
        <v>38.1898211704631</v>
      </c>
      <c r="D5110" s="38" t="n">
        <f aca="false">Sens!$D$5054</f>
        <v>40.2147492622706</v>
      </c>
      <c r="E5110" s="38" t="n">
        <f aca="false">Sens!$E$5054</f>
        <v>28.3550887940039</v>
      </c>
      <c r="F5110" s="38" t="n">
        <f aca="false">Sens!$F$5054</f>
        <v>25.9529793149447</v>
      </c>
      <c r="G5110" s="38" t="n">
        <f aca="false">Sens!$G$5054</f>
        <v>54.3080681089486</v>
      </c>
      <c r="H5110" s="38" t="n">
        <f aca="false">Sens!$H$5054</f>
        <v>58.2264684589333</v>
      </c>
      <c r="I5110" s="38" t="n">
        <f aca="false">Sens!$I$5054</f>
        <v>64.6461353851744</v>
      </c>
      <c r="J5110" s="38" t="n">
        <f aca="false">Sens!$J$5054</f>
        <v>70.7957093610231</v>
      </c>
      <c r="K5110" s="38" t="n">
        <f aca="false">Sens!$K$5054</f>
        <v>76.4593661099049</v>
      </c>
      <c r="L5110" s="38" t="n">
        <f aca="false">Sens!$L$5054</f>
        <v>82.5761153986973</v>
      </c>
      <c r="M5110" s="38" t="n">
        <f aca="false">Sens!$M$5054</f>
        <v>89.1822046305931</v>
      </c>
      <c r="N5110" s="38" t="n">
        <f aca="false">Sens!$N$5054</f>
        <v>20.0277839996292</v>
      </c>
      <c r="O5110" s="38" t="n">
        <f aca="false">Sens!$O$5054</f>
        <v>20.1869652626414</v>
      </c>
    </row>
    <row r="5111" customFormat="false" ht="17.15" hidden="false" customHeight="false" outlineLevel="0" collapsed="false">
      <c r="A5111" s="1" t="s">
        <v>743</v>
      </c>
      <c r="B5111" s="8" t="s">
        <v>86</v>
      </c>
      <c r="C5111" s="38" t="n">
        <f aca="false">Q!$D$24</f>
        <v>39.834</v>
      </c>
      <c r="D5111" s="38" t="n">
        <f aca="false">Q!$E$24</f>
        <v>45.606</v>
      </c>
      <c r="E5111" s="38" t="n">
        <f aca="false">Q!$P$24</f>
        <v>30.782</v>
      </c>
      <c r="F5111" s="38" t="n">
        <f aca="false">Sens!$F$5109+Sens!$F$5110</f>
        <v>33.4744649458882</v>
      </c>
      <c r="G5111" s="38" t="n">
        <f aca="false">Sens!$G$5109+Sens!$G$5110</f>
        <v>64.2564649458882</v>
      </c>
      <c r="H5111" s="38" t="n">
        <f aca="false">Sens!$H$5109+Sens!$H$5110</f>
        <v>81.7069071580194</v>
      </c>
      <c r="I5111" s="38" t="n">
        <f aca="false">Sens!$I$5109+Sens!$I$5110</f>
        <v>95.6223099840887</v>
      </c>
      <c r="J5111" s="38" t="n">
        <f aca="false">Sens!$J$5109+Sens!$J$5110</f>
        <v>111.988716435721</v>
      </c>
      <c r="K5111" s="38" t="n">
        <f aca="false">Sens!$K$5109+Sens!$K$5110</f>
        <v>122.437287225848</v>
      </c>
      <c r="L5111" s="38" t="n">
        <f aca="false">Sens!$L$5109+Sens!$L$5110</f>
        <v>130.61136449064</v>
      </c>
      <c r="M5111" s="38" t="n">
        <f aca="false">Sens!$M$5109+Sens!$M$5110</f>
        <v>136.59050228792</v>
      </c>
      <c r="N5111" s="38" t="n">
        <f aca="false">Q!$N$24</f>
        <v>21.707</v>
      </c>
      <c r="O5111" s="38" t="n">
        <f aca="false">Q!$O$24</f>
        <v>23.899</v>
      </c>
    </row>
    <row r="5112" customFormat="false" ht="17.15" hidden="false" customHeight="false" outlineLevel="0" collapsed="false">
      <c r="A5112" s="5" t="s">
        <v>744</v>
      </c>
      <c r="B5112" s="0" t="s">
        <v>86</v>
      </c>
      <c r="C5112" s="38" t="n">
        <f aca="false">Q!$D$26</f>
        <v>0</v>
      </c>
      <c r="D5112" s="38" t="n">
        <f aca="false">Q!$E$26</f>
        <v>0</v>
      </c>
      <c r="E5112" s="38" t="n">
        <f aca="false">Q!$P$26</f>
        <v>0</v>
      </c>
      <c r="F5112" s="39" t="n">
        <v>0</v>
      </c>
      <c r="G5112" s="38" t="n">
        <f aca="false">Sens!$E$5112+Sens!$F$5112</f>
        <v>0</v>
      </c>
      <c r="H5112" s="39" t="n">
        <v>0</v>
      </c>
      <c r="I5112" s="39" t="n">
        <v>0</v>
      </c>
      <c r="J5112" s="39" t="n">
        <v>0</v>
      </c>
      <c r="K5112" s="39" t="n">
        <v>0</v>
      </c>
      <c r="L5112" s="39" t="n">
        <v>0</v>
      </c>
      <c r="M5112" s="39" t="n">
        <v>0</v>
      </c>
      <c r="N5112" s="38" t="n">
        <f aca="false">Q!$N$26</f>
        <v>0</v>
      </c>
      <c r="O5112" s="38" t="n">
        <f aca="false">Q!$O$26</f>
        <v>0</v>
      </c>
    </row>
    <row r="5113" customFormat="false" ht="15" hidden="false" customHeight="false" outlineLevel="0" collapsed="false">
      <c r="A5113" s="3" t="s">
        <v>541</v>
      </c>
      <c r="B5113" s="8" t="s">
        <v>86</v>
      </c>
      <c r="C5113" s="38" t="n">
        <f aca="false">Q!$D$25</f>
        <v>68.593</v>
      </c>
      <c r="D5113" s="38" t="n">
        <f aca="false">Q!$E$25</f>
        <v>79.975</v>
      </c>
      <c r="E5113" s="38" t="n">
        <f aca="false">Q!$P$25</f>
        <v>51.313</v>
      </c>
      <c r="F5113" s="38" t="n">
        <f aca="false">Sens!$F$5103+Sens!$F$5108+Sens!$F$5111+Sens!$F$5112</f>
        <v>56.3652566987294</v>
      </c>
      <c r="G5113" s="38" t="n">
        <f aca="false">Sens!$G$5103+Sens!$G$5108+Sens!$G$5111+Sens!$G$5112</f>
        <v>107.678256698729</v>
      </c>
      <c r="H5113" s="38" t="n">
        <f aca="false">Sens!$H$5103+Sens!$H$5108+Sens!$H$5111+Sens!$H$5112</f>
        <v>130.86292731155</v>
      </c>
      <c r="I5113" s="38" t="n">
        <f aca="false">Sens!$I$5103+Sens!$I$5108+Sens!$I$5111+Sens!$I$5112</f>
        <v>148.260479801273</v>
      </c>
      <c r="J5113" s="38" t="n">
        <f aca="false">Sens!$J$5103+Sens!$J$5108+Sens!$J$5111+Sens!$J$5112</f>
        <v>168.540715648886</v>
      </c>
      <c r="K5113" s="38" t="n">
        <f aca="false">Sens!$K$5103+Sens!$K$5108+Sens!$K$5111+Sens!$K$5112</f>
        <v>182.165572622039</v>
      </c>
      <c r="L5113" s="38" t="n">
        <f aca="false">Sens!$L$5103+Sens!$L$5108+Sens!$L$5111+Sens!$L$5112</f>
        <v>193.478394411078</v>
      </c>
      <c r="M5113" s="38" t="n">
        <f aca="false">Sens!$M$5103+Sens!$M$5108+Sens!$M$5111+Sens!$M$5112</f>
        <v>205.766334500982</v>
      </c>
      <c r="N5113" s="38" t="n">
        <f aca="false">Q!$N$25</f>
        <v>37.576</v>
      </c>
      <c r="O5113" s="38" t="n">
        <f aca="false">Q!$O$25</f>
        <v>42.399</v>
      </c>
    </row>
    <row r="5114" customFormat="false" ht="17.15" hidden="false" customHeight="false" outlineLevel="0" collapsed="false">
      <c r="A5114" s="24" t="s">
        <v>775</v>
      </c>
      <c r="B5114" s="25" t="s">
        <v>86</v>
      </c>
      <c r="C5114" s="41" t="n">
        <f aca="false">Sens!$C$5103+Sens!$C$5108+Sens!$C$5111+Sens!$C$5112-Sens!$C$5113</f>
        <v>0</v>
      </c>
      <c r="D5114" s="41" t="n">
        <f aca="false">Sens!$D$5103+Sens!$D$5108+Sens!$D$5111+Sens!$D$5112-Sens!$D$5113</f>
        <v>0</v>
      </c>
      <c r="E5114" s="41" t="n">
        <f aca="false">Sens!$E$5103+Sens!$E$5108+Sens!$E$5111+Sens!$E$5112-Sens!$E$5113</f>
        <v>0</v>
      </c>
      <c r="F5114" s="41" t="n">
        <f aca="false">Sens!$F$5103+Sens!$F$5108+Sens!$F$5111+Sens!$F$5112-Sens!$F$5113</f>
        <v>0</v>
      </c>
      <c r="G5114" s="41" t="n">
        <f aca="false">Sens!$G$5103+Sens!$G$5108+Sens!$G$5111+Sens!$G$5112-Sens!$G$5113</f>
        <v>0</v>
      </c>
      <c r="H5114" s="41" t="n">
        <f aca="false">Sens!$H$5103+Sens!$H$5108+Sens!$H$5111+Sens!$H$5112-Sens!$H$5113</f>
        <v>0</v>
      </c>
      <c r="I5114" s="41" t="n">
        <f aca="false">Sens!$I$5103+Sens!$I$5108+Sens!$I$5111+Sens!$I$5112-Sens!$I$5113</f>
        <v>0</v>
      </c>
      <c r="J5114" s="41" t="n">
        <f aca="false">Sens!$J$5103+Sens!$J$5108+Sens!$J$5111+Sens!$J$5112-Sens!$J$5113</f>
        <v>0</v>
      </c>
      <c r="K5114" s="41" t="n">
        <f aca="false">Sens!$K$5103+Sens!$K$5108+Sens!$K$5111+Sens!$K$5112-Sens!$K$5113</f>
        <v>0</v>
      </c>
      <c r="L5114" s="41" t="n">
        <f aca="false">Sens!$L$5103+Sens!$L$5108+Sens!$L$5111+Sens!$L$5112-Sens!$L$5113</f>
        <v>0</v>
      </c>
      <c r="M5114" s="41" t="n">
        <f aca="false">Sens!$M$5103+Sens!$M$5108+Sens!$M$5111+Sens!$M$5112-Sens!$M$5113</f>
        <v>0</v>
      </c>
      <c r="N5114" s="41" t="n">
        <f aca="false">Sens!$N$5103+Sens!$N$5108+Sens!$N$5111+Sens!$N$5112-Sens!$N$5113</f>
        <v>0</v>
      </c>
      <c r="O5114" s="41" t="n">
        <f aca="false">Sens!$O$5103+Sens!$O$5108+Sens!$O$5111+Sens!$O$5112-Sens!$O$5113</f>
        <v>0</v>
      </c>
    </row>
    <row r="5115" customFormat="false" ht="17.15" hidden="false" customHeight="false" outlineLevel="0" collapsed="false">
      <c r="A5115" s="5" t="s">
        <v>746</v>
      </c>
      <c r="B5115" s="0" t="s">
        <v>86</v>
      </c>
      <c r="C5115" s="38" t="n">
        <f aca="false">Sens!$C$5051</f>
        <v>0</v>
      </c>
      <c r="D5115" s="38" t="n">
        <f aca="false">Sens!$D$5051</f>
        <v>0</v>
      </c>
      <c r="E5115" s="38" t="n">
        <f aca="false">Sens!$E$5051</f>
        <v>0</v>
      </c>
      <c r="F5115" s="38" t="n">
        <f aca="false">Sens!$F$5051</f>
        <v>3.77122048175818</v>
      </c>
      <c r="G5115" s="38" t="n">
        <f aca="false">Sens!$G$5051</f>
        <v>3.77122048175818</v>
      </c>
      <c r="H5115" s="38" t="n">
        <f aca="false">Sens!$H$5051</f>
        <v>15.1635543609893</v>
      </c>
      <c r="I5115" s="38" t="n">
        <f aca="false">Sens!$I$5051</f>
        <v>25.5818843619889</v>
      </c>
      <c r="J5115" s="38" t="n">
        <f aca="false">Sens!$J$5051</f>
        <v>36.0465624179122</v>
      </c>
      <c r="K5115" s="38" t="n">
        <f aca="false">Sens!$K$5051</f>
        <v>44.9741164026038</v>
      </c>
      <c r="L5115" s="38" t="n">
        <f aca="false">Sens!$L$5051</f>
        <v>50.8413488057813</v>
      </c>
      <c r="M5115" s="38" t="n">
        <f aca="false">Sens!$M$5051</f>
        <v>53.6407214274315</v>
      </c>
      <c r="N5115" s="38" t="n">
        <f aca="false">Sens!$N$5051</f>
        <v>0</v>
      </c>
      <c r="O5115" s="38" t="n">
        <f aca="false">Sens!$O$5051</f>
        <v>0</v>
      </c>
      <c r="P5115" s="5" t="s">
        <v>747</v>
      </c>
    </row>
    <row r="5116" customFormat="false" ht="17.15" hidden="false" customHeight="false" outlineLevel="0" collapsed="false">
      <c r="A5116" s="5" t="s">
        <v>748</v>
      </c>
      <c r="B5116" s="0" t="s">
        <v>86</v>
      </c>
      <c r="C5116" s="38" t="n">
        <f aca="false">Sens!$C$5113+Sens!$C$5115</f>
        <v>68.593</v>
      </c>
      <c r="D5116" s="38" t="n">
        <f aca="false">Sens!$D$5113+Sens!$D$5115</f>
        <v>79.975</v>
      </c>
      <c r="E5116" s="38" t="n">
        <f aca="false">Sens!$E$5113+Sens!$E$5115</f>
        <v>51.313</v>
      </c>
      <c r="F5116" s="38" t="n">
        <f aca="false">Sens!$F$5113+Sens!$F$5115</f>
        <v>60.1364771804876</v>
      </c>
      <c r="G5116" s="38" t="n">
        <f aca="false">Sens!$G$5113+Sens!$G$5115</f>
        <v>111.449477180488</v>
      </c>
      <c r="H5116" s="38" t="n">
        <f aca="false">Sens!$H$5113+Sens!$H$5115</f>
        <v>146.026481672539</v>
      </c>
      <c r="I5116" s="38" t="n">
        <f aca="false">Sens!$I$5113+Sens!$I$5115</f>
        <v>173.842364163261</v>
      </c>
      <c r="J5116" s="38" t="n">
        <f aca="false">Sens!$J$5113+Sens!$J$5115</f>
        <v>204.587278066799</v>
      </c>
      <c r="K5116" s="38" t="n">
        <f aca="false">Sens!$K$5113+Sens!$K$5115</f>
        <v>227.139689024643</v>
      </c>
      <c r="L5116" s="38" t="n">
        <f aca="false">Sens!$L$5113+Sens!$L$5115</f>
        <v>244.31974321686</v>
      </c>
      <c r="M5116" s="38" t="n">
        <f aca="false">Sens!$M$5113+Sens!$M$5115</f>
        <v>259.407055928413</v>
      </c>
      <c r="N5116" s="38" t="n">
        <f aca="false">Sens!$N$5113+Sens!$N$5115</f>
        <v>37.576</v>
      </c>
      <c r="O5116" s="38" t="n">
        <f aca="false">Sens!$O$5113+Sens!$O$5115</f>
        <v>42.399</v>
      </c>
    </row>
    <row r="5117" customFormat="false" ht="17.15" hidden="false" customHeight="false" outlineLevel="0" collapsed="false">
      <c r="A5117" s="0" t="s">
        <v>749</v>
      </c>
      <c r="B5117" s="0" t="s">
        <v>52</v>
      </c>
      <c r="C5117" s="13" t="n">
        <f aca="false">Sens!$C$5103/Sens!$C$5088</f>
        <v>0.0644314665661928</v>
      </c>
      <c r="D5117" s="13" t="n">
        <f aca="false">Sens!$D$5103/Sens!$D$5088</f>
        <v>0.0694784250712518</v>
      </c>
      <c r="E5117" s="13" t="n">
        <f aca="false">Sens!$E$5103/Sens!$E$5088</f>
        <v>0.0789306463326071</v>
      </c>
      <c r="F5117" s="13" t="n">
        <f aca="false">Sens!$F$5103/Sens!$F$5088</f>
        <v>0.0802526339438384</v>
      </c>
      <c r="G5117" s="13" t="n">
        <f aca="false">Sens!$G$5103/Sens!$G$5088</f>
        <v>0.0796341940538369</v>
      </c>
      <c r="H5117" s="13" t="n">
        <f aca="false">Sens!$H$5103/Sens!$H$5088</f>
        <v>0.0824098422430432</v>
      </c>
      <c r="I5117" s="13" t="n">
        <f aca="false">Sens!$I$5103/Sens!$I$5088</f>
        <v>0.0822583616672879</v>
      </c>
      <c r="J5117" s="13" t="n">
        <f aca="false">Sens!$J$5103/Sens!$J$5088</f>
        <v>0.0832173675122925</v>
      </c>
      <c r="K5117" s="13" t="n">
        <f aca="false">Sens!$K$5103/Sens!$K$5088</f>
        <v>0.0839776187431049</v>
      </c>
      <c r="L5117" s="13" t="n">
        <f aca="false">Sens!$L$5103/Sens!$L$5088</f>
        <v>0.0830927154695213</v>
      </c>
      <c r="M5117" s="13" t="n">
        <f aca="false">Sens!$M$5103/Sens!$M$5088</f>
        <v>0.0851178046639482</v>
      </c>
      <c r="N5117" s="13" t="n">
        <f aca="false">Sens!$N$5103/Sens!$N$5088</f>
        <v>0.069228576611127</v>
      </c>
      <c r="O5117" s="13" t="n">
        <f aca="false">Sens!$O$5103/Sens!$O$5088</f>
        <v>0.069685022498393</v>
      </c>
    </row>
    <row r="5118" customFormat="false" ht="17.15" hidden="false" customHeight="false" outlineLevel="0" collapsed="false">
      <c r="A5118" s="0" t="s">
        <v>750</v>
      </c>
      <c r="B5118" s="0" t="s">
        <v>52</v>
      </c>
      <c r="C5118" s="13" t="n">
        <f aca="false">Sens!$C$5108/Sens!$C$5089</f>
        <v>0.026534925055631</v>
      </c>
      <c r="D5118" s="13" t="n">
        <f aca="false">Sens!$D$5108/Sens!$D$5089</f>
        <v>0.0293401855535103</v>
      </c>
      <c r="E5118" s="13" t="n">
        <f aca="false">Sens!$E$5108/Sens!$E$5089</f>
        <v>0.03831141902276</v>
      </c>
      <c r="F5118" s="13" t="n">
        <f aca="false">Sens!$F$5108/Sens!$F$5089</f>
        <v>0.0282118989524726</v>
      </c>
      <c r="G5118" s="13" t="n">
        <f aca="false">Sens!$G$5108/Sens!$G$5089</f>
        <v>0.0328019468674976</v>
      </c>
      <c r="H5118" s="13" t="n">
        <f aca="false">Sens!$H$5108/Sens!$H$5089</f>
        <v>0.0309879507899839</v>
      </c>
      <c r="I5118" s="13" t="n">
        <f aca="false">Sens!$I$5108/Sens!$I$5089</f>
        <v>0.0262795332043765</v>
      </c>
      <c r="J5118" s="13" t="n">
        <f aca="false">Sens!$J$5108/Sens!$J$5089</f>
        <v>0.0226574435353346</v>
      </c>
      <c r="K5118" s="13" t="n">
        <f aca="false">Sens!$K$5108/Sens!$K$5089</f>
        <v>0.0187492205871101</v>
      </c>
      <c r="L5118" s="13" t="n">
        <f aca="false">Sens!$L$5108/Sens!$L$5089</f>
        <v>0.018273690180732</v>
      </c>
      <c r="M5118" s="13" t="n">
        <f aca="false">Sens!$M$5108/Sens!$M$5089</f>
        <v>0.0207176218272716</v>
      </c>
      <c r="N5118" s="13" t="n">
        <f aca="false">Sens!$N$5108/Sens!$N$5089</f>
        <v>0.0357315650169337</v>
      </c>
      <c r="O5118" s="13" t="n">
        <f aca="false">Sens!$O$5108/Sens!$O$5089</f>
        <v>0.0244378956559703</v>
      </c>
    </row>
    <row r="5119" customFormat="false" ht="17.15" hidden="false" customHeight="false" outlineLevel="0" collapsed="false">
      <c r="A5119" s="14" t="s">
        <v>751</v>
      </c>
      <c r="B5119" s="14" t="s">
        <v>52</v>
      </c>
      <c r="C5119" s="17" t="n">
        <f aca="false">Sens!$C$5111/Sens!$C$5090</f>
        <v>0.370355907620217</v>
      </c>
      <c r="D5119" s="17" t="n">
        <f aca="false">Sens!$D$5111/Sens!$D$5090</f>
        <v>0.35429015342785</v>
      </c>
      <c r="E5119" s="17" t="n">
        <f aca="false">Sens!$E$5111/Sens!$E$5090</f>
        <v>0.385647527531039</v>
      </c>
      <c r="F5119" s="17" t="n">
        <f aca="false">Sens!$F$5111/Sens!$F$5090</f>
        <v>0.385949613469105</v>
      </c>
      <c r="G5119" s="17" t="n">
        <f aca="false">Sens!$G$5111/Sens!$G$5090</f>
        <v>0.385804840448779</v>
      </c>
      <c r="H5119" s="17" t="n">
        <f aca="false">Sens!$H$5111/Sens!$H$5090</f>
        <v>0.369408675360557</v>
      </c>
      <c r="I5119" s="17" t="n">
        <f aca="false">Sens!$I$5111/Sens!$I$5090</f>
        <v>0.34117504540738</v>
      </c>
      <c r="J5119" s="17" t="n">
        <f aca="false">Sens!$J$5111/Sens!$J$5090</f>
        <v>0.330544285732563</v>
      </c>
      <c r="K5119" s="17" t="n">
        <f aca="false">Sens!$K$5111/Sens!$K$5090</f>
        <v>0.314033796990635</v>
      </c>
      <c r="L5119" s="17" t="n">
        <f aca="false">Sens!$L$5111/Sens!$L$5090</f>
        <v>0.303690371867633</v>
      </c>
      <c r="M5119" s="17" t="n">
        <f aca="false">Sens!$M$5111/Sens!$M$5090</f>
        <v>0.297287296590884</v>
      </c>
      <c r="N5119" s="17" t="n">
        <f aca="false">Sens!$N$5111/Sens!$N$5090</f>
        <v>0.360941137346192</v>
      </c>
      <c r="O5119" s="17" t="n">
        <f aca="false">Sens!$O$5111/Sens!$O$5090</f>
        <v>0.348458117664212</v>
      </c>
    </row>
    <row r="5120" customFormat="false" ht="17.15" hidden="false" customHeight="false" outlineLevel="0" collapsed="false">
      <c r="A5120" s="0" t="s">
        <v>752</v>
      </c>
      <c r="B5120" s="0" t="s">
        <v>52</v>
      </c>
      <c r="C5120" s="13" t="n">
        <f aca="false">Sens!$C$5109/Sens!$C$5091</f>
        <v>0.708390794789371</v>
      </c>
      <c r="D5120" s="13" t="n">
        <f aca="false">Sens!$D$5109/Sens!$D$5091</f>
        <v>0.619415573115729</v>
      </c>
      <c r="E5120" s="13" t="n">
        <f aca="false">Sens!$E$5109/Sens!$E$5091</f>
        <v>0.285171627189009</v>
      </c>
      <c r="F5120" s="13" t="n">
        <f aca="false">Sens!$F$5109/Sens!$F$5091</f>
        <v>0.502657732812366</v>
      </c>
      <c r="G5120" s="13" t="n">
        <f aca="false">Sens!$G$5109/Sens!$G$5091</f>
        <v>0.423808778611812</v>
      </c>
      <c r="H5120" s="13" t="n">
        <f aca="false">Sens!$H$5109/Sens!$H$5091</f>
        <v>0.390261631739809</v>
      </c>
      <c r="I5120" s="13" t="n">
        <f aca="false">Sens!$I$5109/Sens!$I$5091</f>
        <v>0.305172864264572</v>
      </c>
      <c r="J5120" s="13" t="n">
        <f aca="false">Sens!$J$5109/Sens!$J$5091</f>
        <v>0.288011814789856</v>
      </c>
      <c r="K5120" s="13" t="n">
        <f aca="false">Sens!$K$5109/Sens!$K$5091</f>
        <v>0.25765427518774</v>
      </c>
      <c r="L5120" s="13" t="n">
        <f aca="false">Sens!$L$5109/Sens!$L$5091</f>
        <v>0.238118778012374</v>
      </c>
      <c r="M5120" s="13" t="n">
        <f aca="false">Sens!$M$5109/Sens!$M$5091</f>
        <v>0.222746255757109</v>
      </c>
      <c r="N5120" s="13" t="n">
        <f aca="false">Sens!$N$5109/Sens!$N$5091</f>
        <v>0.551227795793364</v>
      </c>
      <c r="O5120" s="13" t="n">
        <f aca="false">Sens!$O$5109/Sens!$O$5091</f>
        <v>0.656132068597002</v>
      </c>
    </row>
    <row r="5121" customFormat="false" ht="15" hidden="false" customHeight="false" outlineLevel="0" collapsed="false">
      <c r="A5121" s="5" t="s">
        <v>753</v>
      </c>
      <c r="B5121" s="0" t="s">
        <v>52</v>
      </c>
      <c r="C5121" s="13" t="n">
        <f aca="false">Sens!$C$5113/Sens!$C$5093</f>
        <v>0.107519448742004</v>
      </c>
      <c r="D5121" s="13" t="n">
        <f aca="false">Sens!$D$5113/Sens!$D$5093</f>
        <v>0.111552967957552</v>
      </c>
      <c r="E5121" s="13" t="n">
        <f aca="false">Sens!$E$5113/Sens!$E$5093</f>
        <v>0.13428328426562</v>
      </c>
      <c r="F5121" s="13" t="n">
        <f aca="false">Sens!$F$5113/Sens!$F$5093</f>
        <v>0.129343087287827</v>
      </c>
      <c r="G5121" s="13" t="n">
        <f aca="false">Sens!$G$5113/Sens!$G$5093</f>
        <v>0.131651143259596</v>
      </c>
      <c r="H5121" s="13" t="n">
        <f aca="false">Sens!$H$5113/Sens!$H$5093</f>
        <v>0.138879045636748</v>
      </c>
      <c r="I5121" s="13" t="n">
        <f aca="false">Sens!$I$5113/Sens!$I$5093</f>
        <v>0.13871639641265</v>
      </c>
      <c r="J5121" s="13" t="n">
        <f aca="false">Sens!$J$5113/Sens!$J$5093</f>
        <v>0.1416416431352</v>
      </c>
      <c r="K5121" s="13" t="n">
        <f aca="false">Sens!$K$5113/Sens!$K$5093</f>
        <v>0.140553114410201</v>
      </c>
      <c r="L5121" s="13" t="n">
        <f aca="false">Sens!$L$5113/Sens!$L$5093</f>
        <v>0.138676912500745</v>
      </c>
      <c r="M5121" s="13" t="n">
        <f aca="false">Sens!$M$5113/Sens!$M$5093</f>
        <v>0.138320624707134</v>
      </c>
      <c r="N5121" s="13" t="n">
        <f aca="false">Sens!$N$5113/Sens!$N$5093</f>
        <v>0.116201614873411</v>
      </c>
      <c r="O5121" s="13" t="n">
        <f aca="false">Sens!$O$5113/Sens!$O$5093</f>
        <v>0.107733353660861</v>
      </c>
    </row>
    <row r="5122" customFormat="false" ht="17.15" hidden="false" customHeight="false" outlineLevel="0" collapsed="false">
      <c r="A5122" s="1" t="s">
        <v>754</v>
      </c>
    </row>
    <row r="5123" customFormat="false" ht="17.15" hidden="false" customHeight="false" outlineLevel="0" collapsed="false">
      <c r="A5123" s="5" t="s">
        <v>755</v>
      </c>
      <c r="B5123" s="0" t="s">
        <v>52</v>
      </c>
      <c r="D5123" s="28" t="n">
        <f aca="false">(Q!$E$29+Q!$E$30-(1-ext_sh)*Sens!$D$5045)/Sens!$D$4996</f>
        <v>0.0341105596409988</v>
      </c>
    </row>
    <row r="5124" customFormat="false" ht="17.15" hidden="false" customHeight="false" outlineLevel="0" collapsed="false">
      <c r="A5124" s="0" t="s">
        <v>545</v>
      </c>
      <c r="B5124" s="0" t="s">
        <v>86</v>
      </c>
      <c r="C5124" s="38" t="n">
        <f aca="false">Q!$D$29</f>
        <v>14.285</v>
      </c>
      <c r="D5124" s="38" t="n">
        <f aca="false">Q!$E$29</f>
        <v>15.503</v>
      </c>
      <c r="E5124" s="38" t="n">
        <f aca="false">Q!$P$29</f>
        <v>8.78</v>
      </c>
      <c r="F5124" s="38" t="n">
        <f aca="false">(Sens!$D$5123*Sens!$F$4996+(1-ext_sh)*Sens!$F$5045)*Sens!$F$4997</f>
        <v>9.30317620449232</v>
      </c>
      <c r="G5124" s="38" t="n">
        <f aca="false">Sens!$E$5124+Sens!$F$5124</f>
        <v>18.0831762044923</v>
      </c>
      <c r="H5124" s="38" t="n">
        <f aca="false">(Sens!$D$5123*Sens!$H$4996+(1-ext_sh)*Sens!$H$5045)*Sens!$H$4997</f>
        <v>22.1297245338482</v>
      </c>
      <c r="I5124" s="38" t="n">
        <f aca="false">(Sens!$D$5123*Sens!$I$4996+(1-ext_sh)*Sens!$I$5045)*Sens!$I$4997</f>
        <v>28.409695984391</v>
      </c>
      <c r="J5124" s="38" t="n">
        <f aca="false">(Sens!$D$5123*Sens!$J$4996+(1-ext_sh)*Sens!$J$5045)*Sens!$J$4997</f>
        <v>34.1085606174579</v>
      </c>
      <c r="K5124" s="38" t="n">
        <f aca="false">(Sens!$D$5123*Sens!$K$4996+(1-ext_sh)*Sens!$K$5045)*Sens!$K$4997</f>
        <v>39.7218983009068</v>
      </c>
      <c r="L5124" s="38" t="n">
        <f aca="false">(Sens!$D$5123*Sens!$L$4996+(1-ext_sh)*Sens!$L$5045)*Sens!$L$4997</f>
        <v>44.1680279486684</v>
      </c>
      <c r="M5124" s="38" t="n">
        <f aca="false">(Sens!$D$5123*Sens!$M$4996+(1-ext_sh)*Sens!$M$5045)*Sens!$M$4997</f>
        <v>47.4413073313286</v>
      </c>
      <c r="N5124" s="38" t="n">
        <f aca="false">Q!$N$29</f>
        <v>7.272</v>
      </c>
      <c r="O5124" s="38" t="n">
        <f aca="false">Q!$O$29</f>
        <v>8.231</v>
      </c>
    </row>
    <row r="5125" customFormat="false" ht="17.15" hidden="false" customHeight="false" outlineLevel="0" collapsed="false">
      <c r="A5125" s="0" t="s">
        <v>547</v>
      </c>
      <c r="B5125" s="0" t="s">
        <v>86</v>
      </c>
      <c r="C5125" s="38" t="n">
        <f aca="false">Q!$D$30</f>
        <v>4.462</v>
      </c>
      <c r="D5125" s="38" t="n">
        <f aca="false">Q!$E$30</f>
        <v>4.907</v>
      </c>
      <c r="E5125" s="38" t="n">
        <f aca="false">Q!$P$30</f>
        <v>2.57</v>
      </c>
      <c r="F5125" s="38" t="n">
        <f aca="false">(Sens!$D$5123*Sens!$F$4996+(1-ext_sh)*Sens!$F$5045)*(1-Sens!$F$4997)</f>
        <v>3.6526976809753</v>
      </c>
      <c r="G5125" s="38" t="n">
        <f aca="false">Sens!$E$5125+Sens!$F$5125</f>
        <v>6.2226976809753</v>
      </c>
      <c r="H5125" s="38" t="n">
        <f aca="false">(Sens!$D$5123*Sens!$H$4996+(1-ext_sh)*Sens!$H$5045)*(1-Sens!$H$4997)</f>
        <v>8.4764774248495</v>
      </c>
      <c r="I5125" s="38" t="n">
        <f aca="false">(Sens!$D$5123*Sens!$I$4996+(1-ext_sh)*Sens!$I$5045)*(1-Sens!$I$4997)</f>
        <v>10.881931507561</v>
      </c>
      <c r="J5125" s="38" t="n">
        <f aca="false">(Sens!$D$5123*Sens!$J$4996+(1-ext_sh)*Sens!$J$5045)*(1-Sens!$J$4997)</f>
        <v>13.0648008575874</v>
      </c>
      <c r="K5125" s="38" t="n">
        <f aca="false">(Sens!$D$5123*Sens!$K$4996+(1-ext_sh)*Sens!$K$5045)*(1-Sens!$K$4997)</f>
        <v>15.2149103214008</v>
      </c>
      <c r="L5125" s="38" t="n">
        <f aca="false">(Sens!$D$5123*Sens!$L$4996+(1-ext_sh)*Sens!$L$5045)*(1-Sens!$L$4997)</f>
        <v>16.9179372854085</v>
      </c>
      <c r="M5125" s="38" t="n">
        <f aca="false">(Sens!$D$5123*Sens!$M$4996+(1-ext_sh)*Sens!$M$5045)*(1-Sens!$M$4997)</f>
        <v>18.1717205735785</v>
      </c>
      <c r="N5125" s="38" t="n">
        <f aca="false">Q!$N$30</f>
        <v>2.316</v>
      </c>
      <c r="O5125" s="38" t="n">
        <f aca="false">Q!$O$30</f>
        <v>2.591</v>
      </c>
    </row>
    <row r="5126" customFormat="false" ht="17.15" hidden="false" customHeight="false" outlineLevel="0" collapsed="false">
      <c r="A5126" s="0" t="s">
        <v>548</v>
      </c>
      <c r="B5126" s="0" t="s">
        <v>86</v>
      </c>
      <c r="C5126" s="38" t="n">
        <f aca="false">Sens!$C$5057</f>
        <v>13.32</v>
      </c>
      <c r="D5126" s="38" t="n">
        <f aca="false">Sens!$D$5057</f>
        <v>21.45</v>
      </c>
      <c r="E5126" s="38" t="n">
        <f aca="false">Sens!$E$5057</f>
        <v>15.353</v>
      </c>
      <c r="F5126" s="38" t="n">
        <f aca="false">Sens!$F$5057</f>
        <v>16.1969869840094</v>
      </c>
      <c r="G5126" s="38" t="n">
        <f aca="false">Sens!$G$5057</f>
        <v>31.5499869840094</v>
      </c>
      <c r="H5126" s="38" t="n">
        <f aca="false">Sens!$H$5057</f>
        <v>50.9556213609176</v>
      </c>
      <c r="I5126" s="38" t="n">
        <f aca="false">Sens!$I$5057</f>
        <v>79.464581248252</v>
      </c>
      <c r="J5126" s="38" t="n">
        <f aca="false">Sens!$J$5057</f>
        <v>105.296127931746</v>
      </c>
      <c r="K5126" s="38" t="n">
        <f aca="false">Sens!$K$5057</f>
        <v>131.454694001511</v>
      </c>
      <c r="L5126" s="38" t="n">
        <f aca="false">Sens!$L$5057</f>
        <v>150.840456981405</v>
      </c>
      <c r="M5126" s="38" t="n">
        <f aca="false">Sens!$M$5057</f>
        <v>163.399454192999</v>
      </c>
      <c r="N5126" s="38" t="n">
        <f aca="false">Sens!$N$5057</f>
        <v>9.234</v>
      </c>
      <c r="O5126" s="38" t="n">
        <f aca="false">Sens!$O$5057</f>
        <v>12.216</v>
      </c>
    </row>
    <row r="5127" customFormat="false" ht="17.15" hidden="false" customHeight="false" outlineLevel="0" collapsed="false">
      <c r="A5127" s="5" t="s">
        <v>756</v>
      </c>
      <c r="B5127" s="0" t="s">
        <v>86</v>
      </c>
      <c r="C5127" s="38" t="n">
        <f aca="false">Sens!$C$5124+Sens!$C$5125+Sens!$C$5126</f>
        <v>32.067</v>
      </c>
      <c r="D5127" s="38" t="n">
        <f aca="false">Sens!$D$5124+Sens!$D$5125+Sens!$D$5126</f>
        <v>41.86</v>
      </c>
      <c r="E5127" s="38" t="n">
        <f aca="false">Sens!$E$5124+Sens!$E$5125+Sens!$E$5126</f>
        <v>26.703</v>
      </c>
      <c r="F5127" s="38" t="n">
        <f aca="false">Sens!$F$5124+Sens!$F$5125+Sens!$F$5126</f>
        <v>29.152860869477</v>
      </c>
      <c r="G5127" s="38" t="n">
        <f aca="false">Sens!$G$5124+Sens!$G$5125+Sens!$G$5126</f>
        <v>55.855860869477</v>
      </c>
      <c r="H5127" s="38" t="n">
        <f aca="false">Sens!$H$5124+Sens!$H$5125+Sens!$H$5126</f>
        <v>81.5618233196153</v>
      </c>
      <c r="I5127" s="38" t="n">
        <f aca="false">Sens!$I$5124+Sens!$I$5125+Sens!$I$5126</f>
        <v>118.756208740204</v>
      </c>
      <c r="J5127" s="38" t="n">
        <f aca="false">Sens!$J$5124+Sens!$J$5125+Sens!$J$5126</f>
        <v>152.469489406791</v>
      </c>
      <c r="K5127" s="38" t="n">
        <f aca="false">Sens!$K$5124+Sens!$K$5125+Sens!$K$5126</f>
        <v>186.391502623819</v>
      </c>
      <c r="L5127" s="38" t="n">
        <f aca="false">Sens!$L$5124+Sens!$L$5125+Sens!$L$5126</f>
        <v>211.926422215482</v>
      </c>
      <c r="M5127" s="38" t="n">
        <f aca="false">Sens!$M$5124+Sens!$M$5125+Sens!$M$5126</f>
        <v>229.012482097906</v>
      </c>
      <c r="N5127" s="38" t="n">
        <f aca="false">Sens!$N$5124+Sens!$N$5125+Sens!$N$5126</f>
        <v>18.822</v>
      </c>
      <c r="O5127" s="38" t="n">
        <f aca="false">Sens!$O$5124+Sens!$O$5125+Sens!$O$5126</f>
        <v>23.038</v>
      </c>
    </row>
    <row r="5128" customFormat="false" ht="17.15" hidden="false" customHeight="false" outlineLevel="0" collapsed="false">
      <c r="A5128" s="0" t="s">
        <v>757</v>
      </c>
      <c r="B5128" s="0" t="s">
        <v>86</v>
      </c>
      <c r="C5128" s="38" t="n">
        <f aca="false">Sens!$C$5099+Sens!$C$5104</f>
        <v>28.107</v>
      </c>
      <c r="D5128" s="38" t="n">
        <f aca="false">Sens!$D$5099+Sens!$D$5104</f>
        <v>34.3175</v>
      </c>
      <c r="E5128" s="38" t="n">
        <f aca="false">Sens!$E$5099+Sens!$E$5104</f>
        <v>18.526</v>
      </c>
      <c r="F5128" s="38" t="n">
        <f aca="false">Sens!$F$5099+Sens!$F$5104</f>
        <v>23.0786109972074</v>
      </c>
      <c r="G5128" s="38" t="n">
        <f aca="false">Sens!$G$5099+Sens!$G$5104</f>
        <v>41.6046109972074</v>
      </c>
      <c r="H5128" s="38" t="n">
        <f aca="false">Sens!$H$5099+Sens!$H$5104</f>
        <v>49.9484611939488</v>
      </c>
      <c r="I5128" s="38" t="n">
        <f aca="false">Sens!$I$5099+Sens!$I$5104</f>
        <v>58.2915555477481</v>
      </c>
      <c r="J5128" s="38" t="n">
        <f aca="false">Sens!$J$5099+Sens!$J$5104</f>
        <v>66.0744709709759</v>
      </c>
      <c r="K5128" s="38" t="n">
        <f aca="false">Sens!$K$5099+Sens!$K$5104</f>
        <v>72.6819180680735</v>
      </c>
      <c r="L5128" s="38" t="n">
        <f aca="false">Sens!$L$5099+Sens!$L$5104</f>
        <v>79.9501098748808</v>
      </c>
      <c r="M5128" s="38" t="n">
        <f aca="false">Sens!$M$5099+Sens!$M$5104</f>
        <v>87.9451208623689</v>
      </c>
      <c r="N5128" s="38" t="n">
        <f aca="false">Sens!$N$5099+Sens!$N$5104</f>
        <v>14.8075</v>
      </c>
      <c r="O5128" s="38" t="n">
        <f aca="false">Sens!$O$5099+Sens!$O$5104</f>
        <v>19.51</v>
      </c>
    </row>
    <row r="5129" customFormat="false" ht="17.15" hidden="false" customHeight="false" outlineLevel="0" collapsed="false">
      <c r="A5129" s="0" t="s">
        <v>758</v>
      </c>
      <c r="B5129" s="0" t="s">
        <v>86</v>
      </c>
      <c r="C5129" s="38" t="n">
        <f aca="false">Sens!$C$5103+Sens!$C$5108+Sens!$C$5124+Sens!$C$5125-Sens!$C$5128</f>
        <v>19.399</v>
      </c>
      <c r="D5129" s="38" t="n">
        <f aca="false">Sens!$D$5103+Sens!$D$5108+Sens!$D$5124+Sens!$D$5125-Sens!$D$5128</f>
        <v>20.4615</v>
      </c>
      <c r="E5129" s="38" t="n">
        <f aca="false">Sens!$E$5103+Sens!$E$5108+Sens!$E$5124+Sens!$E$5125-Sens!$E$5128</f>
        <v>13.355</v>
      </c>
      <c r="F5129" s="38" t="n">
        <f aca="false">Sens!$F$5103+Sens!$F$5108+Sens!$F$5124+Sens!$F$5125-Sens!$F$5128</f>
        <v>12.7680546411015</v>
      </c>
      <c r="G5129" s="38" t="n">
        <f aca="false">Sens!$G$5103+Sens!$G$5108+Sens!$G$5124+Sens!$G$5125-Sens!$G$5128</f>
        <v>26.1230546411015</v>
      </c>
      <c r="H5129" s="38" t="n">
        <f aca="false">Sens!$H$5103+Sens!$H$5108+Sens!$H$5124+Sens!$H$5125-Sens!$H$5128</f>
        <v>29.8137609182794</v>
      </c>
      <c r="I5129" s="38" t="n">
        <f aca="false">Sens!$I$5103+Sens!$I$5108+Sens!$I$5124+Sens!$I$5125-Sens!$I$5128</f>
        <v>33.6382417613877</v>
      </c>
      <c r="J5129" s="38" t="n">
        <f aca="false">Sens!$J$5103+Sens!$J$5108+Sens!$J$5124+Sens!$J$5125-Sens!$J$5128</f>
        <v>37.6508897172351</v>
      </c>
      <c r="K5129" s="38" t="n">
        <f aca="false">Sens!$K$5103+Sens!$K$5108+Sens!$K$5124+Sens!$K$5125-Sens!$K$5128</f>
        <v>41.9831759504252</v>
      </c>
      <c r="L5129" s="38" t="n">
        <f aca="false">Sens!$L$5103+Sens!$L$5108+Sens!$L$5124+Sens!$L$5125-Sens!$L$5128</f>
        <v>44.0028852796346</v>
      </c>
      <c r="M5129" s="38" t="n">
        <f aca="false">Sens!$M$5103+Sens!$M$5108+Sens!$M$5124+Sens!$M$5125-Sens!$M$5128</f>
        <v>46.8437392556001</v>
      </c>
      <c r="N5129" s="38" t="n">
        <f aca="false">Sens!$N$5103+Sens!$N$5108+Sens!$N$5124+Sens!$N$5125-Sens!$N$5128</f>
        <v>10.6495</v>
      </c>
      <c r="O5129" s="38" t="n">
        <f aca="false">Sens!$O$5103+Sens!$O$5108+Sens!$O$5124+Sens!$O$5125-Sens!$O$5128</f>
        <v>9.81200000000001</v>
      </c>
    </row>
    <row r="5130" customFormat="false" ht="17.15" hidden="false" customHeight="false" outlineLevel="0" collapsed="false">
      <c r="A5130" s="0" t="s">
        <v>759</v>
      </c>
      <c r="B5130" s="0" t="s">
        <v>86</v>
      </c>
      <c r="C5130" s="38" t="n">
        <f aca="false">Sens!$C$5110+Sens!$C$5126-ext_sh*Sens!$C$5045</f>
        <v>51.3470500115664</v>
      </c>
      <c r="D5130" s="38" t="n">
        <f aca="false">Sens!$D$5110+Sens!$D$5126-ext_sh*Sens!$D$5045</f>
        <v>60.2799375433739</v>
      </c>
      <c r="E5130" s="38" t="n">
        <f aca="false">Sens!$E$5110+Sens!$E$5126-ext_sh*Sens!$E$5045</f>
        <v>39.5095167090767</v>
      </c>
      <c r="F5130" s="38" t="n">
        <f aca="false">Sens!$F$5110+Sens!$F$5126-ext_sh*Sens!$F$5045</f>
        <v>37.951394214027</v>
      </c>
      <c r="G5130" s="38" t="n">
        <f aca="false">Sens!$G$5110+Sens!$G$5126-ext_sh*Sens!$G$5045</f>
        <v>77.4609109231037</v>
      </c>
      <c r="H5130" s="38" t="n">
        <f aca="false">Sens!$H$5110+Sens!$H$5126-ext_sh*Sens!$H$5045</f>
        <v>85.1453558128916</v>
      </c>
      <c r="I5130" s="38" t="n">
        <f aca="false">Sens!$I$5110+Sens!$I$5126-ext_sh*Sens!$I$5045</f>
        <v>94.532921967974</v>
      </c>
      <c r="J5130" s="38" t="n">
        <f aca="false">Sens!$J$5110+Sens!$J$5126-ext_sh*Sens!$J$5045</f>
        <v>103.525527532583</v>
      </c>
      <c r="K5130" s="38" t="n">
        <f aca="false">Sens!$K$5110+Sens!$K$5126-ext_sh*Sens!$K$5045</f>
        <v>111.80756973519</v>
      </c>
      <c r="L5130" s="38" t="n">
        <f aca="false">Sens!$L$5110+Sens!$L$5126-ext_sh*Sens!$L$5045</f>
        <v>120.752175314005</v>
      </c>
      <c r="M5130" s="38" t="n">
        <f aca="false">Sens!$M$5110+Sens!$M$5126-ext_sh*Sens!$M$5045</f>
        <v>130.412349339125</v>
      </c>
      <c r="N5130" s="38" t="n">
        <f aca="false">Sens!$N$5110+Sens!$N$5126-ext_sh*Sens!$N$5045</f>
        <v>28.5693781401809</v>
      </c>
      <c r="O5130" s="38" t="n">
        <f aca="false">Sens!$O$5110+Sens!$O$5126-ext_sh*Sens!$O$5045</f>
        <v>31.7105594031931</v>
      </c>
    </row>
    <row r="5131" customFormat="false" ht="17.15" hidden="false" customHeight="false" outlineLevel="0" collapsed="false">
      <c r="A5131" s="0" t="s">
        <v>760</v>
      </c>
      <c r="B5131" s="0" t="s">
        <v>86</v>
      </c>
      <c r="C5131" s="38" t="n">
        <f aca="false">Sens!$C$5048</f>
        <v>1.80694998843362</v>
      </c>
      <c r="D5131" s="38" t="n">
        <f aca="false">Sens!$D$5048</f>
        <v>6.77606245662607</v>
      </c>
      <c r="E5131" s="38" t="n">
        <f aca="false">Sens!$E$5048</f>
        <v>6.62548329092326</v>
      </c>
      <c r="F5131" s="38" t="n">
        <f aca="false">Sens!$F$5048</f>
        <v>11.7200577158706</v>
      </c>
      <c r="G5131" s="38" t="n">
        <f aca="false">Sens!$G$5048</f>
        <v>18.3455410067939</v>
      </c>
      <c r="H5131" s="38" t="n">
        <f aca="false">Sens!$H$5048</f>
        <v>47.5171727060453</v>
      </c>
      <c r="I5131" s="38" t="n">
        <f aca="false">Sens!$I$5048</f>
        <v>80.5539692643667</v>
      </c>
      <c r="J5131" s="38" t="n">
        <f aca="false">Sens!$J$5048</f>
        <v>113.759316834883</v>
      </c>
      <c r="K5131" s="38" t="n">
        <f aca="false">Sens!$K$5048</f>
        <v>142.084411492169</v>
      </c>
      <c r="L5131" s="38" t="n">
        <f aca="false">Sens!$L$5048</f>
        <v>160.69964615804</v>
      </c>
      <c r="M5131" s="38" t="n">
        <f aca="false">Sens!$M$5048</f>
        <v>169.577607141793</v>
      </c>
      <c r="N5131" s="38" t="n">
        <f aca="false">Sens!$N$5048</f>
        <v>2.37162185981912</v>
      </c>
      <c r="O5131" s="38" t="n">
        <f aca="false">Sens!$O$5048</f>
        <v>4.40444059680694</v>
      </c>
    </row>
    <row r="5132" customFormat="false" ht="17.15" hidden="false" customHeight="false" outlineLevel="0" collapsed="false">
      <c r="A5132" s="0" t="s">
        <v>761</v>
      </c>
      <c r="B5132" s="0" t="s">
        <v>86</v>
      </c>
      <c r="C5132" s="38" t="n">
        <f aca="false">Sens!$C$5113+Sens!$C$5127</f>
        <v>100.66</v>
      </c>
      <c r="D5132" s="38" t="n">
        <f aca="false">Sens!$D$5113+Sens!$D$5127</f>
        <v>121.835</v>
      </c>
      <c r="E5132" s="38" t="n">
        <f aca="false">Sens!$E$5113+Sens!$E$5127</f>
        <v>78.016</v>
      </c>
      <c r="F5132" s="38" t="n">
        <f aca="false">Sens!$F$5113+Sens!$F$5127</f>
        <v>85.5181175682064</v>
      </c>
      <c r="G5132" s="38" t="n">
        <f aca="false">Sens!$G$5113+Sens!$G$5127</f>
        <v>163.534117568206</v>
      </c>
      <c r="H5132" s="38" t="n">
        <f aca="false">Sens!$H$5113+Sens!$H$5127</f>
        <v>212.424750631165</v>
      </c>
      <c r="I5132" s="38" t="n">
        <f aca="false">Sens!$I$5113+Sens!$I$5127</f>
        <v>267.016688541477</v>
      </c>
      <c r="J5132" s="38" t="n">
        <f aca="false">Sens!$J$5113+Sens!$J$5127</f>
        <v>321.010205055677</v>
      </c>
      <c r="K5132" s="38" t="n">
        <f aca="false">Sens!$K$5113+Sens!$K$5127</f>
        <v>368.557075245858</v>
      </c>
      <c r="L5132" s="38" t="n">
        <f aca="false">Sens!$L$5113+Sens!$L$5127</f>
        <v>405.404816626561</v>
      </c>
      <c r="M5132" s="38" t="n">
        <f aca="false">Sens!$M$5113+Sens!$M$5127</f>
        <v>434.778816598888</v>
      </c>
      <c r="N5132" s="38" t="n">
        <f aca="false">Sens!$N$5113+Sens!$N$5127</f>
        <v>56.398</v>
      </c>
      <c r="O5132" s="38" t="n">
        <f aca="false">Sens!$O$5113+Sens!$O$5127</f>
        <v>65.437</v>
      </c>
    </row>
    <row r="5133" customFormat="false" ht="17.15" hidden="false" customHeight="false" outlineLevel="0" collapsed="false">
      <c r="A5133" s="1" t="s">
        <v>762</v>
      </c>
    </row>
    <row r="5134" customFormat="false" ht="15" hidden="false" customHeight="false" outlineLevel="0" collapsed="false">
      <c r="A5134" s="5" t="s">
        <v>551</v>
      </c>
      <c r="B5134" s="0" t="s">
        <v>86</v>
      </c>
      <c r="C5134" s="38" t="n">
        <f aca="false">Q!$D$34</f>
        <v>2.406</v>
      </c>
      <c r="D5134" s="38" t="n">
        <f aca="false">Q!$E$34</f>
        <v>2.274</v>
      </c>
      <c r="E5134" s="38" t="n">
        <f aca="false">Q!$P$34</f>
        <v>2.114</v>
      </c>
      <c r="F5134" s="38" t="n">
        <f aca="false">Sens!$F$5172</f>
        <v>3.24888962733561</v>
      </c>
      <c r="G5134" s="38" t="n">
        <f aca="false">Sens!$E$5134+Sens!$F$5134</f>
        <v>5.36288962733561</v>
      </c>
      <c r="H5134" s="38" t="n">
        <f aca="false">Sens!$H$5172</f>
        <v>7.42354172302123</v>
      </c>
      <c r="I5134" s="38" t="n">
        <f aca="false">Sens!$I$5172</f>
        <v>7.7737004691834</v>
      </c>
      <c r="J5134" s="38" t="n">
        <f aca="false">Sens!$J$5172</f>
        <v>8.56894213293007</v>
      </c>
      <c r="K5134" s="38" t="n">
        <f aca="false">Sens!$K$5172</f>
        <v>8.56894213293007</v>
      </c>
      <c r="L5134" s="38" t="n">
        <f aca="false">Sens!$L$5172</f>
        <v>8.56894213293007</v>
      </c>
      <c r="M5134" s="38" t="n">
        <f aca="false">Sens!$M$5172</f>
        <v>8.56894213293007</v>
      </c>
      <c r="N5134" s="38" t="n">
        <f aca="false">Q!$N$34</f>
        <v>1.057</v>
      </c>
      <c r="O5134" s="38" t="n">
        <f aca="false">Q!$O$34</f>
        <v>1.217</v>
      </c>
    </row>
    <row r="5135" customFormat="false" ht="15" hidden="false" customHeight="false" outlineLevel="0" collapsed="false">
      <c r="A5135" s="5" t="s">
        <v>763</v>
      </c>
      <c r="B5135" s="0" t="s">
        <v>86</v>
      </c>
      <c r="F5135" s="38" t="n">
        <f aca="false">Sens!$F$5173</f>
        <v>2.59</v>
      </c>
      <c r="H5135" s="38" t="n">
        <f aca="false">Sens!$H$5173</f>
        <v>4.1153774832261</v>
      </c>
      <c r="I5135" s="38" t="n">
        <f aca="false">Sens!$I$5173</f>
        <v>2.10589651022864</v>
      </c>
      <c r="J5135" s="38" t="n">
        <f aca="false">Sens!$J$5173</f>
        <v>2.10589651022864</v>
      </c>
      <c r="K5135" s="38" t="n">
        <f aca="false">Sens!$K$5173</f>
        <v>3.34353677012109</v>
      </c>
      <c r="L5135" s="38" t="n">
        <f aca="false">Sens!$L$5173</f>
        <v>8.72471042433755</v>
      </c>
      <c r="M5135" s="38" t="n">
        <f aca="false">Sens!$M$5173</f>
        <v>16.6054798995767</v>
      </c>
    </row>
    <row r="5136" customFormat="false" ht="17.15" hidden="false" customHeight="false" outlineLevel="0" collapsed="false">
      <c r="A5136" s="5" t="s">
        <v>764</v>
      </c>
      <c r="B5136" s="0" t="s">
        <v>86</v>
      </c>
      <c r="C5136" s="38" t="n">
        <f aca="false">Q!$D$39</f>
        <v>2.427</v>
      </c>
      <c r="D5136" s="38" t="n">
        <f aca="false">Q!$E$39</f>
        <v>19.61</v>
      </c>
      <c r="E5136" s="38" t="n">
        <f aca="false">Q!$P$39</f>
        <v>71.492</v>
      </c>
      <c r="F5136" s="39" t="n">
        <v>0</v>
      </c>
      <c r="G5136" s="38" t="n">
        <f aca="false">Sens!$E$5136+Sens!$F$5136</f>
        <v>71.492</v>
      </c>
      <c r="H5136" s="39" t="n">
        <v>0</v>
      </c>
      <c r="I5136" s="39" t="n">
        <v>0</v>
      </c>
      <c r="J5136" s="39" t="n">
        <v>0</v>
      </c>
      <c r="K5136" s="39" t="n">
        <v>0</v>
      </c>
      <c r="L5136" s="39" t="n">
        <v>0</v>
      </c>
      <c r="M5136" s="39" t="n">
        <v>0</v>
      </c>
      <c r="N5136" s="38" t="n">
        <f aca="false">Q!$N$39</f>
        <v>6.017</v>
      </c>
      <c r="O5136" s="38" t="n">
        <f aca="false">Q!$O$39</f>
        <v>13.593</v>
      </c>
      <c r="P5136" s="5" t="s">
        <v>765</v>
      </c>
    </row>
    <row r="5137" customFormat="false" ht="15" hidden="false" customHeight="false" outlineLevel="0" collapsed="false">
      <c r="A5137" s="5" t="s">
        <v>554</v>
      </c>
      <c r="B5137" s="0" t="s">
        <v>86</v>
      </c>
      <c r="C5137" s="38" t="n">
        <f aca="false">Q!$D$36</f>
        <v>68.614</v>
      </c>
      <c r="D5137" s="38" t="n">
        <f aca="false">Q!$E$36</f>
        <v>97.311</v>
      </c>
      <c r="E5137" s="38" t="n">
        <f aca="false">Q!$P$36</f>
        <v>120.691</v>
      </c>
      <c r="F5137" s="38" t="n">
        <f aca="false">Sens!$F$5113-Sens!$F$5134+Sens!$F$5135+Sens!$F$5136</f>
        <v>55.7063670713938</v>
      </c>
      <c r="G5137" s="38" t="n">
        <f aca="false">Sens!$E$5137+Sens!$F$5137</f>
        <v>176.397367071394</v>
      </c>
      <c r="H5137" s="38" t="n">
        <f aca="false">Sens!$H$5113-Sens!$H$5134+Sens!$H$5135+Sens!$H$5136</f>
        <v>127.554763071755</v>
      </c>
      <c r="I5137" s="38" t="n">
        <f aca="false">Sens!$I$5113-Sens!$I$5134+Sens!$I$5135+Sens!$I$5136</f>
        <v>142.592675842318</v>
      </c>
      <c r="J5137" s="38" t="n">
        <f aca="false">Sens!$J$5113-Sens!$J$5134+Sens!$J$5135+Sens!$J$5136</f>
        <v>162.077670026185</v>
      </c>
      <c r="K5137" s="38" t="n">
        <f aca="false">Sens!$K$5113-Sens!$K$5134+Sens!$K$5135+Sens!$K$5136</f>
        <v>176.94016725923</v>
      </c>
      <c r="L5137" s="38" t="n">
        <f aca="false">Sens!$L$5113-Sens!$L$5134+Sens!$L$5135+Sens!$L$5136</f>
        <v>193.634162702486</v>
      </c>
      <c r="M5137" s="38" t="n">
        <f aca="false">Sens!$M$5113-Sens!$M$5134+Sens!$M$5135+Sens!$M$5136</f>
        <v>213.802872267628</v>
      </c>
      <c r="N5137" s="38" t="n">
        <f aca="false">Q!$N$36</f>
        <v>42.536</v>
      </c>
      <c r="O5137" s="38" t="n">
        <f aca="false">Q!$O$36</f>
        <v>54.775</v>
      </c>
    </row>
    <row r="5138" customFormat="false" ht="15" hidden="false" customHeight="false" outlineLevel="0" collapsed="false">
      <c r="A5138" s="5" t="s">
        <v>555</v>
      </c>
      <c r="B5138" s="0" t="s">
        <v>86</v>
      </c>
      <c r="C5138" s="38" t="n">
        <f aca="false">Q!$D$37</f>
        <v>9.265</v>
      </c>
      <c r="D5138" s="38" t="n">
        <f aca="false">Q!$E$37</f>
        <v>19.087</v>
      </c>
      <c r="E5138" s="38" t="n">
        <f aca="false">Q!$P$37</f>
        <v>27.759</v>
      </c>
      <c r="F5138" s="38" t="n">
        <f aca="false">Sens!$F$5137*tax</f>
        <v>9.669763357865</v>
      </c>
      <c r="G5138" s="38" t="n">
        <f aca="false">Sens!$E$5138+Sens!$F$5138</f>
        <v>37.428763357865</v>
      </c>
      <c r="H5138" s="38" t="n">
        <f aca="false">Sens!$H$5137*tax</f>
        <v>22.1415331660677</v>
      </c>
      <c r="I5138" s="38" t="n">
        <f aca="false">Sens!$I$5137*tax</f>
        <v>24.7518821357141</v>
      </c>
      <c r="J5138" s="38" t="n">
        <f aca="false">Sens!$J$5137*tax</f>
        <v>28.1341756273342</v>
      </c>
      <c r="K5138" s="38" t="n">
        <f aca="false">Sens!$K$5137*tax</f>
        <v>30.7140751739385</v>
      </c>
      <c r="L5138" s="38" t="n">
        <f aca="false">Sens!$L$5137*tax</f>
        <v>33.6118944703697</v>
      </c>
      <c r="M5138" s="38" t="n">
        <f aca="false">Sens!$M$5137*tax</f>
        <v>37.1128703727919</v>
      </c>
      <c r="N5138" s="38" t="n">
        <f aca="false">Q!$N$37</f>
        <v>7.231</v>
      </c>
      <c r="O5138" s="38" t="n">
        <f aca="false">Q!$O$37</f>
        <v>11.856</v>
      </c>
    </row>
    <row r="5139" customFormat="false" ht="15" hidden="false" customHeight="false" outlineLevel="0" collapsed="false">
      <c r="A5139" s="3" t="s">
        <v>556</v>
      </c>
      <c r="B5139" s="8" t="s">
        <v>86</v>
      </c>
      <c r="C5139" s="38" t="n">
        <f aca="false">Q!$D$38</f>
        <v>59.248</v>
      </c>
      <c r="D5139" s="38" t="n">
        <f aca="false">Q!$E$38</f>
        <v>77.67</v>
      </c>
      <c r="E5139" s="38" t="n">
        <f aca="false">Q!$P$38</f>
        <v>92.902</v>
      </c>
      <c r="F5139" s="38" t="n">
        <f aca="false">Sens!$F$5137-Sens!$F$5138</f>
        <v>46.0366037135288</v>
      </c>
      <c r="G5139" s="38" t="n">
        <f aca="false">Sens!$E$5139+Sens!$F$5139</f>
        <v>138.938603713529</v>
      </c>
      <c r="H5139" s="38" t="n">
        <f aca="false">Sens!$H$5137-Sens!$H$5138</f>
        <v>105.413229905687</v>
      </c>
      <c r="I5139" s="38" t="n">
        <f aca="false">Sens!$I$5137-Sens!$I$5138</f>
        <v>117.840793706604</v>
      </c>
      <c r="J5139" s="38" t="n">
        <f aca="false">Sens!$J$5137-Sens!$J$5138</f>
        <v>133.943494398851</v>
      </c>
      <c r="K5139" s="38" t="n">
        <f aca="false">Sens!$K$5137-Sens!$K$5138</f>
        <v>146.226092085291</v>
      </c>
      <c r="L5139" s="38" t="n">
        <f aca="false">Sens!$L$5137-Sens!$L$5138</f>
        <v>160.022268232116</v>
      </c>
      <c r="M5139" s="38" t="n">
        <f aca="false">Sens!$M$5137-Sens!$M$5138</f>
        <v>176.690001894836</v>
      </c>
      <c r="N5139" s="38" t="n">
        <f aca="false">Q!$N$38</f>
        <v>35.291</v>
      </c>
      <c r="O5139" s="38" t="n">
        <f aca="false">Q!$O$38</f>
        <v>42.379</v>
      </c>
    </row>
    <row r="5140" customFormat="false" ht="17.15" hidden="false" customHeight="false" outlineLevel="0" collapsed="false">
      <c r="A5140" s="5" t="s">
        <v>559</v>
      </c>
      <c r="B5140" s="5" t="s">
        <v>33</v>
      </c>
      <c r="C5140" s="22" t="n">
        <f aca="false">Q!$D$41</f>
        <v>10.721</v>
      </c>
      <c r="D5140" s="22" t="n">
        <f aca="false">Q!$E$41</f>
        <v>10.827</v>
      </c>
      <c r="E5140" s="22" t="n">
        <f aca="false">(Q!$L$41+Q!$M$41)/2</f>
        <v>10.8885</v>
      </c>
      <c r="F5140" s="22" t="n">
        <f aca="false">Sens!$G$5140</f>
        <v>10.924806</v>
      </c>
      <c r="G5140" s="22" t="n">
        <f aca="false">Q!$M$41*(1+sh_g*0.25)</f>
        <v>10.924806</v>
      </c>
      <c r="H5140" s="22" t="n">
        <f aca="false">Sens!$G$5140*(1+sh_g)</f>
        <v>11.012204448</v>
      </c>
      <c r="I5140" s="22" t="n">
        <f aca="false">Sens!$H$5140*(1+sh_g)</f>
        <v>11.100302083584</v>
      </c>
      <c r="J5140" s="22" t="n">
        <f aca="false">Sens!$I$5140*(1+sh_g)</f>
        <v>11.1891045002527</v>
      </c>
      <c r="K5140" s="22" t="n">
        <f aca="false">Sens!$J$5140*(1+sh_g)</f>
        <v>11.2786173362547</v>
      </c>
      <c r="L5140" s="22" t="n">
        <f aca="false">Sens!$K$5140*(1+sh_g)</f>
        <v>11.3688462749447</v>
      </c>
      <c r="M5140" s="22" t="n">
        <f aca="false">Sens!$L$5140*(1+sh_g)</f>
        <v>11.4597970451443</v>
      </c>
      <c r="P5140" s="5" t="s">
        <v>766</v>
      </c>
    </row>
    <row r="5141" customFormat="false" ht="17.15" hidden="false" customHeight="false" outlineLevel="0" collapsed="false">
      <c r="A5141" s="5" t="s">
        <v>767</v>
      </c>
      <c r="B5141" s="0" t="s">
        <v>86</v>
      </c>
      <c r="C5141" s="38" t="n">
        <f aca="false">Sens!$C$5139+Sens!$C$5115*(1-tax)</f>
        <v>59.248</v>
      </c>
      <c r="D5141" s="38" t="n">
        <f aca="false">Sens!$D$5139+Sens!$D$5115*(1-tax)</f>
        <v>77.67</v>
      </c>
      <c r="E5141" s="38" t="n">
        <f aca="false">Sens!$E$5139+Sens!$E$5115*(1-tax)</f>
        <v>92.902</v>
      </c>
      <c r="F5141" s="38" t="n">
        <f aca="false">Sens!$F$5139+Sens!$F$5115*(1-tax)</f>
        <v>49.1531986731775</v>
      </c>
      <c r="G5141" s="38" t="n">
        <f aca="false">Sens!$G$5139+Sens!$G$5115*(1-tax)</f>
        <v>142.055198673178</v>
      </c>
      <c r="H5141" s="38" t="n">
        <f aca="false">Sens!$H$5139+Sens!$H$5115*(1-tax)</f>
        <v>117.944625861032</v>
      </c>
      <c r="I5141" s="38" t="n">
        <f aca="false">Sens!$I$5139+Sens!$I$5115*(1-tax)</f>
        <v>138.982058781543</v>
      </c>
      <c r="J5141" s="38" t="n">
        <f aca="false">Sens!$J$5139+Sens!$J$5115*(1-tax)</f>
        <v>163.732931343134</v>
      </c>
      <c r="K5141" s="38" t="n">
        <f aca="false">Sens!$K$5139+Sens!$K$5115*(1-tax)</f>
        <v>183.39339778195</v>
      </c>
      <c r="L5141" s="38" t="n">
        <f aca="false">Sens!$L$5139+Sens!$L$5115*(1-tax)</f>
        <v>202.038345572671</v>
      </c>
      <c r="M5141" s="38" t="n">
        <f aca="false">Sens!$M$5139+Sens!$M$5115*(1-tax)</f>
        <v>221.019524085677</v>
      </c>
      <c r="N5141" s="38" t="n">
        <f aca="false">Sens!$N$5139+Sens!$N$5115*(1-tax)</f>
        <v>35.291</v>
      </c>
      <c r="O5141" s="38" t="n">
        <f aca="false">Sens!$O$5139+Sens!$O$5115*(1-tax)</f>
        <v>42.379</v>
      </c>
    </row>
    <row r="5142" customFormat="false" ht="17.15" hidden="false" customHeight="false" outlineLevel="0" collapsed="false">
      <c r="A5142" s="43" t="s">
        <v>768</v>
      </c>
      <c r="B5142" s="14" t="s">
        <v>27</v>
      </c>
      <c r="C5142" s="44" t="n">
        <f aca="false">Sens!$C$5141/Sens!$C$5140</f>
        <v>5.52635015390355</v>
      </c>
      <c r="D5142" s="44" t="n">
        <f aca="false">Sens!$D$5141/Sens!$D$5140</f>
        <v>7.1737323358271</v>
      </c>
      <c r="E5142" s="44" t="n">
        <f aca="false">Sens!$E$5141/Sens!$E$5140</f>
        <v>8.53212104513937</v>
      </c>
      <c r="F5142" s="14"/>
      <c r="G5142" s="44" t="n">
        <f aca="false">Sens!$G$5141/Sens!$G$5140</f>
        <v>13.0029950804781</v>
      </c>
      <c r="H5142" s="44" t="n">
        <f aca="false">Sens!$H$5141/Sens!$H$5140</f>
        <v>10.7103556257033</v>
      </c>
      <c r="I5142" s="44" t="n">
        <f aca="false">Sens!$I$5141/Sens!$I$5140</f>
        <v>12.5205654526358</v>
      </c>
      <c r="J5142" s="44" t="n">
        <f aca="false">Sens!$J$5141/Sens!$J$5140</f>
        <v>14.6332471324615</v>
      </c>
      <c r="K5142" s="44" t="n">
        <f aca="false">Sens!$K$5141/Sens!$K$5140</f>
        <v>16.2602730737605</v>
      </c>
      <c r="L5142" s="44" t="n">
        <f aca="false">Sens!$L$5141/Sens!$L$5140</f>
        <v>17.7712267970352</v>
      </c>
      <c r="M5142" s="44" t="n">
        <f aca="false">Sens!$M$5141/Sens!$M$5140</f>
        <v>19.2865129473935</v>
      </c>
      <c r="N5142" s="14"/>
      <c r="O5142" s="14"/>
    </row>
    <row r="5143" customFormat="false" ht="17.15" hidden="false" customHeight="false" outlineLevel="0" collapsed="false">
      <c r="A5143" s="0" t="s">
        <v>769</v>
      </c>
      <c r="B5143" s="0" t="s">
        <v>27</v>
      </c>
      <c r="C5143" s="30" t="n">
        <f aca="false">Sens!$C$5139/Sens!$C$5140</f>
        <v>5.52635015390355</v>
      </c>
      <c r="D5143" s="30" t="n">
        <f aca="false">Sens!$D$5139/Sens!$D$5140</f>
        <v>7.1737323358271</v>
      </c>
      <c r="E5143" s="30" t="n">
        <f aca="false">Sens!$E$5139/Sens!$E$5140</f>
        <v>8.53212104513937</v>
      </c>
      <c r="G5143" s="30" t="n">
        <f aca="false">Sens!$G$5139/Sens!$G$5140</f>
        <v>12.7177181648378</v>
      </c>
      <c r="H5143" s="30" t="n">
        <f aca="false">Sens!$H$5139/Sens!$H$5140</f>
        <v>9.57240036756055</v>
      </c>
      <c r="I5143" s="30" t="n">
        <f aca="false">Sens!$I$5139/Sens!$I$5140</f>
        <v>10.6159988096969</v>
      </c>
      <c r="J5143" s="30" t="n">
        <f aca="false">Sens!$J$5139/Sens!$J$5140</f>
        <v>11.9708859985914</v>
      </c>
      <c r="K5143" s="30" t="n">
        <f aca="false">Sens!$K$5139/Sens!$K$5140</f>
        <v>12.9648952283586</v>
      </c>
      <c r="L5143" s="30" t="n">
        <f aca="false">Sens!$L$5139/Sens!$L$5140</f>
        <v>14.0755063761203</v>
      </c>
      <c r="M5143" s="30" t="n">
        <f aca="false">Sens!$M$5139/Sens!$M$5140</f>
        <v>15.418248787373</v>
      </c>
    </row>
    <row r="5144" customFormat="false" ht="17.15" hidden="false" customHeight="false" outlineLevel="0" collapsed="false">
      <c r="A5144" s="0" t="s">
        <v>770</v>
      </c>
      <c r="B5144" s="0" t="s">
        <v>27</v>
      </c>
      <c r="C5144" s="30" t="n">
        <f aca="false">(Sens!$C$5139-Sens!$C$5136*(1-tax))/Sens!$C$5140</f>
        <v>5.33926775917445</v>
      </c>
      <c r="D5144" s="30" t="n">
        <f aca="false">(Sens!$D$5139-Sens!$D$5136*(1-tax))/Sens!$D$5140</f>
        <v>5.67691812755503</v>
      </c>
      <c r="E5144" s="30" t="n">
        <f aca="false">(Sens!$E$5139-Sens!$E$5136*(1-tax))/Sens!$E$5140</f>
        <v>3.10602057006846</v>
      </c>
      <c r="G5144" s="30" t="n">
        <f aca="false">(Sens!$G$5139-Sens!$G$5136*(1-tax))/Sens!$G$5140</f>
        <v>7.30965004694081</v>
      </c>
      <c r="H5144" s="30" t="n">
        <f aca="false">(Sens!$H$5139-Sens!$H$5136*(1-tax))/Sens!$H$5140</f>
        <v>9.57240036756055</v>
      </c>
      <c r="I5144" s="30" t="n">
        <f aca="false">(Sens!$I$5139-Sens!$I$5136*(1-tax))/Sens!$I$5140</f>
        <v>10.6159988096969</v>
      </c>
      <c r="J5144" s="30" t="n">
        <f aca="false">(Sens!$J$5139-Sens!$J$5136*(1-tax))/Sens!$J$5140</f>
        <v>11.9708859985914</v>
      </c>
      <c r="K5144" s="30" t="n">
        <f aca="false">(Sens!$K$5139-Sens!$K$5136*(1-tax))/Sens!$K$5140</f>
        <v>12.9648952283586</v>
      </c>
      <c r="L5144" s="30" t="n">
        <f aca="false">(Sens!$L$5139-Sens!$L$5136*(1-tax))/Sens!$L$5140</f>
        <v>14.0755063761203</v>
      </c>
      <c r="M5144" s="30" t="n">
        <f aca="false">(Sens!$M$5139-Sens!$M$5136*(1-tax))/Sens!$M$5140</f>
        <v>15.418248787373</v>
      </c>
      <c r="P5144" s="5" t="s">
        <v>771</v>
      </c>
    </row>
    <row r="5145" customFormat="false" ht="17.15" hidden="false" customHeight="false" outlineLevel="0" collapsed="false">
      <c r="A5145" s="0" t="s">
        <v>772</v>
      </c>
      <c r="B5145" s="0" t="s">
        <v>52</v>
      </c>
      <c r="H5145" s="13" t="n">
        <f aca="false">Sens!$H$5142/Sens!$G$5142-1</f>
        <v>-0.176316259491385</v>
      </c>
      <c r="I5145" s="13" t="n">
        <f aca="false">Sens!$I$5142/Sens!$H$5142-1</f>
        <v>0.169014913247907</v>
      </c>
      <c r="J5145" s="13" t="n">
        <f aca="false">Sens!$J$5142/Sens!$I$5142-1</f>
        <v>0.168736922291393</v>
      </c>
      <c r="K5145" s="13" t="n">
        <f aca="false">Sens!$K$5142/Sens!$J$5142-1</f>
        <v>0.111186937975623</v>
      </c>
      <c r="L5145" s="13" t="n">
        <f aca="false">Sens!$L$5142/Sens!$K$5142-1</f>
        <v>0.0929230226590097</v>
      </c>
      <c r="M5145" s="13" t="n">
        <f aca="false">Sens!$M$5142/Sens!$L$5142-1</f>
        <v>0.0852662659513797</v>
      </c>
    </row>
    <row r="5148" customFormat="false" ht="19.4" hidden="false" customHeight="false" outlineLevel="0" collapsed="false">
      <c r="A5148" s="31" t="s">
        <v>1255</v>
      </c>
    </row>
    <row r="5149" customFormat="false" ht="17.15" hidden="false" customHeight="false" outlineLevel="0" collapsed="false">
      <c r="A5149" s="6" t="s">
        <v>16</v>
      </c>
      <c r="B5149" s="6" t="s">
        <v>17</v>
      </c>
      <c r="C5149" s="20" t="s">
        <v>504</v>
      </c>
      <c r="D5149" s="20" t="s">
        <v>505</v>
      </c>
      <c r="E5149" s="20" t="s">
        <v>587</v>
      </c>
      <c r="F5149" s="20" t="s">
        <v>588</v>
      </c>
      <c r="G5149" s="20" t="s">
        <v>589</v>
      </c>
      <c r="H5149" s="20" t="s">
        <v>590</v>
      </c>
      <c r="I5149" s="20" t="s">
        <v>591</v>
      </c>
      <c r="J5149" s="20" t="s">
        <v>592</v>
      </c>
      <c r="K5149" s="20" t="s">
        <v>593</v>
      </c>
      <c r="L5149" s="20" t="s">
        <v>594</v>
      </c>
      <c r="M5149" s="20" t="s">
        <v>595</v>
      </c>
      <c r="N5149" s="20" t="s">
        <v>596</v>
      </c>
      <c r="O5149" s="20" t="s">
        <v>597</v>
      </c>
      <c r="P5149" s="6" t="s">
        <v>23</v>
      </c>
      <c r="R5149" s="20" t="n">
        <v>2023</v>
      </c>
      <c r="S5149" s="20" t="n">
        <v>2024</v>
      </c>
      <c r="T5149" s="20" t="n">
        <v>2025</v>
      </c>
      <c r="U5149" s="20" t="n">
        <v>2026</v>
      </c>
      <c r="V5149" s="20" t="n">
        <v>2027</v>
      </c>
      <c r="W5149" s="20" t="n">
        <v>2028</v>
      </c>
      <c r="X5149" s="20" t="n">
        <v>2029</v>
      </c>
      <c r="Y5149" s="20" t="n">
        <v>2030</v>
      </c>
      <c r="Z5149" s="20" t="n">
        <v>2031</v>
      </c>
      <c r="AA5149" s="20" t="n">
        <v>2032</v>
      </c>
    </row>
    <row r="5150" customFormat="false" ht="15" hidden="false" customHeight="false" outlineLevel="0" collapsed="false">
      <c r="A5150" s="5" t="s">
        <v>556</v>
      </c>
      <c r="B5150" s="0" t="s">
        <v>86</v>
      </c>
      <c r="C5150" s="38" t="n">
        <f aca="false">Sens!$C$5139</f>
        <v>59.248</v>
      </c>
      <c r="D5150" s="38" t="n">
        <f aca="false">Sens!$D$5139</f>
        <v>77.67</v>
      </c>
      <c r="E5150" s="38" t="n">
        <f aca="false">Sens!$E$5139</f>
        <v>92.902</v>
      </c>
      <c r="F5150" s="38" t="n">
        <f aca="false">Sens!$F$5139</f>
        <v>46.0366037135288</v>
      </c>
      <c r="G5150" s="38" t="n">
        <f aca="false">Sens!$G$5139</f>
        <v>138.938603713529</v>
      </c>
      <c r="H5150" s="38" t="n">
        <f aca="false">Sens!$H$5139</f>
        <v>105.413229905687</v>
      </c>
      <c r="I5150" s="38" t="n">
        <f aca="false">Sens!$I$5139</f>
        <v>117.840793706604</v>
      </c>
      <c r="J5150" s="38" t="n">
        <f aca="false">Sens!$J$5139</f>
        <v>133.943494398851</v>
      </c>
      <c r="K5150" s="38" t="n">
        <f aca="false">Sens!$K$5139</f>
        <v>146.226092085291</v>
      </c>
      <c r="L5150" s="38" t="n">
        <f aca="false">Sens!$L$5139</f>
        <v>160.022268232116</v>
      </c>
      <c r="M5150" s="38" t="n">
        <f aca="false">Sens!$M$5139</f>
        <v>176.690001894836</v>
      </c>
    </row>
    <row r="5151" customFormat="false" ht="17.15" hidden="false" customHeight="false" outlineLevel="0" collapsed="false">
      <c r="A5151" s="5" t="s">
        <v>795</v>
      </c>
      <c r="B5151" s="0" t="s">
        <v>86</v>
      </c>
      <c r="C5151" s="38" t="n">
        <f aca="false">Sens!$C$5127</f>
        <v>32.067</v>
      </c>
      <c r="D5151" s="38" t="n">
        <f aca="false">Sens!$D$5127</f>
        <v>41.86</v>
      </c>
      <c r="E5151" s="38" t="n">
        <f aca="false">Sens!$E$5127</f>
        <v>26.703</v>
      </c>
      <c r="F5151" s="38" t="n">
        <f aca="false">Sens!$F$5127</f>
        <v>29.152860869477</v>
      </c>
      <c r="G5151" s="38" t="n">
        <f aca="false">Sens!$G$5127</f>
        <v>55.855860869477</v>
      </c>
      <c r="H5151" s="38" t="n">
        <f aca="false">Sens!$H$5127</f>
        <v>81.5618233196153</v>
      </c>
      <c r="I5151" s="38" t="n">
        <f aca="false">Sens!$I$5127</f>
        <v>118.756208740204</v>
      </c>
      <c r="J5151" s="38" t="n">
        <f aca="false">Sens!$J$5127</f>
        <v>152.469489406791</v>
      </c>
      <c r="K5151" s="38" t="n">
        <f aca="false">Sens!$K$5127</f>
        <v>186.391502623819</v>
      </c>
      <c r="L5151" s="38" t="n">
        <f aca="false">Sens!$L$5127</f>
        <v>211.926422215482</v>
      </c>
      <c r="M5151" s="38" t="n">
        <f aca="false">Sens!$M$5127</f>
        <v>229.012482097906</v>
      </c>
    </row>
    <row r="5152" customFormat="false" ht="15" hidden="false" customHeight="false" outlineLevel="0" collapsed="false">
      <c r="A5152" s="5" t="s">
        <v>796</v>
      </c>
      <c r="B5152" s="0" t="s">
        <v>86</v>
      </c>
      <c r="C5152" s="38" t="n">
        <f aca="false">Q!$D$48</f>
        <v>22.011</v>
      </c>
      <c r="D5152" s="38" t="n">
        <f aca="false">Q!$E$48</f>
        <v>19.467</v>
      </c>
      <c r="E5152" s="38" t="n">
        <f aca="false">Q!$P$48</f>
        <v>10.07</v>
      </c>
      <c r="F5152" s="38" t="n">
        <f aca="false">sbc_r*Sens!$F$5069</f>
        <v>10.8507035798037</v>
      </c>
      <c r="G5152" s="38" t="n">
        <f aca="false">Sens!$E$5152+Sens!$F$5152</f>
        <v>20.9207035798037</v>
      </c>
      <c r="H5152" s="38" t="n">
        <f aca="false">sbc_r*Sens!$H$5069</f>
        <v>23.46224366345</v>
      </c>
      <c r="I5152" s="38" t="n">
        <f aca="false">sbc_r*Sens!$I$5069</f>
        <v>26.6125957111676</v>
      </c>
      <c r="J5152" s="38" t="n">
        <f aca="false">sbc_r*Sens!$J$5069</f>
        <v>29.6280801413323</v>
      </c>
      <c r="K5152" s="38" t="n">
        <f aca="false">sbc_r*Sens!$K$5069</f>
        <v>32.2712258901105</v>
      </c>
      <c r="L5152" s="38" t="n">
        <f aca="false">sbc_r*Sens!$L$5069</f>
        <v>34.7390505016737</v>
      </c>
      <c r="M5152" s="38" t="n">
        <f aca="false">sbc_r*Sens!$M$5069</f>
        <v>37.0405146906692</v>
      </c>
    </row>
    <row r="5153" customFormat="false" ht="17.15" hidden="false" customHeight="false" outlineLevel="0" collapsed="false">
      <c r="A5153" s="5" t="s">
        <v>797</v>
      </c>
      <c r="B5153" s="0" t="s">
        <v>86</v>
      </c>
      <c r="C5153" s="38" t="n">
        <f aca="false">Q!$D$44-Sens!$C$5150-Sens!$C$5151-Sens!$C$5152</f>
        <v>2.551</v>
      </c>
      <c r="D5153" s="38" t="n">
        <f aca="false">Q!$E$44-Sens!$D$5150-Sens!$D$5151-Sens!$D$5152</f>
        <v>0.51700000000001</v>
      </c>
      <c r="E5153" s="38" t="n">
        <f aca="false">Q!$P$44-Sens!$E$5150-Sens!$E$5151-Sens!$E$5152</f>
        <v>-58.256</v>
      </c>
      <c r="F5153" s="38" t="n">
        <f aca="false">oth_r*Sens!$F$5069</f>
        <v>5.22265251035878</v>
      </c>
      <c r="G5153" s="38" t="n">
        <f aca="false">Sens!$E$5153+Sens!$F$5153</f>
        <v>-53.0333474896412</v>
      </c>
      <c r="H5153" s="38" t="n">
        <f aca="false">oth_r*Sens!$H$5069</f>
        <v>11.2928295263397</v>
      </c>
      <c r="I5153" s="38" t="n">
        <f aca="false">oth_r*Sens!$I$5069</f>
        <v>12.8091546115766</v>
      </c>
      <c r="J5153" s="38" t="n">
        <f aca="false">oth_r*Sens!$J$5069</f>
        <v>14.2605653162668</v>
      </c>
      <c r="K5153" s="38" t="n">
        <f aca="false">oth_r*Sens!$K$5069</f>
        <v>15.5327622460396</v>
      </c>
      <c r="L5153" s="38" t="n">
        <f aca="false">oth_r*Sens!$L$5069</f>
        <v>16.720573737517</v>
      </c>
      <c r="M5153" s="38" t="n">
        <f aca="false">oth_r*Sens!$M$5069</f>
        <v>17.8283127551536</v>
      </c>
      <c r="P5153" s="8" t="s">
        <v>798</v>
      </c>
    </row>
    <row r="5154" customFormat="false" ht="15" hidden="false" customHeight="false" outlineLevel="0" collapsed="false">
      <c r="A5154" s="3" t="s">
        <v>562</v>
      </c>
      <c r="B5154" s="8" t="s">
        <v>86</v>
      </c>
      <c r="C5154" s="38" t="n">
        <f aca="false">Q!$D$44</f>
        <v>115.877</v>
      </c>
      <c r="D5154" s="38" t="n">
        <f aca="false">Q!$E$44</f>
        <v>139.514</v>
      </c>
      <c r="E5154" s="38" t="n">
        <f aca="false">Q!$P$44</f>
        <v>71.419</v>
      </c>
      <c r="F5154" s="38" t="n">
        <f aca="false">Sens!$F$5150+Sens!$F$5151+Sens!$F$5152+Sens!$F$5153</f>
        <v>91.2628206731683</v>
      </c>
      <c r="G5154" s="38" t="n">
        <f aca="false">Sens!$E$5154+Sens!$F$5154</f>
        <v>162.681820673168</v>
      </c>
      <c r="H5154" s="38" t="n">
        <f aca="false">Sens!$H$5150+Sens!$H$5151+Sens!$H$5152+Sens!$H$5153</f>
        <v>221.730126415092</v>
      </c>
      <c r="I5154" s="38" t="n">
        <f aca="false">Sens!$I$5150+Sens!$I$5151+Sens!$I$5152+Sens!$I$5153</f>
        <v>276.018752769552</v>
      </c>
      <c r="J5154" s="38" t="n">
        <f aca="false">Sens!$J$5150+Sens!$J$5151+Sens!$J$5152+Sens!$J$5153</f>
        <v>330.301629263241</v>
      </c>
      <c r="K5154" s="38" t="n">
        <f aca="false">Sens!$K$5150+Sens!$K$5151+Sens!$K$5152+Sens!$K$5153</f>
        <v>380.42158284526</v>
      </c>
      <c r="L5154" s="38" t="n">
        <f aca="false">Sens!$L$5150+Sens!$L$5151+Sens!$L$5152+Sens!$L$5153</f>
        <v>423.408314686789</v>
      </c>
      <c r="M5154" s="38" t="n">
        <f aca="false">Sens!$M$5150+Sens!$M$5151+Sens!$M$5152+Sens!$M$5153</f>
        <v>460.571311438565</v>
      </c>
    </row>
    <row r="5155" customFormat="false" ht="17.15" hidden="false" customHeight="false" outlineLevel="0" collapsed="false">
      <c r="A5155" s="5" t="s">
        <v>799</v>
      </c>
      <c r="B5155" s="0" t="s">
        <v>86</v>
      </c>
      <c r="C5155" s="38" t="n">
        <f aca="false">Sens!$C$5033</f>
        <v>25.2781053077374</v>
      </c>
      <c r="D5155" s="38" t="n">
        <f aca="false">Sens!$D$5033</f>
        <v>69.5686316310026</v>
      </c>
      <c r="E5155" s="38" t="n">
        <f aca="false">Sens!$E$5033</f>
        <v>64.1899206485108</v>
      </c>
      <c r="F5155" s="38" t="n">
        <f aca="false">Sens!$F$5033</f>
        <v>88.7165504612134</v>
      </c>
      <c r="G5155" s="38" t="n">
        <f aca="false">Sens!$G$5033</f>
        <v>152.906471109724</v>
      </c>
      <c r="H5155" s="38" t="n">
        <f aca="false">Sens!$H$5033</f>
        <v>198.57136494475</v>
      </c>
      <c r="I5155" s="38" t="n">
        <f aca="false">Sens!$I$5033</f>
        <v>204.6464699105</v>
      </c>
      <c r="J5155" s="38" t="n">
        <f aca="false">Sens!$J$5033</f>
        <v>209.8832381105</v>
      </c>
      <c r="K5155" s="38" t="n">
        <f aca="false">Sens!$K$5033</f>
        <v>155.238385275201</v>
      </c>
      <c r="L5155" s="38" t="n">
        <f aca="false">Sens!$L$5033</f>
        <v>132.014141639902</v>
      </c>
      <c r="M5155" s="38" t="n">
        <f aca="false">Sens!$M$5033</f>
        <v>132.230981659852</v>
      </c>
    </row>
    <row r="5156" customFormat="false" ht="17.15" hidden="false" customHeight="false" outlineLevel="0" collapsed="false">
      <c r="A5156" s="5" t="s">
        <v>800</v>
      </c>
      <c r="B5156" s="0" t="s">
        <v>86</v>
      </c>
      <c r="C5156" s="38" t="n">
        <f aca="false">cx_awso*Sens!$C$5067</f>
        <v>21.0469989286053</v>
      </c>
      <c r="D5156" s="38" t="n">
        <f aca="false">cx_awso*Sens!$D$5067</f>
        <v>24.0042459822698</v>
      </c>
      <c r="E5156" s="38" t="n">
        <f aca="false">cx_awso*Sens!$E$5067</f>
        <v>14.261729404886</v>
      </c>
      <c r="F5156" s="38" t="n">
        <f aca="false">cx_awso*Sens!$F$5067</f>
        <v>14.3538599588493</v>
      </c>
      <c r="G5156" s="38" t="n">
        <f aca="false">Sens!$E$5156+Sens!$F$5156</f>
        <v>28.6155893637353</v>
      </c>
      <c r="H5156" s="38" t="n">
        <f aca="false">cx_awso*Sens!$H$5067</f>
        <v>32.2034154158406</v>
      </c>
      <c r="I5156" s="38" t="n">
        <f aca="false">cx_awso*Sens!$I$5067</f>
        <v>35.7539519042915</v>
      </c>
      <c r="J5156" s="38" t="n">
        <f aca="false">cx_awso*Sens!$J$5067</f>
        <v>39.1551076091815</v>
      </c>
      <c r="K5156" s="38" t="n">
        <f aca="false">cx_awso*Sens!$K$5067</f>
        <v>42.287516217916</v>
      </c>
      <c r="L5156" s="38" t="n">
        <f aca="false">cx_awso*Sens!$L$5067</f>
        <v>45.6705175153492</v>
      </c>
      <c r="M5156" s="38" t="n">
        <f aca="false">cx_awso*Sens!$M$5067</f>
        <v>49.3241589165772</v>
      </c>
    </row>
    <row r="5157" customFormat="false" ht="17.15" hidden="false" customHeight="false" outlineLevel="0" collapsed="false">
      <c r="A5157" s="5" t="s">
        <v>801</v>
      </c>
      <c r="B5157" s="0" t="s">
        <v>86</v>
      </c>
      <c r="C5157" s="38" t="n">
        <f aca="false">Q!$D$46-Sens!$C$5155-Sens!$C$5156</f>
        <v>31.3328957636573</v>
      </c>
      <c r="D5157" s="38" t="n">
        <f aca="false">Q!$E$46-Sens!$D$5155-Sens!$D$5156</f>
        <v>34.7471223867276</v>
      </c>
      <c r="E5157" s="38" t="n">
        <f aca="false">Q!$P$46-Sens!$E$5155-Sens!$E$5156</f>
        <v>17.8583499466032</v>
      </c>
      <c r="F5157" s="38" t="n">
        <f aca="false">cx_rt*Sens!$F$4996</f>
        <v>20.6195895799373</v>
      </c>
      <c r="G5157" s="38" t="n">
        <f aca="false">Sens!$E$5157+Sens!$F$5157</f>
        <v>38.4779395265405</v>
      </c>
      <c r="H5157" s="38" t="n">
        <f aca="false">cx_rt*Sens!$H$4996</f>
        <v>42.5978994743075</v>
      </c>
      <c r="I5157" s="38" t="n">
        <f aca="false">cx_rt*Sens!$I$4996</f>
        <v>46.5813904136335</v>
      </c>
      <c r="J5157" s="38" t="n">
        <f aca="false">cx_rt*Sens!$J$4996</f>
        <v>50.2781676586844</v>
      </c>
      <c r="K5157" s="38" t="n">
        <f aca="false">cx_rt*Sens!$K$4996</f>
        <v>53.5312440191755</v>
      </c>
      <c r="L5157" s="38" t="n">
        <f aca="false">cx_rt*Sens!$L$4996</f>
        <v>57.0116717051447</v>
      </c>
      <c r="M5157" s="38" t="n">
        <f aca="false">cx_rt*Sens!$M$4996</f>
        <v>60.7365554669226</v>
      </c>
    </row>
    <row r="5158" customFormat="false" ht="15" hidden="false" customHeight="false" outlineLevel="0" collapsed="false">
      <c r="A5158" s="3" t="s">
        <v>802</v>
      </c>
      <c r="B5158" s="8" t="s">
        <v>86</v>
      </c>
      <c r="C5158" s="38" t="n">
        <f aca="false">Q!$D$46</f>
        <v>77.658</v>
      </c>
      <c r="D5158" s="38" t="n">
        <f aca="false">Q!$E$46</f>
        <v>128.32</v>
      </c>
      <c r="E5158" s="38" t="n">
        <f aca="false">Q!$P$46</f>
        <v>96.31</v>
      </c>
      <c r="F5158" s="38" t="n">
        <f aca="false">Sens!$F$5155+Sens!$F$5156+Sens!$F$5157</f>
        <v>123.69</v>
      </c>
      <c r="G5158" s="38" t="n">
        <f aca="false">Sens!$E$5158+Sens!$F$5158</f>
        <v>220</v>
      </c>
      <c r="H5158" s="38" t="n">
        <f aca="false">Sens!$H$5155+Sens!$H$5156+Sens!$H$5157</f>
        <v>273.372679834898</v>
      </c>
      <c r="I5158" s="38" t="n">
        <f aca="false">Sens!$I$5155+Sens!$I$5156+Sens!$I$5157</f>
        <v>286.981812228425</v>
      </c>
      <c r="J5158" s="38" t="n">
        <f aca="false">Sens!$J$5155+Sens!$J$5156+Sens!$J$5157</f>
        <v>299.316513378366</v>
      </c>
      <c r="K5158" s="38" t="n">
        <f aca="false">Sens!$K$5155+Sens!$K$5156+Sens!$K$5157</f>
        <v>251.057145512292</v>
      </c>
      <c r="L5158" s="38" t="n">
        <f aca="false">Sens!$L$5155+Sens!$L$5156+Sens!$L$5157</f>
        <v>234.696330860396</v>
      </c>
      <c r="M5158" s="38" t="n">
        <f aca="false">Sens!$M$5155+Sens!$M$5156+Sens!$M$5157</f>
        <v>242.291696043352</v>
      </c>
    </row>
    <row r="5159" customFormat="false" ht="17.15" hidden="false" customHeight="false" outlineLevel="0" collapsed="false">
      <c r="A5159" s="5" t="s">
        <v>570</v>
      </c>
      <c r="B5159" s="0" t="s">
        <v>86</v>
      </c>
      <c r="C5159" s="38" t="n">
        <f aca="false">Q!$D$50</f>
        <v>2.043</v>
      </c>
      <c r="D5159" s="38" t="n">
        <f aca="false">Q!$E$50</f>
        <v>1.557</v>
      </c>
      <c r="E5159" s="38" t="n">
        <f aca="false">lease_pr/2</f>
        <v>0.8</v>
      </c>
      <c r="F5159" s="38" t="n">
        <f aca="false">lease_pr/2</f>
        <v>0.8</v>
      </c>
      <c r="G5159" s="38" t="n">
        <f aca="false">Sens!$E$5159+Sens!$F$5159</f>
        <v>1.6</v>
      </c>
      <c r="H5159" s="38" t="n">
        <f aca="false">lease_pr</f>
        <v>1.6</v>
      </c>
      <c r="I5159" s="38" t="n">
        <f aca="false">lease_pr</f>
        <v>1.6</v>
      </c>
      <c r="J5159" s="38" t="n">
        <f aca="false">lease_pr</f>
        <v>1.6</v>
      </c>
      <c r="K5159" s="38" t="n">
        <f aca="false">lease_pr</f>
        <v>1.6</v>
      </c>
      <c r="L5159" s="38" t="n">
        <f aca="false">lease_pr</f>
        <v>1.6</v>
      </c>
      <c r="M5159" s="38" t="n">
        <f aca="false">lease_pr</f>
        <v>1.6</v>
      </c>
      <c r="P5159" s="8" t="s">
        <v>803</v>
      </c>
    </row>
    <row r="5160" customFormat="false" ht="15" hidden="false" customHeight="false" outlineLevel="0" collapsed="false">
      <c r="A5160" s="47" t="s">
        <v>804</v>
      </c>
      <c r="B5160" s="14" t="s">
        <v>86</v>
      </c>
      <c r="C5160" s="48" t="n">
        <f aca="false">Sens!$C$5154-Sens!$C$5158-Sens!$C$5159</f>
        <v>36.176</v>
      </c>
      <c r="D5160" s="48" t="n">
        <f aca="false">Sens!$D$5154-Sens!$D$5158-Sens!$D$5159</f>
        <v>9.63700000000002</v>
      </c>
      <c r="E5160" s="48" t="n">
        <f aca="false">Sens!$E$5154-Sens!$E$5158-Sens!$E$5159</f>
        <v>-25.691</v>
      </c>
      <c r="F5160" s="48" t="n">
        <f aca="false">Sens!$F$5154-Sens!$F$5158-Sens!$F$5159</f>
        <v>-33.2271793268317</v>
      </c>
      <c r="G5160" s="48" t="n">
        <f aca="false">Sens!$G$5154-Sens!$G$5158-Sens!$G$5159</f>
        <v>-58.9181793268317</v>
      </c>
      <c r="H5160" s="48" t="n">
        <f aca="false">Sens!$H$5154-Sens!$H$5158-Sens!$H$5159</f>
        <v>-53.2425534198061</v>
      </c>
      <c r="I5160" s="48" t="n">
        <f aca="false">Sens!$I$5154-Sens!$I$5158-Sens!$I$5159</f>
        <v>-12.5630594588732</v>
      </c>
      <c r="J5160" s="48" t="n">
        <f aca="false">Sens!$J$5154-Sens!$J$5158-Sens!$J$5159</f>
        <v>29.3851158848751</v>
      </c>
      <c r="K5160" s="48" t="n">
        <f aca="false">Sens!$K$5154-Sens!$K$5158-Sens!$K$5159</f>
        <v>127.764437332968</v>
      </c>
      <c r="L5160" s="48" t="n">
        <f aca="false">Sens!$L$5154-Sens!$L$5158-Sens!$L$5159</f>
        <v>187.111983826393</v>
      </c>
      <c r="M5160" s="48" t="n">
        <f aca="false">Sens!$M$5154-Sens!$M$5158-Sens!$M$5159</f>
        <v>216.679615395213</v>
      </c>
      <c r="N5160" s="14"/>
      <c r="O5160" s="14"/>
    </row>
    <row r="5161" customFormat="false" ht="17.15" hidden="false" customHeight="false" outlineLevel="0" collapsed="false">
      <c r="A5161" s="5" t="s">
        <v>805</v>
      </c>
      <c r="B5161" s="0" t="s">
        <v>86</v>
      </c>
      <c r="C5161" s="38" t="n">
        <f aca="false">dps*Sens!$C$5140</f>
        <v>0</v>
      </c>
      <c r="D5161" s="38" t="n">
        <f aca="false">dps*Sens!$D$5140</f>
        <v>0</v>
      </c>
      <c r="E5161" s="38" t="n">
        <f aca="false">dps*Sens!$E$5140</f>
        <v>0</v>
      </c>
      <c r="F5161" s="38" t="n">
        <f aca="false">0</f>
        <v>0</v>
      </c>
      <c r="G5161" s="38" t="n">
        <f aca="false">dps*Sens!$G$5140</f>
        <v>0</v>
      </c>
      <c r="H5161" s="38" t="n">
        <f aca="false">dps*Sens!$H$5140</f>
        <v>0</v>
      </c>
      <c r="I5161" s="38" t="n">
        <f aca="false">dps*Sens!$I$5140</f>
        <v>0</v>
      </c>
      <c r="J5161" s="38" t="n">
        <f aca="false">dps*Sens!$J$5140</f>
        <v>0</v>
      </c>
      <c r="K5161" s="38" t="n">
        <f aca="false">dps*Sens!$K$5140</f>
        <v>0</v>
      </c>
      <c r="L5161" s="38" t="n">
        <f aca="false">dps*Sens!$L$5140</f>
        <v>0</v>
      </c>
      <c r="M5161" s="38" t="n">
        <f aca="false">dps*Sens!$M$5140</f>
        <v>0</v>
      </c>
      <c r="P5161" s="8" t="s">
        <v>806</v>
      </c>
    </row>
    <row r="5162" customFormat="false" ht="17.15" hidden="false" customHeight="false" outlineLevel="0" collapsed="false">
      <c r="A5162" s="5" t="s">
        <v>807</v>
      </c>
      <c r="B5162" s="0" t="s">
        <v>86</v>
      </c>
      <c r="C5162" s="38" t="n">
        <f aca="false">0</f>
        <v>0</v>
      </c>
      <c r="D5162" s="38" t="n">
        <f aca="false">0</f>
        <v>0</v>
      </c>
      <c r="E5162" s="38" t="n">
        <f aca="false">0</f>
        <v>0</v>
      </c>
      <c r="F5162" s="38" t="n">
        <f aca="false">0</f>
        <v>0</v>
      </c>
      <c r="G5162" s="38" t="n">
        <f aca="false">0</f>
        <v>0</v>
      </c>
      <c r="H5162" s="38" t="n">
        <f aca="false">0</f>
        <v>0</v>
      </c>
      <c r="I5162" s="38" t="n">
        <f aca="false">0</f>
        <v>0</v>
      </c>
      <c r="J5162" s="38" t="n">
        <f aca="false">0</f>
        <v>0</v>
      </c>
      <c r="K5162" s="38" t="n">
        <f aca="false">0</f>
        <v>0</v>
      </c>
      <c r="L5162" s="38" t="n">
        <f aca="false">0</f>
        <v>0</v>
      </c>
      <c r="M5162" s="38" t="n">
        <f aca="false">0</f>
        <v>0</v>
      </c>
      <c r="P5162" s="8" t="s">
        <v>808</v>
      </c>
    </row>
    <row r="5163" customFormat="false" ht="15" hidden="false" customHeight="false" outlineLevel="0" collapsed="false">
      <c r="A5163" s="3" t="s">
        <v>809</v>
      </c>
      <c r="B5163" s="8" t="s">
        <v>86</v>
      </c>
      <c r="C5163" s="38" t="n">
        <f aca="false">Sens!$C$5160-Sens!$C$5161</f>
        <v>36.176</v>
      </c>
      <c r="D5163" s="38" t="n">
        <f aca="false">Sens!$D$5160-Sens!$D$5161</f>
        <v>9.63700000000002</v>
      </c>
      <c r="E5163" s="38" t="n">
        <f aca="false">Sens!$E$5160-Sens!$E$5161</f>
        <v>-25.691</v>
      </c>
      <c r="F5163" s="38" t="n">
        <f aca="false">Sens!$F$5160-Sens!$F$5161</f>
        <v>-33.2271793268317</v>
      </c>
      <c r="G5163" s="38" t="n">
        <f aca="false">Sens!$G$5160-Sens!$G$5161</f>
        <v>-58.9181793268317</v>
      </c>
      <c r="H5163" s="38" t="n">
        <f aca="false">Sens!$H$5160-Sens!$H$5161</f>
        <v>-53.2425534198061</v>
      </c>
      <c r="I5163" s="38" t="n">
        <f aca="false">Sens!$I$5160-Sens!$I$5161</f>
        <v>-12.5630594588732</v>
      </c>
      <c r="J5163" s="38" t="n">
        <f aca="false">Sens!$J$5160-Sens!$J$5161</f>
        <v>29.3851158848751</v>
      </c>
      <c r="K5163" s="38" t="n">
        <f aca="false">Sens!$K$5160-Sens!$K$5161</f>
        <v>127.764437332968</v>
      </c>
      <c r="L5163" s="38" t="n">
        <f aca="false">Sens!$L$5160-Sens!$L$5161</f>
        <v>187.111983826393</v>
      </c>
      <c r="M5163" s="38" t="n">
        <f aca="false">Sens!$M$5160-Sens!$M$5161</f>
        <v>216.679615395213</v>
      </c>
    </row>
    <row r="5164" customFormat="false" ht="17.15" hidden="false" customHeight="false" outlineLevel="0" collapsed="false">
      <c r="A5164" s="5" t="s">
        <v>810</v>
      </c>
      <c r="B5164" s="0" t="s">
        <v>86</v>
      </c>
      <c r="E5164" s="38" t="n">
        <f aca="false">Q!$P$53</f>
        <v>39.767</v>
      </c>
      <c r="F5164" s="38" t="n">
        <f aca="false">inv_2h26</f>
        <v>21.3</v>
      </c>
      <c r="G5164" s="38" t="n">
        <f aca="false">Sens!$E$5164+Sens!$F$5164</f>
        <v>61.067</v>
      </c>
      <c r="H5164" s="39" t="n">
        <v>0</v>
      </c>
      <c r="I5164" s="39" t="n">
        <v>0</v>
      </c>
      <c r="J5164" s="39" t="n">
        <v>0</v>
      </c>
      <c r="K5164" s="39" t="n">
        <v>0</v>
      </c>
      <c r="L5164" s="39" t="n">
        <v>0</v>
      </c>
      <c r="M5164" s="39" t="n">
        <v>0</v>
      </c>
    </row>
    <row r="5165" customFormat="false" ht="17.15" hidden="false" customHeight="false" outlineLevel="0" collapsed="false">
      <c r="A5165" s="5" t="s">
        <v>811</v>
      </c>
      <c r="B5165" s="0" t="s">
        <v>86</v>
      </c>
      <c r="F5165" s="38" t="n">
        <f aca="false">iss_2h26</f>
        <v>29.249999</v>
      </c>
      <c r="G5165" s="38" t="n">
        <f aca="false">Sens!$F$5165</f>
        <v>29.249999</v>
      </c>
      <c r="H5165" s="39" t="n">
        <v>0</v>
      </c>
      <c r="I5165" s="39" t="n">
        <v>0</v>
      </c>
      <c r="J5165" s="39" t="n">
        <v>0</v>
      </c>
      <c r="K5165" s="39" t="n">
        <v>0</v>
      </c>
      <c r="L5165" s="39" t="n">
        <v>0</v>
      </c>
      <c r="M5165" s="39" t="n">
        <v>0</v>
      </c>
    </row>
    <row r="5166" customFormat="false" ht="17.15" hidden="false" customHeight="false" outlineLevel="0" collapsed="false">
      <c r="A5166" s="5" t="s">
        <v>812</v>
      </c>
      <c r="B5166" s="0" t="s">
        <v>86</v>
      </c>
      <c r="F5166" s="38" t="n">
        <f aca="false">cash_q2</f>
        <v>122.988</v>
      </c>
      <c r="G5166" s="38" t="n">
        <f aca="false">cash_q2</f>
        <v>122.988</v>
      </c>
      <c r="H5166" s="38" t="n">
        <f aca="false">Sens!$G$5169</f>
        <v>97.7108196731683</v>
      </c>
      <c r="I5166" s="38" t="n">
        <f aca="false">Sens!$H$5169</f>
        <v>50</v>
      </c>
      <c r="J5166" s="38" t="n">
        <f aca="false">Sens!$I$5169</f>
        <v>50</v>
      </c>
      <c r="K5166" s="38" t="n">
        <f aca="false">Sens!$J$5169</f>
        <v>79.3851158848751</v>
      </c>
      <c r="L5166" s="38" t="n">
        <f aca="false">Sens!$K$5169</f>
        <v>207.149553217843</v>
      </c>
      <c r="M5166" s="38" t="n">
        <f aca="false">Sens!$L$5169</f>
        <v>394.261537044236</v>
      </c>
    </row>
    <row r="5167" customFormat="false" ht="15" hidden="false" customHeight="false" outlineLevel="0" collapsed="false">
      <c r="A5167" s="5" t="s">
        <v>813</v>
      </c>
      <c r="B5167" s="0" t="s">
        <v>86</v>
      </c>
      <c r="F5167" s="38" t="n">
        <f aca="false">Sens!$F$5166+Sens!$F$5163-Sens!$F$5162-Sens!$F$5164+Sens!$F$5165</f>
        <v>97.7108196731683</v>
      </c>
      <c r="H5167" s="38" t="n">
        <f aca="false">Sens!$H$5166+Sens!$H$5163-Sens!$H$5162-Sens!$H$5164+Sens!$H$5165</f>
        <v>44.4682662533622</v>
      </c>
      <c r="I5167" s="38" t="n">
        <f aca="false">Sens!$I$5166+Sens!$I$5163-Sens!$I$5162-Sens!$I$5164+Sens!$I$5165</f>
        <v>37.4369405411268</v>
      </c>
      <c r="J5167" s="38" t="n">
        <f aca="false">Sens!$J$5166+Sens!$J$5163-Sens!$J$5162-Sens!$J$5164+Sens!$J$5165</f>
        <v>79.3851158848751</v>
      </c>
      <c r="K5167" s="38" t="n">
        <f aca="false">Sens!$K$5166+Sens!$K$5163-Sens!$K$5162-Sens!$K$5164+Sens!$K$5165</f>
        <v>207.149553217843</v>
      </c>
      <c r="L5167" s="38" t="n">
        <f aca="false">Sens!$L$5166+Sens!$L$5163-Sens!$L$5162-Sens!$L$5164+Sens!$L$5165</f>
        <v>394.261537044236</v>
      </c>
      <c r="M5167" s="38" t="n">
        <f aca="false">Sens!$M$5166+Sens!$M$5163-Sens!$M$5162-Sens!$M$5164+Sens!$M$5165</f>
        <v>610.941152439449</v>
      </c>
    </row>
    <row r="5168" customFormat="false" ht="17.15" hidden="false" customHeight="false" outlineLevel="0" collapsed="false">
      <c r="A5168" s="5" t="s">
        <v>814</v>
      </c>
      <c r="B5168" s="0" t="s">
        <v>86</v>
      </c>
      <c r="F5168" s="38" t="n">
        <f aca="false">MAX(0,min_cash-Sens!$F$5167)</f>
        <v>0</v>
      </c>
      <c r="G5168" s="38" t="n">
        <f aca="false">Sens!$F$5168</f>
        <v>0</v>
      </c>
      <c r="H5168" s="38" t="n">
        <f aca="false">MAX(0,min_cash-Sens!$H$5167)</f>
        <v>5.53173374663779</v>
      </c>
      <c r="I5168" s="38" t="n">
        <f aca="false">MAX(0,min_cash-Sens!$I$5167)</f>
        <v>12.5630594588732</v>
      </c>
      <c r="J5168" s="38" t="n">
        <f aca="false">MAX(0,min_cash-Sens!$J$5167)</f>
        <v>0</v>
      </c>
      <c r="K5168" s="38" t="n">
        <f aca="false">MAX(0,min_cash-Sens!$K$5167)</f>
        <v>0</v>
      </c>
      <c r="L5168" s="38" t="n">
        <f aca="false">MAX(0,min_cash-Sens!$L$5167)</f>
        <v>0</v>
      </c>
      <c r="M5168" s="38" t="n">
        <f aca="false">MAX(0,min_cash-Sens!$M$5167)</f>
        <v>0</v>
      </c>
      <c r="P5168" s="5" t="s">
        <v>815</v>
      </c>
    </row>
    <row r="5169" customFormat="false" ht="15" hidden="false" customHeight="false" outlineLevel="0" collapsed="false">
      <c r="A5169" s="5" t="s">
        <v>816</v>
      </c>
      <c r="B5169" s="0" t="s">
        <v>86</v>
      </c>
      <c r="D5169" s="38" t="n">
        <f aca="false">Q!$E$61</f>
        <v>123.029</v>
      </c>
      <c r="E5169" s="38" t="n">
        <f aca="false">Q!$M$61</f>
        <v>122.988</v>
      </c>
      <c r="F5169" s="38" t="n">
        <f aca="false">Sens!$F$5167+Sens!$F$5168</f>
        <v>97.7108196731683</v>
      </c>
      <c r="G5169" s="38" t="n">
        <f aca="false">Sens!$F$5169</f>
        <v>97.7108196731683</v>
      </c>
      <c r="H5169" s="38" t="n">
        <f aca="false">Sens!$H$5167+Sens!$H$5168</f>
        <v>50</v>
      </c>
      <c r="I5169" s="38" t="n">
        <f aca="false">Sens!$I$5167+Sens!$I$5168</f>
        <v>50</v>
      </c>
      <c r="J5169" s="38" t="n">
        <f aca="false">Sens!$J$5167+Sens!$J$5168</f>
        <v>79.3851158848751</v>
      </c>
      <c r="K5169" s="38" t="n">
        <f aca="false">Sens!$K$5167+Sens!$K$5168</f>
        <v>207.149553217843</v>
      </c>
      <c r="L5169" s="38" t="n">
        <f aca="false">Sens!$L$5167+Sens!$L$5168</f>
        <v>394.261537044236</v>
      </c>
      <c r="M5169" s="38" t="n">
        <f aca="false">Sens!$M$5167+Sens!$M$5168</f>
        <v>610.941152439449</v>
      </c>
    </row>
    <row r="5170" customFormat="false" ht="15" hidden="false" customHeight="false" outlineLevel="0" collapsed="false">
      <c r="A5170" s="5" t="s">
        <v>817</v>
      </c>
      <c r="B5170" s="0" t="s">
        <v>86</v>
      </c>
      <c r="D5170" s="38" t="n">
        <f aca="false">Q!$E$62</f>
        <v>68.836</v>
      </c>
      <c r="E5170" s="38" t="n">
        <f aca="false">Q!$M$62</f>
        <v>132.995</v>
      </c>
      <c r="F5170" s="38" t="n">
        <f aca="false">debt_q2+Sens!$F$5165+Sens!$F$5168</f>
        <v>162.244999</v>
      </c>
      <c r="G5170" s="38" t="n">
        <f aca="false">Sens!$F$5170</f>
        <v>162.244999</v>
      </c>
      <c r="H5170" s="38" t="n">
        <f aca="false">Sens!$G$5170+Sens!$H$5168</f>
        <v>167.776732746638</v>
      </c>
      <c r="I5170" s="38" t="n">
        <f aca="false">Sens!$H$5170+Sens!$I$5168</f>
        <v>180.339792205511</v>
      </c>
      <c r="J5170" s="38" t="n">
        <f aca="false">Sens!$I$5170+Sens!$J$5168</f>
        <v>180.339792205511</v>
      </c>
      <c r="K5170" s="38" t="n">
        <f aca="false">Sens!$J$5170+Sens!$K$5168</f>
        <v>180.339792205511</v>
      </c>
      <c r="L5170" s="38" t="n">
        <f aca="false">Sens!$K$5170+Sens!$L$5168</f>
        <v>180.339792205511</v>
      </c>
      <c r="M5170" s="38" t="n">
        <f aca="false">Sens!$L$5170+Sens!$M$5168</f>
        <v>180.339792205511</v>
      </c>
    </row>
    <row r="5171" customFormat="false" ht="15" hidden="false" customHeight="false" outlineLevel="0" collapsed="false">
      <c r="A5171" s="5" t="s">
        <v>818</v>
      </c>
      <c r="B5171" s="0" t="s">
        <v>86</v>
      </c>
      <c r="D5171" s="38" t="n">
        <f aca="false">Sens!$D$5170-Sens!$D$5169</f>
        <v>-54.193</v>
      </c>
      <c r="E5171" s="38" t="n">
        <f aca="false">Sens!$E$5170-Sens!$E$5169</f>
        <v>10.007</v>
      </c>
      <c r="F5171" s="38" t="n">
        <f aca="false">Sens!$F$5170-Sens!$F$5169</f>
        <v>64.5341793268317</v>
      </c>
      <c r="G5171" s="38" t="n">
        <f aca="false">Sens!$G$5170-Sens!$G$5169</f>
        <v>64.5341793268317</v>
      </c>
      <c r="H5171" s="38" t="n">
        <f aca="false">Sens!$H$5170-Sens!$H$5169</f>
        <v>117.776732746638</v>
      </c>
      <c r="I5171" s="38" t="n">
        <f aca="false">Sens!$I$5170-Sens!$I$5169</f>
        <v>130.339792205511</v>
      </c>
      <c r="J5171" s="38" t="n">
        <f aca="false">Sens!$J$5170-Sens!$J$5169</f>
        <v>100.954676320636</v>
      </c>
      <c r="K5171" s="38" t="n">
        <f aca="false">Sens!$K$5170-Sens!$K$5169</f>
        <v>-26.809761012332</v>
      </c>
      <c r="L5171" s="38" t="n">
        <f aca="false">Sens!$L$5170-Sens!$L$5169</f>
        <v>-213.921744838725</v>
      </c>
      <c r="M5171" s="38" t="n">
        <f aca="false">Sens!$M$5170-Sens!$M$5169</f>
        <v>-430.601360233938</v>
      </c>
    </row>
    <row r="5172" customFormat="false" ht="17.15" hidden="false" customHeight="false" outlineLevel="0" collapsed="false">
      <c r="A5172" s="5" t="s">
        <v>819</v>
      </c>
      <c r="B5172" s="0" t="s">
        <v>86</v>
      </c>
      <c r="F5172" s="38" t="n">
        <f aca="false">debt_q2*kd_book*0.5+iss_2h26*kd_new*iss_t</f>
        <v>3.24888962733561</v>
      </c>
      <c r="H5172" s="38" t="n">
        <f aca="false">debt_q2*kd_book+(Sens!$G$5170-debt_q2)*kd_new</f>
        <v>7.42354172302123</v>
      </c>
      <c r="I5172" s="38" t="n">
        <f aca="false">debt_q2*kd_book+(Sens!$H$5170-debt_q2)*kd_new</f>
        <v>7.7737004691834</v>
      </c>
      <c r="J5172" s="38" t="n">
        <f aca="false">debt_q2*kd_book+(Sens!$I$5170-debt_q2)*kd_new</f>
        <v>8.56894213293007</v>
      </c>
      <c r="K5172" s="38" t="n">
        <f aca="false">debt_q2*kd_book+(Sens!$J$5170-debt_q2)*kd_new</f>
        <v>8.56894213293007</v>
      </c>
      <c r="L5172" s="38" t="n">
        <f aca="false">debt_q2*kd_book+(Sens!$K$5170-debt_q2)*kd_new</f>
        <v>8.56894213293007</v>
      </c>
      <c r="M5172" s="38" t="n">
        <f aca="false">debt_q2*kd_book+(Sens!$L$5170-debt_q2)*kd_new</f>
        <v>8.56894213293007</v>
      </c>
    </row>
    <row r="5173" customFormat="false" ht="17.15" hidden="false" customHeight="false" outlineLevel="0" collapsed="false">
      <c r="A5173" s="5" t="s">
        <v>820</v>
      </c>
      <c r="B5173" s="0" t="s">
        <v>86</v>
      </c>
      <c r="F5173" s="38" t="n">
        <f aca="false">cash_q2*y_cash*0.5</f>
        <v>2.59</v>
      </c>
      <c r="H5173" s="38" t="n">
        <f aca="false">Sens!$G$5169*y_cash</f>
        <v>4.1153774832261</v>
      </c>
      <c r="I5173" s="38" t="n">
        <f aca="false">Sens!$H$5169*y_cash</f>
        <v>2.10589651022864</v>
      </c>
      <c r="J5173" s="38" t="n">
        <f aca="false">Sens!$I$5169*y_cash</f>
        <v>2.10589651022864</v>
      </c>
      <c r="K5173" s="38" t="n">
        <f aca="false">Sens!$J$5169*y_cash</f>
        <v>3.34353677012109</v>
      </c>
      <c r="L5173" s="38" t="n">
        <f aca="false">Sens!$K$5169*y_cash</f>
        <v>8.72471042433755</v>
      </c>
      <c r="M5173" s="38" t="n">
        <f aca="false">Sens!$L$5169*y_cash</f>
        <v>16.6054798995767</v>
      </c>
    </row>
    <row r="5174" customFormat="false" ht="17.15" hidden="false" customHeight="false" outlineLevel="0" collapsed="false">
      <c r="A5174" s="47" t="s">
        <v>821</v>
      </c>
      <c r="B5174" s="14" t="s">
        <v>86</v>
      </c>
      <c r="C5174" s="14"/>
      <c r="D5174" s="14"/>
      <c r="E5174" s="14"/>
      <c r="F5174" s="14"/>
      <c r="G5174" s="48" t="n">
        <f aca="false">SUM(Sens!$G$5163:$K$5163)</f>
        <v>32.425761012332</v>
      </c>
      <c r="H5174" s="14"/>
      <c r="I5174" s="14"/>
      <c r="J5174" s="14"/>
      <c r="K5174" s="14"/>
      <c r="L5174" s="14"/>
      <c r="M5174" s="14"/>
      <c r="N5174" s="14"/>
      <c r="O5174" s="14"/>
    </row>
    <row r="5175" customFormat="false" ht="17.15" hidden="false" customHeight="false" outlineLevel="0" collapsed="false">
      <c r="A5175" s="0" t="s">
        <v>787</v>
      </c>
      <c r="B5175" s="0" t="s">
        <v>86</v>
      </c>
      <c r="G5175" s="38" t="n">
        <f aca="false">SUM(Sens!$G$5168:$K$5168)</f>
        <v>18.094793205511</v>
      </c>
    </row>
    <row r="5176" customFormat="false" ht="17.15" hidden="false" customHeight="false" outlineLevel="0" collapsed="false">
      <c r="A5176" s="24" t="s">
        <v>824</v>
      </c>
      <c r="B5176" s="25" t="s">
        <v>86</v>
      </c>
      <c r="C5176" s="25"/>
      <c r="D5176" s="25"/>
      <c r="E5176" s="25"/>
      <c r="F5176" s="25"/>
      <c r="G5176" s="41" t="n">
        <f aca="false">Sens!$G$5174-(Sens!$G$5163+Sens!$H$5163+Sens!$I$5163+Sens!$J$5163+Sens!$K$5163)</f>
        <v>0</v>
      </c>
      <c r="H5176" s="25"/>
      <c r="I5176" s="25"/>
      <c r="J5176" s="25"/>
      <c r="K5176" s="25"/>
      <c r="L5176" s="25"/>
      <c r="M5176" s="25"/>
      <c r="N5176" s="25"/>
      <c r="O5176" s="25"/>
    </row>
    <row r="5179" customFormat="false" ht="19.4" hidden="false" customHeight="false" outlineLevel="0" collapsed="false">
      <c r="A5179" s="31" t="s">
        <v>1256</v>
      </c>
    </row>
    <row r="5180" customFormat="false" ht="17.15" hidden="false" customHeight="false" outlineLevel="0" collapsed="false">
      <c r="A5180" s="6" t="s">
        <v>16</v>
      </c>
      <c r="B5180" s="6" t="s">
        <v>17</v>
      </c>
      <c r="C5180" s="20" t="s">
        <v>504</v>
      </c>
      <c r="D5180" s="20" t="s">
        <v>505</v>
      </c>
      <c r="E5180" s="20" t="s">
        <v>587</v>
      </c>
      <c r="F5180" s="20" t="s">
        <v>588</v>
      </c>
      <c r="G5180" s="20" t="s">
        <v>589</v>
      </c>
      <c r="H5180" s="20" t="s">
        <v>590</v>
      </c>
      <c r="I5180" s="20" t="s">
        <v>591</v>
      </c>
      <c r="J5180" s="20" t="s">
        <v>592</v>
      </c>
      <c r="K5180" s="20" t="s">
        <v>593</v>
      </c>
      <c r="L5180" s="20" t="s">
        <v>594</v>
      </c>
      <c r="M5180" s="20" t="s">
        <v>595</v>
      </c>
      <c r="N5180" s="20" t="s">
        <v>596</v>
      </c>
      <c r="O5180" s="20" t="s">
        <v>597</v>
      </c>
      <c r="P5180" s="6" t="s">
        <v>23</v>
      </c>
      <c r="R5180" s="20" t="n">
        <v>2023</v>
      </c>
      <c r="S5180" s="20" t="n">
        <v>2024</v>
      </c>
      <c r="T5180" s="20" t="n">
        <v>2025</v>
      </c>
      <c r="U5180" s="20" t="n">
        <v>2026</v>
      </c>
      <c r="V5180" s="20" t="n">
        <v>2027</v>
      </c>
      <c r="W5180" s="20" t="n">
        <v>2028</v>
      </c>
      <c r="X5180" s="20" t="n">
        <v>2029</v>
      </c>
      <c r="Y5180" s="20" t="n">
        <v>2030</v>
      </c>
      <c r="Z5180" s="20" t="n">
        <v>2031</v>
      </c>
      <c r="AA5180" s="20" t="n">
        <v>2032</v>
      </c>
    </row>
    <row r="5181" customFormat="false" ht="17.15" hidden="false" customHeight="false" outlineLevel="0" collapsed="false">
      <c r="A5181" s="1" t="s">
        <v>926</v>
      </c>
    </row>
    <row r="5182" customFormat="false" ht="17.15" hidden="false" customHeight="false" outlineLevel="0" collapsed="false">
      <c r="A5182" s="0" t="s">
        <v>927</v>
      </c>
      <c r="B5182" s="0" t="s">
        <v>86</v>
      </c>
      <c r="H5182" s="38" t="n">
        <f aca="false">Sens!$H$5116*(1-tax)</f>
        <v>120.678543977278</v>
      </c>
      <c r="I5182" s="38" t="n">
        <f aca="false">Sens!$I$5116*(1-tax)</f>
        <v>143.666019673302</v>
      </c>
      <c r="J5182" s="38" t="n">
        <f aca="false">Sens!$J$5116*(1-tax)</f>
        <v>169.074092250889</v>
      </c>
      <c r="K5182" s="38" t="n">
        <f aca="false">Sens!$K$5116*(1-tax)</f>
        <v>187.711753628453</v>
      </c>
      <c r="L5182" s="38" t="n">
        <f aca="false">Sens!$L$5116*(1-tax)</f>
        <v>201.90961624639</v>
      </c>
      <c r="M5182" s="38" t="n">
        <f aca="false">Sens!$M$5116*(1-tax)</f>
        <v>214.378004922925</v>
      </c>
    </row>
    <row r="5183" customFormat="false" ht="15" hidden="false" customHeight="false" outlineLevel="0" collapsed="false">
      <c r="A5183" s="5" t="s">
        <v>928</v>
      </c>
      <c r="B5183" s="0" t="s">
        <v>86</v>
      </c>
      <c r="H5183" s="38" t="n">
        <f aca="false">Sens!$H$5127</f>
        <v>81.5618233196153</v>
      </c>
      <c r="I5183" s="38" t="n">
        <f aca="false">Sens!$I$5127</f>
        <v>118.756208740204</v>
      </c>
      <c r="J5183" s="38" t="n">
        <f aca="false">Sens!$J$5127</f>
        <v>152.469489406791</v>
      </c>
      <c r="K5183" s="38" t="n">
        <f aca="false">Sens!$K$5127</f>
        <v>186.391502623819</v>
      </c>
      <c r="L5183" s="38" t="n">
        <f aca="false">Sens!$L$5127</f>
        <v>211.926422215482</v>
      </c>
      <c r="M5183" s="38" t="n">
        <f aca="false">Sens!$M$5127</f>
        <v>229.012482097906</v>
      </c>
    </row>
    <row r="5184" customFormat="false" ht="15" hidden="false" customHeight="false" outlineLevel="0" collapsed="false">
      <c r="A5184" s="5" t="s">
        <v>929</v>
      </c>
      <c r="B5184" s="0" t="s">
        <v>86</v>
      </c>
      <c r="H5184" s="38" t="n">
        <f aca="false">Sens!$H$5158</f>
        <v>273.372679834898</v>
      </c>
      <c r="I5184" s="38" t="n">
        <f aca="false">Sens!$I$5158</f>
        <v>286.981812228425</v>
      </c>
      <c r="J5184" s="38" t="n">
        <f aca="false">Sens!$J$5158</f>
        <v>299.316513378366</v>
      </c>
      <c r="K5184" s="38" t="n">
        <f aca="false">Sens!$K$5158</f>
        <v>251.057145512292</v>
      </c>
      <c r="L5184" s="38" t="n">
        <f aca="false">Sens!$L$5158</f>
        <v>234.696330860396</v>
      </c>
      <c r="M5184" s="38" t="n">
        <f aca="false">Sens!$M$5158</f>
        <v>242.291696043352</v>
      </c>
    </row>
    <row r="5185" customFormat="false" ht="15" hidden="false" customHeight="false" outlineLevel="0" collapsed="false">
      <c r="A5185" s="5" t="s">
        <v>930</v>
      </c>
      <c r="B5185" s="0" t="s">
        <v>86</v>
      </c>
      <c r="H5185" s="38" t="n">
        <f aca="false">Sens!$H$5159</f>
        <v>1.6</v>
      </c>
      <c r="I5185" s="38" t="n">
        <f aca="false">Sens!$I$5159</f>
        <v>1.6</v>
      </c>
      <c r="J5185" s="38" t="n">
        <f aca="false">Sens!$J$5159</f>
        <v>1.6</v>
      </c>
      <c r="K5185" s="38" t="n">
        <f aca="false">Sens!$K$5159</f>
        <v>1.6</v>
      </c>
      <c r="L5185" s="38" t="n">
        <f aca="false">Sens!$L$5159</f>
        <v>1.6</v>
      </c>
      <c r="M5185" s="38" t="n">
        <f aca="false">Sens!$M$5159</f>
        <v>1.6</v>
      </c>
    </row>
    <row r="5186" customFormat="false" ht="15" hidden="false" customHeight="false" outlineLevel="0" collapsed="false">
      <c r="A5186" s="5" t="s">
        <v>931</v>
      </c>
      <c r="B5186" s="0" t="s">
        <v>86</v>
      </c>
      <c r="H5186" s="38" t="n">
        <f aca="false">Sens!$H$5153</f>
        <v>11.2928295263397</v>
      </c>
      <c r="I5186" s="38" t="n">
        <f aca="false">Sens!$I$5153</f>
        <v>12.8091546115766</v>
      </c>
      <c r="J5186" s="38" t="n">
        <f aca="false">Sens!$J$5153</f>
        <v>14.2605653162668</v>
      </c>
      <c r="K5186" s="38" t="n">
        <f aca="false">Sens!$K$5153</f>
        <v>15.5327622460396</v>
      </c>
      <c r="L5186" s="38" t="n">
        <f aca="false">Sens!$L$5153</f>
        <v>16.720573737517</v>
      </c>
      <c r="M5186" s="38" t="n">
        <f aca="false">Sens!$M$5153</f>
        <v>17.8283127551536</v>
      </c>
    </row>
    <row r="5187" customFormat="false" ht="17.15" hidden="false" customHeight="false" outlineLevel="0" collapsed="false">
      <c r="A5187" s="1" t="s">
        <v>932</v>
      </c>
      <c r="B5187" s="8" t="s">
        <v>86</v>
      </c>
      <c r="H5187" s="38" t="n">
        <f aca="false">Sens!$H$5182+Sens!$H$5183-Sens!$H$5184-Sens!$H$5185+Sens!$H$5186</f>
        <v>-61.4394830116656</v>
      </c>
      <c r="I5187" s="38" t="n">
        <f aca="false">Sens!$I$5182+Sens!$I$5183-Sens!$I$5184-Sens!$I$5185+Sens!$I$5186</f>
        <v>-13.3504292033428</v>
      </c>
      <c r="J5187" s="38" t="n">
        <f aca="false">Sens!$J$5182+Sens!$J$5183-Sens!$J$5184-Sens!$J$5185+Sens!$J$5186</f>
        <v>34.8876335955811</v>
      </c>
      <c r="K5187" s="38" t="n">
        <f aca="false">Sens!$K$5182+Sens!$K$5183-Sens!$K$5184-Sens!$K$5185+Sens!$K$5186</f>
        <v>136.978872986019</v>
      </c>
      <c r="L5187" s="38" t="n">
        <f aca="false">Sens!$L$5182+Sens!$L$5183-Sens!$L$5184-Sens!$L$5185+Sens!$L$5186</f>
        <v>194.260281338994</v>
      </c>
      <c r="M5187" s="38" t="n">
        <f aca="false">Sens!$M$5182+Sens!$M$5183-Sens!$M$5184-Sens!$M$5185+Sens!$M$5186</f>
        <v>217.327103732633</v>
      </c>
    </row>
    <row r="5188" customFormat="false" ht="15" hidden="false" customHeight="false" outlineLevel="0" collapsed="false">
      <c r="A5188" s="5" t="s">
        <v>933</v>
      </c>
      <c r="B5188" s="0" t="s">
        <v>57</v>
      </c>
      <c r="H5188" s="40" t="n">
        <f aca="false">1/(1+wacc)^(2027-2026-0.5)</f>
        <v>0.947751320380232</v>
      </c>
      <c r="I5188" s="40" t="n">
        <f aca="false">1/(1+wacc)^(2028-2026-0.5)</f>
        <v>0.851301099754987</v>
      </c>
      <c r="J5188" s="40" t="n">
        <f aca="false">1/(1+wacc)^(2029-2026-0.5)</f>
        <v>0.764666370660713</v>
      </c>
      <c r="K5188" s="40" t="n">
        <f aca="false">1/(1+wacc)^(2030-2026-0.5)</f>
        <v>0.686848235703811</v>
      </c>
      <c r="L5188" s="40" t="n">
        <f aca="false">1/(1+wacc)^(2031-2026-0.5)</f>
        <v>0.616949452715975</v>
      </c>
      <c r="M5188" s="40" t="n">
        <f aca="false">1/(1+wacc)^(2032-2026-0.5)</f>
        <v>0.554164089562688</v>
      </c>
    </row>
    <row r="5189" customFormat="false" ht="15" hidden="false" customHeight="false" outlineLevel="0" collapsed="false">
      <c r="A5189" s="5" t="s">
        <v>934</v>
      </c>
      <c r="B5189" s="0" t="s">
        <v>86</v>
      </c>
      <c r="H5189" s="38" t="n">
        <f aca="false">Sens!$H$5187*Sens!$H$5188</f>
        <v>-58.2293511477849</v>
      </c>
      <c r="I5189" s="38" t="n">
        <f aca="false">Sens!$I$5187*Sens!$I$5188</f>
        <v>-11.3652350630068</v>
      </c>
      <c r="J5189" s="38" t="n">
        <f aca="false">Sens!$J$5187*Sens!$J$5188</f>
        <v>26.6774001624738</v>
      </c>
      <c r="K5189" s="38" t="n">
        <f aca="false">Sens!$K$5187*Sens!$K$5188</f>
        <v>94.0836972391437</v>
      </c>
      <c r="L5189" s="38" t="n">
        <f aca="false">Sens!$L$5187*Sens!$L$5188</f>
        <v>119.848774256544</v>
      </c>
      <c r="M5189" s="38" t="n">
        <f aca="false">Sens!$M$5187*Sens!$M$5188</f>
        <v>120.43487657729</v>
      </c>
    </row>
    <row r="5190" customFormat="false" ht="15" hidden="false" customHeight="false" outlineLevel="0" collapsed="false">
      <c r="A5190" s="5" t="s">
        <v>935</v>
      </c>
      <c r="B5190" s="0" t="s">
        <v>86</v>
      </c>
      <c r="C5190" s="38" t="n">
        <f aca="false">SUM(Sens!$H$5189:$M$5189)</f>
        <v>291.45016202466</v>
      </c>
    </row>
    <row r="5191" customFormat="false" ht="17.15" hidden="false" customHeight="false" outlineLevel="0" collapsed="false">
      <c r="A5191" s="5" t="s">
        <v>936</v>
      </c>
      <c r="B5191" s="0" t="s">
        <v>86</v>
      </c>
      <c r="C5191" s="38" t="n">
        <f aca="false">Sens!$M$5182*(1+tg)*(1-tg/ronic)/(wacc-tg)</f>
        <v>1948.93528574875</v>
      </c>
    </row>
    <row r="5192" customFormat="false" ht="15" hidden="false" customHeight="false" outlineLevel="0" collapsed="false">
      <c r="A5192" s="5" t="s">
        <v>937</v>
      </c>
      <c r="B5192" s="0" t="s">
        <v>86</v>
      </c>
      <c r="C5192" s="38" t="n">
        <f aca="false">Sens!$C$5191/(1+wacc)^6</f>
        <v>1023.59980949802</v>
      </c>
    </row>
    <row r="5193" customFormat="false" ht="17.15" hidden="false" customHeight="false" outlineLevel="0" collapsed="false">
      <c r="A5193" s="5" t="s">
        <v>938</v>
      </c>
      <c r="B5193" s="0" t="s">
        <v>86</v>
      </c>
      <c r="C5193" s="38" t="n">
        <f aca="false">Sens!$C$5190+Sens!$C$5192</f>
        <v>1315.04997152268</v>
      </c>
    </row>
    <row r="5194" customFormat="false" ht="17.15" hidden="false" customHeight="false" outlineLevel="0" collapsed="false">
      <c r="A5194" s="5" t="s">
        <v>939</v>
      </c>
      <c r="B5194" s="0" t="s">
        <v>52</v>
      </c>
      <c r="C5194" s="13" t="n">
        <f aca="false">Sens!$C$5192/Sens!$C$5193</f>
        <v>0.778373317869287</v>
      </c>
    </row>
    <row r="5195" customFormat="false" ht="17.15" hidden="false" customHeight="false" outlineLevel="0" collapsed="false">
      <c r="A5195" s="5" t="s">
        <v>940</v>
      </c>
      <c r="B5195" s="0" t="s">
        <v>86</v>
      </c>
      <c r="C5195" s="38" t="n">
        <f aca="false">Sens!$G$5171+fin_debt</f>
        <v>89.0551793268317</v>
      </c>
    </row>
    <row r="5196" customFormat="false" ht="17.15" hidden="false" customHeight="false" outlineLevel="0" collapsed="false">
      <c r="A5196" s="5" t="s">
        <v>941</v>
      </c>
      <c r="B5196" s="0" t="s">
        <v>86</v>
      </c>
      <c r="C5196" s="38" t="n">
        <f aca="false">(ant_val*ant_sh+oai_val*oai_sh)*(1-liq_disc)</f>
        <v>178.944</v>
      </c>
    </row>
    <row r="5197" customFormat="false" ht="15" hidden="false" customHeight="false" outlineLevel="0" collapsed="false">
      <c r="A5197" s="5" t="s">
        <v>942</v>
      </c>
      <c r="B5197" s="0" t="s">
        <v>86</v>
      </c>
      <c r="C5197" s="38" t="n">
        <f aca="false">Sens!$C$5193-Sens!$C$5195+Sens!$C$5196</f>
        <v>1404.93879219585</v>
      </c>
    </row>
    <row r="5198" customFormat="false" ht="17.15" hidden="false" customHeight="false" outlineLevel="0" collapsed="false">
      <c r="A5198" s="5" t="s">
        <v>943</v>
      </c>
      <c r="B5198" s="0" t="s">
        <v>27</v>
      </c>
      <c r="C5198" s="30" t="n">
        <f aca="false">Sens!$C$5197/sh_out</f>
        <v>130.251983411186</v>
      </c>
    </row>
    <row r="5199" customFormat="false" ht="17.15" hidden="false" customHeight="false" outlineLevel="0" collapsed="false">
      <c r="A5199" s="1" t="s">
        <v>944</v>
      </c>
      <c r="B5199" s="8" t="s">
        <v>27</v>
      </c>
      <c r="C5199" s="30" t="n">
        <f aca="false">Sens!$C$5198*(1+ke)^tp_yf-dps*tp_yf</f>
        <v>142.673964820145</v>
      </c>
    </row>
    <row r="5200" customFormat="false" ht="17.15" hidden="false" customHeight="false" outlineLevel="0" collapsed="false">
      <c r="A5200" s="3" t="s">
        <v>945</v>
      </c>
    </row>
    <row r="5201" customFormat="false" ht="17.15" hidden="false" customHeight="false" outlineLevel="0" collapsed="false">
      <c r="A5201" s="5" t="s">
        <v>946</v>
      </c>
      <c r="B5201" s="0" t="s">
        <v>86</v>
      </c>
      <c r="C5201" s="38" t="n">
        <f aca="false">(1-tp_yf)*(Sens!$H$5128+sbc_ab*Sens!$H$5152*Sens!$H$4989/Sens!$H$5069)+tp_yf*(Sens!$I$5128+sbc_ab*Sens!$I$5152*Sens!$I$4989/Sens!$I$5069)</f>
        <v>59.634664536349</v>
      </c>
    </row>
    <row r="5202" customFormat="false" ht="15" hidden="false" customHeight="false" outlineLevel="0" collapsed="false">
      <c r="A5202" s="5" t="s">
        <v>947</v>
      </c>
      <c r="B5202" s="0" t="s">
        <v>57</v>
      </c>
      <c r="C5202" s="30" t="n">
        <f aca="false">m_ads*m_x</f>
        <v>9.11</v>
      </c>
    </row>
    <row r="5203" customFormat="false" ht="17.15" hidden="false" customHeight="false" outlineLevel="0" collapsed="false">
      <c r="A5203" s="5" t="s">
        <v>948</v>
      </c>
      <c r="B5203" s="0" t="s">
        <v>86</v>
      </c>
      <c r="C5203" s="38" t="n">
        <f aca="false">Sens!$C$5201*Sens!$C$5202</f>
        <v>543.271793926139</v>
      </c>
    </row>
    <row r="5204" customFormat="false" ht="17.15" hidden="false" customHeight="false" outlineLevel="0" collapsed="false">
      <c r="A5204" s="5" t="s">
        <v>949</v>
      </c>
      <c r="B5204" s="0" t="s">
        <v>86</v>
      </c>
      <c r="C5204" s="38" t="n">
        <f aca="false">(1-tp_yf)*(Sens!$H$5129+sbc_ab*Sens!$H$5152*(Sens!$H$4996-Sens!$H$4989)/Sens!$H$5069+IF(internal_ai_reading=2,1,0)*(1-ext_sh)*Sens!$H$5026)+tp_yf*(Sens!$I$5129+sbc_ab*Sens!$I$5152*(Sens!$I$4996-Sens!$I$4989)/Sens!$I$5069+IF(internal_ai_reading=2,1,0)*(1-ext_sh)*Sens!$I$5026)</f>
        <v>54.3311082179534</v>
      </c>
    </row>
    <row r="5205" customFormat="false" ht="17.15" hidden="false" customHeight="false" outlineLevel="0" collapsed="false">
      <c r="A5205" s="5" t="s">
        <v>950</v>
      </c>
      <c r="B5205" s="0" t="s">
        <v>57</v>
      </c>
      <c r="C5205" s="30" t="n">
        <f aca="false">m_retail*m_x</f>
        <v>17.72</v>
      </c>
    </row>
    <row r="5206" customFormat="false" ht="17.15" hidden="false" customHeight="false" outlineLevel="0" collapsed="false">
      <c r="A5206" s="5" t="s">
        <v>951</v>
      </c>
      <c r="B5206" s="0" t="s">
        <v>86</v>
      </c>
      <c r="C5206" s="38" t="n">
        <f aca="false">Sens!$C$5204*Sens!$C$5205</f>
        <v>962.747237622134</v>
      </c>
    </row>
    <row r="5207" customFormat="false" ht="17.15" hidden="false" customHeight="false" outlineLevel="0" collapsed="false">
      <c r="A5207" s="0" t="s">
        <v>952</v>
      </c>
      <c r="B5207" s="0" t="s">
        <v>86</v>
      </c>
      <c r="C5207" s="38" t="n">
        <f aca="false">(1-tp_yf)*(Sens!$H$5130+sbc_ab*Sens!$H$5152*Sens!$H$5067/Sens!$H$5069)+tp_yf*(Sens!$I$5130+sbc_ab*Sens!$I$5152*Sens!$I$5067/Sens!$I$5069)</f>
        <v>97.2337130506861</v>
      </c>
    </row>
    <row r="5208" customFormat="false" ht="17.15" hidden="false" customHeight="false" outlineLevel="0" collapsed="false">
      <c r="A5208" s="0" t="s">
        <v>953</v>
      </c>
      <c r="B5208" s="0" t="s">
        <v>57</v>
      </c>
      <c r="C5208" s="30" t="n">
        <f aca="false">m_cloud*m_x</f>
        <v>13.82</v>
      </c>
    </row>
    <row r="5209" customFormat="false" ht="17.15" hidden="false" customHeight="false" outlineLevel="0" collapsed="false">
      <c r="A5209" s="0" t="s">
        <v>954</v>
      </c>
      <c r="B5209" s="0" t="s">
        <v>86</v>
      </c>
      <c r="C5209" s="38" t="n">
        <f aca="false">Sens!$C$5207*Sens!$C$5208</f>
        <v>1343.76991436048</v>
      </c>
    </row>
    <row r="5210" customFormat="false" ht="17.15" hidden="false" customHeight="false" outlineLevel="0" collapsed="false">
      <c r="A5210" s="0" t="s">
        <v>955</v>
      </c>
      <c r="B5210" s="0" t="s">
        <v>86</v>
      </c>
      <c r="H5210" s="38" t="n">
        <f aca="false">Sens!$H$5048-tax*Sens!$H$5049-ext_sh*Sens!$H$5033</f>
        <v>-115.41576008619</v>
      </c>
      <c r="I5210" s="38" t="n">
        <f aca="false">Sens!$I$5048-tax*Sens!$I$5049-ext_sh*Sens!$I$5033</f>
        <v>-88.5401912683161</v>
      </c>
      <c r="J5210" s="38" t="n">
        <f aca="false">Sens!$J$5048-tax*Sens!$J$5049-ext_sh*Sens!$J$5033</f>
        <v>-61.2977422866746</v>
      </c>
      <c r="K5210" s="38" t="n">
        <f aca="false">Sens!$K$5048-tax*Sens!$K$5049-ext_sh*Sens!$K$5033</f>
        <v>9.91264760007891</v>
      </c>
      <c r="L5210" s="38" t="n">
        <f aca="false">Sens!$L$5048-tax*Sens!$L$5049-ext_sh*Sens!$L$5033</f>
        <v>46.750156871371</v>
      </c>
      <c r="M5210" s="38" t="n">
        <f aca="false">Sens!$M$5048-tax*Sens!$M$5049-ext_sh*Sens!$M$5033</f>
        <v>55.5634749071557</v>
      </c>
    </row>
    <row r="5211" customFormat="false" ht="17.15" hidden="false" customHeight="false" outlineLevel="0" collapsed="false">
      <c r="A5211" s="5" t="s">
        <v>956</v>
      </c>
      <c r="B5211" s="0" t="s">
        <v>86</v>
      </c>
      <c r="H5211" s="38" t="n">
        <f aca="false">Sens!$H$5210*Sens!$H$5188</f>
        <v>-109.385439014374</v>
      </c>
      <c r="I5211" s="38" t="n">
        <f aca="false">Sens!$I$5210*Sens!$I$5188</f>
        <v>-75.3743621992344</v>
      </c>
      <c r="J5211" s="38" t="n">
        <f aca="false">Sens!$J$5210*Sens!$J$5188</f>
        <v>-46.8723221240472</v>
      </c>
      <c r="K5211" s="38" t="n">
        <f aca="false">Sens!$K$5210*Sens!$K$5188</f>
        <v>6.80848451526782</v>
      </c>
      <c r="L5211" s="38" t="n">
        <f aca="false">Sens!$L$5210*Sens!$L$5188</f>
        <v>28.8424836961783</v>
      </c>
      <c r="M5211" s="38" t="n">
        <f aca="false">Sens!$M$5210*Sens!$M$5188</f>
        <v>30.7912824848632</v>
      </c>
    </row>
    <row r="5212" customFormat="false" ht="17.15" hidden="false" customHeight="false" outlineLevel="0" collapsed="false">
      <c r="A5212" s="5" t="s">
        <v>957</v>
      </c>
      <c r="B5212" s="0" t="s">
        <v>86</v>
      </c>
      <c r="C5212" s="38" t="n">
        <f aca="false">Sens!$M$5049*(1-tax)*(1+tg)*(1-tg/ronic)/(wacc-tg)</f>
        <v>356.180381489473</v>
      </c>
    </row>
    <row r="5213" customFormat="false" ht="17.15" hidden="false" customHeight="false" outlineLevel="0" collapsed="false">
      <c r="A5213" s="0" t="s">
        <v>958</v>
      </c>
      <c r="B5213" s="0" t="s">
        <v>86</v>
      </c>
      <c r="C5213" s="38" t="n">
        <f aca="false">(SUM(Sens!$I$5211:$M$5211)+Sens!$C$5212/(1+wacc)^6)*(1+wacc)^tp_yf</f>
        <v>143.3703803388</v>
      </c>
    </row>
    <row r="5214" customFormat="false" ht="17.15" hidden="false" customHeight="false" outlineLevel="0" collapsed="false">
      <c r="A5214" s="5" t="s">
        <v>959</v>
      </c>
      <c r="B5214" s="0" t="s">
        <v>86</v>
      </c>
      <c r="C5214" s="38" t="n">
        <f aca="false">(1-tp_yf)*(Sens!$H$5131)+tp_yf*(Sens!$I$5131)</f>
        <v>74.6707041238437</v>
      </c>
    </row>
    <row r="5215" customFormat="false" ht="17.15" hidden="false" customHeight="false" outlineLevel="0" collapsed="false">
      <c r="A5215" s="5" t="s">
        <v>960</v>
      </c>
      <c r="B5215" s="0" t="s">
        <v>86</v>
      </c>
      <c r="C5215" s="38" t="n">
        <f aca="false">Sens!$C$5214*m_ai</f>
        <v>448.024224743062</v>
      </c>
    </row>
    <row r="5216" customFormat="false" ht="17.15" hidden="false" customHeight="false" outlineLevel="0" collapsed="false">
      <c r="A5216" s="0" t="s">
        <v>961</v>
      </c>
      <c r="B5216" s="0" t="s">
        <v>86</v>
      </c>
      <c r="C5216" s="38" t="n">
        <f aca="false">IF(ai_leg=1,Sens!$C$5213,Sens!$C$5215)</f>
        <v>143.3703803388</v>
      </c>
    </row>
    <row r="5217" customFormat="false" ht="17.15" hidden="false" customHeight="false" outlineLevel="0" collapsed="false">
      <c r="A5217" s="5" t="s">
        <v>962</v>
      </c>
      <c r="B5217" s="0" t="s">
        <v>86</v>
      </c>
      <c r="C5217" s="38" t="n">
        <f aca="false">Sens!$C$5203+Sens!$C$5206+Sens!$C$5209+Sens!$C$5216</f>
        <v>2993.15932624756</v>
      </c>
    </row>
    <row r="5218" customFormat="false" ht="17.15" hidden="false" customHeight="false" outlineLevel="0" collapsed="false">
      <c r="A5218" s="5" t="s">
        <v>963</v>
      </c>
      <c r="B5218" s="0" t="s">
        <v>86</v>
      </c>
      <c r="C5218" s="38" t="n">
        <f aca="false">Sens!$H$5171+fin_debt</f>
        <v>142.297732746638</v>
      </c>
    </row>
    <row r="5219" customFormat="false" ht="15" hidden="false" customHeight="false" outlineLevel="0" collapsed="false">
      <c r="A5219" s="5" t="s">
        <v>964</v>
      </c>
      <c r="B5219" s="0" t="s">
        <v>86</v>
      </c>
      <c r="C5219" s="38" t="n">
        <f aca="false">Sens!$C$5217-Sens!$C$5218+Sens!$C$5196</f>
        <v>3029.80559350092</v>
      </c>
    </row>
    <row r="5220" customFormat="false" ht="15" hidden="false" customHeight="false" outlineLevel="0" collapsed="false">
      <c r="A5220" s="3" t="s">
        <v>965</v>
      </c>
      <c r="B5220" s="8" t="s">
        <v>27</v>
      </c>
      <c r="C5220" s="30" t="n">
        <f aca="false">Sens!$C$5219/sh_val</f>
        <v>274.679904262101</v>
      </c>
    </row>
    <row r="5221" customFormat="false" ht="17.15" hidden="false" customHeight="false" outlineLevel="0" collapsed="false">
      <c r="A5221" s="47" t="s">
        <v>966</v>
      </c>
      <c r="B5221" s="14" t="s">
        <v>27</v>
      </c>
      <c r="C5221" s="44" t="n">
        <f aca="false">w_dcf*Sens!$C$5199+(1-w_dcf)*Sens!$C$5220</f>
        <v>208.676934541123</v>
      </c>
      <c r="D5221" s="14"/>
      <c r="E5221" s="14"/>
      <c r="F5221" s="14"/>
      <c r="G5221" s="14"/>
      <c r="H5221" s="14"/>
      <c r="I5221" s="14"/>
      <c r="J5221" s="14"/>
      <c r="K5221" s="14"/>
      <c r="L5221" s="14"/>
      <c r="M5221" s="14"/>
      <c r="N5221" s="14"/>
      <c r="O5221" s="14"/>
    </row>
    <row r="5222" customFormat="false" ht="17.15" hidden="false" customHeight="false" outlineLevel="0" collapsed="false">
      <c r="A5222" s="5" t="s">
        <v>967</v>
      </c>
      <c r="B5222" s="0" t="s">
        <v>27</v>
      </c>
      <c r="C5222" s="30" t="n">
        <f aca="false">v022_wdcf*Sens!$C$5199+(1-v022_wdcf)*Sens!$C$5220</f>
        <v>215.277231513221</v>
      </c>
    </row>
    <row r="5223" customFormat="false" ht="17.15" hidden="false" customHeight="false" outlineLevel="0" collapsed="false">
      <c r="A5223" s="5" t="s">
        <v>968</v>
      </c>
      <c r="B5223" s="0" t="s">
        <v>27</v>
      </c>
      <c r="C5223" s="30" t="n">
        <f aca="false">(Sens!$C$5219-Sens!$C$5216+Sens!$C$5215)/sh_val</f>
        <v>302.299593457193</v>
      </c>
    </row>
    <row r="5226" customFormat="false" ht="19.4" hidden="false" customHeight="false" outlineLevel="0" collapsed="false">
      <c r="A5226" s="31" t="s">
        <v>1257</v>
      </c>
    </row>
    <row r="5227" customFormat="false" ht="17.15" hidden="false" customHeight="false" outlineLevel="0" collapsed="false">
      <c r="A5227" s="6" t="s">
        <v>16</v>
      </c>
      <c r="B5227" s="6" t="s">
        <v>17</v>
      </c>
      <c r="C5227" s="20" t="s">
        <v>504</v>
      </c>
      <c r="D5227" s="20" t="s">
        <v>505</v>
      </c>
      <c r="E5227" s="20" t="s">
        <v>587</v>
      </c>
      <c r="F5227" s="20" t="s">
        <v>588</v>
      </c>
      <c r="G5227" s="20" t="s">
        <v>589</v>
      </c>
      <c r="H5227" s="20" t="s">
        <v>590</v>
      </c>
      <c r="I5227" s="20" t="s">
        <v>591</v>
      </c>
      <c r="J5227" s="20" t="s">
        <v>592</v>
      </c>
      <c r="K5227" s="20" t="s">
        <v>593</v>
      </c>
      <c r="L5227" s="20" t="s">
        <v>594</v>
      </c>
      <c r="M5227" s="20" t="s">
        <v>595</v>
      </c>
      <c r="N5227" s="20" t="s">
        <v>596</v>
      </c>
      <c r="O5227" s="20" t="s">
        <v>597</v>
      </c>
      <c r="P5227" s="6" t="s">
        <v>23</v>
      </c>
      <c r="R5227" s="20" t="n">
        <v>2023</v>
      </c>
      <c r="S5227" s="20" t="n">
        <v>2024</v>
      </c>
      <c r="T5227" s="20" t="n">
        <v>2025</v>
      </c>
      <c r="U5227" s="20" t="n">
        <v>2026</v>
      </c>
      <c r="V5227" s="20" t="n">
        <v>2027</v>
      </c>
      <c r="W5227" s="20" t="n">
        <v>2028</v>
      </c>
      <c r="X5227" s="20" t="n">
        <v>2029</v>
      </c>
      <c r="Y5227" s="20" t="n">
        <v>2030</v>
      </c>
      <c r="Z5227" s="20" t="n">
        <v>2031</v>
      </c>
      <c r="AA5227" s="20" t="n">
        <v>2032</v>
      </c>
    </row>
    <row r="5228" customFormat="false" ht="17.15" hidden="false" customHeight="false" outlineLevel="0" collapsed="false">
      <c r="A5228" s="1" t="s">
        <v>677</v>
      </c>
    </row>
    <row r="5229" customFormat="false" ht="17.15" hidden="false" customHeight="false" outlineLevel="0" collapsed="false">
      <c r="A5229" s="0" t="s">
        <v>526</v>
      </c>
      <c r="B5229" s="0" t="s">
        <v>86</v>
      </c>
      <c r="C5229" s="38" t="n">
        <f aca="false">Q!$D$10</f>
        <v>247.029</v>
      </c>
      <c r="D5229" s="38" t="n">
        <f aca="false">Q!$E$10</f>
        <v>269.287</v>
      </c>
      <c r="E5229" s="38" t="n">
        <f aca="false">Q!$P$10</f>
        <v>134.686</v>
      </c>
      <c r="F5229" s="38" t="n">
        <f aca="false">Sens!$O$5229*(1+Sens!$F$5230)*Sens!$F$5241</f>
        <v>158.293876822267</v>
      </c>
      <c r="G5229" s="38" t="n">
        <f aca="false">Sens!$E$5229+Sens!$F$5229</f>
        <v>292.979876822267</v>
      </c>
      <c r="H5229" s="38" t="n">
        <f aca="false">Sens!$G$5229*(1+Sens!$H$5230)</f>
        <v>318.184543087396</v>
      </c>
      <c r="I5229" s="38" t="n">
        <f aca="false">Sens!$H$5229*(1+Sens!$I$5230)</f>
        <v>341.736278761793</v>
      </c>
      <c r="J5229" s="38" t="n">
        <f aca="false">Sens!$I$5229*(1+Sens!$J$5230)</f>
        <v>362.927192787048</v>
      </c>
      <c r="K5229" s="38" t="n">
        <f aca="false">Sens!$J$5229*(1+Sens!$K$5230)</f>
        <v>381.0735524264</v>
      </c>
      <c r="L5229" s="38" t="n">
        <f aca="false">Sens!$K$5229*(1+Sens!$L$5230)</f>
        <v>400.12723004772</v>
      </c>
      <c r="M5229" s="38" t="n">
        <f aca="false">Sens!$L$5229*(1+Sens!$M$5230)</f>
        <v>420.133591550106</v>
      </c>
      <c r="N5229" s="38" t="n">
        <f aca="false">Q!$N$10</f>
        <v>118.892</v>
      </c>
      <c r="O5229" s="38" t="n">
        <f aca="false">Q!$O$10</f>
        <v>150.395</v>
      </c>
      <c r="P5229" s="8" t="s">
        <v>678</v>
      </c>
    </row>
    <row r="5230" customFormat="false" ht="17.15" hidden="false" customHeight="false" outlineLevel="0" collapsed="false">
      <c r="A5230" s="0" t="s">
        <v>679</v>
      </c>
      <c r="B5230" s="0" t="s">
        <v>52</v>
      </c>
      <c r="E5230" s="13" t="n">
        <f aca="false">Sens!$E$5229/Sens!$N$5229-1</f>
        <v>0.132843252699929</v>
      </c>
      <c r="F5230" s="13" t="n">
        <f aca="false">Sens!$O$5229/(Q!$F$10+Q!$G$10)-1</f>
        <v>0.0980382135842941</v>
      </c>
      <c r="G5230" s="13" t="n">
        <f aca="false">Sens!$G$5229/Sens!$D$5229-1</f>
        <v>0.0879837378791657</v>
      </c>
      <c r="H5230" s="13" t="n">
        <f aca="false">Sens!$F$5230+(g_os-Sens!$F$5230)*1/4</f>
        <v>0.0860286601882206</v>
      </c>
      <c r="I5230" s="13" t="n">
        <f aca="false">Sens!$F$5230+(g_os-Sens!$F$5230)*2/4</f>
        <v>0.074019106792147</v>
      </c>
      <c r="J5230" s="13" t="n">
        <f aca="false">Sens!$F$5230+(g_os-Sens!$F$5230)*3/4</f>
        <v>0.0620095533960735</v>
      </c>
      <c r="K5230" s="13" t="n">
        <f aca="false">Sens!$F$5230+(g_os-Sens!$F$5230)*4/4</f>
        <v>0.05</v>
      </c>
      <c r="L5230" s="13" t="n">
        <f aca="false">g_os</f>
        <v>0.05</v>
      </c>
      <c r="M5230" s="13" t="n">
        <f aca="false">g_os</f>
        <v>0.05</v>
      </c>
      <c r="P5230" s="8" t="s">
        <v>680</v>
      </c>
    </row>
    <row r="5231" customFormat="false" ht="17.15" hidden="false" customHeight="false" outlineLevel="0" collapsed="false">
      <c r="A5231" s="0" t="s">
        <v>527</v>
      </c>
      <c r="B5231" s="0" t="s">
        <v>86</v>
      </c>
      <c r="C5231" s="38" t="n">
        <f aca="false">Q!$D$11</f>
        <v>21.215</v>
      </c>
      <c r="D5231" s="38" t="n">
        <f aca="false">Q!$E$11</f>
        <v>22.561</v>
      </c>
      <c r="E5231" s="38" t="n">
        <f aca="false">Q!$P$11</f>
        <v>11.579</v>
      </c>
      <c r="F5231" s="38" t="n">
        <f aca="false">Sens!$O$5231*(1+Sens!$F$5232)*Sens!$F$5241</f>
        <v>11.5938724610325</v>
      </c>
      <c r="G5231" s="38" t="n">
        <f aca="false">Sens!$E$5231+Sens!$F$5231</f>
        <v>23.1728724610325</v>
      </c>
      <c r="H5231" s="38" t="n">
        <f aca="false">Sens!$G$5231*(1+Sens!$H$5232)</f>
        <v>24.353392759506</v>
      </c>
      <c r="I5231" s="38" t="n">
        <f aca="false">Sens!$H$5231*(1+Sens!$I$5232)</f>
        <v>25.4240338872015</v>
      </c>
      <c r="J5231" s="38" t="n">
        <f aca="false">Sens!$I$5231*(1+Sens!$J$5232)</f>
        <v>26.3642491017174</v>
      </c>
      <c r="K5231" s="38" t="n">
        <f aca="false">Sens!$J$5231*(1+Sens!$K$5232)</f>
        <v>27.155176574769</v>
      </c>
      <c r="L5231" s="38" t="n">
        <f aca="false">Sens!$K$5231*(1+Sens!$L$5232)</f>
        <v>27.969831872012</v>
      </c>
      <c r="M5231" s="38" t="n">
        <f aca="false">Sens!$L$5231*(1+Sens!$M$5232)</f>
        <v>28.8089268281724</v>
      </c>
      <c r="N5231" s="38" t="n">
        <f aca="false">Q!$N$11</f>
        <v>11.128</v>
      </c>
      <c r="O5231" s="38" t="n">
        <f aca="false">Q!$O$11</f>
        <v>11.433</v>
      </c>
      <c r="P5231" s="8" t="s">
        <v>678</v>
      </c>
    </row>
    <row r="5232" customFormat="false" ht="17.15" hidden="false" customHeight="false" outlineLevel="0" collapsed="false">
      <c r="A5232" s="0" t="s">
        <v>681</v>
      </c>
      <c r="B5232" s="0" t="s">
        <v>52</v>
      </c>
      <c r="E5232" s="13" t="n">
        <f aca="false">Sens!$E$5231/Sens!$N$5231-1</f>
        <v>0.0405283968368082</v>
      </c>
      <c r="F5232" s="13" t="n">
        <f aca="false">Sens!$O$5231/(Q!$F$11+Q!$G$11)-1</f>
        <v>0.0579254187100955</v>
      </c>
      <c r="G5232" s="13" t="n">
        <f aca="false">Sens!$G$5231/Sens!$D$5231-1</f>
        <v>0.0271208040881397</v>
      </c>
      <c r="H5232" s="13" t="n">
        <f aca="false">Sens!$F$5232+(g_ps-Sens!$F$5232)*1/4</f>
        <v>0.0509440640325716</v>
      </c>
      <c r="I5232" s="13" t="n">
        <f aca="false">Sens!$F$5232+(g_ps-Sens!$F$5232)*2/4</f>
        <v>0.0439627093550477</v>
      </c>
      <c r="J5232" s="13" t="n">
        <f aca="false">Sens!$F$5232+(g_ps-Sens!$F$5232)*3/4</f>
        <v>0.0369813546775239</v>
      </c>
      <c r="K5232" s="13" t="n">
        <f aca="false">Sens!$F$5232+(g_ps-Sens!$F$5232)*4/4</f>
        <v>0.03</v>
      </c>
      <c r="L5232" s="13" t="n">
        <f aca="false">g_ps</f>
        <v>0.03</v>
      </c>
      <c r="M5232" s="13" t="n">
        <f aca="false">g_ps</f>
        <v>0.03</v>
      </c>
      <c r="P5232" s="8" t="s">
        <v>682</v>
      </c>
    </row>
    <row r="5233" customFormat="false" ht="17.15" hidden="false" customHeight="false" outlineLevel="0" collapsed="false">
      <c r="A5233" s="0" t="s">
        <v>528</v>
      </c>
      <c r="B5233" s="0" t="s">
        <v>86</v>
      </c>
      <c r="C5233" s="38" t="n">
        <f aca="false">Q!$D$12</f>
        <v>156.146</v>
      </c>
      <c r="D5233" s="38" t="n">
        <f aca="false">Q!$E$12</f>
        <v>172.162</v>
      </c>
      <c r="E5233" s="38" t="n">
        <f aca="false">Q!$P$12</f>
        <v>88.358</v>
      </c>
      <c r="F5233" s="38" t="n">
        <f aca="false">Sens!$O$5233*(1+Sens!$F$5234)*Sens!$F$5241</f>
        <v>102.004388260171</v>
      </c>
      <c r="G5233" s="38" t="n">
        <f aca="false">Sens!$E$5233+Sens!$F$5233</f>
        <v>190.362388260171</v>
      </c>
      <c r="H5233" s="38" t="n">
        <f aca="false">Sens!$G$5233*(1+Sens!$H$5234)</f>
        <v>210.343106588311</v>
      </c>
      <c r="I5233" s="38" t="n">
        <f aca="false">Sens!$H$5233*(1+Sens!$I$5234)</f>
        <v>229.969728494648</v>
      </c>
      <c r="J5233" s="38" t="n">
        <f aca="false">Sens!$I$5233*(1+Sens!$J$5234)</f>
        <v>248.747636972598</v>
      </c>
      <c r="K5233" s="38" t="n">
        <f aca="false">Sens!$J$5233*(1+Sens!$K$5234)</f>
        <v>266.15997156068</v>
      </c>
      <c r="L5233" s="38" t="n">
        <f aca="false">Sens!$K$5233*(1+Sens!$L$5234)</f>
        <v>284.791169569927</v>
      </c>
      <c r="M5233" s="38" t="n">
        <f aca="false">Sens!$L$5233*(1+Sens!$M$5234)</f>
        <v>304.726551439822</v>
      </c>
      <c r="N5233" s="38" t="n">
        <f aca="false">Q!$N$12</f>
        <v>76.86</v>
      </c>
      <c r="O5233" s="38" t="n">
        <f aca="false">Q!$O$12</f>
        <v>95.302</v>
      </c>
      <c r="P5233" s="8" t="s">
        <v>678</v>
      </c>
    </row>
    <row r="5234" customFormat="false" ht="17.15" hidden="false" customHeight="false" outlineLevel="0" collapsed="false">
      <c r="A5234" s="0" t="s">
        <v>683</v>
      </c>
      <c r="B5234" s="0" t="s">
        <v>52</v>
      </c>
      <c r="E5234" s="13" t="n">
        <f aca="false">Sens!$E$5233/Sens!$N$5233-1</f>
        <v>0.1495966692688</v>
      </c>
      <c r="F5234" s="13" t="n">
        <f aca="false">Sens!$O$5233/(Q!$F$12+Q!$G$12)-1</f>
        <v>0.11661530890813</v>
      </c>
      <c r="G5234" s="13" t="n">
        <f aca="false">Sens!$G$5233/Sens!$D$5233-1</f>
        <v>0.105716640490767</v>
      </c>
      <c r="H5234" s="13" t="n">
        <f aca="false">Sens!$F$5234+(g_sp-Sens!$F$5234)*1/4</f>
        <v>0.104961481681098</v>
      </c>
      <c r="I5234" s="13" t="n">
        <f aca="false">Sens!$F$5234+(g_sp-Sens!$F$5234)*2/4</f>
        <v>0.0933076544540651</v>
      </c>
      <c r="J5234" s="13" t="n">
        <f aca="false">Sens!$F$5234+(g_sp-Sens!$F$5234)*3/4</f>
        <v>0.0816538272270325</v>
      </c>
      <c r="K5234" s="13" t="n">
        <f aca="false">Sens!$F$5234+(g_sp-Sens!$F$5234)*4/4</f>
        <v>0.07</v>
      </c>
      <c r="L5234" s="13" t="n">
        <f aca="false">g_sp</f>
        <v>0.07</v>
      </c>
      <c r="M5234" s="13" t="n">
        <f aca="false">g_sp</f>
        <v>0.07</v>
      </c>
      <c r="P5234" s="8" t="s">
        <v>684</v>
      </c>
    </row>
    <row r="5235" customFormat="false" ht="17.15" hidden="false" customHeight="false" outlineLevel="0" collapsed="false">
      <c r="A5235" s="0" t="s">
        <v>529</v>
      </c>
      <c r="B5235" s="0" t="s">
        <v>86</v>
      </c>
      <c r="C5235" s="38" t="n">
        <f aca="false">Q!$D$13</f>
        <v>56.214</v>
      </c>
      <c r="D5235" s="38" t="n">
        <f aca="false">Q!$E$13</f>
        <v>68.635</v>
      </c>
      <c r="E5235" s="38" t="n">
        <f aca="false">Q!$P$13</f>
        <v>37.052</v>
      </c>
      <c r="F5235" s="38" t="n">
        <f aca="false">Sens!$O$5235*(1+Sens!$F$5236)*Sens!$F$5241</f>
        <v>46.1572219944148</v>
      </c>
      <c r="G5235" s="38" t="n">
        <f aca="false">Sens!$E$5235+Sens!$F$5235</f>
        <v>83.2092219944148</v>
      </c>
      <c r="H5235" s="38" t="n">
        <f aca="false">Sens!$G$5235*(1+Sens!$H$5236)</f>
        <v>99.8969223878976</v>
      </c>
      <c r="I5235" s="38" t="n">
        <f aca="false">Sens!$H$5235*(1+Sens!$I$5236)</f>
        <v>116.583111095496</v>
      </c>
      <c r="J5235" s="38" t="n">
        <f aca="false">Sens!$I$5235*(1+Sens!$J$5236)</f>
        <v>132.148941941952</v>
      </c>
      <c r="K5235" s="38" t="n">
        <f aca="false">Sens!$J$5235*(1+Sens!$K$5236)</f>
        <v>145.363836136147</v>
      </c>
      <c r="L5235" s="38" t="n">
        <f aca="false">Sens!$K$5235*(1+Sens!$L$5236)</f>
        <v>159.900219749762</v>
      </c>
      <c r="M5235" s="38" t="n">
        <f aca="false">Sens!$L$5235*(1+Sens!$M$5236)</f>
        <v>175.890241724738</v>
      </c>
      <c r="N5235" s="38" t="n">
        <f aca="false">Q!$N$13</f>
        <v>29.615</v>
      </c>
      <c r="O5235" s="38" t="n">
        <f aca="false">Q!$O$13</f>
        <v>39.02</v>
      </c>
      <c r="P5235" s="8" t="s">
        <v>678</v>
      </c>
    </row>
    <row r="5236" customFormat="false" ht="17.15" hidden="false" customHeight="false" outlineLevel="0" collapsed="false">
      <c r="A5236" s="0" t="s">
        <v>685</v>
      </c>
      <c r="B5236" s="0" t="s">
        <v>52</v>
      </c>
      <c r="E5236" s="13" t="n">
        <f aca="false">Sens!$E$5235/Sens!$N$5235-1</f>
        <v>0.25112274185379</v>
      </c>
      <c r="F5236" s="13" t="n">
        <f aca="false">Sens!$O$5235/(Q!$F$13+Q!$G$13)-1</f>
        <v>0.234068123596572</v>
      </c>
      <c r="G5236" s="13" t="n">
        <f aca="false">Sens!$G$5235/Sens!$D$5235-1</f>
        <v>0.212343876949294</v>
      </c>
      <c r="H5236" s="13" t="n">
        <f aca="false">Sens!$F$5236+(g_ad-Sens!$F$5236)*1/4</f>
        <v>0.200551092697429</v>
      </c>
      <c r="I5236" s="13" t="n">
        <f aca="false">Sens!$F$5236+(g_ad-Sens!$F$5236)*2/4</f>
        <v>0.167034061798286</v>
      </c>
      <c r="J5236" s="13" t="n">
        <f aca="false">Sens!$F$5236+(g_ad-Sens!$F$5236)*3/4</f>
        <v>0.133517030899143</v>
      </c>
      <c r="K5236" s="13" t="n">
        <f aca="false">Sens!$F$5236+(g_ad-Sens!$F$5236)*4/4</f>
        <v>0.1</v>
      </c>
      <c r="L5236" s="13" t="n">
        <f aca="false">g_ad</f>
        <v>0.1</v>
      </c>
      <c r="M5236" s="13" t="n">
        <f aca="false">g_ad</f>
        <v>0.1</v>
      </c>
      <c r="P5236" s="8" t="s">
        <v>686</v>
      </c>
    </row>
    <row r="5237" customFormat="false" ht="17.15" hidden="false" customHeight="false" outlineLevel="0" collapsed="false">
      <c r="A5237" s="0" t="s">
        <v>530</v>
      </c>
      <c r="B5237" s="0" t="s">
        <v>86</v>
      </c>
      <c r="C5237" s="38" t="n">
        <f aca="false">Q!$D$14</f>
        <v>44.374</v>
      </c>
      <c r="D5237" s="38" t="n">
        <f aca="false">Q!$E$14</f>
        <v>49.619</v>
      </c>
      <c r="E5237" s="38" t="n">
        <f aca="false">Q!$P$14</f>
        <v>27.157</v>
      </c>
      <c r="F5237" s="38" t="n">
        <f aca="false">Sens!$O$5237*(1+Sens!$F$5238)*Sens!$F$5241</f>
        <v>27.7764165988154</v>
      </c>
      <c r="G5237" s="38" t="n">
        <f aca="false">Sens!$E$5237+Sens!$F$5237</f>
        <v>54.9334165988154</v>
      </c>
      <c r="H5237" s="38" t="n">
        <f aca="false">Sens!$G$5237*(1+Sens!$H$5238)</f>
        <v>61.1564112561829</v>
      </c>
      <c r="I5237" s="38" t="n">
        <f aca="false">Sens!$H$5237*(1+Sens!$I$5238)</f>
        <v>67.2020282103945</v>
      </c>
      <c r="J5237" s="38" t="n">
        <f aca="false">Sens!$I$5237*(1+Sens!$J$5238)</f>
        <v>72.8757274028885</v>
      </c>
      <c r="K5237" s="38" t="n">
        <f aca="false">Sens!$J$5237*(1+Sens!$K$5238)</f>
        <v>77.9770283210907</v>
      </c>
      <c r="L5237" s="38" t="n">
        <f aca="false">Sens!$K$5237*(1+Sens!$L$5238)</f>
        <v>83.4354203035671</v>
      </c>
      <c r="M5237" s="38" t="n">
        <f aca="false">Sens!$L$5237*(1+Sens!$M$5238)</f>
        <v>89.2758997248168</v>
      </c>
      <c r="N5237" s="38" t="n">
        <f aca="false">Q!$N$14</f>
        <v>23.923</v>
      </c>
      <c r="O5237" s="38" t="n">
        <f aca="false">Q!$O$14</f>
        <v>25.696</v>
      </c>
      <c r="P5237" s="8" t="s">
        <v>678</v>
      </c>
    </row>
    <row r="5238" customFormat="false" ht="17.15" hidden="false" customHeight="false" outlineLevel="0" collapsed="false">
      <c r="A5238" s="0" t="s">
        <v>687</v>
      </c>
      <c r="B5238" s="0" t="s">
        <v>52</v>
      </c>
      <c r="E5238" s="13" t="n">
        <f aca="false">Sens!$E$5237/Sens!$N$5237-1</f>
        <v>0.135183714417088</v>
      </c>
      <c r="F5238" s="13" t="n">
        <f aca="false">Sens!$O$5237/(Q!$F$14+Q!$G$14)-1</f>
        <v>0.127709997366804</v>
      </c>
      <c r="G5238" s="13" t="n">
        <f aca="false">Sens!$G$5237/Sens!$D$5237-1</f>
        <v>0.107104468022641</v>
      </c>
      <c r="H5238" s="13" t="n">
        <f aca="false">Sens!$F$5238+(g_sub-Sens!$F$5238)*1/4</f>
        <v>0.113282498025103</v>
      </c>
      <c r="I5238" s="13" t="n">
        <f aca="false">Sens!$F$5238+(g_sub-Sens!$F$5238)*2/4</f>
        <v>0.0988549986834021</v>
      </c>
      <c r="J5238" s="13" t="n">
        <f aca="false">Sens!$F$5238+(g_sub-Sens!$F$5238)*3/4</f>
        <v>0.084427499341701</v>
      </c>
      <c r="K5238" s="13" t="n">
        <f aca="false">Sens!$F$5238+(g_sub-Sens!$F$5238)*4/4</f>
        <v>0.07</v>
      </c>
      <c r="L5238" s="13" t="n">
        <f aca="false">g_sub</f>
        <v>0.07</v>
      </c>
      <c r="M5238" s="13" t="n">
        <f aca="false">g_sub</f>
        <v>0.07</v>
      </c>
      <c r="P5238" s="8" t="s">
        <v>688</v>
      </c>
    </row>
    <row r="5239" customFormat="false" ht="17.15" hidden="false" customHeight="false" outlineLevel="0" collapsed="false">
      <c r="A5239" s="0" t="s">
        <v>531</v>
      </c>
      <c r="B5239" s="0" t="s">
        <v>86</v>
      </c>
      <c r="C5239" s="38" t="n">
        <f aca="false">Q!$D$15</f>
        <v>5.425</v>
      </c>
      <c r="D5239" s="38" t="n">
        <f aca="false">Q!$E$15</f>
        <v>5.935</v>
      </c>
      <c r="E5239" s="38" t="n">
        <f aca="false">Q!$P$15</f>
        <v>3.474</v>
      </c>
      <c r="F5239" s="38" t="n">
        <f aca="false">Sens!$O$5239*(1+Sens!$F$5240)*Sens!$F$5241</f>
        <v>3.22246550883619</v>
      </c>
      <c r="G5239" s="38" t="n">
        <f aca="false">Sens!$E$5239+Sens!$F$5239</f>
        <v>6.69646550883619</v>
      </c>
      <c r="H5239" s="38" t="n">
        <f aca="false">Sens!$G$5239*(1+Sens!$H$5240)</f>
        <v>7.16251344209196</v>
      </c>
      <c r="I5239" s="38" t="n">
        <f aca="false">Sens!$H$5239*(1+Sens!$I$5240)</f>
        <v>7.61421070299826</v>
      </c>
      <c r="J5239" s="38" t="n">
        <f aca="false">Sens!$I$5239*(1+Sens!$J$5240)</f>
        <v>8.04465753523932</v>
      </c>
      <c r="K5239" s="38" t="n">
        <f aca="false">Sens!$J$5239*(1+Sens!$K$5240)</f>
        <v>8.44689041200128</v>
      </c>
      <c r="L5239" s="38" t="n">
        <f aca="false">Sens!$K$5239*(1+Sens!$L$5240)</f>
        <v>8.86923493260135</v>
      </c>
      <c r="M5239" s="38" t="n">
        <f aca="false">Sens!$L$5239*(1+Sens!$M$5240)</f>
        <v>9.31269667923142</v>
      </c>
      <c r="N5239" s="38" t="n">
        <f aca="false">Q!$N$15</f>
        <v>2.811</v>
      </c>
      <c r="O5239" s="38" t="n">
        <f aca="false">Q!$O$15</f>
        <v>3.124</v>
      </c>
      <c r="P5239" s="8" t="s">
        <v>678</v>
      </c>
    </row>
    <row r="5240" customFormat="false" ht="17.15" hidden="false" customHeight="false" outlineLevel="0" collapsed="false">
      <c r="A5240" s="0" t="s">
        <v>689</v>
      </c>
      <c r="B5240" s="0" t="s">
        <v>52</v>
      </c>
      <c r="E5240" s="13" t="n">
        <f aca="false">Sens!$E$5239/Sens!$N$5239-1</f>
        <v>0.235859124866596</v>
      </c>
      <c r="F5240" s="13" t="n">
        <f aca="false">Sens!$O$5239/(Q!$F$15+Q!$G$15)-1</f>
        <v>0.0761281433000345</v>
      </c>
      <c r="G5240" s="13" t="n">
        <f aca="false">Sens!$G$5239/Sens!$D$5239-1</f>
        <v>0.128300843948811</v>
      </c>
      <c r="H5240" s="13" t="n">
        <f aca="false">Sens!$F$5240+(g_ot-Sens!$F$5240)*1/4</f>
        <v>0.0695961074750259</v>
      </c>
      <c r="I5240" s="13" t="n">
        <f aca="false">Sens!$F$5240+(g_ot-Sens!$F$5240)*2/4</f>
        <v>0.0630640716500172</v>
      </c>
      <c r="J5240" s="13" t="n">
        <f aca="false">Sens!$F$5240+(g_ot-Sens!$F$5240)*3/4</f>
        <v>0.0565320358250086</v>
      </c>
      <c r="K5240" s="13" t="n">
        <f aca="false">Sens!$F$5240+(g_ot-Sens!$F$5240)*4/4</f>
        <v>0.05</v>
      </c>
      <c r="L5240" s="13" t="n">
        <f aca="false">g_ot</f>
        <v>0.05</v>
      </c>
      <c r="M5240" s="13" t="n">
        <f aca="false">g_ot</f>
        <v>0.05</v>
      </c>
      <c r="P5240" s="8" t="s">
        <v>690</v>
      </c>
    </row>
    <row r="5241" customFormat="false" ht="17.15" hidden="false" customHeight="false" outlineLevel="0" collapsed="false">
      <c r="A5241" s="0" t="s">
        <v>691</v>
      </c>
      <c r="B5241" s="0" t="s">
        <v>57</v>
      </c>
      <c r="F5241" s="40" t="n">
        <f aca="false">(g26q3_mid*Q!$O$8/Q!$J$8-Thesis!$F$89-Thesis!$F$93)/(Sens!$O$5229*(1+Sens!$F$5230)+Sens!$O$5231*(1+Sens!$F$5232)+Sens!$O$5233*(1+Sens!$F$5234)+Sens!$O$5235*(1+Sens!$F$5236)+Sens!$O$5237*(1+Sens!$F$5238)+Sens!$O$5239*(1+Sens!$F$5240))</f>
        <v>0.958546670622329</v>
      </c>
      <c r="P5241" s="8" t="s">
        <v>692</v>
      </c>
    </row>
    <row r="5242" customFormat="false" ht="17.15" hidden="false" customHeight="false" outlineLevel="0" collapsed="false">
      <c r="A5242" s="3" t="s">
        <v>693</v>
      </c>
      <c r="B5242" s="8" t="s">
        <v>86</v>
      </c>
      <c r="C5242" s="38" t="n">
        <f aca="false">Sens!$C$5229+Sens!$C$5231+Sens!$C$5233+Sens!$C$5235+Sens!$C$5237+Sens!$C$5239</f>
        <v>530.403</v>
      </c>
      <c r="D5242" s="38" t="n">
        <f aca="false">Sens!$D$5229+Sens!$D$5231+Sens!$D$5233+Sens!$D$5235+Sens!$D$5237+Sens!$D$5239</f>
        <v>588.199</v>
      </c>
      <c r="E5242" s="38" t="n">
        <f aca="false">Sens!$E$5229+Sens!$E$5231+Sens!$E$5233+Sens!$E$5235+Sens!$E$5237+Sens!$E$5239</f>
        <v>302.306</v>
      </c>
      <c r="F5242" s="38" t="n">
        <f aca="false">Sens!$F$5229+Sens!$F$5231+Sens!$F$5233+Sens!$F$5235+Sens!$F$5237+Sens!$F$5239</f>
        <v>349.048241645537</v>
      </c>
      <c r="G5242" s="38" t="n">
        <f aca="false">Sens!$G$5229+Sens!$G$5231+Sens!$G$5233+Sens!$G$5235+Sens!$G$5237+Sens!$G$5239</f>
        <v>651.354241645537</v>
      </c>
      <c r="H5242" s="38" t="n">
        <f aca="false">Sens!$H$5229+Sens!$H$5231+Sens!$H$5233+Sens!$H$5235+Sens!$H$5237+Sens!$H$5239</f>
        <v>721.096889521386</v>
      </c>
      <c r="I5242" s="38" t="n">
        <f aca="false">Sens!$I$5229+Sens!$I$5231+Sens!$I$5233+Sens!$I$5235+Sens!$I$5237+Sens!$I$5239</f>
        <v>788.529391152531</v>
      </c>
      <c r="J5242" s="38" t="n">
        <f aca="false">Sens!$J$5229+Sens!$J$5231+Sens!$J$5233+Sens!$J$5235+Sens!$J$5237+Sens!$J$5239</f>
        <v>851.108405741443</v>
      </c>
      <c r="K5242" s="38" t="n">
        <f aca="false">Sens!$K$5229+Sens!$K$5231+Sens!$K$5233+Sens!$K$5235+Sens!$K$5237+Sens!$K$5239</f>
        <v>906.176455431088</v>
      </c>
      <c r="L5242" s="38" t="n">
        <f aca="false">Sens!$L$5229+Sens!$L$5231+Sens!$L$5233+Sens!$L$5235+Sens!$L$5237+Sens!$L$5239</f>
        <v>965.093106475589</v>
      </c>
      <c r="M5242" s="38" t="n">
        <f aca="false">Sens!$M$5229+Sens!$M$5231+Sens!$M$5233+Sens!$M$5235+Sens!$M$5237+Sens!$M$5239</f>
        <v>1028.14790794689</v>
      </c>
      <c r="N5242" s="38" t="n">
        <f aca="false">Sens!$N$5229+Sens!$N$5231+Sens!$N$5233+Sens!$N$5235+Sens!$N$5237+Sens!$N$5239</f>
        <v>263.229</v>
      </c>
      <c r="O5242" s="38" t="n">
        <f aca="false">Sens!$O$5229+Sens!$O$5231+Sens!$O$5233+Sens!$O$5235+Sens!$O$5237+Sens!$O$5239</f>
        <v>324.97</v>
      </c>
    </row>
    <row r="5243" customFormat="false" ht="17.15" hidden="false" customHeight="false" outlineLevel="0" collapsed="false">
      <c r="A5243" s="5" t="s">
        <v>694</v>
      </c>
      <c r="B5243" s="0" t="s">
        <v>52</v>
      </c>
      <c r="C5243" s="13" t="n">
        <f aca="false">Q!$D$5/(Q!$D$5+Q!$D$6)</f>
        <v>0.730570905519011</v>
      </c>
      <c r="D5243" s="13" t="n">
        <f aca="false">Q!$E$5/(Q!$E$5+Q!$E$6)</f>
        <v>0.724763217890544</v>
      </c>
      <c r="E5243" s="13" t="n">
        <f aca="false">Q!$P$5/(Q!$P$5+Q!$P$6)</f>
        <v>0.728797972914861</v>
      </c>
      <c r="F5243" s="13" t="n">
        <f aca="false">Sens!$O$5243</f>
        <v>0.718066283041511</v>
      </c>
      <c r="G5243" s="13" t="n">
        <f aca="false">Sens!$G$5244/Sens!$G$5242</f>
        <v>0.723047066202847</v>
      </c>
      <c r="H5243" s="13" t="n">
        <f aca="false">Sens!$G$5243</f>
        <v>0.723047066202847</v>
      </c>
      <c r="I5243" s="13" t="n">
        <f aca="false">Sens!$G$5243</f>
        <v>0.723047066202847</v>
      </c>
      <c r="J5243" s="13" t="n">
        <f aca="false">Sens!$G$5243</f>
        <v>0.723047066202847</v>
      </c>
      <c r="K5243" s="13" t="n">
        <f aca="false">Sens!$G$5243</f>
        <v>0.723047066202847</v>
      </c>
      <c r="L5243" s="13" t="n">
        <f aca="false">Sens!$G$5243</f>
        <v>0.723047066202847</v>
      </c>
      <c r="M5243" s="13" t="n">
        <f aca="false">Sens!$G$5243</f>
        <v>0.723047066202847</v>
      </c>
      <c r="N5243" s="13" t="n">
        <f aca="false">Q!$N$5/(Q!$N$5+Q!$N$6)</f>
        <v>0.733030935041352</v>
      </c>
      <c r="O5243" s="13" t="n">
        <f aca="false">Q!$O$5/(Q!$O$5+Q!$O$6)</f>
        <v>0.718066283041511</v>
      </c>
      <c r="P5243" s="8" t="s">
        <v>695</v>
      </c>
    </row>
    <row r="5244" customFormat="false" ht="17.15" hidden="false" customHeight="false" outlineLevel="0" collapsed="false">
      <c r="A5244" s="1" t="s">
        <v>519</v>
      </c>
      <c r="B5244" s="8" t="s">
        <v>86</v>
      </c>
      <c r="C5244" s="38" t="n">
        <f aca="false">Q!$D$5</f>
        <v>387.497</v>
      </c>
      <c r="D5244" s="38" t="n">
        <f aca="false">Q!$E$5</f>
        <v>426.305</v>
      </c>
      <c r="E5244" s="38" t="n">
        <f aca="false">Q!$P$5</f>
        <v>220.32</v>
      </c>
      <c r="F5244" s="38" t="n">
        <f aca="false">Sens!$F$5242*Sens!$F$5243</f>
        <v>250.639773480586</v>
      </c>
      <c r="G5244" s="38" t="n">
        <f aca="false">Sens!$E$5244+Sens!$F$5244</f>
        <v>470.959773480586</v>
      </c>
      <c r="H5244" s="38" t="n">
        <f aca="false">Sens!$H$5242*Sens!$H$5243</f>
        <v>521.386990416437</v>
      </c>
      <c r="I5244" s="38" t="n">
        <f aca="false">Sens!$I$5242*Sens!$I$5243</f>
        <v>570.143862887555</v>
      </c>
      <c r="J5244" s="38" t="n">
        <f aca="false">Sens!$J$5242*Sens!$J$5243</f>
        <v>615.391435791933</v>
      </c>
      <c r="K5244" s="38" t="n">
        <f aca="false">Sens!$K$5242*Sens!$K$5243</f>
        <v>655.208227561543</v>
      </c>
      <c r="L5244" s="38" t="n">
        <f aca="false">Sens!$L$5242*Sens!$L$5243</f>
        <v>697.807739249767</v>
      </c>
      <c r="M5244" s="38" t="n">
        <f aca="false">Sens!$M$5242*Sens!$M$5243</f>
        <v>743.399328463592</v>
      </c>
      <c r="N5244" s="38" t="n">
        <f aca="false">Q!$N$5</f>
        <v>192.955</v>
      </c>
      <c r="O5244" s="38" t="n">
        <f aca="false">Q!$O$5</f>
        <v>233.35</v>
      </c>
      <c r="P5244" s="5" t="s">
        <v>696</v>
      </c>
    </row>
    <row r="5245" customFormat="false" ht="17.15" hidden="false" customHeight="false" outlineLevel="0" collapsed="false">
      <c r="A5245" s="1" t="s">
        <v>522</v>
      </c>
      <c r="B5245" s="8" t="s">
        <v>86</v>
      </c>
      <c r="C5245" s="38" t="n">
        <f aca="false">Q!$D$6</f>
        <v>142.906</v>
      </c>
      <c r="D5245" s="38" t="n">
        <f aca="false">Q!$E$6</f>
        <v>161.894</v>
      </c>
      <c r="E5245" s="38" t="n">
        <f aca="false">Q!$P$6</f>
        <v>81.986</v>
      </c>
      <c r="F5245" s="38" t="n">
        <f aca="false">Sens!$F$5242*(1-Sens!$F$5243)</f>
        <v>98.408468164951</v>
      </c>
      <c r="G5245" s="38" t="n">
        <f aca="false">Sens!$E$5245+Sens!$F$5245</f>
        <v>180.394468164951</v>
      </c>
      <c r="H5245" s="38" t="n">
        <f aca="false">Sens!$H$5242*(1-Sens!$H$5243)</f>
        <v>199.709899104949</v>
      </c>
      <c r="I5245" s="38" t="n">
        <f aca="false">Sens!$I$5242*(1-Sens!$I$5243)</f>
        <v>218.385528264976</v>
      </c>
      <c r="J5245" s="38" t="n">
        <f aca="false">Sens!$J$5242*(1-Sens!$J$5243)</f>
        <v>235.71696994951</v>
      </c>
      <c r="K5245" s="38" t="n">
        <f aca="false">Sens!$K$5242*(1-Sens!$K$5243)</f>
        <v>250.968227869545</v>
      </c>
      <c r="L5245" s="38" t="n">
        <f aca="false">Sens!$L$5242*(1-Sens!$L$5243)</f>
        <v>267.285367225822</v>
      </c>
      <c r="M5245" s="38" t="n">
        <f aca="false">Sens!$M$5242*(1-Sens!$M$5243)</f>
        <v>284.748579483295</v>
      </c>
      <c r="N5245" s="38" t="n">
        <f aca="false">Q!$N$6</f>
        <v>70.274</v>
      </c>
      <c r="O5245" s="38" t="n">
        <f aca="false">Q!$O$6</f>
        <v>91.62</v>
      </c>
      <c r="P5245" s="5" t="s">
        <v>697</v>
      </c>
    </row>
    <row r="5246" customFormat="false" ht="17.15" hidden="false" customHeight="false" outlineLevel="0" collapsed="false">
      <c r="A5246" s="5" t="s">
        <v>698</v>
      </c>
      <c r="B5246" s="0" t="s">
        <v>86</v>
      </c>
      <c r="C5246" s="38" t="n">
        <f aca="false">Sens!$C$5235*Sens!$C$5243</f>
        <v>41.0683128828457</v>
      </c>
      <c r="D5246" s="38" t="n">
        <f aca="false">Sens!$D$5235*Sens!$D$5243</f>
        <v>49.7441234599175</v>
      </c>
      <c r="E5246" s="38" t="n">
        <f aca="false">Sens!$E$5235*Sens!$E$5243</f>
        <v>27.0034224924414</v>
      </c>
      <c r="F5246" s="38" t="n">
        <f aca="false">Sens!$F$5235*Sens!$F$5243</f>
        <v>33.1439448330513</v>
      </c>
      <c r="G5246" s="38" t="n">
        <f aca="false">Sens!$G$5235*Sens!$G$5243</f>
        <v>60.164183844083</v>
      </c>
      <c r="H5246" s="38" t="n">
        <f aca="false">Sens!$H$5235*Sens!$H$5243</f>
        <v>72.2301766552629</v>
      </c>
      <c r="I5246" s="38" t="n">
        <f aca="false">Sens!$I$5235*Sens!$I$5243</f>
        <v>84.2950764463991</v>
      </c>
      <c r="J5246" s="38" t="n">
        <f aca="false">Sens!$J$5235*Sens!$J$5243</f>
        <v>95.5499047729386</v>
      </c>
      <c r="K5246" s="38" t="n">
        <f aca="false">Sens!$K$5235*Sens!$K$5243</f>
        <v>105.104895250232</v>
      </c>
      <c r="L5246" s="38" t="n">
        <f aca="false">Sens!$L$5235*Sens!$L$5243</f>
        <v>115.615384775256</v>
      </c>
      <c r="M5246" s="38" t="n">
        <f aca="false">Sens!$M$5235*Sens!$M$5243</f>
        <v>127.176923252781</v>
      </c>
      <c r="N5246" s="38" t="n">
        <f aca="false">Sens!$N$5235*Sens!$N$5243</f>
        <v>21.7087111412496</v>
      </c>
      <c r="O5246" s="38" t="n">
        <f aca="false">Sens!$O$5235*Sens!$O$5243</f>
        <v>28.0189463642798</v>
      </c>
      <c r="P5246" s="5" t="s">
        <v>699</v>
      </c>
    </row>
    <row r="5247" customFormat="false" ht="15" hidden="false" customHeight="false" outlineLevel="0" collapsed="false">
      <c r="A5247" s="5" t="s">
        <v>700</v>
      </c>
      <c r="B5247" s="0" t="s">
        <v>86</v>
      </c>
      <c r="C5247" s="38" t="n">
        <f aca="false">Sens!$C$5235-Sens!$C$5246</f>
        <v>15.1456871171543</v>
      </c>
      <c r="D5247" s="38" t="n">
        <f aca="false">Sens!$D$5235-Sens!$D$5246</f>
        <v>18.8908765400825</v>
      </c>
      <c r="E5247" s="38" t="n">
        <f aca="false">Sens!$E$5235-Sens!$E$5246</f>
        <v>10.0485775075586</v>
      </c>
      <c r="F5247" s="38" t="n">
        <f aca="false">Sens!$F$5235-Sens!$F$5246</f>
        <v>13.0132771613635</v>
      </c>
      <c r="G5247" s="38" t="n">
        <f aca="false">Sens!$G$5235-Sens!$G$5246</f>
        <v>23.0450381503318</v>
      </c>
      <c r="H5247" s="38" t="n">
        <f aca="false">Sens!$H$5235-Sens!$H$5246</f>
        <v>27.6667457326347</v>
      </c>
      <c r="I5247" s="38" t="n">
        <f aca="false">Sens!$I$5235-Sens!$I$5246</f>
        <v>32.2880346490971</v>
      </c>
      <c r="J5247" s="38" t="n">
        <f aca="false">Sens!$J$5235-Sens!$J$5246</f>
        <v>36.5990371690132</v>
      </c>
      <c r="K5247" s="38" t="n">
        <f aca="false">Sens!$K$5235-Sens!$K$5246</f>
        <v>40.2589408859145</v>
      </c>
      <c r="L5247" s="38" t="n">
        <f aca="false">Sens!$L$5235-Sens!$L$5246</f>
        <v>44.2848349745059</v>
      </c>
      <c r="M5247" s="38" t="n">
        <f aca="false">Sens!$M$5235-Sens!$M$5246</f>
        <v>48.7133184719565</v>
      </c>
      <c r="N5247" s="38" t="n">
        <f aca="false">Sens!$N$5235-Sens!$N$5246</f>
        <v>7.90628885875037</v>
      </c>
      <c r="O5247" s="38" t="n">
        <f aca="false">Sens!$O$5235-Sens!$O$5246</f>
        <v>11.0010536357202</v>
      </c>
    </row>
    <row r="5248" customFormat="false" ht="19.4" hidden="false" customHeight="false" outlineLevel="0" collapsed="false">
      <c r="A5248" s="31" t="s">
        <v>1258</v>
      </c>
    </row>
    <row r="5249" customFormat="false" ht="17.15" hidden="false" customHeight="false" outlineLevel="0" collapsed="false">
      <c r="A5249" s="6" t="s">
        <v>16</v>
      </c>
      <c r="B5249" s="6" t="s">
        <v>17</v>
      </c>
      <c r="C5249" s="20" t="s">
        <v>504</v>
      </c>
      <c r="D5249" s="20" t="s">
        <v>505</v>
      </c>
      <c r="E5249" s="20" t="s">
        <v>587</v>
      </c>
      <c r="F5249" s="20" t="s">
        <v>588</v>
      </c>
      <c r="G5249" s="20" t="s">
        <v>589</v>
      </c>
      <c r="H5249" s="20" t="s">
        <v>590</v>
      </c>
      <c r="I5249" s="20" t="s">
        <v>591</v>
      </c>
      <c r="J5249" s="20" t="s">
        <v>592</v>
      </c>
      <c r="K5249" s="20" t="s">
        <v>593</v>
      </c>
      <c r="L5249" s="20" t="s">
        <v>594</v>
      </c>
      <c r="M5249" s="20" t="s">
        <v>595</v>
      </c>
      <c r="N5249" s="20" t="s">
        <v>596</v>
      </c>
      <c r="O5249" s="20" t="s">
        <v>597</v>
      </c>
      <c r="P5249" s="6" t="s">
        <v>23</v>
      </c>
      <c r="R5249" s="20" t="n">
        <v>2023</v>
      </c>
      <c r="S5249" s="20" t="n">
        <v>2024</v>
      </c>
      <c r="T5249" s="20" t="n">
        <v>2025</v>
      </c>
      <c r="U5249" s="20" t="n">
        <v>2026</v>
      </c>
      <c r="V5249" s="20" t="n">
        <v>2027</v>
      </c>
      <c r="W5249" s="20" t="n">
        <v>2028</v>
      </c>
      <c r="X5249" s="20" t="n">
        <v>2029</v>
      </c>
      <c r="Y5249" s="20" t="n">
        <v>2030</v>
      </c>
      <c r="Z5249" s="20" t="n">
        <v>2031</v>
      </c>
      <c r="AA5249" s="20" t="n">
        <v>2032</v>
      </c>
    </row>
    <row r="5250" customFormat="false" ht="17.15" hidden="false" customHeight="false" outlineLevel="0" collapsed="false">
      <c r="A5250" s="1" t="s">
        <v>598</v>
      </c>
    </row>
    <row r="5251" customFormat="false" ht="17.15" hidden="false" customHeight="false" outlineLevel="0" collapsed="false">
      <c r="A5251" s="5" t="s">
        <v>599</v>
      </c>
      <c r="B5251" s="0" t="s">
        <v>144</v>
      </c>
      <c r="H5251" s="32" t="n">
        <f aca="false">pace_B</f>
        <v>3634.3</v>
      </c>
      <c r="I5251" s="32" t="n">
        <f aca="false">pace_B</f>
        <v>3634.3</v>
      </c>
      <c r="J5251" s="32" t="n">
        <f aca="false">pace_B</f>
        <v>3634.3</v>
      </c>
      <c r="K5251" s="32" t="n">
        <f aca="false">pace_B+(Sens!$J$5252*tg-pace_B)*1/3</f>
        <v>2570.86716666667</v>
      </c>
      <c r="L5251" s="32" t="n">
        <f aca="false">pace_B+(Sens!$J$5252*tg-pace_B)*2/3</f>
        <v>1507.43433333333</v>
      </c>
      <c r="M5251" s="32" t="n">
        <f aca="false">pace_B+(Sens!$J$5252*tg-pace_B)*3/3</f>
        <v>444.0015</v>
      </c>
      <c r="P5251" s="5" t="s">
        <v>600</v>
      </c>
    </row>
    <row r="5252" customFormat="false" ht="17.15" hidden="false" customHeight="false" outlineLevel="0" collapsed="false">
      <c r="A5252" s="15" t="s">
        <v>601</v>
      </c>
      <c r="B5252" s="14" t="s">
        <v>129</v>
      </c>
      <c r="C5252" s="33" t="n">
        <f aca="false">mw_ye24</f>
        <v>360</v>
      </c>
      <c r="D5252" s="33" t="n">
        <f aca="false">mw_ye25</f>
        <v>1440</v>
      </c>
      <c r="E5252" s="33" t="n">
        <f aca="false">mw_open</f>
        <v>2080</v>
      </c>
      <c r="F5252" s="33" t="n">
        <f aca="false">Sens!$E$5252+pace_B*0.5</f>
        <v>3897.15</v>
      </c>
      <c r="G5252" s="33" t="n">
        <f aca="false">Sens!$F$5252</f>
        <v>3897.15</v>
      </c>
      <c r="H5252" s="33" t="n">
        <f aca="false">Sens!$G$5252+Sens!$H$5251</f>
        <v>7531.45</v>
      </c>
      <c r="I5252" s="33" t="n">
        <f aca="false">Sens!$H$5252+Sens!$I$5251</f>
        <v>11165.75</v>
      </c>
      <c r="J5252" s="33" t="n">
        <f aca="false">Sens!$I$5252+Sens!$J$5251</f>
        <v>14800.05</v>
      </c>
      <c r="K5252" s="33" t="n">
        <f aca="false">Sens!$J$5252+Sens!$K$5251</f>
        <v>17370.9171666667</v>
      </c>
      <c r="L5252" s="33" t="n">
        <f aca="false">Sens!$K$5252+Sens!$L$5251</f>
        <v>18878.3515</v>
      </c>
      <c r="M5252" s="33" t="n">
        <f aca="false">Sens!$L$5252+Sens!$M$5251</f>
        <v>19322.353</v>
      </c>
      <c r="N5252" s="33" t="n">
        <f aca="false">(mw_ye24+mw_ye25)/2</f>
        <v>900</v>
      </c>
      <c r="O5252" s="33" t="n">
        <f aca="false">mw_ye25</f>
        <v>1440</v>
      </c>
      <c r="P5252" s="5" t="s">
        <v>602</v>
      </c>
    </row>
    <row r="5253" customFormat="false" ht="17.15" hidden="false" customHeight="false" outlineLevel="0" collapsed="false">
      <c r="A5253" s="5" t="s">
        <v>603</v>
      </c>
      <c r="B5253" s="0" t="s">
        <v>129</v>
      </c>
      <c r="C5253" s="32" t="n">
        <f aca="false">(mw_ye23+mw_ye24)/2</f>
        <v>240</v>
      </c>
      <c r="D5253" s="32" t="n">
        <f aca="false">(Sens!$C$5252+Sens!$D$5252)/2</f>
        <v>900</v>
      </c>
      <c r="E5253" s="32" t="n">
        <f aca="false">(Sens!$D$5252+Sens!$E$5252)/2</f>
        <v>1760</v>
      </c>
      <c r="F5253" s="32" t="n">
        <f aca="false">(Sens!$E$5252+Sens!$F$5252)/2</f>
        <v>2988.575</v>
      </c>
      <c r="G5253" s="32" t="n">
        <f aca="false">(Sens!$E$5253+Sens!$F$5253)/2</f>
        <v>2374.2875</v>
      </c>
      <c r="H5253" s="32" t="n">
        <f aca="false">(Sens!$G$5252+Sens!$H$5252)/2</f>
        <v>5714.3</v>
      </c>
      <c r="I5253" s="32" t="n">
        <f aca="false">(Sens!$H$5252+Sens!$I$5252)/2</f>
        <v>9348.6</v>
      </c>
      <c r="J5253" s="32" t="n">
        <f aca="false">(Sens!$I$5252+Sens!$J$5252)/2</f>
        <v>12982.9</v>
      </c>
      <c r="K5253" s="32" t="n">
        <f aca="false">(Sens!$J$5252+Sens!$K$5252)/2</f>
        <v>16085.4835833333</v>
      </c>
      <c r="L5253" s="32" t="n">
        <f aca="false">(Sens!$K$5252+Sens!$L$5252)/2</f>
        <v>18124.6343333333</v>
      </c>
      <c r="M5253" s="32" t="n">
        <f aca="false">(Sens!$L$5252+Sens!$M$5252)/2</f>
        <v>19100.35225</v>
      </c>
      <c r="N5253" s="32" t="n">
        <f aca="false">(Sens!$C$5252+Sens!$N$5252)/2</f>
        <v>630</v>
      </c>
      <c r="O5253" s="32" t="n">
        <f aca="false">(Sens!$N$5252+Sens!$O$5252)/2</f>
        <v>1170</v>
      </c>
    </row>
    <row r="5254" customFormat="false" ht="15" hidden="false" customHeight="false" outlineLevel="0" collapsed="false">
      <c r="A5254" s="5" t="s">
        <v>604</v>
      </c>
      <c r="B5254" s="5" t="s">
        <v>123</v>
      </c>
      <c r="C5254" s="34" t="n">
        <v>1</v>
      </c>
      <c r="D5254" s="34" t="n">
        <v>1</v>
      </c>
      <c r="E5254" s="34" t="n">
        <v>0.5</v>
      </c>
      <c r="F5254" s="34" t="n">
        <v>0.5</v>
      </c>
      <c r="G5254" s="34" t="n">
        <v>1</v>
      </c>
      <c r="H5254" s="34" t="n">
        <v>1</v>
      </c>
      <c r="I5254" s="34" t="n">
        <v>1</v>
      </c>
      <c r="J5254" s="34" t="n">
        <v>1</v>
      </c>
      <c r="K5254" s="34" t="n">
        <v>1</v>
      </c>
      <c r="L5254" s="34" t="n">
        <v>1</v>
      </c>
      <c r="M5254" s="34" t="n">
        <v>1</v>
      </c>
      <c r="N5254" s="34" t="n">
        <v>0.5</v>
      </c>
      <c r="O5254" s="34" t="n">
        <v>0.5</v>
      </c>
    </row>
    <row r="5255" customFormat="false" ht="17.15" hidden="false" customHeight="false" outlineLevel="0" collapsed="false">
      <c r="A5255" s="5" t="s">
        <v>605</v>
      </c>
      <c r="B5255" s="0" t="s">
        <v>129</v>
      </c>
      <c r="C5255" s="32" t="n">
        <f aca="false">Sens!$C$5252-mw_ye23</f>
        <v>240</v>
      </c>
      <c r="D5255" s="32" t="n">
        <f aca="false">Sens!$D$5252-Sens!$C$5252</f>
        <v>1080</v>
      </c>
      <c r="E5255" s="32" t="n">
        <f aca="false">Sens!$E$5252-Sens!$D$5252</f>
        <v>640</v>
      </c>
      <c r="F5255" s="32" t="n">
        <f aca="false">Sens!$F$5252-Sens!$E$5252</f>
        <v>1817.15</v>
      </c>
      <c r="G5255" s="32" t="n">
        <f aca="false">Sens!$E$5255+Sens!$F$5255</f>
        <v>2457.15</v>
      </c>
      <c r="H5255" s="32" t="n">
        <f aca="false">Sens!$H$5252-Sens!$G$5252</f>
        <v>3634.3</v>
      </c>
      <c r="I5255" s="32" t="n">
        <f aca="false">Sens!$I$5252-Sens!$H$5252</f>
        <v>3634.3</v>
      </c>
      <c r="J5255" s="32" t="n">
        <f aca="false">Sens!$J$5252-Sens!$I$5252</f>
        <v>3634.3</v>
      </c>
      <c r="K5255" s="32" t="n">
        <f aca="false">Sens!$K$5252-Sens!$J$5252</f>
        <v>2570.86716666667</v>
      </c>
      <c r="L5255" s="32" t="n">
        <f aca="false">Sens!$L$5252-Sens!$K$5252</f>
        <v>1507.43433333333</v>
      </c>
      <c r="M5255" s="32" t="n">
        <f aca="false">Sens!$M$5252-Sens!$L$5252</f>
        <v>444.001499999999</v>
      </c>
      <c r="N5255" s="32" t="n">
        <f aca="false">Sens!$N$5252-Sens!$C$5252</f>
        <v>540</v>
      </c>
      <c r="O5255" s="32" t="n">
        <f aca="false">Sens!$O$5252-Sens!$N$5252</f>
        <v>540</v>
      </c>
    </row>
    <row r="5256" customFormat="false" ht="17.15" hidden="false" customHeight="false" outlineLevel="0" collapsed="false">
      <c r="A5256" s="5" t="s">
        <v>606</v>
      </c>
      <c r="B5256" s="0" t="s">
        <v>129</v>
      </c>
      <c r="C5256" s="32" t="n">
        <f aca="false">Sens!$C$5255/ext_sh</f>
        <v>300</v>
      </c>
      <c r="D5256" s="32" t="n">
        <f aca="false">Sens!$D$5255/ext_sh</f>
        <v>1350</v>
      </c>
      <c r="E5256" s="32" t="n">
        <f aca="false">Sens!$E$5255/ext_sh</f>
        <v>800</v>
      </c>
      <c r="F5256" s="32" t="n">
        <f aca="false">Sens!$F$5255/ext_sh</f>
        <v>2271.4375</v>
      </c>
      <c r="G5256" s="32" t="n">
        <f aca="false">Sens!$G$5255/ext_sh</f>
        <v>3071.4375</v>
      </c>
      <c r="H5256" s="32" t="n">
        <f aca="false">Sens!$H$5255/ext_sh</f>
        <v>4542.875</v>
      </c>
      <c r="I5256" s="32" t="n">
        <f aca="false">Sens!$I$5255/ext_sh</f>
        <v>4542.875</v>
      </c>
      <c r="J5256" s="32" t="n">
        <f aca="false">Sens!$J$5255/ext_sh</f>
        <v>4542.875</v>
      </c>
      <c r="K5256" s="32" t="n">
        <f aca="false">Sens!$K$5255/ext_sh</f>
        <v>3213.58395833333</v>
      </c>
      <c r="L5256" s="32" t="n">
        <f aca="false">Sens!$L$5255/ext_sh</f>
        <v>1884.29291666667</v>
      </c>
      <c r="M5256" s="32" t="n">
        <f aca="false">Sens!$M$5255/ext_sh</f>
        <v>555.001874999998</v>
      </c>
      <c r="N5256" s="32" t="n">
        <f aca="false">Sens!$N$5255/ext_sh</f>
        <v>675</v>
      </c>
      <c r="O5256" s="32" t="n">
        <f aca="false">Sens!$O$5255/ext_sh</f>
        <v>675</v>
      </c>
      <c r="P5256" s="8" t="s">
        <v>607</v>
      </c>
      <c r="R5256" s="32" t="n">
        <f aca="false">mw_ye23/ext_sh</f>
        <v>150</v>
      </c>
      <c r="S5256" s="32" t="n">
        <f aca="false">Sens!$C$5256</f>
        <v>300</v>
      </c>
      <c r="T5256" s="32" t="n">
        <f aca="false">Sens!$D$5256</f>
        <v>1350</v>
      </c>
      <c r="U5256" s="32" t="n">
        <f aca="false">Sens!$G$5256</f>
        <v>3071.4375</v>
      </c>
      <c r="V5256" s="32" t="n">
        <f aca="false">Sens!$H$5256</f>
        <v>4542.875</v>
      </c>
      <c r="W5256" s="32" t="n">
        <f aca="false">Sens!$I$5256</f>
        <v>4542.875</v>
      </c>
      <c r="X5256" s="32" t="n">
        <f aca="false">Sens!$J$5256</f>
        <v>4542.875</v>
      </c>
      <c r="Y5256" s="32" t="n">
        <f aca="false">Sens!$K$5256</f>
        <v>3213.58395833333</v>
      </c>
      <c r="Z5256" s="32" t="n">
        <f aca="false">Sens!$L$5256</f>
        <v>1884.29291666667</v>
      </c>
      <c r="AA5256" s="32" t="n">
        <f aca="false">Sens!$M$5256</f>
        <v>555.001874999998</v>
      </c>
    </row>
    <row r="5257" customFormat="false" ht="17.15" hidden="false" customHeight="false" outlineLevel="0" collapsed="false">
      <c r="A5257" s="1" t="s">
        <v>608</v>
      </c>
    </row>
    <row r="5258" customFormat="false" ht="17.15" hidden="false" customHeight="false" outlineLevel="0" collapsed="false">
      <c r="A5258" s="0" t="s">
        <v>609</v>
      </c>
      <c r="B5258" s="0" t="s">
        <v>52</v>
      </c>
      <c r="F5258" s="35" t="n">
        <f aca="false">na_vr26</f>
        <v>0</v>
      </c>
      <c r="G5258" s="35" t="n">
        <f aca="false">na_vr26</f>
        <v>0</v>
      </c>
      <c r="H5258" s="35" t="n">
        <f aca="false">na_vr27</f>
        <v>0.5</v>
      </c>
      <c r="I5258" s="35" t="n">
        <f aca="false">na_vr28</f>
        <v>1</v>
      </c>
      <c r="J5258" s="35" t="n">
        <f aca="false">na_vr28</f>
        <v>1</v>
      </c>
      <c r="K5258" s="35" t="n">
        <f aca="false">na_vr28</f>
        <v>1</v>
      </c>
      <c r="L5258" s="35" t="n">
        <f aca="false">na_vr28</f>
        <v>1</v>
      </c>
      <c r="M5258" s="35" t="n">
        <f aca="false">na_vr28</f>
        <v>1</v>
      </c>
    </row>
    <row r="5259" customFormat="false" ht="17.15" hidden="false" customHeight="false" outlineLevel="0" collapsed="false">
      <c r="A5259" s="5" t="s">
        <v>610</v>
      </c>
      <c r="B5259" s="0" t="s">
        <v>173</v>
      </c>
      <c r="F5259" s="36" t="n">
        <f aca="false">cust_sh*tk_he_gb300*cf_chip+(1-cust_sh)*((1-Sens!$F$5258)*tk_he_gb300+Sens!$F$5258*tk_he_vr200)</f>
        <v>10.8864110021101</v>
      </c>
      <c r="G5259" s="36" t="n">
        <f aca="false">cust_sh*tk_he_gb300*cf_chip+(1-cust_sh)*((1-Sens!$G$5258)*tk_he_gb300+Sens!$G$5258*tk_he_vr200)</f>
        <v>10.8864110021101</v>
      </c>
      <c r="H5259" s="36" t="n">
        <f aca="false">cust_sh*tk_he_gb300*cf_chip+(1-cust_sh)*((1-Sens!$H$5258)*tk_he_gb300+Sens!$H$5258*tk_he_vr200)</f>
        <v>11.2211760027286</v>
      </c>
      <c r="I5259" s="36" t="n">
        <f aca="false">cust_sh*tk_he_gb300*cf_chip+(1-cust_sh)*((1-Sens!$I$5258)*tk_he_gb300+Sens!$I$5258*tk_he_vr200)</f>
        <v>11.5559410033471</v>
      </c>
      <c r="J5259" s="36" t="n">
        <f aca="false">cust_sh*tk_he_gb300*cf_chip+(1-cust_sh)*((1-Sens!$J$5258)*tk_he_gb300+Sens!$J$5258*tk_he_vr200)</f>
        <v>11.5559410033471</v>
      </c>
      <c r="K5259" s="36" t="n">
        <f aca="false">cust_sh*tk_he_gb300*cf_chip+(1-cust_sh)*((1-Sens!$K$5258)*tk_he_gb300+Sens!$K$5258*tk_he_vr200)</f>
        <v>11.5559410033471</v>
      </c>
      <c r="L5259" s="36" t="n">
        <f aca="false">cust_sh*tk_he_gb300*cf_chip+(1-cust_sh)*((1-Sens!$L$5258)*tk_he_gb300+Sens!$L$5258*tk_he_vr200)</f>
        <v>11.5559410033471</v>
      </c>
      <c r="M5259" s="36" t="n">
        <f aca="false">cust_sh*tk_he_gb300*cf_chip+(1-cust_sh)*((1-Sens!$M$5258)*tk_he_gb300+Sens!$M$5258*tk_he_vr200)</f>
        <v>11.5559410033471</v>
      </c>
    </row>
    <row r="5260" customFormat="false" ht="17.15" hidden="false" customHeight="false" outlineLevel="0" collapsed="false">
      <c r="A5260" s="5" t="s">
        <v>611</v>
      </c>
      <c r="B5260" s="0" t="s">
        <v>173</v>
      </c>
      <c r="F5260" s="36" t="n">
        <f aca="false">cust_sh*tk_ox_gb300+(1-cust_sh)*((1-Sens!$F$5258)*tk_ox_gb300+Sens!$F$5258*tk_ox_vr200)</f>
        <v>1.98263481314457</v>
      </c>
      <c r="G5260" s="36" t="n">
        <f aca="false">cust_sh*tk_ox_gb300+(1-cust_sh)*((1-Sens!$G$5258)*tk_ox_gb300+Sens!$G$5258*tk_ox_vr200)</f>
        <v>1.98263481314457</v>
      </c>
      <c r="H5260" s="36" t="n">
        <f aca="false">cust_sh*tk_ox_gb300+(1-cust_sh)*((1-Sens!$H$5258)*tk_ox_gb300+Sens!$H$5258*tk_ox_vr200)</f>
        <v>2.01034999693694</v>
      </c>
      <c r="I5260" s="36" t="n">
        <f aca="false">cust_sh*tk_ox_gb300+(1-cust_sh)*((1-Sens!$I$5258)*tk_ox_gb300+Sens!$I$5258*tk_ox_vr200)</f>
        <v>2.0380651807293</v>
      </c>
      <c r="J5260" s="36" t="n">
        <f aca="false">cust_sh*tk_ox_gb300+(1-cust_sh)*((1-Sens!$J$5258)*tk_ox_gb300+Sens!$J$5258*tk_ox_vr200)</f>
        <v>2.0380651807293</v>
      </c>
      <c r="K5260" s="36" t="n">
        <f aca="false">cust_sh*tk_ox_gb300+(1-cust_sh)*((1-Sens!$K$5258)*tk_ox_gb300+Sens!$K$5258*tk_ox_vr200)</f>
        <v>2.0380651807293</v>
      </c>
      <c r="L5260" s="36" t="n">
        <f aca="false">cust_sh*tk_ox_gb300+(1-cust_sh)*((1-Sens!$L$5258)*tk_ox_gb300+Sens!$L$5258*tk_ox_vr200)</f>
        <v>2.0380651807293</v>
      </c>
      <c r="M5260" s="36" t="n">
        <f aca="false">cust_sh*tk_ox_gb300+(1-cust_sh)*((1-Sens!$M$5258)*tk_ox_gb300+Sens!$M$5258*tk_ox_vr200)</f>
        <v>2.0380651807293</v>
      </c>
    </row>
    <row r="5261" customFormat="false" ht="17.15" hidden="false" customHeight="false" outlineLevel="0" collapsed="false">
      <c r="A5261" s="5" t="s">
        <v>612</v>
      </c>
      <c r="B5261" s="0" t="s">
        <v>192</v>
      </c>
      <c r="F5261" s="36" t="n">
        <f aca="false">cust_sh*tk_cx_gb300*cf_cx+(1-cust_sh)*((1-Sens!$F$5258)*tk_cx_gb300+Sens!$F$5258*tk_cx_vr200)</f>
        <v>32.237224</v>
      </c>
      <c r="G5261" s="36" t="n">
        <f aca="false">cust_sh*tk_cx_gb300*cf_cx+(1-cust_sh)*((1-Sens!$G$5258)*tk_cx_gb300+Sens!$G$5258*tk_cx_vr200)</f>
        <v>32.237224</v>
      </c>
      <c r="H5261" s="36" t="n">
        <f aca="false">cust_sh*tk_cx_gb300*cf_cx+(1-cust_sh)*((1-Sens!$H$5258)*tk_cx_gb300+Sens!$H$5258*tk_cx_vr200)</f>
        <v>33.574506</v>
      </c>
      <c r="I5261" s="36" t="n">
        <f aca="false">cust_sh*tk_cx_gb300*cf_cx+(1-cust_sh)*((1-Sens!$I$5258)*tk_cx_gb300+Sens!$I$5258*tk_cx_vr200)</f>
        <v>34.911788</v>
      </c>
      <c r="J5261" s="36" t="n">
        <f aca="false">cust_sh*tk_cx_gb300*cf_cx+(1-cust_sh)*((1-Sens!$J$5258)*tk_cx_gb300+Sens!$J$5258*tk_cx_vr200)</f>
        <v>34.911788</v>
      </c>
      <c r="K5261" s="36" t="n">
        <f aca="false">cust_sh*tk_cx_gb300*cf_cx+(1-cust_sh)*((1-Sens!$K$5258)*tk_cx_gb300+Sens!$K$5258*tk_cx_vr200)</f>
        <v>34.911788</v>
      </c>
      <c r="L5261" s="36" t="n">
        <f aca="false">cust_sh*tk_cx_gb300*cf_cx+(1-cust_sh)*((1-Sens!$L$5258)*tk_cx_gb300+Sens!$L$5258*tk_cx_vr200)</f>
        <v>34.911788</v>
      </c>
      <c r="M5261" s="36" t="n">
        <f aca="false">cust_sh*tk_cx_gb300*cf_cx+(1-cust_sh)*((1-Sens!$M$5258)*tk_cx_gb300+Sens!$M$5258*tk_cx_vr200)</f>
        <v>34.911788</v>
      </c>
    </row>
    <row r="5262" customFormat="false" ht="17.15" hidden="false" customHeight="false" outlineLevel="0" collapsed="false">
      <c r="A5262" s="5" t="s">
        <v>613</v>
      </c>
      <c r="B5262" s="0" t="s">
        <v>129</v>
      </c>
      <c r="F5262" s="32" t="n">
        <f aca="false">Sens!$F$5252-mw_open</f>
        <v>1817.15</v>
      </c>
      <c r="G5262" s="32" t="n">
        <f aca="false">Sens!$F$5262</f>
        <v>1817.15</v>
      </c>
      <c r="H5262" s="32" t="n">
        <f aca="false">Sens!$H$5252-mw_open</f>
        <v>5451.45</v>
      </c>
      <c r="I5262" s="32" t="n">
        <f aca="false">Sens!$I$5252-mw_open</f>
        <v>9085.75</v>
      </c>
      <c r="J5262" s="32" t="n">
        <f aca="false">Sens!$J$5252-mw_open</f>
        <v>12720.05</v>
      </c>
      <c r="K5262" s="32" t="n">
        <f aca="false">Sens!$K$5252-mw_open</f>
        <v>15290.9171666667</v>
      </c>
      <c r="L5262" s="32" t="n">
        <f aca="false">Sens!$L$5252-mw_open</f>
        <v>16798.3515</v>
      </c>
      <c r="M5262" s="32" t="n">
        <f aca="false">Sens!$M$5252-mw_open</f>
        <v>17242.353</v>
      </c>
    </row>
    <row r="5263" customFormat="false" ht="17.15" hidden="false" customHeight="false" outlineLevel="0" collapsed="false">
      <c r="A5263" s="0" t="s">
        <v>614</v>
      </c>
      <c r="B5263" s="0" t="s">
        <v>615</v>
      </c>
      <c r="F5263" s="32" t="n">
        <f aca="false">Sens!$F$5255*Sens!$F$5259</f>
        <v>19782.2417524844</v>
      </c>
      <c r="G5263" s="32" t="n">
        <f aca="false">Sens!$F$5263</f>
        <v>19782.2417524844</v>
      </c>
      <c r="H5263" s="32" t="n">
        <f aca="false">Sens!$G$5263+Sens!$H$5255*Sens!$H$5259</f>
        <v>60563.3616992009</v>
      </c>
      <c r="I5263" s="32" t="n">
        <f aca="false">Sens!$H$5263+Sens!$I$5255*Sens!$I$5259</f>
        <v>102561.118087665</v>
      </c>
      <c r="J5263" s="32" t="n">
        <f aca="false">Sens!$I$5263+Sens!$J$5255*Sens!$J$5259</f>
        <v>144558.87447613</v>
      </c>
      <c r="K5263" s="32" t="n">
        <f aca="false">Sens!$J$5263+Sens!$K$5255*Sens!$K$5259</f>
        <v>174267.663781572</v>
      </c>
      <c r="L5263" s="32" t="n">
        <f aca="false">Sens!$K$5263+Sens!$L$5255*Sens!$L$5259</f>
        <v>191687.486003992</v>
      </c>
      <c r="M5263" s="32" t="n">
        <f aca="false">Sens!$L$5263+Sens!$M$5255*Sens!$M$5259</f>
        <v>196818.341143389</v>
      </c>
    </row>
    <row r="5264" customFormat="false" ht="17.15" hidden="false" customHeight="false" outlineLevel="0" collapsed="false">
      <c r="A5264" s="0" t="s">
        <v>616</v>
      </c>
      <c r="B5264" s="0" t="s">
        <v>615</v>
      </c>
      <c r="F5264" s="32" t="n">
        <f aca="false">Sens!$F$5255*Sens!$F$5260</f>
        <v>3602.74485070566</v>
      </c>
      <c r="G5264" s="32" t="n">
        <f aca="false">Sens!$F$5264</f>
        <v>3602.74485070566</v>
      </c>
      <c r="H5264" s="32" t="n">
        <f aca="false">Sens!$G$5264+Sens!$H$5255*Sens!$H$5260</f>
        <v>10908.9598445736</v>
      </c>
      <c r="I5264" s="32" t="n">
        <f aca="false">Sens!$H$5264+Sens!$I$5255*Sens!$I$5260</f>
        <v>18315.9001308981</v>
      </c>
      <c r="J5264" s="32" t="n">
        <f aca="false">Sens!$I$5264+Sens!$J$5255*Sens!$J$5260</f>
        <v>25722.8404172225</v>
      </c>
      <c r="K5264" s="32" t="n">
        <f aca="false">Sens!$J$5264+Sens!$K$5255*Sens!$K$5260</f>
        <v>30962.4352738861</v>
      </c>
      <c r="L5264" s="32" t="n">
        <f aca="false">Sens!$K$5264+Sens!$L$5255*Sens!$L$5260</f>
        <v>34034.6847008886</v>
      </c>
      <c r="M5264" s="32" t="n">
        <f aca="false">Sens!$L$5264+Sens!$M$5255*Sens!$M$5260</f>
        <v>34939.5886982302</v>
      </c>
    </row>
    <row r="5265" customFormat="false" ht="17.15" hidden="false" customHeight="false" outlineLevel="0" collapsed="false">
      <c r="A5265" s="5" t="s">
        <v>617</v>
      </c>
      <c r="B5265" s="0" t="s">
        <v>173</v>
      </c>
      <c r="F5265" s="36" t="n">
        <f aca="false">IF(Sens!$F$5262&gt;0,Sens!$F$5263/Sens!$F$5262,Sens!$F$5259)</f>
        <v>10.8864110021101</v>
      </c>
      <c r="G5265" s="36" t="n">
        <f aca="false">IF(Sens!$G$5262&gt;0,Sens!$G$5263/Sens!$G$5262,Sens!$G$5259)</f>
        <v>10.8864110021101</v>
      </c>
      <c r="H5265" s="36" t="n">
        <f aca="false">IF(Sens!$H$5262&gt;0,Sens!$H$5263/Sens!$H$5262,Sens!$H$5259)</f>
        <v>11.1095876691891</v>
      </c>
      <c r="I5265" s="36" t="n">
        <f aca="false">IF(Sens!$I$5262&gt;0,Sens!$I$5263/Sens!$I$5262,Sens!$I$5259)</f>
        <v>11.2881290028523</v>
      </c>
      <c r="J5265" s="36" t="n">
        <f aca="false">IF(Sens!$J$5262&gt;0,Sens!$J$5263/Sens!$J$5262,Sens!$J$5259)</f>
        <v>11.3646467172794</v>
      </c>
      <c r="K5265" s="36" t="n">
        <f aca="false">IF(Sens!$K$5262&gt;0,Sens!$K$5263/Sens!$K$5262,Sens!$K$5259)</f>
        <v>11.3968090914432</v>
      </c>
      <c r="L5265" s="36" t="n">
        <f aca="false">IF(Sens!$L$5262&gt;0,Sens!$L$5263/Sens!$L$5262,Sens!$L$5259)</f>
        <v>11.4110891181192</v>
      </c>
      <c r="M5265" s="36" t="n">
        <f aca="false">IF(Sens!$M$5262&gt;0,Sens!$M$5263/Sens!$M$5262,Sens!$M$5259)</f>
        <v>11.4148191458201</v>
      </c>
    </row>
    <row r="5266" customFormat="false" ht="17.15" hidden="false" customHeight="false" outlineLevel="0" collapsed="false">
      <c r="A5266" s="5" t="s">
        <v>618</v>
      </c>
      <c r="B5266" s="0" t="s">
        <v>173</v>
      </c>
      <c r="F5266" s="36" t="n">
        <f aca="false">IF(Sens!$F$5262&gt;0,Sens!$F$5264/Sens!$F$5262,Sens!$F$5260)</f>
        <v>1.98263481314457</v>
      </c>
      <c r="G5266" s="36" t="n">
        <f aca="false">IF(Sens!$G$5262&gt;0,Sens!$G$5264/Sens!$G$5262,Sens!$G$5260)</f>
        <v>1.98263481314457</v>
      </c>
      <c r="H5266" s="36" t="n">
        <f aca="false">IF(Sens!$H$5262&gt;0,Sens!$H$5264/Sens!$H$5262,Sens!$H$5260)</f>
        <v>2.00111160233948</v>
      </c>
      <c r="I5266" s="36" t="n">
        <f aca="false">IF(Sens!$I$5262&gt;0,Sens!$I$5264/Sens!$I$5262,Sens!$I$5260)</f>
        <v>2.01589303369541</v>
      </c>
      <c r="J5266" s="36" t="n">
        <f aca="false">IF(Sens!$J$5262&gt;0,Sens!$J$5264/Sens!$J$5262,Sens!$J$5260)</f>
        <v>2.02222793284795</v>
      </c>
      <c r="K5266" s="36" t="n">
        <f aca="false">IF(Sens!$K$5262&gt;0,Sens!$K$5264/Sens!$K$5262,Sens!$K$5260)</f>
        <v>2.02489065478573</v>
      </c>
      <c r="L5266" s="36" t="n">
        <f aca="false">IF(Sens!$L$5262&gt;0,Sens!$L$5264/Sens!$L$5262,Sens!$L$5260)</f>
        <v>2.0260728977417</v>
      </c>
      <c r="M5266" s="36" t="n">
        <f aca="false">IF(Sens!$M$5262&gt;0,Sens!$M$5264/Sens!$M$5262,Sens!$M$5260)</f>
        <v>2.02638170661685</v>
      </c>
    </row>
    <row r="5267" customFormat="false" ht="17.15" hidden="false" customHeight="false" outlineLevel="0" collapsed="false">
      <c r="A5267" s="15" t="s">
        <v>619</v>
      </c>
      <c r="B5267" s="14" t="s">
        <v>173</v>
      </c>
      <c r="C5267" s="14"/>
      <c r="D5267" s="14"/>
      <c r="E5267" s="14"/>
      <c r="F5267" s="37" t="n">
        <f aca="false">Sens!$F$5265*k_B</f>
        <v>10.7987645808025</v>
      </c>
      <c r="G5267" s="37" t="n">
        <f aca="false">Sens!$G$5265*k_B</f>
        <v>10.7987645808025</v>
      </c>
      <c r="H5267" s="37" t="n">
        <f aca="false">Sens!$H$5265*k_B</f>
        <v>11.0201444540452</v>
      </c>
      <c r="I5267" s="37" t="n">
        <f aca="false">Sens!$I$5265*k_B</f>
        <v>11.1972483526393</v>
      </c>
      <c r="J5267" s="37" t="n">
        <f aca="false">Sens!$J$5265*k_B</f>
        <v>11.2731500234653</v>
      </c>
      <c r="K5267" s="37" t="n">
        <f aca="false">Sens!$K$5265*k_B</f>
        <v>11.3050534585724</v>
      </c>
      <c r="L5267" s="37" t="n">
        <f aca="false">Sens!$L$5265*k_B</f>
        <v>11.3192185168503</v>
      </c>
      <c r="M5267" s="37" t="n">
        <f aca="false">Sens!$M$5265*k_B</f>
        <v>11.3229185141234</v>
      </c>
      <c r="N5267" s="14"/>
      <c r="O5267" s="14"/>
      <c r="P5267" s="5" t="s">
        <v>620</v>
      </c>
    </row>
    <row r="5268" customFormat="false" ht="17.15" hidden="false" customHeight="false" outlineLevel="0" collapsed="false">
      <c r="A5268" s="5" t="s">
        <v>621</v>
      </c>
      <c r="B5268" s="0" t="s">
        <v>129</v>
      </c>
      <c r="F5268" s="32" t="n">
        <f aca="false">Sens!$F$5262/2</f>
        <v>908.575</v>
      </c>
      <c r="H5268" s="32" t="n">
        <f aca="false">(Sens!$G$5262+Sens!$H$5262)/2</f>
        <v>3634.3</v>
      </c>
      <c r="I5268" s="32" t="n">
        <f aca="false">(Sens!$H$5262+Sens!$I$5262)/2</f>
        <v>7268.6</v>
      </c>
      <c r="J5268" s="32" t="n">
        <f aca="false">(Sens!$I$5262+Sens!$J$5262)/2</f>
        <v>10902.9</v>
      </c>
      <c r="K5268" s="32" t="n">
        <f aca="false">(Sens!$J$5262+Sens!$K$5262)/2</f>
        <v>14005.4835833333</v>
      </c>
      <c r="L5268" s="32" t="n">
        <f aca="false">(Sens!$K$5262+Sens!$L$5262)/2</f>
        <v>16044.6343333333</v>
      </c>
      <c r="M5268" s="32" t="n">
        <f aca="false">(Sens!$L$5262+Sens!$M$5262)/2</f>
        <v>17020.35225</v>
      </c>
    </row>
    <row r="5269" customFormat="false" ht="17.15" hidden="false" customHeight="false" outlineLevel="0" collapsed="false">
      <c r="A5269" s="1" t="s">
        <v>622</v>
      </c>
    </row>
    <row r="5270" customFormat="false" ht="17.15" hidden="false" customHeight="false" outlineLevel="0" collapsed="false">
      <c r="A5270" s="1" t="s">
        <v>623</v>
      </c>
      <c r="B5270" s="8" t="s">
        <v>86</v>
      </c>
      <c r="C5270" s="38" t="n">
        <f aca="false">Sens!$C$5253*rpm_open*Sens!$C$5254/1000</f>
        <v>2.32100535697364</v>
      </c>
      <c r="D5270" s="38" t="n">
        <f aca="false">Sens!$D$5253*rpm_open*Sens!$D$5254/1000</f>
        <v>8.70377008865116</v>
      </c>
      <c r="E5270" s="38" t="n">
        <f aca="false">Sens!$E$5253*rpm_open*Sens!$E$5254/1000</f>
        <v>8.51035297557002</v>
      </c>
      <c r="F5270" s="38" t="n">
        <f aca="false">(mw_open*rpm_open+Sens!$F$5268*Sens!$F$5267)*Sens!$F$5254/1000</f>
        <v>14.9634336447205</v>
      </c>
      <c r="G5270" s="38" t="n">
        <f aca="false">Sens!$E$5270+Sens!$F$5270</f>
        <v>23.4737866202905</v>
      </c>
      <c r="H5270" s="38" t="n">
        <f aca="false">(mw_open*rpm_open+Sens!$H$5268*Sens!$H$5267)/1000</f>
        <v>60.1658907497746</v>
      </c>
      <c r="I5270" s="38" t="n">
        <f aca="false">(mw_open*rpm_open+Sens!$I$5268*Sens!$I$5267)/1000</f>
        <v>101.503699136432</v>
      </c>
      <c r="J5270" s="38" t="n">
        <f aca="false">(mw_open*rpm_open+Sens!$J$5268*Sens!$J$5267)/1000</f>
        <v>143.025407151278</v>
      </c>
      <c r="K5270" s="38" t="n">
        <f aca="false">(mw_open*rpm_open+Sens!$K$5268*Sens!$K$5267)/1000</f>
        <v>178.44812038318</v>
      </c>
      <c r="L5270" s="38" t="n">
        <f aca="false">(mw_open*rpm_open+Sens!$L$5268*Sens!$L$5267)/1000</f>
        <v>201.728101802396</v>
      </c>
      <c r="M5270" s="38" t="n">
        <f aca="false">(mw_open*rpm_open+Sens!$M$5268*Sens!$M$5267)/1000</f>
        <v>212.835441368865</v>
      </c>
      <c r="N5270" s="38" t="n">
        <f aca="false">Sens!$N$5253*rpm_open*Sens!$N$5254/1000</f>
        <v>3.04631953102791</v>
      </c>
      <c r="O5270" s="38" t="n">
        <f aca="false">Sens!$O$5253*rpm_open*Sens!$O$5254/1000</f>
        <v>5.65745055762326</v>
      </c>
      <c r="P5270" s="5" t="s">
        <v>624</v>
      </c>
    </row>
    <row r="5271" customFormat="false" ht="17.15" hidden="false" customHeight="false" outlineLevel="0" collapsed="false">
      <c r="A5271" s="5" t="s">
        <v>625</v>
      </c>
      <c r="B5271" s="0" t="s">
        <v>173</v>
      </c>
      <c r="C5271" s="36" t="n">
        <f aca="false">Sens!$C$5270*1000/(Sens!$C$5253*Sens!$C$5254)</f>
        <v>9.67085565405685</v>
      </c>
      <c r="D5271" s="36" t="n">
        <f aca="false">Sens!$D$5270*1000/(Sens!$D$5253*Sens!$D$5254)</f>
        <v>9.67085565405685</v>
      </c>
      <c r="E5271" s="36" t="n">
        <f aca="false">Sens!$E$5270*1000/(Sens!$E$5253*Sens!$E$5254)</f>
        <v>9.67085565405685</v>
      </c>
      <c r="F5271" s="36" t="n">
        <f aca="false">Sens!$F$5270*1000/(Sens!$F$5253*Sens!$F$5254)</f>
        <v>10.0137581588017</v>
      </c>
      <c r="G5271" s="36" t="n">
        <f aca="false">Sens!$G$5270*1000/(Sens!$G$5253*Sens!$G$5254)</f>
        <v>9.88666562928478</v>
      </c>
      <c r="H5271" s="36" t="n">
        <f aca="false">Sens!$H$5270*1000/(Sens!$H$5253*Sens!$H$5254)</f>
        <v>10.5290045586992</v>
      </c>
      <c r="I5271" s="36" t="n">
        <f aca="false">Sens!$I$5270*1000/(Sens!$I$5253*Sens!$I$5254)</f>
        <v>10.8576363451674</v>
      </c>
      <c r="J5271" s="36" t="n">
        <f aca="false">Sens!$J$5270*1000/(Sens!$J$5253*Sens!$J$5254)</f>
        <v>11.0164452588619</v>
      </c>
      <c r="K5271" s="36" t="n">
        <f aca="false">Sens!$K$5270*1000/(Sens!$K$5253*Sens!$K$5254)</f>
        <v>11.0937367508227</v>
      </c>
      <c r="L5271" s="36" t="n">
        <f aca="false">Sens!$L$5270*1000/(Sens!$L$5253*Sens!$L$5254)</f>
        <v>11.1300508519168</v>
      </c>
      <c r="M5271" s="36" t="n">
        <f aca="false">Sens!$M$5270*1000/(Sens!$M$5253*Sens!$M$5254)</f>
        <v>11.1430113216297</v>
      </c>
      <c r="N5271" s="36" t="n">
        <f aca="false">Sens!$N$5270*1000/(Sens!$N$5253*Sens!$N$5254)</f>
        <v>9.67085565405685</v>
      </c>
      <c r="O5271" s="36" t="n">
        <f aca="false">Sens!$O$5270*1000/(Sens!$O$5253*Sens!$O$5254)</f>
        <v>9.67085565405685</v>
      </c>
    </row>
    <row r="5272" customFormat="false" ht="17.15" hidden="false" customHeight="false" outlineLevel="0" collapsed="false">
      <c r="A5272" s="0" t="s">
        <v>626</v>
      </c>
      <c r="B5272" s="0" t="s">
        <v>86</v>
      </c>
      <c r="C5272" s="38" t="n">
        <f aca="false">Sens!$C$5253/ext_sh*(ox_open+rent_mw)*Sens!$C$5254/1000</f>
        <v>0.642569210675032</v>
      </c>
      <c r="D5272" s="38" t="n">
        <f aca="false">Sens!$D$5253/ext_sh*(ox_open+rent_mw)*Sens!$D$5254/1000</f>
        <v>2.40963454003137</v>
      </c>
      <c r="E5272" s="38" t="n">
        <f aca="false">Sens!$E$5253/ext_sh*(ox_open+rent_mw)*Sens!$E$5254/1000</f>
        <v>2.35608710580845</v>
      </c>
      <c r="F5272" s="38" t="n">
        <f aca="false">((mw_open*ox_open+Sens!$F$5268*Sens!$F$5266)/ext_sh+Sens!$F$5253/ext_sh*rent_mw)*Sens!$F$5254/1000</f>
        <v>4.05421991106232</v>
      </c>
      <c r="G5272" s="38" t="n">
        <f aca="false">Sens!$E$5272+Sens!$F$5272</f>
        <v>6.41030701687077</v>
      </c>
      <c r="H5272" s="38" t="n">
        <f aca="false">((mw_open*ox_open+Sens!$H$5268*Sens!$H$5266)/ext_sh+Sens!$H$5253/ext_sh*rent_mw)*Sens!$H$5254/1000</f>
        <v>15.8108975546616</v>
      </c>
      <c r="I5272" s="38" t="n">
        <f aca="false">((mw_open*ox_open+Sens!$I$5268*Sens!$I$5266)/ext_sh+Sens!$I$5253/ext_sh*rent_mw)*Sens!$I$5254/1000</f>
        <v>26.1871623400817</v>
      </c>
      <c r="J5272" s="38" t="n">
        <f aca="false">((mw_open*ox_open+Sens!$J$5268*Sens!$J$5266)/ext_sh+Sens!$J$5253/ext_sh*rent_mw)*Sens!$J$5254/1000</f>
        <v>36.5826128954935</v>
      </c>
      <c r="K5272" s="38" t="n">
        <f aca="false">((mw_open*ox_open+Sens!$K$5268*Sens!$K$5266)/ext_sh+Sens!$K$5253/ext_sh*rent_mw)*Sens!$K$5254/1000</f>
        <v>45.4546361137628</v>
      </c>
      <c r="L5272" s="38" t="n">
        <f aca="false">((mw_open*ox_open+Sens!$L$5268*Sens!$L$5266)/ext_sh+Sens!$L$5253/ext_sh*rent_mw)*Sens!$L$5254/1000</f>
        <v>51.2855695554452</v>
      </c>
      <c r="M5272" s="38" t="n">
        <f aca="false">((mw_open*ox_open+Sens!$M$5268*Sens!$M$5266)/ext_sh+Sens!$M$5253/ext_sh*rent_mw)*Sens!$M$5254/1000</f>
        <v>54.0722927838398</v>
      </c>
      <c r="N5272" s="38" t="n">
        <f aca="false">Sens!$N$5253/ext_sh*(ox_open+rent_mw)*Sens!$N$5254/1000</f>
        <v>0.84337208901098</v>
      </c>
      <c r="O5272" s="38" t="n">
        <f aca="false">Sens!$O$5253/ext_sh*(ox_open+rent_mw)*Sens!$O$5254/1000</f>
        <v>1.56626245102039</v>
      </c>
    </row>
    <row r="5273" customFormat="false" ht="17.15" hidden="false" customHeight="false" outlineLevel="0" collapsed="false">
      <c r="A5273" s="0" t="s">
        <v>627</v>
      </c>
      <c r="B5273" s="0" t="s">
        <v>86</v>
      </c>
      <c r="C5273" s="38" t="n">
        <f aca="false">Q!$D$7</f>
        <v>107.556</v>
      </c>
      <c r="D5273" s="38" t="n">
        <f aca="false">Q!$E$7</f>
        <v>128.725</v>
      </c>
      <c r="E5273" s="38" t="n">
        <f aca="false">Q!$P$7</f>
        <v>79.819</v>
      </c>
      <c r="N5273" s="38" t="n">
        <f aca="false">Q!$N$7</f>
        <v>60.14</v>
      </c>
      <c r="O5273" s="38" t="n">
        <f aca="false">Q!$O$7</f>
        <v>68.585</v>
      </c>
    </row>
    <row r="5274" customFormat="false" ht="17.15" hidden="false" customHeight="false" outlineLevel="0" collapsed="false">
      <c r="A5274" s="1" t="s">
        <v>628</v>
      </c>
      <c r="B5274" s="8" t="s">
        <v>86</v>
      </c>
      <c r="C5274" s="38" t="n">
        <f aca="false">Sens!$C$5273-Sens!$C$5270</f>
        <v>105.234994643026</v>
      </c>
      <c r="D5274" s="38" t="n">
        <f aca="false">Sens!$D$5273-Sens!$D$5270</f>
        <v>120.021229911349</v>
      </c>
      <c r="E5274" s="38" t="n">
        <f aca="false">Sens!$E$5273-Sens!$E$5270</f>
        <v>71.30864702443</v>
      </c>
      <c r="F5274" s="38" t="n">
        <f aca="false">Sens!$O$5274*(1+Sens!$F$5275)</f>
        <v>71.7692997942464</v>
      </c>
      <c r="G5274" s="38" t="n">
        <f aca="false">Sens!$E$5274+Sens!$F$5274</f>
        <v>143.077946818676</v>
      </c>
      <c r="H5274" s="38" t="n">
        <f aca="false">Sens!$G$5274*(1+Sens!$H$5275)</f>
        <v>161.017077079203</v>
      </c>
      <c r="I5274" s="38" t="n">
        <f aca="false">Sens!$H$5274*(1+Sens!$I$5275)</f>
        <v>178.769759521457</v>
      </c>
      <c r="J5274" s="38" t="n">
        <f aca="false">Sens!$I$5274*(1+Sens!$J$5275)</f>
        <v>195.775538045907</v>
      </c>
      <c r="K5274" s="38" t="n">
        <f aca="false">Sens!$J$5274*(1+Sens!$K$5275)</f>
        <v>211.43758108958</v>
      </c>
      <c r="L5274" s="38" t="n">
        <f aca="false">Sens!$K$5274*(1+Sens!$L$5275)</f>
        <v>228.352587576746</v>
      </c>
      <c r="M5274" s="38" t="n">
        <f aca="false">Sens!$L$5274*(1+Sens!$M$5275)</f>
        <v>246.620794582886</v>
      </c>
      <c r="N5274" s="38" t="n">
        <f aca="false">Sens!$N$5273-Sens!$N$5270</f>
        <v>57.0936804689721</v>
      </c>
      <c r="O5274" s="38" t="n">
        <f aca="false">Sens!$O$5273-Sens!$O$5270</f>
        <v>62.9275494423768</v>
      </c>
      <c r="P5274" s="5" t="s">
        <v>629</v>
      </c>
    </row>
    <row r="5275" customFormat="false" ht="17.15" hidden="false" customHeight="false" outlineLevel="0" collapsed="false">
      <c r="A5275" s="0" t="s">
        <v>630</v>
      </c>
      <c r="B5275" s="0" t="s">
        <v>52</v>
      </c>
      <c r="D5275" s="13" t="n">
        <f aca="false">Sens!$D$5274/Sens!$C$5274-1</f>
        <v>0.140506827776062</v>
      </c>
      <c r="E5275" s="13" t="n">
        <f aca="false">Sens!$E$5274/Sens!$N$5274-1</f>
        <v>0.248976181579029</v>
      </c>
      <c r="F5275" s="13" t="n">
        <f aca="false">Sens!$D$5275</f>
        <v>0.140506827776062</v>
      </c>
      <c r="G5275" s="13" t="n">
        <f aca="false">Sens!$G$5274/Sens!$D$5274-1</f>
        <v>0.19210532106993</v>
      </c>
      <c r="H5275" s="13" t="n">
        <f aca="false">Sens!$F$5275+(g_awso_lt-Sens!$F$5275)*1/4</f>
        <v>0.125380120832046</v>
      </c>
      <c r="I5275" s="13" t="n">
        <f aca="false">Sens!$F$5275+(g_awso_lt-Sens!$F$5275)*2/4</f>
        <v>0.110253413888031</v>
      </c>
      <c r="J5275" s="13" t="n">
        <f aca="false">Sens!$F$5275+(g_awso_lt-Sens!$F$5275)*3/4</f>
        <v>0.0951267069440154</v>
      </c>
      <c r="K5275" s="13" t="n">
        <f aca="false">Sens!$F$5275+(g_awso_lt-Sens!$F$5275)*4/4</f>
        <v>0.08</v>
      </c>
      <c r="L5275" s="13" t="n">
        <f aca="false">g_awso_lt</f>
        <v>0.08</v>
      </c>
      <c r="M5275" s="13" t="n">
        <f aca="false">g_awso_lt</f>
        <v>0.08</v>
      </c>
      <c r="P5275" s="5" t="s">
        <v>631</v>
      </c>
    </row>
    <row r="5276" customFormat="false" ht="17.15" hidden="false" customHeight="false" outlineLevel="0" collapsed="false">
      <c r="A5276" s="1" t="s">
        <v>632</v>
      </c>
    </row>
    <row r="5277" customFormat="false" ht="17.15" hidden="false" customHeight="false" outlineLevel="0" collapsed="false">
      <c r="A5277" s="0" t="s">
        <v>633</v>
      </c>
      <c r="B5277" s="0" t="s">
        <v>86</v>
      </c>
      <c r="F5277" s="38" t="n">
        <f aca="false">cx_rt*Sens!$F$5242+cx_awso*Sens!$F$5274</f>
        <v>34.9734495387866</v>
      </c>
    </row>
    <row r="5278" customFormat="false" ht="17.15" hidden="false" customHeight="false" outlineLevel="0" collapsed="false">
      <c r="A5278" s="0" t="s">
        <v>634</v>
      </c>
      <c r="B5278" s="0" t="s">
        <v>52</v>
      </c>
      <c r="C5278" s="13" t="n">
        <f aca="false">tk_cx_h100/(tk_cx_h100+tk_fac*(1-colo_sh))</f>
        <v>0.730756458006641</v>
      </c>
      <c r="D5278" s="13" t="n">
        <f aca="false">tk_cx_h100/(tk_cx_h100+tk_fac*(1-colo_sh))</f>
        <v>0.730756458006641</v>
      </c>
      <c r="E5278" s="13" t="n">
        <f aca="false">Sens!$F$5278</f>
        <v>0.760792334328868</v>
      </c>
      <c r="F5278" s="13" t="n">
        <f aca="false">Sens!$F$5261/(Sens!$F$5261+tk_fac*(1-colo_sh))</f>
        <v>0.760792334328868</v>
      </c>
      <c r="G5278" s="13" t="n">
        <f aca="false">Sens!$G$5261/(Sens!$G$5261+tk_fac*(1-colo_sh))</f>
        <v>0.760792334328868</v>
      </c>
      <c r="H5278" s="13" t="n">
        <f aca="false">Sens!$H$5261/(Sens!$H$5261+tk_fac*(1-colo_sh))</f>
        <v>0.768110668862996</v>
      </c>
      <c r="I5278" s="13" t="n">
        <f aca="false">Sens!$I$5261/(Sens!$I$5261+tk_fac*(1-colo_sh))</f>
        <v>0.77499450139483</v>
      </c>
      <c r="J5278" s="13" t="n">
        <f aca="false">Sens!$J$5261/(Sens!$J$5261+tk_fac*(1-colo_sh))</f>
        <v>0.77499450139483</v>
      </c>
      <c r="K5278" s="13" t="n">
        <f aca="false">Sens!$K$5261/(Sens!$K$5261+tk_fac*(1-colo_sh))</f>
        <v>0.77499450139483</v>
      </c>
      <c r="L5278" s="13" t="n">
        <f aca="false">Sens!$L$5261/(Sens!$L$5261+tk_fac*(1-colo_sh))</f>
        <v>0.77499450139483</v>
      </c>
      <c r="M5278" s="13" t="n">
        <f aca="false">Sens!$M$5261/(Sens!$M$5261+tk_fac*(1-colo_sh))</f>
        <v>0.77499450139483</v>
      </c>
    </row>
    <row r="5279" customFormat="false" ht="17.15" hidden="false" customHeight="false" outlineLevel="0" collapsed="false">
      <c r="A5279" s="1" t="s">
        <v>635</v>
      </c>
      <c r="B5279" s="8" t="s">
        <v>86</v>
      </c>
      <c r="C5279" s="38" t="n">
        <f aca="false">Q!$D$46-cx_rt*Q!$D$16-cx_awso*Sens!$C$5274</f>
        <v>25.2781053077374</v>
      </c>
      <c r="D5279" s="38" t="n">
        <f aca="false">Q!$E$46-cx_rt*Q!$E$16-cx_awso*Sens!$D$5274</f>
        <v>69.5686316310026</v>
      </c>
      <c r="E5279" s="38" t="n">
        <f aca="false">Q!$P$46-cx_rt*Q!$P$16-cx_awso*Sens!$E$5274</f>
        <v>64.1899206485108</v>
      </c>
      <c r="F5279" s="38" t="n">
        <f aca="false">capex_g26-Q!$P$46-Sens!$F$5277</f>
        <v>88.7165504612134</v>
      </c>
      <c r="G5279" s="38" t="n">
        <f aca="false">Sens!$E$5279+Sens!$F$5279</f>
        <v>152.906471109724</v>
      </c>
      <c r="H5279" s="38" t="n">
        <f aca="false">Sens!$H$5256*(Sens!$H$5261+tk_fac*(1-colo_sh))/1000+Sens!$H$5280</f>
        <v>198.57136494475</v>
      </c>
      <c r="I5279" s="38" t="n">
        <f aca="false">Sens!$I$5256*(Sens!$I$5261+tk_fac*(1-colo_sh))/1000+Sens!$I$5280</f>
        <v>204.6464699105</v>
      </c>
      <c r="J5279" s="38" t="n">
        <f aca="false">Sens!$J$5256*(Sens!$J$5261+tk_fac*(1-colo_sh))/1000+Sens!$J$5280</f>
        <v>209.8832381105</v>
      </c>
      <c r="K5279" s="38" t="n">
        <f aca="false">Sens!$K$5256*(Sens!$K$5261+tk_fac*(1-colo_sh))/1000+Sens!$K$5280</f>
        <v>155.238385275201</v>
      </c>
      <c r="L5279" s="38" t="n">
        <f aca="false">Sens!$L$5256*(Sens!$L$5261+tk_fac*(1-colo_sh))/1000+Sens!$L$5280</f>
        <v>132.014141639902</v>
      </c>
      <c r="M5279" s="38" t="n">
        <f aca="false">Sens!$M$5256*(Sens!$M$5261+tk_fac*(1-colo_sh))/1000+Sens!$M$5280</f>
        <v>132.230981659852</v>
      </c>
      <c r="P5279" s="5" t="s">
        <v>636</v>
      </c>
      <c r="R5279" s="38" t="n">
        <f aca="false">Q!$C$46-cx_rt*Q!$C$16-cx_awso*(Q!$C$7-mw_ye23/2*rpm_open/1000)</f>
        <v>1.50429979529945</v>
      </c>
      <c r="S5279" s="38" t="n">
        <f aca="false">Sens!$C$5279</f>
        <v>25.2781053077374</v>
      </c>
      <c r="T5279" s="38" t="n">
        <f aca="false">Sens!$D$5279</f>
        <v>69.5686316310026</v>
      </c>
      <c r="U5279" s="38" t="n">
        <f aca="false">Sens!$G$5279</f>
        <v>152.906471109724</v>
      </c>
      <c r="V5279" s="38" t="n">
        <f aca="false">Sens!$H$5279</f>
        <v>198.57136494475</v>
      </c>
      <c r="W5279" s="38" t="n">
        <f aca="false">Sens!$I$5279</f>
        <v>204.6464699105</v>
      </c>
      <c r="X5279" s="38" t="n">
        <f aca="false">Sens!$J$5279</f>
        <v>209.8832381105</v>
      </c>
      <c r="Y5279" s="38" t="n">
        <f aca="false">Sens!$K$5279</f>
        <v>155.238385275201</v>
      </c>
      <c r="Z5279" s="38" t="n">
        <f aca="false">Sens!$L$5279</f>
        <v>132.014141639902</v>
      </c>
      <c r="AA5279" s="38" t="n">
        <f aca="false">Sens!$M$5279</f>
        <v>132.230981659852</v>
      </c>
    </row>
    <row r="5280" customFormat="false" ht="17.15" hidden="false" customHeight="false" outlineLevel="0" collapsed="false">
      <c r="A5280" s="0" t="s">
        <v>637</v>
      </c>
      <c r="B5280" s="0" t="s">
        <v>86</v>
      </c>
      <c r="H5280" s="38" t="n">
        <f aca="false">SUMPRODUCT(--(Sens!$R$5249:$AA$5249=2027-tk_life),Sens!$R$5256:$AA$5256)*Sens!$H$5261/1000</f>
        <v>0</v>
      </c>
      <c r="I5280" s="38" t="n">
        <f aca="false">SUMPRODUCT(--(Sens!$R$5249:$AA$5249=2028-tk_life),Sens!$R$5256:$AA$5256)*Sens!$I$5261/1000</f>
        <v>0</v>
      </c>
      <c r="J5280" s="38" t="n">
        <f aca="false">SUMPRODUCT(--(Sens!$R$5249:$AA$5249=2029-tk_life),Sens!$R$5256:$AA$5256)*Sens!$J$5261/1000</f>
        <v>5.2367682</v>
      </c>
      <c r="K5280" s="38" t="n">
        <f aca="false">SUMPRODUCT(--(Sens!$R$5249:$AA$5249=2030-tk_life),Sens!$R$5256:$AA$5256)*Sens!$K$5261/1000</f>
        <v>10.4735364</v>
      </c>
      <c r="L5280" s="38" t="n">
        <f aca="false">SUMPRODUCT(--(Sens!$R$5249:$AA$5249=2031-tk_life),Sens!$R$5256:$AA$5256)*Sens!$L$5261/1000</f>
        <v>47.1309138</v>
      </c>
      <c r="M5280" s="38" t="n">
        <f aca="false">SUMPRODUCT(--(Sens!$R$5249:$AA$5249=2032-tk_life),Sens!$R$5256:$AA$5256)*Sens!$M$5261/1000</f>
        <v>107.22937485525</v>
      </c>
    </row>
    <row r="5281" customFormat="false" ht="17.15" hidden="false" customHeight="false" outlineLevel="0" collapsed="false">
      <c r="A5281" s="0" t="s">
        <v>638</v>
      </c>
      <c r="B5281" s="0" t="s">
        <v>86</v>
      </c>
      <c r="C5281" s="38" t="n">
        <f aca="false">MIN(Sens!$C$5279,Sens!$C$5256*(tk_cx_h100+tk_fac*(1-colo_sh))/1000)</f>
        <v>11.2938642</v>
      </c>
      <c r="D5281" s="38" t="n">
        <f aca="false">MIN(Sens!$D$5279,Sens!$D$5256*(tk_cx_h100+tk_fac*(1-colo_sh))/1000)</f>
        <v>50.8223889</v>
      </c>
      <c r="E5281" s="38" t="n">
        <f aca="false">MIN(Sens!$E$5279,Sens!$E$5256*(Sens!$F$5261+tk_fac*(1-colo_sh))/1000)</f>
        <v>33.8985792</v>
      </c>
      <c r="F5281" s="38" t="n">
        <f aca="false">Sens!$F$5279</f>
        <v>88.7165504612134</v>
      </c>
      <c r="G5281" s="38" t="n">
        <f aca="false">Sens!$E$5281+Sens!$F$5281</f>
        <v>122.615129661213</v>
      </c>
      <c r="H5281" s="38" t="n">
        <f aca="false">Sens!$H$5279</f>
        <v>198.57136494475</v>
      </c>
      <c r="I5281" s="38" t="n">
        <f aca="false">Sens!$I$5279</f>
        <v>204.6464699105</v>
      </c>
      <c r="J5281" s="38" t="n">
        <f aca="false">Sens!$J$5279</f>
        <v>209.8832381105</v>
      </c>
      <c r="K5281" s="38" t="n">
        <f aca="false">Sens!$K$5279</f>
        <v>155.238385275201</v>
      </c>
      <c r="L5281" s="38" t="n">
        <f aca="false">Sens!$L$5279</f>
        <v>132.014141639902</v>
      </c>
      <c r="M5281" s="38" t="n">
        <f aca="false">Sens!$M$5279</f>
        <v>132.230981659852</v>
      </c>
      <c r="P5281" s="5" t="s">
        <v>639</v>
      </c>
      <c r="R5281" s="38" t="n">
        <f aca="false">MIN(Sens!$R$5279,Sens!$R$5256*(tk_cx_h100+tk_fac*(1-colo_sh))/1000)</f>
        <v>1.50429979529945</v>
      </c>
      <c r="S5281" s="38" t="n">
        <f aca="false">Sens!$C$5281</f>
        <v>11.2938642</v>
      </c>
      <c r="T5281" s="38" t="n">
        <f aca="false">Sens!$D$5281</f>
        <v>50.8223889</v>
      </c>
      <c r="U5281" s="38" t="n">
        <f aca="false">Sens!$G$5281</f>
        <v>122.615129661213</v>
      </c>
      <c r="V5281" s="38" t="n">
        <f aca="false">Sens!$H$5281</f>
        <v>198.57136494475</v>
      </c>
      <c r="W5281" s="38" t="n">
        <f aca="false">Sens!$I$5281</f>
        <v>204.6464699105</v>
      </c>
      <c r="X5281" s="38" t="n">
        <f aca="false">Sens!$J$5281</f>
        <v>209.8832381105</v>
      </c>
      <c r="Y5281" s="38" t="n">
        <f aca="false">Sens!$K$5281</f>
        <v>155.238385275201</v>
      </c>
      <c r="Z5281" s="38" t="n">
        <f aca="false">Sens!$L$5281</f>
        <v>132.014141639902</v>
      </c>
      <c r="AA5281" s="38" t="n">
        <f aca="false">Sens!$M$5281</f>
        <v>132.230981659852</v>
      </c>
    </row>
    <row r="5282" customFormat="false" ht="17.15" hidden="false" customHeight="false" outlineLevel="0" collapsed="false">
      <c r="A5282" s="5" t="s">
        <v>640</v>
      </c>
      <c r="B5282" s="0" t="s">
        <v>86</v>
      </c>
      <c r="C5282" s="38" t="n">
        <f aca="false">Sens!$C$5279-Sens!$C$5281</f>
        <v>13.9842411077374</v>
      </c>
      <c r="D5282" s="38" t="n">
        <f aca="false">Sens!$D$5279-Sens!$D$5281</f>
        <v>18.7462427310026</v>
      </c>
      <c r="E5282" s="38" t="n">
        <f aca="false">Sens!$E$5279-Sens!$E$5281</f>
        <v>30.2913414485108</v>
      </c>
      <c r="F5282" s="38" t="n">
        <f aca="false">Sens!$F$5279-Sens!$F$5281</f>
        <v>0</v>
      </c>
      <c r="G5282" s="38" t="n">
        <f aca="false">Sens!$G$5279-Sens!$G$5281</f>
        <v>30.2913414485108</v>
      </c>
      <c r="H5282" s="38" t="n">
        <f aca="false">Sens!$H$5279-Sens!$H$5281</f>
        <v>0</v>
      </c>
      <c r="I5282" s="38" t="n">
        <f aca="false">Sens!$I$5279-Sens!$I$5281</f>
        <v>0</v>
      </c>
      <c r="J5282" s="38" t="n">
        <f aca="false">Sens!$J$5279-Sens!$J$5281</f>
        <v>0</v>
      </c>
      <c r="K5282" s="38" t="n">
        <f aca="false">Sens!$K$5279-Sens!$K$5281</f>
        <v>0</v>
      </c>
      <c r="L5282" s="38" t="n">
        <f aca="false">Sens!$L$5279-Sens!$L$5281</f>
        <v>0</v>
      </c>
      <c r="M5282" s="38" t="n">
        <f aca="false">Sens!$M$5279-Sens!$M$5281</f>
        <v>0</v>
      </c>
      <c r="P5282" s="5" t="s">
        <v>641</v>
      </c>
      <c r="R5282" s="38" t="n">
        <f aca="false">Sens!$R$5279-Sens!$R$5281</f>
        <v>0</v>
      </c>
      <c r="S5282" s="38" t="n">
        <f aca="false">Sens!$S$5279-Sens!$S$5281</f>
        <v>13.9842411077374</v>
      </c>
      <c r="T5282" s="38" t="n">
        <f aca="false">Sens!$T$5279-Sens!$T$5281</f>
        <v>18.7462427310026</v>
      </c>
      <c r="U5282" s="38" t="n">
        <f aca="false">Sens!$U$5279-Sens!$U$5281</f>
        <v>30.2913414485108</v>
      </c>
      <c r="V5282" s="38" t="n">
        <f aca="false">Sens!$V$5279-Sens!$V$5281</f>
        <v>0</v>
      </c>
      <c r="W5282" s="38" t="n">
        <f aca="false">Sens!$W$5279-Sens!$W$5281</f>
        <v>0</v>
      </c>
      <c r="X5282" s="38" t="n">
        <f aca="false">Sens!$X$5279-Sens!$X$5281</f>
        <v>0</v>
      </c>
      <c r="Y5282" s="38" t="n">
        <f aca="false">Sens!$Y$5279-Sens!$Y$5281</f>
        <v>0</v>
      </c>
      <c r="Z5282" s="38" t="n">
        <f aca="false">Sens!$Z$5279-Sens!$Z$5281</f>
        <v>0</v>
      </c>
      <c r="AA5282" s="38" t="n">
        <f aca="false">Sens!$AA$5279-Sens!$AA$5281</f>
        <v>0</v>
      </c>
    </row>
    <row r="5283" customFormat="false" ht="17.15" hidden="false" customHeight="false" outlineLevel="0" collapsed="false">
      <c r="A5283" s="5" t="s">
        <v>642</v>
      </c>
      <c r="B5283" s="0" t="s">
        <v>86</v>
      </c>
      <c r="R5283" s="38" t="n">
        <f aca="false">Sens!$R$5282*Sens!$C$5278</f>
        <v>0</v>
      </c>
      <c r="S5283" s="38" t="n">
        <f aca="false">Sens!$S$5282*Sens!$C$5278</f>
        <v>10.219074499801</v>
      </c>
      <c r="T5283" s="38" t="n">
        <f aca="false">Sens!$T$5282*Sens!$C$5278</f>
        <v>13.6989379390402</v>
      </c>
      <c r="U5283" s="38" t="n">
        <f aca="false">Sens!$U$5282*Sens!$E$5278</f>
        <v>23.0454203705653</v>
      </c>
      <c r="V5283" s="38" t="n">
        <f aca="false">Sens!$V$5282*Sens!$E$5278</f>
        <v>0</v>
      </c>
      <c r="W5283" s="38" t="n">
        <f aca="false">Sens!$W$5282*Sens!$E$5278</f>
        <v>0</v>
      </c>
      <c r="X5283" s="38" t="n">
        <f aca="false">Sens!$X$5282*Sens!$E$5278</f>
        <v>0</v>
      </c>
      <c r="Y5283" s="38" t="n">
        <f aca="false">Sens!$Y$5282*Sens!$E$5278</f>
        <v>0</v>
      </c>
      <c r="Z5283" s="38" t="n">
        <f aca="false">Sens!$Z$5282*Sens!$E$5278</f>
        <v>0</v>
      </c>
      <c r="AA5283" s="38" t="n">
        <f aca="false">Sens!$AA$5282*Sens!$E$5278</f>
        <v>0</v>
      </c>
    </row>
    <row r="5284" customFormat="false" ht="17.15" hidden="false" customHeight="false" outlineLevel="0" collapsed="false">
      <c r="A5284" s="5" t="s">
        <v>643</v>
      </c>
      <c r="B5284" s="0" t="s">
        <v>86</v>
      </c>
      <c r="R5284" s="38" t="n">
        <f aca="false">SUMPRODUCT(--(Sens!$R$5249:$AA$5249=2023-cip_lag),Sens!$R$5283:$AA$5283)</f>
        <v>0</v>
      </c>
      <c r="S5284" s="38" t="n">
        <f aca="false">SUMPRODUCT(--(Sens!$R$5249:$AA$5249=2024-cip_lag),Sens!$R$5283:$AA$5283)</f>
        <v>0</v>
      </c>
      <c r="T5284" s="38" t="n">
        <f aca="false">SUMPRODUCT(--(Sens!$R$5249:$AA$5249=2025-cip_lag),Sens!$R$5283:$AA$5283)</f>
        <v>10.219074499801</v>
      </c>
      <c r="U5284" s="38" t="n">
        <f aca="false">SUMPRODUCT(--(Sens!$R$5249:$AA$5249=2026-cip_lag),Sens!$R$5283:$AA$5283)</f>
        <v>13.6989379390402</v>
      </c>
      <c r="V5284" s="38" t="n">
        <f aca="false">SUMPRODUCT(--(Sens!$R$5249:$AA$5249=2027-cip_lag),Sens!$R$5283:$AA$5283)</f>
        <v>23.0454203705653</v>
      </c>
      <c r="W5284" s="38" t="n">
        <f aca="false">SUMPRODUCT(--(Sens!$R$5249:$AA$5249=2028-cip_lag),Sens!$R$5283:$AA$5283)</f>
        <v>0</v>
      </c>
      <c r="X5284" s="38" t="n">
        <f aca="false">SUMPRODUCT(--(Sens!$R$5249:$AA$5249=2029-cip_lag),Sens!$R$5283:$AA$5283)</f>
        <v>0</v>
      </c>
      <c r="Y5284" s="38" t="n">
        <f aca="false">SUMPRODUCT(--(Sens!$R$5249:$AA$5249=2030-cip_lag),Sens!$R$5283:$AA$5283)</f>
        <v>0</v>
      </c>
      <c r="Z5284" s="38" t="n">
        <f aca="false">SUMPRODUCT(--(Sens!$R$5249:$AA$5249=2031-cip_lag),Sens!$R$5283:$AA$5283)</f>
        <v>0</v>
      </c>
      <c r="AA5284" s="38" t="n">
        <f aca="false">SUMPRODUCT(--(Sens!$R$5249:$AA$5249=2032-cip_lag),Sens!$R$5283:$AA$5283)</f>
        <v>0</v>
      </c>
    </row>
    <row r="5285" customFormat="false" ht="15" hidden="false" customHeight="false" outlineLevel="0" collapsed="false">
      <c r="A5285" s="5" t="s">
        <v>644</v>
      </c>
      <c r="B5285" s="0" t="s">
        <v>86</v>
      </c>
      <c r="R5285" s="38" t="n">
        <f aca="false">SUMPRODUCT(--(Sens!$R$5249:$AA$5249=2023-cip_lag),Sens!$R$5282:$AA$5282)-Sens!$R$5284</f>
        <v>0</v>
      </c>
      <c r="S5285" s="38" t="n">
        <f aca="false">SUMPRODUCT(--(Sens!$R$5249:$AA$5249=2024-cip_lag),Sens!$R$5282:$AA$5282)-Sens!$S$5284</f>
        <v>0</v>
      </c>
      <c r="T5285" s="38" t="n">
        <f aca="false">SUMPRODUCT(--(Sens!$R$5249:$AA$5249=2025-cip_lag),Sens!$R$5282:$AA$5282)-Sens!$T$5284</f>
        <v>3.76516660793636</v>
      </c>
      <c r="U5285" s="38" t="n">
        <f aca="false">SUMPRODUCT(--(Sens!$R$5249:$AA$5249=2026-cip_lag),Sens!$R$5282:$AA$5282)-Sens!$U$5284</f>
        <v>5.04730479196242</v>
      </c>
      <c r="V5285" s="38" t="n">
        <f aca="false">SUMPRODUCT(--(Sens!$R$5249:$AA$5249=2027-cip_lag),Sens!$R$5282:$AA$5282)-Sens!$V$5284</f>
        <v>7.24592107794548</v>
      </c>
      <c r="W5285" s="38" t="n">
        <f aca="false">SUMPRODUCT(--(Sens!$R$5249:$AA$5249=2028-cip_lag),Sens!$R$5282:$AA$5282)-Sens!$W$5284</f>
        <v>0</v>
      </c>
      <c r="X5285" s="38" t="n">
        <f aca="false">SUMPRODUCT(--(Sens!$R$5249:$AA$5249=2029-cip_lag),Sens!$R$5282:$AA$5282)-Sens!$X$5284</f>
        <v>0</v>
      </c>
      <c r="Y5285" s="38" t="n">
        <f aca="false">SUMPRODUCT(--(Sens!$R$5249:$AA$5249=2030-cip_lag),Sens!$R$5282:$AA$5282)-Sens!$Y$5284</f>
        <v>0</v>
      </c>
      <c r="Z5285" s="38" t="n">
        <f aca="false">SUMPRODUCT(--(Sens!$R$5249:$AA$5249=2031-cip_lag),Sens!$R$5282:$AA$5282)-Sens!$Z$5284</f>
        <v>0</v>
      </c>
      <c r="AA5285" s="38" t="n">
        <f aca="false">SUMPRODUCT(--(Sens!$R$5249:$AA$5249=2032-cip_lag),Sens!$R$5282:$AA$5282)-Sens!$AA$5284</f>
        <v>0</v>
      </c>
    </row>
    <row r="5286" customFormat="false" ht="17.15" hidden="false" customHeight="false" outlineLevel="0" collapsed="false">
      <c r="A5286" s="5" t="s">
        <v>645</v>
      </c>
      <c r="B5286" s="0" t="s">
        <v>86</v>
      </c>
      <c r="C5286" s="38" t="n">
        <f aca="false">Sens!$C$5281*Sens!$C$5278</f>
        <v>8.2530642</v>
      </c>
      <c r="D5286" s="38" t="n">
        <f aca="false">Sens!$D$5281*Sens!$D$5278</f>
        <v>37.1387889</v>
      </c>
      <c r="E5286" s="38" t="n">
        <f aca="false">Sens!$E$5281*Sens!$E$5278</f>
        <v>25.7897792</v>
      </c>
      <c r="F5286" s="38" t="n">
        <f aca="false">Sens!$F$5281*Sens!$F$5278</f>
        <v>67.4948715189913</v>
      </c>
      <c r="G5286" s="38" t="n">
        <f aca="false">Sens!$E$5286+Sens!$F$5286</f>
        <v>93.2846507189913</v>
      </c>
      <c r="H5286" s="38" t="n">
        <f aca="false">(Sens!$H$5281-Sens!$H$5280)*Sens!$H$5278+Sens!$H$5280</f>
        <v>152.52478394475</v>
      </c>
      <c r="I5286" s="38" t="n">
        <f aca="false">(Sens!$I$5281-Sens!$I$5280)*Sens!$I$5278+Sens!$I$5280</f>
        <v>158.5998889105</v>
      </c>
      <c r="J5286" s="38" t="n">
        <f aca="false">(Sens!$J$5281-Sens!$J$5280)*Sens!$J$5278+Sens!$J$5280</f>
        <v>163.8366571105</v>
      </c>
      <c r="K5286" s="38" t="n">
        <f aca="false">(Sens!$K$5281-Sens!$K$5280)*Sens!$K$5278+Sens!$K$5280</f>
        <v>122.665498273534</v>
      </c>
      <c r="L5286" s="38" t="n">
        <f aca="false">(Sens!$L$5281-Sens!$L$5280)*Sens!$L$5278+Sens!$L$5280</f>
        <v>112.914948636568</v>
      </c>
      <c r="M5286" s="38" t="n">
        <f aca="false">(Sens!$M$5281-Sens!$M$5280)*Sens!$M$5278+Sens!$M$5280</f>
        <v>126.605482654852</v>
      </c>
      <c r="R5286" s="38" t="n">
        <f aca="false">Sens!$R$5281*Sens!$C$5278</f>
        <v>1.09927679019314</v>
      </c>
      <c r="S5286" s="38" t="n">
        <f aca="false">Sens!$C$5286</f>
        <v>8.2530642</v>
      </c>
      <c r="T5286" s="38" t="n">
        <f aca="false">Sens!$D$5286</f>
        <v>37.1387889</v>
      </c>
      <c r="U5286" s="38" t="n">
        <f aca="false">Sens!$G$5286</f>
        <v>93.2846507189913</v>
      </c>
      <c r="V5286" s="38" t="n">
        <f aca="false">Sens!$H$5286</f>
        <v>152.52478394475</v>
      </c>
      <c r="W5286" s="38" t="n">
        <f aca="false">Sens!$I$5286</f>
        <v>158.5998889105</v>
      </c>
      <c r="X5286" s="38" t="n">
        <f aca="false">Sens!$J$5286</f>
        <v>163.8366571105</v>
      </c>
      <c r="Y5286" s="38" t="n">
        <f aca="false">Sens!$K$5286</f>
        <v>122.665498273534</v>
      </c>
      <c r="Z5286" s="38" t="n">
        <f aca="false">Sens!$L$5286</f>
        <v>112.914948636568</v>
      </c>
      <c r="AA5286" s="38" t="n">
        <f aca="false">Sens!$M$5286</f>
        <v>126.605482654852</v>
      </c>
    </row>
    <row r="5287" customFormat="false" ht="15" hidden="false" customHeight="false" outlineLevel="0" collapsed="false">
      <c r="A5287" s="5" t="s">
        <v>646</v>
      </c>
      <c r="B5287" s="0" t="s">
        <v>86</v>
      </c>
      <c r="C5287" s="38" t="n">
        <f aca="false">Sens!$C$5281-Sens!$C$5286</f>
        <v>3.0408</v>
      </c>
      <c r="D5287" s="38" t="n">
        <f aca="false">Sens!$D$5281-Sens!$D$5286</f>
        <v>13.6836</v>
      </c>
      <c r="E5287" s="38" t="n">
        <f aca="false">Sens!$E$5281-Sens!$E$5286</f>
        <v>8.1088</v>
      </c>
      <c r="F5287" s="38" t="n">
        <f aca="false">Sens!$F$5281-Sens!$F$5286</f>
        <v>21.2216789422221</v>
      </c>
      <c r="G5287" s="38" t="n">
        <f aca="false">Sens!$G$5281-Sens!$G$5286</f>
        <v>29.3304789422221</v>
      </c>
      <c r="H5287" s="38" t="n">
        <f aca="false">Sens!$H$5281-Sens!$H$5286</f>
        <v>46.046581</v>
      </c>
      <c r="I5287" s="38" t="n">
        <f aca="false">Sens!$I$5281-Sens!$I$5286</f>
        <v>46.046581</v>
      </c>
      <c r="J5287" s="38" t="n">
        <f aca="false">Sens!$J$5281-Sens!$J$5286</f>
        <v>46.046581</v>
      </c>
      <c r="K5287" s="38" t="n">
        <f aca="false">Sens!$K$5281-Sens!$K$5286</f>
        <v>32.5728870016667</v>
      </c>
      <c r="L5287" s="38" t="n">
        <f aca="false">Sens!$L$5281-Sens!$L$5286</f>
        <v>19.0991930033334</v>
      </c>
      <c r="M5287" s="38" t="n">
        <f aca="false">Sens!$M$5281-Sens!$M$5286</f>
        <v>5.62549900499998</v>
      </c>
      <c r="R5287" s="38" t="n">
        <f aca="false">Sens!$R$5281-Sens!$R$5286</f>
        <v>0.405023005106309</v>
      </c>
      <c r="S5287" s="38" t="n">
        <f aca="false">Sens!$S$5281-Sens!$S$5286</f>
        <v>3.0408</v>
      </c>
      <c r="T5287" s="38" t="n">
        <f aca="false">Sens!$T$5281-Sens!$T$5286</f>
        <v>13.6836</v>
      </c>
      <c r="U5287" s="38" t="n">
        <f aca="false">Sens!$U$5281-Sens!$U$5286</f>
        <v>29.3304789422221</v>
      </c>
      <c r="V5287" s="38" t="n">
        <f aca="false">Sens!$V$5281-Sens!$V$5286</f>
        <v>46.046581</v>
      </c>
      <c r="W5287" s="38" t="n">
        <f aca="false">Sens!$W$5281-Sens!$W$5286</f>
        <v>46.046581</v>
      </c>
      <c r="X5287" s="38" t="n">
        <f aca="false">Sens!$X$5281-Sens!$X$5286</f>
        <v>46.046581</v>
      </c>
      <c r="Y5287" s="38" t="n">
        <f aca="false">Sens!$Y$5281-Sens!$Y$5286</f>
        <v>32.5728870016667</v>
      </c>
      <c r="Z5287" s="38" t="n">
        <f aca="false">Sens!$Z$5281-Sens!$Z$5286</f>
        <v>19.0991930033334</v>
      </c>
      <c r="AA5287" s="38" t="n">
        <f aca="false">Sens!$AA$5281-Sens!$AA$5286</f>
        <v>5.62549900499998</v>
      </c>
    </row>
    <row r="5288" customFormat="false" ht="17.15" hidden="false" customHeight="false" outlineLevel="0" collapsed="false">
      <c r="A5288" s="0" t="s">
        <v>647</v>
      </c>
      <c r="B5288" s="0" t="s">
        <v>52</v>
      </c>
      <c r="C5288" s="13" t="n">
        <f aca="false">Sens!$C$5279/Sens!$C$5404</f>
        <v>0.325505489553393</v>
      </c>
      <c r="D5288" s="13" t="n">
        <f aca="false">Sens!$D$5279/Sens!$D$5404</f>
        <v>0.54214956071542</v>
      </c>
      <c r="E5288" s="13" t="n">
        <f aca="false">Sens!$E$5279/Sens!$E$5404</f>
        <v>0.666492790452817</v>
      </c>
      <c r="F5288" s="13" t="n">
        <f aca="false">Sens!$F$5279/Sens!$F$5404</f>
        <v>0.71724917504417</v>
      </c>
      <c r="G5288" s="13" t="n">
        <f aca="false">Sens!$G$5279/Sens!$G$5404</f>
        <v>0.69502941413511</v>
      </c>
      <c r="H5288" s="13" t="n">
        <f aca="false">Sens!$H$5279/Sens!$H$5404</f>
        <v>0.726376041178204</v>
      </c>
      <c r="I5288" s="13" t="n">
        <f aca="false">Sens!$I$5279/Sens!$I$5404</f>
        <v>0.713099092661699</v>
      </c>
      <c r="J5288" s="13" t="n">
        <f aca="false">Sens!$J$5279/Sens!$J$5404</f>
        <v>0.701208348786245</v>
      </c>
      <c r="K5288" s="13" t="n">
        <f aca="false">Sens!$K$5279/Sens!$K$5404</f>
        <v>0.618338844562383</v>
      </c>
      <c r="L5288" s="13" t="n">
        <f aca="false">Sens!$L$5279/Sens!$L$5404</f>
        <v>0.562489158462506</v>
      </c>
      <c r="M5288" s="13" t="n">
        <f aca="false">Sens!$M$5279/Sens!$M$5404</f>
        <v>0.545751190895923</v>
      </c>
    </row>
    <row r="5289" customFormat="false" ht="17.15" hidden="false" customHeight="false" outlineLevel="0" collapsed="false">
      <c r="A5289" s="0" t="s">
        <v>648</v>
      </c>
      <c r="B5289" s="0" t="s">
        <v>86</v>
      </c>
      <c r="C5289" s="38" t="n">
        <f aca="false">Sens!$S$5289</f>
        <v>0.183212798365523</v>
      </c>
      <c r="D5289" s="38" t="n">
        <f aca="false">Sens!$T$5289</f>
        <v>1.55872349836552</v>
      </c>
      <c r="E5289" s="38" t="n">
        <f aca="false">Sens!$G$5289/2</f>
        <v>4.72585036583285</v>
      </c>
      <c r="F5289" s="38" t="n">
        <f aca="false">Sens!$G$5289/2</f>
        <v>4.72585036583285</v>
      </c>
      <c r="G5289" s="38" t="n">
        <f aca="false">Sens!$U$5289</f>
        <v>9.4517007316657</v>
      </c>
      <c r="H5289" s="38" t="n">
        <f aca="false">Sens!$V$5289</f>
        <v>27.2822988413376</v>
      </c>
      <c r="I5289" s="38" t="n">
        <f aca="false">Sens!$W$5289</f>
        <v>56.5439995605568</v>
      </c>
      <c r="J5289" s="38" t="n">
        <f aca="false">Sens!$X$5289</f>
        <v>82.9773143789735</v>
      </c>
      <c r="K5289" s="38" t="n">
        <f aca="false">Sens!$Y$5289</f>
        <v>110.100211099025</v>
      </c>
      <c r="L5289" s="38" t="n">
        <f aca="false">Sens!$Z$5289</f>
        <v>129.16895011128</v>
      </c>
      <c r="M5289" s="38" t="n">
        <f aca="false">Sens!$AA$5289</f>
        <v>140.095130984075</v>
      </c>
      <c r="N5289" s="38" t="n">
        <f aca="false">Sens!$D$5289/2</f>
        <v>0.779361749182762</v>
      </c>
      <c r="O5289" s="38" t="n">
        <f aca="false">Sens!$D$5289/2</f>
        <v>0.779361749182762</v>
      </c>
      <c r="R5289" s="38" t="n">
        <f aca="false">(SUMPRODUCT(--(Sens!$R$5249:$AA$5249&lt;Sens!R$5249),--(Sens!$R$5249:$AA$5249&gt;=Sens!R$5249-tk_life),Sens!$R$5286:$AA$5286)+SUMPRODUCT(--(Sens!$R$5249:$AA$5249&lt;Sens!R$5249),--(Sens!$R$5249:$AA$5249&gt;=Sens!R$5249-tk_life),Sens!$R$5284:$AA$5284))/tk_life</f>
        <v>0</v>
      </c>
      <c r="S5289" s="38" t="n">
        <f aca="false">(SUMPRODUCT(--(Sens!$R$5249:$AA$5249&lt;Sens!S$5249),--(Sens!$R$5249:$AA$5249&gt;=Sens!S$5249-tk_life),Sens!$R$5286:$AA$5286)+SUMPRODUCT(--(Sens!$R$5249:$AA$5249&lt;Sens!S$5249),--(Sens!$R$5249:$AA$5249&gt;=Sens!S$5249-tk_life),Sens!$R$5284:$AA$5284))/tk_life</f>
        <v>0.183212798365523</v>
      </c>
      <c r="T5289" s="38" t="n">
        <f aca="false">(SUMPRODUCT(--(Sens!$R$5249:$AA$5249&lt;Sens!T$5249),--(Sens!$R$5249:$AA$5249&gt;=Sens!T$5249-tk_life),Sens!$R$5286:$AA$5286)+SUMPRODUCT(--(Sens!$R$5249:$AA$5249&lt;Sens!T$5249),--(Sens!$R$5249:$AA$5249&gt;=Sens!T$5249-tk_life),Sens!$R$5284:$AA$5284))/tk_life</f>
        <v>1.55872349836552</v>
      </c>
      <c r="U5289" s="38" t="n">
        <f aca="false">(SUMPRODUCT(--(Sens!$R$5249:$AA$5249&lt;Sens!U$5249),--(Sens!$R$5249:$AA$5249&gt;=Sens!U$5249-tk_life),Sens!$R$5286:$AA$5286)+SUMPRODUCT(--(Sens!$R$5249:$AA$5249&lt;Sens!U$5249),--(Sens!$R$5249:$AA$5249&gt;=Sens!U$5249-tk_life),Sens!$R$5284:$AA$5284))/tk_life</f>
        <v>9.4517007316657</v>
      </c>
      <c r="V5289" s="38" t="n">
        <f aca="false">(SUMPRODUCT(--(Sens!$R$5249:$AA$5249&lt;Sens!V$5249),--(Sens!$R$5249:$AA$5249&gt;=Sens!V$5249-tk_life),Sens!$R$5286:$AA$5286)+SUMPRODUCT(--(Sens!$R$5249:$AA$5249&lt;Sens!V$5249),--(Sens!$R$5249:$AA$5249&gt;=Sens!V$5249-tk_life),Sens!$R$5284:$AA$5284))/tk_life</f>
        <v>27.2822988413376</v>
      </c>
      <c r="W5289" s="38" t="n">
        <f aca="false">(SUMPRODUCT(--(Sens!$R$5249:$AA$5249&lt;Sens!W$5249),--(Sens!$R$5249:$AA$5249&gt;=Sens!W$5249-tk_life),Sens!$R$5286:$AA$5286)+SUMPRODUCT(--(Sens!$R$5249:$AA$5249&lt;Sens!W$5249),--(Sens!$R$5249:$AA$5249&gt;=Sens!W$5249-tk_life),Sens!$R$5284:$AA$5284))/tk_life</f>
        <v>56.5439995605568</v>
      </c>
      <c r="X5289" s="38" t="n">
        <f aca="false">(SUMPRODUCT(--(Sens!$R$5249:$AA$5249&lt;Sens!X$5249),--(Sens!$R$5249:$AA$5249&gt;=Sens!X$5249-tk_life),Sens!$R$5286:$AA$5286)+SUMPRODUCT(--(Sens!$R$5249:$AA$5249&lt;Sens!X$5249),--(Sens!$R$5249:$AA$5249&gt;=Sens!X$5249-tk_life),Sens!$R$5284:$AA$5284))/tk_life</f>
        <v>82.9773143789735</v>
      </c>
      <c r="Y5289" s="38" t="n">
        <f aca="false">(SUMPRODUCT(--(Sens!$R$5249:$AA$5249&lt;Sens!Y$5249),--(Sens!$R$5249:$AA$5249&gt;=Sens!Y$5249-tk_life),Sens!$R$5286:$AA$5286)+SUMPRODUCT(--(Sens!$R$5249:$AA$5249&lt;Sens!Y$5249),--(Sens!$R$5249:$AA$5249&gt;=Sens!Y$5249-tk_life),Sens!$R$5284:$AA$5284))/tk_life</f>
        <v>110.100211099025</v>
      </c>
      <c r="Z5289" s="38" t="n">
        <f aca="false">(SUMPRODUCT(--(Sens!$R$5249:$AA$5249&lt;Sens!Z$5249),--(Sens!$R$5249:$AA$5249&gt;=Sens!Z$5249-tk_life),Sens!$R$5286:$AA$5286)+SUMPRODUCT(--(Sens!$R$5249:$AA$5249&lt;Sens!Z$5249),--(Sens!$R$5249:$AA$5249&gt;=Sens!Z$5249-tk_life),Sens!$R$5284:$AA$5284))/tk_life</f>
        <v>129.16895011128</v>
      </c>
      <c r="AA5289" s="38" t="n">
        <f aca="false">(SUMPRODUCT(--(Sens!$R$5249:$AA$5249&lt;Sens!AA$5249),--(Sens!$R$5249:$AA$5249&gt;=Sens!AA$5249-tk_life),Sens!$R$5286:$AA$5286)+SUMPRODUCT(--(Sens!$R$5249:$AA$5249&lt;Sens!AA$5249),--(Sens!$R$5249:$AA$5249&gt;=Sens!AA$5249-tk_life),Sens!$R$5284:$AA$5284))/tk_life</f>
        <v>140.095130984075</v>
      </c>
    </row>
    <row r="5290" customFormat="false" ht="17.15" hidden="false" customHeight="false" outlineLevel="0" collapsed="false">
      <c r="A5290" s="0" t="s">
        <v>649</v>
      </c>
      <c r="B5290" s="0" t="s">
        <v>86</v>
      </c>
      <c r="C5290" s="38" t="n">
        <f aca="false">Sens!$S$5290</f>
        <v>0.0202511502553155</v>
      </c>
      <c r="D5290" s="38" t="n">
        <f aca="false">Sens!$T$5290</f>
        <v>0.172291150255315</v>
      </c>
      <c r="E5290" s="38" t="n">
        <f aca="false">Sens!$G$5290/2</f>
        <v>0.522364740326067</v>
      </c>
      <c r="F5290" s="38" t="n">
        <f aca="false">Sens!$G$5290/2</f>
        <v>0.522364740326067</v>
      </c>
      <c r="G5290" s="38" t="n">
        <f aca="false">Sens!$U$5290</f>
        <v>1.04472948065213</v>
      </c>
      <c r="H5290" s="38" t="n">
        <f aca="false">Sens!$V$5290</f>
        <v>2.76361866736136</v>
      </c>
      <c r="I5290" s="38" t="n">
        <f aca="false">Sens!$W$5290</f>
        <v>5.42824377125863</v>
      </c>
      <c r="J5290" s="38" t="n">
        <f aca="false">Sens!$X$5290</f>
        <v>7.73057282125864</v>
      </c>
      <c r="K5290" s="38" t="n">
        <f aca="false">Sens!$Y$5290</f>
        <v>10.0329018712586</v>
      </c>
      <c r="L5290" s="38" t="n">
        <f aca="false">Sens!$Z$5290</f>
        <v>11.661546221342</v>
      </c>
      <c r="M5290" s="38" t="n">
        <f aca="false">Sens!$AA$5290</f>
        <v>12.6165058715086</v>
      </c>
      <c r="N5290" s="38" t="n">
        <f aca="false">Sens!$D$5290/2</f>
        <v>0.0861455751276577</v>
      </c>
      <c r="O5290" s="38" t="n">
        <f aca="false">Sens!$D$5290/2</f>
        <v>0.0861455751276577</v>
      </c>
      <c r="R5290" s="38" t="n">
        <f aca="false">(SUMPRODUCT(--(Sens!$R$5249:$AA$5249&lt;Sens!R$5249),Sens!$R$5287:$AA$5287)+SUMPRODUCT(--(Sens!$R$5249:$AA$5249&lt;Sens!R$5249),Sens!$R$5285:$AA$5285))/fac_life</f>
        <v>0</v>
      </c>
      <c r="S5290" s="38" t="n">
        <f aca="false">(SUMPRODUCT(--(Sens!$R$5249:$AA$5249&lt;Sens!S$5249),Sens!$R$5287:$AA$5287)+SUMPRODUCT(--(Sens!$R$5249:$AA$5249&lt;Sens!S$5249),Sens!$R$5285:$AA$5285))/fac_life</f>
        <v>0.0202511502553155</v>
      </c>
      <c r="T5290" s="38" t="n">
        <f aca="false">(SUMPRODUCT(--(Sens!$R$5249:$AA$5249&lt;Sens!T$5249),Sens!$R$5287:$AA$5287)+SUMPRODUCT(--(Sens!$R$5249:$AA$5249&lt;Sens!T$5249),Sens!$R$5285:$AA$5285))/fac_life</f>
        <v>0.172291150255315</v>
      </c>
      <c r="U5290" s="38" t="n">
        <f aca="false">(SUMPRODUCT(--(Sens!$R$5249:$AA$5249&lt;Sens!U$5249),Sens!$R$5287:$AA$5287)+SUMPRODUCT(--(Sens!$R$5249:$AA$5249&lt;Sens!U$5249),Sens!$R$5285:$AA$5285))/fac_life</f>
        <v>1.04472948065213</v>
      </c>
      <c r="V5290" s="38" t="n">
        <f aca="false">(SUMPRODUCT(--(Sens!$R$5249:$AA$5249&lt;Sens!V$5249),Sens!$R$5287:$AA$5287)+SUMPRODUCT(--(Sens!$R$5249:$AA$5249&lt;Sens!V$5249),Sens!$R$5285:$AA$5285))/fac_life</f>
        <v>2.76361866736136</v>
      </c>
      <c r="W5290" s="38" t="n">
        <f aca="false">(SUMPRODUCT(--(Sens!$R$5249:$AA$5249&lt;Sens!W$5249),Sens!$R$5287:$AA$5287)+SUMPRODUCT(--(Sens!$R$5249:$AA$5249&lt;Sens!W$5249),Sens!$R$5285:$AA$5285))/fac_life</f>
        <v>5.42824377125863</v>
      </c>
      <c r="X5290" s="38" t="n">
        <f aca="false">(SUMPRODUCT(--(Sens!$R$5249:$AA$5249&lt;Sens!X$5249),Sens!$R$5287:$AA$5287)+SUMPRODUCT(--(Sens!$R$5249:$AA$5249&lt;Sens!X$5249),Sens!$R$5285:$AA$5285))/fac_life</f>
        <v>7.73057282125864</v>
      </c>
      <c r="Y5290" s="38" t="n">
        <f aca="false">(SUMPRODUCT(--(Sens!$R$5249:$AA$5249&lt;Sens!Y$5249),Sens!$R$5287:$AA$5287)+SUMPRODUCT(--(Sens!$R$5249:$AA$5249&lt;Sens!Y$5249),Sens!$R$5285:$AA$5285))/fac_life</f>
        <v>10.0329018712586</v>
      </c>
      <c r="Z5290" s="38" t="n">
        <f aca="false">(SUMPRODUCT(--(Sens!$R$5249:$AA$5249&lt;Sens!Z$5249),Sens!$R$5287:$AA$5287)+SUMPRODUCT(--(Sens!$R$5249:$AA$5249&lt;Sens!Z$5249),Sens!$R$5285:$AA$5285))/fac_life</f>
        <v>11.661546221342</v>
      </c>
      <c r="AA5290" s="38" t="n">
        <f aca="false">(SUMPRODUCT(--(Sens!$R$5249:$AA$5249&lt;Sens!AA$5249),Sens!$R$5287:$AA$5287)+SUMPRODUCT(--(Sens!$R$5249:$AA$5249&lt;Sens!AA$5249),Sens!$R$5285:$AA$5285))/fac_life</f>
        <v>12.6165058715086</v>
      </c>
    </row>
    <row r="5291" customFormat="false" ht="17.15" hidden="false" customHeight="false" outlineLevel="0" collapsed="false">
      <c r="A5291" s="1" t="s">
        <v>650</v>
      </c>
      <c r="B5291" s="8" t="s">
        <v>86</v>
      </c>
      <c r="C5291" s="38" t="n">
        <f aca="false">Sens!$C$5289+Sens!$C$5290</f>
        <v>0.203463948620839</v>
      </c>
      <c r="D5291" s="38" t="n">
        <f aca="false">Sens!$D$5289+Sens!$D$5290</f>
        <v>1.73101464862084</v>
      </c>
      <c r="E5291" s="38" t="n">
        <f aca="false">Sens!$E$5289+Sens!$E$5290</f>
        <v>5.24821510615892</v>
      </c>
      <c r="F5291" s="38" t="n">
        <f aca="false">Sens!$F$5289+Sens!$F$5290</f>
        <v>5.24821510615892</v>
      </c>
      <c r="G5291" s="38" t="n">
        <f aca="false">Sens!$G$5289+Sens!$G$5290</f>
        <v>10.4964302123178</v>
      </c>
      <c r="H5291" s="38" t="n">
        <f aca="false">Sens!$H$5289+Sens!$H$5290</f>
        <v>30.045917508699</v>
      </c>
      <c r="I5291" s="38" t="n">
        <f aca="false">Sens!$I$5289+Sens!$I$5290</f>
        <v>61.9722433318155</v>
      </c>
      <c r="J5291" s="38" t="n">
        <f aca="false">Sens!$J$5289+Sens!$J$5290</f>
        <v>90.7078872002321</v>
      </c>
      <c r="K5291" s="38" t="n">
        <f aca="false">Sens!$K$5289+Sens!$K$5290</f>
        <v>120.133112970283</v>
      </c>
      <c r="L5291" s="38" t="n">
        <f aca="false">Sens!$L$5289+Sens!$L$5290</f>
        <v>140.830496332622</v>
      </c>
      <c r="M5291" s="38" t="n">
        <f aca="false">Sens!$M$5289+Sens!$M$5290</f>
        <v>152.711636855584</v>
      </c>
      <c r="N5291" s="38" t="n">
        <f aca="false">Sens!$N$5289+Sens!$N$5290</f>
        <v>0.865507324310419</v>
      </c>
      <c r="O5291" s="38" t="n">
        <f aca="false">Sens!$O$5289+Sens!$O$5290</f>
        <v>0.865507324310419</v>
      </c>
      <c r="R5291" s="38" t="n">
        <f aca="false">Sens!$R$5289+Sens!$R$5290</f>
        <v>0</v>
      </c>
      <c r="S5291" s="38" t="n">
        <f aca="false">Sens!$S$5289+Sens!$S$5290</f>
        <v>0.203463948620839</v>
      </c>
      <c r="T5291" s="38" t="n">
        <f aca="false">Sens!$T$5289+Sens!$T$5290</f>
        <v>1.73101464862084</v>
      </c>
      <c r="U5291" s="38" t="n">
        <f aca="false">Sens!$U$5289+Sens!$U$5290</f>
        <v>10.4964302123178</v>
      </c>
      <c r="V5291" s="38" t="n">
        <f aca="false">Sens!$V$5289+Sens!$V$5290</f>
        <v>30.045917508699</v>
      </c>
      <c r="W5291" s="38" t="n">
        <f aca="false">Sens!$W$5289+Sens!$W$5290</f>
        <v>61.9722433318155</v>
      </c>
      <c r="X5291" s="38" t="n">
        <f aca="false">Sens!$X$5289+Sens!$X$5290</f>
        <v>90.7078872002321</v>
      </c>
      <c r="Y5291" s="38" t="n">
        <f aca="false">Sens!$Y$5289+Sens!$Y$5290</f>
        <v>120.133112970283</v>
      </c>
      <c r="Z5291" s="38" t="n">
        <f aca="false">Sens!$Z$5289+Sens!$Z$5290</f>
        <v>140.830496332622</v>
      </c>
      <c r="AA5291" s="38" t="n">
        <f aca="false">Sens!$AA$5289+Sens!$AA$5290</f>
        <v>152.711636855584</v>
      </c>
    </row>
    <row r="5292" customFormat="false" ht="17.15" hidden="false" customHeight="false" outlineLevel="0" collapsed="false">
      <c r="A5292" s="0" t="s">
        <v>651</v>
      </c>
      <c r="B5292" s="0" t="s">
        <v>86</v>
      </c>
      <c r="C5292" s="38" t="n">
        <f aca="false">Sens!$S$5292</f>
        <v>26.578941154416</v>
      </c>
      <c r="D5292" s="38" t="n">
        <f aca="false">Sens!$T$5292</f>
        <v>94.4165581367978</v>
      </c>
      <c r="G5292" s="38" t="n">
        <f aca="false">Sens!$U$5292</f>
        <v>236.826599034204</v>
      </c>
      <c r="H5292" s="38" t="n">
        <f aca="false">Sens!$V$5292</f>
        <v>405.352046470255</v>
      </c>
      <c r="I5292" s="38" t="n">
        <f aca="false">Sens!$W$5292</f>
        <v>548.02627304894</v>
      </c>
      <c r="J5292" s="38" t="n">
        <f aca="false">Sens!$X$5292</f>
        <v>667.201623959208</v>
      </c>
      <c r="K5292" s="38" t="n">
        <f aca="false">Sens!$Y$5292</f>
        <v>702.306896264125</v>
      </c>
      <c r="L5292" s="38" t="n">
        <f aca="false">Sens!$Z$5292</f>
        <v>693.490541571405</v>
      </c>
      <c r="M5292" s="38" t="n">
        <f aca="false">Sens!$AA$5292</f>
        <v>673.009886375674</v>
      </c>
      <c r="R5292" s="38" t="n">
        <f aca="false">SUM(Sens!$R$5279:$R$5279)-SUM(Sens!$R$5291:$R$5291)</f>
        <v>1.50429979529945</v>
      </c>
      <c r="S5292" s="38" t="n">
        <f aca="false">SUM(Sens!$R$5279:$S$5279)-SUM(Sens!$R$5291:$S$5291)</f>
        <v>26.578941154416</v>
      </c>
      <c r="T5292" s="38" t="n">
        <f aca="false">SUM(Sens!$R$5279:$T$5279)-SUM(Sens!$R$5291:$T$5291)</f>
        <v>94.4165581367978</v>
      </c>
      <c r="U5292" s="38" t="n">
        <f aca="false">SUM(Sens!$R$5279:$U$5279)-SUM(Sens!$R$5291:$U$5291)</f>
        <v>236.826599034204</v>
      </c>
      <c r="V5292" s="38" t="n">
        <f aca="false">SUM(Sens!$R$5279:$V$5279)-SUM(Sens!$R$5291:$V$5291)</f>
        <v>405.352046470255</v>
      </c>
      <c r="W5292" s="38" t="n">
        <f aca="false">SUM(Sens!$R$5279:$W$5279)-SUM(Sens!$R$5291:$W$5291)</f>
        <v>548.02627304894</v>
      </c>
      <c r="X5292" s="38" t="n">
        <f aca="false">SUM(Sens!$R$5279:$X$5279)-SUM(Sens!$R$5291:$X$5291)</f>
        <v>667.201623959208</v>
      </c>
      <c r="Y5292" s="38" t="n">
        <f aca="false">SUM(Sens!$R$5279:$Y$5279)-SUM(Sens!$R$5291:$Y$5291)</f>
        <v>702.306896264125</v>
      </c>
      <c r="Z5292" s="38" t="n">
        <f aca="false">SUM(Sens!$R$5279:$Z$5279)-SUM(Sens!$R$5291:$Z$5291)</f>
        <v>693.490541571405</v>
      </c>
      <c r="AA5292" s="38" t="n">
        <f aca="false">SUM(Sens!$R$5279:$AA$5279)-SUM(Sens!$R$5291:$AA$5291)</f>
        <v>673.009886375674</v>
      </c>
    </row>
    <row r="5293" customFormat="false" ht="17.15" hidden="false" customHeight="false" outlineLevel="0" collapsed="false">
      <c r="A5293" s="1" t="s">
        <v>652</v>
      </c>
    </row>
    <row r="5294" customFormat="false" ht="17.15" hidden="false" customHeight="false" outlineLevel="0" collapsed="false">
      <c r="A5294" s="0" t="s">
        <v>653</v>
      </c>
      <c r="B5294" s="0" t="s">
        <v>86</v>
      </c>
      <c r="C5294" s="38" t="n">
        <f aca="false">Sens!$C$5270-ext_sh*Sens!$C$5272</f>
        <v>1.80694998843362</v>
      </c>
      <c r="D5294" s="38" t="n">
        <f aca="false">Sens!$D$5270-ext_sh*Sens!$D$5272</f>
        <v>6.77606245662607</v>
      </c>
      <c r="E5294" s="38" t="n">
        <f aca="false">Sens!$E$5270-ext_sh*Sens!$E$5272</f>
        <v>6.62548329092326</v>
      </c>
      <c r="F5294" s="38" t="n">
        <f aca="false">Sens!$F$5270-ext_sh*Sens!$F$5272</f>
        <v>11.7200577158706</v>
      </c>
      <c r="G5294" s="38" t="n">
        <f aca="false">Sens!$G$5270-ext_sh*Sens!$G$5272</f>
        <v>18.3455410067939</v>
      </c>
      <c r="H5294" s="38" t="n">
        <f aca="false">Sens!$H$5270-ext_sh*Sens!$H$5272</f>
        <v>47.5171727060453</v>
      </c>
      <c r="I5294" s="38" t="n">
        <f aca="false">Sens!$I$5270-ext_sh*Sens!$I$5272</f>
        <v>80.5539692643667</v>
      </c>
      <c r="J5294" s="38" t="n">
        <f aca="false">Sens!$J$5270-ext_sh*Sens!$J$5272</f>
        <v>113.759316834883</v>
      </c>
      <c r="K5294" s="38" t="n">
        <f aca="false">Sens!$K$5270-ext_sh*Sens!$K$5272</f>
        <v>142.084411492169</v>
      </c>
      <c r="L5294" s="38" t="n">
        <f aca="false">Sens!$L$5270-ext_sh*Sens!$L$5272</f>
        <v>160.69964615804</v>
      </c>
      <c r="M5294" s="38" t="n">
        <f aca="false">Sens!$M$5270-ext_sh*Sens!$M$5272</f>
        <v>169.577607141793</v>
      </c>
      <c r="N5294" s="38" t="n">
        <f aca="false">Sens!$N$5270-ext_sh*Sens!$N$5272</f>
        <v>2.37162185981912</v>
      </c>
      <c r="O5294" s="38" t="n">
        <f aca="false">Sens!$O$5270-ext_sh*Sens!$O$5272</f>
        <v>4.40444059680694</v>
      </c>
    </row>
    <row r="5295" customFormat="false" ht="17.15" hidden="false" customHeight="false" outlineLevel="0" collapsed="false">
      <c r="A5295" s="1" t="s">
        <v>654</v>
      </c>
      <c r="B5295" s="8" t="s">
        <v>86</v>
      </c>
      <c r="C5295" s="38" t="n">
        <f aca="false">Sens!$C$5294-ext_sh*Sens!$C$5291</f>
        <v>1.64417882953695</v>
      </c>
      <c r="D5295" s="38" t="n">
        <f aca="false">Sens!$D$5294-ext_sh*Sens!$D$5291</f>
        <v>5.39125073772939</v>
      </c>
      <c r="E5295" s="38" t="n">
        <f aca="false">Sens!$E$5294-ext_sh*Sens!$E$5291</f>
        <v>2.42691120599613</v>
      </c>
      <c r="F5295" s="38" t="n">
        <f aca="false">Sens!$F$5294-ext_sh*Sens!$F$5291</f>
        <v>7.52148563094346</v>
      </c>
      <c r="G5295" s="38" t="n">
        <f aca="false">Sens!$G$5294-ext_sh*Sens!$G$5291</f>
        <v>9.94839683693959</v>
      </c>
      <c r="H5295" s="38" t="n">
        <f aca="false">Sens!$H$5294-ext_sh*Sens!$H$5291</f>
        <v>23.4804386990861</v>
      </c>
      <c r="I5295" s="38" t="n">
        <f aca="false">Sens!$I$5294-ext_sh*Sens!$I$5291</f>
        <v>30.9761745989143</v>
      </c>
      <c r="J5295" s="38" t="n">
        <f aca="false">Sens!$J$5294-ext_sh*Sens!$J$5291</f>
        <v>41.1930070746977</v>
      </c>
      <c r="K5295" s="38" t="n">
        <f aca="false">Sens!$K$5294-ext_sh*Sens!$K$5291</f>
        <v>45.9779211159428</v>
      </c>
      <c r="L5295" s="38" t="n">
        <f aca="false">Sens!$L$5294-ext_sh*Sens!$L$5291</f>
        <v>48.0352490919424</v>
      </c>
      <c r="M5295" s="38" t="n">
        <f aca="false">Sens!$M$5294-ext_sh*Sens!$M$5291</f>
        <v>47.4082976573265</v>
      </c>
      <c r="N5295" s="38" t="n">
        <f aca="false">Sens!$N$5294-ext_sh*Sens!$N$5291</f>
        <v>1.67921600037079</v>
      </c>
      <c r="O5295" s="38" t="n">
        <f aca="false">Sens!$O$5294-ext_sh*Sens!$O$5291</f>
        <v>3.71203473735861</v>
      </c>
    </row>
    <row r="5296" customFormat="false" ht="17.15" hidden="false" customHeight="false" outlineLevel="0" collapsed="false">
      <c r="A5296" s="0" t="s">
        <v>655</v>
      </c>
      <c r="B5296" s="0" t="s">
        <v>52</v>
      </c>
      <c r="C5296" s="13" t="n">
        <f aca="false">Sens!$C$5295/Sens!$C$5270</f>
        <v>0.708390794789371</v>
      </c>
      <c r="D5296" s="13" t="n">
        <f aca="false">Sens!$D$5295/Sens!$D$5270</f>
        <v>0.619415573115729</v>
      </c>
      <c r="E5296" s="13" t="n">
        <f aca="false">Sens!$E$5295/Sens!$E$5270</f>
        <v>0.285171627189009</v>
      </c>
      <c r="F5296" s="13" t="n">
        <f aca="false">Sens!$F$5295/Sens!$F$5270</f>
        <v>0.502657732812366</v>
      </c>
      <c r="G5296" s="13" t="n">
        <f aca="false">Sens!$G$5295/Sens!$G$5270</f>
        <v>0.423808778611812</v>
      </c>
      <c r="H5296" s="13" t="n">
        <f aca="false">Sens!$H$5295/Sens!$H$5270</f>
        <v>0.390261631739809</v>
      </c>
      <c r="I5296" s="13" t="n">
        <f aca="false">Sens!$I$5295/Sens!$I$5270</f>
        <v>0.305172864264572</v>
      </c>
      <c r="J5296" s="13" t="n">
        <f aca="false">Sens!$J$5295/Sens!$J$5270</f>
        <v>0.288011814789856</v>
      </c>
      <c r="K5296" s="13" t="n">
        <f aca="false">Sens!$K$5295/Sens!$K$5270</f>
        <v>0.25765427518774</v>
      </c>
      <c r="L5296" s="13" t="n">
        <f aca="false">Sens!$L$5295/Sens!$L$5270</f>
        <v>0.238118778012374</v>
      </c>
      <c r="M5296" s="13" t="n">
        <f aca="false">Sens!$M$5295/Sens!$M$5270</f>
        <v>0.222746255757109</v>
      </c>
      <c r="N5296" s="13" t="n">
        <f aca="false">Sens!$N$5295/Sens!$N$5270</f>
        <v>0.551227795793364</v>
      </c>
      <c r="O5296" s="13" t="n">
        <f aca="false">Sens!$O$5295/Sens!$O$5270</f>
        <v>0.656132068597002</v>
      </c>
    </row>
    <row r="5297" customFormat="false" ht="17.15" hidden="false" customHeight="false" outlineLevel="0" collapsed="false">
      <c r="A5297" s="5" t="s">
        <v>656</v>
      </c>
      <c r="B5297" s="0" t="s">
        <v>86</v>
      </c>
      <c r="C5297" s="39" t="n">
        <v>0</v>
      </c>
      <c r="D5297" s="39" t="n">
        <v>0</v>
      </c>
      <c r="E5297" s="39" t="n">
        <v>0</v>
      </c>
      <c r="F5297" s="38" t="n">
        <f aca="false">IF(internal_ai_reading=2,1,0)*(1-ext_sh)/ext_sh*(mw_open*he_open+Sens!$F$5268*Sens!$F$5265)*Sens!$F$5254/1000</f>
        <v>3.77122048175818</v>
      </c>
      <c r="G5297" s="38" t="n">
        <f aca="false">Sens!$E$5297+Sens!$F$5297</f>
        <v>3.77122048175818</v>
      </c>
      <c r="H5297" s="38" t="n">
        <f aca="false">IF(internal_ai_reading=2,1,0)*(1-ext_sh)/ext_sh*(mw_open*he_open+Sens!$H$5268*Sens!$H$5265)*Sens!$H$5254/1000</f>
        <v>15.1635543609893</v>
      </c>
      <c r="I5297" s="38" t="n">
        <f aca="false">IF(internal_ai_reading=2,1,0)*(1-ext_sh)/ext_sh*(mw_open*he_open+Sens!$I$5268*Sens!$I$5265)*Sens!$I$5254/1000</f>
        <v>25.5818843619889</v>
      </c>
      <c r="J5297" s="38" t="n">
        <f aca="false">IF(internal_ai_reading=2,1,0)*(1-ext_sh)/ext_sh*(mw_open*he_open+Sens!$J$5268*Sens!$J$5265)*Sens!$J$5254/1000</f>
        <v>36.0465624179122</v>
      </c>
      <c r="K5297" s="38" t="n">
        <f aca="false">IF(internal_ai_reading=2,1,0)*(1-ext_sh)/ext_sh*(mw_open*he_open+Sens!$K$5268*Sens!$K$5265)*Sens!$K$5254/1000</f>
        <v>44.9741164026038</v>
      </c>
      <c r="L5297" s="38" t="n">
        <f aca="false">IF(internal_ai_reading=2,1,0)*(1-ext_sh)/ext_sh*(mw_open*he_open+Sens!$L$5268*Sens!$L$5265)*Sens!$L$5254/1000</f>
        <v>50.8413488057813</v>
      </c>
      <c r="M5297" s="38" t="n">
        <f aca="false">IF(internal_ai_reading=2,1,0)*(1-ext_sh)/ext_sh*(mw_open*he_open+Sens!$M$5268*Sens!$M$5265)*Sens!$M$5254/1000</f>
        <v>53.6407214274315</v>
      </c>
      <c r="N5297" s="39" t="n">
        <v>0</v>
      </c>
      <c r="O5297" s="39" t="n">
        <v>0</v>
      </c>
      <c r="P5297" s="8" t="s">
        <v>657</v>
      </c>
    </row>
    <row r="5298" customFormat="false" ht="17.15" hidden="false" customHeight="false" outlineLevel="0" collapsed="false">
      <c r="A5298" s="5" t="s">
        <v>658</v>
      </c>
      <c r="B5298" s="0" t="s">
        <v>86</v>
      </c>
      <c r="C5298" s="38" t="n">
        <f aca="false">(1-ext_sh)*(Sens!$C$5272+Sens!$C$5291)</f>
        <v>0.169206631859174</v>
      </c>
      <c r="D5298" s="38" t="n">
        <f aca="false">(1-ext_sh)*(Sens!$D$5272+Sens!$D$5291)</f>
        <v>0.828129837730442</v>
      </c>
      <c r="E5298" s="38" t="n">
        <f aca="false">(1-ext_sh)*(Sens!$E$5272+Sens!$E$5291)</f>
        <v>1.52086044239347</v>
      </c>
      <c r="F5298" s="38" t="n">
        <f aca="false">(1-ext_sh)*(Sens!$F$5272+Sens!$F$5291)</f>
        <v>1.86048700344425</v>
      </c>
      <c r="G5298" s="38" t="n">
        <f aca="false">(1-ext_sh)*(Sens!$G$5272+Sens!$G$5291)</f>
        <v>3.38134744583772</v>
      </c>
      <c r="H5298" s="38" t="n">
        <f aca="false">(1-ext_sh)*(Sens!$H$5272+Sens!$H$5291)</f>
        <v>9.17136301267211</v>
      </c>
      <c r="I5298" s="38" t="n">
        <f aca="false">(1-ext_sh)*(Sens!$I$5272+Sens!$I$5291)</f>
        <v>17.6318811343794</v>
      </c>
      <c r="J5298" s="38" t="n">
        <f aca="false">(1-ext_sh)*(Sens!$J$5272+Sens!$J$5291)</f>
        <v>25.4581000191451</v>
      </c>
      <c r="K5298" s="38" t="n">
        <f aca="false">(1-ext_sh)*(Sens!$K$5272+Sens!$K$5291)</f>
        <v>33.1175498168092</v>
      </c>
      <c r="L5298" s="38" t="n">
        <f aca="false">(1-ext_sh)*(Sens!$L$5272+Sens!$L$5291)</f>
        <v>38.4232131776135</v>
      </c>
      <c r="M5298" s="38" t="n">
        <f aca="false">(1-ext_sh)*(Sens!$M$5272+Sens!$M$5291)</f>
        <v>41.3567859278847</v>
      </c>
      <c r="N5298" s="38" t="n">
        <f aca="false">(1-ext_sh)*(Sens!$N$5272+Sens!$N$5291)</f>
        <v>0.34177588266428</v>
      </c>
      <c r="O5298" s="38" t="n">
        <f aca="false">(1-ext_sh)*(Sens!$O$5272+Sens!$O$5291)</f>
        <v>0.486353955066162</v>
      </c>
    </row>
    <row r="5299" customFormat="false" ht="17.15" hidden="false" customHeight="false" outlineLevel="0" collapsed="false">
      <c r="A5299" s="0" t="s">
        <v>659</v>
      </c>
      <c r="B5299" s="0" t="s">
        <v>86</v>
      </c>
      <c r="C5299" s="38" t="n">
        <f aca="false">Q!$D$24</f>
        <v>39.834</v>
      </c>
      <c r="D5299" s="38" t="n">
        <f aca="false">Q!$E$24</f>
        <v>45.606</v>
      </c>
      <c r="E5299" s="38" t="n">
        <f aca="false">Q!$P$24</f>
        <v>30.782</v>
      </c>
      <c r="N5299" s="38" t="n">
        <f aca="false">Q!$N$24</f>
        <v>21.707</v>
      </c>
      <c r="O5299" s="38" t="n">
        <f aca="false">Q!$O$24</f>
        <v>23.899</v>
      </c>
    </row>
    <row r="5300" customFormat="false" ht="17.15" hidden="false" customHeight="false" outlineLevel="0" collapsed="false">
      <c r="A5300" s="0" t="s">
        <v>660</v>
      </c>
      <c r="B5300" s="0" t="s">
        <v>86</v>
      </c>
      <c r="C5300" s="38" t="n">
        <f aca="false">Sens!$C$5299-Sens!$C$5295</f>
        <v>38.1898211704631</v>
      </c>
      <c r="D5300" s="38" t="n">
        <f aca="false">Sens!$D$5299-Sens!$D$5295</f>
        <v>40.2147492622706</v>
      </c>
      <c r="E5300" s="38" t="n">
        <f aca="false">Sens!$E$5299-Sens!$E$5295</f>
        <v>28.3550887940039</v>
      </c>
      <c r="F5300" s="38" t="n">
        <f aca="false">Sens!$F$5274*Sens!$F$5301</f>
        <v>25.9529793149447</v>
      </c>
      <c r="G5300" s="38" t="n">
        <f aca="false">Sens!$E$5300+Sens!$F$5300</f>
        <v>54.3080681089486</v>
      </c>
      <c r="H5300" s="38" t="n">
        <f aca="false">Sens!$H$5274*Sens!$H$5301</f>
        <v>58.2264684589333</v>
      </c>
      <c r="I5300" s="38" t="n">
        <f aca="false">Sens!$I$5274*Sens!$I$5301</f>
        <v>64.6461353851744</v>
      </c>
      <c r="J5300" s="38" t="n">
        <f aca="false">Sens!$J$5274*Sens!$J$5301</f>
        <v>70.7957093610231</v>
      </c>
      <c r="K5300" s="38" t="n">
        <f aca="false">Sens!$K$5274*Sens!$K$5301</f>
        <v>76.4593661099049</v>
      </c>
      <c r="L5300" s="38" t="n">
        <f aca="false">Sens!$L$5274*Sens!$L$5301</f>
        <v>82.5761153986973</v>
      </c>
      <c r="M5300" s="38" t="n">
        <f aca="false">Sens!$M$5274*Sens!$M$5301</f>
        <v>89.1822046305931</v>
      </c>
      <c r="N5300" s="38" t="n">
        <f aca="false">Sens!$N$5299-Sens!$N$5295</f>
        <v>20.0277839996292</v>
      </c>
      <c r="O5300" s="38" t="n">
        <f aca="false">Sens!$O$5299-Sens!$O$5295</f>
        <v>20.1869652626414</v>
      </c>
      <c r="P5300" s="5" t="s">
        <v>661</v>
      </c>
    </row>
    <row r="5301" customFormat="false" ht="17.15" hidden="false" customHeight="false" outlineLevel="0" collapsed="false">
      <c r="A5301" s="0" t="s">
        <v>662</v>
      </c>
      <c r="B5301" s="0" t="s">
        <v>52</v>
      </c>
      <c r="C5301" s="13" t="n">
        <f aca="false">Sens!$C$5300/Sens!$C$5274</f>
        <v>0.362900395443635</v>
      </c>
      <c r="D5301" s="13" t="n">
        <f aca="false">Sens!$D$5300/Sens!$D$5274</f>
        <v>0.335063632425483</v>
      </c>
      <c r="E5301" s="13" t="n">
        <f aca="false">Sens!$E$5300/Sens!$E$5274</f>
        <v>0.397638855555478</v>
      </c>
      <c r="F5301" s="13" t="n">
        <f aca="false">(Sens!$O$5300+Sens!$E$5300)/(Sens!$O$5274+Sens!$E$5274)</f>
        <v>0.361616727338133</v>
      </c>
      <c r="G5301" s="13" t="n">
        <f aca="false">Sens!$G$5300/Sens!$G$5274</f>
        <v>0.379569803149143</v>
      </c>
      <c r="H5301" s="13" t="n">
        <f aca="false">Sens!$F$5301</f>
        <v>0.361616727338133</v>
      </c>
      <c r="I5301" s="13" t="n">
        <f aca="false">Sens!$F$5301</f>
        <v>0.361616727338133</v>
      </c>
      <c r="J5301" s="13" t="n">
        <f aca="false">Sens!$F$5301</f>
        <v>0.361616727338133</v>
      </c>
      <c r="K5301" s="13" t="n">
        <f aca="false">Sens!$F$5301</f>
        <v>0.361616727338133</v>
      </c>
      <c r="L5301" s="13" t="n">
        <f aca="false">Sens!$F$5301</f>
        <v>0.361616727338133</v>
      </c>
      <c r="M5301" s="13" t="n">
        <f aca="false">Sens!$F$5301</f>
        <v>0.361616727338133</v>
      </c>
      <c r="N5301" s="13" t="n">
        <f aca="false">Sens!$N$5300/Sens!$N$5274</f>
        <v>0.35078810535806</v>
      </c>
      <c r="O5301" s="13" t="n">
        <f aca="false">Sens!$O$5300/Sens!$O$5274</f>
        <v>0.320796939361619</v>
      </c>
      <c r="P5301" s="8" t="s">
        <v>663</v>
      </c>
    </row>
    <row r="5302" customFormat="false" ht="17.15" hidden="false" customHeight="false" outlineLevel="0" collapsed="false">
      <c r="A5302" s="0" t="s">
        <v>664</v>
      </c>
      <c r="B5302" s="0" t="s">
        <v>52</v>
      </c>
      <c r="D5302" s="13" t="n">
        <f aca="false">(Q!$E$31-ext_sh*Sens!$D$5291)/Sens!$D$5274</f>
        <v>0.167180325480118</v>
      </c>
    </row>
    <row r="5303" customFormat="false" ht="17.15" hidden="false" customHeight="false" outlineLevel="0" collapsed="false">
      <c r="A5303" s="0" t="s">
        <v>665</v>
      </c>
      <c r="B5303" s="0" t="s">
        <v>86</v>
      </c>
      <c r="C5303" s="38" t="n">
        <f aca="false">Q!$D$31</f>
        <v>13.32</v>
      </c>
      <c r="D5303" s="38" t="n">
        <f aca="false">Q!$E$31</f>
        <v>21.45</v>
      </c>
      <c r="E5303" s="38" t="n">
        <f aca="false">Q!$P$31</f>
        <v>15.353</v>
      </c>
      <c r="F5303" s="38" t="n">
        <f aca="false">ext_sh*Sens!$F$5291+Sens!$D$5302*Sens!$F$5274</f>
        <v>16.1969869840094</v>
      </c>
      <c r="G5303" s="38" t="n">
        <f aca="false">Sens!$E$5303+Sens!$F$5303</f>
        <v>31.5499869840094</v>
      </c>
      <c r="H5303" s="38" t="n">
        <f aca="false">ext_sh*Sens!$H$5291+Sens!$D$5302*Sens!$H$5274</f>
        <v>50.9556213609176</v>
      </c>
      <c r="I5303" s="38" t="n">
        <f aca="false">ext_sh*Sens!$I$5291+Sens!$D$5302*Sens!$I$5274</f>
        <v>79.464581248252</v>
      </c>
      <c r="J5303" s="38" t="n">
        <f aca="false">ext_sh*Sens!$J$5291+Sens!$D$5302*Sens!$J$5274</f>
        <v>105.296127931746</v>
      </c>
      <c r="K5303" s="38" t="n">
        <f aca="false">ext_sh*Sens!$K$5291+Sens!$D$5302*Sens!$K$5274</f>
        <v>131.454694001511</v>
      </c>
      <c r="L5303" s="38" t="n">
        <f aca="false">ext_sh*Sens!$L$5291+Sens!$D$5302*Sens!$L$5274</f>
        <v>150.840456981405</v>
      </c>
      <c r="M5303" s="38" t="n">
        <f aca="false">ext_sh*Sens!$M$5291+Sens!$D$5302*Sens!$M$5274</f>
        <v>163.399454192999</v>
      </c>
      <c r="N5303" s="38" t="n">
        <f aca="false">Q!$N$31</f>
        <v>9.234</v>
      </c>
      <c r="O5303" s="38" t="n">
        <f aca="false">Q!$O$31</f>
        <v>12.216</v>
      </c>
    </row>
    <row r="5304" customFormat="false" ht="17.15" hidden="false" customHeight="false" outlineLevel="0" collapsed="false">
      <c r="A5304" s="1" t="s">
        <v>666</v>
      </c>
    </row>
    <row r="5305" customFormat="false" ht="17.15" hidden="false" customHeight="false" outlineLevel="0" collapsed="false">
      <c r="A5305" s="15" t="s">
        <v>667</v>
      </c>
      <c r="B5305" s="14" t="s">
        <v>52</v>
      </c>
      <c r="C5305" s="14"/>
      <c r="D5305" s="14"/>
      <c r="E5305" s="14"/>
      <c r="F5305" s="14"/>
      <c r="G5305" s="17" t="n">
        <f aca="false">Sens!$G$5295*(1-tax)/(ext_sh*(Sens!$D$5292+Sens!$G$5292)/2)</f>
        <v>0.0620504069546486</v>
      </c>
      <c r="H5305" s="17" t="n">
        <f aca="false">Sens!$H$5295*(1-tax)/(ext_sh*(Sens!$G$5292+Sens!$H$5292)/2)</f>
        <v>0.0755420551527686</v>
      </c>
      <c r="I5305" s="17" t="n">
        <f aca="false">Sens!$I$5295*(1-tax)/(ext_sh*(Sens!$H$5292+Sens!$I$5292)/2)</f>
        <v>0.067127575356291</v>
      </c>
      <c r="J5305" s="17" t="n">
        <f aca="false">Sens!$J$5295*(1-tax)/(ext_sh*(Sens!$I$5292+Sens!$J$5292)/2)</f>
        <v>0.0700332392906535</v>
      </c>
      <c r="K5305" s="17" t="n">
        <f aca="false">Sens!$K$5295*(1-tax)/(ext_sh*(Sens!$J$5292+Sens!$K$5292)/2)</f>
        <v>0.0693622290093833</v>
      </c>
      <c r="L5305" s="17" t="n">
        <f aca="false">Sens!$L$5295*(1-tax)/(ext_sh*(Sens!$K$5292+Sens!$L$5292)/2)</f>
        <v>0.0711010638813626</v>
      </c>
      <c r="M5305" s="17" t="n">
        <f aca="false">Sens!$M$5295*(1-tax)/(ext_sh*(Sens!$L$5292+Sens!$M$5292)/2)</f>
        <v>0.071677531066401</v>
      </c>
      <c r="N5305" s="14"/>
      <c r="O5305" s="14"/>
      <c r="P5305" s="8" t="s">
        <v>668</v>
      </c>
    </row>
    <row r="5306" customFormat="false" ht="17.15" hidden="false" customHeight="false" outlineLevel="0" collapsed="false">
      <c r="A5306" s="5" t="s">
        <v>669</v>
      </c>
      <c r="B5306" s="0" t="s">
        <v>57</v>
      </c>
      <c r="H5306" s="36" t="n">
        <f aca="false">Sens!$H$5270*1000/(mw_open*he_open+Sens!$H$5268*Sens!$H$5265)</f>
        <v>0.991949006767191</v>
      </c>
      <c r="I5306" s="36" t="n">
        <f aca="false">Sens!$I$5270*1000/(mw_open*he_open+Sens!$I$5268*Sens!$I$5265)</f>
        <v>0.991949006767191</v>
      </c>
      <c r="J5306" s="36" t="n">
        <f aca="false">Sens!$J$5270*1000/(mw_open*he_open+Sens!$J$5268*Sens!$J$5265)</f>
        <v>0.991949006767191</v>
      </c>
      <c r="K5306" s="36" t="n">
        <f aca="false">Sens!$K$5270*1000/(mw_open*he_open+Sens!$K$5268*Sens!$K$5265)</f>
        <v>0.991949006767191</v>
      </c>
      <c r="L5306" s="36" t="n">
        <f aca="false">Sens!$L$5270*1000/(mw_open*he_open+Sens!$L$5268*Sens!$L$5265)</f>
        <v>0.991949006767191</v>
      </c>
      <c r="M5306" s="36" t="n">
        <f aca="false">Sens!$M$5270*1000/(mw_open*he_open+Sens!$M$5268*Sens!$M$5265)</f>
        <v>0.991949006767191</v>
      </c>
    </row>
    <row r="5307" customFormat="false" ht="17.15" hidden="false" customHeight="false" outlineLevel="0" collapsed="false">
      <c r="A5307" s="5" t="s">
        <v>670</v>
      </c>
      <c r="B5307" s="0" t="s">
        <v>57</v>
      </c>
      <c r="H5307" s="36" t="n">
        <f aca="false">Sens!$H$5306*(Sens!$H$5270+(wacc-0.01)*ext_sh*(Sens!$G$5292+Sens!$H$5292)/2/(1-tax)-Sens!$H$5295)/Sens!$H$5270</f>
        <v>1.13418299619523</v>
      </c>
      <c r="I5307" s="36" t="n">
        <f aca="false">Sens!$I$5306*(Sens!$I$5270+(wacc-0.01)*ext_sh*(Sens!$H$5292+Sens!$I$5292)/2/(1-tax)-Sens!$I$5295)/Sens!$I$5270</f>
        <v>1.15505915295125</v>
      </c>
      <c r="J5307" s="36" t="n">
        <f aca="false">Sens!$J$5306*(Sens!$J$5270+(wacc-0.01)*ext_sh*(Sens!$I$5292+Sens!$J$5292)/2/(1-tax)-Sens!$J$5295)/Sens!$J$5270</f>
        <v>1.12764664966637</v>
      </c>
      <c r="K5307" s="36" t="n">
        <f aca="false">Sens!$K$5306*(Sens!$K$5270+(wacc-0.01)*ext_sh*(Sens!$J$5292+Sens!$K$5292)/2/(1-tax)-Sens!$K$5295)/Sens!$K$5270</f>
        <v>1.11699045422875</v>
      </c>
      <c r="L5307" s="36" t="n">
        <f aca="false">Sens!$L$5306*(Sens!$L$5270+(wacc-0.01)*ext_sh*(Sens!$K$5292+Sens!$L$5292)/2/(1-tax)-Sens!$L$5295)/Sens!$L$5270</f>
        <v>1.09890710025075</v>
      </c>
      <c r="M5307" s="36" t="n">
        <f aca="false">Sens!$M$5306*(Sens!$M$5270+(wacc-0.01)*ext_sh*(Sens!$L$5292+Sens!$M$5292)/2/(1-tax)-Sens!$M$5295)/Sens!$M$5270</f>
        <v>1.08942038350229</v>
      </c>
    </row>
    <row r="5308" customFormat="false" ht="17.15" hidden="false" customHeight="false" outlineLevel="0" collapsed="false">
      <c r="A5308" s="5" t="s">
        <v>671</v>
      </c>
      <c r="B5308" s="0" t="s">
        <v>52</v>
      </c>
      <c r="C5308" s="13" t="n">
        <f aca="false">Sens!$C$5271/tk_pq</f>
        <v>0.195316432429398</v>
      </c>
      <c r="D5308" s="13" t="n">
        <f aca="false">Sens!$D$5271/tk_pq</f>
        <v>0.195316432429398</v>
      </c>
      <c r="E5308" s="13" t="n">
        <f aca="false">Sens!$E$5271/tk_pq</f>
        <v>0.195316432429398</v>
      </c>
      <c r="F5308" s="13" t="n">
        <f aca="false">Sens!$F$5271/tk_pq</f>
        <v>0.202241827274866</v>
      </c>
      <c r="G5308" s="13" t="n">
        <f aca="false">Sens!$G$5271/tk_pq</f>
        <v>0.199675016194063</v>
      </c>
      <c r="H5308" s="13" t="n">
        <f aca="false">Sens!$H$5271/tk_pq</f>
        <v>0.212647947710325</v>
      </c>
      <c r="I5308" s="13" t="n">
        <f aca="false">Sens!$I$5271/tk_pq</f>
        <v>0.219285125475351</v>
      </c>
      <c r="J5308" s="13" t="n">
        <f aca="false">Sens!$J$5271/tk_pq</f>
        <v>0.222492493217189</v>
      </c>
      <c r="K5308" s="13" t="n">
        <f aca="false">Sens!$K$5271/tk_pq</f>
        <v>0.224053502812094</v>
      </c>
      <c r="L5308" s="13" t="n">
        <f aca="false">Sens!$L$5271/tk_pq</f>
        <v>0.224786916785614</v>
      </c>
      <c r="M5308" s="13" t="n">
        <f aca="false">Sens!$M$5271/tk_pq</f>
        <v>0.225048671566937</v>
      </c>
      <c r="N5308" s="13" t="n">
        <f aca="false">Sens!$N$5271/tk_pq</f>
        <v>0.195316432429398</v>
      </c>
      <c r="O5308" s="13" t="n">
        <f aca="false">Sens!$O$5271/tk_pq</f>
        <v>0.195316432429398</v>
      </c>
      <c r="P5308" s="5" t="s">
        <v>672</v>
      </c>
    </row>
    <row r="5311" customFormat="false" ht="17.15" hidden="false" customHeight="false" outlineLevel="0" collapsed="false">
      <c r="A5311" s="1" t="s">
        <v>701</v>
      </c>
    </row>
    <row r="5312" customFormat="false" ht="17.15" hidden="false" customHeight="false" outlineLevel="0" collapsed="false">
      <c r="A5312" s="0" t="s">
        <v>702</v>
      </c>
      <c r="B5312" s="0" t="s">
        <v>86</v>
      </c>
      <c r="C5312" s="38" t="n">
        <f aca="false">Sens!$C$5270</f>
        <v>2.32100535697364</v>
      </c>
      <c r="D5312" s="38" t="n">
        <f aca="false">Sens!$D$5270</f>
        <v>8.70377008865116</v>
      </c>
      <c r="E5312" s="38" t="n">
        <f aca="false">Sens!$E$5270</f>
        <v>8.51035297557002</v>
      </c>
      <c r="F5312" s="38" t="n">
        <f aca="false">Sens!$F$5270</f>
        <v>14.9634336447205</v>
      </c>
      <c r="G5312" s="38" t="n">
        <f aca="false">Sens!$G$5270</f>
        <v>23.4737866202905</v>
      </c>
      <c r="H5312" s="38" t="n">
        <f aca="false">Sens!$H$5270</f>
        <v>60.1658907497746</v>
      </c>
      <c r="I5312" s="38" t="n">
        <f aca="false">Sens!$I$5270</f>
        <v>101.503699136432</v>
      </c>
      <c r="J5312" s="38" t="n">
        <f aca="false">Sens!$J$5270</f>
        <v>143.025407151278</v>
      </c>
      <c r="K5312" s="38" t="n">
        <f aca="false">Sens!$K$5270</f>
        <v>178.44812038318</v>
      </c>
      <c r="L5312" s="38" t="n">
        <f aca="false">Sens!$L$5270</f>
        <v>201.728101802396</v>
      </c>
      <c r="M5312" s="38" t="n">
        <f aca="false">Sens!$M$5270</f>
        <v>212.835441368865</v>
      </c>
      <c r="N5312" s="38" t="n">
        <f aca="false">Sens!$N$5270</f>
        <v>3.04631953102791</v>
      </c>
      <c r="O5312" s="38" t="n">
        <f aca="false">Sens!$O$5270</f>
        <v>5.65745055762326</v>
      </c>
      <c r="P5312" s="8" t="s">
        <v>703</v>
      </c>
    </row>
    <row r="5313" customFormat="false" ht="17.15" hidden="false" customHeight="false" outlineLevel="0" collapsed="false">
      <c r="A5313" s="0" t="s">
        <v>704</v>
      </c>
      <c r="B5313" s="0" t="s">
        <v>86</v>
      </c>
      <c r="C5313" s="38" t="n">
        <f aca="false">Sens!$C$5274</f>
        <v>105.234994643026</v>
      </c>
      <c r="D5313" s="38" t="n">
        <f aca="false">Sens!$D$5274</f>
        <v>120.021229911349</v>
      </c>
      <c r="E5313" s="38" t="n">
        <f aca="false">Sens!$E$5274</f>
        <v>71.30864702443</v>
      </c>
      <c r="F5313" s="38" t="n">
        <f aca="false">Sens!$F$5274</f>
        <v>71.7692997942464</v>
      </c>
      <c r="G5313" s="38" t="n">
        <f aca="false">Sens!$G$5274</f>
        <v>143.077946818676</v>
      </c>
      <c r="H5313" s="38" t="n">
        <f aca="false">Sens!$H$5274</f>
        <v>161.017077079203</v>
      </c>
      <c r="I5313" s="38" t="n">
        <f aca="false">Sens!$I$5274</f>
        <v>178.769759521457</v>
      </c>
      <c r="J5313" s="38" t="n">
        <f aca="false">Sens!$J$5274</f>
        <v>195.775538045907</v>
      </c>
      <c r="K5313" s="38" t="n">
        <f aca="false">Sens!$K$5274</f>
        <v>211.43758108958</v>
      </c>
      <c r="L5313" s="38" t="n">
        <f aca="false">Sens!$L$5274</f>
        <v>228.352587576746</v>
      </c>
      <c r="M5313" s="38" t="n">
        <f aca="false">Sens!$M$5274</f>
        <v>246.620794582886</v>
      </c>
      <c r="N5313" s="38" t="n">
        <f aca="false">Sens!$N$5274</f>
        <v>57.0936804689721</v>
      </c>
      <c r="O5313" s="38" t="n">
        <f aca="false">Sens!$O$5274</f>
        <v>62.9275494423768</v>
      </c>
      <c r="P5313" s="8" t="s">
        <v>703</v>
      </c>
    </row>
    <row r="5314" customFormat="false" ht="17.15" hidden="false" customHeight="false" outlineLevel="0" collapsed="false">
      <c r="A5314" s="1" t="s">
        <v>523</v>
      </c>
      <c r="B5314" s="8" t="s">
        <v>86</v>
      </c>
      <c r="C5314" s="38" t="n">
        <f aca="false">Q!$D$7</f>
        <v>107.556</v>
      </c>
      <c r="D5314" s="38" t="n">
        <f aca="false">Q!$E$7</f>
        <v>128.725</v>
      </c>
      <c r="E5314" s="38" t="n">
        <f aca="false">Q!$P$7</f>
        <v>79.819</v>
      </c>
      <c r="F5314" s="38" t="n">
        <f aca="false">Sens!$F$5312+Sens!$F$5313</f>
        <v>86.7327334389669</v>
      </c>
      <c r="G5314" s="38" t="n">
        <f aca="false">Sens!$G$5312+Sens!$G$5313</f>
        <v>166.551733438967</v>
      </c>
      <c r="H5314" s="38" t="n">
        <f aca="false">Sens!$H$5312+Sens!$H$5313</f>
        <v>221.182967828978</v>
      </c>
      <c r="I5314" s="38" t="n">
        <f aca="false">Sens!$I$5312+Sens!$I$5313</f>
        <v>280.27345865789</v>
      </c>
      <c r="J5314" s="38" t="n">
        <f aca="false">Sens!$J$5312+Sens!$J$5313</f>
        <v>338.800945197185</v>
      </c>
      <c r="K5314" s="38" t="n">
        <f aca="false">Sens!$K$5312+Sens!$K$5313</f>
        <v>389.88570147276</v>
      </c>
      <c r="L5314" s="38" t="n">
        <f aca="false">Sens!$L$5312+Sens!$L$5313</f>
        <v>430.080689379143</v>
      </c>
      <c r="M5314" s="38" t="n">
        <f aca="false">Sens!$M$5312+Sens!$M$5313</f>
        <v>459.456235951751</v>
      </c>
      <c r="N5314" s="38" t="n">
        <f aca="false">Q!$N$7</f>
        <v>60.14</v>
      </c>
      <c r="O5314" s="38" t="n">
        <f aca="false">Q!$O$7</f>
        <v>68.585</v>
      </c>
      <c r="P5314" s="5" t="s">
        <v>705</v>
      </c>
    </row>
    <row r="5315" customFormat="false" ht="15" hidden="false" customHeight="false" outlineLevel="0" collapsed="false">
      <c r="A5315" s="3" t="s">
        <v>706</v>
      </c>
      <c r="B5315" s="8" t="s">
        <v>86</v>
      </c>
      <c r="C5315" s="38" t="n">
        <f aca="false">Q!$D$8</f>
        <v>637.959</v>
      </c>
      <c r="D5315" s="38" t="n">
        <f aca="false">Q!$E$8</f>
        <v>716.924</v>
      </c>
      <c r="E5315" s="38" t="n">
        <f aca="false">Q!$P$8</f>
        <v>382.125</v>
      </c>
      <c r="F5315" s="38" t="n">
        <f aca="false">Sens!$F$5242+Sens!$F$5314</f>
        <v>435.780975084504</v>
      </c>
      <c r="G5315" s="38" t="n">
        <f aca="false">Sens!$G$5242+Sens!$G$5314</f>
        <v>817.905975084504</v>
      </c>
      <c r="H5315" s="38" t="n">
        <f aca="false">Sens!$H$5242+Sens!$H$5314</f>
        <v>942.279857350364</v>
      </c>
      <c r="I5315" s="38" t="n">
        <f aca="false">Sens!$I$5242+Sens!$I$5314</f>
        <v>1068.80284981042</v>
      </c>
      <c r="J5315" s="38" t="n">
        <f aca="false">Sens!$J$5242+Sens!$J$5314</f>
        <v>1189.90935093863</v>
      </c>
      <c r="K5315" s="38" t="n">
        <f aca="false">Sens!$K$5242+Sens!$K$5314</f>
        <v>1296.06215690385</v>
      </c>
      <c r="L5315" s="38" t="n">
        <f aca="false">Sens!$L$5242+Sens!$L$5314</f>
        <v>1395.17379585473</v>
      </c>
      <c r="M5315" s="38" t="n">
        <f aca="false">Sens!$M$5242+Sens!$M$5314</f>
        <v>1487.60414389864</v>
      </c>
      <c r="N5315" s="38" t="n">
        <f aca="false">Q!$N$8</f>
        <v>323.369</v>
      </c>
      <c r="O5315" s="38" t="n">
        <f aca="false">Q!$O$8</f>
        <v>393.555</v>
      </c>
    </row>
    <row r="5316" customFormat="false" ht="17.15" hidden="false" customHeight="false" outlineLevel="0" collapsed="false">
      <c r="A5316" s="24" t="s">
        <v>714</v>
      </c>
      <c r="B5316" s="25" t="s">
        <v>86</v>
      </c>
      <c r="C5316" s="41" t="n">
        <f aca="false">Sens!$C$5242-(Sens!$C$5244+Sens!$C$5245)</f>
        <v>0</v>
      </c>
      <c r="D5316" s="41" t="n">
        <f aca="false">Sens!$D$5242-(Sens!$D$5244+Sens!$D$5245)</f>
        <v>0</v>
      </c>
      <c r="E5316" s="41" t="n">
        <f aca="false">Sens!$E$5242-(Sens!$E$5244+Sens!$E$5245)</f>
        <v>0</v>
      </c>
      <c r="F5316" s="41" t="n">
        <f aca="false">Sens!$F$5242-(Sens!$F$5244+Sens!$F$5245)</f>
        <v>0</v>
      </c>
      <c r="G5316" s="41" t="n">
        <f aca="false">Sens!$G$5242-(Sens!$G$5244+Sens!$G$5245)</f>
        <v>0</v>
      </c>
      <c r="H5316" s="41" t="n">
        <f aca="false">Sens!$H$5242-(Sens!$H$5244+Sens!$H$5245)</f>
        <v>0</v>
      </c>
      <c r="I5316" s="41" t="n">
        <f aca="false">Sens!$I$5242-(Sens!$I$5244+Sens!$I$5245)</f>
        <v>0</v>
      </c>
      <c r="J5316" s="41" t="n">
        <f aca="false">Sens!$J$5242-(Sens!$J$5244+Sens!$J$5245)</f>
        <v>0</v>
      </c>
      <c r="K5316" s="41" t="n">
        <f aca="false">Sens!$K$5242-(Sens!$K$5244+Sens!$K$5245)</f>
        <v>0</v>
      </c>
      <c r="L5316" s="41" t="n">
        <f aca="false">Sens!$L$5242-(Sens!$L$5244+Sens!$L$5245)</f>
        <v>0</v>
      </c>
      <c r="M5316" s="41" t="n">
        <f aca="false">Sens!$M$5242-(Sens!$M$5244+Sens!$M$5245)</f>
        <v>0</v>
      </c>
      <c r="N5316" s="41" t="n">
        <f aca="false">Sens!$N$5242-(Sens!$N$5244+Sens!$N$5245)</f>
        <v>0</v>
      </c>
      <c r="O5316" s="41" t="n">
        <f aca="false">Sens!$O$5242-(Sens!$O$5244+Sens!$O$5245)</f>
        <v>0</v>
      </c>
    </row>
    <row r="5317" customFormat="false" ht="17.15" hidden="false" customHeight="false" outlineLevel="0" collapsed="false">
      <c r="A5317" s="24" t="s">
        <v>715</v>
      </c>
      <c r="B5317" s="25" t="s">
        <v>86</v>
      </c>
      <c r="C5317" s="41" t="n">
        <f aca="false">Sens!$C$5312+Sens!$C$5313-Sens!$C$5314</f>
        <v>0</v>
      </c>
      <c r="D5317" s="41" t="n">
        <f aca="false">Sens!$D$5312+Sens!$D$5313-Sens!$D$5314</f>
        <v>0</v>
      </c>
      <c r="E5317" s="41" t="n">
        <f aca="false">Sens!$E$5312+Sens!$E$5313-Sens!$E$5314</f>
        <v>0</v>
      </c>
      <c r="F5317" s="41" t="n">
        <f aca="false">Sens!$F$5312+Sens!$F$5313-Sens!$F$5314</f>
        <v>0</v>
      </c>
      <c r="G5317" s="41" t="n">
        <f aca="false">Sens!$G$5312+Sens!$G$5313-Sens!$G$5314</f>
        <v>0</v>
      </c>
      <c r="H5317" s="41" t="n">
        <f aca="false">Sens!$H$5312+Sens!$H$5313-Sens!$H$5314</f>
        <v>0</v>
      </c>
      <c r="I5317" s="41" t="n">
        <f aca="false">Sens!$I$5312+Sens!$I$5313-Sens!$I$5314</f>
        <v>0</v>
      </c>
      <c r="J5317" s="41" t="n">
        <f aca="false">Sens!$J$5312+Sens!$J$5313-Sens!$J$5314</f>
        <v>0</v>
      </c>
      <c r="K5317" s="41" t="n">
        <f aca="false">Sens!$K$5312+Sens!$K$5313-Sens!$K$5314</f>
        <v>0</v>
      </c>
      <c r="L5317" s="41" t="n">
        <f aca="false">Sens!$L$5312+Sens!$L$5313-Sens!$L$5314</f>
        <v>0</v>
      </c>
      <c r="M5317" s="41" t="n">
        <f aca="false">Sens!$M$5312+Sens!$M$5313-Sens!$M$5314</f>
        <v>0</v>
      </c>
      <c r="N5317" s="41" t="n">
        <f aca="false">Sens!$N$5312+Sens!$N$5313-Sens!$N$5314</f>
        <v>0</v>
      </c>
      <c r="O5317" s="41" t="n">
        <f aca="false">Sens!$O$5312+Sens!$O$5313-Sens!$O$5314</f>
        <v>0</v>
      </c>
    </row>
    <row r="5318" customFormat="false" ht="17.15" hidden="false" customHeight="false" outlineLevel="0" collapsed="false">
      <c r="A5318" s="24" t="s">
        <v>716</v>
      </c>
      <c r="B5318" s="25" t="s">
        <v>86</v>
      </c>
      <c r="C5318" s="41" t="n">
        <f aca="false">Sens!$C$5244+Sens!$C$5245+Sens!$C$5314-Sens!$C$5315</f>
        <v>0</v>
      </c>
      <c r="D5318" s="41" t="n">
        <f aca="false">Sens!$D$5244+Sens!$D$5245+Sens!$D$5314-Sens!$D$5315</f>
        <v>0</v>
      </c>
      <c r="E5318" s="41" t="n">
        <f aca="false">Sens!$E$5244+Sens!$E$5245+Sens!$E$5314-Sens!$E$5315</f>
        <v>0</v>
      </c>
      <c r="F5318" s="41" t="n">
        <f aca="false">Sens!$F$5244+Sens!$F$5245+Sens!$F$5314-Sens!$F$5315</f>
        <v>0</v>
      </c>
      <c r="G5318" s="41" t="n">
        <f aca="false">Sens!$G$5244+Sens!$G$5245+Sens!$G$5314-Sens!$G$5315</f>
        <v>0</v>
      </c>
      <c r="H5318" s="41" t="n">
        <f aca="false">Sens!$H$5244+Sens!$H$5245+Sens!$H$5314-Sens!$H$5315</f>
        <v>0</v>
      </c>
      <c r="I5318" s="41" t="n">
        <f aca="false">Sens!$I$5244+Sens!$I$5245+Sens!$I$5314-Sens!$I$5315</f>
        <v>0</v>
      </c>
      <c r="J5318" s="41" t="n">
        <f aca="false">Sens!$J$5244+Sens!$J$5245+Sens!$J$5314-Sens!$J$5315</f>
        <v>0</v>
      </c>
      <c r="K5318" s="41" t="n">
        <f aca="false">Sens!$K$5244+Sens!$K$5245+Sens!$K$5314-Sens!$K$5315</f>
        <v>0</v>
      </c>
      <c r="L5318" s="41" t="n">
        <f aca="false">Sens!$L$5244+Sens!$L$5245+Sens!$L$5314-Sens!$L$5315</f>
        <v>0</v>
      </c>
      <c r="M5318" s="41" t="n">
        <f aca="false">Sens!$M$5244+Sens!$M$5245+Sens!$M$5314-Sens!$M$5315</f>
        <v>0</v>
      </c>
      <c r="N5318" s="41" t="n">
        <f aca="false">Sens!$N$5244+Sens!$N$5245+Sens!$N$5314-Sens!$N$5315</f>
        <v>0</v>
      </c>
      <c r="O5318" s="41" t="n">
        <f aca="false">Sens!$O$5244+Sens!$O$5245+Sens!$O$5314-Sens!$O$5315</f>
        <v>0</v>
      </c>
    </row>
    <row r="5319" customFormat="false" ht="15" hidden="false" customHeight="false" outlineLevel="0" collapsed="false">
      <c r="A5319" s="5" t="s">
        <v>710</v>
      </c>
      <c r="B5319" s="0" t="s">
        <v>52</v>
      </c>
      <c r="G5319" s="13" t="n">
        <f aca="false">Sens!$G$5315/Sens!$D$5315-1</f>
        <v>0.140854504918937</v>
      </c>
      <c r="H5319" s="13" t="n">
        <f aca="false">Sens!$H$5315/Sens!$G$5315-1</f>
        <v>0.152063789793209</v>
      </c>
      <c r="I5319" s="13" t="n">
        <f aca="false">Sens!$I$5315/Sens!$H$5315-1</f>
        <v>0.134273264437417</v>
      </c>
      <c r="J5319" s="13" t="n">
        <f aca="false">Sens!$J$5315/Sens!$I$5315-1</f>
        <v>0.113310421234083</v>
      </c>
      <c r="K5319" s="13" t="n">
        <f aca="false">Sens!$K$5315/Sens!$J$5315-1</f>
        <v>0.0892108343223652</v>
      </c>
      <c r="L5319" s="13" t="n">
        <f aca="false">Sens!$L$5315/Sens!$K$5315-1</f>
        <v>0.076471362444261</v>
      </c>
      <c r="M5319" s="13" t="n">
        <f aca="false">Sens!$M$5315/Sens!$L$5315-1</f>
        <v>0.066250060256672</v>
      </c>
    </row>
    <row r="5320" customFormat="false" ht="17.15" hidden="false" customHeight="false" outlineLevel="0" collapsed="false">
      <c r="A5320" s="0" t="s">
        <v>711</v>
      </c>
      <c r="B5320" s="0" t="s">
        <v>52</v>
      </c>
      <c r="C5320" s="13" t="n">
        <f aca="false">Sens!$C$5314/Sens!$C$5315</f>
        <v>0.168593906504964</v>
      </c>
      <c r="D5320" s="13" t="n">
        <f aca="false">Sens!$D$5314/Sens!$D$5315</f>
        <v>0.179551807444025</v>
      </c>
      <c r="E5320" s="13" t="n">
        <f aca="false">Sens!$E$5314/Sens!$E$5315</f>
        <v>0.208881910369643</v>
      </c>
      <c r="F5320" s="13" t="n">
        <f aca="false">Sens!$F$5314/Sens!$F$5315</f>
        <v>0.199028269699356</v>
      </c>
      <c r="G5320" s="13" t="n">
        <f aca="false">Sens!$G$5314/Sens!$G$5315</f>
        <v>0.203631882529968</v>
      </c>
      <c r="H5320" s="13" t="n">
        <f aca="false">Sens!$H$5314/Sens!$H$5315</f>
        <v>0.234731715958496</v>
      </c>
      <c r="I5320" s="13" t="n">
        <f aca="false">Sens!$I$5314/Sens!$I$5315</f>
        <v>0.262231204480418</v>
      </c>
      <c r="J5320" s="13" t="n">
        <f aca="false">Sens!$J$5314/Sens!$J$5315</f>
        <v>0.284728366013706</v>
      </c>
      <c r="K5320" s="13" t="n">
        <f aca="false">Sens!$K$5314/Sens!$K$5315</f>
        <v>0.300823304959505</v>
      </c>
      <c r="L5320" s="13" t="n">
        <f aca="false">Sens!$L$5314/Sens!$L$5315</f>
        <v>0.308263164529735</v>
      </c>
      <c r="M5320" s="13" t="n">
        <f aca="false">Sens!$M$5314/Sens!$M$5315</f>
        <v>0.308856517936036</v>
      </c>
      <c r="N5320" s="13" t="n">
        <f aca="false">Sens!$N$5314/Sens!$N$5315</f>
        <v>0.185979484737251</v>
      </c>
      <c r="O5320" s="13" t="n">
        <f aca="false">Sens!$O$5314/Sens!$O$5315</f>
        <v>0.174270432341096</v>
      </c>
    </row>
    <row r="5321" customFormat="false" ht="17.15" hidden="false" customHeight="false" outlineLevel="0" collapsed="false">
      <c r="A5321" s="0" t="s">
        <v>712</v>
      </c>
      <c r="B5321" s="0" t="s">
        <v>52</v>
      </c>
      <c r="C5321" s="13" t="n">
        <f aca="false">Sens!$C$5312/Sens!$C$5314</f>
        <v>0.0215795060896058</v>
      </c>
      <c r="D5321" s="13" t="n">
        <f aca="false">Sens!$D$5312/Sens!$D$5314</f>
        <v>0.0676152269462122</v>
      </c>
      <c r="E5321" s="13" t="n">
        <f aca="false">Sens!$E$5312/Sens!$E$5314</f>
        <v>0.106620641395783</v>
      </c>
      <c r="F5321" s="13" t="n">
        <f aca="false">Sens!$F$5312/Sens!$F$5314</f>
        <v>0.172523487401099</v>
      </c>
      <c r="G5321" s="13" t="n">
        <f aca="false">Sens!$G$5312/Sens!$G$5314</f>
        <v>0.140939911795589</v>
      </c>
      <c r="H5321" s="13" t="n">
        <f aca="false">Sens!$H$5312/Sens!$H$5314</f>
        <v>0.272018642937714</v>
      </c>
      <c r="I5321" s="13" t="n">
        <f aca="false">Sens!$I$5312/Sens!$I$5314</f>
        <v>0.362159512436497</v>
      </c>
      <c r="J5321" s="13" t="n">
        <f aca="false">Sens!$J$5312/Sens!$J$5314</f>
        <v>0.422151735934609</v>
      </c>
      <c r="K5321" s="13" t="n">
        <f aca="false">Sens!$K$5312/Sens!$K$5314</f>
        <v>0.45769342068485</v>
      </c>
      <c r="L5321" s="13" t="n">
        <f aca="false">Sens!$L$5312/Sens!$L$5314</f>
        <v>0.469047103913472</v>
      </c>
      <c r="M5321" s="13" t="n">
        <f aca="false">Sens!$M$5312/Sens!$M$5314</f>
        <v>0.463233328258093</v>
      </c>
      <c r="N5321" s="13" t="n">
        <f aca="false">Sens!$N$5312/Sens!$N$5314</f>
        <v>0.0506537999838362</v>
      </c>
      <c r="O5321" s="13" t="n">
        <f aca="false">Sens!$O$5312/Sens!$O$5314</f>
        <v>0.0824881615167056</v>
      </c>
    </row>
    <row r="5324" customFormat="false" ht="19.4" hidden="false" customHeight="false" outlineLevel="0" collapsed="false">
      <c r="A5324" s="31" t="s">
        <v>1259</v>
      </c>
    </row>
    <row r="5325" customFormat="false" ht="17.15" hidden="false" customHeight="false" outlineLevel="0" collapsed="false">
      <c r="A5325" s="6" t="s">
        <v>16</v>
      </c>
      <c r="B5325" s="6" t="s">
        <v>17</v>
      </c>
      <c r="C5325" s="20" t="s">
        <v>504</v>
      </c>
      <c r="D5325" s="20" t="s">
        <v>505</v>
      </c>
      <c r="E5325" s="20" t="s">
        <v>587</v>
      </c>
      <c r="F5325" s="20" t="s">
        <v>588</v>
      </c>
      <c r="G5325" s="20" t="s">
        <v>589</v>
      </c>
      <c r="H5325" s="20" t="s">
        <v>590</v>
      </c>
      <c r="I5325" s="20" t="s">
        <v>591</v>
      </c>
      <c r="J5325" s="20" t="s">
        <v>592</v>
      </c>
      <c r="K5325" s="20" t="s">
        <v>593</v>
      </c>
      <c r="L5325" s="20" t="s">
        <v>594</v>
      </c>
      <c r="M5325" s="20" t="s">
        <v>595</v>
      </c>
      <c r="N5325" s="20" t="s">
        <v>596</v>
      </c>
      <c r="O5325" s="20" t="s">
        <v>597</v>
      </c>
      <c r="P5325" s="6" t="s">
        <v>23</v>
      </c>
      <c r="R5325" s="20" t="n">
        <v>2023</v>
      </c>
      <c r="S5325" s="20" t="n">
        <v>2024</v>
      </c>
      <c r="T5325" s="20" t="n">
        <v>2025</v>
      </c>
      <c r="U5325" s="20" t="n">
        <v>2026</v>
      </c>
      <c r="V5325" s="20" t="n">
        <v>2027</v>
      </c>
      <c r="W5325" s="20" t="n">
        <v>2028</v>
      </c>
      <c r="X5325" s="20" t="n">
        <v>2029</v>
      </c>
      <c r="Y5325" s="20" t="n">
        <v>2030</v>
      </c>
      <c r="Z5325" s="20" t="n">
        <v>2031</v>
      </c>
      <c r="AA5325" s="20" t="n">
        <v>2032</v>
      </c>
    </row>
    <row r="5326" customFormat="false" ht="17.15" hidden="false" customHeight="false" outlineLevel="0" collapsed="false">
      <c r="A5326" s="1" t="s">
        <v>727</v>
      </c>
    </row>
    <row r="5327" customFormat="false" ht="15" hidden="false" customHeight="false" outlineLevel="0" collapsed="false">
      <c r="A5327" s="0" t="s">
        <v>526</v>
      </c>
      <c r="B5327" s="0" t="s">
        <v>86</v>
      </c>
      <c r="C5327" s="38" t="n">
        <f aca="false">Sens!$C$5229</f>
        <v>247.029</v>
      </c>
      <c r="D5327" s="38" t="n">
        <f aca="false">Sens!$D$5229</f>
        <v>269.287</v>
      </c>
      <c r="E5327" s="38" t="n">
        <f aca="false">Sens!$E$5229</f>
        <v>134.686</v>
      </c>
      <c r="F5327" s="38" t="n">
        <f aca="false">Sens!$F$5229</f>
        <v>158.293876822267</v>
      </c>
      <c r="G5327" s="38" t="n">
        <f aca="false">Sens!$G$5229</f>
        <v>292.979876822267</v>
      </c>
      <c r="H5327" s="38" t="n">
        <f aca="false">Sens!$H$5229</f>
        <v>318.184543087396</v>
      </c>
      <c r="I5327" s="38" t="n">
        <f aca="false">Sens!$I$5229</f>
        <v>341.736278761793</v>
      </c>
      <c r="J5327" s="38" t="n">
        <f aca="false">Sens!$J$5229</f>
        <v>362.927192787048</v>
      </c>
      <c r="K5327" s="38" t="n">
        <f aca="false">Sens!$K$5229</f>
        <v>381.0735524264</v>
      </c>
      <c r="L5327" s="38" t="n">
        <f aca="false">Sens!$L$5229</f>
        <v>400.12723004772</v>
      </c>
      <c r="M5327" s="38" t="n">
        <f aca="false">Sens!$M$5229</f>
        <v>420.133591550106</v>
      </c>
      <c r="N5327" s="38" t="n">
        <f aca="false">Sens!$N$5229</f>
        <v>118.892</v>
      </c>
      <c r="O5327" s="38" t="n">
        <f aca="false">Sens!$O$5229</f>
        <v>150.395</v>
      </c>
    </row>
    <row r="5328" customFormat="false" ht="15" hidden="false" customHeight="false" outlineLevel="0" collapsed="false">
      <c r="A5328" s="0" t="s">
        <v>527</v>
      </c>
      <c r="B5328" s="0" t="s">
        <v>86</v>
      </c>
      <c r="C5328" s="38" t="n">
        <f aca="false">Sens!$C$5231</f>
        <v>21.215</v>
      </c>
      <c r="D5328" s="38" t="n">
        <f aca="false">Sens!$D$5231</f>
        <v>22.561</v>
      </c>
      <c r="E5328" s="38" t="n">
        <f aca="false">Sens!$E$5231</f>
        <v>11.579</v>
      </c>
      <c r="F5328" s="38" t="n">
        <f aca="false">Sens!$F$5231</f>
        <v>11.5938724610325</v>
      </c>
      <c r="G5328" s="38" t="n">
        <f aca="false">Sens!$G$5231</f>
        <v>23.1728724610325</v>
      </c>
      <c r="H5328" s="38" t="n">
        <f aca="false">Sens!$H$5231</f>
        <v>24.353392759506</v>
      </c>
      <c r="I5328" s="38" t="n">
        <f aca="false">Sens!$I$5231</f>
        <v>25.4240338872015</v>
      </c>
      <c r="J5328" s="38" t="n">
        <f aca="false">Sens!$J$5231</f>
        <v>26.3642491017174</v>
      </c>
      <c r="K5328" s="38" t="n">
        <f aca="false">Sens!$K$5231</f>
        <v>27.155176574769</v>
      </c>
      <c r="L5328" s="38" t="n">
        <f aca="false">Sens!$L$5231</f>
        <v>27.969831872012</v>
      </c>
      <c r="M5328" s="38" t="n">
        <f aca="false">Sens!$M$5231</f>
        <v>28.8089268281724</v>
      </c>
      <c r="N5328" s="38" t="n">
        <f aca="false">Sens!$N$5231</f>
        <v>11.128</v>
      </c>
      <c r="O5328" s="38" t="n">
        <f aca="false">Sens!$O$5231</f>
        <v>11.433</v>
      </c>
    </row>
    <row r="5329" customFormat="false" ht="15" hidden="false" customHeight="false" outlineLevel="0" collapsed="false">
      <c r="A5329" s="0" t="s">
        <v>528</v>
      </c>
      <c r="B5329" s="0" t="s">
        <v>86</v>
      </c>
      <c r="C5329" s="38" t="n">
        <f aca="false">Sens!$C$5233</f>
        <v>156.146</v>
      </c>
      <c r="D5329" s="38" t="n">
        <f aca="false">Sens!$D$5233</f>
        <v>172.162</v>
      </c>
      <c r="E5329" s="38" t="n">
        <f aca="false">Sens!$E$5233</f>
        <v>88.358</v>
      </c>
      <c r="F5329" s="38" t="n">
        <f aca="false">Sens!$F$5233</f>
        <v>102.004388260171</v>
      </c>
      <c r="G5329" s="38" t="n">
        <f aca="false">Sens!$G$5233</f>
        <v>190.362388260171</v>
      </c>
      <c r="H5329" s="38" t="n">
        <f aca="false">Sens!$H$5233</f>
        <v>210.343106588311</v>
      </c>
      <c r="I5329" s="38" t="n">
        <f aca="false">Sens!$I$5233</f>
        <v>229.969728494648</v>
      </c>
      <c r="J5329" s="38" t="n">
        <f aca="false">Sens!$J$5233</f>
        <v>248.747636972598</v>
      </c>
      <c r="K5329" s="38" t="n">
        <f aca="false">Sens!$K$5233</f>
        <v>266.15997156068</v>
      </c>
      <c r="L5329" s="38" t="n">
        <f aca="false">Sens!$L$5233</f>
        <v>284.791169569927</v>
      </c>
      <c r="M5329" s="38" t="n">
        <f aca="false">Sens!$M$5233</f>
        <v>304.726551439822</v>
      </c>
      <c r="N5329" s="38" t="n">
        <f aca="false">Sens!$N$5233</f>
        <v>76.86</v>
      </c>
      <c r="O5329" s="38" t="n">
        <f aca="false">Sens!$O$5233</f>
        <v>95.302</v>
      </c>
    </row>
    <row r="5330" customFormat="false" ht="15" hidden="false" customHeight="false" outlineLevel="0" collapsed="false">
      <c r="A5330" s="0" t="s">
        <v>529</v>
      </c>
      <c r="B5330" s="0" t="s">
        <v>86</v>
      </c>
      <c r="C5330" s="38" t="n">
        <f aca="false">Sens!$C$5235</f>
        <v>56.214</v>
      </c>
      <c r="D5330" s="38" t="n">
        <f aca="false">Sens!$D$5235</f>
        <v>68.635</v>
      </c>
      <c r="E5330" s="38" t="n">
        <f aca="false">Sens!$E$5235</f>
        <v>37.052</v>
      </c>
      <c r="F5330" s="38" t="n">
        <f aca="false">Sens!$F$5235</f>
        <v>46.1572219944148</v>
      </c>
      <c r="G5330" s="38" t="n">
        <f aca="false">Sens!$G$5235</f>
        <v>83.2092219944148</v>
      </c>
      <c r="H5330" s="38" t="n">
        <f aca="false">Sens!$H$5235</f>
        <v>99.8969223878976</v>
      </c>
      <c r="I5330" s="38" t="n">
        <f aca="false">Sens!$I$5235</f>
        <v>116.583111095496</v>
      </c>
      <c r="J5330" s="38" t="n">
        <f aca="false">Sens!$J$5235</f>
        <v>132.148941941952</v>
      </c>
      <c r="K5330" s="38" t="n">
        <f aca="false">Sens!$K$5235</f>
        <v>145.363836136147</v>
      </c>
      <c r="L5330" s="38" t="n">
        <f aca="false">Sens!$L$5235</f>
        <v>159.900219749762</v>
      </c>
      <c r="M5330" s="38" t="n">
        <f aca="false">Sens!$M$5235</f>
        <v>175.890241724738</v>
      </c>
      <c r="N5330" s="38" t="n">
        <f aca="false">Sens!$N$5235</f>
        <v>29.615</v>
      </c>
      <c r="O5330" s="38" t="n">
        <f aca="false">Sens!$O$5235</f>
        <v>39.02</v>
      </c>
    </row>
    <row r="5331" customFormat="false" ht="15" hidden="false" customHeight="false" outlineLevel="0" collapsed="false">
      <c r="A5331" s="0" t="s">
        <v>530</v>
      </c>
      <c r="B5331" s="0" t="s">
        <v>86</v>
      </c>
      <c r="C5331" s="38" t="n">
        <f aca="false">Sens!$C$5237</f>
        <v>44.374</v>
      </c>
      <c r="D5331" s="38" t="n">
        <f aca="false">Sens!$D$5237</f>
        <v>49.619</v>
      </c>
      <c r="E5331" s="38" t="n">
        <f aca="false">Sens!$E$5237</f>
        <v>27.157</v>
      </c>
      <c r="F5331" s="38" t="n">
        <f aca="false">Sens!$F$5237</f>
        <v>27.7764165988154</v>
      </c>
      <c r="G5331" s="38" t="n">
        <f aca="false">Sens!$G$5237</f>
        <v>54.9334165988154</v>
      </c>
      <c r="H5331" s="38" t="n">
        <f aca="false">Sens!$H$5237</f>
        <v>61.1564112561829</v>
      </c>
      <c r="I5331" s="38" t="n">
        <f aca="false">Sens!$I$5237</f>
        <v>67.2020282103945</v>
      </c>
      <c r="J5331" s="38" t="n">
        <f aca="false">Sens!$J$5237</f>
        <v>72.8757274028885</v>
      </c>
      <c r="K5331" s="38" t="n">
        <f aca="false">Sens!$K$5237</f>
        <v>77.9770283210907</v>
      </c>
      <c r="L5331" s="38" t="n">
        <f aca="false">Sens!$L$5237</f>
        <v>83.4354203035671</v>
      </c>
      <c r="M5331" s="38" t="n">
        <f aca="false">Sens!$M$5237</f>
        <v>89.2758997248168</v>
      </c>
      <c r="N5331" s="38" t="n">
        <f aca="false">Sens!$N$5237</f>
        <v>23.923</v>
      </c>
      <c r="O5331" s="38" t="n">
        <f aca="false">Sens!$O$5237</f>
        <v>25.696</v>
      </c>
    </row>
    <row r="5332" customFormat="false" ht="15" hidden="false" customHeight="false" outlineLevel="0" collapsed="false">
      <c r="A5332" s="0" t="s">
        <v>531</v>
      </c>
      <c r="B5332" s="0" t="s">
        <v>86</v>
      </c>
      <c r="C5332" s="38" t="n">
        <f aca="false">Sens!$C$5239</f>
        <v>5.425</v>
      </c>
      <c r="D5332" s="38" t="n">
        <f aca="false">Sens!$D$5239</f>
        <v>5.935</v>
      </c>
      <c r="E5332" s="38" t="n">
        <f aca="false">Sens!$E$5239</f>
        <v>3.474</v>
      </c>
      <c r="F5332" s="38" t="n">
        <f aca="false">Sens!$F$5239</f>
        <v>3.22246550883619</v>
      </c>
      <c r="G5332" s="38" t="n">
        <f aca="false">Sens!$G$5239</f>
        <v>6.69646550883619</v>
      </c>
      <c r="H5332" s="38" t="n">
        <f aca="false">Sens!$H$5239</f>
        <v>7.16251344209196</v>
      </c>
      <c r="I5332" s="38" t="n">
        <f aca="false">Sens!$I$5239</f>
        <v>7.61421070299826</v>
      </c>
      <c r="J5332" s="38" t="n">
        <f aca="false">Sens!$J$5239</f>
        <v>8.04465753523932</v>
      </c>
      <c r="K5332" s="38" t="n">
        <f aca="false">Sens!$K$5239</f>
        <v>8.44689041200128</v>
      </c>
      <c r="L5332" s="38" t="n">
        <f aca="false">Sens!$L$5239</f>
        <v>8.86923493260135</v>
      </c>
      <c r="M5332" s="38" t="n">
        <f aca="false">Sens!$M$5239</f>
        <v>9.31269667923142</v>
      </c>
      <c r="N5332" s="38" t="n">
        <f aca="false">Sens!$N$5239</f>
        <v>2.811</v>
      </c>
      <c r="O5332" s="38" t="n">
        <f aca="false">Sens!$O$5239</f>
        <v>3.124</v>
      </c>
    </row>
    <row r="5333" customFormat="false" ht="17.15" hidden="false" customHeight="false" outlineLevel="0" collapsed="false">
      <c r="A5333" s="0" t="s">
        <v>728</v>
      </c>
      <c r="B5333" s="0" t="s">
        <v>86</v>
      </c>
      <c r="C5333" s="38" t="n">
        <f aca="false">Sens!$C$5314</f>
        <v>107.556</v>
      </c>
      <c r="D5333" s="38" t="n">
        <f aca="false">Sens!$D$5314</f>
        <v>128.725</v>
      </c>
      <c r="E5333" s="38" t="n">
        <f aca="false">Sens!$E$5314</f>
        <v>79.819</v>
      </c>
      <c r="F5333" s="38" t="n">
        <f aca="false">Sens!$F$5314</f>
        <v>86.7327334389669</v>
      </c>
      <c r="G5333" s="38" t="n">
        <f aca="false">Sens!$G$5314</f>
        <v>166.551733438967</v>
      </c>
      <c r="H5333" s="38" t="n">
        <f aca="false">Sens!$H$5314</f>
        <v>221.182967828978</v>
      </c>
      <c r="I5333" s="38" t="n">
        <f aca="false">Sens!$I$5314</f>
        <v>280.27345865789</v>
      </c>
      <c r="J5333" s="38" t="n">
        <f aca="false">Sens!$J$5314</f>
        <v>338.800945197185</v>
      </c>
      <c r="K5333" s="38" t="n">
        <f aca="false">Sens!$K$5314</f>
        <v>389.88570147276</v>
      </c>
      <c r="L5333" s="38" t="n">
        <f aca="false">Sens!$L$5314</f>
        <v>430.080689379143</v>
      </c>
      <c r="M5333" s="38" t="n">
        <f aca="false">Sens!$M$5314</f>
        <v>459.456235951751</v>
      </c>
      <c r="N5333" s="38" t="n">
        <f aca="false">Sens!$N$5314</f>
        <v>60.14</v>
      </c>
      <c r="O5333" s="38" t="n">
        <f aca="false">Sens!$O$5314</f>
        <v>68.585</v>
      </c>
    </row>
    <row r="5334" customFormat="false" ht="15" hidden="false" customHeight="false" outlineLevel="0" collapsed="false">
      <c r="A5334" s="1" t="s">
        <v>519</v>
      </c>
      <c r="B5334" s="8" t="s">
        <v>86</v>
      </c>
      <c r="C5334" s="38" t="n">
        <f aca="false">Sens!$C$5244</f>
        <v>387.497</v>
      </c>
      <c r="D5334" s="38" t="n">
        <f aca="false">Sens!$D$5244</f>
        <v>426.305</v>
      </c>
      <c r="E5334" s="38" t="n">
        <f aca="false">Sens!$E$5244</f>
        <v>220.32</v>
      </c>
      <c r="F5334" s="38" t="n">
        <f aca="false">Sens!$F$5244</f>
        <v>250.639773480586</v>
      </c>
      <c r="G5334" s="38" t="n">
        <f aca="false">Sens!$G$5244</f>
        <v>470.959773480586</v>
      </c>
      <c r="H5334" s="38" t="n">
        <f aca="false">Sens!$H$5244</f>
        <v>521.386990416437</v>
      </c>
      <c r="I5334" s="38" t="n">
        <f aca="false">Sens!$I$5244</f>
        <v>570.143862887555</v>
      </c>
      <c r="J5334" s="38" t="n">
        <f aca="false">Sens!$J$5244</f>
        <v>615.391435791933</v>
      </c>
      <c r="K5334" s="38" t="n">
        <f aca="false">Sens!$K$5244</f>
        <v>655.208227561543</v>
      </c>
      <c r="L5334" s="38" t="n">
        <f aca="false">Sens!$L$5244</f>
        <v>697.807739249767</v>
      </c>
      <c r="M5334" s="38" t="n">
        <f aca="false">Sens!$M$5244</f>
        <v>743.399328463592</v>
      </c>
      <c r="N5334" s="38" t="n">
        <f aca="false">Sens!$N$5244</f>
        <v>192.955</v>
      </c>
      <c r="O5334" s="38" t="n">
        <f aca="false">Sens!$O$5244</f>
        <v>233.35</v>
      </c>
    </row>
    <row r="5335" customFormat="false" ht="15" hidden="false" customHeight="false" outlineLevel="0" collapsed="false">
      <c r="A5335" s="1" t="s">
        <v>522</v>
      </c>
      <c r="B5335" s="8" t="s">
        <v>86</v>
      </c>
      <c r="C5335" s="38" t="n">
        <f aca="false">Sens!$C$5245</f>
        <v>142.906</v>
      </c>
      <c r="D5335" s="38" t="n">
        <f aca="false">Sens!$D$5245</f>
        <v>161.894</v>
      </c>
      <c r="E5335" s="38" t="n">
        <f aca="false">Sens!$E$5245</f>
        <v>81.986</v>
      </c>
      <c r="F5335" s="38" t="n">
        <f aca="false">Sens!$F$5245</f>
        <v>98.408468164951</v>
      </c>
      <c r="G5335" s="38" t="n">
        <f aca="false">Sens!$G$5245</f>
        <v>180.394468164951</v>
      </c>
      <c r="H5335" s="38" t="n">
        <f aca="false">Sens!$H$5245</f>
        <v>199.709899104949</v>
      </c>
      <c r="I5335" s="38" t="n">
        <f aca="false">Sens!$I$5245</f>
        <v>218.385528264976</v>
      </c>
      <c r="J5335" s="38" t="n">
        <f aca="false">Sens!$J$5245</f>
        <v>235.71696994951</v>
      </c>
      <c r="K5335" s="38" t="n">
        <f aca="false">Sens!$K$5245</f>
        <v>250.968227869545</v>
      </c>
      <c r="L5335" s="38" t="n">
        <f aca="false">Sens!$L$5245</f>
        <v>267.285367225822</v>
      </c>
      <c r="M5335" s="38" t="n">
        <f aca="false">Sens!$M$5245</f>
        <v>284.748579483295</v>
      </c>
      <c r="N5335" s="38" t="n">
        <f aca="false">Sens!$N$5245</f>
        <v>70.274</v>
      </c>
      <c r="O5335" s="38" t="n">
        <f aca="false">Sens!$O$5245</f>
        <v>91.62</v>
      </c>
    </row>
    <row r="5336" customFormat="false" ht="15" hidden="false" customHeight="false" outlineLevel="0" collapsed="false">
      <c r="A5336" s="1" t="s">
        <v>523</v>
      </c>
      <c r="B5336" s="8" t="s">
        <v>86</v>
      </c>
      <c r="C5336" s="38" t="n">
        <f aca="false">Sens!$C$5314</f>
        <v>107.556</v>
      </c>
      <c r="D5336" s="38" t="n">
        <f aca="false">Sens!$D$5314</f>
        <v>128.725</v>
      </c>
      <c r="E5336" s="38" t="n">
        <f aca="false">Sens!$E$5314</f>
        <v>79.819</v>
      </c>
      <c r="F5336" s="38" t="n">
        <f aca="false">Sens!$F$5314</f>
        <v>86.7327334389669</v>
      </c>
      <c r="G5336" s="38" t="n">
        <f aca="false">Sens!$G$5314</f>
        <v>166.551733438967</v>
      </c>
      <c r="H5336" s="38" t="n">
        <f aca="false">Sens!$H$5314</f>
        <v>221.182967828978</v>
      </c>
      <c r="I5336" s="38" t="n">
        <f aca="false">Sens!$I$5314</f>
        <v>280.27345865789</v>
      </c>
      <c r="J5336" s="38" t="n">
        <f aca="false">Sens!$J$5314</f>
        <v>338.800945197185</v>
      </c>
      <c r="K5336" s="38" t="n">
        <f aca="false">Sens!$K$5314</f>
        <v>389.88570147276</v>
      </c>
      <c r="L5336" s="38" t="n">
        <f aca="false">Sens!$L$5314</f>
        <v>430.080689379143</v>
      </c>
      <c r="M5336" s="38" t="n">
        <f aca="false">Sens!$M$5314</f>
        <v>459.456235951751</v>
      </c>
      <c r="N5336" s="38" t="n">
        <f aca="false">Sens!$N$5314</f>
        <v>60.14</v>
      </c>
      <c r="O5336" s="38" t="n">
        <f aca="false">Sens!$O$5314</f>
        <v>68.585</v>
      </c>
    </row>
    <row r="5337" customFormat="false" ht="17.15" hidden="false" customHeight="false" outlineLevel="0" collapsed="false">
      <c r="A5337" s="0" t="s">
        <v>702</v>
      </c>
      <c r="B5337" s="0" t="s">
        <v>86</v>
      </c>
      <c r="C5337" s="38" t="n">
        <f aca="false">Sens!$C$5312</f>
        <v>2.32100535697364</v>
      </c>
      <c r="D5337" s="38" t="n">
        <f aca="false">Sens!$D$5312</f>
        <v>8.70377008865116</v>
      </c>
      <c r="E5337" s="38" t="n">
        <f aca="false">Sens!$E$5312</f>
        <v>8.51035297557002</v>
      </c>
      <c r="F5337" s="38" t="n">
        <f aca="false">Sens!$F$5312</f>
        <v>14.9634336447205</v>
      </c>
      <c r="G5337" s="38" t="n">
        <f aca="false">Sens!$G$5312</f>
        <v>23.4737866202905</v>
      </c>
      <c r="H5337" s="38" t="n">
        <f aca="false">Sens!$H$5312</f>
        <v>60.1658907497746</v>
      </c>
      <c r="I5337" s="38" t="n">
        <f aca="false">Sens!$I$5312</f>
        <v>101.503699136432</v>
      </c>
      <c r="J5337" s="38" t="n">
        <f aca="false">Sens!$J$5312</f>
        <v>143.025407151278</v>
      </c>
      <c r="K5337" s="38" t="n">
        <f aca="false">Sens!$K$5312</f>
        <v>178.44812038318</v>
      </c>
      <c r="L5337" s="38" t="n">
        <f aca="false">Sens!$L$5312</f>
        <v>201.728101802396</v>
      </c>
      <c r="M5337" s="38" t="n">
        <f aca="false">Sens!$M$5312</f>
        <v>212.835441368865</v>
      </c>
      <c r="N5337" s="38" t="n">
        <f aca="false">Sens!$N$5312</f>
        <v>3.04631953102791</v>
      </c>
      <c r="O5337" s="38" t="n">
        <f aca="false">Sens!$O$5312</f>
        <v>5.65745055762326</v>
      </c>
    </row>
    <row r="5338" customFormat="false" ht="17.15" hidden="false" customHeight="false" outlineLevel="0" collapsed="false">
      <c r="A5338" s="0" t="s">
        <v>704</v>
      </c>
      <c r="B5338" s="0" t="s">
        <v>86</v>
      </c>
      <c r="C5338" s="38" t="n">
        <f aca="false">Sens!$C$5313</f>
        <v>105.234994643026</v>
      </c>
      <c r="D5338" s="38" t="n">
        <f aca="false">Sens!$D$5313</f>
        <v>120.021229911349</v>
      </c>
      <c r="E5338" s="38" t="n">
        <f aca="false">Sens!$E$5313</f>
        <v>71.30864702443</v>
      </c>
      <c r="F5338" s="38" t="n">
        <f aca="false">Sens!$F$5313</f>
        <v>71.7692997942464</v>
      </c>
      <c r="G5338" s="38" t="n">
        <f aca="false">Sens!$G$5313</f>
        <v>143.077946818676</v>
      </c>
      <c r="H5338" s="38" t="n">
        <f aca="false">Sens!$H$5313</f>
        <v>161.017077079203</v>
      </c>
      <c r="I5338" s="38" t="n">
        <f aca="false">Sens!$I$5313</f>
        <v>178.769759521457</v>
      </c>
      <c r="J5338" s="38" t="n">
        <f aca="false">Sens!$J$5313</f>
        <v>195.775538045907</v>
      </c>
      <c r="K5338" s="38" t="n">
        <f aca="false">Sens!$K$5313</f>
        <v>211.43758108958</v>
      </c>
      <c r="L5338" s="38" t="n">
        <f aca="false">Sens!$L$5313</f>
        <v>228.352587576746</v>
      </c>
      <c r="M5338" s="38" t="n">
        <f aca="false">Sens!$M$5313</f>
        <v>246.620794582886</v>
      </c>
      <c r="N5338" s="38" t="n">
        <f aca="false">Sens!$N$5313</f>
        <v>57.0936804689721</v>
      </c>
      <c r="O5338" s="38" t="n">
        <f aca="false">Sens!$O$5313</f>
        <v>62.9275494423768</v>
      </c>
    </row>
    <row r="5339" customFormat="false" ht="15" hidden="false" customHeight="false" outlineLevel="0" collapsed="false">
      <c r="A5339" s="3" t="s">
        <v>524</v>
      </c>
      <c r="B5339" s="8" t="s">
        <v>86</v>
      </c>
      <c r="C5339" s="38" t="n">
        <f aca="false">Sens!$C$5315</f>
        <v>637.959</v>
      </c>
      <c r="D5339" s="38" t="n">
        <f aca="false">Sens!$D$5315</f>
        <v>716.924</v>
      </c>
      <c r="E5339" s="38" t="n">
        <f aca="false">Sens!$E$5315</f>
        <v>382.125</v>
      </c>
      <c r="F5339" s="38" t="n">
        <f aca="false">Sens!$F$5315</f>
        <v>435.780975084504</v>
      </c>
      <c r="G5339" s="38" t="n">
        <f aca="false">Sens!$G$5315</f>
        <v>817.905975084504</v>
      </c>
      <c r="H5339" s="38" t="n">
        <f aca="false">Sens!$H$5315</f>
        <v>942.279857350364</v>
      </c>
      <c r="I5339" s="38" t="n">
        <f aca="false">Sens!$I$5315</f>
        <v>1068.80284981042</v>
      </c>
      <c r="J5339" s="38" t="n">
        <f aca="false">Sens!$J$5315</f>
        <v>1189.90935093863</v>
      </c>
      <c r="K5339" s="38" t="n">
        <f aca="false">Sens!$K$5315</f>
        <v>1296.06215690385</v>
      </c>
      <c r="L5339" s="38" t="n">
        <f aca="false">Sens!$L$5315</f>
        <v>1395.17379585473</v>
      </c>
      <c r="M5339" s="38" t="n">
        <f aca="false">Sens!$M$5315</f>
        <v>1487.60414389864</v>
      </c>
      <c r="N5339" s="38" t="n">
        <f aca="false">Sens!$N$5315</f>
        <v>323.369</v>
      </c>
      <c r="O5339" s="38" t="n">
        <f aca="false">Sens!$O$5315</f>
        <v>393.555</v>
      </c>
    </row>
    <row r="5340" customFormat="false" ht="17.15" hidden="false" customHeight="false" outlineLevel="0" collapsed="false">
      <c r="A5340" s="24" t="s">
        <v>714</v>
      </c>
      <c r="B5340" s="25" t="s">
        <v>86</v>
      </c>
      <c r="C5340" s="41" t="n">
        <f aca="false">Sens!$C$5327+Sens!$C$5328+Sens!$C$5329+Sens!$C$5330+Sens!$C$5331+Sens!$C$5332-(Sens!$C$5334+Sens!$C$5335)</f>
        <v>0</v>
      </c>
      <c r="D5340" s="41" t="n">
        <f aca="false">Sens!$D$5327+Sens!$D$5328+Sens!$D$5329+Sens!$D$5330+Sens!$D$5331+Sens!$D$5332-(Sens!$D$5334+Sens!$D$5335)</f>
        <v>0</v>
      </c>
      <c r="E5340" s="41" t="n">
        <f aca="false">Sens!$E$5327+Sens!$E$5328+Sens!$E$5329+Sens!$E$5330+Sens!$E$5331+Sens!$E$5332-(Sens!$E$5334+Sens!$E$5335)</f>
        <v>0</v>
      </c>
      <c r="F5340" s="41" t="n">
        <f aca="false">Sens!$F$5327+Sens!$F$5328+Sens!$F$5329+Sens!$F$5330+Sens!$F$5331+Sens!$F$5332-(Sens!$F$5334+Sens!$F$5335)</f>
        <v>0</v>
      </c>
      <c r="G5340" s="41" t="n">
        <f aca="false">Sens!$G$5327+Sens!$G$5328+Sens!$G$5329+Sens!$G$5330+Sens!$G$5331+Sens!$G$5332-(Sens!$G$5334+Sens!$G$5335)</f>
        <v>0</v>
      </c>
      <c r="H5340" s="41" t="n">
        <f aca="false">Sens!$H$5327+Sens!$H$5328+Sens!$H$5329+Sens!$H$5330+Sens!$H$5331+Sens!$H$5332-(Sens!$H$5334+Sens!$H$5335)</f>
        <v>0</v>
      </c>
      <c r="I5340" s="41" t="n">
        <f aca="false">Sens!$I$5327+Sens!$I$5328+Sens!$I$5329+Sens!$I$5330+Sens!$I$5331+Sens!$I$5332-(Sens!$I$5334+Sens!$I$5335)</f>
        <v>0</v>
      </c>
      <c r="J5340" s="41" t="n">
        <f aca="false">Sens!$J$5327+Sens!$J$5328+Sens!$J$5329+Sens!$J$5330+Sens!$J$5331+Sens!$J$5332-(Sens!$J$5334+Sens!$J$5335)</f>
        <v>0</v>
      </c>
      <c r="K5340" s="41" t="n">
        <f aca="false">Sens!$K$5327+Sens!$K$5328+Sens!$K$5329+Sens!$K$5330+Sens!$K$5331+Sens!$K$5332-(Sens!$K$5334+Sens!$K$5335)</f>
        <v>0</v>
      </c>
      <c r="L5340" s="41" t="n">
        <f aca="false">Sens!$L$5327+Sens!$L$5328+Sens!$L$5329+Sens!$L$5330+Sens!$L$5331+Sens!$L$5332-(Sens!$L$5334+Sens!$L$5335)</f>
        <v>0</v>
      </c>
      <c r="M5340" s="41" t="n">
        <f aca="false">Sens!$M$5327+Sens!$M$5328+Sens!$M$5329+Sens!$M$5330+Sens!$M$5331+Sens!$M$5332-(Sens!$M$5334+Sens!$M$5335)</f>
        <v>0</v>
      </c>
      <c r="N5340" s="41" t="n">
        <f aca="false">Sens!$N$5327+Sens!$N$5328+Sens!$N$5329+Sens!$N$5330+Sens!$N$5331+Sens!$N$5332-(Sens!$N$5334+Sens!$N$5335)</f>
        <v>0</v>
      </c>
      <c r="O5340" s="41" t="n">
        <f aca="false">Sens!$O$5327+Sens!$O$5328+Sens!$O$5329+Sens!$O$5330+Sens!$O$5331+Sens!$O$5332-(Sens!$O$5334+Sens!$O$5335)</f>
        <v>0</v>
      </c>
    </row>
    <row r="5341" customFormat="false" ht="17.15" hidden="false" customHeight="false" outlineLevel="0" collapsed="false">
      <c r="A5341" s="24" t="s">
        <v>715</v>
      </c>
      <c r="B5341" s="25" t="s">
        <v>86</v>
      </c>
      <c r="C5341" s="41" t="n">
        <f aca="false">Sens!$C$5337+Sens!$C$5338-Sens!$C$5336</f>
        <v>0</v>
      </c>
      <c r="D5341" s="41" t="n">
        <f aca="false">Sens!$D$5337+Sens!$D$5338-Sens!$D$5336</f>
        <v>0</v>
      </c>
      <c r="E5341" s="41" t="n">
        <f aca="false">Sens!$E$5337+Sens!$E$5338-Sens!$E$5336</f>
        <v>0</v>
      </c>
      <c r="F5341" s="41" t="n">
        <f aca="false">Sens!$F$5337+Sens!$F$5338-Sens!$F$5336</f>
        <v>0</v>
      </c>
      <c r="G5341" s="41" t="n">
        <f aca="false">Sens!$G$5337+Sens!$G$5338-Sens!$G$5336</f>
        <v>0</v>
      </c>
      <c r="H5341" s="41" t="n">
        <f aca="false">Sens!$H$5337+Sens!$H$5338-Sens!$H$5336</f>
        <v>0</v>
      </c>
      <c r="I5341" s="41" t="n">
        <f aca="false">Sens!$I$5337+Sens!$I$5338-Sens!$I$5336</f>
        <v>0</v>
      </c>
      <c r="J5341" s="41" t="n">
        <f aca="false">Sens!$J$5337+Sens!$J$5338-Sens!$J$5336</f>
        <v>0</v>
      </c>
      <c r="K5341" s="41" t="n">
        <f aca="false">Sens!$K$5337+Sens!$K$5338-Sens!$K$5336</f>
        <v>0</v>
      </c>
      <c r="L5341" s="41" t="n">
        <f aca="false">Sens!$L$5337+Sens!$L$5338-Sens!$L$5336</f>
        <v>0</v>
      </c>
      <c r="M5341" s="41" t="n">
        <f aca="false">Sens!$M$5337+Sens!$M$5338-Sens!$M$5336</f>
        <v>0</v>
      </c>
      <c r="N5341" s="41" t="n">
        <f aca="false">Sens!$N$5337+Sens!$N$5338-Sens!$N$5336</f>
        <v>0</v>
      </c>
      <c r="O5341" s="41" t="n">
        <f aca="false">Sens!$O$5337+Sens!$O$5338-Sens!$O$5336</f>
        <v>0</v>
      </c>
    </row>
    <row r="5342" customFormat="false" ht="17.15" hidden="false" customHeight="false" outlineLevel="0" collapsed="false">
      <c r="A5342" s="24" t="s">
        <v>774</v>
      </c>
      <c r="B5342" s="25" t="s">
        <v>86</v>
      </c>
      <c r="C5342" s="41" t="n">
        <f aca="false">Sens!$C$5327+Sens!$C$5328+Sens!$C$5329+Sens!$C$5330+Sens!$C$5331+Sens!$C$5332+Sens!$C$5333-Sens!$C$5339</f>
        <v>0</v>
      </c>
      <c r="D5342" s="41" t="n">
        <f aca="false">Sens!$D$5327+Sens!$D$5328+Sens!$D$5329+Sens!$D$5330+Sens!$D$5331+Sens!$D$5332+Sens!$D$5333-Sens!$D$5339</f>
        <v>0</v>
      </c>
      <c r="E5342" s="41" t="n">
        <f aca="false">Sens!$E$5327+Sens!$E$5328+Sens!$E$5329+Sens!$E$5330+Sens!$E$5331+Sens!$E$5332+Sens!$E$5333-Sens!$E$5339</f>
        <v>0</v>
      </c>
      <c r="F5342" s="41" t="n">
        <f aca="false">Sens!$F$5327+Sens!$F$5328+Sens!$F$5329+Sens!$F$5330+Sens!$F$5331+Sens!$F$5332+Sens!$F$5333-Sens!$F$5339</f>
        <v>0</v>
      </c>
      <c r="G5342" s="41" t="n">
        <f aca="false">Sens!$G$5327+Sens!$G$5328+Sens!$G$5329+Sens!$G$5330+Sens!$G$5331+Sens!$G$5332+Sens!$G$5333-Sens!$G$5339</f>
        <v>0</v>
      </c>
      <c r="H5342" s="41" t="n">
        <f aca="false">Sens!$H$5327+Sens!$H$5328+Sens!$H$5329+Sens!$H$5330+Sens!$H$5331+Sens!$H$5332+Sens!$H$5333-Sens!$H$5339</f>
        <v>0</v>
      </c>
      <c r="I5342" s="41" t="n">
        <f aca="false">Sens!$I$5327+Sens!$I$5328+Sens!$I$5329+Sens!$I$5330+Sens!$I$5331+Sens!$I$5332+Sens!$I$5333-Sens!$I$5339</f>
        <v>0</v>
      </c>
      <c r="J5342" s="41" t="n">
        <f aca="false">Sens!$J$5327+Sens!$J$5328+Sens!$J$5329+Sens!$J$5330+Sens!$J$5331+Sens!$J$5332+Sens!$J$5333-Sens!$J$5339</f>
        <v>0</v>
      </c>
      <c r="K5342" s="41" t="n">
        <f aca="false">Sens!$K$5327+Sens!$K$5328+Sens!$K$5329+Sens!$K$5330+Sens!$K$5331+Sens!$K$5332+Sens!$K$5333-Sens!$K$5339</f>
        <v>0</v>
      </c>
      <c r="L5342" s="41" t="n">
        <f aca="false">Sens!$L$5327+Sens!$L$5328+Sens!$L$5329+Sens!$L$5330+Sens!$L$5331+Sens!$L$5332+Sens!$L$5333-Sens!$L$5339</f>
        <v>0</v>
      </c>
      <c r="M5342" s="41" t="n">
        <f aca="false">Sens!$M$5327+Sens!$M$5328+Sens!$M$5329+Sens!$M$5330+Sens!$M$5331+Sens!$M$5332+Sens!$M$5333-Sens!$M$5339</f>
        <v>0</v>
      </c>
      <c r="N5342" s="41" t="n">
        <f aca="false">Sens!$N$5327+Sens!$N$5328+Sens!$N$5329+Sens!$N$5330+Sens!$N$5331+Sens!$N$5332+Sens!$N$5333-Sens!$N$5339</f>
        <v>0</v>
      </c>
      <c r="O5342" s="41" t="n">
        <f aca="false">Sens!$O$5327+Sens!$O$5328+Sens!$O$5329+Sens!$O$5330+Sens!$O$5331+Sens!$O$5332+Sens!$O$5333-Sens!$O$5339</f>
        <v>0</v>
      </c>
    </row>
    <row r="5343" customFormat="false" ht="17.15" hidden="false" customHeight="false" outlineLevel="0" collapsed="false">
      <c r="A5343" s="24" t="s">
        <v>716</v>
      </c>
      <c r="B5343" s="25" t="s">
        <v>86</v>
      </c>
      <c r="C5343" s="41" t="n">
        <f aca="false">Sens!$C$5334+Sens!$C$5335+Sens!$C$5336-Sens!$C$5339</f>
        <v>0</v>
      </c>
      <c r="D5343" s="41" t="n">
        <f aca="false">Sens!$D$5334+Sens!$D$5335+Sens!$D$5336-Sens!$D$5339</f>
        <v>0</v>
      </c>
      <c r="E5343" s="41" t="n">
        <f aca="false">Sens!$E$5334+Sens!$E$5335+Sens!$E$5336-Sens!$E$5339</f>
        <v>0</v>
      </c>
      <c r="F5343" s="41" t="n">
        <f aca="false">Sens!$F$5334+Sens!$F$5335+Sens!$F$5336-Sens!$F$5339</f>
        <v>0</v>
      </c>
      <c r="G5343" s="41" t="n">
        <f aca="false">Sens!$G$5334+Sens!$G$5335+Sens!$G$5336-Sens!$G$5339</f>
        <v>0</v>
      </c>
      <c r="H5343" s="41" t="n">
        <f aca="false">Sens!$H$5334+Sens!$H$5335+Sens!$H$5336-Sens!$H$5339</f>
        <v>0</v>
      </c>
      <c r="I5343" s="41" t="n">
        <f aca="false">Sens!$I$5334+Sens!$I$5335+Sens!$I$5336-Sens!$I$5339</f>
        <v>0</v>
      </c>
      <c r="J5343" s="41" t="n">
        <f aca="false">Sens!$J$5334+Sens!$J$5335+Sens!$J$5336-Sens!$J$5339</f>
        <v>0</v>
      </c>
      <c r="K5343" s="41" t="n">
        <f aca="false">Sens!$K$5334+Sens!$K$5335+Sens!$K$5336-Sens!$K$5339</f>
        <v>0</v>
      </c>
      <c r="L5343" s="41" t="n">
        <f aca="false">Sens!$L$5334+Sens!$L$5335+Sens!$L$5336-Sens!$L$5339</f>
        <v>0</v>
      </c>
      <c r="M5343" s="41" t="n">
        <f aca="false">Sens!$M$5334+Sens!$M$5335+Sens!$M$5336-Sens!$M$5339</f>
        <v>0</v>
      </c>
      <c r="N5343" s="41" t="n">
        <f aca="false">Sens!$N$5334+Sens!$N$5335+Sens!$N$5336-Sens!$N$5339</f>
        <v>0</v>
      </c>
      <c r="O5343" s="41" t="n">
        <f aca="false">Sens!$O$5334+Sens!$O$5335+Sens!$O$5336-Sens!$O$5339</f>
        <v>0</v>
      </c>
    </row>
    <row r="5344" customFormat="false" ht="17.15" hidden="false" customHeight="false" outlineLevel="0" collapsed="false">
      <c r="A5344" s="1" t="s">
        <v>730</v>
      </c>
    </row>
    <row r="5345" customFormat="false" ht="17.15" hidden="false" customHeight="false" outlineLevel="0" collapsed="false">
      <c r="A5345" s="0" t="s">
        <v>731</v>
      </c>
      <c r="B5345" s="0" t="s">
        <v>86</v>
      </c>
      <c r="C5345" s="38" t="n">
        <f aca="false">Sens!$C$5246*m_ad</f>
        <v>20.5341564414228</v>
      </c>
      <c r="D5345" s="38" t="n">
        <f aca="false">Sens!$D$5246*m_ad</f>
        <v>24.8720617299587</v>
      </c>
      <c r="E5345" s="38" t="n">
        <f aca="false">Sens!$E$5246*m_ad</f>
        <v>13.5017112462207</v>
      </c>
      <c r="F5345" s="38" t="n">
        <f aca="false">Sens!$F$5246*m_ad</f>
        <v>16.5719724165257</v>
      </c>
      <c r="G5345" s="38" t="n">
        <f aca="false">Sens!$G$5246*m_ad</f>
        <v>30.0820919220415</v>
      </c>
      <c r="H5345" s="38" t="n">
        <f aca="false">Sens!$H$5246*m_ad</f>
        <v>36.1150883276314</v>
      </c>
      <c r="I5345" s="38" t="n">
        <f aca="false">Sens!$I$5246*m_ad</f>
        <v>42.1475382231996</v>
      </c>
      <c r="J5345" s="38" t="n">
        <f aca="false">Sens!$J$5246*m_ad</f>
        <v>47.7749523864693</v>
      </c>
      <c r="K5345" s="38" t="n">
        <f aca="false">Sens!$K$5246*m_ad</f>
        <v>52.5524476251162</v>
      </c>
      <c r="L5345" s="38" t="n">
        <f aca="false">Sens!$L$5246*m_ad</f>
        <v>57.8076923876279</v>
      </c>
      <c r="M5345" s="38" t="n">
        <f aca="false">Sens!$M$5246*m_ad</f>
        <v>63.5884616263907</v>
      </c>
      <c r="N5345" s="38" t="n">
        <f aca="false">Sens!$N$5246*m_ad</f>
        <v>10.8543555706248</v>
      </c>
      <c r="O5345" s="38" t="n">
        <f aca="false">Sens!$O$5246*m_ad</f>
        <v>14.0094731821399</v>
      </c>
    </row>
    <row r="5346" customFormat="false" ht="17.15" hidden="false" customHeight="false" outlineLevel="0" collapsed="false">
      <c r="A5346" s="0" t="s">
        <v>732</v>
      </c>
      <c r="B5346" s="0" t="s">
        <v>86</v>
      </c>
      <c r="C5346" s="38" t="n">
        <f aca="false">Sens!$C$5244-Sens!$C$5246</f>
        <v>346.428687117154</v>
      </c>
      <c r="D5346" s="38" t="n">
        <f aca="false">Sens!$D$5244-Sens!$D$5246</f>
        <v>376.560876540083</v>
      </c>
      <c r="E5346" s="38" t="n">
        <f aca="false">Sens!$E$5244-Sens!$E$5246</f>
        <v>193.316577507559</v>
      </c>
      <c r="F5346" s="38" t="n">
        <f aca="false">Sens!$F$5244-Sens!$F$5246</f>
        <v>217.495828647535</v>
      </c>
      <c r="G5346" s="38" t="n">
        <f aca="false">Sens!$G$5244-Sens!$G$5246</f>
        <v>410.795589636503</v>
      </c>
      <c r="H5346" s="38" t="n">
        <f aca="false">Sens!$H$5244-Sens!$H$5246</f>
        <v>449.156813761174</v>
      </c>
      <c r="I5346" s="38" t="n">
        <f aca="false">Sens!$I$5244-Sens!$I$5246</f>
        <v>485.848786441156</v>
      </c>
      <c r="J5346" s="38" t="n">
        <f aca="false">Sens!$J$5244-Sens!$J$5246</f>
        <v>519.841531018994</v>
      </c>
      <c r="K5346" s="38" t="n">
        <f aca="false">Sens!$K$5244-Sens!$K$5246</f>
        <v>550.103332311311</v>
      </c>
      <c r="L5346" s="38" t="n">
        <f aca="false">Sens!$L$5244-Sens!$L$5246</f>
        <v>582.192354474511</v>
      </c>
      <c r="M5346" s="38" t="n">
        <f aca="false">Sens!$M$5244-Sens!$M$5246</f>
        <v>616.22240521081</v>
      </c>
      <c r="N5346" s="38" t="n">
        <f aca="false">Sens!$N$5244-Sens!$N$5246</f>
        <v>171.24628885875</v>
      </c>
      <c r="O5346" s="38" t="n">
        <f aca="false">Sens!$O$5244-Sens!$O$5246</f>
        <v>205.33105363572</v>
      </c>
    </row>
    <row r="5347" customFormat="false" ht="17.15" hidden="false" customHeight="false" outlineLevel="0" collapsed="false">
      <c r="A5347" s="0" t="s">
        <v>733</v>
      </c>
      <c r="B5347" s="0" t="s">
        <v>86</v>
      </c>
      <c r="C5347" s="38" t="n">
        <f aca="false">Sens!$C$5298*Sens!$C$5243</f>
        <v>0.123617442257179</v>
      </c>
      <c r="D5347" s="38" t="n">
        <f aca="false">Sens!$D$5298*Sens!$D$5243</f>
        <v>0.600198046024689</v>
      </c>
      <c r="E5347" s="38" t="n">
        <f aca="false">Sens!$E$5298*Sens!$E$5243</f>
        <v>1.10840000750276</v>
      </c>
      <c r="F5347" s="38" t="n">
        <f aca="false">Sens!$F$5298*Sens!$F$5243</f>
        <v>1.33595298721025</v>
      </c>
      <c r="G5347" s="38" t="n">
        <f aca="false">Sens!$G$5298*Sens!$G$5243</f>
        <v>2.44487335052545</v>
      </c>
      <c r="H5347" s="38" t="n">
        <f aca="false">Sens!$H$5298*Sens!$H$5243</f>
        <v>6.63132711939388</v>
      </c>
      <c r="I5347" s="38" t="n">
        <f aca="false">Sens!$I$5298*Sens!$I$5243</f>
        <v>12.7486799258504</v>
      </c>
      <c r="J5347" s="38" t="n">
        <f aca="false">Sens!$J$5298*Sens!$J$5243</f>
        <v>18.4074045299415</v>
      </c>
      <c r="K5347" s="38" t="n">
        <f aca="false">Sens!$K$5298*Sens!$K$5243</f>
        <v>23.9455472348705</v>
      </c>
      <c r="L5347" s="38" t="n">
        <f aca="false">Sens!$L$5298*Sens!$L$5243</f>
        <v>27.78179156216</v>
      </c>
      <c r="M5347" s="38" t="n">
        <f aca="false">Sens!$M$5298*Sens!$M$5243</f>
        <v>29.9029027327362</v>
      </c>
      <c r="N5347" s="38" t="n">
        <f aca="false">Sens!$N$5298*Sens!$N$5243</f>
        <v>0.25053229484398</v>
      </c>
      <c r="O5347" s="38" t="n">
        <f aca="false">Sens!$O$5298*Sens!$O$5243</f>
        <v>0.349234376756897</v>
      </c>
    </row>
    <row r="5348" customFormat="false" ht="17.15" hidden="false" customHeight="false" outlineLevel="0" collapsed="false">
      <c r="A5348" s="0" t="s">
        <v>734</v>
      </c>
      <c r="B5348" s="0" t="s">
        <v>52</v>
      </c>
      <c r="C5348" s="28" t="n">
        <f aca="false">(Sens!$C$5349-Sens!$C$5345+Sens!$C$5347)/Sens!$C$5346</f>
        <v>0.0131526665379575</v>
      </c>
      <c r="D5348" s="28" t="n">
        <f aca="false">(Sens!$D$5349-Sens!$D$5345+Sens!$D$5347)/Sens!$D$5346</f>
        <v>0.0141999252954702</v>
      </c>
      <c r="E5348" s="28" t="n">
        <f aca="false">(Sens!$E$5349-Sens!$E$5345+Sens!$E$5347)/Sens!$E$5346</f>
        <v>0.0258471819939326</v>
      </c>
      <c r="F5348" s="28" t="n">
        <f aca="false">Sens!$O$5348+(Sens!$E$5348-Sens!$N$5348)</f>
        <v>0.0224302350712874</v>
      </c>
      <c r="G5348" s="28" t="n">
        <f aca="false">(Sens!$G$5349-Sens!$G$5345+Sens!$G$5347)/Sens!$G$5346</f>
        <v>0.0240199351461372</v>
      </c>
      <c r="H5348" s="28" t="n">
        <f aca="false">Sens!$G$5348+step_na</f>
        <v>0.0270199351461372</v>
      </c>
      <c r="I5348" s="28" t="n">
        <f aca="false">Sens!$H$5348+step_na</f>
        <v>0.0300199351461372</v>
      </c>
      <c r="J5348" s="28" t="n">
        <f aca="false">Sens!$I$5348+step_na</f>
        <v>0.0330199351461372</v>
      </c>
      <c r="K5348" s="28" t="n">
        <f aca="false">Sens!$J$5348+step_na</f>
        <v>0.0360199351461372</v>
      </c>
      <c r="L5348" s="28" t="n">
        <f aca="false">Sens!$K$5348</f>
        <v>0.0360199351461372</v>
      </c>
      <c r="M5348" s="28" t="n">
        <f aca="false">Sens!$L$5348</f>
        <v>0.0360199351461372</v>
      </c>
      <c r="N5348" s="28" t="n">
        <f aca="false">(Sens!$N$5349-Sens!$N$5345+Sens!$N$5347)/Sens!$N$5346</f>
        <v>0.0160831323269779</v>
      </c>
      <c r="O5348" s="28" t="n">
        <f aca="false">(Sens!$O$5349-Sens!$O$5345+Sens!$O$5347)/Sens!$O$5346</f>
        <v>0.0126661854043327</v>
      </c>
      <c r="P5348" s="8" t="s">
        <v>735</v>
      </c>
    </row>
    <row r="5349" customFormat="false" ht="17.15" hidden="false" customHeight="false" outlineLevel="0" collapsed="false">
      <c r="A5349" s="1" t="s">
        <v>736</v>
      </c>
      <c r="B5349" s="8" t="s">
        <v>86</v>
      </c>
      <c r="C5349" s="38" t="n">
        <f aca="false">Q!$D$22</f>
        <v>24.967</v>
      </c>
      <c r="D5349" s="38" t="n">
        <f aca="false">Q!$E$22</f>
        <v>29.619</v>
      </c>
      <c r="E5349" s="38" t="n">
        <f aca="false">Q!$P$22</f>
        <v>17.39</v>
      </c>
      <c r="F5349" s="38" t="n">
        <f aca="false">Sens!$F$5345+Sens!$F$5346*Sens!$F$5348-Sens!$F$5347</f>
        <v>20.1145019929041</v>
      </c>
      <c r="G5349" s="38" t="n">
        <f aca="false">Sens!$E$5349+Sens!$F$5349</f>
        <v>37.5045019929041</v>
      </c>
      <c r="H5349" s="38" t="n">
        <f aca="false">Sens!$H$5345+Sens!$H$5346*Sens!$H$5348-Sens!$H$5347</f>
        <v>41.6199491865101</v>
      </c>
      <c r="I5349" s="38" t="n">
        <f aca="false">Sens!$I$5345+Sens!$I$5346*Sens!$I$5348-Sens!$I$5347</f>
        <v>43.9840073571422</v>
      </c>
      <c r="J5349" s="38" t="n">
        <f aca="false">Sens!$J$5345+Sens!$J$5346*Sens!$J$5348-Sens!$J$5347</f>
        <v>46.5326814970436</v>
      </c>
      <c r="K5349" s="38" t="n">
        <f aca="false">Sens!$K$5345+Sens!$K$5346*Sens!$K$5348-Sens!$K$5347</f>
        <v>48.4215867437731</v>
      </c>
      <c r="L5349" s="38" t="n">
        <f aca="false">Sens!$L$5345+Sens!$L$5346*Sens!$L$5348-Sens!$L$5347</f>
        <v>50.9964316762167</v>
      </c>
      <c r="M5349" s="38" t="n">
        <f aca="false">Sens!$M$5345+Sens!$M$5346*Sens!$M$5348-Sens!$M$5347</f>
        <v>55.8818499649445</v>
      </c>
      <c r="N5349" s="38" t="n">
        <f aca="false">Q!$N$22</f>
        <v>13.358</v>
      </c>
      <c r="O5349" s="38" t="n">
        <f aca="false">Q!$O$22</f>
        <v>16.261</v>
      </c>
    </row>
    <row r="5350" customFormat="false" ht="17.15" hidden="false" customHeight="false" outlineLevel="0" collapsed="false">
      <c r="A5350" s="0" t="s">
        <v>737</v>
      </c>
      <c r="B5350" s="0" t="s">
        <v>86</v>
      </c>
      <c r="C5350" s="38" t="n">
        <f aca="false">Sens!$C$5247*m_ad</f>
        <v>7.57284355857716</v>
      </c>
      <c r="D5350" s="38" t="n">
        <f aca="false">Sens!$D$5247*m_ad</f>
        <v>9.44543827004127</v>
      </c>
      <c r="E5350" s="38" t="n">
        <f aca="false">Sens!$E$5247*m_ad</f>
        <v>5.02428875377928</v>
      </c>
      <c r="F5350" s="38" t="n">
        <f aca="false">Sens!$F$5247*m_ad</f>
        <v>6.50663858068173</v>
      </c>
      <c r="G5350" s="38" t="n">
        <f aca="false">Sens!$G$5247*m_ad</f>
        <v>11.5225190751659</v>
      </c>
      <c r="H5350" s="38" t="n">
        <f aca="false">Sens!$H$5247*m_ad</f>
        <v>13.8333728663174</v>
      </c>
      <c r="I5350" s="38" t="n">
        <f aca="false">Sens!$I$5247*m_ad</f>
        <v>16.1440173245485</v>
      </c>
      <c r="J5350" s="38" t="n">
        <f aca="false">Sens!$J$5247*m_ad</f>
        <v>18.2995185845066</v>
      </c>
      <c r="K5350" s="38" t="n">
        <f aca="false">Sens!$K$5247*m_ad</f>
        <v>20.1294704429572</v>
      </c>
      <c r="L5350" s="38" t="n">
        <f aca="false">Sens!$L$5247*m_ad</f>
        <v>22.142417487253</v>
      </c>
      <c r="M5350" s="38" t="n">
        <f aca="false">Sens!$M$5247*m_ad</f>
        <v>24.3566592359783</v>
      </c>
      <c r="N5350" s="38" t="n">
        <f aca="false">Sens!$N$5247*m_ad</f>
        <v>3.95314442937518</v>
      </c>
      <c r="O5350" s="38" t="n">
        <f aca="false">Sens!$O$5247*m_ad</f>
        <v>5.50052681786011</v>
      </c>
    </row>
    <row r="5351" customFormat="false" ht="17.15" hidden="false" customHeight="false" outlineLevel="0" collapsed="false">
      <c r="A5351" s="0" t="s">
        <v>738</v>
      </c>
      <c r="B5351" s="0" t="s">
        <v>86</v>
      </c>
      <c r="C5351" s="38" t="n">
        <f aca="false">Sens!$C$5245-Sens!$C$5247</f>
        <v>127.760312882846</v>
      </c>
      <c r="D5351" s="38" t="n">
        <f aca="false">Sens!$D$5245-Sens!$D$5247</f>
        <v>143.003123459917</v>
      </c>
      <c r="E5351" s="38" t="n">
        <f aca="false">Sens!$E$5245-Sens!$E$5247</f>
        <v>71.9374224924414</v>
      </c>
      <c r="F5351" s="38" t="n">
        <f aca="false">Sens!$F$5245-Sens!$F$5247</f>
        <v>85.3951910035875</v>
      </c>
      <c r="G5351" s="38" t="n">
        <f aca="false">Sens!$G$5245-Sens!$G$5247</f>
        <v>157.349430014619</v>
      </c>
      <c r="H5351" s="38" t="n">
        <f aca="false">Sens!$H$5245-Sens!$H$5247</f>
        <v>172.043153372315</v>
      </c>
      <c r="I5351" s="38" t="n">
        <f aca="false">Sens!$I$5245-Sens!$I$5247</f>
        <v>186.097493615879</v>
      </c>
      <c r="J5351" s="38" t="n">
        <f aca="false">Sens!$J$5245-Sens!$J$5247</f>
        <v>199.117932780497</v>
      </c>
      <c r="K5351" s="38" t="n">
        <f aca="false">Sens!$K$5245-Sens!$K$5247</f>
        <v>210.70928698363</v>
      </c>
      <c r="L5351" s="38" t="n">
        <f aca="false">Sens!$L$5245-Sens!$L$5247</f>
        <v>223.000532251316</v>
      </c>
      <c r="M5351" s="38" t="n">
        <f aca="false">Sens!$M$5245-Sens!$M$5247</f>
        <v>236.035261011339</v>
      </c>
      <c r="N5351" s="38" t="n">
        <f aca="false">Sens!$N$5245-Sens!$N$5247</f>
        <v>62.3677111412496</v>
      </c>
      <c r="O5351" s="38" t="n">
        <f aca="false">Sens!$O$5245-Sens!$O$5247</f>
        <v>80.6189463642798</v>
      </c>
    </row>
    <row r="5352" customFormat="false" ht="17.15" hidden="false" customHeight="false" outlineLevel="0" collapsed="false">
      <c r="A5352" s="0" t="s">
        <v>739</v>
      </c>
      <c r="B5352" s="0" t="s">
        <v>86</v>
      </c>
      <c r="C5352" s="38" t="n">
        <f aca="false">Sens!$C$5298*(1-Sens!$C$5243)</f>
        <v>0.0455891896019953</v>
      </c>
      <c r="D5352" s="38" t="n">
        <f aca="false">Sens!$D$5298*(1-Sens!$D$5243)</f>
        <v>0.227931791705753</v>
      </c>
      <c r="E5352" s="38" t="n">
        <f aca="false">Sens!$E$5298*(1-Sens!$E$5243)</f>
        <v>0.412460434890711</v>
      </c>
      <c r="F5352" s="38" t="n">
        <f aca="false">Sens!$F$5298*(1-Sens!$F$5243)</f>
        <v>0.524534016233997</v>
      </c>
      <c r="G5352" s="38" t="n">
        <f aca="false">Sens!$G$5298*(1-Sens!$G$5243)</f>
        <v>0.936474095312266</v>
      </c>
      <c r="H5352" s="38" t="n">
        <f aca="false">Sens!$H$5298*(1-Sens!$H$5243)</f>
        <v>2.54003589327823</v>
      </c>
      <c r="I5352" s="38" t="n">
        <f aca="false">Sens!$I$5298*(1-Sens!$I$5243)</f>
        <v>4.88320120852905</v>
      </c>
      <c r="J5352" s="38" t="n">
        <f aca="false">Sens!$J$5298*(1-Sens!$J$5243)</f>
        <v>7.05069548920359</v>
      </c>
      <c r="K5352" s="38" t="n">
        <f aca="false">Sens!$K$5298*(1-Sens!$K$5243)</f>
        <v>9.17200258193867</v>
      </c>
      <c r="L5352" s="38" t="n">
        <f aca="false">Sens!$L$5298*(1-Sens!$L$5243)</f>
        <v>10.6414216154535</v>
      </c>
      <c r="M5352" s="38" t="n">
        <f aca="false">Sens!$M$5298*(1-Sens!$M$5243)</f>
        <v>11.4538831951485</v>
      </c>
      <c r="N5352" s="38" t="n">
        <f aca="false">Sens!$N$5298*(1-Sens!$N$5243)</f>
        <v>0.0912435878202994</v>
      </c>
      <c r="O5352" s="38" t="n">
        <f aca="false">Sens!$O$5298*(1-Sens!$O$5243)</f>
        <v>0.137119578309265</v>
      </c>
    </row>
    <row r="5353" customFormat="false" ht="17.15" hidden="false" customHeight="false" outlineLevel="0" collapsed="false">
      <c r="A5353" s="0" t="s">
        <v>740</v>
      </c>
      <c r="B5353" s="0" t="s">
        <v>52</v>
      </c>
      <c r="C5353" s="28" t="n">
        <f aca="false">(Sens!$C$5354-Sens!$C$5350+Sens!$C$5352)/Sens!$C$5351</f>
        <v>-0.0292364215826579</v>
      </c>
      <c r="D5353" s="28" t="n">
        <f aca="false">(Sens!$D$5354-Sens!$D$5350+Sens!$D$5352)/Sens!$D$5351</f>
        <v>-0.0312406216748665</v>
      </c>
      <c r="E5353" s="28" t="n">
        <f aca="false">(Sens!$E$5354-Sens!$E$5350+Sens!$E$5352)/Sens!$E$5351</f>
        <v>-0.0204459413185552</v>
      </c>
      <c r="F5353" s="28" t="n">
        <f aca="false">Sens!$O$5353+(Sens!$E$5353-Sens!$N$5353)</f>
        <v>-0.0375409290246314</v>
      </c>
      <c r="G5353" s="28" t="n">
        <f aca="false">(Sens!$G$5354-Sens!$G$5350+Sens!$G$5352)/Sens!$G$5351</f>
        <v>-0.0296712560031684</v>
      </c>
      <c r="H5353" s="28" t="n">
        <f aca="false">Sens!$G$5353+step_in</f>
        <v>-0.0296712560031684</v>
      </c>
      <c r="I5353" s="28" t="n">
        <f aca="false">Sens!$H$5353+step_in</f>
        <v>-0.0296712560031684</v>
      </c>
      <c r="J5353" s="28" t="n">
        <f aca="false">Sens!$I$5353+step_in</f>
        <v>-0.0296712560031684</v>
      </c>
      <c r="K5353" s="28" t="n">
        <f aca="false">Sens!$J$5353+step_in</f>
        <v>-0.0296712560031684</v>
      </c>
      <c r="L5353" s="28" t="n">
        <f aca="false">Sens!$K$5353</f>
        <v>-0.0296712560031684</v>
      </c>
      <c r="M5353" s="28" t="n">
        <f aca="false">Sens!$L$5353</f>
        <v>-0.0296712560031684</v>
      </c>
      <c r="N5353" s="28" t="n">
        <f aca="false">(Sens!$N$5354-Sens!$N$5350+Sens!$N$5352)/Sens!$N$5351</f>
        <v>-0.0216602600421776</v>
      </c>
      <c r="O5353" s="28" t="n">
        <f aca="false">(Sens!$O$5354-Sens!$O$5350+Sens!$O$5352)/Sens!$O$5351</f>
        <v>-0.0387552477482538</v>
      </c>
      <c r="P5353" s="8" t="s">
        <v>735</v>
      </c>
    </row>
    <row r="5354" customFormat="false" ht="17.15" hidden="false" customHeight="false" outlineLevel="0" collapsed="false">
      <c r="A5354" s="1" t="s">
        <v>741</v>
      </c>
      <c r="B5354" s="8" t="s">
        <v>86</v>
      </c>
      <c r="C5354" s="38" t="n">
        <f aca="false">Q!$D$23</f>
        <v>3.792</v>
      </c>
      <c r="D5354" s="38" t="n">
        <f aca="false">Q!$E$23</f>
        <v>4.75</v>
      </c>
      <c r="E5354" s="38" t="n">
        <f aca="false">Q!$P$23</f>
        <v>3.141</v>
      </c>
      <c r="F5354" s="38" t="n">
        <f aca="false">Sens!$F$5350+Sens!$F$5351*Sens!$F$5353-Sens!$F$5352</f>
        <v>2.77628975993721</v>
      </c>
      <c r="G5354" s="38" t="n">
        <f aca="false">Sens!$E$5354+Sens!$F$5354</f>
        <v>5.91728975993721</v>
      </c>
      <c r="H5354" s="38" t="n">
        <f aca="false">Sens!$H$5350+Sens!$H$5351*Sens!$H$5353-Sens!$H$5352</f>
        <v>6.18860052573681</v>
      </c>
      <c r="I5354" s="38" t="n">
        <f aca="false">Sens!$I$5350+Sens!$I$5351*Sens!$I$5353-Sens!$I$5352</f>
        <v>5.73906974139474</v>
      </c>
      <c r="J5354" s="38" t="n">
        <f aca="false">Sens!$J$5350+Sens!$J$5351*Sens!$J$5353-Sens!$J$5352</f>
        <v>5.34074393695119</v>
      </c>
      <c r="K5354" s="38" t="n">
        <f aca="false">Sens!$K$5350+Sens!$K$5351*Sens!$K$5353-Sens!$K$5352</f>
        <v>4.7054586646822</v>
      </c>
      <c r="L5354" s="38" t="n">
        <f aca="false">Sens!$L$5350+Sens!$L$5351*Sens!$L$5353-Sens!$L$5352</f>
        <v>4.88428999052786</v>
      </c>
      <c r="M5354" s="38" t="n">
        <f aca="false">Sens!$M$5350+Sens!$M$5351*Sens!$M$5353-Sens!$M$5352</f>
        <v>5.89931338558769</v>
      </c>
      <c r="N5354" s="38" t="n">
        <f aca="false">Q!$N$23</f>
        <v>2.511</v>
      </c>
      <c r="O5354" s="38" t="n">
        <f aca="false">Q!$O$23</f>
        <v>2.239</v>
      </c>
    </row>
    <row r="5355" customFormat="false" ht="17.15" hidden="false" customHeight="false" outlineLevel="0" collapsed="false">
      <c r="A5355" s="0" t="s">
        <v>742</v>
      </c>
      <c r="B5355" s="0" t="s">
        <v>86</v>
      </c>
      <c r="C5355" s="38" t="n">
        <f aca="false">Sens!$C$5295</f>
        <v>1.64417882953695</v>
      </c>
      <c r="D5355" s="38" t="n">
        <f aca="false">Sens!$D$5295</f>
        <v>5.39125073772939</v>
      </c>
      <c r="E5355" s="38" t="n">
        <f aca="false">Sens!$E$5295</f>
        <v>2.42691120599613</v>
      </c>
      <c r="F5355" s="38" t="n">
        <f aca="false">Sens!$F$5295</f>
        <v>7.52148563094346</v>
      </c>
      <c r="G5355" s="38" t="n">
        <f aca="false">Sens!$G$5295</f>
        <v>9.94839683693959</v>
      </c>
      <c r="H5355" s="38" t="n">
        <f aca="false">Sens!$H$5295</f>
        <v>23.4804386990861</v>
      </c>
      <c r="I5355" s="38" t="n">
        <f aca="false">Sens!$I$5295</f>
        <v>30.9761745989143</v>
      </c>
      <c r="J5355" s="38" t="n">
        <f aca="false">Sens!$J$5295</f>
        <v>41.1930070746977</v>
      </c>
      <c r="K5355" s="38" t="n">
        <f aca="false">Sens!$K$5295</f>
        <v>45.9779211159428</v>
      </c>
      <c r="L5355" s="38" t="n">
        <f aca="false">Sens!$L$5295</f>
        <v>48.0352490919424</v>
      </c>
      <c r="M5355" s="38" t="n">
        <f aca="false">Sens!$M$5295</f>
        <v>47.4082976573265</v>
      </c>
      <c r="N5355" s="38" t="n">
        <f aca="false">Sens!$N$5295</f>
        <v>1.67921600037079</v>
      </c>
      <c r="O5355" s="38" t="n">
        <f aca="false">Sens!$O$5295</f>
        <v>3.71203473735861</v>
      </c>
    </row>
    <row r="5356" customFormat="false" ht="17.15" hidden="false" customHeight="false" outlineLevel="0" collapsed="false">
      <c r="A5356" s="0" t="s">
        <v>660</v>
      </c>
      <c r="B5356" s="0" t="s">
        <v>86</v>
      </c>
      <c r="C5356" s="38" t="n">
        <f aca="false">Sens!$C$5300</f>
        <v>38.1898211704631</v>
      </c>
      <c r="D5356" s="38" t="n">
        <f aca="false">Sens!$D$5300</f>
        <v>40.2147492622706</v>
      </c>
      <c r="E5356" s="38" t="n">
        <f aca="false">Sens!$E$5300</f>
        <v>28.3550887940039</v>
      </c>
      <c r="F5356" s="38" t="n">
        <f aca="false">Sens!$F$5300</f>
        <v>25.9529793149447</v>
      </c>
      <c r="G5356" s="38" t="n">
        <f aca="false">Sens!$G$5300</f>
        <v>54.3080681089486</v>
      </c>
      <c r="H5356" s="38" t="n">
        <f aca="false">Sens!$H$5300</f>
        <v>58.2264684589333</v>
      </c>
      <c r="I5356" s="38" t="n">
        <f aca="false">Sens!$I$5300</f>
        <v>64.6461353851744</v>
      </c>
      <c r="J5356" s="38" t="n">
        <f aca="false">Sens!$J$5300</f>
        <v>70.7957093610231</v>
      </c>
      <c r="K5356" s="38" t="n">
        <f aca="false">Sens!$K$5300</f>
        <v>76.4593661099049</v>
      </c>
      <c r="L5356" s="38" t="n">
        <f aca="false">Sens!$L$5300</f>
        <v>82.5761153986973</v>
      </c>
      <c r="M5356" s="38" t="n">
        <f aca="false">Sens!$M$5300</f>
        <v>89.1822046305931</v>
      </c>
      <c r="N5356" s="38" t="n">
        <f aca="false">Sens!$N$5300</f>
        <v>20.0277839996292</v>
      </c>
      <c r="O5356" s="38" t="n">
        <f aca="false">Sens!$O$5300</f>
        <v>20.1869652626414</v>
      </c>
    </row>
    <row r="5357" customFormat="false" ht="17.15" hidden="false" customHeight="false" outlineLevel="0" collapsed="false">
      <c r="A5357" s="1" t="s">
        <v>743</v>
      </c>
      <c r="B5357" s="8" t="s">
        <v>86</v>
      </c>
      <c r="C5357" s="38" t="n">
        <f aca="false">Q!$D$24</f>
        <v>39.834</v>
      </c>
      <c r="D5357" s="38" t="n">
        <f aca="false">Q!$E$24</f>
        <v>45.606</v>
      </c>
      <c r="E5357" s="38" t="n">
        <f aca="false">Q!$P$24</f>
        <v>30.782</v>
      </c>
      <c r="F5357" s="38" t="n">
        <f aca="false">Sens!$F$5355+Sens!$F$5356</f>
        <v>33.4744649458882</v>
      </c>
      <c r="G5357" s="38" t="n">
        <f aca="false">Sens!$G$5355+Sens!$G$5356</f>
        <v>64.2564649458882</v>
      </c>
      <c r="H5357" s="38" t="n">
        <f aca="false">Sens!$H$5355+Sens!$H$5356</f>
        <v>81.7069071580194</v>
      </c>
      <c r="I5357" s="38" t="n">
        <f aca="false">Sens!$I$5355+Sens!$I$5356</f>
        <v>95.6223099840887</v>
      </c>
      <c r="J5357" s="38" t="n">
        <f aca="false">Sens!$J$5355+Sens!$J$5356</f>
        <v>111.988716435721</v>
      </c>
      <c r="K5357" s="38" t="n">
        <f aca="false">Sens!$K$5355+Sens!$K$5356</f>
        <v>122.437287225848</v>
      </c>
      <c r="L5357" s="38" t="n">
        <f aca="false">Sens!$L$5355+Sens!$L$5356</f>
        <v>130.61136449064</v>
      </c>
      <c r="M5357" s="38" t="n">
        <f aca="false">Sens!$M$5355+Sens!$M$5356</f>
        <v>136.59050228792</v>
      </c>
      <c r="N5357" s="38" t="n">
        <f aca="false">Q!$N$24</f>
        <v>21.707</v>
      </c>
      <c r="O5357" s="38" t="n">
        <f aca="false">Q!$O$24</f>
        <v>23.899</v>
      </c>
    </row>
    <row r="5358" customFormat="false" ht="17.15" hidden="false" customHeight="false" outlineLevel="0" collapsed="false">
      <c r="A5358" s="5" t="s">
        <v>744</v>
      </c>
      <c r="B5358" s="0" t="s">
        <v>86</v>
      </c>
      <c r="C5358" s="38" t="n">
        <f aca="false">Q!$D$26</f>
        <v>0</v>
      </c>
      <c r="D5358" s="38" t="n">
        <f aca="false">Q!$E$26</f>
        <v>0</v>
      </c>
      <c r="E5358" s="38" t="n">
        <f aca="false">Q!$P$26</f>
        <v>0</v>
      </c>
      <c r="F5358" s="39" t="n">
        <v>0</v>
      </c>
      <c r="G5358" s="38" t="n">
        <f aca="false">Sens!$E$5358+Sens!$F$5358</f>
        <v>0</v>
      </c>
      <c r="H5358" s="39" t="n">
        <v>0</v>
      </c>
      <c r="I5358" s="39" t="n">
        <v>0</v>
      </c>
      <c r="J5358" s="39" t="n">
        <v>0</v>
      </c>
      <c r="K5358" s="39" t="n">
        <v>0</v>
      </c>
      <c r="L5358" s="39" t="n">
        <v>0</v>
      </c>
      <c r="M5358" s="39" t="n">
        <v>0</v>
      </c>
      <c r="N5358" s="38" t="n">
        <f aca="false">Q!$N$26</f>
        <v>0</v>
      </c>
      <c r="O5358" s="38" t="n">
        <f aca="false">Q!$O$26</f>
        <v>0</v>
      </c>
    </row>
    <row r="5359" customFormat="false" ht="15" hidden="false" customHeight="false" outlineLevel="0" collapsed="false">
      <c r="A5359" s="3" t="s">
        <v>541</v>
      </c>
      <c r="B5359" s="8" t="s">
        <v>86</v>
      </c>
      <c r="C5359" s="38" t="n">
        <f aca="false">Q!$D$25</f>
        <v>68.593</v>
      </c>
      <c r="D5359" s="38" t="n">
        <f aca="false">Q!$E$25</f>
        <v>79.975</v>
      </c>
      <c r="E5359" s="38" t="n">
        <f aca="false">Q!$P$25</f>
        <v>51.313</v>
      </c>
      <c r="F5359" s="38" t="n">
        <f aca="false">Sens!$F$5349+Sens!$F$5354+Sens!$F$5357+Sens!$F$5358</f>
        <v>56.3652566987294</v>
      </c>
      <c r="G5359" s="38" t="n">
        <f aca="false">Sens!$G$5349+Sens!$G$5354+Sens!$G$5357+Sens!$G$5358</f>
        <v>107.678256698729</v>
      </c>
      <c r="H5359" s="38" t="n">
        <f aca="false">Sens!$H$5349+Sens!$H$5354+Sens!$H$5357+Sens!$H$5358</f>
        <v>129.515456870266</v>
      </c>
      <c r="I5359" s="38" t="n">
        <f aca="false">Sens!$I$5349+Sens!$I$5354+Sens!$I$5357+Sens!$I$5358</f>
        <v>145.345387082626</v>
      </c>
      <c r="J5359" s="38" t="n">
        <f aca="false">Sens!$J$5349+Sens!$J$5354+Sens!$J$5357+Sens!$J$5358</f>
        <v>163.862141869716</v>
      </c>
      <c r="K5359" s="38" t="n">
        <f aca="false">Sens!$K$5349+Sens!$K$5354+Sens!$K$5357+Sens!$K$5358</f>
        <v>175.564332634303</v>
      </c>
      <c r="L5359" s="38" t="n">
        <f aca="false">Sens!$L$5349+Sens!$L$5354+Sens!$L$5357+Sens!$L$5358</f>
        <v>186.492086157384</v>
      </c>
      <c r="M5359" s="38" t="n">
        <f aca="false">Sens!$M$5349+Sens!$M$5354+Sens!$M$5357+Sens!$M$5358</f>
        <v>198.371665638452</v>
      </c>
      <c r="N5359" s="38" t="n">
        <f aca="false">Q!$N$25</f>
        <v>37.576</v>
      </c>
      <c r="O5359" s="38" t="n">
        <f aca="false">Q!$O$25</f>
        <v>42.399</v>
      </c>
    </row>
    <row r="5360" customFormat="false" ht="17.15" hidden="false" customHeight="false" outlineLevel="0" collapsed="false">
      <c r="A5360" s="24" t="s">
        <v>775</v>
      </c>
      <c r="B5360" s="25" t="s">
        <v>86</v>
      </c>
      <c r="C5360" s="41" t="n">
        <f aca="false">Sens!$C$5349+Sens!$C$5354+Sens!$C$5357+Sens!$C$5358-Sens!$C$5359</f>
        <v>0</v>
      </c>
      <c r="D5360" s="41" t="n">
        <f aca="false">Sens!$D$5349+Sens!$D$5354+Sens!$D$5357+Sens!$D$5358-Sens!$D$5359</f>
        <v>0</v>
      </c>
      <c r="E5360" s="41" t="n">
        <f aca="false">Sens!$E$5349+Sens!$E$5354+Sens!$E$5357+Sens!$E$5358-Sens!$E$5359</f>
        <v>0</v>
      </c>
      <c r="F5360" s="41" t="n">
        <f aca="false">Sens!$F$5349+Sens!$F$5354+Sens!$F$5357+Sens!$F$5358-Sens!$F$5359</f>
        <v>0</v>
      </c>
      <c r="G5360" s="41" t="n">
        <f aca="false">Sens!$G$5349+Sens!$G$5354+Sens!$G$5357+Sens!$G$5358-Sens!$G$5359</f>
        <v>0</v>
      </c>
      <c r="H5360" s="41" t="n">
        <f aca="false">Sens!$H$5349+Sens!$H$5354+Sens!$H$5357+Sens!$H$5358-Sens!$H$5359</f>
        <v>0</v>
      </c>
      <c r="I5360" s="41" t="n">
        <f aca="false">Sens!$I$5349+Sens!$I$5354+Sens!$I$5357+Sens!$I$5358-Sens!$I$5359</f>
        <v>0</v>
      </c>
      <c r="J5360" s="41" t="n">
        <f aca="false">Sens!$J$5349+Sens!$J$5354+Sens!$J$5357+Sens!$J$5358-Sens!$J$5359</f>
        <v>0</v>
      </c>
      <c r="K5360" s="41" t="n">
        <f aca="false">Sens!$K$5349+Sens!$K$5354+Sens!$K$5357+Sens!$K$5358-Sens!$K$5359</f>
        <v>0</v>
      </c>
      <c r="L5360" s="41" t="n">
        <f aca="false">Sens!$L$5349+Sens!$L$5354+Sens!$L$5357+Sens!$L$5358-Sens!$L$5359</f>
        <v>0</v>
      </c>
      <c r="M5360" s="41" t="n">
        <f aca="false">Sens!$M$5349+Sens!$M$5354+Sens!$M$5357+Sens!$M$5358-Sens!$M$5359</f>
        <v>0</v>
      </c>
      <c r="N5360" s="41" t="n">
        <f aca="false">Sens!$N$5349+Sens!$N$5354+Sens!$N$5357+Sens!$N$5358-Sens!$N$5359</f>
        <v>0</v>
      </c>
      <c r="O5360" s="41" t="n">
        <f aca="false">Sens!$O$5349+Sens!$O$5354+Sens!$O$5357+Sens!$O$5358-Sens!$O$5359</f>
        <v>0</v>
      </c>
    </row>
    <row r="5361" customFormat="false" ht="17.15" hidden="false" customHeight="false" outlineLevel="0" collapsed="false">
      <c r="A5361" s="5" t="s">
        <v>746</v>
      </c>
      <c r="B5361" s="0" t="s">
        <v>86</v>
      </c>
      <c r="C5361" s="38" t="n">
        <f aca="false">Sens!$C$5297</f>
        <v>0</v>
      </c>
      <c r="D5361" s="38" t="n">
        <f aca="false">Sens!$D$5297</f>
        <v>0</v>
      </c>
      <c r="E5361" s="38" t="n">
        <f aca="false">Sens!$E$5297</f>
        <v>0</v>
      </c>
      <c r="F5361" s="38" t="n">
        <f aca="false">Sens!$F$5297</f>
        <v>3.77122048175818</v>
      </c>
      <c r="G5361" s="38" t="n">
        <f aca="false">Sens!$G$5297</f>
        <v>3.77122048175818</v>
      </c>
      <c r="H5361" s="38" t="n">
        <f aca="false">Sens!$H$5297</f>
        <v>15.1635543609893</v>
      </c>
      <c r="I5361" s="38" t="n">
        <f aca="false">Sens!$I$5297</f>
        <v>25.5818843619889</v>
      </c>
      <c r="J5361" s="38" t="n">
        <f aca="false">Sens!$J$5297</f>
        <v>36.0465624179122</v>
      </c>
      <c r="K5361" s="38" t="n">
        <f aca="false">Sens!$K$5297</f>
        <v>44.9741164026038</v>
      </c>
      <c r="L5361" s="38" t="n">
        <f aca="false">Sens!$L$5297</f>
        <v>50.8413488057813</v>
      </c>
      <c r="M5361" s="38" t="n">
        <f aca="false">Sens!$M$5297</f>
        <v>53.6407214274315</v>
      </c>
      <c r="N5361" s="38" t="n">
        <f aca="false">Sens!$N$5297</f>
        <v>0</v>
      </c>
      <c r="O5361" s="38" t="n">
        <f aca="false">Sens!$O$5297</f>
        <v>0</v>
      </c>
      <c r="P5361" s="5" t="s">
        <v>747</v>
      </c>
    </row>
    <row r="5362" customFormat="false" ht="17.15" hidden="false" customHeight="false" outlineLevel="0" collapsed="false">
      <c r="A5362" s="5" t="s">
        <v>748</v>
      </c>
      <c r="B5362" s="0" t="s">
        <v>86</v>
      </c>
      <c r="C5362" s="38" t="n">
        <f aca="false">Sens!$C$5359+Sens!$C$5361</f>
        <v>68.593</v>
      </c>
      <c r="D5362" s="38" t="n">
        <f aca="false">Sens!$D$5359+Sens!$D$5361</f>
        <v>79.975</v>
      </c>
      <c r="E5362" s="38" t="n">
        <f aca="false">Sens!$E$5359+Sens!$E$5361</f>
        <v>51.313</v>
      </c>
      <c r="F5362" s="38" t="n">
        <f aca="false">Sens!$F$5359+Sens!$F$5361</f>
        <v>60.1364771804876</v>
      </c>
      <c r="G5362" s="38" t="n">
        <f aca="false">Sens!$G$5359+Sens!$G$5361</f>
        <v>111.449477180488</v>
      </c>
      <c r="H5362" s="38" t="n">
        <f aca="false">Sens!$H$5359+Sens!$H$5361</f>
        <v>144.679011231256</v>
      </c>
      <c r="I5362" s="38" t="n">
        <f aca="false">Sens!$I$5359+Sens!$I$5361</f>
        <v>170.927271444615</v>
      </c>
      <c r="J5362" s="38" t="n">
        <f aca="false">Sens!$J$5359+Sens!$J$5361</f>
        <v>199.908704287628</v>
      </c>
      <c r="K5362" s="38" t="n">
        <f aca="false">Sens!$K$5359+Sens!$K$5361</f>
        <v>220.538449036907</v>
      </c>
      <c r="L5362" s="38" t="n">
        <f aca="false">Sens!$L$5359+Sens!$L$5361</f>
        <v>237.333434963166</v>
      </c>
      <c r="M5362" s="38" t="n">
        <f aca="false">Sens!$M$5359+Sens!$M$5361</f>
        <v>252.012387065883</v>
      </c>
      <c r="N5362" s="38" t="n">
        <f aca="false">Sens!$N$5359+Sens!$N$5361</f>
        <v>37.576</v>
      </c>
      <c r="O5362" s="38" t="n">
        <f aca="false">Sens!$O$5359+Sens!$O$5361</f>
        <v>42.399</v>
      </c>
    </row>
    <row r="5363" customFormat="false" ht="17.15" hidden="false" customHeight="false" outlineLevel="0" collapsed="false">
      <c r="A5363" s="0" t="s">
        <v>749</v>
      </c>
      <c r="B5363" s="0" t="s">
        <v>52</v>
      </c>
      <c r="C5363" s="13" t="n">
        <f aca="false">Sens!$C$5349/Sens!$C$5334</f>
        <v>0.0644314665661928</v>
      </c>
      <c r="D5363" s="13" t="n">
        <f aca="false">Sens!$D$5349/Sens!$D$5334</f>
        <v>0.0694784250712518</v>
      </c>
      <c r="E5363" s="13" t="n">
        <f aca="false">Sens!$E$5349/Sens!$E$5334</f>
        <v>0.0789306463326071</v>
      </c>
      <c r="F5363" s="13" t="n">
        <f aca="false">Sens!$F$5349/Sens!$F$5334</f>
        <v>0.0802526339438384</v>
      </c>
      <c r="G5363" s="13" t="n">
        <f aca="false">Sens!$G$5349/Sens!$G$5334</f>
        <v>0.0796341940538369</v>
      </c>
      <c r="H5363" s="13" t="n">
        <f aca="false">Sens!$H$5349/Sens!$H$5334</f>
        <v>0.0798254462645258</v>
      </c>
      <c r="I5363" s="13" t="n">
        <f aca="false">Sens!$I$5349/Sens!$I$5334</f>
        <v>0.0771454543672196</v>
      </c>
      <c r="J5363" s="13" t="n">
        <f aca="false">Sens!$J$5349/Sens!$J$5334</f>
        <v>0.0756147693819656</v>
      </c>
      <c r="K5363" s="13" t="n">
        <f aca="false">Sens!$K$5349/Sens!$K$5334</f>
        <v>0.0739025926520816</v>
      </c>
      <c r="L5363" s="13" t="n">
        <f aca="false">Sens!$L$5349/Sens!$L$5334</f>
        <v>0.0730809201558074</v>
      </c>
      <c r="M5363" s="13" t="n">
        <f aca="false">Sens!$M$5349/Sens!$M$5334</f>
        <v>0.0751707027775199</v>
      </c>
      <c r="N5363" s="13" t="n">
        <f aca="false">Sens!$N$5349/Sens!$N$5334</f>
        <v>0.069228576611127</v>
      </c>
      <c r="O5363" s="13" t="n">
        <f aca="false">Sens!$O$5349/Sens!$O$5334</f>
        <v>0.069685022498393</v>
      </c>
    </row>
    <row r="5364" customFormat="false" ht="17.15" hidden="false" customHeight="false" outlineLevel="0" collapsed="false">
      <c r="A5364" s="0" t="s">
        <v>750</v>
      </c>
      <c r="B5364" s="0" t="s">
        <v>52</v>
      </c>
      <c r="C5364" s="13" t="n">
        <f aca="false">Sens!$C$5354/Sens!$C$5335</f>
        <v>0.026534925055631</v>
      </c>
      <c r="D5364" s="13" t="n">
        <f aca="false">Sens!$D$5354/Sens!$D$5335</f>
        <v>0.0293401855535103</v>
      </c>
      <c r="E5364" s="13" t="n">
        <f aca="false">Sens!$E$5354/Sens!$E$5335</f>
        <v>0.03831141902276</v>
      </c>
      <c r="F5364" s="13" t="n">
        <f aca="false">Sens!$F$5354/Sens!$F$5335</f>
        <v>0.0282118989524726</v>
      </c>
      <c r="G5364" s="13" t="n">
        <f aca="false">Sens!$G$5354/Sens!$G$5335</f>
        <v>0.0328019468674976</v>
      </c>
      <c r="H5364" s="13" t="n">
        <f aca="false">Sens!$H$5354/Sens!$H$5335</f>
        <v>0.0309879507899839</v>
      </c>
      <c r="I5364" s="13" t="n">
        <f aca="false">Sens!$I$5354/Sens!$I$5335</f>
        <v>0.0262795332043765</v>
      </c>
      <c r="J5364" s="13" t="n">
        <f aca="false">Sens!$J$5354/Sens!$J$5335</f>
        <v>0.0226574435353346</v>
      </c>
      <c r="K5364" s="13" t="n">
        <f aca="false">Sens!$K$5354/Sens!$K$5335</f>
        <v>0.0187492205871101</v>
      </c>
      <c r="L5364" s="13" t="n">
        <f aca="false">Sens!$L$5354/Sens!$L$5335</f>
        <v>0.018273690180732</v>
      </c>
      <c r="M5364" s="13" t="n">
        <f aca="false">Sens!$M$5354/Sens!$M$5335</f>
        <v>0.0207176218272716</v>
      </c>
      <c r="N5364" s="13" t="n">
        <f aca="false">Sens!$N$5354/Sens!$N$5335</f>
        <v>0.0357315650169337</v>
      </c>
      <c r="O5364" s="13" t="n">
        <f aca="false">Sens!$O$5354/Sens!$O$5335</f>
        <v>0.0244378956559703</v>
      </c>
    </row>
    <row r="5365" customFormat="false" ht="17.15" hidden="false" customHeight="false" outlineLevel="0" collapsed="false">
      <c r="A5365" s="14" t="s">
        <v>751</v>
      </c>
      <c r="B5365" s="14" t="s">
        <v>52</v>
      </c>
      <c r="C5365" s="17" t="n">
        <f aca="false">Sens!$C$5357/Sens!$C$5336</f>
        <v>0.370355907620217</v>
      </c>
      <c r="D5365" s="17" t="n">
        <f aca="false">Sens!$D$5357/Sens!$D$5336</f>
        <v>0.35429015342785</v>
      </c>
      <c r="E5365" s="17" t="n">
        <f aca="false">Sens!$E$5357/Sens!$E$5336</f>
        <v>0.385647527531039</v>
      </c>
      <c r="F5365" s="17" t="n">
        <f aca="false">Sens!$F$5357/Sens!$F$5336</f>
        <v>0.385949613469105</v>
      </c>
      <c r="G5365" s="17" t="n">
        <f aca="false">Sens!$G$5357/Sens!$G$5336</f>
        <v>0.385804840448779</v>
      </c>
      <c r="H5365" s="17" t="n">
        <f aca="false">Sens!$H$5357/Sens!$H$5336</f>
        <v>0.369408675360557</v>
      </c>
      <c r="I5365" s="17" t="n">
        <f aca="false">Sens!$I$5357/Sens!$I$5336</f>
        <v>0.34117504540738</v>
      </c>
      <c r="J5365" s="17" t="n">
        <f aca="false">Sens!$J$5357/Sens!$J$5336</f>
        <v>0.330544285732563</v>
      </c>
      <c r="K5365" s="17" t="n">
        <f aca="false">Sens!$K$5357/Sens!$K$5336</f>
        <v>0.314033796990635</v>
      </c>
      <c r="L5365" s="17" t="n">
        <f aca="false">Sens!$L$5357/Sens!$L$5336</f>
        <v>0.303690371867633</v>
      </c>
      <c r="M5365" s="17" t="n">
        <f aca="false">Sens!$M$5357/Sens!$M$5336</f>
        <v>0.297287296590884</v>
      </c>
      <c r="N5365" s="17" t="n">
        <f aca="false">Sens!$N$5357/Sens!$N$5336</f>
        <v>0.360941137346192</v>
      </c>
      <c r="O5365" s="17" t="n">
        <f aca="false">Sens!$O$5357/Sens!$O$5336</f>
        <v>0.348458117664212</v>
      </c>
    </row>
    <row r="5366" customFormat="false" ht="17.15" hidden="false" customHeight="false" outlineLevel="0" collapsed="false">
      <c r="A5366" s="0" t="s">
        <v>752</v>
      </c>
      <c r="B5366" s="0" t="s">
        <v>52</v>
      </c>
      <c r="C5366" s="13" t="n">
        <f aca="false">Sens!$C$5355/Sens!$C$5337</f>
        <v>0.708390794789371</v>
      </c>
      <c r="D5366" s="13" t="n">
        <f aca="false">Sens!$D$5355/Sens!$D$5337</f>
        <v>0.619415573115729</v>
      </c>
      <c r="E5366" s="13" t="n">
        <f aca="false">Sens!$E$5355/Sens!$E$5337</f>
        <v>0.285171627189009</v>
      </c>
      <c r="F5366" s="13" t="n">
        <f aca="false">Sens!$F$5355/Sens!$F$5337</f>
        <v>0.502657732812366</v>
      </c>
      <c r="G5366" s="13" t="n">
        <f aca="false">Sens!$G$5355/Sens!$G$5337</f>
        <v>0.423808778611812</v>
      </c>
      <c r="H5366" s="13" t="n">
        <f aca="false">Sens!$H$5355/Sens!$H$5337</f>
        <v>0.390261631739809</v>
      </c>
      <c r="I5366" s="13" t="n">
        <f aca="false">Sens!$I$5355/Sens!$I$5337</f>
        <v>0.305172864264572</v>
      </c>
      <c r="J5366" s="13" t="n">
        <f aca="false">Sens!$J$5355/Sens!$J$5337</f>
        <v>0.288011814789856</v>
      </c>
      <c r="K5366" s="13" t="n">
        <f aca="false">Sens!$K$5355/Sens!$K$5337</f>
        <v>0.25765427518774</v>
      </c>
      <c r="L5366" s="13" t="n">
        <f aca="false">Sens!$L$5355/Sens!$L$5337</f>
        <v>0.238118778012374</v>
      </c>
      <c r="M5366" s="13" t="n">
        <f aca="false">Sens!$M$5355/Sens!$M$5337</f>
        <v>0.222746255757109</v>
      </c>
      <c r="N5366" s="13" t="n">
        <f aca="false">Sens!$N$5355/Sens!$N$5337</f>
        <v>0.551227795793364</v>
      </c>
      <c r="O5366" s="13" t="n">
        <f aca="false">Sens!$O$5355/Sens!$O$5337</f>
        <v>0.656132068597002</v>
      </c>
    </row>
    <row r="5367" customFormat="false" ht="15" hidden="false" customHeight="false" outlineLevel="0" collapsed="false">
      <c r="A5367" s="5" t="s">
        <v>753</v>
      </c>
      <c r="B5367" s="0" t="s">
        <v>52</v>
      </c>
      <c r="C5367" s="13" t="n">
        <f aca="false">Sens!$C$5359/Sens!$C$5339</f>
        <v>0.107519448742004</v>
      </c>
      <c r="D5367" s="13" t="n">
        <f aca="false">Sens!$D$5359/Sens!$D$5339</f>
        <v>0.111552967957552</v>
      </c>
      <c r="E5367" s="13" t="n">
        <f aca="false">Sens!$E$5359/Sens!$E$5339</f>
        <v>0.13428328426562</v>
      </c>
      <c r="F5367" s="13" t="n">
        <f aca="false">Sens!$F$5359/Sens!$F$5339</f>
        <v>0.129343087287827</v>
      </c>
      <c r="G5367" s="13" t="n">
        <f aca="false">Sens!$G$5359/Sens!$G$5339</f>
        <v>0.131651143259596</v>
      </c>
      <c r="H5367" s="13" t="n">
        <f aca="false">Sens!$H$5359/Sens!$H$5339</f>
        <v>0.137449034763893</v>
      </c>
      <c r="I5367" s="13" t="n">
        <f aca="false">Sens!$I$5359/Sens!$I$5339</f>
        <v>0.13598895915033</v>
      </c>
      <c r="J5367" s="13" t="n">
        <f aca="false">Sens!$J$5359/Sens!$J$5339</f>
        <v>0.137709769017663</v>
      </c>
      <c r="K5367" s="13" t="n">
        <f aca="false">Sens!$K$5359/Sens!$K$5339</f>
        <v>0.135459809314784</v>
      </c>
      <c r="L5367" s="13" t="n">
        <f aca="false">Sens!$L$5359/Sens!$L$5339</f>
        <v>0.133669430082102</v>
      </c>
      <c r="M5367" s="13" t="n">
        <f aca="false">Sens!$M$5359/Sens!$M$5339</f>
        <v>0.133349766772341</v>
      </c>
      <c r="N5367" s="13" t="n">
        <f aca="false">Sens!$N$5359/Sens!$N$5339</f>
        <v>0.116201614873411</v>
      </c>
      <c r="O5367" s="13" t="n">
        <f aca="false">Sens!$O$5359/Sens!$O$5339</f>
        <v>0.107733353660861</v>
      </c>
    </row>
    <row r="5368" customFormat="false" ht="17.15" hidden="false" customHeight="false" outlineLevel="0" collapsed="false">
      <c r="A5368" s="1" t="s">
        <v>754</v>
      </c>
    </row>
    <row r="5369" customFormat="false" ht="17.15" hidden="false" customHeight="false" outlineLevel="0" collapsed="false">
      <c r="A5369" s="5" t="s">
        <v>755</v>
      </c>
      <c r="B5369" s="0" t="s">
        <v>52</v>
      </c>
      <c r="D5369" s="28" t="n">
        <f aca="false">(Q!$E$29+Q!$E$30-(1-ext_sh)*Sens!$D$5291)/Sens!$D$5242</f>
        <v>0.0341105596409988</v>
      </c>
    </row>
    <row r="5370" customFormat="false" ht="17.15" hidden="false" customHeight="false" outlineLevel="0" collapsed="false">
      <c r="A5370" s="0" t="s">
        <v>545</v>
      </c>
      <c r="B5370" s="0" t="s">
        <v>86</v>
      </c>
      <c r="C5370" s="38" t="n">
        <f aca="false">Q!$D$29</f>
        <v>14.285</v>
      </c>
      <c r="D5370" s="38" t="n">
        <f aca="false">Q!$E$29</f>
        <v>15.503</v>
      </c>
      <c r="E5370" s="38" t="n">
        <f aca="false">Q!$P$29</f>
        <v>8.78</v>
      </c>
      <c r="F5370" s="38" t="n">
        <f aca="false">(Sens!$D$5369*Sens!$F$5242+(1-ext_sh)*Sens!$F$5291)*Sens!$F$5243</f>
        <v>9.30317620449232</v>
      </c>
      <c r="G5370" s="38" t="n">
        <f aca="false">Sens!$E$5370+Sens!$F$5370</f>
        <v>18.0831762044923</v>
      </c>
      <c r="H5370" s="38" t="n">
        <f aca="false">(Sens!$D$5369*Sens!$H$5242+(1-ext_sh)*Sens!$H$5291)*Sens!$H$5243</f>
        <v>22.1297245338482</v>
      </c>
      <c r="I5370" s="38" t="n">
        <f aca="false">(Sens!$D$5369*Sens!$I$5242+(1-ext_sh)*Sens!$I$5291)*Sens!$I$5243</f>
        <v>28.409695984391</v>
      </c>
      <c r="J5370" s="38" t="n">
        <f aca="false">(Sens!$D$5369*Sens!$J$5242+(1-ext_sh)*Sens!$J$5291)*Sens!$J$5243</f>
        <v>34.1085606174579</v>
      </c>
      <c r="K5370" s="38" t="n">
        <f aca="false">(Sens!$D$5369*Sens!$K$5242+(1-ext_sh)*Sens!$K$5291)*Sens!$K$5243</f>
        <v>39.7218983009068</v>
      </c>
      <c r="L5370" s="38" t="n">
        <f aca="false">(Sens!$D$5369*Sens!$L$5242+(1-ext_sh)*Sens!$L$5291)*Sens!$L$5243</f>
        <v>44.1680279486684</v>
      </c>
      <c r="M5370" s="38" t="n">
        <f aca="false">(Sens!$D$5369*Sens!$M$5242+(1-ext_sh)*Sens!$M$5291)*Sens!$M$5243</f>
        <v>47.4413073313286</v>
      </c>
      <c r="N5370" s="38" t="n">
        <f aca="false">Q!$N$29</f>
        <v>7.272</v>
      </c>
      <c r="O5370" s="38" t="n">
        <f aca="false">Q!$O$29</f>
        <v>8.231</v>
      </c>
    </row>
    <row r="5371" customFormat="false" ht="17.15" hidden="false" customHeight="false" outlineLevel="0" collapsed="false">
      <c r="A5371" s="0" t="s">
        <v>547</v>
      </c>
      <c r="B5371" s="0" t="s">
        <v>86</v>
      </c>
      <c r="C5371" s="38" t="n">
        <f aca="false">Q!$D$30</f>
        <v>4.462</v>
      </c>
      <c r="D5371" s="38" t="n">
        <f aca="false">Q!$E$30</f>
        <v>4.907</v>
      </c>
      <c r="E5371" s="38" t="n">
        <f aca="false">Q!$P$30</f>
        <v>2.57</v>
      </c>
      <c r="F5371" s="38" t="n">
        <f aca="false">(Sens!$D$5369*Sens!$F$5242+(1-ext_sh)*Sens!$F$5291)*(1-Sens!$F$5243)</f>
        <v>3.6526976809753</v>
      </c>
      <c r="G5371" s="38" t="n">
        <f aca="false">Sens!$E$5371+Sens!$F$5371</f>
        <v>6.2226976809753</v>
      </c>
      <c r="H5371" s="38" t="n">
        <f aca="false">(Sens!$D$5369*Sens!$H$5242+(1-ext_sh)*Sens!$H$5291)*(1-Sens!$H$5243)</f>
        <v>8.4764774248495</v>
      </c>
      <c r="I5371" s="38" t="n">
        <f aca="false">(Sens!$D$5369*Sens!$I$5242+(1-ext_sh)*Sens!$I$5291)*(1-Sens!$I$5243)</f>
        <v>10.881931507561</v>
      </c>
      <c r="J5371" s="38" t="n">
        <f aca="false">(Sens!$D$5369*Sens!$J$5242+(1-ext_sh)*Sens!$J$5291)*(1-Sens!$J$5243)</f>
        <v>13.0648008575874</v>
      </c>
      <c r="K5371" s="38" t="n">
        <f aca="false">(Sens!$D$5369*Sens!$K$5242+(1-ext_sh)*Sens!$K$5291)*(1-Sens!$K$5243)</f>
        <v>15.2149103214008</v>
      </c>
      <c r="L5371" s="38" t="n">
        <f aca="false">(Sens!$D$5369*Sens!$L$5242+(1-ext_sh)*Sens!$L$5291)*(1-Sens!$L$5243)</f>
        <v>16.9179372854085</v>
      </c>
      <c r="M5371" s="38" t="n">
        <f aca="false">(Sens!$D$5369*Sens!$M$5242+(1-ext_sh)*Sens!$M$5291)*(1-Sens!$M$5243)</f>
        <v>18.1717205735785</v>
      </c>
      <c r="N5371" s="38" t="n">
        <f aca="false">Q!$N$30</f>
        <v>2.316</v>
      </c>
      <c r="O5371" s="38" t="n">
        <f aca="false">Q!$O$30</f>
        <v>2.591</v>
      </c>
    </row>
    <row r="5372" customFormat="false" ht="17.15" hidden="false" customHeight="false" outlineLevel="0" collapsed="false">
      <c r="A5372" s="0" t="s">
        <v>548</v>
      </c>
      <c r="B5372" s="0" t="s">
        <v>86</v>
      </c>
      <c r="C5372" s="38" t="n">
        <f aca="false">Sens!$C$5303</f>
        <v>13.32</v>
      </c>
      <c r="D5372" s="38" t="n">
        <f aca="false">Sens!$D$5303</f>
        <v>21.45</v>
      </c>
      <c r="E5372" s="38" t="n">
        <f aca="false">Sens!$E$5303</f>
        <v>15.353</v>
      </c>
      <c r="F5372" s="38" t="n">
        <f aca="false">Sens!$F$5303</f>
        <v>16.1969869840094</v>
      </c>
      <c r="G5372" s="38" t="n">
        <f aca="false">Sens!$G$5303</f>
        <v>31.5499869840094</v>
      </c>
      <c r="H5372" s="38" t="n">
        <f aca="false">Sens!$H$5303</f>
        <v>50.9556213609176</v>
      </c>
      <c r="I5372" s="38" t="n">
        <f aca="false">Sens!$I$5303</f>
        <v>79.464581248252</v>
      </c>
      <c r="J5372" s="38" t="n">
        <f aca="false">Sens!$J$5303</f>
        <v>105.296127931746</v>
      </c>
      <c r="K5372" s="38" t="n">
        <f aca="false">Sens!$K$5303</f>
        <v>131.454694001511</v>
      </c>
      <c r="L5372" s="38" t="n">
        <f aca="false">Sens!$L$5303</f>
        <v>150.840456981405</v>
      </c>
      <c r="M5372" s="38" t="n">
        <f aca="false">Sens!$M$5303</f>
        <v>163.399454192999</v>
      </c>
      <c r="N5372" s="38" t="n">
        <f aca="false">Sens!$N$5303</f>
        <v>9.234</v>
      </c>
      <c r="O5372" s="38" t="n">
        <f aca="false">Sens!$O$5303</f>
        <v>12.216</v>
      </c>
    </row>
    <row r="5373" customFormat="false" ht="17.15" hidden="false" customHeight="false" outlineLevel="0" collapsed="false">
      <c r="A5373" s="5" t="s">
        <v>756</v>
      </c>
      <c r="B5373" s="0" t="s">
        <v>86</v>
      </c>
      <c r="C5373" s="38" t="n">
        <f aca="false">Sens!$C$5370+Sens!$C$5371+Sens!$C$5372</f>
        <v>32.067</v>
      </c>
      <c r="D5373" s="38" t="n">
        <f aca="false">Sens!$D$5370+Sens!$D$5371+Sens!$D$5372</f>
        <v>41.86</v>
      </c>
      <c r="E5373" s="38" t="n">
        <f aca="false">Sens!$E$5370+Sens!$E$5371+Sens!$E$5372</f>
        <v>26.703</v>
      </c>
      <c r="F5373" s="38" t="n">
        <f aca="false">Sens!$F$5370+Sens!$F$5371+Sens!$F$5372</f>
        <v>29.152860869477</v>
      </c>
      <c r="G5373" s="38" t="n">
        <f aca="false">Sens!$G$5370+Sens!$G$5371+Sens!$G$5372</f>
        <v>55.855860869477</v>
      </c>
      <c r="H5373" s="38" t="n">
        <f aca="false">Sens!$H$5370+Sens!$H$5371+Sens!$H$5372</f>
        <v>81.5618233196153</v>
      </c>
      <c r="I5373" s="38" t="n">
        <f aca="false">Sens!$I$5370+Sens!$I$5371+Sens!$I$5372</f>
        <v>118.756208740204</v>
      </c>
      <c r="J5373" s="38" t="n">
        <f aca="false">Sens!$J$5370+Sens!$J$5371+Sens!$J$5372</f>
        <v>152.469489406791</v>
      </c>
      <c r="K5373" s="38" t="n">
        <f aca="false">Sens!$K$5370+Sens!$K$5371+Sens!$K$5372</f>
        <v>186.391502623819</v>
      </c>
      <c r="L5373" s="38" t="n">
        <f aca="false">Sens!$L$5370+Sens!$L$5371+Sens!$L$5372</f>
        <v>211.926422215482</v>
      </c>
      <c r="M5373" s="38" t="n">
        <f aca="false">Sens!$M$5370+Sens!$M$5371+Sens!$M$5372</f>
        <v>229.012482097906</v>
      </c>
      <c r="N5373" s="38" t="n">
        <f aca="false">Sens!$N$5370+Sens!$N$5371+Sens!$N$5372</f>
        <v>18.822</v>
      </c>
      <c r="O5373" s="38" t="n">
        <f aca="false">Sens!$O$5370+Sens!$O$5371+Sens!$O$5372</f>
        <v>23.038</v>
      </c>
    </row>
    <row r="5374" customFormat="false" ht="17.15" hidden="false" customHeight="false" outlineLevel="0" collapsed="false">
      <c r="A5374" s="0" t="s">
        <v>757</v>
      </c>
      <c r="B5374" s="0" t="s">
        <v>86</v>
      </c>
      <c r="C5374" s="38" t="n">
        <f aca="false">Sens!$C$5345+Sens!$C$5350</f>
        <v>28.107</v>
      </c>
      <c r="D5374" s="38" t="n">
        <f aca="false">Sens!$D$5345+Sens!$D$5350</f>
        <v>34.3175</v>
      </c>
      <c r="E5374" s="38" t="n">
        <f aca="false">Sens!$E$5345+Sens!$E$5350</f>
        <v>18.526</v>
      </c>
      <c r="F5374" s="38" t="n">
        <f aca="false">Sens!$F$5345+Sens!$F$5350</f>
        <v>23.0786109972074</v>
      </c>
      <c r="G5374" s="38" t="n">
        <f aca="false">Sens!$G$5345+Sens!$G$5350</f>
        <v>41.6046109972074</v>
      </c>
      <c r="H5374" s="38" t="n">
        <f aca="false">Sens!$H$5345+Sens!$H$5350</f>
        <v>49.9484611939488</v>
      </c>
      <c r="I5374" s="38" t="n">
        <f aca="false">Sens!$I$5345+Sens!$I$5350</f>
        <v>58.2915555477481</v>
      </c>
      <c r="J5374" s="38" t="n">
        <f aca="false">Sens!$J$5345+Sens!$J$5350</f>
        <v>66.0744709709759</v>
      </c>
      <c r="K5374" s="38" t="n">
        <f aca="false">Sens!$K$5345+Sens!$K$5350</f>
        <v>72.6819180680735</v>
      </c>
      <c r="L5374" s="38" t="n">
        <f aca="false">Sens!$L$5345+Sens!$L$5350</f>
        <v>79.9501098748808</v>
      </c>
      <c r="M5374" s="38" t="n">
        <f aca="false">Sens!$M$5345+Sens!$M$5350</f>
        <v>87.9451208623689</v>
      </c>
      <c r="N5374" s="38" t="n">
        <f aca="false">Sens!$N$5345+Sens!$N$5350</f>
        <v>14.8075</v>
      </c>
      <c r="O5374" s="38" t="n">
        <f aca="false">Sens!$O$5345+Sens!$O$5350</f>
        <v>19.51</v>
      </c>
    </row>
    <row r="5375" customFormat="false" ht="17.15" hidden="false" customHeight="false" outlineLevel="0" collapsed="false">
      <c r="A5375" s="0" t="s">
        <v>758</v>
      </c>
      <c r="B5375" s="0" t="s">
        <v>86</v>
      </c>
      <c r="C5375" s="38" t="n">
        <f aca="false">Sens!$C$5349+Sens!$C$5354+Sens!$C$5370+Sens!$C$5371-Sens!$C$5374</f>
        <v>19.399</v>
      </c>
      <c r="D5375" s="38" t="n">
        <f aca="false">Sens!$D$5349+Sens!$D$5354+Sens!$D$5370+Sens!$D$5371-Sens!$D$5374</f>
        <v>20.4615</v>
      </c>
      <c r="E5375" s="38" t="n">
        <f aca="false">Sens!$E$5349+Sens!$E$5354+Sens!$E$5370+Sens!$E$5371-Sens!$E$5374</f>
        <v>13.355</v>
      </c>
      <c r="F5375" s="38" t="n">
        <f aca="false">Sens!$F$5349+Sens!$F$5354+Sens!$F$5370+Sens!$F$5371-Sens!$F$5374</f>
        <v>12.7680546411015</v>
      </c>
      <c r="G5375" s="38" t="n">
        <f aca="false">Sens!$G$5349+Sens!$G$5354+Sens!$G$5370+Sens!$G$5371-Sens!$G$5374</f>
        <v>26.1230546411015</v>
      </c>
      <c r="H5375" s="38" t="n">
        <f aca="false">Sens!$H$5349+Sens!$H$5354+Sens!$H$5370+Sens!$H$5371-Sens!$H$5374</f>
        <v>28.4662904769959</v>
      </c>
      <c r="I5375" s="38" t="n">
        <f aca="false">Sens!$I$5349+Sens!$I$5354+Sens!$I$5370+Sens!$I$5371-Sens!$I$5374</f>
        <v>30.7231490427408</v>
      </c>
      <c r="J5375" s="38" t="n">
        <f aca="false">Sens!$J$5349+Sens!$J$5354+Sens!$J$5370+Sens!$J$5371-Sens!$J$5374</f>
        <v>32.9723159380642</v>
      </c>
      <c r="K5375" s="38" t="n">
        <f aca="false">Sens!$K$5349+Sens!$K$5354+Sens!$K$5370+Sens!$K$5371-Sens!$K$5374</f>
        <v>35.3819359626894</v>
      </c>
      <c r="L5375" s="38" t="n">
        <f aca="false">Sens!$L$5349+Sens!$L$5354+Sens!$L$5370+Sens!$L$5371-Sens!$L$5374</f>
        <v>37.0165770259405</v>
      </c>
      <c r="M5375" s="38" t="n">
        <f aca="false">Sens!$M$5349+Sens!$M$5354+Sens!$M$5370+Sens!$M$5371-Sens!$M$5374</f>
        <v>39.4490703930704</v>
      </c>
      <c r="N5375" s="38" t="n">
        <f aca="false">Sens!$N$5349+Sens!$N$5354+Sens!$N$5370+Sens!$N$5371-Sens!$N$5374</f>
        <v>10.6495</v>
      </c>
      <c r="O5375" s="38" t="n">
        <f aca="false">Sens!$O$5349+Sens!$O$5354+Sens!$O$5370+Sens!$O$5371-Sens!$O$5374</f>
        <v>9.81200000000001</v>
      </c>
    </row>
    <row r="5376" customFormat="false" ht="17.15" hidden="false" customHeight="false" outlineLevel="0" collapsed="false">
      <c r="A5376" s="0" t="s">
        <v>759</v>
      </c>
      <c r="B5376" s="0" t="s">
        <v>86</v>
      </c>
      <c r="C5376" s="38" t="n">
        <f aca="false">Sens!$C$5356+Sens!$C$5372-ext_sh*Sens!$C$5291</f>
        <v>51.3470500115664</v>
      </c>
      <c r="D5376" s="38" t="n">
        <f aca="false">Sens!$D$5356+Sens!$D$5372-ext_sh*Sens!$D$5291</f>
        <v>60.2799375433739</v>
      </c>
      <c r="E5376" s="38" t="n">
        <f aca="false">Sens!$E$5356+Sens!$E$5372-ext_sh*Sens!$E$5291</f>
        <v>39.5095167090767</v>
      </c>
      <c r="F5376" s="38" t="n">
        <f aca="false">Sens!$F$5356+Sens!$F$5372-ext_sh*Sens!$F$5291</f>
        <v>37.951394214027</v>
      </c>
      <c r="G5376" s="38" t="n">
        <f aca="false">Sens!$G$5356+Sens!$G$5372-ext_sh*Sens!$G$5291</f>
        <v>77.4609109231037</v>
      </c>
      <c r="H5376" s="38" t="n">
        <f aca="false">Sens!$H$5356+Sens!$H$5372-ext_sh*Sens!$H$5291</f>
        <v>85.1453558128916</v>
      </c>
      <c r="I5376" s="38" t="n">
        <f aca="false">Sens!$I$5356+Sens!$I$5372-ext_sh*Sens!$I$5291</f>
        <v>94.532921967974</v>
      </c>
      <c r="J5376" s="38" t="n">
        <f aca="false">Sens!$J$5356+Sens!$J$5372-ext_sh*Sens!$J$5291</f>
        <v>103.525527532583</v>
      </c>
      <c r="K5376" s="38" t="n">
        <f aca="false">Sens!$K$5356+Sens!$K$5372-ext_sh*Sens!$K$5291</f>
        <v>111.80756973519</v>
      </c>
      <c r="L5376" s="38" t="n">
        <f aca="false">Sens!$L$5356+Sens!$L$5372-ext_sh*Sens!$L$5291</f>
        <v>120.752175314005</v>
      </c>
      <c r="M5376" s="38" t="n">
        <f aca="false">Sens!$M$5356+Sens!$M$5372-ext_sh*Sens!$M$5291</f>
        <v>130.412349339125</v>
      </c>
      <c r="N5376" s="38" t="n">
        <f aca="false">Sens!$N$5356+Sens!$N$5372-ext_sh*Sens!$N$5291</f>
        <v>28.5693781401809</v>
      </c>
      <c r="O5376" s="38" t="n">
        <f aca="false">Sens!$O$5356+Sens!$O$5372-ext_sh*Sens!$O$5291</f>
        <v>31.7105594031931</v>
      </c>
    </row>
    <row r="5377" customFormat="false" ht="17.15" hidden="false" customHeight="false" outlineLevel="0" collapsed="false">
      <c r="A5377" s="0" t="s">
        <v>760</v>
      </c>
      <c r="B5377" s="0" t="s">
        <v>86</v>
      </c>
      <c r="C5377" s="38" t="n">
        <f aca="false">Sens!$C$5294</f>
        <v>1.80694998843362</v>
      </c>
      <c r="D5377" s="38" t="n">
        <f aca="false">Sens!$D$5294</f>
        <v>6.77606245662607</v>
      </c>
      <c r="E5377" s="38" t="n">
        <f aca="false">Sens!$E$5294</f>
        <v>6.62548329092326</v>
      </c>
      <c r="F5377" s="38" t="n">
        <f aca="false">Sens!$F$5294</f>
        <v>11.7200577158706</v>
      </c>
      <c r="G5377" s="38" t="n">
        <f aca="false">Sens!$G$5294</f>
        <v>18.3455410067939</v>
      </c>
      <c r="H5377" s="38" t="n">
        <f aca="false">Sens!$H$5294</f>
        <v>47.5171727060453</v>
      </c>
      <c r="I5377" s="38" t="n">
        <f aca="false">Sens!$I$5294</f>
        <v>80.5539692643667</v>
      </c>
      <c r="J5377" s="38" t="n">
        <f aca="false">Sens!$J$5294</f>
        <v>113.759316834883</v>
      </c>
      <c r="K5377" s="38" t="n">
        <f aca="false">Sens!$K$5294</f>
        <v>142.084411492169</v>
      </c>
      <c r="L5377" s="38" t="n">
        <f aca="false">Sens!$L$5294</f>
        <v>160.69964615804</v>
      </c>
      <c r="M5377" s="38" t="n">
        <f aca="false">Sens!$M$5294</f>
        <v>169.577607141793</v>
      </c>
      <c r="N5377" s="38" t="n">
        <f aca="false">Sens!$N$5294</f>
        <v>2.37162185981912</v>
      </c>
      <c r="O5377" s="38" t="n">
        <f aca="false">Sens!$O$5294</f>
        <v>4.40444059680694</v>
      </c>
    </row>
    <row r="5378" customFormat="false" ht="17.15" hidden="false" customHeight="false" outlineLevel="0" collapsed="false">
      <c r="A5378" s="0" t="s">
        <v>761</v>
      </c>
      <c r="B5378" s="0" t="s">
        <v>86</v>
      </c>
      <c r="C5378" s="38" t="n">
        <f aca="false">Sens!$C$5359+Sens!$C$5373</f>
        <v>100.66</v>
      </c>
      <c r="D5378" s="38" t="n">
        <f aca="false">Sens!$D$5359+Sens!$D$5373</f>
        <v>121.835</v>
      </c>
      <c r="E5378" s="38" t="n">
        <f aca="false">Sens!$E$5359+Sens!$E$5373</f>
        <v>78.016</v>
      </c>
      <c r="F5378" s="38" t="n">
        <f aca="false">Sens!$F$5359+Sens!$F$5373</f>
        <v>85.5181175682064</v>
      </c>
      <c r="G5378" s="38" t="n">
        <f aca="false">Sens!$G$5359+Sens!$G$5373</f>
        <v>163.534117568206</v>
      </c>
      <c r="H5378" s="38" t="n">
        <f aca="false">Sens!$H$5359+Sens!$H$5373</f>
        <v>211.077280189882</v>
      </c>
      <c r="I5378" s="38" t="n">
        <f aca="false">Sens!$I$5359+Sens!$I$5373</f>
        <v>264.10159582283</v>
      </c>
      <c r="J5378" s="38" t="n">
        <f aca="false">Sens!$J$5359+Sens!$J$5373</f>
        <v>316.331631276507</v>
      </c>
      <c r="K5378" s="38" t="n">
        <f aca="false">Sens!$K$5359+Sens!$K$5373</f>
        <v>361.955835258122</v>
      </c>
      <c r="L5378" s="38" t="n">
        <f aca="false">Sens!$L$5359+Sens!$L$5373</f>
        <v>398.418508372866</v>
      </c>
      <c r="M5378" s="38" t="n">
        <f aca="false">Sens!$M$5359+Sens!$M$5373</f>
        <v>427.384147736358</v>
      </c>
      <c r="N5378" s="38" t="n">
        <f aca="false">Sens!$N$5359+Sens!$N$5373</f>
        <v>56.398</v>
      </c>
      <c r="O5378" s="38" t="n">
        <f aca="false">Sens!$O$5359+Sens!$O$5373</f>
        <v>65.437</v>
      </c>
    </row>
    <row r="5379" customFormat="false" ht="17.15" hidden="false" customHeight="false" outlineLevel="0" collapsed="false">
      <c r="A5379" s="1" t="s">
        <v>762</v>
      </c>
    </row>
    <row r="5380" customFormat="false" ht="15" hidden="false" customHeight="false" outlineLevel="0" collapsed="false">
      <c r="A5380" s="5" t="s">
        <v>551</v>
      </c>
      <c r="B5380" s="0" t="s">
        <v>86</v>
      </c>
      <c r="C5380" s="38" t="n">
        <f aca="false">Q!$D$34</f>
        <v>2.406</v>
      </c>
      <c r="D5380" s="38" t="n">
        <f aca="false">Q!$E$34</f>
        <v>2.274</v>
      </c>
      <c r="E5380" s="38" t="n">
        <f aca="false">Q!$P$34</f>
        <v>2.114</v>
      </c>
      <c r="F5380" s="38" t="n">
        <f aca="false">Sens!$F$5418</f>
        <v>3.24888962733561</v>
      </c>
      <c r="G5380" s="38" t="n">
        <f aca="false">Sens!$E$5380+Sens!$F$5380</f>
        <v>5.36288962733561</v>
      </c>
      <c r="H5380" s="38" t="n">
        <f aca="false">Sens!$H$5418</f>
        <v>7.42354172302123</v>
      </c>
      <c r="I5380" s="38" t="n">
        <f aca="false">Sens!$I$5418</f>
        <v>7.84418947693382</v>
      </c>
      <c r="J5380" s="38" t="n">
        <f aca="false">Sens!$J$5418</f>
        <v>8.79561318891235</v>
      </c>
      <c r="K5380" s="38" t="n">
        <f aca="false">Sens!$K$5418</f>
        <v>8.79561318891235</v>
      </c>
      <c r="L5380" s="38" t="n">
        <f aca="false">Sens!$L$5418</f>
        <v>8.79561318891235</v>
      </c>
      <c r="M5380" s="38" t="n">
        <f aca="false">Sens!$M$5418</f>
        <v>8.79561318891235</v>
      </c>
      <c r="N5380" s="38" t="n">
        <f aca="false">Q!$N$34</f>
        <v>1.057</v>
      </c>
      <c r="O5380" s="38" t="n">
        <f aca="false">Q!$O$34</f>
        <v>1.217</v>
      </c>
    </row>
    <row r="5381" customFormat="false" ht="15" hidden="false" customHeight="false" outlineLevel="0" collapsed="false">
      <c r="A5381" s="5" t="s">
        <v>763</v>
      </c>
      <c r="B5381" s="0" t="s">
        <v>86</v>
      </c>
      <c r="F5381" s="38" t="n">
        <f aca="false">Sens!$F$5419</f>
        <v>2.59</v>
      </c>
      <c r="H5381" s="38" t="n">
        <f aca="false">Sens!$H$5419</f>
        <v>4.1153774832261</v>
      </c>
      <c r="I5381" s="38" t="n">
        <f aca="false">Sens!$I$5419</f>
        <v>2.10589651022864</v>
      </c>
      <c r="J5381" s="38" t="n">
        <f aca="false">Sens!$J$5419</f>
        <v>2.10589651022864</v>
      </c>
      <c r="K5381" s="38" t="n">
        <f aca="false">Sens!$K$5419</f>
        <v>3.172800358404</v>
      </c>
      <c r="L5381" s="38" t="n">
        <f aca="false">Sens!$L$5419</f>
        <v>8.31037272592208</v>
      </c>
      <c r="M5381" s="38" t="n">
        <f aca="false">Sens!$M$5419</f>
        <v>15.9256588704093</v>
      </c>
    </row>
    <row r="5382" customFormat="false" ht="17.15" hidden="false" customHeight="false" outlineLevel="0" collapsed="false">
      <c r="A5382" s="5" t="s">
        <v>764</v>
      </c>
      <c r="B5382" s="0" t="s">
        <v>86</v>
      </c>
      <c r="C5382" s="38" t="n">
        <f aca="false">Q!$D$39</f>
        <v>2.427</v>
      </c>
      <c r="D5382" s="38" t="n">
        <f aca="false">Q!$E$39</f>
        <v>19.61</v>
      </c>
      <c r="E5382" s="38" t="n">
        <f aca="false">Q!$P$39</f>
        <v>71.492</v>
      </c>
      <c r="F5382" s="39" t="n">
        <v>0</v>
      </c>
      <c r="G5382" s="38" t="n">
        <f aca="false">Sens!$E$5382+Sens!$F$5382</f>
        <v>71.492</v>
      </c>
      <c r="H5382" s="39" t="n">
        <v>0</v>
      </c>
      <c r="I5382" s="39" t="n">
        <v>0</v>
      </c>
      <c r="J5382" s="39" t="n">
        <v>0</v>
      </c>
      <c r="K5382" s="39" t="n">
        <v>0</v>
      </c>
      <c r="L5382" s="39" t="n">
        <v>0</v>
      </c>
      <c r="M5382" s="39" t="n">
        <v>0</v>
      </c>
      <c r="N5382" s="38" t="n">
        <f aca="false">Q!$N$39</f>
        <v>6.017</v>
      </c>
      <c r="O5382" s="38" t="n">
        <f aca="false">Q!$O$39</f>
        <v>13.593</v>
      </c>
      <c r="P5382" s="5" t="s">
        <v>765</v>
      </c>
    </row>
    <row r="5383" customFormat="false" ht="15" hidden="false" customHeight="false" outlineLevel="0" collapsed="false">
      <c r="A5383" s="5" t="s">
        <v>554</v>
      </c>
      <c r="B5383" s="0" t="s">
        <v>86</v>
      </c>
      <c r="C5383" s="38" t="n">
        <f aca="false">Q!$D$36</f>
        <v>68.614</v>
      </c>
      <c r="D5383" s="38" t="n">
        <f aca="false">Q!$E$36</f>
        <v>97.311</v>
      </c>
      <c r="E5383" s="38" t="n">
        <f aca="false">Q!$P$36</f>
        <v>120.691</v>
      </c>
      <c r="F5383" s="38" t="n">
        <f aca="false">Sens!$F$5359-Sens!$F$5380+Sens!$F$5381+Sens!$F$5382</f>
        <v>55.7063670713938</v>
      </c>
      <c r="G5383" s="38" t="n">
        <f aca="false">Sens!$E$5383+Sens!$F$5383</f>
        <v>176.397367071394</v>
      </c>
      <c r="H5383" s="38" t="n">
        <f aca="false">Sens!$H$5359-Sens!$H$5380+Sens!$H$5381+Sens!$H$5382</f>
        <v>126.207292630471</v>
      </c>
      <c r="I5383" s="38" t="n">
        <f aca="false">Sens!$I$5359-Sens!$I$5380+Sens!$I$5381+Sens!$I$5382</f>
        <v>139.60709411592</v>
      </c>
      <c r="J5383" s="38" t="n">
        <f aca="false">Sens!$J$5359-Sens!$J$5380+Sens!$J$5381+Sens!$J$5382</f>
        <v>157.172425191032</v>
      </c>
      <c r="K5383" s="38" t="n">
        <f aca="false">Sens!$K$5359-Sens!$K$5380+Sens!$K$5381+Sens!$K$5382</f>
        <v>169.941519803795</v>
      </c>
      <c r="L5383" s="38" t="n">
        <f aca="false">Sens!$L$5359-Sens!$L$5380+Sens!$L$5381+Sens!$L$5382</f>
        <v>186.006845694394</v>
      </c>
      <c r="M5383" s="38" t="n">
        <f aca="false">Sens!$M$5359-Sens!$M$5380+Sens!$M$5381+Sens!$M$5382</f>
        <v>205.501711319949</v>
      </c>
      <c r="N5383" s="38" t="n">
        <f aca="false">Q!$N$36</f>
        <v>42.536</v>
      </c>
      <c r="O5383" s="38" t="n">
        <f aca="false">Q!$O$36</f>
        <v>54.775</v>
      </c>
    </row>
    <row r="5384" customFormat="false" ht="15" hidden="false" customHeight="false" outlineLevel="0" collapsed="false">
      <c r="A5384" s="5" t="s">
        <v>555</v>
      </c>
      <c r="B5384" s="0" t="s">
        <v>86</v>
      </c>
      <c r="C5384" s="38" t="n">
        <f aca="false">Q!$D$37</f>
        <v>9.265</v>
      </c>
      <c r="D5384" s="38" t="n">
        <f aca="false">Q!$E$37</f>
        <v>19.087</v>
      </c>
      <c r="E5384" s="38" t="n">
        <f aca="false">Q!$P$37</f>
        <v>27.759</v>
      </c>
      <c r="F5384" s="38" t="n">
        <f aca="false">Sens!$F$5383*tax</f>
        <v>9.669763357865</v>
      </c>
      <c r="G5384" s="38" t="n">
        <f aca="false">Sens!$E$5384+Sens!$F$5384</f>
        <v>37.428763357865</v>
      </c>
      <c r="H5384" s="38" t="n">
        <f aca="false">Sens!$H$5383*tax</f>
        <v>21.9076331473816</v>
      </c>
      <c r="I5384" s="38" t="n">
        <f aca="false">Sens!$I$5383*tax</f>
        <v>24.2336313450491</v>
      </c>
      <c r="J5384" s="38" t="n">
        <f aca="false">Sens!$J$5383*tax</f>
        <v>27.2827010246639</v>
      </c>
      <c r="K5384" s="38" t="n">
        <f aca="false">Sens!$K$5383*tax</f>
        <v>29.4992182683994</v>
      </c>
      <c r="L5384" s="38" t="n">
        <f aca="false">Sens!$L$5383*tax</f>
        <v>32.2879102581316</v>
      </c>
      <c r="M5384" s="38" t="n">
        <f aca="false">Sens!$M$5383*tax</f>
        <v>35.671917279284</v>
      </c>
      <c r="N5384" s="38" t="n">
        <f aca="false">Q!$N$37</f>
        <v>7.231</v>
      </c>
      <c r="O5384" s="38" t="n">
        <f aca="false">Q!$O$37</f>
        <v>11.856</v>
      </c>
    </row>
    <row r="5385" customFormat="false" ht="15" hidden="false" customHeight="false" outlineLevel="0" collapsed="false">
      <c r="A5385" s="3" t="s">
        <v>556</v>
      </c>
      <c r="B5385" s="8" t="s">
        <v>86</v>
      </c>
      <c r="C5385" s="38" t="n">
        <f aca="false">Q!$D$38</f>
        <v>59.248</v>
      </c>
      <c r="D5385" s="38" t="n">
        <f aca="false">Q!$E$38</f>
        <v>77.67</v>
      </c>
      <c r="E5385" s="38" t="n">
        <f aca="false">Q!$P$38</f>
        <v>92.902</v>
      </c>
      <c r="F5385" s="38" t="n">
        <f aca="false">Sens!$F$5383-Sens!$F$5384</f>
        <v>46.0366037135288</v>
      </c>
      <c r="G5385" s="38" t="n">
        <f aca="false">Sens!$E$5385+Sens!$F$5385</f>
        <v>138.938603713529</v>
      </c>
      <c r="H5385" s="38" t="n">
        <f aca="false">Sens!$H$5383-Sens!$H$5384</f>
        <v>104.29965948309</v>
      </c>
      <c r="I5385" s="38" t="n">
        <f aca="false">Sens!$I$5383-Sens!$I$5384</f>
        <v>115.373462770871</v>
      </c>
      <c r="J5385" s="38" t="n">
        <f aca="false">Sens!$J$5383-Sens!$J$5384</f>
        <v>129.889724166368</v>
      </c>
      <c r="K5385" s="38" t="n">
        <f aca="false">Sens!$K$5383-Sens!$K$5384</f>
        <v>140.442301535395</v>
      </c>
      <c r="L5385" s="38" t="n">
        <f aca="false">Sens!$L$5383-Sens!$L$5384</f>
        <v>153.718935436262</v>
      </c>
      <c r="M5385" s="38" t="n">
        <f aca="false">Sens!$M$5383-Sens!$M$5384</f>
        <v>169.829794040665</v>
      </c>
      <c r="N5385" s="38" t="n">
        <f aca="false">Q!$N$38</f>
        <v>35.291</v>
      </c>
      <c r="O5385" s="38" t="n">
        <f aca="false">Q!$O$38</f>
        <v>42.379</v>
      </c>
    </row>
    <row r="5386" customFormat="false" ht="17.15" hidden="false" customHeight="false" outlineLevel="0" collapsed="false">
      <c r="A5386" s="5" t="s">
        <v>559</v>
      </c>
      <c r="B5386" s="5" t="s">
        <v>33</v>
      </c>
      <c r="C5386" s="22" t="n">
        <f aca="false">Q!$D$41</f>
        <v>10.721</v>
      </c>
      <c r="D5386" s="22" t="n">
        <f aca="false">Q!$E$41</f>
        <v>10.827</v>
      </c>
      <c r="E5386" s="22" t="n">
        <f aca="false">(Q!$L$41+Q!$M$41)/2</f>
        <v>10.8885</v>
      </c>
      <c r="F5386" s="22" t="n">
        <f aca="false">Sens!$G$5386</f>
        <v>10.924806</v>
      </c>
      <c r="G5386" s="22" t="n">
        <f aca="false">Q!$M$41*(1+sh_g*0.25)</f>
        <v>10.924806</v>
      </c>
      <c r="H5386" s="22" t="n">
        <f aca="false">Sens!$G$5386*(1+sh_g)</f>
        <v>11.012204448</v>
      </c>
      <c r="I5386" s="22" t="n">
        <f aca="false">Sens!$H$5386*(1+sh_g)</f>
        <v>11.100302083584</v>
      </c>
      <c r="J5386" s="22" t="n">
        <f aca="false">Sens!$I$5386*(1+sh_g)</f>
        <v>11.1891045002527</v>
      </c>
      <c r="K5386" s="22" t="n">
        <f aca="false">Sens!$J$5386*(1+sh_g)</f>
        <v>11.2786173362547</v>
      </c>
      <c r="L5386" s="22" t="n">
        <f aca="false">Sens!$K$5386*(1+sh_g)</f>
        <v>11.3688462749447</v>
      </c>
      <c r="M5386" s="22" t="n">
        <f aca="false">Sens!$L$5386*(1+sh_g)</f>
        <v>11.4597970451443</v>
      </c>
      <c r="P5386" s="5" t="s">
        <v>766</v>
      </c>
    </row>
    <row r="5387" customFormat="false" ht="17.15" hidden="false" customHeight="false" outlineLevel="0" collapsed="false">
      <c r="A5387" s="5" t="s">
        <v>767</v>
      </c>
      <c r="B5387" s="0" t="s">
        <v>86</v>
      </c>
      <c r="C5387" s="38" t="n">
        <f aca="false">Sens!$C$5385+Sens!$C$5361*(1-tax)</f>
        <v>59.248</v>
      </c>
      <c r="D5387" s="38" t="n">
        <f aca="false">Sens!$D$5385+Sens!$D$5361*(1-tax)</f>
        <v>77.67</v>
      </c>
      <c r="E5387" s="38" t="n">
        <f aca="false">Sens!$E$5385+Sens!$E$5361*(1-tax)</f>
        <v>92.902</v>
      </c>
      <c r="F5387" s="38" t="n">
        <f aca="false">Sens!$F$5385+Sens!$F$5361*(1-tax)</f>
        <v>49.1531986731775</v>
      </c>
      <c r="G5387" s="38" t="n">
        <f aca="false">Sens!$G$5385+Sens!$G$5361*(1-tax)</f>
        <v>142.055198673178</v>
      </c>
      <c r="H5387" s="38" t="n">
        <f aca="false">Sens!$H$5385+Sens!$H$5361*(1-tax)</f>
        <v>116.831055438434</v>
      </c>
      <c r="I5387" s="38" t="n">
        <f aca="false">Sens!$I$5385+Sens!$I$5361*(1-tax)</f>
        <v>136.514727845811</v>
      </c>
      <c r="J5387" s="38" t="n">
        <f aca="false">Sens!$J$5385+Sens!$J$5361*(1-tax)</f>
        <v>159.679161110652</v>
      </c>
      <c r="K5387" s="38" t="n">
        <f aca="false">Sens!$K$5385+Sens!$K$5361*(1-tax)</f>
        <v>177.609607232054</v>
      </c>
      <c r="L5387" s="38" t="n">
        <f aca="false">Sens!$L$5385+Sens!$L$5361*(1-tax)</f>
        <v>195.735012776818</v>
      </c>
      <c r="M5387" s="38" t="n">
        <f aca="false">Sens!$M$5385+Sens!$M$5361*(1-tax)</f>
        <v>214.159316231505</v>
      </c>
      <c r="N5387" s="38" t="n">
        <f aca="false">Sens!$N$5385+Sens!$N$5361*(1-tax)</f>
        <v>35.291</v>
      </c>
      <c r="O5387" s="38" t="n">
        <f aca="false">Sens!$O$5385+Sens!$O$5361*(1-tax)</f>
        <v>42.379</v>
      </c>
    </row>
    <row r="5388" customFormat="false" ht="17.15" hidden="false" customHeight="false" outlineLevel="0" collapsed="false">
      <c r="A5388" s="43" t="s">
        <v>768</v>
      </c>
      <c r="B5388" s="14" t="s">
        <v>27</v>
      </c>
      <c r="C5388" s="44" t="n">
        <f aca="false">Sens!$C$5387/Sens!$C$5386</f>
        <v>5.52635015390355</v>
      </c>
      <c r="D5388" s="44" t="n">
        <f aca="false">Sens!$D$5387/Sens!$D$5386</f>
        <v>7.1737323358271</v>
      </c>
      <c r="E5388" s="44" t="n">
        <f aca="false">Sens!$E$5387/Sens!$E$5386</f>
        <v>8.53212104513937</v>
      </c>
      <c r="F5388" s="14"/>
      <c r="G5388" s="44" t="n">
        <f aca="false">Sens!$G$5387/Sens!$G$5386</f>
        <v>13.0029950804781</v>
      </c>
      <c r="H5388" s="44" t="n">
        <f aca="false">Sens!$H$5387/Sens!$H$5386</f>
        <v>10.6092341447268</v>
      </c>
      <c r="I5388" s="44" t="n">
        <f aca="false">Sens!$I$5387/Sens!$I$5386</f>
        <v>12.298289435537</v>
      </c>
      <c r="J5388" s="44" t="n">
        <f aca="false">Sens!$J$5387/Sens!$J$5386</f>
        <v>14.2709509154236</v>
      </c>
      <c r="K5388" s="44" t="n">
        <f aca="false">Sens!$K$5387/Sens!$K$5386</f>
        <v>15.7474628260624</v>
      </c>
      <c r="L5388" s="44" t="n">
        <f aca="false">Sens!$L$5387/Sens!$L$5386</f>
        <v>17.2167877059072</v>
      </c>
      <c r="M5388" s="44" t="n">
        <f aca="false">Sens!$M$5387/Sens!$M$5386</f>
        <v>18.6878803688978</v>
      </c>
      <c r="N5388" s="14"/>
      <c r="O5388" s="14"/>
    </row>
    <row r="5389" customFormat="false" ht="17.15" hidden="false" customHeight="false" outlineLevel="0" collapsed="false">
      <c r="A5389" s="0" t="s">
        <v>769</v>
      </c>
      <c r="B5389" s="0" t="s">
        <v>27</v>
      </c>
      <c r="C5389" s="30" t="n">
        <f aca="false">Sens!$C$5385/Sens!$C$5386</f>
        <v>5.52635015390355</v>
      </c>
      <c r="D5389" s="30" t="n">
        <f aca="false">Sens!$D$5385/Sens!$D$5386</f>
        <v>7.1737323358271</v>
      </c>
      <c r="E5389" s="30" t="n">
        <f aca="false">Sens!$E$5385/Sens!$E$5386</f>
        <v>8.53212104513937</v>
      </c>
      <c r="G5389" s="30" t="n">
        <f aca="false">Sens!$G$5385/Sens!$G$5386</f>
        <v>12.7177181648378</v>
      </c>
      <c r="H5389" s="30" t="n">
        <f aca="false">Sens!$H$5385/Sens!$H$5386</f>
        <v>9.47127888658407</v>
      </c>
      <c r="I5389" s="30" t="n">
        <f aca="false">Sens!$I$5385/Sens!$I$5386</f>
        <v>10.3937227925981</v>
      </c>
      <c r="J5389" s="30" t="n">
        <f aca="false">Sens!$J$5385/Sens!$J$5386</f>
        <v>11.6085897815536</v>
      </c>
      <c r="K5389" s="30" t="n">
        <f aca="false">Sens!$K$5385/Sens!$K$5386</f>
        <v>12.4520849806606</v>
      </c>
      <c r="L5389" s="30" t="n">
        <f aca="false">Sens!$L$5385/Sens!$L$5386</f>
        <v>13.5210672849924</v>
      </c>
      <c r="M5389" s="30" t="n">
        <f aca="false">Sens!$M$5385/Sens!$M$5386</f>
        <v>14.8196162088773</v>
      </c>
    </row>
    <row r="5390" customFormat="false" ht="17.15" hidden="false" customHeight="false" outlineLevel="0" collapsed="false">
      <c r="A5390" s="0" t="s">
        <v>770</v>
      </c>
      <c r="B5390" s="0" t="s">
        <v>27</v>
      </c>
      <c r="C5390" s="30" t="n">
        <f aca="false">(Sens!$C$5385-Sens!$C$5382*(1-tax))/Sens!$C$5386</f>
        <v>5.33926775917445</v>
      </c>
      <c r="D5390" s="30" t="n">
        <f aca="false">(Sens!$D$5385-Sens!$D$5382*(1-tax))/Sens!$D$5386</f>
        <v>5.67691812755503</v>
      </c>
      <c r="E5390" s="30" t="n">
        <f aca="false">(Sens!$E$5385-Sens!$E$5382*(1-tax))/Sens!$E$5386</f>
        <v>3.10602057006846</v>
      </c>
      <c r="G5390" s="30" t="n">
        <f aca="false">(Sens!$G$5385-Sens!$G$5382*(1-tax))/Sens!$G$5386</f>
        <v>7.30965004694081</v>
      </c>
      <c r="H5390" s="30" t="n">
        <f aca="false">(Sens!$H$5385-Sens!$H$5382*(1-tax))/Sens!$H$5386</f>
        <v>9.47127888658407</v>
      </c>
      <c r="I5390" s="30" t="n">
        <f aca="false">(Sens!$I$5385-Sens!$I$5382*(1-tax))/Sens!$I$5386</f>
        <v>10.3937227925981</v>
      </c>
      <c r="J5390" s="30" t="n">
        <f aca="false">(Sens!$J$5385-Sens!$J$5382*(1-tax))/Sens!$J$5386</f>
        <v>11.6085897815536</v>
      </c>
      <c r="K5390" s="30" t="n">
        <f aca="false">(Sens!$K$5385-Sens!$K$5382*(1-tax))/Sens!$K$5386</f>
        <v>12.4520849806606</v>
      </c>
      <c r="L5390" s="30" t="n">
        <f aca="false">(Sens!$L$5385-Sens!$L$5382*(1-tax))/Sens!$L$5386</f>
        <v>13.5210672849924</v>
      </c>
      <c r="M5390" s="30" t="n">
        <f aca="false">(Sens!$M$5385-Sens!$M$5382*(1-tax))/Sens!$M$5386</f>
        <v>14.8196162088773</v>
      </c>
      <c r="P5390" s="5" t="s">
        <v>771</v>
      </c>
    </row>
    <row r="5391" customFormat="false" ht="17.15" hidden="false" customHeight="false" outlineLevel="0" collapsed="false">
      <c r="A5391" s="0" t="s">
        <v>772</v>
      </c>
      <c r="B5391" s="0" t="s">
        <v>52</v>
      </c>
      <c r="H5391" s="13" t="n">
        <f aca="false">Sens!$H$5388/Sens!$G$5388-1</f>
        <v>-0.184093043251635</v>
      </c>
      <c r="I5391" s="13" t="n">
        <f aca="false">Sens!$I$5388/Sens!$H$5388-1</f>
        <v>0.159206147000695</v>
      </c>
      <c r="J5391" s="13" t="n">
        <f aca="false">Sens!$J$5388/Sens!$I$5388-1</f>
        <v>0.160401289157047</v>
      </c>
      <c r="K5391" s="13" t="n">
        <f aca="false">Sens!$K$5388/Sens!$J$5388-1</f>
        <v>0.103462755873053</v>
      </c>
      <c r="L5391" s="13" t="n">
        <f aca="false">Sens!$L$5388/Sens!$K$5388-1</f>
        <v>0.093305499182575</v>
      </c>
      <c r="M5391" s="13" t="n">
        <f aca="false">Sens!$M$5388/Sens!$L$5388-1</f>
        <v>0.0854452461236912</v>
      </c>
    </row>
    <row r="5394" customFormat="false" ht="19.4" hidden="false" customHeight="false" outlineLevel="0" collapsed="false">
      <c r="A5394" s="31" t="s">
        <v>1260</v>
      </c>
    </row>
    <row r="5395" customFormat="false" ht="17.15" hidden="false" customHeight="false" outlineLevel="0" collapsed="false">
      <c r="A5395" s="6" t="s">
        <v>16</v>
      </c>
      <c r="B5395" s="6" t="s">
        <v>17</v>
      </c>
      <c r="C5395" s="20" t="s">
        <v>504</v>
      </c>
      <c r="D5395" s="20" t="s">
        <v>505</v>
      </c>
      <c r="E5395" s="20" t="s">
        <v>587</v>
      </c>
      <c r="F5395" s="20" t="s">
        <v>588</v>
      </c>
      <c r="G5395" s="20" t="s">
        <v>589</v>
      </c>
      <c r="H5395" s="20" t="s">
        <v>590</v>
      </c>
      <c r="I5395" s="20" t="s">
        <v>591</v>
      </c>
      <c r="J5395" s="20" t="s">
        <v>592</v>
      </c>
      <c r="K5395" s="20" t="s">
        <v>593</v>
      </c>
      <c r="L5395" s="20" t="s">
        <v>594</v>
      </c>
      <c r="M5395" s="20" t="s">
        <v>595</v>
      </c>
      <c r="N5395" s="20" t="s">
        <v>596</v>
      </c>
      <c r="O5395" s="20" t="s">
        <v>597</v>
      </c>
      <c r="P5395" s="6" t="s">
        <v>23</v>
      </c>
      <c r="R5395" s="20" t="n">
        <v>2023</v>
      </c>
      <c r="S5395" s="20" t="n">
        <v>2024</v>
      </c>
      <c r="T5395" s="20" t="n">
        <v>2025</v>
      </c>
      <c r="U5395" s="20" t="n">
        <v>2026</v>
      </c>
      <c r="V5395" s="20" t="n">
        <v>2027</v>
      </c>
      <c r="W5395" s="20" t="n">
        <v>2028</v>
      </c>
      <c r="X5395" s="20" t="n">
        <v>2029</v>
      </c>
      <c r="Y5395" s="20" t="n">
        <v>2030</v>
      </c>
      <c r="Z5395" s="20" t="n">
        <v>2031</v>
      </c>
      <c r="AA5395" s="20" t="n">
        <v>2032</v>
      </c>
    </row>
    <row r="5396" customFormat="false" ht="15" hidden="false" customHeight="false" outlineLevel="0" collapsed="false">
      <c r="A5396" s="5" t="s">
        <v>556</v>
      </c>
      <c r="B5396" s="0" t="s">
        <v>86</v>
      </c>
      <c r="C5396" s="38" t="n">
        <f aca="false">Sens!$C$5385</f>
        <v>59.248</v>
      </c>
      <c r="D5396" s="38" t="n">
        <f aca="false">Sens!$D$5385</f>
        <v>77.67</v>
      </c>
      <c r="E5396" s="38" t="n">
        <f aca="false">Sens!$E$5385</f>
        <v>92.902</v>
      </c>
      <c r="F5396" s="38" t="n">
        <f aca="false">Sens!$F$5385</f>
        <v>46.0366037135288</v>
      </c>
      <c r="G5396" s="38" t="n">
        <f aca="false">Sens!$G$5385</f>
        <v>138.938603713529</v>
      </c>
      <c r="H5396" s="38" t="n">
        <f aca="false">Sens!$H$5385</f>
        <v>104.29965948309</v>
      </c>
      <c r="I5396" s="38" t="n">
        <f aca="false">Sens!$I$5385</f>
        <v>115.373462770871</v>
      </c>
      <c r="J5396" s="38" t="n">
        <f aca="false">Sens!$J$5385</f>
        <v>129.889724166368</v>
      </c>
      <c r="K5396" s="38" t="n">
        <f aca="false">Sens!$K$5385</f>
        <v>140.442301535395</v>
      </c>
      <c r="L5396" s="38" t="n">
        <f aca="false">Sens!$L$5385</f>
        <v>153.718935436262</v>
      </c>
      <c r="M5396" s="38" t="n">
        <f aca="false">Sens!$M$5385</f>
        <v>169.829794040665</v>
      </c>
    </row>
    <row r="5397" customFormat="false" ht="17.15" hidden="false" customHeight="false" outlineLevel="0" collapsed="false">
      <c r="A5397" s="5" t="s">
        <v>795</v>
      </c>
      <c r="B5397" s="0" t="s">
        <v>86</v>
      </c>
      <c r="C5397" s="38" t="n">
        <f aca="false">Sens!$C$5373</f>
        <v>32.067</v>
      </c>
      <c r="D5397" s="38" t="n">
        <f aca="false">Sens!$D$5373</f>
        <v>41.86</v>
      </c>
      <c r="E5397" s="38" t="n">
        <f aca="false">Sens!$E$5373</f>
        <v>26.703</v>
      </c>
      <c r="F5397" s="38" t="n">
        <f aca="false">Sens!$F$5373</f>
        <v>29.152860869477</v>
      </c>
      <c r="G5397" s="38" t="n">
        <f aca="false">Sens!$G$5373</f>
        <v>55.855860869477</v>
      </c>
      <c r="H5397" s="38" t="n">
        <f aca="false">Sens!$H$5373</f>
        <v>81.5618233196153</v>
      </c>
      <c r="I5397" s="38" t="n">
        <f aca="false">Sens!$I$5373</f>
        <v>118.756208740204</v>
      </c>
      <c r="J5397" s="38" t="n">
        <f aca="false">Sens!$J$5373</f>
        <v>152.469489406791</v>
      </c>
      <c r="K5397" s="38" t="n">
        <f aca="false">Sens!$K$5373</f>
        <v>186.391502623819</v>
      </c>
      <c r="L5397" s="38" t="n">
        <f aca="false">Sens!$L$5373</f>
        <v>211.926422215482</v>
      </c>
      <c r="M5397" s="38" t="n">
        <f aca="false">Sens!$M$5373</f>
        <v>229.012482097906</v>
      </c>
    </row>
    <row r="5398" customFormat="false" ht="15" hidden="false" customHeight="false" outlineLevel="0" collapsed="false">
      <c r="A5398" s="5" t="s">
        <v>796</v>
      </c>
      <c r="B5398" s="0" t="s">
        <v>86</v>
      </c>
      <c r="C5398" s="38" t="n">
        <f aca="false">Q!$D$48</f>
        <v>22.011</v>
      </c>
      <c r="D5398" s="38" t="n">
        <f aca="false">Q!$E$48</f>
        <v>19.467</v>
      </c>
      <c r="E5398" s="38" t="n">
        <f aca="false">Q!$P$48</f>
        <v>10.07</v>
      </c>
      <c r="F5398" s="38" t="n">
        <f aca="false">sbc_r*Sens!$F$5315</f>
        <v>10.8507035798037</v>
      </c>
      <c r="G5398" s="38" t="n">
        <f aca="false">Sens!$E$5398+Sens!$F$5398</f>
        <v>20.9207035798037</v>
      </c>
      <c r="H5398" s="38" t="n">
        <f aca="false">sbc_r*Sens!$H$5315</f>
        <v>23.46224366345</v>
      </c>
      <c r="I5398" s="38" t="n">
        <f aca="false">sbc_r*Sens!$I$5315</f>
        <v>26.6125957111676</v>
      </c>
      <c r="J5398" s="38" t="n">
        <f aca="false">sbc_r*Sens!$J$5315</f>
        <v>29.6280801413323</v>
      </c>
      <c r="K5398" s="38" t="n">
        <f aca="false">sbc_r*Sens!$K$5315</f>
        <v>32.2712258901105</v>
      </c>
      <c r="L5398" s="38" t="n">
        <f aca="false">sbc_r*Sens!$L$5315</f>
        <v>34.7390505016737</v>
      </c>
      <c r="M5398" s="38" t="n">
        <f aca="false">sbc_r*Sens!$M$5315</f>
        <v>37.0405146906692</v>
      </c>
    </row>
    <row r="5399" customFormat="false" ht="17.15" hidden="false" customHeight="false" outlineLevel="0" collapsed="false">
      <c r="A5399" s="5" t="s">
        <v>797</v>
      </c>
      <c r="B5399" s="0" t="s">
        <v>86</v>
      </c>
      <c r="C5399" s="38" t="n">
        <f aca="false">Q!$D$44-Sens!$C$5396-Sens!$C$5397-Sens!$C$5398</f>
        <v>2.551</v>
      </c>
      <c r="D5399" s="38" t="n">
        <f aca="false">Q!$E$44-Sens!$D$5396-Sens!$D$5397-Sens!$D$5398</f>
        <v>0.51700000000001</v>
      </c>
      <c r="E5399" s="38" t="n">
        <f aca="false">Q!$P$44-Sens!$E$5396-Sens!$E$5397-Sens!$E$5398</f>
        <v>-58.256</v>
      </c>
      <c r="F5399" s="38" t="n">
        <f aca="false">oth_r*Sens!$F$5315</f>
        <v>5.22265251035878</v>
      </c>
      <c r="G5399" s="38" t="n">
        <f aca="false">Sens!$E$5399+Sens!$F$5399</f>
        <v>-53.0333474896412</v>
      </c>
      <c r="H5399" s="38" t="n">
        <f aca="false">oth_r*Sens!$H$5315</f>
        <v>11.2928295263397</v>
      </c>
      <c r="I5399" s="38" t="n">
        <f aca="false">oth_r*Sens!$I$5315</f>
        <v>12.8091546115766</v>
      </c>
      <c r="J5399" s="38" t="n">
        <f aca="false">oth_r*Sens!$J$5315</f>
        <v>14.2605653162668</v>
      </c>
      <c r="K5399" s="38" t="n">
        <f aca="false">oth_r*Sens!$K$5315</f>
        <v>15.5327622460396</v>
      </c>
      <c r="L5399" s="38" t="n">
        <f aca="false">oth_r*Sens!$L$5315</f>
        <v>16.720573737517</v>
      </c>
      <c r="M5399" s="38" t="n">
        <f aca="false">oth_r*Sens!$M$5315</f>
        <v>17.8283127551536</v>
      </c>
      <c r="P5399" s="8" t="s">
        <v>798</v>
      </c>
    </row>
    <row r="5400" customFormat="false" ht="15" hidden="false" customHeight="false" outlineLevel="0" collapsed="false">
      <c r="A5400" s="3" t="s">
        <v>562</v>
      </c>
      <c r="B5400" s="8" t="s">
        <v>86</v>
      </c>
      <c r="C5400" s="38" t="n">
        <f aca="false">Q!$D$44</f>
        <v>115.877</v>
      </c>
      <c r="D5400" s="38" t="n">
        <f aca="false">Q!$E$44</f>
        <v>139.514</v>
      </c>
      <c r="E5400" s="38" t="n">
        <f aca="false">Q!$P$44</f>
        <v>71.419</v>
      </c>
      <c r="F5400" s="38" t="n">
        <f aca="false">Sens!$F$5396+Sens!$F$5397+Sens!$F$5398+Sens!$F$5399</f>
        <v>91.2628206731683</v>
      </c>
      <c r="G5400" s="38" t="n">
        <f aca="false">Sens!$E$5400+Sens!$F$5400</f>
        <v>162.681820673168</v>
      </c>
      <c r="H5400" s="38" t="n">
        <f aca="false">Sens!$H$5396+Sens!$H$5397+Sens!$H$5398+Sens!$H$5399</f>
        <v>220.616555992495</v>
      </c>
      <c r="I5400" s="38" t="n">
        <f aca="false">Sens!$I$5396+Sens!$I$5397+Sens!$I$5398+Sens!$I$5399</f>
        <v>273.55142183382</v>
      </c>
      <c r="J5400" s="38" t="n">
        <f aca="false">Sens!$J$5396+Sens!$J$5397+Sens!$J$5398+Sens!$J$5399</f>
        <v>326.247859030758</v>
      </c>
      <c r="K5400" s="38" t="n">
        <f aca="false">Sens!$K$5396+Sens!$K$5397+Sens!$K$5398+Sens!$K$5399</f>
        <v>374.637792295364</v>
      </c>
      <c r="L5400" s="38" t="n">
        <f aca="false">Sens!$L$5396+Sens!$L$5397+Sens!$L$5398+Sens!$L$5399</f>
        <v>417.104981890935</v>
      </c>
      <c r="M5400" s="38" t="n">
        <f aca="false">Sens!$M$5396+Sens!$M$5397+Sens!$M$5398+Sens!$M$5399</f>
        <v>453.711103584394</v>
      </c>
    </row>
    <row r="5401" customFormat="false" ht="17.15" hidden="false" customHeight="false" outlineLevel="0" collapsed="false">
      <c r="A5401" s="5" t="s">
        <v>799</v>
      </c>
      <c r="B5401" s="0" t="s">
        <v>86</v>
      </c>
      <c r="C5401" s="38" t="n">
        <f aca="false">Sens!$C$5279</f>
        <v>25.2781053077374</v>
      </c>
      <c r="D5401" s="38" t="n">
        <f aca="false">Sens!$D$5279</f>
        <v>69.5686316310026</v>
      </c>
      <c r="E5401" s="38" t="n">
        <f aca="false">Sens!$E$5279</f>
        <v>64.1899206485108</v>
      </c>
      <c r="F5401" s="38" t="n">
        <f aca="false">Sens!$F$5279</f>
        <v>88.7165504612134</v>
      </c>
      <c r="G5401" s="38" t="n">
        <f aca="false">Sens!$G$5279</f>
        <v>152.906471109724</v>
      </c>
      <c r="H5401" s="38" t="n">
        <f aca="false">Sens!$H$5279</f>
        <v>198.57136494475</v>
      </c>
      <c r="I5401" s="38" t="n">
        <f aca="false">Sens!$I$5279</f>
        <v>204.6464699105</v>
      </c>
      <c r="J5401" s="38" t="n">
        <f aca="false">Sens!$J$5279</f>
        <v>209.8832381105</v>
      </c>
      <c r="K5401" s="38" t="n">
        <f aca="false">Sens!$K$5279</f>
        <v>155.238385275201</v>
      </c>
      <c r="L5401" s="38" t="n">
        <f aca="false">Sens!$L$5279</f>
        <v>132.014141639902</v>
      </c>
      <c r="M5401" s="38" t="n">
        <f aca="false">Sens!$M$5279</f>
        <v>132.230981659852</v>
      </c>
    </row>
    <row r="5402" customFormat="false" ht="17.15" hidden="false" customHeight="false" outlineLevel="0" collapsed="false">
      <c r="A5402" s="5" t="s">
        <v>800</v>
      </c>
      <c r="B5402" s="0" t="s">
        <v>86</v>
      </c>
      <c r="C5402" s="38" t="n">
        <f aca="false">cx_awso*Sens!$C$5313</f>
        <v>21.0469989286053</v>
      </c>
      <c r="D5402" s="38" t="n">
        <f aca="false">cx_awso*Sens!$D$5313</f>
        <v>24.0042459822698</v>
      </c>
      <c r="E5402" s="38" t="n">
        <f aca="false">cx_awso*Sens!$E$5313</f>
        <v>14.261729404886</v>
      </c>
      <c r="F5402" s="38" t="n">
        <f aca="false">cx_awso*Sens!$F$5313</f>
        <v>14.3538599588493</v>
      </c>
      <c r="G5402" s="38" t="n">
        <f aca="false">Sens!$E$5402+Sens!$F$5402</f>
        <v>28.6155893637353</v>
      </c>
      <c r="H5402" s="38" t="n">
        <f aca="false">cx_awso*Sens!$H$5313</f>
        <v>32.2034154158406</v>
      </c>
      <c r="I5402" s="38" t="n">
        <f aca="false">cx_awso*Sens!$I$5313</f>
        <v>35.7539519042915</v>
      </c>
      <c r="J5402" s="38" t="n">
        <f aca="false">cx_awso*Sens!$J$5313</f>
        <v>39.1551076091815</v>
      </c>
      <c r="K5402" s="38" t="n">
        <f aca="false">cx_awso*Sens!$K$5313</f>
        <v>42.287516217916</v>
      </c>
      <c r="L5402" s="38" t="n">
        <f aca="false">cx_awso*Sens!$L$5313</f>
        <v>45.6705175153492</v>
      </c>
      <c r="M5402" s="38" t="n">
        <f aca="false">cx_awso*Sens!$M$5313</f>
        <v>49.3241589165772</v>
      </c>
    </row>
    <row r="5403" customFormat="false" ht="17.15" hidden="false" customHeight="false" outlineLevel="0" collapsed="false">
      <c r="A5403" s="5" t="s">
        <v>801</v>
      </c>
      <c r="B5403" s="0" t="s">
        <v>86</v>
      </c>
      <c r="C5403" s="38" t="n">
        <f aca="false">Q!$D$46-Sens!$C$5401-Sens!$C$5402</f>
        <v>31.3328957636573</v>
      </c>
      <c r="D5403" s="38" t="n">
        <f aca="false">Q!$E$46-Sens!$D$5401-Sens!$D$5402</f>
        <v>34.7471223867276</v>
      </c>
      <c r="E5403" s="38" t="n">
        <f aca="false">Q!$P$46-Sens!$E$5401-Sens!$E$5402</f>
        <v>17.8583499466032</v>
      </c>
      <c r="F5403" s="38" t="n">
        <f aca="false">cx_rt*Sens!$F$5242</f>
        <v>20.6195895799373</v>
      </c>
      <c r="G5403" s="38" t="n">
        <f aca="false">Sens!$E$5403+Sens!$F$5403</f>
        <v>38.4779395265405</v>
      </c>
      <c r="H5403" s="38" t="n">
        <f aca="false">cx_rt*Sens!$H$5242</f>
        <v>42.5978994743075</v>
      </c>
      <c r="I5403" s="38" t="n">
        <f aca="false">cx_rt*Sens!$I$5242</f>
        <v>46.5813904136335</v>
      </c>
      <c r="J5403" s="38" t="n">
        <f aca="false">cx_rt*Sens!$J$5242</f>
        <v>50.2781676586844</v>
      </c>
      <c r="K5403" s="38" t="n">
        <f aca="false">cx_rt*Sens!$K$5242</f>
        <v>53.5312440191755</v>
      </c>
      <c r="L5403" s="38" t="n">
        <f aca="false">cx_rt*Sens!$L$5242</f>
        <v>57.0116717051447</v>
      </c>
      <c r="M5403" s="38" t="n">
        <f aca="false">cx_rt*Sens!$M$5242</f>
        <v>60.7365554669226</v>
      </c>
    </row>
    <row r="5404" customFormat="false" ht="15" hidden="false" customHeight="false" outlineLevel="0" collapsed="false">
      <c r="A5404" s="3" t="s">
        <v>802</v>
      </c>
      <c r="B5404" s="8" t="s">
        <v>86</v>
      </c>
      <c r="C5404" s="38" t="n">
        <f aca="false">Q!$D$46</f>
        <v>77.658</v>
      </c>
      <c r="D5404" s="38" t="n">
        <f aca="false">Q!$E$46</f>
        <v>128.32</v>
      </c>
      <c r="E5404" s="38" t="n">
        <f aca="false">Q!$P$46</f>
        <v>96.31</v>
      </c>
      <c r="F5404" s="38" t="n">
        <f aca="false">Sens!$F$5401+Sens!$F$5402+Sens!$F$5403</f>
        <v>123.69</v>
      </c>
      <c r="G5404" s="38" t="n">
        <f aca="false">Sens!$E$5404+Sens!$F$5404</f>
        <v>220</v>
      </c>
      <c r="H5404" s="38" t="n">
        <f aca="false">Sens!$H$5401+Sens!$H$5402+Sens!$H$5403</f>
        <v>273.372679834898</v>
      </c>
      <c r="I5404" s="38" t="n">
        <f aca="false">Sens!$I$5401+Sens!$I$5402+Sens!$I$5403</f>
        <v>286.981812228425</v>
      </c>
      <c r="J5404" s="38" t="n">
        <f aca="false">Sens!$J$5401+Sens!$J$5402+Sens!$J$5403</f>
        <v>299.316513378366</v>
      </c>
      <c r="K5404" s="38" t="n">
        <f aca="false">Sens!$K$5401+Sens!$K$5402+Sens!$K$5403</f>
        <v>251.057145512292</v>
      </c>
      <c r="L5404" s="38" t="n">
        <f aca="false">Sens!$L$5401+Sens!$L$5402+Sens!$L$5403</f>
        <v>234.696330860396</v>
      </c>
      <c r="M5404" s="38" t="n">
        <f aca="false">Sens!$M$5401+Sens!$M$5402+Sens!$M$5403</f>
        <v>242.291696043352</v>
      </c>
    </row>
    <row r="5405" customFormat="false" ht="17.15" hidden="false" customHeight="false" outlineLevel="0" collapsed="false">
      <c r="A5405" s="5" t="s">
        <v>570</v>
      </c>
      <c r="B5405" s="0" t="s">
        <v>86</v>
      </c>
      <c r="C5405" s="38" t="n">
        <f aca="false">Q!$D$50</f>
        <v>2.043</v>
      </c>
      <c r="D5405" s="38" t="n">
        <f aca="false">Q!$E$50</f>
        <v>1.557</v>
      </c>
      <c r="E5405" s="38" t="n">
        <f aca="false">lease_pr/2</f>
        <v>0.8</v>
      </c>
      <c r="F5405" s="38" t="n">
        <f aca="false">lease_pr/2</f>
        <v>0.8</v>
      </c>
      <c r="G5405" s="38" t="n">
        <f aca="false">Sens!$E$5405+Sens!$F$5405</f>
        <v>1.6</v>
      </c>
      <c r="H5405" s="38" t="n">
        <f aca="false">lease_pr</f>
        <v>1.6</v>
      </c>
      <c r="I5405" s="38" t="n">
        <f aca="false">lease_pr</f>
        <v>1.6</v>
      </c>
      <c r="J5405" s="38" t="n">
        <f aca="false">lease_pr</f>
        <v>1.6</v>
      </c>
      <c r="K5405" s="38" t="n">
        <f aca="false">lease_pr</f>
        <v>1.6</v>
      </c>
      <c r="L5405" s="38" t="n">
        <f aca="false">lease_pr</f>
        <v>1.6</v>
      </c>
      <c r="M5405" s="38" t="n">
        <f aca="false">lease_pr</f>
        <v>1.6</v>
      </c>
      <c r="P5405" s="8" t="s">
        <v>803</v>
      </c>
    </row>
    <row r="5406" customFormat="false" ht="15" hidden="false" customHeight="false" outlineLevel="0" collapsed="false">
      <c r="A5406" s="47" t="s">
        <v>804</v>
      </c>
      <c r="B5406" s="14" t="s">
        <v>86</v>
      </c>
      <c r="C5406" s="48" t="n">
        <f aca="false">Sens!$C$5400-Sens!$C$5404-Sens!$C$5405</f>
        <v>36.176</v>
      </c>
      <c r="D5406" s="48" t="n">
        <f aca="false">Sens!$D$5400-Sens!$D$5404-Sens!$D$5405</f>
        <v>9.63700000000002</v>
      </c>
      <c r="E5406" s="48" t="n">
        <f aca="false">Sens!$E$5400-Sens!$E$5404-Sens!$E$5405</f>
        <v>-25.691</v>
      </c>
      <c r="F5406" s="48" t="n">
        <f aca="false">Sens!$F$5400-Sens!$F$5404-Sens!$F$5405</f>
        <v>-33.2271793268317</v>
      </c>
      <c r="G5406" s="48" t="n">
        <f aca="false">Sens!$G$5400-Sens!$G$5404-Sens!$G$5405</f>
        <v>-58.9181793268317</v>
      </c>
      <c r="H5406" s="48" t="n">
        <f aca="false">Sens!$H$5400-Sens!$H$5404-Sens!$H$5405</f>
        <v>-54.3561238424036</v>
      </c>
      <c r="I5406" s="48" t="n">
        <f aca="false">Sens!$I$5400-Sens!$I$5404-Sens!$I$5405</f>
        <v>-15.0303903946055</v>
      </c>
      <c r="J5406" s="48" t="n">
        <f aca="false">Sens!$J$5400-Sens!$J$5404-Sens!$J$5405</f>
        <v>25.3313456523922</v>
      </c>
      <c r="K5406" s="48" t="n">
        <f aca="false">Sens!$K$5400-Sens!$K$5404-Sens!$K$5405</f>
        <v>121.980646783072</v>
      </c>
      <c r="L5406" s="48" t="n">
        <f aca="false">Sens!$L$5400-Sens!$L$5404-Sens!$L$5405</f>
        <v>180.80865103054</v>
      </c>
      <c r="M5406" s="48" t="n">
        <f aca="false">Sens!$M$5400-Sens!$M$5404-Sens!$M$5405</f>
        <v>209.819407541041</v>
      </c>
      <c r="N5406" s="14"/>
      <c r="O5406" s="14"/>
    </row>
    <row r="5407" customFormat="false" ht="17.15" hidden="false" customHeight="false" outlineLevel="0" collapsed="false">
      <c r="A5407" s="5" t="s">
        <v>805</v>
      </c>
      <c r="B5407" s="0" t="s">
        <v>86</v>
      </c>
      <c r="C5407" s="38" t="n">
        <f aca="false">dps*Sens!$C$5386</f>
        <v>0</v>
      </c>
      <c r="D5407" s="38" t="n">
        <f aca="false">dps*Sens!$D$5386</f>
        <v>0</v>
      </c>
      <c r="E5407" s="38" t="n">
        <f aca="false">dps*Sens!$E$5386</f>
        <v>0</v>
      </c>
      <c r="F5407" s="38" t="n">
        <f aca="false">0</f>
        <v>0</v>
      </c>
      <c r="G5407" s="38" t="n">
        <f aca="false">dps*Sens!$G$5386</f>
        <v>0</v>
      </c>
      <c r="H5407" s="38" t="n">
        <f aca="false">dps*Sens!$H$5386</f>
        <v>0</v>
      </c>
      <c r="I5407" s="38" t="n">
        <f aca="false">dps*Sens!$I$5386</f>
        <v>0</v>
      </c>
      <c r="J5407" s="38" t="n">
        <f aca="false">dps*Sens!$J$5386</f>
        <v>0</v>
      </c>
      <c r="K5407" s="38" t="n">
        <f aca="false">dps*Sens!$K$5386</f>
        <v>0</v>
      </c>
      <c r="L5407" s="38" t="n">
        <f aca="false">dps*Sens!$L$5386</f>
        <v>0</v>
      </c>
      <c r="M5407" s="38" t="n">
        <f aca="false">dps*Sens!$M$5386</f>
        <v>0</v>
      </c>
      <c r="P5407" s="8" t="s">
        <v>806</v>
      </c>
    </row>
    <row r="5408" customFormat="false" ht="17.15" hidden="false" customHeight="false" outlineLevel="0" collapsed="false">
      <c r="A5408" s="5" t="s">
        <v>807</v>
      </c>
      <c r="B5408" s="0" t="s">
        <v>86</v>
      </c>
      <c r="C5408" s="38" t="n">
        <f aca="false">0</f>
        <v>0</v>
      </c>
      <c r="D5408" s="38" t="n">
        <f aca="false">0</f>
        <v>0</v>
      </c>
      <c r="E5408" s="38" t="n">
        <f aca="false">0</f>
        <v>0</v>
      </c>
      <c r="F5408" s="38" t="n">
        <f aca="false">0</f>
        <v>0</v>
      </c>
      <c r="G5408" s="38" t="n">
        <f aca="false">0</f>
        <v>0</v>
      </c>
      <c r="H5408" s="38" t="n">
        <f aca="false">0</f>
        <v>0</v>
      </c>
      <c r="I5408" s="38" t="n">
        <f aca="false">0</f>
        <v>0</v>
      </c>
      <c r="J5408" s="38" t="n">
        <f aca="false">0</f>
        <v>0</v>
      </c>
      <c r="K5408" s="38" t="n">
        <f aca="false">0</f>
        <v>0</v>
      </c>
      <c r="L5408" s="38" t="n">
        <f aca="false">0</f>
        <v>0</v>
      </c>
      <c r="M5408" s="38" t="n">
        <f aca="false">0</f>
        <v>0</v>
      </c>
      <c r="P5408" s="8" t="s">
        <v>808</v>
      </c>
    </row>
    <row r="5409" customFormat="false" ht="15" hidden="false" customHeight="false" outlineLevel="0" collapsed="false">
      <c r="A5409" s="3" t="s">
        <v>809</v>
      </c>
      <c r="B5409" s="8" t="s">
        <v>86</v>
      </c>
      <c r="C5409" s="38" t="n">
        <f aca="false">Sens!$C$5406-Sens!$C$5407</f>
        <v>36.176</v>
      </c>
      <c r="D5409" s="38" t="n">
        <f aca="false">Sens!$D$5406-Sens!$D$5407</f>
        <v>9.63700000000002</v>
      </c>
      <c r="E5409" s="38" t="n">
        <f aca="false">Sens!$E$5406-Sens!$E$5407</f>
        <v>-25.691</v>
      </c>
      <c r="F5409" s="38" t="n">
        <f aca="false">Sens!$F$5406-Sens!$F$5407</f>
        <v>-33.2271793268317</v>
      </c>
      <c r="G5409" s="38" t="n">
        <f aca="false">Sens!$G$5406-Sens!$G$5407</f>
        <v>-58.9181793268317</v>
      </c>
      <c r="H5409" s="38" t="n">
        <f aca="false">Sens!$H$5406-Sens!$H$5407</f>
        <v>-54.3561238424036</v>
      </c>
      <c r="I5409" s="38" t="n">
        <f aca="false">Sens!$I$5406-Sens!$I$5407</f>
        <v>-15.0303903946055</v>
      </c>
      <c r="J5409" s="38" t="n">
        <f aca="false">Sens!$J$5406-Sens!$J$5407</f>
        <v>25.3313456523922</v>
      </c>
      <c r="K5409" s="38" t="n">
        <f aca="false">Sens!$K$5406-Sens!$K$5407</f>
        <v>121.980646783072</v>
      </c>
      <c r="L5409" s="38" t="n">
        <f aca="false">Sens!$L$5406-Sens!$L$5407</f>
        <v>180.80865103054</v>
      </c>
      <c r="M5409" s="38" t="n">
        <f aca="false">Sens!$M$5406-Sens!$M$5407</f>
        <v>209.819407541041</v>
      </c>
    </row>
    <row r="5410" customFormat="false" ht="17.15" hidden="false" customHeight="false" outlineLevel="0" collapsed="false">
      <c r="A5410" s="5" t="s">
        <v>810</v>
      </c>
      <c r="B5410" s="0" t="s">
        <v>86</v>
      </c>
      <c r="E5410" s="38" t="n">
        <f aca="false">Q!$P$53</f>
        <v>39.767</v>
      </c>
      <c r="F5410" s="38" t="n">
        <f aca="false">inv_2h26</f>
        <v>21.3</v>
      </c>
      <c r="G5410" s="38" t="n">
        <f aca="false">Sens!$E$5410+Sens!$F$5410</f>
        <v>61.067</v>
      </c>
      <c r="H5410" s="39" t="n">
        <v>0</v>
      </c>
      <c r="I5410" s="39" t="n">
        <v>0</v>
      </c>
      <c r="J5410" s="39" t="n">
        <v>0</v>
      </c>
      <c r="K5410" s="39" t="n">
        <v>0</v>
      </c>
      <c r="L5410" s="39" t="n">
        <v>0</v>
      </c>
      <c r="M5410" s="39" t="n">
        <v>0</v>
      </c>
    </row>
    <row r="5411" customFormat="false" ht="17.15" hidden="false" customHeight="false" outlineLevel="0" collapsed="false">
      <c r="A5411" s="5" t="s">
        <v>811</v>
      </c>
      <c r="B5411" s="0" t="s">
        <v>86</v>
      </c>
      <c r="F5411" s="38" t="n">
        <f aca="false">iss_2h26</f>
        <v>29.249999</v>
      </c>
      <c r="G5411" s="38" t="n">
        <f aca="false">Sens!$F$5411</f>
        <v>29.249999</v>
      </c>
      <c r="H5411" s="39" t="n">
        <v>0</v>
      </c>
      <c r="I5411" s="39" t="n">
        <v>0</v>
      </c>
      <c r="J5411" s="39" t="n">
        <v>0</v>
      </c>
      <c r="K5411" s="39" t="n">
        <v>0</v>
      </c>
      <c r="L5411" s="39" t="n">
        <v>0</v>
      </c>
      <c r="M5411" s="39" t="n">
        <v>0</v>
      </c>
    </row>
    <row r="5412" customFormat="false" ht="17.15" hidden="false" customHeight="false" outlineLevel="0" collapsed="false">
      <c r="A5412" s="5" t="s">
        <v>812</v>
      </c>
      <c r="B5412" s="0" t="s">
        <v>86</v>
      </c>
      <c r="F5412" s="38" t="n">
        <f aca="false">cash_q2</f>
        <v>122.988</v>
      </c>
      <c r="G5412" s="38" t="n">
        <f aca="false">cash_q2</f>
        <v>122.988</v>
      </c>
      <c r="H5412" s="38" t="n">
        <f aca="false">Sens!$G$5415</f>
        <v>97.7108196731683</v>
      </c>
      <c r="I5412" s="38" t="n">
        <f aca="false">Sens!$H$5415</f>
        <v>50</v>
      </c>
      <c r="J5412" s="38" t="n">
        <f aca="false">Sens!$I$5415</f>
        <v>50</v>
      </c>
      <c r="K5412" s="38" t="n">
        <f aca="false">Sens!$J$5415</f>
        <v>75.3313456523922</v>
      </c>
      <c r="L5412" s="38" t="n">
        <f aca="false">Sens!$K$5415</f>
        <v>197.311992435464</v>
      </c>
      <c r="M5412" s="38" t="n">
        <f aca="false">Sens!$L$5415</f>
        <v>378.120643466004</v>
      </c>
    </row>
    <row r="5413" customFormat="false" ht="15" hidden="false" customHeight="false" outlineLevel="0" collapsed="false">
      <c r="A5413" s="5" t="s">
        <v>813</v>
      </c>
      <c r="B5413" s="0" t="s">
        <v>86</v>
      </c>
      <c r="F5413" s="38" t="n">
        <f aca="false">Sens!$F$5412+Sens!$F$5409-Sens!$F$5408-Sens!$F$5410+Sens!$F$5411</f>
        <v>97.7108196731683</v>
      </c>
      <c r="H5413" s="38" t="n">
        <f aca="false">Sens!$H$5412+Sens!$H$5409-Sens!$H$5408-Sens!$H$5410+Sens!$H$5411</f>
        <v>43.3546958307647</v>
      </c>
      <c r="I5413" s="38" t="n">
        <f aca="false">Sens!$I$5412+Sens!$I$5409-Sens!$I$5408-Sens!$I$5410+Sens!$I$5411</f>
        <v>34.9696096053945</v>
      </c>
      <c r="J5413" s="38" t="n">
        <f aca="false">Sens!$J$5412+Sens!$J$5409-Sens!$J$5408-Sens!$J$5410+Sens!$J$5411</f>
        <v>75.3313456523922</v>
      </c>
      <c r="K5413" s="38" t="n">
        <f aca="false">Sens!$K$5412+Sens!$K$5409-Sens!$K$5408-Sens!$K$5410+Sens!$K$5411</f>
        <v>197.311992435464</v>
      </c>
      <c r="L5413" s="38" t="n">
        <f aca="false">Sens!$L$5412+Sens!$L$5409-Sens!$L$5408-Sens!$L$5410+Sens!$L$5411</f>
        <v>378.120643466004</v>
      </c>
      <c r="M5413" s="38" t="n">
        <f aca="false">Sens!$M$5412+Sens!$M$5409-Sens!$M$5408-Sens!$M$5410+Sens!$M$5411</f>
        <v>587.940051007045</v>
      </c>
    </row>
    <row r="5414" customFormat="false" ht="17.15" hidden="false" customHeight="false" outlineLevel="0" collapsed="false">
      <c r="A5414" s="5" t="s">
        <v>814</v>
      </c>
      <c r="B5414" s="0" t="s">
        <v>86</v>
      </c>
      <c r="F5414" s="38" t="n">
        <f aca="false">MAX(0,min_cash-Sens!$F$5413)</f>
        <v>0</v>
      </c>
      <c r="G5414" s="38" t="n">
        <f aca="false">Sens!$F$5414</f>
        <v>0</v>
      </c>
      <c r="H5414" s="38" t="n">
        <f aca="false">MAX(0,min_cash-Sens!$H$5413)</f>
        <v>6.64530416923528</v>
      </c>
      <c r="I5414" s="38" t="n">
        <f aca="false">MAX(0,min_cash-Sens!$I$5413)</f>
        <v>15.0303903946055</v>
      </c>
      <c r="J5414" s="38" t="n">
        <f aca="false">MAX(0,min_cash-Sens!$J$5413)</f>
        <v>0</v>
      </c>
      <c r="K5414" s="38" t="n">
        <f aca="false">MAX(0,min_cash-Sens!$K$5413)</f>
        <v>0</v>
      </c>
      <c r="L5414" s="38" t="n">
        <f aca="false">MAX(0,min_cash-Sens!$L$5413)</f>
        <v>0</v>
      </c>
      <c r="M5414" s="38" t="n">
        <f aca="false">MAX(0,min_cash-Sens!$M$5413)</f>
        <v>0</v>
      </c>
      <c r="P5414" s="5" t="s">
        <v>815</v>
      </c>
    </row>
    <row r="5415" customFormat="false" ht="15" hidden="false" customHeight="false" outlineLevel="0" collapsed="false">
      <c r="A5415" s="5" t="s">
        <v>816</v>
      </c>
      <c r="B5415" s="0" t="s">
        <v>86</v>
      </c>
      <c r="D5415" s="38" t="n">
        <f aca="false">Q!$E$61</f>
        <v>123.029</v>
      </c>
      <c r="E5415" s="38" t="n">
        <f aca="false">Q!$M$61</f>
        <v>122.988</v>
      </c>
      <c r="F5415" s="38" t="n">
        <f aca="false">Sens!$F$5413+Sens!$F$5414</f>
        <v>97.7108196731683</v>
      </c>
      <c r="G5415" s="38" t="n">
        <f aca="false">Sens!$F$5415</f>
        <v>97.7108196731683</v>
      </c>
      <c r="H5415" s="38" t="n">
        <f aca="false">Sens!$H$5413+Sens!$H$5414</f>
        <v>50</v>
      </c>
      <c r="I5415" s="38" t="n">
        <f aca="false">Sens!$I$5413+Sens!$I$5414</f>
        <v>50</v>
      </c>
      <c r="J5415" s="38" t="n">
        <f aca="false">Sens!$J$5413+Sens!$J$5414</f>
        <v>75.3313456523922</v>
      </c>
      <c r="K5415" s="38" t="n">
        <f aca="false">Sens!$K$5413+Sens!$K$5414</f>
        <v>197.311992435464</v>
      </c>
      <c r="L5415" s="38" t="n">
        <f aca="false">Sens!$L$5413+Sens!$L$5414</f>
        <v>378.120643466004</v>
      </c>
      <c r="M5415" s="38" t="n">
        <f aca="false">Sens!$M$5413+Sens!$M$5414</f>
        <v>587.940051007045</v>
      </c>
    </row>
    <row r="5416" customFormat="false" ht="15" hidden="false" customHeight="false" outlineLevel="0" collapsed="false">
      <c r="A5416" s="5" t="s">
        <v>817</v>
      </c>
      <c r="B5416" s="0" t="s">
        <v>86</v>
      </c>
      <c r="D5416" s="38" t="n">
        <f aca="false">Q!$E$62</f>
        <v>68.836</v>
      </c>
      <c r="E5416" s="38" t="n">
        <f aca="false">Q!$M$62</f>
        <v>132.995</v>
      </c>
      <c r="F5416" s="38" t="n">
        <f aca="false">debt_q2+Sens!$F$5411+Sens!$F$5414</f>
        <v>162.244999</v>
      </c>
      <c r="G5416" s="38" t="n">
        <f aca="false">Sens!$F$5416</f>
        <v>162.244999</v>
      </c>
      <c r="H5416" s="38" t="n">
        <f aca="false">Sens!$G$5416+Sens!$H$5414</f>
        <v>168.890303169235</v>
      </c>
      <c r="I5416" s="38" t="n">
        <f aca="false">Sens!$H$5416+Sens!$I$5414</f>
        <v>183.920693563841</v>
      </c>
      <c r="J5416" s="38" t="n">
        <f aca="false">Sens!$I$5416+Sens!$J$5414</f>
        <v>183.920693563841</v>
      </c>
      <c r="K5416" s="38" t="n">
        <f aca="false">Sens!$J$5416+Sens!$K$5414</f>
        <v>183.920693563841</v>
      </c>
      <c r="L5416" s="38" t="n">
        <f aca="false">Sens!$K$5416+Sens!$L$5414</f>
        <v>183.920693563841</v>
      </c>
      <c r="M5416" s="38" t="n">
        <f aca="false">Sens!$L$5416+Sens!$M$5414</f>
        <v>183.920693563841</v>
      </c>
    </row>
    <row r="5417" customFormat="false" ht="15" hidden="false" customHeight="false" outlineLevel="0" collapsed="false">
      <c r="A5417" s="5" t="s">
        <v>818</v>
      </c>
      <c r="B5417" s="0" t="s">
        <v>86</v>
      </c>
      <c r="D5417" s="38" t="n">
        <f aca="false">Sens!$D$5416-Sens!$D$5415</f>
        <v>-54.193</v>
      </c>
      <c r="E5417" s="38" t="n">
        <f aca="false">Sens!$E$5416-Sens!$E$5415</f>
        <v>10.007</v>
      </c>
      <c r="F5417" s="38" t="n">
        <f aca="false">Sens!$F$5416-Sens!$F$5415</f>
        <v>64.5341793268317</v>
      </c>
      <c r="G5417" s="38" t="n">
        <f aca="false">Sens!$G$5416-Sens!$G$5415</f>
        <v>64.5341793268317</v>
      </c>
      <c r="H5417" s="38" t="n">
        <f aca="false">Sens!$H$5416-Sens!$H$5415</f>
        <v>118.890303169235</v>
      </c>
      <c r="I5417" s="38" t="n">
        <f aca="false">Sens!$I$5416-Sens!$I$5415</f>
        <v>133.920693563841</v>
      </c>
      <c r="J5417" s="38" t="n">
        <f aca="false">Sens!$J$5416-Sens!$J$5415</f>
        <v>108.589347911449</v>
      </c>
      <c r="K5417" s="38" t="n">
        <f aca="false">Sens!$K$5416-Sens!$K$5415</f>
        <v>-13.3912988716235</v>
      </c>
      <c r="L5417" s="38" t="n">
        <f aca="false">Sens!$L$5416-Sens!$L$5415</f>
        <v>-194.199949902163</v>
      </c>
      <c r="M5417" s="38" t="n">
        <f aca="false">Sens!$M$5416-Sens!$M$5415</f>
        <v>-404.019357443204</v>
      </c>
    </row>
    <row r="5418" customFormat="false" ht="17.15" hidden="false" customHeight="false" outlineLevel="0" collapsed="false">
      <c r="A5418" s="5" t="s">
        <v>819</v>
      </c>
      <c r="B5418" s="0" t="s">
        <v>86</v>
      </c>
      <c r="F5418" s="38" t="n">
        <f aca="false">debt_q2*kd_book*0.5+iss_2h26*kd_new*iss_t</f>
        <v>3.24888962733561</v>
      </c>
      <c r="H5418" s="38" t="n">
        <f aca="false">debt_q2*kd_book+(Sens!$G$5416-debt_q2)*kd_new</f>
        <v>7.42354172302123</v>
      </c>
      <c r="I5418" s="38" t="n">
        <f aca="false">debt_q2*kd_book+(Sens!$H$5416-debt_q2)*kd_new</f>
        <v>7.84418947693382</v>
      </c>
      <c r="J5418" s="38" t="n">
        <f aca="false">debt_q2*kd_book+(Sens!$I$5416-debt_q2)*kd_new</f>
        <v>8.79561318891235</v>
      </c>
      <c r="K5418" s="38" t="n">
        <f aca="false">debt_q2*kd_book+(Sens!$J$5416-debt_q2)*kd_new</f>
        <v>8.79561318891235</v>
      </c>
      <c r="L5418" s="38" t="n">
        <f aca="false">debt_q2*kd_book+(Sens!$K$5416-debt_q2)*kd_new</f>
        <v>8.79561318891235</v>
      </c>
      <c r="M5418" s="38" t="n">
        <f aca="false">debt_q2*kd_book+(Sens!$L$5416-debt_q2)*kd_new</f>
        <v>8.79561318891235</v>
      </c>
    </row>
    <row r="5419" customFormat="false" ht="17.15" hidden="false" customHeight="false" outlineLevel="0" collapsed="false">
      <c r="A5419" s="5" t="s">
        <v>820</v>
      </c>
      <c r="B5419" s="0" t="s">
        <v>86</v>
      </c>
      <c r="F5419" s="38" t="n">
        <f aca="false">cash_q2*y_cash*0.5</f>
        <v>2.59</v>
      </c>
      <c r="H5419" s="38" t="n">
        <f aca="false">Sens!$G$5415*y_cash</f>
        <v>4.1153774832261</v>
      </c>
      <c r="I5419" s="38" t="n">
        <f aca="false">Sens!$H$5415*y_cash</f>
        <v>2.10589651022864</v>
      </c>
      <c r="J5419" s="38" t="n">
        <f aca="false">Sens!$I$5415*y_cash</f>
        <v>2.10589651022864</v>
      </c>
      <c r="K5419" s="38" t="n">
        <f aca="false">Sens!$J$5415*y_cash</f>
        <v>3.172800358404</v>
      </c>
      <c r="L5419" s="38" t="n">
        <f aca="false">Sens!$K$5415*y_cash</f>
        <v>8.31037272592208</v>
      </c>
      <c r="M5419" s="38" t="n">
        <f aca="false">Sens!$L$5415*y_cash</f>
        <v>15.9256588704093</v>
      </c>
    </row>
    <row r="5420" customFormat="false" ht="17.15" hidden="false" customHeight="false" outlineLevel="0" collapsed="false">
      <c r="A5420" s="47" t="s">
        <v>821</v>
      </c>
      <c r="B5420" s="14" t="s">
        <v>86</v>
      </c>
      <c r="C5420" s="14"/>
      <c r="D5420" s="14"/>
      <c r="E5420" s="14"/>
      <c r="F5420" s="14"/>
      <c r="G5420" s="48" t="n">
        <f aca="false">SUM(Sens!$G$5409:$K$5409)</f>
        <v>19.0072988716234</v>
      </c>
      <c r="H5420" s="14"/>
      <c r="I5420" s="14"/>
      <c r="J5420" s="14"/>
      <c r="K5420" s="14"/>
      <c r="L5420" s="14"/>
      <c r="M5420" s="14"/>
      <c r="N5420" s="14"/>
      <c r="O5420" s="14"/>
    </row>
    <row r="5421" customFormat="false" ht="17.15" hidden="false" customHeight="false" outlineLevel="0" collapsed="false">
      <c r="A5421" s="0" t="s">
        <v>787</v>
      </c>
      <c r="B5421" s="0" t="s">
        <v>86</v>
      </c>
      <c r="G5421" s="38" t="n">
        <f aca="false">SUM(Sens!$G$5414:$K$5414)</f>
        <v>21.6756945638408</v>
      </c>
    </row>
    <row r="5422" customFormat="false" ht="17.15" hidden="false" customHeight="false" outlineLevel="0" collapsed="false">
      <c r="A5422" s="24" t="s">
        <v>824</v>
      </c>
      <c r="B5422" s="25" t="s">
        <v>86</v>
      </c>
      <c r="C5422" s="25"/>
      <c r="D5422" s="25"/>
      <c r="E5422" s="25"/>
      <c r="F5422" s="25"/>
      <c r="G5422" s="41" t="n">
        <f aca="false">Sens!$G$5420-(Sens!$G$5409+Sens!$H$5409+Sens!$I$5409+Sens!$J$5409+Sens!$K$5409)</f>
        <v>0</v>
      </c>
      <c r="H5422" s="25"/>
      <c r="I5422" s="25"/>
      <c r="J5422" s="25"/>
      <c r="K5422" s="25"/>
      <c r="L5422" s="25"/>
      <c r="M5422" s="25"/>
      <c r="N5422" s="25"/>
      <c r="O5422" s="25"/>
    </row>
    <row r="5425" customFormat="false" ht="19.4" hidden="false" customHeight="false" outlineLevel="0" collapsed="false">
      <c r="A5425" s="31" t="s">
        <v>1261</v>
      </c>
    </row>
    <row r="5426" customFormat="false" ht="17.15" hidden="false" customHeight="false" outlineLevel="0" collapsed="false">
      <c r="A5426" s="6" t="s">
        <v>16</v>
      </c>
      <c r="B5426" s="6" t="s">
        <v>17</v>
      </c>
      <c r="C5426" s="20" t="s">
        <v>504</v>
      </c>
      <c r="D5426" s="20" t="s">
        <v>505</v>
      </c>
      <c r="E5426" s="20" t="s">
        <v>587</v>
      </c>
      <c r="F5426" s="20" t="s">
        <v>588</v>
      </c>
      <c r="G5426" s="20" t="s">
        <v>589</v>
      </c>
      <c r="H5426" s="20" t="s">
        <v>590</v>
      </c>
      <c r="I5426" s="20" t="s">
        <v>591</v>
      </c>
      <c r="J5426" s="20" t="s">
        <v>592</v>
      </c>
      <c r="K5426" s="20" t="s">
        <v>593</v>
      </c>
      <c r="L5426" s="20" t="s">
        <v>594</v>
      </c>
      <c r="M5426" s="20" t="s">
        <v>595</v>
      </c>
      <c r="N5426" s="20" t="s">
        <v>596</v>
      </c>
      <c r="O5426" s="20" t="s">
        <v>597</v>
      </c>
      <c r="P5426" s="6" t="s">
        <v>23</v>
      </c>
      <c r="R5426" s="20" t="n">
        <v>2023</v>
      </c>
      <c r="S5426" s="20" t="n">
        <v>2024</v>
      </c>
      <c r="T5426" s="20" t="n">
        <v>2025</v>
      </c>
      <c r="U5426" s="20" t="n">
        <v>2026</v>
      </c>
      <c r="V5426" s="20" t="n">
        <v>2027</v>
      </c>
      <c r="W5426" s="20" t="n">
        <v>2028</v>
      </c>
      <c r="X5426" s="20" t="n">
        <v>2029</v>
      </c>
      <c r="Y5426" s="20" t="n">
        <v>2030</v>
      </c>
      <c r="Z5426" s="20" t="n">
        <v>2031</v>
      </c>
      <c r="AA5426" s="20" t="n">
        <v>2032</v>
      </c>
    </row>
    <row r="5427" customFormat="false" ht="17.15" hidden="false" customHeight="false" outlineLevel="0" collapsed="false">
      <c r="A5427" s="1" t="s">
        <v>926</v>
      </c>
    </row>
    <row r="5428" customFormat="false" ht="17.15" hidden="false" customHeight="false" outlineLevel="0" collapsed="false">
      <c r="A5428" s="0" t="s">
        <v>927</v>
      </c>
      <c r="B5428" s="0" t="s">
        <v>86</v>
      </c>
      <c r="H5428" s="38" t="n">
        <f aca="false">Sens!$H$5362*(1-tax)</f>
        <v>119.56497355468</v>
      </c>
      <c r="I5428" s="38" t="n">
        <f aca="false">Sens!$I$5362*(1-tax)</f>
        <v>141.256941944278</v>
      </c>
      <c r="J5428" s="38" t="n">
        <f aca="false">Sens!$J$5362*(1-tax)</f>
        <v>165.207646486437</v>
      </c>
      <c r="K5428" s="38" t="n">
        <f aca="false">Sens!$K$5362*(1-tax)</f>
        <v>182.2563867591</v>
      </c>
      <c r="L5428" s="38" t="n">
        <f aca="false">Sens!$L$5362*(1-tax)</f>
        <v>196.136023003742</v>
      </c>
      <c r="M5428" s="38" t="n">
        <f aca="false">Sens!$M$5362*(1-tax)</f>
        <v>208.266936154417</v>
      </c>
    </row>
    <row r="5429" customFormat="false" ht="15" hidden="false" customHeight="false" outlineLevel="0" collapsed="false">
      <c r="A5429" s="5" t="s">
        <v>928</v>
      </c>
      <c r="B5429" s="0" t="s">
        <v>86</v>
      </c>
      <c r="H5429" s="38" t="n">
        <f aca="false">Sens!$H$5373</f>
        <v>81.5618233196153</v>
      </c>
      <c r="I5429" s="38" t="n">
        <f aca="false">Sens!$I$5373</f>
        <v>118.756208740204</v>
      </c>
      <c r="J5429" s="38" t="n">
        <f aca="false">Sens!$J$5373</f>
        <v>152.469489406791</v>
      </c>
      <c r="K5429" s="38" t="n">
        <f aca="false">Sens!$K$5373</f>
        <v>186.391502623819</v>
      </c>
      <c r="L5429" s="38" t="n">
        <f aca="false">Sens!$L$5373</f>
        <v>211.926422215482</v>
      </c>
      <c r="M5429" s="38" t="n">
        <f aca="false">Sens!$M$5373</f>
        <v>229.012482097906</v>
      </c>
    </row>
    <row r="5430" customFormat="false" ht="15" hidden="false" customHeight="false" outlineLevel="0" collapsed="false">
      <c r="A5430" s="5" t="s">
        <v>929</v>
      </c>
      <c r="B5430" s="0" t="s">
        <v>86</v>
      </c>
      <c r="H5430" s="38" t="n">
        <f aca="false">Sens!$H$5404</f>
        <v>273.372679834898</v>
      </c>
      <c r="I5430" s="38" t="n">
        <f aca="false">Sens!$I$5404</f>
        <v>286.981812228425</v>
      </c>
      <c r="J5430" s="38" t="n">
        <f aca="false">Sens!$J$5404</f>
        <v>299.316513378366</v>
      </c>
      <c r="K5430" s="38" t="n">
        <f aca="false">Sens!$K$5404</f>
        <v>251.057145512292</v>
      </c>
      <c r="L5430" s="38" t="n">
        <f aca="false">Sens!$L$5404</f>
        <v>234.696330860396</v>
      </c>
      <c r="M5430" s="38" t="n">
        <f aca="false">Sens!$M$5404</f>
        <v>242.291696043352</v>
      </c>
    </row>
    <row r="5431" customFormat="false" ht="15" hidden="false" customHeight="false" outlineLevel="0" collapsed="false">
      <c r="A5431" s="5" t="s">
        <v>930</v>
      </c>
      <c r="B5431" s="0" t="s">
        <v>86</v>
      </c>
      <c r="H5431" s="38" t="n">
        <f aca="false">Sens!$H$5405</f>
        <v>1.6</v>
      </c>
      <c r="I5431" s="38" t="n">
        <f aca="false">Sens!$I$5405</f>
        <v>1.6</v>
      </c>
      <c r="J5431" s="38" t="n">
        <f aca="false">Sens!$J$5405</f>
        <v>1.6</v>
      </c>
      <c r="K5431" s="38" t="n">
        <f aca="false">Sens!$K$5405</f>
        <v>1.6</v>
      </c>
      <c r="L5431" s="38" t="n">
        <f aca="false">Sens!$L$5405</f>
        <v>1.6</v>
      </c>
      <c r="M5431" s="38" t="n">
        <f aca="false">Sens!$M$5405</f>
        <v>1.6</v>
      </c>
    </row>
    <row r="5432" customFormat="false" ht="15" hidden="false" customHeight="false" outlineLevel="0" collapsed="false">
      <c r="A5432" s="5" t="s">
        <v>931</v>
      </c>
      <c r="B5432" s="0" t="s">
        <v>86</v>
      </c>
      <c r="H5432" s="38" t="n">
        <f aca="false">Sens!$H$5399</f>
        <v>11.2928295263397</v>
      </c>
      <c r="I5432" s="38" t="n">
        <f aca="false">Sens!$I$5399</f>
        <v>12.8091546115766</v>
      </c>
      <c r="J5432" s="38" t="n">
        <f aca="false">Sens!$J$5399</f>
        <v>14.2605653162668</v>
      </c>
      <c r="K5432" s="38" t="n">
        <f aca="false">Sens!$K$5399</f>
        <v>15.5327622460396</v>
      </c>
      <c r="L5432" s="38" t="n">
        <f aca="false">Sens!$L$5399</f>
        <v>16.720573737517</v>
      </c>
      <c r="M5432" s="38" t="n">
        <f aca="false">Sens!$M$5399</f>
        <v>17.8283127551536</v>
      </c>
    </row>
    <row r="5433" customFormat="false" ht="17.15" hidden="false" customHeight="false" outlineLevel="0" collapsed="false">
      <c r="A5433" s="1" t="s">
        <v>932</v>
      </c>
      <c r="B5433" s="8" t="s">
        <v>86</v>
      </c>
      <c r="H5433" s="38" t="n">
        <f aca="false">Sens!$H$5428+Sens!$H$5429-Sens!$H$5430-Sens!$H$5431+Sens!$H$5432</f>
        <v>-62.5530534342631</v>
      </c>
      <c r="I5433" s="38" t="n">
        <f aca="false">Sens!$I$5428+Sens!$I$5429-Sens!$I$5430-Sens!$I$5431+Sens!$I$5432</f>
        <v>-15.7595069323669</v>
      </c>
      <c r="J5433" s="38" t="n">
        <f aca="false">Sens!$J$5428+Sens!$J$5429-Sens!$J$5430-Sens!$J$5431+Sens!$J$5432</f>
        <v>31.0211878311291</v>
      </c>
      <c r="K5433" s="38" t="n">
        <f aca="false">Sens!$K$5428+Sens!$K$5429-Sens!$K$5430-Sens!$K$5431+Sens!$K$5432</f>
        <v>131.523506116666</v>
      </c>
      <c r="L5433" s="38" t="n">
        <f aca="false">Sens!$L$5428+Sens!$L$5429-Sens!$L$5430-Sens!$L$5431+Sens!$L$5432</f>
        <v>188.486688096346</v>
      </c>
      <c r="M5433" s="38" t="n">
        <f aca="false">Sens!$M$5428+Sens!$M$5429-Sens!$M$5430-Sens!$M$5431+Sens!$M$5432</f>
        <v>211.216034964125</v>
      </c>
    </row>
    <row r="5434" customFormat="false" ht="15" hidden="false" customHeight="false" outlineLevel="0" collapsed="false">
      <c r="A5434" s="5" t="s">
        <v>933</v>
      </c>
      <c r="B5434" s="0" t="s">
        <v>57</v>
      </c>
      <c r="H5434" s="40" t="n">
        <f aca="false">1/(1+(wacc-0.01))^(2027-2026-0.5)</f>
        <v>0.952036717208703</v>
      </c>
      <c r="I5434" s="40" t="n">
        <f aca="false">1/(1+(wacc-0.01))^(2028-2026-0.5)</f>
        <v>0.862901242709724</v>
      </c>
      <c r="J5434" s="40" t="n">
        <f aca="false">1/(1+(wacc-0.01))^(2029-2026-0.5)</f>
        <v>0.782111174086951</v>
      </c>
      <c r="K5434" s="40" t="n">
        <f aca="false">1/(1+(wacc-0.01))^(2030-2026-0.5)</f>
        <v>0.708885163626357</v>
      </c>
      <c r="L5434" s="40" t="n">
        <f aca="false">1/(1+(wacc-0.01))^(2031-2026-0.5)</f>
        <v>0.642515018144594</v>
      </c>
      <c r="M5434" s="40" t="n">
        <f aca="false">1/(1+(wacc-0.01))^(2032-2026-0.5)</f>
        <v>0.582358849816389</v>
      </c>
    </row>
    <row r="5435" customFormat="false" ht="15" hidden="false" customHeight="false" outlineLevel="0" collapsed="false">
      <c r="A5435" s="5" t="s">
        <v>934</v>
      </c>
      <c r="B5435" s="0" t="s">
        <v>86</v>
      </c>
      <c r="H5435" s="38" t="n">
        <f aca="false">Sens!$H$5433*Sens!$H$5434</f>
        <v>-59.5528036429364</v>
      </c>
      <c r="I5435" s="38" t="n">
        <f aca="false">Sens!$I$5433*Sens!$I$5434</f>
        <v>-13.5988981164319</v>
      </c>
      <c r="J5435" s="38" t="n">
        <f aca="false">Sens!$J$5433*Sens!$J$5434</f>
        <v>24.2620176361763</v>
      </c>
      <c r="K5435" s="38" t="n">
        <f aca="false">Sens!$K$5433*Sens!$K$5434</f>
        <v>93.2350621542252</v>
      </c>
      <c r="L5435" s="38" t="n">
        <f aca="false">Sens!$L$5433*Sens!$L$5434</f>
        <v>121.105527822238</v>
      </c>
      <c r="M5435" s="38" t="n">
        <f aca="false">Sens!$M$5433*Sens!$M$5434</f>
        <v>123.003527184486</v>
      </c>
    </row>
    <row r="5436" customFormat="false" ht="15" hidden="false" customHeight="false" outlineLevel="0" collapsed="false">
      <c r="A5436" s="5" t="s">
        <v>935</v>
      </c>
      <c r="B5436" s="0" t="s">
        <v>86</v>
      </c>
      <c r="C5436" s="38" t="n">
        <f aca="false">SUM(Sens!$H$5435:$M$5435)</f>
        <v>288.454433037757</v>
      </c>
    </row>
    <row r="5437" customFormat="false" ht="17.15" hidden="false" customHeight="false" outlineLevel="0" collapsed="false">
      <c r="A5437" s="5" t="s">
        <v>936</v>
      </c>
      <c r="B5437" s="0" t="s">
        <v>86</v>
      </c>
      <c r="C5437" s="38" t="n">
        <f aca="false">Sens!$M$5428*(1+tg)*(1-tg/ronic)/((wacc-0.01)-tg)</f>
        <v>2151.6933704072</v>
      </c>
    </row>
    <row r="5438" customFormat="false" ht="15" hidden="false" customHeight="false" outlineLevel="0" collapsed="false">
      <c r="A5438" s="5" t="s">
        <v>937</v>
      </c>
      <c r="B5438" s="0" t="s">
        <v>86</v>
      </c>
      <c r="C5438" s="38" t="n">
        <f aca="false">Sens!$C$5437/(1+(wacc-0.01))^6</f>
        <v>1192.95691666341</v>
      </c>
    </row>
    <row r="5439" customFormat="false" ht="17.15" hidden="false" customHeight="false" outlineLevel="0" collapsed="false">
      <c r="A5439" s="5" t="s">
        <v>938</v>
      </c>
      <c r="B5439" s="0" t="s">
        <v>86</v>
      </c>
      <c r="C5439" s="38" t="n">
        <f aca="false">Sens!$C$5436+Sens!$C$5438</f>
        <v>1481.41134970117</v>
      </c>
    </row>
    <row r="5440" customFormat="false" ht="17.15" hidden="false" customHeight="false" outlineLevel="0" collapsed="false">
      <c r="A5440" s="5" t="s">
        <v>939</v>
      </c>
      <c r="B5440" s="0" t="s">
        <v>52</v>
      </c>
      <c r="C5440" s="13" t="n">
        <f aca="false">Sens!$C$5438/Sens!$C$5439</f>
        <v>0.805284040050088</v>
      </c>
    </row>
    <row r="5441" customFormat="false" ht="17.15" hidden="false" customHeight="false" outlineLevel="0" collapsed="false">
      <c r="A5441" s="5" t="s">
        <v>940</v>
      </c>
      <c r="B5441" s="0" t="s">
        <v>86</v>
      </c>
      <c r="C5441" s="38" t="n">
        <f aca="false">Sens!$G$5417+fin_debt</f>
        <v>89.0551793268317</v>
      </c>
    </row>
    <row r="5442" customFormat="false" ht="17.15" hidden="false" customHeight="false" outlineLevel="0" collapsed="false">
      <c r="A5442" s="5" t="s">
        <v>941</v>
      </c>
      <c r="B5442" s="0" t="s">
        <v>86</v>
      </c>
      <c r="C5442" s="38" t="n">
        <f aca="false">(ant_val*ant_sh+oai_val*oai_sh)*(1-liq_disc)</f>
        <v>178.944</v>
      </c>
    </row>
    <row r="5443" customFormat="false" ht="15" hidden="false" customHeight="false" outlineLevel="0" collapsed="false">
      <c r="A5443" s="5" t="s">
        <v>942</v>
      </c>
      <c r="B5443" s="0" t="s">
        <v>86</v>
      </c>
      <c r="C5443" s="38" t="n">
        <f aca="false">Sens!$C$5439-Sens!$C$5441+Sens!$C$5442</f>
        <v>1571.30017037433</v>
      </c>
    </row>
    <row r="5444" customFormat="false" ht="17.15" hidden="false" customHeight="false" outlineLevel="0" collapsed="false">
      <c r="A5444" s="5" t="s">
        <v>943</v>
      </c>
      <c r="B5444" s="0" t="s">
        <v>27</v>
      </c>
      <c r="C5444" s="30" t="n">
        <f aca="false">Sens!$C$5443/sh_out</f>
        <v>145.675359569018</v>
      </c>
    </row>
    <row r="5445" customFormat="false" ht="17.15" hidden="false" customHeight="false" outlineLevel="0" collapsed="false">
      <c r="A5445" s="1" t="s">
        <v>944</v>
      </c>
      <c r="B5445" s="8" t="s">
        <v>27</v>
      </c>
      <c r="C5445" s="30" t="n">
        <f aca="false">Sens!$C$5444*(1+ke)^tp_yf-dps*tp_yf</f>
        <v>159.568250570893</v>
      </c>
    </row>
    <row r="5446" customFormat="false" ht="17.15" hidden="false" customHeight="false" outlineLevel="0" collapsed="false">
      <c r="A5446" s="3" t="s">
        <v>945</v>
      </c>
    </row>
    <row r="5447" customFormat="false" ht="17.15" hidden="false" customHeight="false" outlineLevel="0" collapsed="false">
      <c r="A5447" s="5" t="s">
        <v>946</v>
      </c>
      <c r="B5447" s="0" t="s">
        <v>86</v>
      </c>
      <c r="C5447" s="38" t="n">
        <f aca="false">(1-tp_yf)*(Sens!$H$5374+sbc_ab*Sens!$H$5398*Sens!$H$5235/Sens!$H$5315)+tp_yf*(Sens!$I$5374+sbc_ab*Sens!$I$5398*Sens!$I$5235/Sens!$I$5315)</f>
        <v>59.634664536349</v>
      </c>
    </row>
    <row r="5448" customFormat="false" ht="15" hidden="false" customHeight="false" outlineLevel="0" collapsed="false">
      <c r="A5448" s="5" t="s">
        <v>947</v>
      </c>
      <c r="B5448" s="0" t="s">
        <v>57</v>
      </c>
      <c r="C5448" s="30" t="n">
        <f aca="false">m_ads*m_x</f>
        <v>9.11</v>
      </c>
    </row>
    <row r="5449" customFormat="false" ht="17.15" hidden="false" customHeight="false" outlineLevel="0" collapsed="false">
      <c r="A5449" s="5" t="s">
        <v>948</v>
      </c>
      <c r="B5449" s="0" t="s">
        <v>86</v>
      </c>
      <c r="C5449" s="38" t="n">
        <f aca="false">Sens!$C$5447*Sens!$C$5448</f>
        <v>543.271793926139</v>
      </c>
    </row>
    <row r="5450" customFormat="false" ht="17.15" hidden="false" customHeight="false" outlineLevel="0" collapsed="false">
      <c r="A5450" s="5" t="s">
        <v>949</v>
      </c>
      <c r="B5450" s="0" t="s">
        <v>86</v>
      </c>
      <c r="C5450" s="38" t="n">
        <f aca="false">(1-tp_yf)*(Sens!$H$5375+sbc_ab*Sens!$H$5398*(Sens!$H$5242-Sens!$H$5235)/Sens!$H$5315+IF(internal_ai_reading=2,1,0)*(1-ext_sh)*Sens!$H$5272)+tp_yf*(Sens!$I$5375+sbc_ab*Sens!$I$5398*(Sens!$I$5242-Sens!$I$5235)/Sens!$I$5315+IF(internal_ai_reading=2,1,0)*(1-ext_sh)*Sens!$I$5272)</f>
        <v>51.6951811103438</v>
      </c>
    </row>
    <row r="5451" customFormat="false" ht="17.15" hidden="false" customHeight="false" outlineLevel="0" collapsed="false">
      <c r="A5451" s="5" t="s">
        <v>950</v>
      </c>
      <c r="B5451" s="0" t="s">
        <v>57</v>
      </c>
      <c r="C5451" s="30" t="n">
        <f aca="false">m_retail*m_x</f>
        <v>17.72</v>
      </c>
    </row>
    <row r="5452" customFormat="false" ht="17.15" hidden="false" customHeight="false" outlineLevel="0" collapsed="false">
      <c r="A5452" s="5" t="s">
        <v>951</v>
      </c>
      <c r="B5452" s="0" t="s">
        <v>86</v>
      </c>
      <c r="C5452" s="38" t="n">
        <f aca="false">Sens!$C$5450*Sens!$C$5451</f>
        <v>916.038609275292</v>
      </c>
    </row>
    <row r="5453" customFormat="false" ht="17.15" hidden="false" customHeight="false" outlineLevel="0" collapsed="false">
      <c r="A5453" s="0" t="s">
        <v>952</v>
      </c>
      <c r="B5453" s="0" t="s">
        <v>86</v>
      </c>
      <c r="C5453" s="38" t="n">
        <f aca="false">(1-tp_yf)*(Sens!$H$5376+sbc_ab*Sens!$H$5398*Sens!$H$5313/Sens!$H$5315)+tp_yf*(Sens!$I$5376+sbc_ab*Sens!$I$5398*Sens!$I$5313/Sens!$I$5315)</f>
        <v>97.2337130506861</v>
      </c>
    </row>
    <row r="5454" customFormat="false" ht="17.15" hidden="false" customHeight="false" outlineLevel="0" collapsed="false">
      <c r="A5454" s="0" t="s">
        <v>953</v>
      </c>
      <c r="B5454" s="0" t="s">
        <v>57</v>
      </c>
      <c r="C5454" s="30" t="n">
        <f aca="false">m_cloud*m_x</f>
        <v>13.82</v>
      </c>
    </row>
    <row r="5455" customFormat="false" ht="17.15" hidden="false" customHeight="false" outlineLevel="0" collapsed="false">
      <c r="A5455" s="0" t="s">
        <v>954</v>
      </c>
      <c r="B5455" s="0" t="s">
        <v>86</v>
      </c>
      <c r="C5455" s="38" t="n">
        <f aca="false">Sens!$C$5453*Sens!$C$5454</f>
        <v>1343.76991436048</v>
      </c>
    </row>
    <row r="5456" customFormat="false" ht="17.15" hidden="false" customHeight="false" outlineLevel="0" collapsed="false">
      <c r="A5456" s="0" t="s">
        <v>955</v>
      </c>
      <c r="B5456" s="0" t="s">
        <v>86</v>
      </c>
      <c r="H5456" s="38" t="n">
        <f aca="false">Sens!$H$5294-tax*Sens!$H$5295-ext_sh*Sens!$H$5279</f>
        <v>-115.41576008619</v>
      </c>
      <c r="I5456" s="38" t="n">
        <f aca="false">Sens!$I$5294-tax*Sens!$I$5295-ext_sh*Sens!$I$5279</f>
        <v>-88.5401912683161</v>
      </c>
      <c r="J5456" s="38" t="n">
        <f aca="false">Sens!$J$5294-tax*Sens!$J$5295-ext_sh*Sens!$J$5279</f>
        <v>-61.2977422866746</v>
      </c>
      <c r="K5456" s="38" t="n">
        <f aca="false">Sens!$K$5294-tax*Sens!$K$5295-ext_sh*Sens!$K$5279</f>
        <v>9.91264760007891</v>
      </c>
      <c r="L5456" s="38" t="n">
        <f aca="false">Sens!$L$5294-tax*Sens!$L$5295-ext_sh*Sens!$L$5279</f>
        <v>46.750156871371</v>
      </c>
      <c r="M5456" s="38" t="n">
        <f aca="false">Sens!$M$5294-tax*Sens!$M$5295-ext_sh*Sens!$M$5279</f>
        <v>55.5634749071557</v>
      </c>
    </row>
    <row r="5457" customFormat="false" ht="17.15" hidden="false" customHeight="false" outlineLevel="0" collapsed="false">
      <c r="A5457" s="5" t="s">
        <v>956</v>
      </c>
      <c r="B5457" s="0" t="s">
        <v>86</v>
      </c>
      <c r="H5457" s="38" t="n">
        <f aca="false">Sens!$H$5456*Sens!$H$5434</f>
        <v>-109.880041346603</v>
      </c>
      <c r="I5457" s="38" t="n">
        <f aca="false">Sens!$I$5456*Sens!$I$5434</f>
        <v>-76.4014410751866</v>
      </c>
      <c r="J5457" s="38" t="n">
        <f aca="false">Sens!$J$5456*Sens!$J$5434</f>
        <v>-47.9416491887104</v>
      </c>
      <c r="K5457" s="38" t="n">
        <f aca="false">Sens!$K$5456*Sens!$K$5434</f>
        <v>7.02692881595236</v>
      </c>
      <c r="L5457" s="38" t="n">
        <f aca="false">Sens!$L$5456*Sens!$L$5434</f>
        <v>30.0376778904715</v>
      </c>
      <c r="M5457" s="38" t="n">
        <f aca="false">Sens!$M$5456*Sens!$M$5434</f>
        <v>32.357881338733</v>
      </c>
    </row>
    <row r="5458" customFormat="false" ht="17.15" hidden="false" customHeight="false" outlineLevel="0" collapsed="false">
      <c r="A5458" s="5" t="s">
        <v>957</v>
      </c>
      <c r="B5458" s="0" t="s">
        <v>86</v>
      </c>
      <c r="C5458" s="38" t="n">
        <f aca="false">Sens!$M$5295*(1-tax)*(1+tg)*(1-tg/ronic)/((wacc-0.01)-tg)</f>
        <v>404.774229390926</v>
      </c>
    </row>
    <row r="5459" customFormat="false" ht="17.15" hidden="false" customHeight="false" outlineLevel="0" collapsed="false">
      <c r="A5459" s="0" t="s">
        <v>958</v>
      </c>
      <c r="B5459" s="0" t="s">
        <v>86</v>
      </c>
      <c r="C5459" s="38" t="n">
        <f aca="false">(SUM(Sens!$I$5457:$M$5457)+Sens!$C$5458/(1+(wacc-0.01))^6)*(1+(wacc-0.01))^tp_yf</f>
        <v>183.760533727188</v>
      </c>
    </row>
    <row r="5460" customFormat="false" ht="17.15" hidden="false" customHeight="false" outlineLevel="0" collapsed="false">
      <c r="A5460" s="5" t="s">
        <v>959</v>
      </c>
      <c r="B5460" s="0" t="s">
        <v>86</v>
      </c>
      <c r="C5460" s="38" t="n">
        <f aca="false">(1-tp_yf)*(Sens!$H$5377)+tp_yf*(Sens!$I$5377)</f>
        <v>74.6707041238437</v>
      </c>
    </row>
    <row r="5461" customFormat="false" ht="17.15" hidden="false" customHeight="false" outlineLevel="0" collapsed="false">
      <c r="A5461" s="5" t="s">
        <v>960</v>
      </c>
      <c r="B5461" s="0" t="s">
        <v>86</v>
      </c>
      <c r="C5461" s="38" t="n">
        <f aca="false">Sens!$C$5460*m_ai</f>
        <v>448.024224743062</v>
      </c>
    </row>
    <row r="5462" customFormat="false" ht="17.15" hidden="false" customHeight="false" outlineLevel="0" collapsed="false">
      <c r="A5462" s="0" t="s">
        <v>961</v>
      </c>
      <c r="B5462" s="0" t="s">
        <v>86</v>
      </c>
      <c r="C5462" s="38" t="n">
        <f aca="false">IF(ai_leg=1,Sens!$C$5459,Sens!$C$5461)</f>
        <v>183.760533727188</v>
      </c>
    </row>
    <row r="5463" customFormat="false" ht="17.15" hidden="false" customHeight="false" outlineLevel="0" collapsed="false">
      <c r="A5463" s="5" t="s">
        <v>962</v>
      </c>
      <c r="B5463" s="0" t="s">
        <v>86</v>
      </c>
      <c r="C5463" s="38" t="n">
        <f aca="false">Sens!$C$5449+Sens!$C$5452+Sens!$C$5455+Sens!$C$5462</f>
        <v>2986.8408512891</v>
      </c>
    </row>
    <row r="5464" customFormat="false" ht="17.15" hidden="false" customHeight="false" outlineLevel="0" collapsed="false">
      <c r="A5464" s="5" t="s">
        <v>963</v>
      </c>
      <c r="B5464" s="0" t="s">
        <v>86</v>
      </c>
      <c r="C5464" s="38" t="n">
        <f aca="false">Sens!$H$5417+fin_debt</f>
        <v>143.411303169235</v>
      </c>
    </row>
    <row r="5465" customFormat="false" ht="15" hidden="false" customHeight="false" outlineLevel="0" collapsed="false">
      <c r="A5465" s="5" t="s">
        <v>964</v>
      </c>
      <c r="B5465" s="0" t="s">
        <v>86</v>
      </c>
      <c r="C5465" s="38" t="n">
        <f aca="false">Sens!$C$5463-Sens!$C$5464+Sens!$C$5442</f>
        <v>3022.37354811987</v>
      </c>
    </row>
    <row r="5466" customFormat="false" ht="15" hidden="false" customHeight="false" outlineLevel="0" collapsed="false">
      <c r="A5466" s="3" t="s">
        <v>965</v>
      </c>
      <c r="B5466" s="8" t="s">
        <v>27</v>
      </c>
      <c r="C5466" s="30" t="n">
        <f aca="false">Sens!$C$5465/sh_val</f>
        <v>274.006120598187</v>
      </c>
    </row>
    <row r="5467" customFormat="false" ht="17.15" hidden="false" customHeight="false" outlineLevel="0" collapsed="false">
      <c r="A5467" s="47" t="s">
        <v>966</v>
      </c>
      <c r="B5467" s="14" t="s">
        <v>27</v>
      </c>
      <c r="C5467" s="44" t="n">
        <f aca="false">w_dcf*Sens!$C$5445+(1-w_dcf)*Sens!$C$5466</f>
        <v>216.78718558454</v>
      </c>
      <c r="D5467" s="14"/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</row>
    <row r="5468" customFormat="false" ht="17.15" hidden="false" customHeight="false" outlineLevel="0" collapsed="false">
      <c r="A5468" s="5" t="s">
        <v>967</v>
      </c>
      <c r="B5468" s="0" t="s">
        <v>27</v>
      </c>
      <c r="C5468" s="30" t="n">
        <f aca="false">v022_wdcf*Sens!$C$5445+(1-v022_wdcf)*Sens!$C$5466</f>
        <v>222.509079085904</v>
      </c>
    </row>
    <row r="5469" customFormat="false" ht="17.15" hidden="false" customHeight="false" outlineLevel="0" collapsed="false">
      <c r="A5469" s="5" t="s">
        <v>968</v>
      </c>
      <c r="B5469" s="0" t="s">
        <v>27</v>
      </c>
      <c r="C5469" s="30" t="n">
        <f aca="false">(Sens!$C$5465-Sens!$C$5462+Sens!$C$5461)/sh_val</f>
        <v>297.964068759578</v>
      </c>
    </row>
    <row r="5472" customFormat="false" ht="19.4" hidden="false" customHeight="false" outlineLevel="0" collapsed="false">
      <c r="A5472" s="31" t="s">
        <v>1262</v>
      </c>
    </row>
    <row r="5473" customFormat="false" ht="17.15" hidden="false" customHeight="false" outlineLevel="0" collapsed="false">
      <c r="A5473" s="6" t="s">
        <v>16</v>
      </c>
      <c r="B5473" s="6" t="s">
        <v>17</v>
      </c>
      <c r="C5473" s="20" t="s">
        <v>504</v>
      </c>
      <c r="D5473" s="20" t="s">
        <v>505</v>
      </c>
      <c r="E5473" s="20" t="s">
        <v>587</v>
      </c>
      <c r="F5473" s="20" t="s">
        <v>588</v>
      </c>
      <c r="G5473" s="20" t="s">
        <v>589</v>
      </c>
      <c r="H5473" s="20" t="s">
        <v>590</v>
      </c>
      <c r="I5473" s="20" t="s">
        <v>591</v>
      </c>
      <c r="J5473" s="20" t="s">
        <v>592</v>
      </c>
      <c r="K5473" s="20" t="s">
        <v>593</v>
      </c>
      <c r="L5473" s="20" t="s">
        <v>594</v>
      </c>
      <c r="M5473" s="20" t="s">
        <v>595</v>
      </c>
      <c r="N5473" s="20" t="s">
        <v>596</v>
      </c>
      <c r="O5473" s="20" t="s">
        <v>597</v>
      </c>
      <c r="P5473" s="6" t="s">
        <v>23</v>
      </c>
      <c r="R5473" s="20" t="n">
        <v>2023</v>
      </c>
      <c r="S5473" s="20" t="n">
        <v>2024</v>
      </c>
      <c r="T5473" s="20" t="n">
        <v>2025</v>
      </c>
      <c r="U5473" s="20" t="n">
        <v>2026</v>
      </c>
      <c r="V5473" s="20" t="n">
        <v>2027</v>
      </c>
      <c r="W5473" s="20" t="n">
        <v>2028</v>
      </c>
      <c r="X5473" s="20" t="n">
        <v>2029</v>
      </c>
      <c r="Y5473" s="20" t="n">
        <v>2030</v>
      </c>
      <c r="Z5473" s="20" t="n">
        <v>2031</v>
      </c>
      <c r="AA5473" s="20" t="n">
        <v>2032</v>
      </c>
    </row>
    <row r="5474" customFormat="false" ht="17.15" hidden="false" customHeight="false" outlineLevel="0" collapsed="false">
      <c r="A5474" s="1" t="s">
        <v>677</v>
      </c>
    </row>
    <row r="5475" customFormat="false" ht="17.15" hidden="false" customHeight="false" outlineLevel="0" collapsed="false">
      <c r="A5475" s="0" t="s">
        <v>526</v>
      </c>
      <c r="B5475" s="0" t="s">
        <v>86</v>
      </c>
      <c r="C5475" s="38" t="n">
        <f aca="false">Q!$D$10</f>
        <v>247.029</v>
      </c>
      <c r="D5475" s="38" t="n">
        <f aca="false">Q!$E$10</f>
        <v>269.287</v>
      </c>
      <c r="E5475" s="38" t="n">
        <f aca="false">Q!$P$10</f>
        <v>134.686</v>
      </c>
      <c r="F5475" s="38" t="n">
        <f aca="false">Sens!$O$5475*(1+Sens!$F$5476)*Sens!$F$5487</f>
        <v>158.293876822267</v>
      </c>
      <c r="G5475" s="38" t="n">
        <f aca="false">Sens!$E$5475+Sens!$F$5475</f>
        <v>292.979876822267</v>
      </c>
      <c r="H5475" s="38" t="n">
        <f aca="false">Sens!$G$5475*(1+Sens!$H$5476)</f>
        <v>318.184543087396</v>
      </c>
      <c r="I5475" s="38" t="n">
        <f aca="false">Sens!$H$5475*(1+Sens!$I$5476)</f>
        <v>341.736278761793</v>
      </c>
      <c r="J5475" s="38" t="n">
        <f aca="false">Sens!$I$5475*(1+Sens!$J$5476)</f>
        <v>362.927192787048</v>
      </c>
      <c r="K5475" s="38" t="n">
        <f aca="false">Sens!$J$5475*(1+Sens!$K$5476)</f>
        <v>381.0735524264</v>
      </c>
      <c r="L5475" s="38" t="n">
        <f aca="false">Sens!$K$5475*(1+Sens!$L$5476)</f>
        <v>400.12723004772</v>
      </c>
      <c r="M5475" s="38" t="n">
        <f aca="false">Sens!$L$5475*(1+Sens!$M$5476)</f>
        <v>420.133591550106</v>
      </c>
      <c r="N5475" s="38" t="n">
        <f aca="false">Q!$N$10</f>
        <v>118.892</v>
      </c>
      <c r="O5475" s="38" t="n">
        <f aca="false">Q!$O$10</f>
        <v>150.395</v>
      </c>
      <c r="P5475" s="8" t="s">
        <v>678</v>
      </c>
    </row>
    <row r="5476" customFormat="false" ht="17.15" hidden="false" customHeight="false" outlineLevel="0" collapsed="false">
      <c r="A5476" s="0" t="s">
        <v>679</v>
      </c>
      <c r="B5476" s="0" t="s">
        <v>52</v>
      </c>
      <c r="E5476" s="13" t="n">
        <f aca="false">Sens!$E$5475/Sens!$N$5475-1</f>
        <v>0.132843252699929</v>
      </c>
      <c r="F5476" s="13" t="n">
        <f aca="false">Sens!$O$5475/(Q!$F$10+Q!$G$10)-1</f>
        <v>0.0980382135842941</v>
      </c>
      <c r="G5476" s="13" t="n">
        <f aca="false">Sens!$G$5475/Sens!$D$5475-1</f>
        <v>0.0879837378791657</v>
      </c>
      <c r="H5476" s="13" t="n">
        <f aca="false">Sens!$F$5476+(g_os-Sens!$F$5476)*1/4</f>
        <v>0.0860286601882206</v>
      </c>
      <c r="I5476" s="13" t="n">
        <f aca="false">Sens!$F$5476+(g_os-Sens!$F$5476)*2/4</f>
        <v>0.074019106792147</v>
      </c>
      <c r="J5476" s="13" t="n">
        <f aca="false">Sens!$F$5476+(g_os-Sens!$F$5476)*3/4</f>
        <v>0.0620095533960735</v>
      </c>
      <c r="K5476" s="13" t="n">
        <f aca="false">Sens!$F$5476+(g_os-Sens!$F$5476)*4/4</f>
        <v>0.05</v>
      </c>
      <c r="L5476" s="13" t="n">
        <f aca="false">g_os</f>
        <v>0.05</v>
      </c>
      <c r="M5476" s="13" t="n">
        <f aca="false">g_os</f>
        <v>0.05</v>
      </c>
      <c r="P5476" s="8" t="s">
        <v>680</v>
      </c>
    </row>
    <row r="5477" customFormat="false" ht="17.15" hidden="false" customHeight="false" outlineLevel="0" collapsed="false">
      <c r="A5477" s="0" t="s">
        <v>527</v>
      </c>
      <c r="B5477" s="0" t="s">
        <v>86</v>
      </c>
      <c r="C5477" s="38" t="n">
        <f aca="false">Q!$D$11</f>
        <v>21.215</v>
      </c>
      <c r="D5477" s="38" t="n">
        <f aca="false">Q!$E$11</f>
        <v>22.561</v>
      </c>
      <c r="E5477" s="38" t="n">
        <f aca="false">Q!$P$11</f>
        <v>11.579</v>
      </c>
      <c r="F5477" s="38" t="n">
        <f aca="false">Sens!$O$5477*(1+Sens!$F$5478)*Sens!$F$5487</f>
        <v>11.5938724610325</v>
      </c>
      <c r="G5477" s="38" t="n">
        <f aca="false">Sens!$E$5477+Sens!$F$5477</f>
        <v>23.1728724610325</v>
      </c>
      <c r="H5477" s="38" t="n">
        <f aca="false">Sens!$G$5477*(1+Sens!$H$5478)</f>
        <v>24.353392759506</v>
      </c>
      <c r="I5477" s="38" t="n">
        <f aca="false">Sens!$H$5477*(1+Sens!$I$5478)</f>
        <v>25.4240338872015</v>
      </c>
      <c r="J5477" s="38" t="n">
        <f aca="false">Sens!$I$5477*(1+Sens!$J$5478)</f>
        <v>26.3642491017174</v>
      </c>
      <c r="K5477" s="38" t="n">
        <f aca="false">Sens!$J$5477*(1+Sens!$K$5478)</f>
        <v>27.155176574769</v>
      </c>
      <c r="L5477" s="38" t="n">
        <f aca="false">Sens!$K$5477*(1+Sens!$L$5478)</f>
        <v>27.969831872012</v>
      </c>
      <c r="M5477" s="38" t="n">
        <f aca="false">Sens!$L$5477*(1+Sens!$M$5478)</f>
        <v>28.8089268281724</v>
      </c>
      <c r="N5477" s="38" t="n">
        <f aca="false">Q!$N$11</f>
        <v>11.128</v>
      </c>
      <c r="O5477" s="38" t="n">
        <f aca="false">Q!$O$11</f>
        <v>11.433</v>
      </c>
      <c r="P5477" s="8" t="s">
        <v>678</v>
      </c>
    </row>
    <row r="5478" customFormat="false" ht="17.15" hidden="false" customHeight="false" outlineLevel="0" collapsed="false">
      <c r="A5478" s="0" t="s">
        <v>681</v>
      </c>
      <c r="B5478" s="0" t="s">
        <v>52</v>
      </c>
      <c r="E5478" s="13" t="n">
        <f aca="false">Sens!$E$5477/Sens!$N$5477-1</f>
        <v>0.0405283968368082</v>
      </c>
      <c r="F5478" s="13" t="n">
        <f aca="false">Sens!$O$5477/(Q!$F$11+Q!$G$11)-1</f>
        <v>0.0579254187100955</v>
      </c>
      <c r="G5478" s="13" t="n">
        <f aca="false">Sens!$G$5477/Sens!$D$5477-1</f>
        <v>0.0271208040881397</v>
      </c>
      <c r="H5478" s="13" t="n">
        <f aca="false">Sens!$F$5478+(g_ps-Sens!$F$5478)*1/4</f>
        <v>0.0509440640325716</v>
      </c>
      <c r="I5478" s="13" t="n">
        <f aca="false">Sens!$F$5478+(g_ps-Sens!$F$5478)*2/4</f>
        <v>0.0439627093550477</v>
      </c>
      <c r="J5478" s="13" t="n">
        <f aca="false">Sens!$F$5478+(g_ps-Sens!$F$5478)*3/4</f>
        <v>0.0369813546775239</v>
      </c>
      <c r="K5478" s="13" t="n">
        <f aca="false">Sens!$F$5478+(g_ps-Sens!$F$5478)*4/4</f>
        <v>0.03</v>
      </c>
      <c r="L5478" s="13" t="n">
        <f aca="false">g_ps</f>
        <v>0.03</v>
      </c>
      <c r="M5478" s="13" t="n">
        <f aca="false">g_ps</f>
        <v>0.03</v>
      </c>
      <c r="P5478" s="8" t="s">
        <v>682</v>
      </c>
    </row>
    <row r="5479" customFormat="false" ht="17.15" hidden="false" customHeight="false" outlineLevel="0" collapsed="false">
      <c r="A5479" s="0" t="s">
        <v>528</v>
      </c>
      <c r="B5479" s="0" t="s">
        <v>86</v>
      </c>
      <c r="C5479" s="38" t="n">
        <f aca="false">Q!$D$12</f>
        <v>156.146</v>
      </c>
      <c r="D5479" s="38" t="n">
        <f aca="false">Q!$E$12</f>
        <v>172.162</v>
      </c>
      <c r="E5479" s="38" t="n">
        <f aca="false">Q!$P$12</f>
        <v>88.358</v>
      </c>
      <c r="F5479" s="38" t="n">
        <f aca="false">Sens!$O$5479*(1+Sens!$F$5480)*Sens!$F$5487</f>
        <v>102.004388260171</v>
      </c>
      <c r="G5479" s="38" t="n">
        <f aca="false">Sens!$E$5479+Sens!$F$5479</f>
        <v>190.362388260171</v>
      </c>
      <c r="H5479" s="38" t="n">
        <f aca="false">Sens!$G$5479*(1+Sens!$H$5480)</f>
        <v>210.343106588311</v>
      </c>
      <c r="I5479" s="38" t="n">
        <f aca="false">Sens!$H$5479*(1+Sens!$I$5480)</f>
        <v>229.969728494648</v>
      </c>
      <c r="J5479" s="38" t="n">
        <f aca="false">Sens!$I$5479*(1+Sens!$J$5480)</f>
        <v>248.747636972598</v>
      </c>
      <c r="K5479" s="38" t="n">
        <f aca="false">Sens!$J$5479*(1+Sens!$K$5480)</f>
        <v>266.15997156068</v>
      </c>
      <c r="L5479" s="38" t="n">
        <f aca="false">Sens!$K$5479*(1+Sens!$L$5480)</f>
        <v>284.791169569927</v>
      </c>
      <c r="M5479" s="38" t="n">
        <f aca="false">Sens!$L$5479*(1+Sens!$M$5480)</f>
        <v>304.726551439822</v>
      </c>
      <c r="N5479" s="38" t="n">
        <f aca="false">Q!$N$12</f>
        <v>76.86</v>
      </c>
      <c r="O5479" s="38" t="n">
        <f aca="false">Q!$O$12</f>
        <v>95.302</v>
      </c>
      <c r="P5479" s="8" t="s">
        <v>678</v>
      </c>
    </row>
    <row r="5480" customFormat="false" ht="17.15" hidden="false" customHeight="false" outlineLevel="0" collapsed="false">
      <c r="A5480" s="0" t="s">
        <v>683</v>
      </c>
      <c r="B5480" s="0" t="s">
        <v>52</v>
      </c>
      <c r="E5480" s="13" t="n">
        <f aca="false">Sens!$E$5479/Sens!$N$5479-1</f>
        <v>0.1495966692688</v>
      </c>
      <c r="F5480" s="13" t="n">
        <f aca="false">Sens!$O$5479/(Q!$F$12+Q!$G$12)-1</f>
        <v>0.11661530890813</v>
      </c>
      <c r="G5480" s="13" t="n">
        <f aca="false">Sens!$G$5479/Sens!$D$5479-1</f>
        <v>0.105716640490767</v>
      </c>
      <c r="H5480" s="13" t="n">
        <f aca="false">Sens!$F$5480+(g_sp-Sens!$F$5480)*1/4</f>
        <v>0.104961481681098</v>
      </c>
      <c r="I5480" s="13" t="n">
        <f aca="false">Sens!$F$5480+(g_sp-Sens!$F$5480)*2/4</f>
        <v>0.0933076544540651</v>
      </c>
      <c r="J5480" s="13" t="n">
        <f aca="false">Sens!$F$5480+(g_sp-Sens!$F$5480)*3/4</f>
        <v>0.0816538272270325</v>
      </c>
      <c r="K5480" s="13" t="n">
        <f aca="false">Sens!$F$5480+(g_sp-Sens!$F$5480)*4/4</f>
        <v>0.07</v>
      </c>
      <c r="L5480" s="13" t="n">
        <f aca="false">g_sp</f>
        <v>0.07</v>
      </c>
      <c r="M5480" s="13" t="n">
        <f aca="false">g_sp</f>
        <v>0.07</v>
      </c>
      <c r="P5480" s="8" t="s">
        <v>684</v>
      </c>
    </row>
    <row r="5481" customFormat="false" ht="17.15" hidden="false" customHeight="false" outlineLevel="0" collapsed="false">
      <c r="A5481" s="0" t="s">
        <v>529</v>
      </c>
      <c r="B5481" s="0" t="s">
        <v>86</v>
      </c>
      <c r="C5481" s="38" t="n">
        <f aca="false">Q!$D$13</f>
        <v>56.214</v>
      </c>
      <c r="D5481" s="38" t="n">
        <f aca="false">Q!$E$13</f>
        <v>68.635</v>
      </c>
      <c r="E5481" s="38" t="n">
        <f aca="false">Q!$P$13</f>
        <v>37.052</v>
      </c>
      <c r="F5481" s="38" t="n">
        <f aca="false">Sens!$O$5481*(1+Sens!$F$5482)*Sens!$F$5487</f>
        <v>46.1572219944148</v>
      </c>
      <c r="G5481" s="38" t="n">
        <f aca="false">Sens!$E$5481+Sens!$F$5481</f>
        <v>83.2092219944148</v>
      </c>
      <c r="H5481" s="38" t="n">
        <f aca="false">Sens!$G$5481*(1+Sens!$H$5482)</f>
        <v>99.8969223878976</v>
      </c>
      <c r="I5481" s="38" t="n">
        <f aca="false">Sens!$H$5481*(1+Sens!$I$5482)</f>
        <v>116.583111095496</v>
      </c>
      <c r="J5481" s="38" t="n">
        <f aca="false">Sens!$I$5481*(1+Sens!$J$5482)</f>
        <v>132.148941941952</v>
      </c>
      <c r="K5481" s="38" t="n">
        <f aca="false">Sens!$J$5481*(1+Sens!$K$5482)</f>
        <v>145.363836136147</v>
      </c>
      <c r="L5481" s="38" t="n">
        <f aca="false">Sens!$K$5481*(1+Sens!$L$5482)</f>
        <v>159.900219749762</v>
      </c>
      <c r="M5481" s="38" t="n">
        <f aca="false">Sens!$L$5481*(1+Sens!$M$5482)</f>
        <v>175.890241724738</v>
      </c>
      <c r="N5481" s="38" t="n">
        <f aca="false">Q!$N$13</f>
        <v>29.615</v>
      </c>
      <c r="O5481" s="38" t="n">
        <f aca="false">Q!$O$13</f>
        <v>39.02</v>
      </c>
      <c r="P5481" s="8" t="s">
        <v>678</v>
      </c>
    </row>
    <row r="5482" customFormat="false" ht="17.15" hidden="false" customHeight="false" outlineLevel="0" collapsed="false">
      <c r="A5482" s="0" t="s">
        <v>685</v>
      </c>
      <c r="B5482" s="0" t="s">
        <v>52</v>
      </c>
      <c r="E5482" s="13" t="n">
        <f aca="false">Sens!$E$5481/Sens!$N$5481-1</f>
        <v>0.25112274185379</v>
      </c>
      <c r="F5482" s="13" t="n">
        <f aca="false">Sens!$O$5481/(Q!$F$13+Q!$G$13)-1</f>
        <v>0.234068123596572</v>
      </c>
      <c r="G5482" s="13" t="n">
        <f aca="false">Sens!$G$5481/Sens!$D$5481-1</f>
        <v>0.212343876949294</v>
      </c>
      <c r="H5482" s="13" t="n">
        <f aca="false">Sens!$F$5482+(g_ad-Sens!$F$5482)*1/4</f>
        <v>0.200551092697429</v>
      </c>
      <c r="I5482" s="13" t="n">
        <f aca="false">Sens!$F$5482+(g_ad-Sens!$F$5482)*2/4</f>
        <v>0.167034061798286</v>
      </c>
      <c r="J5482" s="13" t="n">
        <f aca="false">Sens!$F$5482+(g_ad-Sens!$F$5482)*3/4</f>
        <v>0.133517030899143</v>
      </c>
      <c r="K5482" s="13" t="n">
        <f aca="false">Sens!$F$5482+(g_ad-Sens!$F$5482)*4/4</f>
        <v>0.1</v>
      </c>
      <c r="L5482" s="13" t="n">
        <f aca="false">g_ad</f>
        <v>0.1</v>
      </c>
      <c r="M5482" s="13" t="n">
        <f aca="false">g_ad</f>
        <v>0.1</v>
      </c>
      <c r="P5482" s="8" t="s">
        <v>686</v>
      </c>
    </row>
    <row r="5483" customFormat="false" ht="17.15" hidden="false" customHeight="false" outlineLevel="0" collapsed="false">
      <c r="A5483" s="0" t="s">
        <v>530</v>
      </c>
      <c r="B5483" s="0" t="s">
        <v>86</v>
      </c>
      <c r="C5483" s="38" t="n">
        <f aca="false">Q!$D$14</f>
        <v>44.374</v>
      </c>
      <c r="D5483" s="38" t="n">
        <f aca="false">Q!$E$14</f>
        <v>49.619</v>
      </c>
      <c r="E5483" s="38" t="n">
        <f aca="false">Q!$P$14</f>
        <v>27.157</v>
      </c>
      <c r="F5483" s="38" t="n">
        <f aca="false">Sens!$O$5483*(1+Sens!$F$5484)*Sens!$F$5487</f>
        <v>27.7764165988154</v>
      </c>
      <c r="G5483" s="38" t="n">
        <f aca="false">Sens!$E$5483+Sens!$F$5483</f>
        <v>54.9334165988154</v>
      </c>
      <c r="H5483" s="38" t="n">
        <f aca="false">Sens!$G$5483*(1+Sens!$H$5484)</f>
        <v>61.1564112561829</v>
      </c>
      <c r="I5483" s="38" t="n">
        <f aca="false">Sens!$H$5483*(1+Sens!$I$5484)</f>
        <v>67.2020282103945</v>
      </c>
      <c r="J5483" s="38" t="n">
        <f aca="false">Sens!$I$5483*(1+Sens!$J$5484)</f>
        <v>72.8757274028885</v>
      </c>
      <c r="K5483" s="38" t="n">
        <f aca="false">Sens!$J$5483*(1+Sens!$K$5484)</f>
        <v>77.9770283210907</v>
      </c>
      <c r="L5483" s="38" t="n">
        <f aca="false">Sens!$K$5483*(1+Sens!$L$5484)</f>
        <v>83.4354203035671</v>
      </c>
      <c r="M5483" s="38" t="n">
        <f aca="false">Sens!$L$5483*(1+Sens!$M$5484)</f>
        <v>89.2758997248168</v>
      </c>
      <c r="N5483" s="38" t="n">
        <f aca="false">Q!$N$14</f>
        <v>23.923</v>
      </c>
      <c r="O5483" s="38" t="n">
        <f aca="false">Q!$O$14</f>
        <v>25.696</v>
      </c>
      <c r="P5483" s="8" t="s">
        <v>678</v>
      </c>
    </row>
    <row r="5484" customFormat="false" ht="17.15" hidden="false" customHeight="false" outlineLevel="0" collapsed="false">
      <c r="A5484" s="0" t="s">
        <v>687</v>
      </c>
      <c r="B5484" s="0" t="s">
        <v>52</v>
      </c>
      <c r="E5484" s="13" t="n">
        <f aca="false">Sens!$E$5483/Sens!$N$5483-1</f>
        <v>0.135183714417088</v>
      </c>
      <c r="F5484" s="13" t="n">
        <f aca="false">Sens!$O$5483/(Q!$F$14+Q!$G$14)-1</f>
        <v>0.127709997366804</v>
      </c>
      <c r="G5484" s="13" t="n">
        <f aca="false">Sens!$G$5483/Sens!$D$5483-1</f>
        <v>0.107104468022641</v>
      </c>
      <c r="H5484" s="13" t="n">
        <f aca="false">Sens!$F$5484+(g_sub-Sens!$F$5484)*1/4</f>
        <v>0.113282498025103</v>
      </c>
      <c r="I5484" s="13" t="n">
        <f aca="false">Sens!$F$5484+(g_sub-Sens!$F$5484)*2/4</f>
        <v>0.0988549986834021</v>
      </c>
      <c r="J5484" s="13" t="n">
        <f aca="false">Sens!$F$5484+(g_sub-Sens!$F$5484)*3/4</f>
        <v>0.084427499341701</v>
      </c>
      <c r="K5484" s="13" t="n">
        <f aca="false">Sens!$F$5484+(g_sub-Sens!$F$5484)*4/4</f>
        <v>0.07</v>
      </c>
      <c r="L5484" s="13" t="n">
        <f aca="false">g_sub</f>
        <v>0.07</v>
      </c>
      <c r="M5484" s="13" t="n">
        <f aca="false">g_sub</f>
        <v>0.07</v>
      </c>
      <c r="P5484" s="8" t="s">
        <v>688</v>
      </c>
    </row>
    <row r="5485" customFormat="false" ht="17.15" hidden="false" customHeight="false" outlineLevel="0" collapsed="false">
      <c r="A5485" s="0" t="s">
        <v>531</v>
      </c>
      <c r="B5485" s="0" t="s">
        <v>86</v>
      </c>
      <c r="C5485" s="38" t="n">
        <f aca="false">Q!$D$15</f>
        <v>5.425</v>
      </c>
      <c r="D5485" s="38" t="n">
        <f aca="false">Q!$E$15</f>
        <v>5.935</v>
      </c>
      <c r="E5485" s="38" t="n">
        <f aca="false">Q!$P$15</f>
        <v>3.474</v>
      </c>
      <c r="F5485" s="38" t="n">
        <f aca="false">Sens!$O$5485*(1+Sens!$F$5486)*Sens!$F$5487</f>
        <v>3.22246550883619</v>
      </c>
      <c r="G5485" s="38" t="n">
        <f aca="false">Sens!$E$5485+Sens!$F$5485</f>
        <v>6.69646550883619</v>
      </c>
      <c r="H5485" s="38" t="n">
        <f aca="false">Sens!$G$5485*(1+Sens!$H$5486)</f>
        <v>7.16251344209196</v>
      </c>
      <c r="I5485" s="38" t="n">
        <f aca="false">Sens!$H$5485*(1+Sens!$I$5486)</f>
        <v>7.61421070299826</v>
      </c>
      <c r="J5485" s="38" t="n">
        <f aca="false">Sens!$I$5485*(1+Sens!$J$5486)</f>
        <v>8.04465753523932</v>
      </c>
      <c r="K5485" s="38" t="n">
        <f aca="false">Sens!$J$5485*(1+Sens!$K$5486)</f>
        <v>8.44689041200128</v>
      </c>
      <c r="L5485" s="38" t="n">
        <f aca="false">Sens!$K$5485*(1+Sens!$L$5486)</f>
        <v>8.86923493260135</v>
      </c>
      <c r="M5485" s="38" t="n">
        <f aca="false">Sens!$L$5485*(1+Sens!$M$5486)</f>
        <v>9.31269667923142</v>
      </c>
      <c r="N5485" s="38" t="n">
        <f aca="false">Q!$N$15</f>
        <v>2.811</v>
      </c>
      <c r="O5485" s="38" t="n">
        <f aca="false">Q!$O$15</f>
        <v>3.124</v>
      </c>
      <c r="P5485" s="8" t="s">
        <v>678</v>
      </c>
    </row>
    <row r="5486" customFormat="false" ht="17.15" hidden="false" customHeight="false" outlineLevel="0" collapsed="false">
      <c r="A5486" s="0" t="s">
        <v>689</v>
      </c>
      <c r="B5486" s="0" t="s">
        <v>52</v>
      </c>
      <c r="E5486" s="13" t="n">
        <f aca="false">Sens!$E$5485/Sens!$N$5485-1</f>
        <v>0.235859124866596</v>
      </c>
      <c r="F5486" s="13" t="n">
        <f aca="false">Sens!$O$5485/(Q!$F$15+Q!$G$15)-1</f>
        <v>0.0761281433000345</v>
      </c>
      <c r="G5486" s="13" t="n">
        <f aca="false">Sens!$G$5485/Sens!$D$5485-1</f>
        <v>0.128300843948811</v>
      </c>
      <c r="H5486" s="13" t="n">
        <f aca="false">Sens!$F$5486+(g_ot-Sens!$F$5486)*1/4</f>
        <v>0.0695961074750259</v>
      </c>
      <c r="I5486" s="13" t="n">
        <f aca="false">Sens!$F$5486+(g_ot-Sens!$F$5486)*2/4</f>
        <v>0.0630640716500172</v>
      </c>
      <c r="J5486" s="13" t="n">
        <f aca="false">Sens!$F$5486+(g_ot-Sens!$F$5486)*3/4</f>
        <v>0.0565320358250086</v>
      </c>
      <c r="K5486" s="13" t="n">
        <f aca="false">Sens!$F$5486+(g_ot-Sens!$F$5486)*4/4</f>
        <v>0.05</v>
      </c>
      <c r="L5486" s="13" t="n">
        <f aca="false">g_ot</f>
        <v>0.05</v>
      </c>
      <c r="M5486" s="13" t="n">
        <f aca="false">g_ot</f>
        <v>0.05</v>
      </c>
      <c r="P5486" s="8" t="s">
        <v>690</v>
      </c>
    </row>
    <row r="5487" customFormat="false" ht="17.15" hidden="false" customHeight="false" outlineLevel="0" collapsed="false">
      <c r="A5487" s="0" t="s">
        <v>691</v>
      </c>
      <c r="B5487" s="0" t="s">
        <v>57</v>
      </c>
      <c r="F5487" s="40" t="n">
        <f aca="false">(g26q3_mid*Q!$O$8/Q!$J$8-Thesis!$F$89-Thesis!$F$93)/(Sens!$O$5475*(1+Sens!$F$5476)+Sens!$O$5477*(1+Sens!$F$5478)+Sens!$O$5479*(1+Sens!$F$5480)+Sens!$O$5481*(1+Sens!$F$5482)+Sens!$O$5483*(1+Sens!$F$5484)+Sens!$O$5485*(1+Sens!$F$5486))</f>
        <v>0.958546670622329</v>
      </c>
      <c r="P5487" s="8" t="s">
        <v>692</v>
      </c>
    </row>
    <row r="5488" customFormat="false" ht="17.15" hidden="false" customHeight="false" outlineLevel="0" collapsed="false">
      <c r="A5488" s="3" t="s">
        <v>693</v>
      </c>
      <c r="B5488" s="8" t="s">
        <v>86</v>
      </c>
      <c r="C5488" s="38" t="n">
        <f aca="false">Sens!$C$5475+Sens!$C$5477+Sens!$C$5479+Sens!$C$5481+Sens!$C$5483+Sens!$C$5485</f>
        <v>530.403</v>
      </c>
      <c r="D5488" s="38" t="n">
        <f aca="false">Sens!$D$5475+Sens!$D$5477+Sens!$D$5479+Sens!$D$5481+Sens!$D$5483+Sens!$D$5485</f>
        <v>588.199</v>
      </c>
      <c r="E5488" s="38" t="n">
        <f aca="false">Sens!$E$5475+Sens!$E$5477+Sens!$E$5479+Sens!$E$5481+Sens!$E$5483+Sens!$E$5485</f>
        <v>302.306</v>
      </c>
      <c r="F5488" s="38" t="n">
        <f aca="false">Sens!$F$5475+Sens!$F$5477+Sens!$F$5479+Sens!$F$5481+Sens!$F$5483+Sens!$F$5485</f>
        <v>349.048241645537</v>
      </c>
      <c r="G5488" s="38" t="n">
        <f aca="false">Sens!$G$5475+Sens!$G$5477+Sens!$G$5479+Sens!$G$5481+Sens!$G$5483+Sens!$G$5485</f>
        <v>651.354241645537</v>
      </c>
      <c r="H5488" s="38" t="n">
        <f aca="false">Sens!$H$5475+Sens!$H$5477+Sens!$H$5479+Sens!$H$5481+Sens!$H$5483+Sens!$H$5485</f>
        <v>721.096889521386</v>
      </c>
      <c r="I5488" s="38" t="n">
        <f aca="false">Sens!$I$5475+Sens!$I$5477+Sens!$I$5479+Sens!$I$5481+Sens!$I$5483+Sens!$I$5485</f>
        <v>788.529391152531</v>
      </c>
      <c r="J5488" s="38" t="n">
        <f aca="false">Sens!$J$5475+Sens!$J$5477+Sens!$J$5479+Sens!$J$5481+Sens!$J$5483+Sens!$J$5485</f>
        <v>851.108405741443</v>
      </c>
      <c r="K5488" s="38" t="n">
        <f aca="false">Sens!$K$5475+Sens!$K$5477+Sens!$K$5479+Sens!$K$5481+Sens!$K$5483+Sens!$K$5485</f>
        <v>906.176455431088</v>
      </c>
      <c r="L5488" s="38" t="n">
        <f aca="false">Sens!$L$5475+Sens!$L$5477+Sens!$L$5479+Sens!$L$5481+Sens!$L$5483+Sens!$L$5485</f>
        <v>965.093106475589</v>
      </c>
      <c r="M5488" s="38" t="n">
        <f aca="false">Sens!$M$5475+Sens!$M$5477+Sens!$M$5479+Sens!$M$5481+Sens!$M$5483+Sens!$M$5485</f>
        <v>1028.14790794689</v>
      </c>
      <c r="N5488" s="38" t="n">
        <f aca="false">Sens!$N$5475+Sens!$N$5477+Sens!$N$5479+Sens!$N$5481+Sens!$N$5483+Sens!$N$5485</f>
        <v>263.229</v>
      </c>
      <c r="O5488" s="38" t="n">
        <f aca="false">Sens!$O$5475+Sens!$O$5477+Sens!$O$5479+Sens!$O$5481+Sens!$O$5483+Sens!$O$5485</f>
        <v>324.97</v>
      </c>
    </row>
    <row r="5489" customFormat="false" ht="17.15" hidden="false" customHeight="false" outlineLevel="0" collapsed="false">
      <c r="A5489" s="5" t="s">
        <v>694</v>
      </c>
      <c r="B5489" s="0" t="s">
        <v>52</v>
      </c>
      <c r="C5489" s="13" t="n">
        <f aca="false">Q!$D$5/(Q!$D$5+Q!$D$6)</f>
        <v>0.730570905519011</v>
      </c>
      <c r="D5489" s="13" t="n">
        <f aca="false">Q!$E$5/(Q!$E$5+Q!$E$6)</f>
        <v>0.724763217890544</v>
      </c>
      <c r="E5489" s="13" t="n">
        <f aca="false">Q!$P$5/(Q!$P$5+Q!$P$6)</f>
        <v>0.728797972914861</v>
      </c>
      <c r="F5489" s="13" t="n">
        <f aca="false">Sens!$O$5489</f>
        <v>0.718066283041511</v>
      </c>
      <c r="G5489" s="13" t="n">
        <f aca="false">Sens!$G$5490/Sens!$G$5488</f>
        <v>0.723047066202847</v>
      </c>
      <c r="H5489" s="13" t="n">
        <f aca="false">Sens!$G$5489</f>
        <v>0.723047066202847</v>
      </c>
      <c r="I5489" s="13" t="n">
        <f aca="false">Sens!$G$5489</f>
        <v>0.723047066202847</v>
      </c>
      <c r="J5489" s="13" t="n">
        <f aca="false">Sens!$G$5489</f>
        <v>0.723047066202847</v>
      </c>
      <c r="K5489" s="13" t="n">
        <f aca="false">Sens!$G$5489</f>
        <v>0.723047066202847</v>
      </c>
      <c r="L5489" s="13" t="n">
        <f aca="false">Sens!$G$5489</f>
        <v>0.723047066202847</v>
      </c>
      <c r="M5489" s="13" t="n">
        <f aca="false">Sens!$G$5489</f>
        <v>0.723047066202847</v>
      </c>
      <c r="N5489" s="13" t="n">
        <f aca="false">Q!$N$5/(Q!$N$5+Q!$N$6)</f>
        <v>0.733030935041352</v>
      </c>
      <c r="O5489" s="13" t="n">
        <f aca="false">Q!$O$5/(Q!$O$5+Q!$O$6)</f>
        <v>0.718066283041511</v>
      </c>
      <c r="P5489" s="8" t="s">
        <v>695</v>
      </c>
    </row>
    <row r="5490" customFormat="false" ht="17.15" hidden="false" customHeight="false" outlineLevel="0" collapsed="false">
      <c r="A5490" s="1" t="s">
        <v>519</v>
      </c>
      <c r="B5490" s="8" t="s">
        <v>86</v>
      </c>
      <c r="C5490" s="38" t="n">
        <f aca="false">Q!$D$5</f>
        <v>387.497</v>
      </c>
      <c r="D5490" s="38" t="n">
        <f aca="false">Q!$E$5</f>
        <v>426.305</v>
      </c>
      <c r="E5490" s="38" t="n">
        <f aca="false">Q!$P$5</f>
        <v>220.32</v>
      </c>
      <c r="F5490" s="38" t="n">
        <f aca="false">Sens!$F$5488*Sens!$F$5489</f>
        <v>250.639773480586</v>
      </c>
      <c r="G5490" s="38" t="n">
        <f aca="false">Sens!$E$5490+Sens!$F$5490</f>
        <v>470.959773480586</v>
      </c>
      <c r="H5490" s="38" t="n">
        <f aca="false">Sens!$H$5488*Sens!$H$5489</f>
        <v>521.386990416437</v>
      </c>
      <c r="I5490" s="38" t="n">
        <f aca="false">Sens!$I$5488*Sens!$I$5489</f>
        <v>570.143862887555</v>
      </c>
      <c r="J5490" s="38" t="n">
        <f aca="false">Sens!$J$5488*Sens!$J$5489</f>
        <v>615.391435791933</v>
      </c>
      <c r="K5490" s="38" t="n">
        <f aca="false">Sens!$K$5488*Sens!$K$5489</f>
        <v>655.208227561543</v>
      </c>
      <c r="L5490" s="38" t="n">
        <f aca="false">Sens!$L$5488*Sens!$L$5489</f>
        <v>697.807739249767</v>
      </c>
      <c r="M5490" s="38" t="n">
        <f aca="false">Sens!$M$5488*Sens!$M$5489</f>
        <v>743.399328463592</v>
      </c>
      <c r="N5490" s="38" t="n">
        <f aca="false">Q!$N$5</f>
        <v>192.955</v>
      </c>
      <c r="O5490" s="38" t="n">
        <f aca="false">Q!$O$5</f>
        <v>233.35</v>
      </c>
      <c r="P5490" s="5" t="s">
        <v>696</v>
      </c>
    </row>
    <row r="5491" customFormat="false" ht="17.15" hidden="false" customHeight="false" outlineLevel="0" collapsed="false">
      <c r="A5491" s="1" t="s">
        <v>522</v>
      </c>
      <c r="B5491" s="8" t="s">
        <v>86</v>
      </c>
      <c r="C5491" s="38" t="n">
        <f aca="false">Q!$D$6</f>
        <v>142.906</v>
      </c>
      <c r="D5491" s="38" t="n">
        <f aca="false">Q!$E$6</f>
        <v>161.894</v>
      </c>
      <c r="E5491" s="38" t="n">
        <f aca="false">Q!$P$6</f>
        <v>81.986</v>
      </c>
      <c r="F5491" s="38" t="n">
        <f aca="false">Sens!$F$5488*(1-Sens!$F$5489)</f>
        <v>98.408468164951</v>
      </c>
      <c r="G5491" s="38" t="n">
        <f aca="false">Sens!$E$5491+Sens!$F$5491</f>
        <v>180.394468164951</v>
      </c>
      <c r="H5491" s="38" t="n">
        <f aca="false">Sens!$H$5488*(1-Sens!$H$5489)</f>
        <v>199.709899104949</v>
      </c>
      <c r="I5491" s="38" t="n">
        <f aca="false">Sens!$I$5488*(1-Sens!$I$5489)</f>
        <v>218.385528264976</v>
      </c>
      <c r="J5491" s="38" t="n">
        <f aca="false">Sens!$J$5488*(1-Sens!$J$5489)</f>
        <v>235.71696994951</v>
      </c>
      <c r="K5491" s="38" t="n">
        <f aca="false">Sens!$K$5488*(1-Sens!$K$5489)</f>
        <v>250.968227869545</v>
      </c>
      <c r="L5491" s="38" t="n">
        <f aca="false">Sens!$L$5488*(1-Sens!$L$5489)</f>
        <v>267.285367225822</v>
      </c>
      <c r="M5491" s="38" t="n">
        <f aca="false">Sens!$M$5488*(1-Sens!$M$5489)</f>
        <v>284.748579483295</v>
      </c>
      <c r="N5491" s="38" t="n">
        <f aca="false">Q!$N$6</f>
        <v>70.274</v>
      </c>
      <c r="O5491" s="38" t="n">
        <f aca="false">Q!$O$6</f>
        <v>91.62</v>
      </c>
      <c r="P5491" s="5" t="s">
        <v>697</v>
      </c>
    </row>
    <row r="5492" customFormat="false" ht="17.15" hidden="false" customHeight="false" outlineLevel="0" collapsed="false">
      <c r="A5492" s="5" t="s">
        <v>698</v>
      </c>
      <c r="B5492" s="0" t="s">
        <v>86</v>
      </c>
      <c r="C5492" s="38" t="n">
        <f aca="false">Sens!$C$5481*Sens!$C$5489</f>
        <v>41.0683128828457</v>
      </c>
      <c r="D5492" s="38" t="n">
        <f aca="false">Sens!$D$5481*Sens!$D$5489</f>
        <v>49.7441234599175</v>
      </c>
      <c r="E5492" s="38" t="n">
        <f aca="false">Sens!$E$5481*Sens!$E$5489</f>
        <v>27.0034224924414</v>
      </c>
      <c r="F5492" s="38" t="n">
        <f aca="false">Sens!$F$5481*Sens!$F$5489</f>
        <v>33.1439448330513</v>
      </c>
      <c r="G5492" s="38" t="n">
        <f aca="false">Sens!$G$5481*Sens!$G$5489</f>
        <v>60.164183844083</v>
      </c>
      <c r="H5492" s="38" t="n">
        <f aca="false">Sens!$H$5481*Sens!$H$5489</f>
        <v>72.2301766552629</v>
      </c>
      <c r="I5492" s="38" t="n">
        <f aca="false">Sens!$I$5481*Sens!$I$5489</f>
        <v>84.2950764463991</v>
      </c>
      <c r="J5492" s="38" t="n">
        <f aca="false">Sens!$J$5481*Sens!$J$5489</f>
        <v>95.5499047729386</v>
      </c>
      <c r="K5492" s="38" t="n">
        <f aca="false">Sens!$K$5481*Sens!$K$5489</f>
        <v>105.104895250232</v>
      </c>
      <c r="L5492" s="38" t="n">
        <f aca="false">Sens!$L$5481*Sens!$L$5489</f>
        <v>115.615384775256</v>
      </c>
      <c r="M5492" s="38" t="n">
        <f aca="false">Sens!$M$5481*Sens!$M$5489</f>
        <v>127.176923252781</v>
      </c>
      <c r="N5492" s="38" t="n">
        <f aca="false">Sens!$N$5481*Sens!$N$5489</f>
        <v>21.7087111412496</v>
      </c>
      <c r="O5492" s="38" t="n">
        <f aca="false">Sens!$O$5481*Sens!$O$5489</f>
        <v>28.0189463642798</v>
      </c>
      <c r="P5492" s="5" t="s">
        <v>699</v>
      </c>
    </row>
    <row r="5493" customFormat="false" ht="15" hidden="false" customHeight="false" outlineLevel="0" collapsed="false">
      <c r="A5493" s="5" t="s">
        <v>700</v>
      </c>
      <c r="B5493" s="0" t="s">
        <v>86</v>
      </c>
      <c r="C5493" s="38" t="n">
        <f aca="false">Sens!$C$5481-Sens!$C$5492</f>
        <v>15.1456871171543</v>
      </c>
      <c r="D5493" s="38" t="n">
        <f aca="false">Sens!$D$5481-Sens!$D$5492</f>
        <v>18.8908765400825</v>
      </c>
      <c r="E5493" s="38" t="n">
        <f aca="false">Sens!$E$5481-Sens!$E$5492</f>
        <v>10.0485775075586</v>
      </c>
      <c r="F5493" s="38" t="n">
        <f aca="false">Sens!$F$5481-Sens!$F$5492</f>
        <v>13.0132771613635</v>
      </c>
      <c r="G5493" s="38" t="n">
        <f aca="false">Sens!$G$5481-Sens!$G$5492</f>
        <v>23.0450381503318</v>
      </c>
      <c r="H5493" s="38" t="n">
        <f aca="false">Sens!$H$5481-Sens!$H$5492</f>
        <v>27.6667457326347</v>
      </c>
      <c r="I5493" s="38" t="n">
        <f aca="false">Sens!$I$5481-Sens!$I$5492</f>
        <v>32.2880346490971</v>
      </c>
      <c r="J5493" s="38" t="n">
        <f aca="false">Sens!$J$5481-Sens!$J$5492</f>
        <v>36.5990371690132</v>
      </c>
      <c r="K5493" s="38" t="n">
        <f aca="false">Sens!$K$5481-Sens!$K$5492</f>
        <v>40.2589408859145</v>
      </c>
      <c r="L5493" s="38" t="n">
        <f aca="false">Sens!$L$5481-Sens!$L$5492</f>
        <v>44.2848349745059</v>
      </c>
      <c r="M5493" s="38" t="n">
        <f aca="false">Sens!$M$5481-Sens!$M$5492</f>
        <v>48.7133184719565</v>
      </c>
      <c r="N5493" s="38" t="n">
        <f aca="false">Sens!$N$5481-Sens!$N$5492</f>
        <v>7.90628885875037</v>
      </c>
      <c r="O5493" s="38" t="n">
        <f aca="false">Sens!$O$5481-Sens!$O$5492</f>
        <v>11.0010536357202</v>
      </c>
    </row>
    <row r="5494" customFormat="false" ht="19.4" hidden="false" customHeight="false" outlineLevel="0" collapsed="false">
      <c r="A5494" s="31" t="s">
        <v>1263</v>
      </c>
    </row>
    <row r="5495" customFormat="false" ht="17.15" hidden="false" customHeight="false" outlineLevel="0" collapsed="false">
      <c r="A5495" s="6" t="s">
        <v>16</v>
      </c>
      <c r="B5495" s="6" t="s">
        <v>17</v>
      </c>
      <c r="C5495" s="20" t="s">
        <v>504</v>
      </c>
      <c r="D5495" s="20" t="s">
        <v>505</v>
      </c>
      <c r="E5495" s="20" t="s">
        <v>587</v>
      </c>
      <c r="F5495" s="20" t="s">
        <v>588</v>
      </c>
      <c r="G5495" s="20" t="s">
        <v>589</v>
      </c>
      <c r="H5495" s="20" t="s">
        <v>590</v>
      </c>
      <c r="I5495" s="20" t="s">
        <v>591</v>
      </c>
      <c r="J5495" s="20" t="s">
        <v>592</v>
      </c>
      <c r="K5495" s="20" t="s">
        <v>593</v>
      </c>
      <c r="L5495" s="20" t="s">
        <v>594</v>
      </c>
      <c r="M5495" s="20" t="s">
        <v>595</v>
      </c>
      <c r="N5495" s="20" t="s">
        <v>596</v>
      </c>
      <c r="O5495" s="20" t="s">
        <v>597</v>
      </c>
      <c r="P5495" s="6" t="s">
        <v>23</v>
      </c>
      <c r="R5495" s="20" t="n">
        <v>2023</v>
      </c>
      <c r="S5495" s="20" t="n">
        <v>2024</v>
      </c>
      <c r="T5495" s="20" t="n">
        <v>2025</v>
      </c>
      <c r="U5495" s="20" t="n">
        <v>2026</v>
      </c>
      <c r="V5495" s="20" t="n">
        <v>2027</v>
      </c>
      <c r="W5495" s="20" t="n">
        <v>2028</v>
      </c>
      <c r="X5495" s="20" t="n">
        <v>2029</v>
      </c>
      <c r="Y5495" s="20" t="n">
        <v>2030</v>
      </c>
      <c r="Z5495" s="20" t="n">
        <v>2031</v>
      </c>
      <c r="AA5495" s="20" t="n">
        <v>2032</v>
      </c>
    </row>
    <row r="5496" customFormat="false" ht="17.15" hidden="false" customHeight="false" outlineLevel="0" collapsed="false">
      <c r="A5496" s="1" t="s">
        <v>598</v>
      </c>
    </row>
    <row r="5497" customFormat="false" ht="17.15" hidden="false" customHeight="false" outlineLevel="0" collapsed="false">
      <c r="A5497" s="5" t="s">
        <v>599</v>
      </c>
      <c r="B5497" s="0" t="s">
        <v>144</v>
      </c>
      <c r="H5497" s="32" t="n">
        <f aca="false">pace_B</f>
        <v>3634.3</v>
      </c>
      <c r="I5497" s="32" t="n">
        <f aca="false">pace_B</f>
        <v>3634.3</v>
      </c>
      <c r="J5497" s="32" t="n">
        <f aca="false">pace_B</f>
        <v>3634.3</v>
      </c>
      <c r="K5497" s="32" t="n">
        <f aca="false">pace_B+(Sens!$J$5498*tg-pace_B)*1/3</f>
        <v>2570.86716666667</v>
      </c>
      <c r="L5497" s="32" t="n">
        <f aca="false">pace_B+(Sens!$J$5498*tg-pace_B)*2/3</f>
        <v>1507.43433333333</v>
      </c>
      <c r="M5497" s="32" t="n">
        <f aca="false">pace_B+(Sens!$J$5498*tg-pace_B)*3/3</f>
        <v>444.0015</v>
      </c>
      <c r="P5497" s="5" t="s">
        <v>600</v>
      </c>
    </row>
    <row r="5498" customFormat="false" ht="17.15" hidden="false" customHeight="false" outlineLevel="0" collapsed="false">
      <c r="A5498" s="15" t="s">
        <v>601</v>
      </c>
      <c r="B5498" s="14" t="s">
        <v>129</v>
      </c>
      <c r="C5498" s="33" t="n">
        <f aca="false">mw_ye24</f>
        <v>360</v>
      </c>
      <c r="D5498" s="33" t="n">
        <f aca="false">mw_ye25</f>
        <v>1440</v>
      </c>
      <c r="E5498" s="33" t="n">
        <f aca="false">mw_open</f>
        <v>2080</v>
      </c>
      <c r="F5498" s="33" t="n">
        <f aca="false">Sens!$E$5498+pace_B*0.5</f>
        <v>3897.15</v>
      </c>
      <c r="G5498" s="33" t="n">
        <f aca="false">Sens!$F$5498</f>
        <v>3897.15</v>
      </c>
      <c r="H5498" s="33" t="n">
        <f aca="false">Sens!$G$5498+Sens!$H$5497</f>
        <v>7531.45</v>
      </c>
      <c r="I5498" s="33" t="n">
        <f aca="false">Sens!$H$5498+Sens!$I$5497</f>
        <v>11165.75</v>
      </c>
      <c r="J5498" s="33" t="n">
        <f aca="false">Sens!$I$5498+Sens!$J$5497</f>
        <v>14800.05</v>
      </c>
      <c r="K5498" s="33" t="n">
        <f aca="false">Sens!$J$5498+Sens!$K$5497</f>
        <v>17370.9171666667</v>
      </c>
      <c r="L5498" s="33" t="n">
        <f aca="false">Sens!$K$5498+Sens!$L$5497</f>
        <v>18878.3515</v>
      </c>
      <c r="M5498" s="33" t="n">
        <f aca="false">Sens!$L$5498+Sens!$M$5497</f>
        <v>19322.353</v>
      </c>
      <c r="N5498" s="33" t="n">
        <f aca="false">(mw_ye24+mw_ye25)/2</f>
        <v>900</v>
      </c>
      <c r="O5498" s="33" t="n">
        <f aca="false">mw_ye25</f>
        <v>1440</v>
      </c>
      <c r="P5498" s="5" t="s">
        <v>602</v>
      </c>
    </row>
    <row r="5499" customFormat="false" ht="17.15" hidden="false" customHeight="false" outlineLevel="0" collapsed="false">
      <c r="A5499" s="5" t="s">
        <v>603</v>
      </c>
      <c r="B5499" s="0" t="s">
        <v>129</v>
      </c>
      <c r="C5499" s="32" t="n">
        <f aca="false">(mw_ye23+mw_ye24)/2</f>
        <v>240</v>
      </c>
      <c r="D5499" s="32" t="n">
        <f aca="false">(Sens!$C$5498+Sens!$D$5498)/2</f>
        <v>900</v>
      </c>
      <c r="E5499" s="32" t="n">
        <f aca="false">(Sens!$D$5498+Sens!$E$5498)/2</f>
        <v>1760</v>
      </c>
      <c r="F5499" s="32" t="n">
        <f aca="false">(Sens!$E$5498+Sens!$F$5498)/2</f>
        <v>2988.575</v>
      </c>
      <c r="G5499" s="32" t="n">
        <f aca="false">(Sens!$E$5499+Sens!$F$5499)/2</f>
        <v>2374.2875</v>
      </c>
      <c r="H5499" s="32" t="n">
        <f aca="false">(Sens!$G$5498+Sens!$H$5498)/2</f>
        <v>5714.3</v>
      </c>
      <c r="I5499" s="32" t="n">
        <f aca="false">(Sens!$H$5498+Sens!$I$5498)/2</f>
        <v>9348.6</v>
      </c>
      <c r="J5499" s="32" t="n">
        <f aca="false">(Sens!$I$5498+Sens!$J$5498)/2</f>
        <v>12982.9</v>
      </c>
      <c r="K5499" s="32" t="n">
        <f aca="false">(Sens!$J$5498+Sens!$K$5498)/2</f>
        <v>16085.4835833333</v>
      </c>
      <c r="L5499" s="32" t="n">
        <f aca="false">(Sens!$K$5498+Sens!$L$5498)/2</f>
        <v>18124.6343333333</v>
      </c>
      <c r="M5499" s="32" t="n">
        <f aca="false">(Sens!$L$5498+Sens!$M$5498)/2</f>
        <v>19100.35225</v>
      </c>
      <c r="N5499" s="32" t="n">
        <f aca="false">(Sens!$C$5498+Sens!$N$5498)/2</f>
        <v>630</v>
      </c>
      <c r="O5499" s="32" t="n">
        <f aca="false">(Sens!$N$5498+Sens!$O$5498)/2</f>
        <v>1170</v>
      </c>
    </row>
    <row r="5500" customFormat="false" ht="15" hidden="false" customHeight="false" outlineLevel="0" collapsed="false">
      <c r="A5500" s="5" t="s">
        <v>604</v>
      </c>
      <c r="B5500" s="5" t="s">
        <v>123</v>
      </c>
      <c r="C5500" s="34" t="n">
        <v>1</v>
      </c>
      <c r="D5500" s="34" t="n">
        <v>1</v>
      </c>
      <c r="E5500" s="34" t="n">
        <v>0.5</v>
      </c>
      <c r="F5500" s="34" t="n">
        <v>0.5</v>
      </c>
      <c r="G5500" s="34" t="n">
        <v>1</v>
      </c>
      <c r="H5500" s="34" t="n">
        <v>1</v>
      </c>
      <c r="I5500" s="34" t="n">
        <v>1</v>
      </c>
      <c r="J5500" s="34" t="n">
        <v>1</v>
      </c>
      <c r="K5500" s="34" t="n">
        <v>1</v>
      </c>
      <c r="L5500" s="34" t="n">
        <v>1</v>
      </c>
      <c r="M5500" s="34" t="n">
        <v>1</v>
      </c>
      <c r="N5500" s="34" t="n">
        <v>0.5</v>
      </c>
      <c r="O5500" s="34" t="n">
        <v>0.5</v>
      </c>
    </row>
    <row r="5501" customFormat="false" ht="17.15" hidden="false" customHeight="false" outlineLevel="0" collapsed="false">
      <c r="A5501" s="5" t="s">
        <v>605</v>
      </c>
      <c r="B5501" s="0" t="s">
        <v>129</v>
      </c>
      <c r="C5501" s="32" t="n">
        <f aca="false">Sens!$C$5498-mw_ye23</f>
        <v>240</v>
      </c>
      <c r="D5501" s="32" t="n">
        <f aca="false">Sens!$D$5498-Sens!$C$5498</f>
        <v>1080</v>
      </c>
      <c r="E5501" s="32" t="n">
        <f aca="false">Sens!$E$5498-Sens!$D$5498</f>
        <v>640</v>
      </c>
      <c r="F5501" s="32" t="n">
        <f aca="false">Sens!$F$5498-Sens!$E$5498</f>
        <v>1817.15</v>
      </c>
      <c r="G5501" s="32" t="n">
        <f aca="false">Sens!$E$5501+Sens!$F$5501</f>
        <v>2457.15</v>
      </c>
      <c r="H5501" s="32" t="n">
        <f aca="false">Sens!$H$5498-Sens!$G$5498</f>
        <v>3634.3</v>
      </c>
      <c r="I5501" s="32" t="n">
        <f aca="false">Sens!$I$5498-Sens!$H$5498</f>
        <v>3634.3</v>
      </c>
      <c r="J5501" s="32" t="n">
        <f aca="false">Sens!$J$5498-Sens!$I$5498</f>
        <v>3634.3</v>
      </c>
      <c r="K5501" s="32" t="n">
        <f aca="false">Sens!$K$5498-Sens!$J$5498</f>
        <v>2570.86716666667</v>
      </c>
      <c r="L5501" s="32" t="n">
        <f aca="false">Sens!$L$5498-Sens!$K$5498</f>
        <v>1507.43433333333</v>
      </c>
      <c r="M5501" s="32" t="n">
        <f aca="false">Sens!$M$5498-Sens!$L$5498</f>
        <v>444.001499999999</v>
      </c>
      <c r="N5501" s="32" t="n">
        <f aca="false">Sens!$N$5498-Sens!$C$5498</f>
        <v>540</v>
      </c>
      <c r="O5501" s="32" t="n">
        <f aca="false">Sens!$O$5498-Sens!$N$5498</f>
        <v>540</v>
      </c>
    </row>
    <row r="5502" customFormat="false" ht="17.15" hidden="false" customHeight="false" outlineLevel="0" collapsed="false">
      <c r="A5502" s="5" t="s">
        <v>606</v>
      </c>
      <c r="B5502" s="0" t="s">
        <v>129</v>
      </c>
      <c r="C5502" s="32" t="n">
        <f aca="false">Sens!$C$5501/ext_sh</f>
        <v>300</v>
      </c>
      <c r="D5502" s="32" t="n">
        <f aca="false">Sens!$D$5501/ext_sh</f>
        <v>1350</v>
      </c>
      <c r="E5502" s="32" t="n">
        <f aca="false">Sens!$E$5501/ext_sh</f>
        <v>800</v>
      </c>
      <c r="F5502" s="32" t="n">
        <f aca="false">Sens!$F$5501/ext_sh</f>
        <v>2271.4375</v>
      </c>
      <c r="G5502" s="32" t="n">
        <f aca="false">Sens!$G$5501/ext_sh</f>
        <v>3071.4375</v>
      </c>
      <c r="H5502" s="32" t="n">
        <f aca="false">Sens!$H$5501/ext_sh</f>
        <v>4542.875</v>
      </c>
      <c r="I5502" s="32" t="n">
        <f aca="false">Sens!$I$5501/ext_sh</f>
        <v>4542.875</v>
      </c>
      <c r="J5502" s="32" t="n">
        <f aca="false">Sens!$J$5501/ext_sh</f>
        <v>4542.875</v>
      </c>
      <c r="K5502" s="32" t="n">
        <f aca="false">Sens!$K$5501/ext_sh</f>
        <v>3213.58395833333</v>
      </c>
      <c r="L5502" s="32" t="n">
        <f aca="false">Sens!$L$5501/ext_sh</f>
        <v>1884.29291666667</v>
      </c>
      <c r="M5502" s="32" t="n">
        <f aca="false">Sens!$M$5501/ext_sh</f>
        <v>555.001874999998</v>
      </c>
      <c r="N5502" s="32" t="n">
        <f aca="false">Sens!$N$5501/ext_sh</f>
        <v>675</v>
      </c>
      <c r="O5502" s="32" t="n">
        <f aca="false">Sens!$O$5501/ext_sh</f>
        <v>675</v>
      </c>
      <c r="P5502" s="8" t="s">
        <v>607</v>
      </c>
      <c r="R5502" s="32" t="n">
        <f aca="false">mw_ye23/ext_sh</f>
        <v>150</v>
      </c>
      <c r="S5502" s="32" t="n">
        <f aca="false">Sens!$C$5502</f>
        <v>300</v>
      </c>
      <c r="T5502" s="32" t="n">
        <f aca="false">Sens!$D$5502</f>
        <v>1350</v>
      </c>
      <c r="U5502" s="32" t="n">
        <f aca="false">Sens!$G$5502</f>
        <v>3071.4375</v>
      </c>
      <c r="V5502" s="32" t="n">
        <f aca="false">Sens!$H$5502</f>
        <v>4542.875</v>
      </c>
      <c r="W5502" s="32" t="n">
        <f aca="false">Sens!$I$5502</f>
        <v>4542.875</v>
      </c>
      <c r="X5502" s="32" t="n">
        <f aca="false">Sens!$J$5502</f>
        <v>4542.875</v>
      </c>
      <c r="Y5502" s="32" t="n">
        <f aca="false">Sens!$K$5502</f>
        <v>3213.58395833333</v>
      </c>
      <c r="Z5502" s="32" t="n">
        <f aca="false">Sens!$L$5502</f>
        <v>1884.29291666667</v>
      </c>
      <c r="AA5502" s="32" t="n">
        <f aca="false">Sens!$M$5502</f>
        <v>555.001874999998</v>
      </c>
    </row>
    <row r="5503" customFormat="false" ht="17.15" hidden="false" customHeight="false" outlineLevel="0" collapsed="false">
      <c r="A5503" s="1" t="s">
        <v>608</v>
      </c>
    </row>
    <row r="5504" customFormat="false" ht="17.15" hidden="false" customHeight="false" outlineLevel="0" collapsed="false">
      <c r="A5504" s="0" t="s">
        <v>609</v>
      </c>
      <c r="B5504" s="0" t="s">
        <v>52</v>
      </c>
      <c r="F5504" s="35" t="n">
        <f aca="false">na_vr26</f>
        <v>0</v>
      </c>
      <c r="G5504" s="35" t="n">
        <f aca="false">na_vr26</f>
        <v>0</v>
      </c>
      <c r="H5504" s="35" t="n">
        <f aca="false">na_vr27</f>
        <v>0.5</v>
      </c>
      <c r="I5504" s="35" t="n">
        <f aca="false">na_vr28</f>
        <v>1</v>
      </c>
      <c r="J5504" s="35" t="n">
        <f aca="false">na_vr28</f>
        <v>1</v>
      </c>
      <c r="K5504" s="35" t="n">
        <f aca="false">na_vr28</f>
        <v>1</v>
      </c>
      <c r="L5504" s="35" t="n">
        <f aca="false">na_vr28</f>
        <v>1</v>
      </c>
      <c r="M5504" s="35" t="n">
        <f aca="false">na_vr28</f>
        <v>1</v>
      </c>
    </row>
    <row r="5505" customFormat="false" ht="17.15" hidden="false" customHeight="false" outlineLevel="0" collapsed="false">
      <c r="A5505" s="5" t="s">
        <v>610</v>
      </c>
      <c r="B5505" s="0" t="s">
        <v>173</v>
      </c>
      <c r="F5505" s="36" t="n">
        <f aca="false">cust_sh*tk_he_gb300*cf_chip+(1-cust_sh)*((1-Sens!$F$5504)*tk_he_gb300+Sens!$F$5504*tk_he_vr200)</f>
        <v>10.8864110021101</v>
      </c>
      <c r="G5505" s="36" t="n">
        <f aca="false">cust_sh*tk_he_gb300*cf_chip+(1-cust_sh)*((1-Sens!$G$5504)*tk_he_gb300+Sens!$G$5504*tk_he_vr200)</f>
        <v>10.8864110021101</v>
      </c>
      <c r="H5505" s="36" t="n">
        <f aca="false">cust_sh*tk_he_gb300*cf_chip+(1-cust_sh)*((1-Sens!$H$5504)*tk_he_gb300+Sens!$H$5504*tk_he_vr200)</f>
        <v>11.2211760027286</v>
      </c>
      <c r="I5505" s="36" t="n">
        <f aca="false">cust_sh*tk_he_gb300*cf_chip+(1-cust_sh)*((1-Sens!$I$5504)*tk_he_gb300+Sens!$I$5504*tk_he_vr200)</f>
        <v>11.5559410033471</v>
      </c>
      <c r="J5505" s="36" t="n">
        <f aca="false">cust_sh*tk_he_gb300*cf_chip+(1-cust_sh)*((1-Sens!$J$5504)*tk_he_gb300+Sens!$J$5504*tk_he_vr200)</f>
        <v>11.5559410033471</v>
      </c>
      <c r="K5505" s="36" t="n">
        <f aca="false">cust_sh*tk_he_gb300*cf_chip+(1-cust_sh)*((1-Sens!$K$5504)*tk_he_gb300+Sens!$K$5504*tk_he_vr200)</f>
        <v>11.5559410033471</v>
      </c>
      <c r="L5505" s="36" t="n">
        <f aca="false">cust_sh*tk_he_gb300*cf_chip+(1-cust_sh)*((1-Sens!$L$5504)*tk_he_gb300+Sens!$L$5504*tk_he_vr200)</f>
        <v>11.5559410033471</v>
      </c>
      <c r="M5505" s="36" t="n">
        <f aca="false">cust_sh*tk_he_gb300*cf_chip+(1-cust_sh)*((1-Sens!$M$5504)*tk_he_gb300+Sens!$M$5504*tk_he_vr200)</f>
        <v>11.5559410033471</v>
      </c>
    </row>
    <row r="5506" customFormat="false" ht="17.15" hidden="false" customHeight="false" outlineLevel="0" collapsed="false">
      <c r="A5506" s="5" t="s">
        <v>611</v>
      </c>
      <c r="B5506" s="0" t="s">
        <v>173</v>
      </c>
      <c r="F5506" s="36" t="n">
        <f aca="false">cust_sh*tk_ox_gb300+(1-cust_sh)*((1-Sens!$F$5504)*tk_ox_gb300+Sens!$F$5504*tk_ox_vr200)</f>
        <v>1.98263481314457</v>
      </c>
      <c r="G5506" s="36" t="n">
        <f aca="false">cust_sh*tk_ox_gb300+(1-cust_sh)*((1-Sens!$G$5504)*tk_ox_gb300+Sens!$G$5504*tk_ox_vr200)</f>
        <v>1.98263481314457</v>
      </c>
      <c r="H5506" s="36" t="n">
        <f aca="false">cust_sh*tk_ox_gb300+(1-cust_sh)*((1-Sens!$H$5504)*tk_ox_gb300+Sens!$H$5504*tk_ox_vr200)</f>
        <v>2.01034999693694</v>
      </c>
      <c r="I5506" s="36" t="n">
        <f aca="false">cust_sh*tk_ox_gb300+(1-cust_sh)*((1-Sens!$I$5504)*tk_ox_gb300+Sens!$I$5504*tk_ox_vr200)</f>
        <v>2.0380651807293</v>
      </c>
      <c r="J5506" s="36" t="n">
        <f aca="false">cust_sh*tk_ox_gb300+(1-cust_sh)*((1-Sens!$J$5504)*tk_ox_gb300+Sens!$J$5504*tk_ox_vr200)</f>
        <v>2.0380651807293</v>
      </c>
      <c r="K5506" s="36" t="n">
        <f aca="false">cust_sh*tk_ox_gb300+(1-cust_sh)*((1-Sens!$K$5504)*tk_ox_gb300+Sens!$K$5504*tk_ox_vr200)</f>
        <v>2.0380651807293</v>
      </c>
      <c r="L5506" s="36" t="n">
        <f aca="false">cust_sh*tk_ox_gb300+(1-cust_sh)*((1-Sens!$L$5504)*tk_ox_gb300+Sens!$L$5504*tk_ox_vr200)</f>
        <v>2.0380651807293</v>
      </c>
      <c r="M5506" s="36" t="n">
        <f aca="false">cust_sh*tk_ox_gb300+(1-cust_sh)*((1-Sens!$M$5504)*tk_ox_gb300+Sens!$M$5504*tk_ox_vr200)</f>
        <v>2.0380651807293</v>
      </c>
    </row>
    <row r="5507" customFormat="false" ht="17.15" hidden="false" customHeight="false" outlineLevel="0" collapsed="false">
      <c r="A5507" s="5" t="s">
        <v>612</v>
      </c>
      <c r="B5507" s="0" t="s">
        <v>192</v>
      </c>
      <c r="F5507" s="36" t="n">
        <f aca="false">cust_sh*tk_cx_gb300*cf_cx+(1-cust_sh)*((1-Sens!$F$5504)*tk_cx_gb300+Sens!$F$5504*tk_cx_vr200)</f>
        <v>32.237224</v>
      </c>
      <c r="G5507" s="36" t="n">
        <f aca="false">cust_sh*tk_cx_gb300*cf_cx+(1-cust_sh)*((1-Sens!$G$5504)*tk_cx_gb300+Sens!$G$5504*tk_cx_vr200)</f>
        <v>32.237224</v>
      </c>
      <c r="H5507" s="36" t="n">
        <f aca="false">cust_sh*tk_cx_gb300*cf_cx+(1-cust_sh)*((1-Sens!$H$5504)*tk_cx_gb300+Sens!$H$5504*tk_cx_vr200)</f>
        <v>33.574506</v>
      </c>
      <c r="I5507" s="36" t="n">
        <f aca="false">cust_sh*tk_cx_gb300*cf_cx+(1-cust_sh)*((1-Sens!$I$5504)*tk_cx_gb300+Sens!$I$5504*tk_cx_vr200)</f>
        <v>34.911788</v>
      </c>
      <c r="J5507" s="36" t="n">
        <f aca="false">cust_sh*tk_cx_gb300*cf_cx+(1-cust_sh)*((1-Sens!$J$5504)*tk_cx_gb300+Sens!$J$5504*tk_cx_vr200)</f>
        <v>34.911788</v>
      </c>
      <c r="K5507" s="36" t="n">
        <f aca="false">cust_sh*tk_cx_gb300*cf_cx+(1-cust_sh)*((1-Sens!$K$5504)*tk_cx_gb300+Sens!$K$5504*tk_cx_vr200)</f>
        <v>34.911788</v>
      </c>
      <c r="L5507" s="36" t="n">
        <f aca="false">cust_sh*tk_cx_gb300*cf_cx+(1-cust_sh)*((1-Sens!$L$5504)*tk_cx_gb300+Sens!$L$5504*tk_cx_vr200)</f>
        <v>34.911788</v>
      </c>
      <c r="M5507" s="36" t="n">
        <f aca="false">cust_sh*tk_cx_gb300*cf_cx+(1-cust_sh)*((1-Sens!$M$5504)*tk_cx_gb300+Sens!$M$5504*tk_cx_vr200)</f>
        <v>34.911788</v>
      </c>
    </row>
    <row r="5508" customFormat="false" ht="17.15" hidden="false" customHeight="false" outlineLevel="0" collapsed="false">
      <c r="A5508" s="5" t="s">
        <v>613</v>
      </c>
      <c r="B5508" s="0" t="s">
        <v>129</v>
      </c>
      <c r="F5508" s="32" t="n">
        <f aca="false">Sens!$F$5498-mw_open</f>
        <v>1817.15</v>
      </c>
      <c r="G5508" s="32" t="n">
        <f aca="false">Sens!$F$5508</f>
        <v>1817.15</v>
      </c>
      <c r="H5508" s="32" t="n">
        <f aca="false">Sens!$H$5498-mw_open</f>
        <v>5451.45</v>
      </c>
      <c r="I5508" s="32" t="n">
        <f aca="false">Sens!$I$5498-mw_open</f>
        <v>9085.75</v>
      </c>
      <c r="J5508" s="32" t="n">
        <f aca="false">Sens!$J$5498-mw_open</f>
        <v>12720.05</v>
      </c>
      <c r="K5508" s="32" t="n">
        <f aca="false">Sens!$K$5498-mw_open</f>
        <v>15290.9171666667</v>
      </c>
      <c r="L5508" s="32" t="n">
        <f aca="false">Sens!$L$5498-mw_open</f>
        <v>16798.3515</v>
      </c>
      <c r="M5508" s="32" t="n">
        <f aca="false">Sens!$M$5498-mw_open</f>
        <v>17242.353</v>
      </c>
    </row>
    <row r="5509" customFormat="false" ht="17.15" hidden="false" customHeight="false" outlineLevel="0" collapsed="false">
      <c r="A5509" s="0" t="s">
        <v>614</v>
      </c>
      <c r="B5509" s="0" t="s">
        <v>615</v>
      </c>
      <c r="F5509" s="32" t="n">
        <f aca="false">Sens!$F$5501*Sens!$F$5505</f>
        <v>19782.2417524844</v>
      </c>
      <c r="G5509" s="32" t="n">
        <f aca="false">Sens!$F$5509</f>
        <v>19782.2417524844</v>
      </c>
      <c r="H5509" s="32" t="n">
        <f aca="false">Sens!$G$5509+Sens!$H$5501*Sens!$H$5505</f>
        <v>60563.3616992009</v>
      </c>
      <c r="I5509" s="32" t="n">
        <f aca="false">Sens!$H$5509+Sens!$I$5501*Sens!$I$5505</f>
        <v>102561.118087665</v>
      </c>
      <c r="J5509" s="32" t="n">
        <f aca="false">Sens!$I$5509+Sens!$J$5501*Sens!$J$5505</f>
        <v>144558.87447613</v>
      </c>
      <c r="K5509" s="32" t="n">
        <f aca="false">Sens!$J$5509+Sens!$K$5501*Sens!$K$5505</f>
        <v>174267.663781572</v>
      </c>
      <c r="L5509" s="32" t="n">
        <f aca="false">Sens!$K$5509+Sens!$L$5501*Sens!$L$5505</f>
        <v>191687.486003992</v>
      </c>
      <c r="M5509" s="32" t="n">
        <f aca="false">Sens!$L$5509+Sens!$M$5501*Sens!$M$5505</f>
        <v>196818.341143389</v>
      </c>
    </row>
    <row r="5510" customFormat="false" ht="17.15" hidden="false" customHeight="false" outlineLevel="0" collapsed="false">
      <c r="A5510" s="0" t="s">
        <v>616</v>
      </c>
      <c r="B5510" s="0" t="s">
        <v>615</v>
      </c>
      <c r="F5510" s="32" t="n">
        <f aca="false">Sens!$F$5501*Sens!$F$5506</f>
        <v>3602.74485070566</v>
      </c>
      <c r="G5510" s="32" t="n">
        <f aca="false">Sens!$F$5510</f>
        <v>3602.74485070566</v>
      </c>
      <c r="H5510" s="32" t="n">
        <f aca="false">Sens!$G$5510+Sens!$H$5501*Sens!$H$5506</f>
        <v>10908.9598445736</v>
      </c>
      <c r="I5510" s="32" t="n">
        <f aca="false">Sens!$H$5510+Sens!$I$5501*Sens!$I$5506</f>
        <v>18315.9001308981</v>
      </c>
      <c r="J5510" s="32" t="n">
        <f aca="false">Sens!$I$5510+Sens!$J$5501*Sens!$J$5506</f>
        <v>25722.8404172225</v>
      </c>
      <c r="K5510" s="32" t="n">
        <f aca="false">Sens!$J$5510+Sens!$K$5501*Sens!$K$5506</f>
        <v>30962.4352738861</v>
      </c>
      <c r="L5510" s="32" t="n">
        <f aca="false">Sens!$K$5510+Sens!$L$5501*Sens!$L$5506</f>
        <v>34034.6847008886</v>
      </c>
      <c r="M5510" s="32" t="n">
        <f aca="false">Sens!$L$5510+Sens!$M$5501*Sens!$M$5506</f>
        <v>34939.5886982302</v>
      </c>
    </row>
    <row r="5511" customFormat="false" ht="17.15" hidden="false" customHeight="false" outlineLevel="0" collapsed="false">
      <c r="A5511" s="5" t="s">
        <v>617</v>
      </c>
      <c r="B5511" s="0" t="s">
        <v>173</v>
      </c>
      <c r="F5511" s="36" t="n">
        <f aca="false">IF(Sens!$F$5508&gt;0,Sens!$F$5509/Sens!$F$5508,Sens!$F$5505)</f>
        <v>10.8864110021101</v>
      </c>
      <c r="G5511" s="36" t="n">
        <f aca="false">IF(Sens!$G$5508&gt;0,Sens!$G$5509/Sens!$G$5508,Sens!$G$5505)</f>
        <v>10.8864110021101</v>
      </c>
      <c r="H5511" s="36" t="n">
        <f aca="false">IF(Sens!$H$5508&gt;0,Sens!$H$5509/Sens!$H$5508,Sens!$H$5505)</f>
        <v>11.1095876691891</v>
      </c>
      <c r="I5511" s="36" t="n">
        <f aca="false">IF(Sens!$I$5508&gt;0,Sens!$I$5509/Sens!$I$5508,Sens!$I$5505)</f>
        <v>11.2881290028523</v>
      </c>
      <c r="J5511" s="36" t="n">
        <f aca="false">IF(Sens!$J$5508&gt;0,Sens!$J$5509/Sens!$J$5508,Sens!$J$5505)</f>
        <v>11.3646467172794</v>
      </c>
      <c r="K5511" s="36" t="n">
        <f aca="false">IF(Sens!$K$5508&gt;0,Sens!$K$5509/Sens!$K$5508,Sens!$K$5505)</f>
        <v>11.3968090914432</v>
      </c>
      <c r="L5511" s="36" t="n">
        <f aca="false">IF(Sens!$L$5508&gt;0,Sens!$L$5509/Sens!$L$5508,Sens!$L$5505)</f>
        <v>11.4110891181192</v>
      </c>
      <c r="M5511" s="36" t="n">
        <f aca="false">IF(Sens!$M$5508&gt;0,Sens!$M$5509/Sens!$M$5508,Sens!$M$5505)</f>
        <v>11.4148191458201</v>
      </c>
    </row>
    <row r="5512" customFormat="false" ht="17.15" hidden="false" customHeight="false" outlineLevel="0" collapsed="false">
      <c r="A5512" s="5" t="s">
        <v>618</v>
      </c>
      <c r="B5512" s="0" t="s">
        <v>173</v>
      </c>
      <c r="F5512" s="36" t="n">
        <f aca="false">IF(Sens!$F$5508&gt;0,Sens!$F$5510/Sens!$F$5508,Sens!$F$5506)</f>
        <v>1.98263481314457</v>
      </c>
      <c r="G5512" s="36" t="n">
        <f aca="false">IF(Sens!$G$5508&gt;0,Sens!$G$5510/Sens!$G$5508,Sens!$G$5506)</f>
        <v>1.98263481314457</v>
      </c>
      <c r="H5512" s="36" t="n">
        <f aca="false">IF(Sens!$H$5508&gt;0,Sens!$H$5510/Sens!$H$5508,Sens!$H$5506)</f>
        <v>2.00111160233948</v>
      </c>
      <c r="I5512" s="36" t="n">
        <f aca="false">IF(Sens!$I$5508&gt;0,Sens!$I$5510/Sens!$I$5508,Sens!$I$5506)</f>
        <v>2.01589303369541</v>
      </c>
      <c r="J5512" s="36" t="n">
        <f aca="false">IF(Sens!$J$5508&gt;0,Sens!$J$5510/Sens!$J$5508,Sens!$J$5506)</f>
        <v>2.02222793284795</v>
      </c>
      <c r="K5512" s="36" t="n">
        <f aca="false">IF(Sens!$K$5508&gt;0,Sens!$K$5510/Sens!$K$5508,Sens!$K$5506)</f>
        <v>2.02489065478573</v>
      </c>
      <c r="L5512" s="36" t="n">
        <f aca="false">IF(Sens!$L$5508&gt;0,Sens!$L$5510/Sens!$L$5508,Sens!$L$5506)</f>
        <v>2.0260728977417</v>
      </c>
      <c r="M5512" s="36" t="n">
        <f aca="false">IF(Sens!$M$5508&gt;0,Sens!$M$5510/Sens!$M$5508,Sens!$M$5506)</f>
        <v>2.02638170661685</v>
      </c>
    </row>
    <row r="5513" customFormat="false" ht="17.15" hidden="false" customHeight="false" outlineLevel="0" collapsed="false">
      <c r="A5513" s="15" t="s">
        <v>619</v>
      </c>
      <c r="B5513" s="14" t="s">
        <v>173</v>
      </c>
      <c r="C5513" s="14"/>
      <c r="D5513" s="14"/>
      <c r="E5513" s="14"/>
      <c r="F5513" s="37" t="n">
        <f aca="false">Sens!$F$5511*k_B</f>
        <v>10.7987645808025</v>
      </c>
      <c r="G5513" s="37" t="n">
        <f aca="false">Sens!$G$5511*k_B</f>
        <v>10.7987645808025</v>
      </c>
      <c r="H5513" s="37" t="n">
        <f aca="false">Sens!$H$5511*k_B</f>
        <v>11.0201444540452</v>
      </c>
      <c r="I5513" s="37" t="n">
        <f aca="false">Sens!$I$5511*k_B</f>
        <v>11.1972483526393</v>
      </c>
      <c r="J5513" s="37" t="n">
        <f aca="false">Sens!$J$5511*k_B</f>
        <v>11.2731500234653</v>
      </c>
      <c r="K5513" s="37" t="n">
        <f aca="false">Sens!$K$5511*k_B</f>
        <v>11.3050534585724</v>
      </c>
      <c r="L5513" s="37" t="n">
        <f aca="false">Sens!$L$5511*k_B</f>
        <v>11.3192185168503</v>
      </c>
      <c r="M5513" s="37" t="n">
        <f aca="false">Sens!$M$5511*k_B</f>
        <v>11.3229185141234</v>
      </c>
      <c r="N5513" s="14"/>
      <c r="O5513" s="14"/>
      <c r="P5513" s="5" t="s">
        <v>620</v>
      </c>
    </row>
    <row r="5514" customFormat="false" ht="17.15" hidden="false" customHeight="false" outlineLevel="0" collapsed="false">
      <c r="A5514" s="5" t="s">
        <v>621</v>
      </c>
      <c r="B5514" s="0" t="s">
        <v>129</v>
      </c>
      <c r="F5514" s="32" t="n">
        <f aca="false">Sens!$F$5508/2</f>
        <v>908.575</v>
      </c>
      <c r="H5514" s="32" t="n">
        <f aca="false">(Sens!$G$5508+Sens!$H$5508)/2</f>
        <v>3634.3</v>
      </c>
      <c r="I5514" s="32" t="n">
        <f aca="false">(Sens!$H$5508+Sens!$I$5508)/2</f>
        <v>7268.6</v>
      </c>
      <c r="J5514" s="32" t="n">
        <f aca="false">(Sens!$I$5508+Sens!$J$5508)/2</f>
        <v>10902.9</v>
      </c>
      <c r="K5514" s="32" t="n">
        <f aca="false">(Sens!$J$5508+Sens!$K$5508)/2</f>
        <v>14005.4835833333</v>
      </c>
      <c r="L5514" s="32" t="n">
        <f aca="false">(Sens!$K$5508+Sens!$L$5508)/2</f>
        <v>16044.6343333333</v>
      </c>
      <c r="M5514" s="32" t="n">
        <f aca="false">(Sens!$L$5508+Sens!$M$5508)/2</f>
        <v>17020.35225</v>
      </c>
    </row>
    <row r="5515" customFormat="false" ht="17.15" hidden="false" customHeight="false" outlineLevel="0" collapsed="false">
      <c r="A5515" s="1" t="s">
        <v>622</v>
      </c>
    </row>
    <row r="5516" customFormat="false" ht="17.15" hidden="false" customHeight="false" outlineLevel="0" collapsed="false">
      <c r="A5516" s="1" t="s">
        <v>623</v>
      </c>
      <c r="B5516" s="8" t="s">
        <v>86</v>
      </c>
      <c r="C5516" s="38" t="n">
        <f aca="false">Sens!$C$5499*rpm_open*Sens!$C$5500/1000</f>
        <v>2.32100535697364</v>
      </c>
      <c r="D5516" s="38" t="n">
        <f aca="false">Sens!$D$5499*rpm_open*Sens!$D$5500/1000</f>
        <v>8.70377008865116</v>
      </c>
      <c r="E5516" s="38" t="n">
        <f aca="false">Sens!$E$5499*rpm_open*Sens!$E$5500/1000</f>
        <v>8.51035297557002</v>
      </c>
      <c r="F5516" s="38" t="n">
        <f aca="false">(mw_open*rpm_open+Sens!$F$5514*Sens!$F$5513)*Sens!$F$5500/1000</f>
        <v>14.9634336447205</v>
      </c>
      <c r="G5516" s="38" t="n">
        <f aca="false">Sens!$E$5516+Sens!$F$5516</f>
        <v>23.4737866202905</v>
      </c>
      <c r="H5516" s="38" t="n">
        <f aca="false">(mw_open*rpm_open+Sens!$H$5514*Sens!$H$5513)/1000</f>
        <v>60.1658907497746</v>
      </c>
      <c r="I5516" s="38" t="n">
        <f aca="false">(mw_open*rpm_open+Sens!$I$5514*Sens!$I$5513)/1000</f>
        <v>101.503699136432</v>
      </c>
      <c r="J5516" s="38" t="n">
        <f aca="false">(mw_open*rpm_open+Sens!$J$5514*Sens!$J$5513)/1000</f>
        <v>143.025407151278</v>
      </c>
      <c r="K5516" s="38" t="n">
        <f aca="false">(mw_open*rpm_open+Sens!$K$5514*Sens!$K$5513)/1000</f>
        <v>178.44812038318</v>
      </c>
      <c r="L5516" s="38" t="n">
        <f aca="false">(mw_open*rpm_open+Sens!$L$5514*Sens!$L$5513)/1000</f>
        <v>201.728101802396</v>
      </c>
      <c r="M5516" s="38" t="n">
        <f aca="false">(mw_open*rpm_open+Sens!$M$5514*Sens!$M$5513)/1000</f>
        <v>212.835441368865</v>
      </c>
      <c r="N5516" s="38" t="n">
        <f aca="false">Sens!$N$5499*rpm_open*Sens!$N$5500/1000</f>
        <v>3.04631953102791</v>
      </c>
      <c r="O5516" s="38" t="n">
        <f aca="false">Sens!$O$5499*rpm_open*Sens!$O$5500/1000</f>
        <v>5.65745055762326</v>
      </c>
      <c r="P5516" s="5" t="s">
        <v>624</v>
      </c>
    </row>
    <row r="5517" customFormat="false" ht="17.15" hidden="false" customHeight="false" outlineLevel="0" collapsed="false">
      <c r="A5517" s="5" t="s">
        <v>625</v>
      </c>
      <c r="B5517" s="0" t="s">
        <v>173</v>
      </c>
      <c r="C5517" s="36" t="n">
        <f aca="false">Sens!$C$5516*1000/(Sens!$C$5499*Sens!$C$5500)</f>
        <v>9.67085565405685</v>
      </c>
      <c r="D5517" s="36" t="n">
        <f aca="false">Sens!$D$5516*1000/(Sens!$D$5499*Sens!$D$5500)</f>
        <v>9.67085565405685</v>
      </c>
      <c r="E5517" s="36" t="n">
        <f aca="false">Sens!$E$5516*1000/(Sens!$E$5499*Sens!$E$5500)</f>
        <v>9.67085565405685</v>
      </c>
      <c r="F5517" s="36" t="n">
        <f aca="false">Sens!$F$5516*1000/(Sens!$F$5499*Sens!$F$5500)</f>
        <v>10.0137581588017</v>
      </c>
      <c r="G5517" s="36" t="n">
        <f aca="false">Sens!$G$5516*1000/(Sens!$G$5499*Sens!$G$5500)</f>
        <v>9.88666562928478</v>
      </c>
      <c r="H5517" s="36" t="n">
        <f aca="false">Sens!$H$5516*1000/(Sens!$H$5499*Sens!$H$5500)</f>
        <v>10.5290045586992</v>
      </c>
      <c r="I5517" s="36" t="n">
        <f aca="false">Sens!$I$5516*1000/(Sens!$I$5499*Sens!$I$5500)</f>
        <v>10.8576363451674</v>
      </c>
      <c r="J5517" s="36" t="n">
        <f aca="false">Sens!$J$5516*1000/(Sens!$J$5499*Sens!$J$5500)</f>
        <v>11.0164452588619</v>
      </c>
      <c r="K5517" s="36" t="n">
        <f aca="false">Sens!$K$5516*1000/(Sens!$K$5499*Sens!$K$5500)</f>
        <v>11.0937367508227</v>
      </c>
      <c r="L5517" s="36" t="n">
        <f aca="false">Sens!$L$5516*1000/(Sens!$L$5499*Sens!$L$5500)</f>
        <v>11.1300508519168</v>
      </c>
      <c r="M5517" s="36" t="n">
        <f aca="false">Sens!$M$5516*1000/(Sens!$M$5499*Sens!$M$5500)</f>
        <v>11.1430113216297</v>
      </c>
      <c r="N5517" s="36" t="n">
        <f aca="false">Sens!$N$5516*1000/(Sens!$N$5499*Sens!$N$5500)</f>
        <v>9.67085565405685</v>
      </c>
      <c r="O5517" s="36" t="n">
        <f aca="false">Sens!$O$5516*1000/(Sens!$O$5499*Sens!$O$5500)</f>
        <v>9.67085565405685</v>
      </c>
    </row>
    <row r="5518" customFormat="false" ht="17.15" hidden="false" customHeight="false" outlineLevel="0" collapsed="false">
      <c r="A5518" s="0" t="s">
        <v>626</v>
      </c>
      <c r="B5518" s="0" t="s">
        <v>86</v>
      </c>
      <c r="C5518" s="38" t="n">
        <f aca="false">Sens!$C$5499/ext_sh*(ox_open+rent_mw)*Sens!$C$5500/1000</f>
        <v>0.642569210675032</v>
      </c>
      <c r="D5518" s="38" t="n">
        <f aca="false">Sens!$D$5499/ext_sh*(ox_open+rent_mw)*Sens!$D$5500/1000</f>
        <v>2.40963454003137</v>
      </c>
      <c r="E5518" s="38" t="n">
        <f aca="false">Sens!$E$5499/ext_sh*(ox_open+rent_mw)*Sens!$E$5500/1000</f>
        <v>2.35608710580845</v>
      </c>
      <c r="F5518" s="38" t="n">
        <f aca="false">((mw_open*ox_open+Sens!$F$5514*Sens!$F$5512)/ext_sh+Sens!$F$5499/ext_sh*rent_mw)*Sens!$F$5500/1000</f>
        <v>4.05421991106232</v>
      </c>
      <c r="G5518" s="38" t="n">
        <f aca="false">Sens!$E$5518+Sens!$F$5518</f>
        <v>6.41030701687077</v>
      </c>
      <c r="H5518" s="38" t="n">
        <f aca="false">((mw_open*ox_open+Sens!$H$5514*Sens!$H$5512)/ext_sh+Sens!$H$5499/ext_sh*rent_mw)*Sens!$H$5500/1000</f>
        <v>15.8108975546616</v>
      </c>
      <c r="I5518" s="38" t="n">
        <f aca="false">((mw_open*ox_open+Sens!$I$5514*Sens!$I$5512)/ext_sh+Sens!$I$5499/ext_sh*rent_mw)*Sens!$I$5500/1000</f>
        <v>26.1871623400817</v>
      </c>
      <c r="J5518" s="38" t="n">
        <f aca="false">((mw_open*ox_open+Sens!$J$5514*Sens!$J$5512)/ext_sh+Sens!$J$5499/ext_sh*rent_mw)*Sens!$J$5500/1000</f>
        <v>36.5826128954935</v>
      </c>
      <c r="K5518" s="38" t="n">
        <f aca="false">((mw_open*ox_open+Sens!$K$5514*Sens!$K$5512)/ext_sh+Sens!$K$5499/ext_sh*rent_mw)*Sens!$K$5500/1000</f>
        <v>45.4546361137628</v>
      </c>
      <c r="L5518" s="38" t="n">
        <f aca="false">((mw_open*ox_open+Sens!$L$5514*Sens!$L$5512)/ext_sh+Sens!$L$5499/ext_sh*rent_mw)*Sens!$L$5500/1000</f>
        <v>51.2855695554452</v>
      </c>
      <c r="M5518" s="38" t="n">
        <f aca="false">((mw_open*ox_open+Sens!$M$5514*Sens!$M$5512)/ext_sh+Sens!$M$5499/ext_sh*rent_mw)*Sens!$M$5500/1000</f>
        <v>54.0722927838398</v>
      </c>
      <c r="N5518" s="38" t="n">
        <f aca="false">Sens!$N$5499/ext_sh*(ox_open+rent_mw)*Sens!$N$5500/1000</f>
        <v>0.84337208901098</v>
      </c>
      <c r="O5518" s="38" t="n">
        <f aca="false">Sens!$O$5499/ext_sh*(ox_open+rent_mw)*Sens!$O$5500/1000</f>
        <v>1.56626245102039</v>
      </c>
    </row>
    <row r="5519" customFormat="false" ht="17.15" hidden="false" customHeight="false" outlineLevel="0" collapsed="false">
      <c r="A5519" s="0" t="s">
        <v>627</v>
      </c>
      <c r="B5519" s="0" t="s">
        <v>86</v>
      </c>
      <c r="C5519" s="38" t="n">
        <f aca="false">Q!$D$7</f>
        <v>107.556</v>
      </c>
      <c r="D5519" s="38" t="n">
        <f aca="false">Q!$E$7</f>
        <v>128.725</v>
      </c>
      <c r="E5519" s="38" t="n">
        <f aca="false">Q!$P$7</f>
        <v>79.819</v>
      </c>
      <c r="N5519" s="38" t="n">
        <f aca="false">Q!$N$7</f>
        <v>60.14</v>
      </c>
      <c r="O5519" s="38" t="n">
        <f aca="false">Q!$O$7</f>
        <v>68.585</v>
      </c>
    </row>
    <row r="5520" customFormat="false" ht="17.15" hidden="false" customHeight="false" outlineLevel="0" collapsed="false">
      <c r="A5520" s="1" t="s">
        <v>628</v>
      </c>
      <c r="B5520" s="8" t="s">
        <v>86</v>
      </c>
      <c r="C5520" s="38" t="n">
        <f aca="false">Sens!$C$5519-Sens!$C$5516</f>
        <v>105.234994643026</v>
      </c>
      <c r="D5520" s="38" t="n">
        <f aca="false">Sens!$D$5519-Sens!$D$5516</f>
        <v>120.021229911349</v>
      </c>
      <c r="E5520" s="38" t="n">
        <f aca="false">Sens!$E$5519-Sens!$E$5516</f>
        <v>71.30864702443</v>
      </c>
      <c r="F5520" s="38" t="n">
        <f aca="false">Sens!$O$5520*(1+Sens!$F$5521)</f>
        <v>71.7692997942464</v>
      </c>
      <c r="G5520" s="38" t="n">
        <f aca="false">Sens!$E$5520+Sens!$F$5520</f>
        <v>143.077946818676</v>
      </c>
      <c r="H5520" s="38" t="n">
        <f aca="false">Sens!$G$5520*(1+Sens!$H$5521)</f>
        <v>161.017077079203</v>
      </c>
      <c r="I5520" s="38" t="n">
        <f aca="false">Sens!$H$5520*(1+Sens!$I$5521)</f>
        <v>178.769759521457</v>
      </c>
      <c r="J5520" s="38" t="n">
        <f aca="false">Sens!$I$5520*(1+Sens!$J$5521)</f>
        <v>195.775538045907</v>
      </c>
      <c r="K5520" s="38" t="n">
        <f aca="false">Sens!$J$5520*(1+Sens!$K$5521)</f>
        <v>211.43758108958</v>
      </c>
      <c r="L5520" s="38" t="n">
        <f aca="false">Sens!$K$5520*(1+Sens!$L$5521)</f>
        <v>228.352587576746</v>
      </c>
      <c r="M5520" s="38" t="n">
        <f aca="false">Sens!$L$5520*(1+Sens!$M$5521)</f>
        <v>246.620794582886</v>
      </c>
      <c r="N5520" s="38" t="n">
        <f aca="false">Sens!$N$5519-Sens!$N$5516</f>
        <v>57.0936804689721</v>
      </c>
      <c r="O5520" s="38" t="n">
        <f aca="false">Sens!$O$5519-Sens!$O$5516</f>
        <v>62.9275494423768</v>
      </c>
      <c r="P5520" s="5" t="s">
        <v>629</v>
      </c>
    </row>
    <row r="5521" customFormat="false" ht="17.15" hidden="false" customHeight="false" outlineLevel="0" collapsed="false">
      <c r="A5521" s="0" t="s">
        <v>630</v>
      </c>
      <c r="B5521" s="0" t="s">
        <v>52</v>
      </c>
      <c r="D5521" s="13" t="n">
        <f aca="false">Sens!$D$5520/Sens!$C$5520-1</f>
        <v>0.140506827776062</v>
      </c>
      <c r="E5521" s="13" t="n">
        <f aca="false">Sens!$E$5520/Sens!$N$5520-1</f>
        <v>0.248976181579029</v>
      </c>
      <c r="F5521" s="13" t="n">
        <f aca="false">Sens!$D$5521</f>
        <v>0.140506827776062</v>
      </c>
      <c r="G5521" s="13" t="n">
        <f aca="false">Sens!$G$5520/Sens!$D$5520-1</f>
        <v>0.19210532106993</v>
      </c>
      <c r="H5521" s="13" t="n">
        <f aca="false">Sens!$F$5521+(g_awso_lt-Sens!$F$5521)*1/4</f>
        <v>0.125380120832046</v>
      </c>
      <c r="I5521" s="13" t="n">
        <f aca="false">Sens!$F$5521+(g_awso_lt-Sens!$F$5521)*2/4</f>
        <v>0.110253413888031</v>
      </c>
      <c r="J5521" s="13" t="n">
        <f aca="false">Sens!$F$5521+(g_awso_lt-Sens!$F$5521)*3/4</f>
        <v>0.0951267069440154</v>
      </c>
      <c r="K5521" s="13" t="n">
        <f aca="false">Sens!$F$5521+(g_awso_lt-Sens!$F$5521)*4/4</f>
        <v>0.08</v>
      </c>
      <c r="L5521" s="13" t="n">
        <f aca="false">g_awso_lt</f>
        <v>0.08</v>
      </c>
      <c r="M5521" s="13" t="n">
        <f aca="false">g_awso_lt</f>
        <v>0.08</v>
      </c>
      <c r="P5521" s="5" t="s">
        <v>631</v>
      </c>
    </row>
    <row r="5522" customFormat="false" ht="17.15" hidden="false" customHeight="false" outlineLevel="0" collapsed="false">
      <c r="A5522" s="1" t="s">
        <v>632</v>
      </c>
    </row>
    <row r="5523" customFormat="false" ht="17.15" hidden="false" customHeight="false" outlineLevel="0" collapsed="false">
      <c r="A5523" s="0" t="s">
        <v>633</v>
      </c>
      <c r="B5523" s="0" t="s">
        <v>86</v>
      </c>
      <c r="F5523" s="38" t="n">
        <f aca="false">cx_rt*Sens!$F$5488+cx_awso*Sens!$F$5520</f>
        <v>34.9734495387866</v>
      </c>
    </row>
    <row r="5524" customFormat="false" ht="17.15" hidden="false" customHeight="false" outlineLevel="0" collapsed="false">
      <c r="A5524" s="0" t="s">
        <v>634</v>
      </c>
      <c r="B5524" s="0" t="s">
        <v>52</v>
      </c>
      <c r="C5524" s="13" t="n">
        <f aca="false">tk_cx_h100/(tk_cx_h100+tk_fac*(1-colo_sh))</f>
        <v>0.730756458006641</v>
      </c>
      <c r="D5524" s="13" t="n">
        <f aca="false">tk_cx_h100/(tk_cx_h100+tk_fac*(1-colo_sh))</f>
        <v>0.730756458006641</v>
      </c>
      <c r="E5524" s="13" t="n">
        <f aca="false">Sens!$F$5524</f>
        <v>0.760792334328868</v>
      </c>
      <c r="F5524" s="13" t="n">
        <f aca="false">Sens!$F$5507/(Sens!$F$5507+tk_fac*(1-colo_sh))</f>
        <v>0.760792334328868</v>
      </c>
      <c r="G5524" s="13" t="n">
        <f aca="false">Sens!$G$5507/(Sens!$G$5507+tk_fac*(1-colo_sh))</f>
        <v>0.760792334328868</v>
      </c>
      <c r="H5524" s="13" t="n">
        <f aca="false">Sens!$H$5507/(Sens!$H$5507+tk_fac*(1-colo_sh))</f>
        <v>0.768110668862996</v>
      </c>
      <c r="I5524" s="13" t="n">
        <f aca="false">Sens!$I$5507/(Sens!$I$5507+tk_fac*(1-colo_sh))</f>
        <v>0.77499450139483</v>
      </c>
      <c r="J5524" s="13" t="n">
        <f aca="false">Sens!$J$5507/(Sens!$J$5507+tk_fac*(1-colo_sh))</f>
        <v>0.77499450139483</v>
      </c>
      <c r="K5524" s="13" t="n">
        <f aca="false">Sens!$K$5507/(Sens!$K$5507+tk_fac*(1-colo_sh))</f>
        <v>0.77499450139483</v>
      </c>
      <c r="L5524" s="13" t="n">
        <f aca="false">Sens!$L$5507/(Sens!$L$5507+tk_fac*(1-colo_sh))</f>
        <v>0.77499450139483</v>
      </c>
      <c r="M5524" s="13" t="n">
        <f aca="false">Sens!$M$5507/(Sens!$M$5507+tk_fac*(1-colo_sh))</f>
        <v>0.77499450139483</v>
      </c>
    </row>
    <row r="5525" customFormat="false" ht="17.15" hidden="false" customHeight="false" outlineLevel="0" collapsed="false">
      <c r="A5525" s="1" t="s">
        <v>635</v>
      </c>
      <c r="B5525" s="8" t="s">
        <v>86</v>
      </c>
      <c r="C5525" s="38" t="n">
        <f aca="false">Q!$D$46-cx_rt*Q!$D$16-cx_awso*Sens!$C$5520</f>
        <v>25.2781053077374</v>
      </c>
      <c r="D5525" s="38" t="n">
        <f aca="false">Q!$E$46-cx_rt*Q!$E$16-cx_awso*Sens!$D$5520</f>
        <v>69.5686316310026</v>
      </c>
      <c r="E5525" s="38" t="n">
        <f aca="false">Q!$P$46-cx_rt*Q!$P$16-cx_awso*Sens!$E$5520</f>
        <v>64.1899206485108</v>
      </c>
      <c r="F5525" s="38" t="n">
        <f aca="false">capex_g26-Q!$P$46-Sens!$F$5523</f>
        <v>88.7165504612134</v>
      </c>
      <c r="G5525" s="38" t="n">
        <f aca="false">Sens!$E$5525+Sens!$F$5525</f>
        <v>152.906471109724</v>
      </c>
      <c r="H5525" s="38" t="n">
        <f aca="false">Sens!$H$5502*(Sens!$H$5507+tk_fac*(1-colo_sh))/1000+Sens!$H$5526</f>
        <v>198.57136494475</v>
      </c>
      <c r="I5525" s="38" t="n">
        <f aca="false">Sens!$I$5502*(Sens!$I$5507+tk_fac*(1-colo_sh))/1000+Sens!$I$5526</f>
        <v>204.6464699105</v>
      </c>
      <c r="J5525" s="38" t="n">
        <f aca="false">Sens!$J$5502*(Sens!$J$5507+tk_fac*(1-colo_sh))/1000+Sens!$J$5526</f>
        <v>209.8832381105</v>
      </c>
      <c r="K5525" s="38" t="n">
        <f aca="false">Sens!$K$5502*(Sens!$K$5507+tk_fac*(1-colo_sh))/1000+Sens!$K$5526</f>
        <v>155.238385275201</v>
      </c>
      <c r="L5525" s="38" t="n">
        <f aca="false">Sens!$L$5502*(Sens!$L$5507+tk_fac*(1-colo_sh))/1000+Sens!$L$5526</f>
        <v>132.014141639902</v>
      </c>
      <c r="M5525" s="38" t="n">
        <f aca="false">Sens!$M$5502*(Sens!$M$5507+tk_fac*(1-colo_sh))/1000+Sens!$M$5526</f>
        <v>132.230981659852</v>
      </c>
      <c r="P5525" s="5" t="s">
        <v>636</v>
      </c>
      <c r="R5525" s="38" t="n">
        <f aca="false">Q!$C$46-cx_rt*Q!$C$16-cx_awso*(Q!$C$7-mw_ye23/2*rpm_open/1000)</f>
        <v>1.50429979529945</v>
      </c>
      <c r="S5525" s="38" t="n">
        <f aca="false">Sens!$C$5525</f>
        <v>25.2781053077374</v>
      </c>
      <c r="T5525" s="38" t="n">
        <f aca="false">Sens!$D$5525</f>
        <v>69.5686316310026</v>
      </c>
      <c r="U5525" s="38" t="n">
        <f aca="false">Sens!$G$5525</f>
        <v>152.906471109724</v>
      </c>
      <c r="V5525" s="38" t="n">
        <f aca="false">Sens!$H$5525</f>
        <v>198.57136494475</v>
      </c>
      <c r="W5525" s="38" t="n">
        <f aca="false">Sens!$I$5525</f>
        <v>204.6464699105</v>
      </c>
      <c r="X5525" s="38" t="n">
        <f aca="false">Sens!$J$5525</f>
        <v>209.8832381105</v>
      </c>
      <c r="Y5525" s="38" t="n">
        <f aca="false">Sens!$K$5525</f>
        <v>155.238385275201</v>
      </c>
      <c r="Z5525" s="38" t="n">
        <f aca="false">Sens!$L$5525</f>
        <v>132.014141639902</v>
      </c>
      <c r="AA5525" s="38" t="n">
        <f aca="false">Sens!$M$5525</f>
        <v>132.230981659852</v>
      </c>
    </row>
    <row r="5526" customFormat="false" ht="17.15" hidden="false" customHeight="false" outlineLevel="0" collapsed="false">
      <c r="A5526" s="0" t="s">
        <v>637</v>
      </c>
      <c r="B5526" s="0" t="s">
        <v>86</v>
      </c>
      <c r="H5526" s="38" t="n">
        <f aca="false">SUMPRODUCT(--(Sens!$R$5495:$AA$5495=2027-tk_life),Sens!$R$5502:$AA$5502)*Sens!$H$5507/1000</f>
        <v>0</v>
      </c>
      <c r="I5526" s="38" t="n">
        <f aca="false">SUMPRODUCT(--(Sens!$R$5495:$AA$5495=2028-tk_life),Sens!$R$5502:$AA$5502)*Sens!$I$5507/1000</f>
        <v>0</v>
      </c>
      <c r="J5526" s="38" t="n">
        <f aca="false">SUMPRODUCT(--(Sens!$R$5495:$AA$5495=2029-tk_life),Sens!$R$5502:$AA$5502)*Sens!$J$5507/1000</f>
        <v>5.2367682</v>
      </c>
      <c r="K5526" s="38" t="n">
        <f aca="false">SUMPRODUCT(--(Sens!$R$5495:$AA$5495=2030-tk_life),Sens!$R$5502:$AA$5502)*Sens!$K$5507/1000</f>
        <v>10.4735364</v>
      </c>
      <c r="L5526" s="38" t="n">
        <f aca="false">SUMPRODUCT(--(Sens!$R$5495:$AA$5495=2031-tk_life),Sens!$R$5502:$AA$5502)*Sens!$L$5507/1000</f>
        <v>47.1309138</v>
      </c>
      <c r="M5526" s="38" t="n">
        <f aca="false">SUMPRODUCT(--(Sens!$R$5495:$AA$5495=2032-tk_life),Sens!$R$5502:$AA$5502)*Sens!$M$5507/1000</f>
        <v>107.22937485525</v>
      </c>
    </row>
    <row r="5527" customFormat="false" ht="17.15" hidden="false" customHeight="false" outlineLevel="0" collapsed="false">
      <c r="A5527" s="0" t="s">
        <v>638</v>
      </c>
      <c r="B5527" s="0" t="s">
        <v>86</v>
      </c>
      <c r="C5527" s="38" t="n">
        <f aca="false">MIN(Sens!$C$5525,Sens!$C$5502*(tk_cx_h100+tk_fac*(1-colo_sh))/1000)</f>
        <v>11.2938642</v>
      </c>
      <c r="D5527" s="38" t="n">
        <f aca="false">MIN(Sens!$D$5525,Sens!$D$5502*(tk_cx_h100+tk_fac*(1-colo_sh))/1000)</f>
        <v>50.8223889</v>
      </c>
      <c r="E5527" s="38" t="n">
        <f aca="false">MIN(Sens!$E$5525,Sens!$E$5502*(Sens!$F$5507+tk_fac*(1-colo_sh))/1000)</f>
        <v>33.8985792</v>
      </c>
      <c r="F5527" s="38" t="n">
        <f aca="false">Sens!$F$5525</f>
        <v>88.7165504612134</v>
      </c>
      <c r="G5527" s="38" t="n">
        <f aca="false">Sens!$E$5527+Sens!$F$5527</f>
        <v>122.615129661213</v>
      </c>
      <c r="H5527" s="38" t="n">
        <f aca="false">Sens!$H$5525</f>
        <v>198.57136494475</v>
      </c>
      <c r="I5527" s="38" t="n">
        <f aca="false">Sens!$I$5525</f>
        <v>204.6464699105</v>
      </c>
      <c r="J5527" s="38" t="n">
        <f aca="false">Sens!$J$5525</f>
        <v>209.8832381105</v>
      </c>
      <c r="K5527" s="38" t="n">
        <f aca="false">Sens!$K$5525</f>
        <v>155.238385275201</v>
      </c>
      <c r="L5527" s="38" t="n">
        <f aca="false">Sens!$L$5525</f>
        <v>132.014141639902</v>
      </c>
      <c r="M5527" s="38" t="n">
        <f aca="false">Sens!$M$5525</f>
        <v>132.230981659852</v>
      </c>
      <c r="P5527" s="5" t="s">
        <v>639</v>
      </c>
      <c r="R5527" s="38" t="n">
        <f aca="false">MIN(Sens!$R$5525,Sens!$R$5502*(tk_cx_h100+tk_fac*(1-colo_sh))/1000)</f>
        <v>1.50429979529945</v>
      </c>
      <c r="S5527" s="38" t="n">
        <f aca="false">Sens!$C$5527</f>
        <v>11.2938642</v>
      </c>
      <c r="T5527" s="38" t="n">
        <f aca="false">Sens!$D$5527</f>
        <v>50.8223889</v>
      </c>
      <c r="U5527" s="38" t="n">
        <f aca="false">Sens!$G$5527</f>
        <v>122.615129661213</v>
      </c>
      <c r="V5527" s="38" t="n">
        <f aca="false">Sens!$H$5527</f>
        <v>198.57136494475</v>
      </c>
      <c r="W5527" s="38" t="n">
        <f aca="false">Sens!$I$5527</f>
        <v>204.6464699105</v>
      </c>
      <c r="X5527" s="38" t="n">
        <f aca="false">Sens!$J$5527</f>
        <v>209.8832381105</v>
      </c>
      <c r="Y5527" s="38" t="n">
        <f aca="false">Sens!$K$5527</f>
        <v>155.238385275201</v>
      </c>
      <c r="Z5527" s="38" t="n">
        <f aca="false">Sens!$L$5527</f>
        <v>132.014141639902</v>
      </c>
      <c r="AA5527" s="38" t="n">
        <f aca="false">Sens!$M$5527</f>
        <v>132.230981659852</v>
      </c>
    </row>
    <row r="5528" customFormat="false" ht="17.15" hidden="false" customHeight="false" outlineLevel="0" collapsed="false">
      <c r="A5528" s="5" t="s">
        <v>640</v>
      </c>
      <c r="B5528" s="0" t="s">
        <v>86</v>
      </c>
      <c r="C5528" s="38" t="n">
        <f aca="false">Sens!$C$5525-Sens!$C$5527</f>
        <v>13.9842411077374</v>
      </c>
      <c r="D5528" s="38" t="n">
        <f aca="false">Sens!$D$5525-Sens!$D$5527</f>
        <v>18.7462427310026</v>
      </c>
      <c r="E5528" s="38" t="n">
        <f aca="false">Sens!$E$5525-Sens!$E$5527</f>
        <v>30.2913414485108</v>
      </c>
      <c r="F5528" s="38" t="n">
        <f aca="false">Sens!$F$5525-Sens!$F$5527</f>
        <v>0</v>
      </c>
      <c r="G5528" s="38" t="n">
        <f aca="false">Sens!$G$5525-Sens!$G$5527</f>
        <v>30.2913414485108</v>
      </c>
      <c r="H5528" s="38" t="n">
        <f aca="false">Sens!$H$5525-Sens!$H$5527</f>
        <v>0</v>
      </c>
      <c r="I5528" s="38" t="n">
        <f aca="false">Sens!$I$5525-Sens!$I$5527</f>
        <v>0</v>
      </c>
      <c r="J5528" s="38" t="n">
        <f aca="false">Sens!$J$5525-Sens!$J$5527</f>
        <v>0</v>
      </c>
      <c r="K5528" s="38" t="n">
        <f aca="false">Sens!$K$5525-Sens!$K$5527</f>
        <v>0</v>
      </c>
      <c r="L5528" s="38" t="n">
        <f aca="false">Sens!$L$5525-Sens!$L$5527</f>
        <v>0</v>
      </c>
      <c r="M5528" s="38" t="n">
        <f aca="false">Sens!$M$5525-Sens!$M$5527</f>
        <v>0</v>
      </c>
      <c r="P5528" s="5" t="s">
        <v>641</v>
      </c>
      <c r="R5528" s="38" t="n">
        <f aca="false">Sens!$R$5525-Sens!$R$5527</f>
        <v>0</v>
      </c>
      <c r="S5528" s="38" t="n">
        <f aca="false">Sens!$S$5525-Sens!$S$5527</f>
        <v>13.9842411077374</v>
      </c>
      <c r="T5528" s="38" t="n">
        <f aca="false">Sens!$T$5525-Sens!$T$5527</f>
        <v>18.7462427310026</v>
      </c>
      <c r="U5528" s="38" t="n">
        <f aca="false">Sens!$U$5525-Sens!$U$5527</f>
        <v>30.2913414485108</v>
      </c>
      <c r="V5528" s="38" t="n">
        <f aca="false">Sens!$V$5525-Sens!$V$5527</f>
        <v>0</v>
      </c>
      <c r="W5528" s="38" t="n">
        <f aca="false">Sens!$W$5525-Sens!$W$5527</f>
        <v>0</v>
      </c>
      <c r="X5528" s="38" t="n">
        <f aca="false">Sens!$X$5525-Sens!$X$5527</f>
        <v>0</v>
      </c>
      <c r="Y5528" s="38" t="n">
        <f aca="false">Sens!$Y$5525-Sens!$Y$5527</f>
        <v>0</v>
      </c>
      <c r="Z5528" s="38" t="n">
        <f aca="false">Sens!$Z$5525-Sens!$Z$5527</f>
        <v>0</v>
      </c>
      <c r="AA5528" s="38" t="n">
        <f aca="false">Sens!$AA$5525-Sens!$AA$5527</f>
        <v>0</v>
      </c>
    </row>
    <row r="5529" customFormat="false" ht="17.15" hidden="false" customHeight="false" outlineLevel="0" collapsed="false">
      <c r="A5529" s="5" t="s">
        <v>642</v>
      </c>
      <c r="B5529" s="0" t="s">
        <v>86</v>
      </c>
      <c r="R5529" s="38" t="n">
        <f aca="false">Sens!$R$5528*Sens!$C$5524</f>
        <v>0</v>
      </c>
      <c r="S5529" s="38" t="n">
        <f aca="false">Sens!$S$5528*Sens!$C$5524</f>
        <v>10.219074499801</v>
      </c>
      <c r="T5529" s="38" t="n">
        <f aca="false">Sens!$T$5528*Sens!$C$5524</f>
        <v>13.6989379390402</v>
      </c>
      <c r="U5529" s="38" t="n">
        <f aca="false">Sens!$U$5528*Sens!$E$5524</f>
        <v>23.0454203705653</v>
      </c>
      <c r="V5529" s="38" t="n">
        <f aca="false">Sens!$V$5528*Sens!$E$5524</f>
        <v>0</v>
      </c>
      <c r="W5529" s="38" t="n">
        <f aca="false">Sens!$W$5528*Sens!$E$5524</f>
        <v>0</v>
      </c>
      <c r="X5529" s="38" t="n">
        <f aca="false">Sens!$X$5528*Sens!$E$5524</f>
        <v>0</v>
      </c>
      <c r="Y5529" s="38" t="n">
        <f aca="false">Sens!$Y$5528*Sens!$E$5524</f>
        <v>0</v>
      </c>
      <c r="Z5529" s="38" t="n">
        <f aca="false">Sens!$Z$5528*Sens!$E$5524</f>
        <v>0</v>
      </c>
      <c r="AA5529" s="38" t="n">
        <f aca="false">Sens!$AA$5528*Sens!$E$5524</f>
        <v>0</v>
      </c>
    </row>
    <row r="5530" customFormat="false" ht="17.15" hidden="false" customHeight="false" outlineLevel="0" collapsed="false">
      <c r="A5530" s="5" t="s">
        <v>643</v>
      </c>
      <c r="B5530" s="0" t="s">
        <v>86</v>
      </c>
      <c r="R5530" s="38" t="n">
        <f aca="false">SUMPRODUCT(--(Sens!$R$5495:$AA$5495=2023-cip_lag),Sens!$R$5529:$AA$5529)</f>
        <v>0</v>
      </c>
      <c r="S5530" s="38" t="n">
        <f aca="false">SUMPRODUCT(--(Sens!$R$5495:$AA$5495=2024-cip_lag),Sens!$R$5529:$AA$5529)</f>
        <v>0</v>
      </c>
      <c r="T5530" s="38" t="n">
        <f aca="false">SUMPRODUCT(--(Sens!$R$5495:$AA$5495=2025-cip_lag),Sens!$R$5529:$AA$5529)</f>
        <v>10.219074499801</v>
      </c>
      <c r="U5530" s="38" t="n">
        <f aca="false">SUMPRODUCT(--(Sens!$R$5495:$AA$5495=2026-cip_lag),Sens!$R$5529:$AA$5529)</f>
        <v>13.6989379390402</v>
      </c>
      <c r="V5530" s="38" t="n">
        <f aca="false">SUMPRODUCT(--(Sens!$R$5495:$AA$5495=2027-cip_lag),Sens!$R$5529:$AA$5529)</f>
        <v>23.0454203705653</v>
      </c>
      <c r="W5530" s="38" t="n">
        <f aca="false">SUMPRODUCT(--(Sens!$R$5495:$AA$5495=2028-cip_lag),Sens!$R$5529:$AA$5529)</f>
        <v>0</v>
      </c>
      <c r="X5530" s="38" t="n">
        <f aca="false">SUMPRODUCT(--(Sens!$R$5495:$AA$5495=2029-cip_lag),Sens!$R$5529:$AA$5529)</f>
        <v>0</v>
      </c>
      <c r="Y5530" s="38" t="n">
        <f aca="false">SUMPRODUCT(--(Sens!$R$5495:$AA$5495=2030-cip_lag),Sens!$R$5529:$AA$5529)</f>
        <v>0</v>
      </c>
      <c r="Z5530" s="38" t="n">
        <f aca="false">SUMPRODUCT(--(Sens!$R$5495:$AA$5495=2031-cip_lag),Sens!$R$5529:$AA$5529)</f>
        <v>0</v>
      </c>
      <c r="AA5530" s="38" t="n">
        <f aca="false">SUMPRODUCT(--(Sens!$R$5495:$AA$5495=2032-cip_lag),Sens!$R$5529:$AA$5529)</f>
        <v>0</v>
      </c>
    </row>
    <row r="5531" customFormat="false" ht="15" hidden="false" customHeight="false" outlineLevel="0" collapsed="false">
      <c r="A5531" s="5" t="s">
        <v>644</v>
      </c>
      <c r="B5531" s="0" t="s">
        <v>86</v>
      </c>
      <c r="R5531" s="38" t="n">
        <f aca="false">SUMPRODUCT(--(Sens!$R$5495:$AA$5495=2023-cip_lag),Sens!$R$5528:$AA$5528)-Sens!$R$5530</f>
        <v>0</v>
      </c>
      <c r="S5531" s="38" t="n">
        <f aca="false">SUMPRODUCT(--(Sens!$R$5495:$AA$5495=2024-cip_lag),Sens!$R$5528:$AA$5528)-Sens!$S$5530</f>
        <v>0</v>
      </c>
      <c r="T5531" s="38" t="n">
        <f aca="false">SUMPRODUCT(--(Sens!$R$5495:$AA$5495=2025-cip_lag),Sens!$R$5528:$AA$5528)-Sens!$T$5530</f>
        <v>3.76516660793636</v>
      </c>
      <c r="U5531" s="38" t="n">
        <f aca="false">SUMPRODUCT(--(Sens!$R$5495:$AA$5495=2026-cip_lag),Sens!$R$5528:$AA$5528)-Sens!$U$5530</f>
        <v>5.04730479196242</v>
      </c>
      <c r="V5531" s="38" t="n">
        <f aca="false">SUMPRODUCT(--(Sens!$R$5495:$AA$5495=2027-cip_lag),Sens!$R$5528:$AA$5528)-Sens!$V$5530</f>
        <v>7.24592107794548</v>
      </c>
      <c r="W5531" s="38" t="n">
        <f aca="false">SUMPRODUCT(--(Sens!$R$5495:$AA$5495=2028-cip_lag),Sens!$R$5528:$AA$5528)-Sens!$W$5530</f>
        <v>0</v>
      </c>
      <c r="X5531" s="38" t="n">
        <f aca="false">SUMPRODUCT(--(Sens!$R$5495:$AA$5495=2029-cip_lag),Sens!$R$5528:$AA$5528)-Sens!$X$5530</f>
        <v>0</v>
      </c>
      <c r="Y5531" s="38" t="n">
        <f aca="false">SUMPRODUCT(--(Sens!$R$5495:$AA$5495=2030-cip_lag),Sens!$R$5528:$AA$5528)-Sens!$Y$5530</f>
        <v>0</v>
      </c>
      <c r="Z5531" s="38" t="n">
        <f aca="false">SUMPRODUCT(--(Sens!$R$5495:$AA$5495=2031-cip_lag),Sens!$R$5528:$AA$5528)-Sens!$Z$5530</f>
        <v>0</v>
      </c>
      <c r="AA5531" s="38" t="n">
        <f aca="false">SUMPRODUCT(--(Sens!$R$5495:$AA$5495=2032-cip_lag),Sens!$R$5528:$AA$5528)-Sens!$AA$5530</f>
        <v>0</v>
      </c>
    </row>
    <row r="5532" customFormat="false" ht="17.15" hidden="false" customHeight="false" outlineLevel="0" collapsed="false">
      <c r="A5532" s="5" t="s">
        <v>645</v>
      </c>
      <c r="B5532" s="0" t="s">
        <v>86</v>
      </c>
      <c r="C5532" s="38" t="n">
        <f aca="false">Sens!$C$5527*Sens!$C$5524</f>
        <v>8.2530642</v>
      </c>
      <c r="D5532" s="38" t="n">
        <f aca="false">Sens!$D$5527*Sens!$D$5524</f>
        <v>37.1387889</v>
      </c>
      <c r="E5532" s="38" t="n">
        <f aca="false">Sens!$E$5527*Sens!$E$5524</f>
        <v>25.7897792</v>
      </c>
      <c r="F5532" s="38" t="n">
        <f aca="false">Sens!$F$5527*Sens!$F$5524</f>
        <v>67.4948715189913</v>
      </c>
      <c r="G5532" s="38" t="n">
        <f aca="false">Sens!$E$5532+Sens!$F$5532</f>
        <v>93.2846507189913</v>
      </c>
      <c r="H5532" s="38" t="n">
        <f aca="false">(Sens!$H$5527-Sens!$H$5526)*Sens!$H$5524+Sens!$H$5526</f>
        <v>152.52478394475</v>
      </c>
      <c r="I5532" s="38" t="n">
        <f aca="false">(Sens!$I$5527-Sens!$I$5526)*Sens!$I$5524+Sens!$I$5526</f>
        <v>158.5998889105</v>
      </c>
      <c r="J5532" s="38" t="n">
        <f aca="false">(Sens!$J$5527-Sens!$J$5526)*Sens!$J$5524+Sens!$J$5526</f>
        <v>163.8366571105</v>
      </c>
      <c r="K5532" s="38" t="n">
        <f aca="false">(Sens!$K$5527-Sens!$K$5526)*Sens!$K$5524+Sens!$K$5526</f>
        <v>122.665498273534</v>
      </c>
      <c r="L5532" s="38" t="n">
        <f aca="false">(Sens!$L$5527-Sens!$L$5526)*Sens!$L$5524+Sens!$L$5526</f>
        <v>112.914948636568</v>
      </c>
      <c r="M5532" s="38" t="n">
        <f aca="false">(Sens!$M$5527-Sens!$M$5526)*Sens!$M$5524+Sens!$M$5526</f>
        <v>126.605482654852</v>
      </c>
      <c r="R5532" s="38" t="n">
        <f aca="false">Sens!$R$5527*Sens!$C$5524</f>
        <v>1.09927679019314</v>
      </c>
      <c r="S5532" s="38" t="n">
        <f aca="false">Sens!$C$5532</f>
        <v>8.2530642</v>
      </c>
      <c r="T5532" s="38" t="n">
        <f aca="false">Sens!$D$5532</f>
        <v>37.1387889</v>
      </c>
      <c r="U5532" s="38" t="n">
        <f aca="false">Sens!$G$5532</f>
        <v>93.2846507189913</v>
      </c>
      <c r="V5532" s="38" t="n">
        <f aca="false">Sens!$H$5532</f>
        <v>152.52478394475</v>
      </c>
      <c r="W5532" s="38" t="n">
        <f aca="false">Sens!$I$5532</f>
        <v>158.5998889105</v>
      </c>
      <c r="X5532" s="38" t="n">
        <f aca="false">Sens!$J$5532</f>
        <v>163.8366571105</v>
      </c>
      <c r="Y5532" s="38" t="n">
        <f aca="false">Sens!$K$5532</f>
        <v>122.665498273534</v>
      </c>
      <c r="Z5532" s="38" t="n">
        <f aca="false">Sens!$L$5532</f>
        <v>112.914948636568</v>
      </c>
      <c r="AA5532" s="38" t="n">
        <f aca="false">Sens!$M$5532</f>
        <v>126.605482654852</v>
      </c>
    </row>
    <row r="5533" customFormat="false" ht="15" hidden="false" customHeight="false" outlineLevel="0" collapsed="false">
      <c r="A5533" s="5" t="s">
        <v>646</v>
      </c>
      <c r="B5533" s="0" t="s">
        <v>86</v>
      </c>
      <c r="C5533" s="38" t="n">
        <f aca="false">Sens!$C$5527-Sens!$C$5532</f>
        <v>3.0408</v>
      </c>
      <c r="D5533" s="38" t="n">
        <f aca="false">Sens!$D$5527-Sens!$D$5532</f>
        <v>13.6836</v>
      </c>
      <c r="E5533" s="38" t="n">
        <f aca="false">Sens!$E$5527-Sens!$E$5532</f>
        <v>8.1088</v>
      </c>
      <c r="F5533" s="38" t="n">
        <f aca="false">Sens!$F$5527-Sens!$F$5532</f>
        <v>21.2216789422221</v>
      </c>
      <c r="G5533" s="38" t="n">
        <f aca="false">Sens!$G$5527-Sens!$G$5532</f>
        <v>29.3304789422221</v>
      </c>
      <c r="H5533" s="38" t="n">
        <f aca="false">Sens!$H$5527-Sens!$H$5532</f>
        <v>46.046581</v>
      </c>
      <c r="I5533" s="38" t="n">
        <f aca="false">Sens!$I$5527-Sens!$I$5532</f>
        <v>46.046581</v>
      </c>
      <c r="J5533" s="38" t="n">
        <f aca="false">Sens!$J$5527-Sens!$J$5532</f>
        <v>46.046581</v>
      </c>
      <c r="K5533" s="38" t="n">
        <f aca="false">Sens!$K$5527-Sens!$K$5532</f>
        <v>32.5728870016667</v>
      </c>
      <c r="L5533" s="38" t="n">
        <f aca="false">Sens!$L$5527-Sens!$L$5532</f>
        <v>19.0991930033334</v>
      </c>
      <c r="M5533" s="38" t="n">
        <f aca="false">Sens!$M$5527-Sens!$M$5532</f>
        <v>5.62549900499998</v>
      </c>
      <c r="R5533" s="38" t="n">
        <f aca="false">Sens!$R$5527-Sens!$R$5532</f>
        <v>0.405023005106309</v>
      </c>
      <c r="S5533" s="38" t="n">
        <f aca="false">Sens!$S$5527-Sens!$S$5532</f>
        <v>3.0408</v>
      </c>
      <c r="T5533" s="38" t="n">
        <f aca="false">Sens!$T$5527-Sens!$T$5532</f>
        <v>13.6836</v>
      </c>
      <c r="U5533" s="38" t="n">
        <f aca="false">Sens!$U$5527-Sens!$U$5532</f>
        <v>29.3304789422221</v>
      </c>
      <c r="V5533" s="38" t="n">
        <f aca="false">Sens!$V$5527-Sens!$V$5532</f>
        <v>46.046581</v>
      </c>
      <c r="W5533" s="38" t="n">
        <f aca="false">Sens!$W$5527-Sens!$W$5532</f>
        <v>46.046581</v>
      </c>
      <c r="X5533" s="38" t="n">
        <f aca="false">Sens!$X$5527-Sens!$X$5532</f>
        <v>46.046581</v>
      </c>
      <c r="Y5533" s="38" t="n">
        <f aca="false">Sens!$Y$5527-Sens!$Y$5532</f>
        <v>32.5728870016667</v>
      </c>
      <c r="Z5533" s="38" t="n">
        <f aca="false">Sens!$Z$5527-Sens!$Z$5532</f>
        <v>19.0991930033334</v>
      </c>
      <c r="AA5533" s="38" t="n">
        <f aca="false">Sens!$AA$5527-Sens!$AA$5532</f>
        <v>5.62549900499998</v>
      </c>
    </row>
    <row r="5534" customFormat="false" ht="17.15" hidden="false" customHeight="false" outlineLevel="0" collapsed="false">
      <c r="A5534" s="0" t="s">
        <v>647</v>
      </c>
      <c r="B5534" s="0" t="s">
        <v>52</v>
      </c>
      <c r="C5534" s="13" t="n">
        <f aca="false">Sens!$C$5525/Sens!$C$5650</f>
        <v>0.325505489553393</v>
      </c>
      <c r="D5534" s="13" t="n">
        <f aca="false">Sens!$D$5525/Sens!$D$5650</f>
        <v>0.54214956071542</v>
      </c>
      <c r="E5534" s="13" t="n">
        <f aca="false">Sens!$E$5525/Sens!$E$5650</f>
        <v>0.666492790452817</v>
      </c>
      <c r="F5534" s="13" t="n">
        <f aca="false">Sens!$F$5525/Sens!$F$5650</f>
        <v>0.71724917504417</v>
      </c>
      <c r="G5534" s="13" t="n">
        <f aca="false">Sens!$G$5525/Sens!$G$5650</f>
        <v>0.69502941413511</v>
      </c>
      <c r="H5534" s="13" t="n">
        <f aca="false">Sens!$H$5525/Sens!$H$5650</f>
        <v>0.726376041178204</v>
      </c>
      <c r="I5534" s="13" t="n">
        <f aca="false">Sens!$I$5525/Sens!$I$5650</f>
        <v>0.713099092661699</v>
      </c>
      <c r="J5534" s="13" t="n">
        <f aca="false">Sens!$J$5525/Sens!$J$5650</f>
        <v>0.701208348786245</v>
      </c>
      <c r="K5534" s="13" t="n">
        <f aca="false">Sens!$K$5525/Sens!$K$5650</f>
        <v>0.618338844562383</v>
      </c>
      <c r="L5534" s="13" t="n">
        <f aca="false">Sens!$L$5525/Sens!$L$5650</f>
        <v>0.562489158462506</v>
      </c>
      <c r="M5534" s="13" t="n">
        <f aca="false">Sens!$M$5525/Sens!$M$5650</f>
        <v>0.545751190895923</v>
      </c>
    </row>
    <row r="5535" customFormat="false" ht="17.15" hidden="false" customHeight="false" outlineLevel="0" collapsed="false">
      <c r="A5535" s="0" t="s">
        <v>648</v>
      </c>
      <c r="B5535" s="0" t="s">
        <v>86</v>
      </c>
      <c r="C5535" s="38" t="n">
        <f aca="false">Sens!$S$5535</f>
        <v>0.183212798365523</v>
      </c>
      <c r="D5535" s="38" t="n">
        <f aca="false">Sens!$T$5535</f>
        <v>1.55872349836552</v>
      </c>
      <c r="E5535" s="38" t="n">
        <f aca="false">Sens!$G$5535/2</f>
        <v>4.72585036583285</v>
      </c>
      <c r="F5535" s="38" t="n">
        <f aca="false">Sens!$G$5535/2</f>
        <v>4.72585036583285</v>
      </c>
      <c r="G5535" s="38" t="n">
        <f aca="false">Sens!$U$5535</f>
        <v>9.4517007316657</v>
      </c>
      <c r="H5535" s="38" t="n">
        <f aca="false">Sens!$V$5535</f>
        <v>27.2822988413376</v>
      </c>
      <c r="I5535" s="38" t="n">
        <f aca="false">Sens!$W$5535</f>
        <v>56.5439995605568</v>
      </c>
      <c r="J5535" s="38" t="n">
        <f aca="false">Sens!$X$5535</f>
        <v>82.9773143789735</v>
      </c>
      <c r="K5535" s="38" t="n">
        <f aca="false">Sens!$Y$5535</f>
        <v>110.100211099025</v>
      </c>
      <c r="L5535" s="38" t="n">
        <f aca="false">Sens!$Z$5535</f>
        <v>129.16895011128</v>
      </c>
      <c r="M5535" s="38" t="n">
        <f aca="false">Sens!$AA$5535</f>
        <v>140.095130984075</v>
      </c>
      <c r="N5535" s="38" t="n">
        <f aca="false">Sens!$D$5535/2</f>
        <v>0.779361749182762</v>
      </c>
      <c r="O5535" s="38" t="n">
        <f aca="false">Sens!$D$5535/2</f>
        <v>0.779361749182762</v>
      </c>
      <c r="R5535" s="38" t="n">
        <f aca="false">(SUMPRODUCT(--(Sens!$R$5495:$AA$5495&lt;Sens!R$5495),--(Sens!$R$5495:$AA$5495&gt;=Sens!R$5495-tk_life),Sens!$R$5532:$AA$5532)+SUMPRODUCT(--(Sens!$R$5495:$AA$5495&lt;Sens!R$5495),--(Sens!$R$5495:$AA$5495&gt;=Sens!R$5495-tk_life),Sens!$R$5530:$AA$5530))/tk_life</f>
        <v>0</v>
      </c>
      <c r="S5535" s="38" t="n">
        <f aca="false">(SUMPRODUCT(--(Sens!$R$5495:$AA$5495&lt;Sens!S$5495),--(Sens!$R$5495:$AA$5495&gt;=Sens!S$5495-tk_life),Sens!$R$5532:$AA$5532)+SUMPRODUCT(--(Sens!$R$5495:$AA$5495&lt;Sens!S$5495),--(Sens!$R$5495:$AA$5495&gt;=Sens!S$5495-tk_life),Sens!$R$5530:$AA$5530))/tk_life</f>
        <v>0.183212798365523</v>
      </c>
      <c r="T5535" s="38" t="n">
        <f aca="false">(SUMPRODUCT(--(Sens!$R$5495:$AA$5495&lt;Sens!T$5495),--(Sens!$R$5495:$AA$5495&gt;=Sens!T$5495-tk_life),Sens!$R$5532:$AA$5532)+SUMPRODUCT(--(Sens!$R$5495:$AA$5495&lt;Sens!T$5495),--(Sens!$R$5495:$AA$5495&gt;=Sens!T$5495-tk_life),Sens!$R$5530:$AA$5530))/tk_life</f>
        <v>1.55872349836552</v>
      </c>
      <c r="U5535" s="38" t="n">
        <f aca="false">(SUMPRODUCT(--(Sens!$R$5495:$AA$5495&lt;Sens!U$5495),--(Sens!$R$5495:$AA$5495&gt;=Sens!U$5495-tk_life),Sens!$R$5532:$AA$5532)+SUMPRODUCT(--(Sens!$R$5495:$AA$5495&lt;Sens!U$5495),--(Sens!$R$5495:$AA$5495&gt;=Sens!U$5495-tk_life),Sens!$R$5530:$AA$5530))/tk_life</f>
        <v>9.4517007316657</v>
      </c>
      <c r="V5535" s="38" t="n">
        <f aca="false">(SUMPRODUCT(--(Sens!$R$5495:$AA$5495&lt;Sens!V$5495),--(Sens!$R$5495:$AA$5495&gt;=Sens!V$5495-tk_life),Sens!$R$5532:$AA$5532)+SUMPRODUCT(--(Sens!$R$5495:$AA$5495&lt;Sens!V$5495),--(Sens!$R$5495:$AA$5495&gt;=Sens!V$5495-tk_life),Sens!$R$5530:$AA$5530))/tk_life</f>
        <v>27.2822988413376</v>
      </c>
      <c r="W5535" s="38" t="n">
        <f aca="false">(SUMPRODUCT(--(Sens!$R$5495:$AA$5495&lt;Sens!W$5495),--(Sens!$R$5495:$AA$5495&gt;=Sens!W$5495-tk_life),Sens!$R$5532:$AA$5532)+SUMPRODUCT(--(Sens!$R$5495:$AA$5495&lt;Sens!W$5495),--(Sens!$R$5495:$AA$5495&gt;=Sens!W$5495-tk_life),Sens!$R$5530:$AA$5530))/tk_life</f>
        <v>56.5439995605568</v>
      </c>
      <c r="X5535" s="38" t="n">
        <f aca="false">(SUMPRODUCT(--(Sens!$R$5495:$AA$5495&lt;Sens!X$5495),--(Sens!$R$5495:$AA$5495&gt;=Sens!X$5495-tk_life),Sens!$R$5532:$AA$5532)+SUMPRODUCT(--(Sens!$R$5495:$AA$5495&lt;Sens!X$5495),--(Sens!$R$5495:$AA$5495&gt;=Sens!X$5495-tk_life),Sens!$R$5530:$AA$5530))/tk_life</f>
        <v>82.9773143789735</v>
      </c>
      <c r="Y5535" s="38" t="n">
        <f aca="false">(SUMPRODUCT(--(Sens!$R$5495:$AA$5495&lt;Sens!Y$5495),--(Sens!$R$5495:$AA$5495&gt;=Sens!Y$5495-tk_life),Sens!$R$5532:$AA$5532)+SUMPRODUCT(--(Sens!$R$5495:$AA$5495&lt;Sens!Y$5495),--(Sens!$R$5495:$AA$5495&gt;=Sens!Y$5495-tk_life),Sens!$R$5530:$AA$5530))/tk_life</f>
        <v>110.100211099025</v>
      </c>
      <c r="Z5535" s="38" t="n">
        <f aca="false">(SUMPRODUCT(--(Sens!$R$5495:$AA$5495&lt;Sens!Z$5495),--(Sens!$R$5495:$AA$5495&gt;=Sens!Z$5495-tk_life),Sens!$R$5532:$AA$5532)+SUMPRODUCT(--(Sens!$R$5495:$AA$5495&lt;Sens!Z$5495),--(Sens!$R$5495:$AA$5495&gt;=Sens!Z$5495-tk_life),Sens!$R$5530:$AA$5530))/tk_life</f>
        <v>129.16895011128</v>
      </c>
      <c r="AA5535" s="38" t="n">
        <f aca="false">(SUMPRODUCT(--(Sens!$R$5495:$AA$5495&lt;Sens!AA$5495),--(Sens!$R$5495:$AA$5495&gt;=Sens!AA$5495-tk_life),Sens!$R$5532:$AA$5532)+SUMPRODUCT(--(Sens!$R$5495:$AA$5495&lt;Sens!AA$5495),--(Sens!$R$5495:$AA$5495&gt;=Sens!AA$5495-tk_life),Sens!$R$5530:$AA$5530))/tk_life</f>
        <v>140.095130984075</v>
      </c>
    </row>
    <row r="5536" customFormat="false" ht="17.15" hidden="false" customHeight="false" outlineLevel="0" collapsed="false">
      <c r="A5536" s="0" t="s">
        <v>649</v>
      </c>
      <c r="B5536" s="0" t="s">
        <v>86</v>
      </c>
      <c r="C5536" s="38" t="n">
        <f aca="false">Sens!$S$5536</f>
        <v>0.0202511502553155</v>
      </c>
      <c r="D5536" s="38" t="n">
        <f aca="false">Sens!$T$5536</f>
        <v>0.172291150255315</v>
      </c>
      <c r="E5536" s="38" t="n">
        <f aca="false">Sens!$G$5536/2</f>
        <v>0.522364740326067</v>
      </c>
      <c r="F5536" s="38" t="n">
        <f aca="false">Sens!$G$5536/2</f>
        <v>0.522364740326067</v>
      </c>
      <c r="G5536" s="38" t="n">
        <f aca="false">Sens!$U$5536</f>
        <v>1.04472948065213</v>
      </c>
      <c r="H5536" s="38" t="n">
        <f aca="false">Sens!$V$5536</f>
        <v>2.76361866736136</v>
      </c>
      <c r="I5536" s="38" t="n">
        <f aca="false">Sens!$W$5536</f>
        <v>5.42824377125863</v>
      </c>
      <c r="J5536" s="38" t="n">
        <f aca="false">Sens!$X$5536</f>
        <v>7.73057282125864</v>
      </c>
      <c r="K5536" s="38" t="n">
        <f aca="false">Sens!$Y$5536</f>
        <v>10.0329018712586</v>
      </c>
      <c r="L5536" s="38" t="n">
        <f aca="false">Sens!$Z$5536</f>
        <v>11.661546221342</v>
      </c>
      <c r="M5536" s="38" t="n">
        <f aca="false">Sens!$AA$5536</f>
        <v>12.6165058715086</v>
      </c>
      <c r="N5536" s="38" t="n">
        <f aca="false">Sens!$D$5536/2</f>
        <v>0.0861455751276577</v>
      </c>
      <c r="O5536" s="38" t="n">
        <f aca="false">Sens!$D$5536/2</f>
        <v>0.0861455751276577</v>
      </c>
      <c r="R5536" s="38" t="n">
        <f aca="false">(SUMPRODUCT(--(Sens!$R$5495:$AA$5495&lt;Sens!R$5495),Sens!$R$5533:$AA$5533)+SUMPRODUCT(--(Sens!$R$5495:$AA$5495&lt;Sens!R$5495),Sens!$R$5531:$AA$5531))/fac_life</f>
        <v>0</v>
      </c>
      <c r="S5536" s="38" t="n">
        <f aca="false">(SUMPRODUCT(--(Sens!$R$5495:$AA$5495&lt;Sens!S$5495),Sens!$R$5533:$AA$5533)+SUMPRODUCT(--(Sens!$R$5495:$AA$5495&lt;Sens!S$5495),Sens!$R$5531:$AA$5531))/fac_life</f>
        <v>0.0202511502553155</v>
      </c>
      <c r="T5536" s="38" t="n">
        <f aca="false">(SUMPRODUCT(--(Sens!$R$5495:$AA$5495&lt;Sens!T$5495),Sens!$R$5533:$AA$5533)+SUMPRODUCT(--(Sens!$R$5495:$AA$5495&lt;Sens!T$5495),Sens!$R$5531:$AA$5531))/fac_life</f>
        <v>0.172291150255315</v>
      </c>
      <c r="U5536" s="38" t="n">
        <f aca="false">(SUMPRODUCT(--(Sens!$R$5495:$AA$5495&lt;Sens!U$5495),Sens!$R$5533:$AA$5533)+SUMPRODUCT(--(Sens!$R$5495:$AA$5495&lt;Sens!U$5495),Sens!$R$5531:$AA$5531))/fac_life</f>
        <v>1.04472948065213</v>
      </c>
      <c r="V5536" s="38" t="n">
        <f aca="false">(SUMPRODUCT(--(Sens!$R$5495:$AA$5495&lt;Sens!V$5495),Sens!$R$5533:$AA$5533)+SUMPRODUCT(--(Sens!$R$5495:$AA$5495&lt;Sens!V$5495),Sens!$R$5531:$AA$5531))/fac_life</f>
        <v>2.76361866736136</v>
      </c>
      <c r="W5536" s="38" t="n">
        <f aca="false">(SUMPRODUCT(--(Sens!$R$5495:$AA$5495&lt;Sens!W$5495),Sens!$R$5533:$AA$5533)+SUMPRODUCT(--(Sens!$R$5495:$AA$5495&lt;Sens!W$5495),Sens!$R$5531:$AA$5531))/fac_life</f>
        <v>5.42824377125863</v>
      </c>
      <c r="X5536" s="38" t="n">
        <f aca="false">(SUMPRODUCT(--(Sens!$R$5495:$AA$5495&lt;Sens!X$5495),Sens!$R$5533:$AA$5533)+SUMPRODUCT(--(Sens!$R$5495:$AA$5495&lt;Sens!X$5495),Sens!$R$5531:$AA$5531))/fac_life</f>
        <v>7.73057282125864</v>
      </c>
      <c r="Y5536" s="38" t="n">
        <f aca="false">(SUMPRODUCT(--(Sens!$R$5495:$AA$5495&lt;Sens!Y$5495),Sens!$R$5533:$AA$5533)+SUMPRODUCT(--(Sens!$R$5495:$AA$5495&lt;Sens!Y$5495),Sens!$R$5531:$AA$5531))/fac_life</f>
        <v>10.0329018712586</v>
      </c>
      <c r="Z5536" s="38" t="n">
        <f aca="false">(SUMPRODUCT(--(Sens!$R$5495:$AA$5495&lt;Sens!Z$5495),Sens!$R$5533:$AA$5533)+SUMPRODUCT(--(Sens!$R$5495:$AA$5495&lt;Sens!Z$5495),Sens!$R$5531:$AA$5531))/fac_life</f>
        <v>11.661546221342</v>
      </c>
      <c r="AA5536" s="38" t="n">
        <f aca="false">(SUMPRODUCT(--(Sens!$R$5495:$AA$5495&lt;Sens!AA$5495),Sens!$R$5533:$AA$5533)+SUMPRODUCT(--(Sens!$R$5495:$AA$5495&lt;Sens!AA$5495),Sens!$R$5531:$AA$5531))/fac_life</f>
        <v>12.6165058715086</v>
      </c>
    </row>
    <row r="5537" customFormat="false" ht="17.15" hidden="false" customHeight="false" outlineLevel="0" collapsed="false">
      <c r="A5537" s="1" t="s">
        <v>650</v>
      </c>
      <c r="B5537" s="8" t="s">
        <v>86</v>
      </c>
      <c r="C5537" s="38" t="n">
        <f aca="false">Sens!$C$5535+Sens!$C$5536</f>
        <v>0.203463948620839</v>
      </c>
      <c r="D5537" s="38" t="n">
        <f aca="false">Sens!$D$5535+Sens!$D$5536</f>
        <v>1.73101464862084</v>
      </c>
      <c r="E5537" s="38" t="n">
        <f aca="false">Sens!$E$5535+Sens!$E$5536</f>
        <v>5.24821510615892</v>
      </c>
      <c r="F5537" s="38" t="n">
        <f aca="false">Sens!$F$5535+Sens!$F$5536</f>
        <v>5.24821510615892</v>
      </c>
      <c r="G5537" s="38" t="n">
        <f aca="false">Sens!$G$5535+Sens!$G$5536</f>
        <v>10.4964302123178</v>
      </c>
      <c r="H5537" s="38" t="n">
        <f aca="false">Sens!$H$5535+Sens!$H$5536</f>
        <v>30.045917508699</v>
      </c>
      <c r="I5537" s="38" t="n">
        <f aca="false">Sens!$I$5535+Sens!$I$5536</f>
        <v>61.9722433318155</v>
      </c>
      <c r="J5537" s="38" t="n">
        <f aca="false">Sens!$J$5535+Sens!$J$5536</f>
        <v>90.7078872002321</v>
      </c>
      <c r="K5537" s="38" t="n">
        <f aca="false">Sens!$K$5535+Sens!$K$5536</f>
        <v>120.133112970283</v>
      </c>
      <c r="L5537" s="38" t="n">
        <f aca="false">Sens!$L$5535+Sens!$L$5536</f>
        <v>140.830496332622</v>
      </c>
      <c r="M5537" s="38" t="n">
        <f aca="false">Sens!$M$5535+Sens!$M$5536</f>
        <v>152.711636855584</v>
      </c>
      <c r="N5537" s="38" t="n">
        <f aca="false">Sens!$N$5535+Sens!$N$5536</f>
        <v>0.865507324310419</v>
      </c>
      <c r="O5537" s="38" t="n">
        <f aca="false">Sens!$O$5535+Sens!$O$5536</f>
        <v>0.865507324310419</v>
      </c>
      <c r="R5537" s="38" t="n">
        <f aca="false">Sens!$R$5535+Sens!$R$5536</f>
        <v>0</v>
      </c>
      <c r="S5537" s="38" t="n">
        <f aca="false">Sens!$S$5535+Sens!$S$5536</f>
        <v>0.203463948620839</v>
      </c>
      <c r="T5537" s="38" t="n">
        <f aca="false">Sens!$T$5535+Sens!$T$5536</f>
        <v>1.73101464862084</v>
      </c>
      <c r="U5537" s="38" t="n">
        <f aca="false">Sens!$U$5535+Sens!$U$5536</f>
        <v>10.4964302123178</v>
      </c>
      <c r="V5537" s="38" t="n">
        <f aca="false">Sens!$V$5535+Sens!$V$5536</f>
        <v>30.045917508699</v>
      </c>
      <c r="W5537" s="38" t="n">
        <f aca="false">Sens!$W$5535+Sens!$W$5536</f>
        <v>61.9722433318155</v>
      </c>
      <c r="X5537" s="38" t="n">
        <f aca="false">Sens!$X$5535+Sens!$X$5536</f>
        <v>90.7078872002321</v>
      </c>
      <c r="Y5537" s="38" t="n">
        <f aca="false">Sens!$Y$5535+Sens!$Y$5536</f>
        <v>120.133112970283</v>
      </c>
      <c r="Z5537" s="38" t="n">
        <f aca="false">Sens!$Z$5535+Sens!$Z$5536</f>
        <v>140.830496332622</v>
      </c>
      <c r="AA5537" s="38" t="n">
        <f aca="false">Sens!$AA$5535+Sens!$AA$5536</f>
        <v>152.711636855584</v>
      </c>
    </row>
    <row r="5538" customFormat="false" ht="17.15" hidden="false" customHeight="false" outlineLevel="0" collapsed="false">
      <c r="A5538" s="0" t="s">
        <v>651</v>
      </c>
      <c r="B5538" s="0" t="s">
        <v>86</v>
      </c>
      <c r="C5538" s="38" t="n">
        <f aca="false">Sens!$S$5538</f>
        <v>26.578941154416</v>
      </c>
      <c r="D5538" s="38" t="n">
        <f aca="false">Sens!$T$5538</f>
        <v>94.4165581367978</v>
      </c>
      <c r="G5538" s="38" t="n">
        <f aca="false">Sens!$U$5538</f>
        <v>236.826599034204</v>
      </c>
      <c r="H5538" s="38" t="n">
        <f aca="false">Sens!$V$5538</f>
        <v>405.352046470255</v>
      </c>
      <c r="I5538" s="38" t="n">
        <f aca="false">Sens!$W$5538</f>
        <v>548.02627304894</v>
      </c>
      <c r="J5538" s="38" t="n">
        <f aca="false">Sens!$X$5538</f>
        <v>667.201623959208</v>
      </c>
      <c r="K5538" s="38" t="n">
        <f aca="false">Sens!$Y$5538</f>
        <v>702.306896264125</v>
      </c>
      <c r="L5538" s="38" t="n">
        <f aca="false">Sens!$Z$5538</f>
        <v>693.490541571405</v>
      </c>
      <c r="M5538" s="38" t="n">
        <f aca="false">Sens!$AA$5538</f>
        <v>673.009886375674</v>
      </c>
      <c r="R5538" s="38" t="n">
        <f aca="false">SUM(Sens!$R$5525:$R$5525)-SUM(Sens!$R$5537:$R$5537)</f>
        <v>1.50429979529945</v>
      </c>
      <c r="S5538" s="38" t="n">
        <f aca="false">SUM(Sens!$R$5525:$S$5525)-SUM(Sens!$R$5537:$S$5537)</f>
        <v>26.578941154416</v>
      </c>
      <c r="T5538" s="38" t="n">
        <f aca="false">SUM(Sens!$R$5525:$T$5525)-SUM(Sens!$R$5537:$T$5537)</f>
        <v>94.4165581367978</v>
      </c>
      <c r="U5538" s="38" t="n">
        <f aca="false">SUM(Sens!$R$5525:$U$5525)-SUM(Sens!$R$5537:$U$5537)</f>
        <v>236.826599034204</v>
      </c>
      <c r="V5538" s="38" t="n">
        <f aca="false">SUM(Sens!$R$5525:$V$5525)-SUM(Sens!$R$5537:$V$5537)</f>
        <v>405.352046470255</v>
      </c>
      <c r="W5538" s="38" t="n">
        <f aca="false">SUM(Sens!$R$5525:$W$5525)-SUM(Sens!$R$5537:$W$5537)</f>
        <v>548.02627304894</v>
      </c>
      <c r="X5538" s="38" t="n">
        <f aca="false">SUM(Sens!$R$5525:$X$5525)-SUM(Sens!$R$5537:$X$5537)</f>
        <v>667.201623959208</v>
      </c>
      <c r="Y5538" s="38" t="n">
        <f aca="false">SUM(Sens!$R$5525:$Y$5525)-SUM(Sens!$R$5537:$Y$5537)</f>
        <v>702.306896264125</v>
      </c>
      <c r="Z5538" s="38" t="n">
        <f aca="false">SUM(Sens!$R$5525:$Z$5525)-SUM(Sens!$R$5537:$Z$5537)</f>
        <v>693.490541571405</v>
      </c>
      <c r="AA5538" s="38" t="n">
        <f aca="false">SUM(Sens!$R$5525:$AA$5525)-SUM(Sens!$R$5537:$AA$5537)</f>
        <v>673.009886375674</v>
      </c>
    </row>
    <row r="5539" customFormat="false" ht="17.15" hidden="false" customHeight="false" outlineLevel="0" collapsed="false">
      <c r="A5539" s="1" t="s">
        <v>652</v>
      </c>
    </row>
    <row r="5540" customFormat="false" ht="17.15" hidden="false" customHeight="false" outlineLevel="0" collapsed="false">
      <c r="A5540" s="0" t="s">
        <v>653</v>
      </c>
      <c r="B5540" s="0" t="s">
        <v>86</v>
      </c>
      <c r="C5540" s="38" t="n">
        <f aca="false">Sens!$C$5516-ext_sh*Sens!$C$5518</f>
        <v>1.80694998843362</v>
      </c>
      <c r="D5540" s="38" t="n">
        <f aca="false">Sens!$D$5516-ext_sh*Sens!$D$5518</f>
        <v>6.77606245662607</v>
      </c>
      <c r="E5540" s="38" t="n">
        <f aca="false">Sens!$E$5516-ext_sh*Sens!$E$5518</f>
        <v>6.62548329092326</v>
      </c>
      <c r="F5540" s="38" t="n">
        <f aca="false">Sens!$F$5516-ext_sh*Sens!$F$5518</f>
        <v>11.7200577158706</v>
      </c>
      <c r="G5540" s="38" t="n">
        <f aca="false">Sens!$G$5516-ext_sh*Sens!$G$5518</f>
        <v>18.3455410067939</v>
      </c>
      <c r="H5540" s="38" t="n">
        <f aca="false">Sens!$H$5516-ext_sh*Sens!$H$5518</f>
        <v>47.5171727060453</v>
      </c>
      <c r="I5540" s="38" t="n">
        <f aca="false">Sens!$I$5516-ext_sh*Sens!$I$5518</f>
        <v>80.5539692643667</v>
      </c>
      <c r="J5540" s="38" t="n">
        <f aca="false">Sens!$J$5516-ext_sh*Sens!$J$5518</f>
        <v>113.759316834883</v>
      </c>
      <c r="K5540" s="38" t="n">
        <f aca="false">Sens!$K$5516-ext_sh*Sens!$K$5518</f>
        <v>142.084411492169</v>
      </c>
      <c r="L5540" s="38" t="n">
        <f aca="false">Sens!$L$5516-ext_sh*Sens!$L$5518</f>
        <v>160.69964615804</v>
      </c>
      <c r="M5540" s="38" t="n">
        <f aca="false">Sens!$M$5516-ext_sh*Sens!$M$5518</f>
        <v>169.577607141793</v>
      </c>
      <c r="N5540" s="38" t="n">
        <f aca="false">Sens!$N$5516-ext_sh*Sens!$N$5518</f>
        <v>2.37162185981912</v>
      </c>
      <c r="O5540" s="38" t="n">
        <f aca="false">Sens!$O$5516-ext_sh*Sens!$O$5518</f>
        <v>4.40444059680694</v>
      </c>
    </row>
    <row r="5541" customFormat="false" ht="17.15" hidden="false" customHeight="false" outlineLevel="0" collapsed="false">
      <c r="A5541" s="1" t="s">
        <v>654</v>
      </c>
      <c r="B5541" s="8" t="s">
        <v>86</v>
      </c>
      <c r="C5541" s="38" t="n">
        <f aca="false">Sens!$C$5540-ext_sh*Sens!$C$5537</f>
        <v>1.64417882953695</v>
      </c>
      <c r="D5541" s="38" t="n">
        <f aca="false">Sens!$D$5540-ext_sh*Sens!$D$5537</f>
        <v>5.39125073772939</v>
      </c>
      <c r="E5541" s="38" t="n">
        <f aca="false">Sens!$E$5540-ext_sh*Sens!$E$5537</f>
        <v>2.42691120599613</v>
      </c>
      <c r="F5541" s="38" t="n">
        <f aca="false">Sens!$F$5540-ext_sh*Sens!$F$5537</f>
        <v>7.52148563094346</v>
      </c>
      <c r="G5541" s="38" t="n">
        <f aca="false">Sens!$G$5540-ext_sh*Sens!$G$5537</f>
        <v>9.94839683693959</v>
      </c>
      <c r="H5541" s="38" t="n">
        <f aca="false">Sens!$H$5540-ext_sh*Sens!$H$5537</f>
        <v>23.4804386990861</v>
      </c>
      <c r="I5541" s="38" t="n">
        <f aca="false">Sens!$I$5540-ext_sh*Sens!$I$5537</f>
        <v>30.9761745989143</v>
      </c>
      <c r="J5541" s="38" t="n">
        <f aca="false">Sens!$J$5540-ext_sh*Sens!$J$5537</f>
        <v>41.1930070746977</v>
      </c>
      <c r="K5541" s="38" t="n">
        <f aca="false">Sens!$K$5540-ext_sh*Sens!$K$5537</f>
        <v>45.9779211159428</v>
      </c>
      <c r="L5541" s="38" t="n">
        <f aca="false">Sens!$L$5540-ext_sh*Sens!$L$5537</f>
        <v>48.0352490919424</v>
      </c>
      <c r="M5541" s="38" t="n">
        <f aca="false">Sens!$M$5540-ext_sh*Sens!$M$5537</f>
        <v>47.4082976573265</v>
      </c>
      <c r="N5541" s="38" t="n">
        <f aca="false">Sens!$N$5540-ext_sh*Sens!$N$5537</f>
        <v>1.67921600037079</v>
      </c>
      <c r="O5541" s="38" t="n">
        <f aca="false">Sens!$O$5540-ext_sh*Sens!$O$5537</f>
        <v>3.71203473735861</v>
      </c>
    </row>
    <row r="5542" customFormat="false" ht="17.15" hidden="false" customHeight="false" outlineLevel="0" collapsed="false">
      <c r="A5542" s="0" t="s">
        <v>655</v>
      </c>
      <c r="B5542" s="0" t="s">
        <v>52</v>
      </c>
      <c r="C5542" s="13" t="n">
        <f aca="false">Sens!$C$5541/Sens!$C$5516</f>
        <v>0.708390794789371</v>
      </c>
      <c r="D5542" s="13" t="n">
        <f aca="false">Sens!$D$5541/Sens!$D$5516</f>
        <v>0.619415573115729</v>
      </c>
      <c r="E5542" s="13" t="n">
        <f aca="false">Sens!$E$5541/Sens!$E$5516</f>
        <v>0.285171627189009</v>
      </c>
      <c r="F5542" s="13" t="n">
        <f aca="false">Sens!$F$5541/Sens!$F$5516</f>
        <v>0.502657732812366</v>
      </c>
      <c r="G5542" s="13" t="n">
        <f aca="false">Sens!$G$5541/Sens!$G$5516</f>
        <v>0.423808778611812</v>
      </c>
      <c r="H5542" s="13" t="n">
        <f aca="false">Sens!$H$5541/Sens!$H$5516</f>
        <v>0.390261631739809</v>
      </c>
      <c r="I5542" s="13" t="n">
        <f aca="false">Sens!$I$5541/Sens!$I$5516</f>
        <v>0.305172864264572</v>
      </c>
      <c r="J5542" s="13" t="n">
        <f aca="false">Sens!$J$5541/Sens!$J$5516</f>
        <v>0.288011814789856</v>
      </c>
      <c r="K5542" s="13" t="n">
        <f aca="false">Sens!$K$5541/Sens!$K$5516</f>
        <v>0.25765427518774</v>
      </c>
      <c r="L5542" s="13" t="n">
        <f aca="false">Sens!$L$5541/Sens!$L$5516</f>
        <v>0.238118778012374</v>
      </c>
      <c r="M5542" s="13" t="n">
        <f aca="false">Sens!$M$5541/Sens!$M$5516</f>
        <v>0.222746255757109</v>
      </c>
      <c r="N5542" s="13" t="n">
        <f aca="false">Sens!$N$5541/Sens!$N$5516</f>
        <v>0.551227795793364</v>
      </c>
      <c r="O5542" s="13" t="n">
        <f aca="false">Sens!$O$5541/Sens!$O$5516</f>
        <v>0.656132068597002</v>
      </c>
    </row>
    <row r="5543" customFormat="false" ht="17.15" hidden="false" customHeight="false" outlineLevel="0" collapsed="false">
      <c r="A5543" s="5" t="s">
        <v>656</v>
      </c>
      <c r="B5543" s="0" t="s">
        <v>86</v>
      </c>
      <c r="C5543" s="39" t="n">
        <v>0</v>
      </c>
      <c r="D5543" s="39" t="n">
        <v>0</v>
      </c>
      <c r="E5543" s="39" t="n">
        <v>0</v>
      </c>
      <c r="F5543" s="38" t="n">
        <f aca="false">IF(internal_ai_reading=2,1,0)*(1-ext_sh)/ext_sh*(mw_open*he_open+Sens!$F$5514*Sens!$F$5511)*Sens!$F$5500/1000</f>
        <v>3.77122048175818</v>
      </c>
      <c r="G5543" s="38" t="n">
        <f aca="false">Sens!$E$5543+Sens!$F$5543</f>
        <v>3.77122048175818</v>
      </c>
      <c r="H5543" s="38" t="n">
        <f aca="false">IF(internal_ai_reading=2,1,0)*(1-ext_sh)/ext_sh*(mw_open*he_open+Sens!$H$5514*Sens!$H$5511)*Sens!$H$5500/1000</f>
        <v>15.1635543609893</v>
      </c>
      <c r="I5543" s="38" t="n">
        <f aca="false">IF(internal_ai_reading=2,1,0)*(1-ext_sh)/ext_sh*(mw_open*he_open+Sens!$I$5514*Sens!$I$5511)*Sens!$I$5500/1000</f>
        <v>25.5818843619889</v>
      </c>
      <c r="J5543" s="38" t="n">
        <f aca="false">IF(internal_ai_reading=2,1,0)*(1-ext_sh)/ext_sh*(mw_open*he_open+Sens!$J$5514*Sens!$J$5511)*Sens!$J$5500/1000</f>
        <v>36.0465624179122</v>
      </c>
      <c r="K5543" s="38" t="n">
        <f aca="false">IF(internal_ai_reading=2,1,0)*(1-ext_sh)/ext_sh*(mw_open*he_open+Sens!$K$5514*Sens!$K$5511)*Sens!$K$5500/1000</f>
        <v>44.9741164026038</v>
      </c>
      <c r="L5543" s="38" t="n">
        <f aca="false">IF(internal_ai_reading=2,1,0)*(1-ext_sh)/ext_sh*(mw_open*he_open+Sens!$L$5514*Sens!$L$5511)*Sens!$L$5500/1000</f>
        <v>50.8413488057813</v>
      </c>
      <c r="M5543" s="38" t="n">
        <f aca="false">IF(internal_ai_reading=2,1,0)*(1-ext_sh)/ext_sh*(mw_open*he_open+Sens!$M$5514*Sens!$M$5511)*Sens!$M$5500/1000</f>
        <v>53.6407214274315</v>
      </c>
      <c r="N5543" s="39" t="n">
        <v>0</v>
      </c>
      <c r="O5543" s="39" t="n">
        <v>0</v>
      </c>
      <c r="P5543" s="8" t="s">
        <v>657</v>
      </c>
    </row>
    <row r="5544" customFormat="false" ht="17.15" hidden="false" customHeight="false" outlineLevel="0" collapsed="false">
      <c r="A5544" s="5" t="s">
        <v>658</v>
      </c>
      <c r="B5544" s="0" t="s">
        <v>86</v>
      </c>
      <c r="C5544" s="38" t="n">
        <f aca="false">(1-ext_sh)*(Sens!$C$5518+Sens!$C$5537)</f>
        <v>0.169206631859174</v>
      </c>
      <c r="D5544" s="38" t="n">
        <f aca="false">(1-ext_sh)*(Sens!$D$5518+Sens!$D$5537)</f>
        <v>0.828129837730442</v>
      </c>
      <c r="E5544" s="38" t="n">
        <f aca="false">(1-ext_sh)*(Sens!$E$5518+Sens!$E$5537)</f>
        <v>1.52086044239347</v>
      </c>
      <c r="F5544" s="38" t="n">
        <f aca="false">(1-ext_sh)*(Sens!$F$5518+Sens!$F$5537)</f>
        <v>1.86048700344425</v>
      </c>
      <c r="G5544" s="38" t="n">
        <f aca="false">(1-ext_sh)*(Sens!$G$5518+Sens!$G$5537)</f>
        <v>3.38134744583772</v>
      </c>
      <c r="H5544" s="38" t="n">
        <f aca="false">(1-ext_sh)*(Sens!$H$5518+Sens!$H$5537)</f>
        <v>9.17136301267211</v>
      </c>
      <c r="I5544" s="38" t="n">
        <f aca="false">(1-ext_sh)*(Sens!$I$5518+Sens!$I$5537)</f>
        <v>17.6318811343794</v>
      </c>
      <c r="J5544" s="38" t="n">
        <f aca="false">(1-ext_sh)*(Sens!$J$5518+Sens!$J$5537)</f>
        <v>25.4581000191451</v>
      </c>
      <c r="K5544" s="38" t="n">
        <f aca="false">(1-ext_sh)*(Sens!$K$5518+Sens!$K$5537)</f>
        <v>33.1175498168092</v>
      </c>
      <c r="L5544" s="38" t="n">
        <f aca="false">(1-ext_sh)*(Sens!$L$5518+Sens!$L$5537)</f>
        <v>38.4232131776135</v>
      </c>
      <c r="M5544" s="38" t="n">
        <f aca="false">(1-ext_sh)*(Sens!$M$5518+Sens!$M$5537)</f>
        <v>41.3567859278847</v>
      </c>
      <c r="N5544" s="38" t="n">
        <f aca="false">(1-ext_sh)*(Sens!$N$5518+Sens!$N$5537)</f>
        <v>0.34177588266428</v>
      </c>
      <c r="O5544" s="38" t="n">
        <f aca="false">(1-ext_sh)*(Sens!$O$5518+Sens!$O$5537)</f>
        <v>0.486353955066162</v>
      </c>
    </row>
    <row r="5545" customFormat="false" ht="17.15" hidden="false" customHeight="false" outlineLevel="0" collapsed="false">
      <c r="A5545" s="0" t="s">
        <v>659</v>
      </c>
      <c r="B5545" s="0" t="s">
        <v>86</v>
      </c>
      <c r="C5545" s="38" t="n">
        <f aca="false">Q!$D$24</f>
        <v>39.834</v>
      </c>
      <c r="D5545" s="38" t="n">
        <f aca="false">Q!$E$24</f>
        <v>45.606</v>
      </c>
      <c r="E5545" s="38" t="n">
        <f aca="false">Q!$P$24</f>
        <v>30.782</v>
      </c>
      <c r="N5545" s="38" t="n">
        <f aca="false">Q!$N$24</f>
        <v>21.707</v>
      </c>
      <c r="O5545" s="38" t="n">
        <f aca="false">Q!$O$24</f>
        <v>23.899</v>
      </c>
    </row>
    <row r="5546" customFormat="false" ht="17.15" hidden="false" customHeight="false" outlineLevel="0" collapsed="false">
      <c r="A5546" s="0" t="s">
        <v>660</v>
      </c>
      <c r="B5546" s="0" t="s">
        <v>86</v>
      </c>
      <c r="C5546" s="38" t="n">
        <f aca="false">Sens!$C$5545-Sens!$C$5541</f>
        <v>38.1898211704631</v>
      </c>
      <c r="D5546" s="38" t="n">
        <f aca="false">Sens!$D$5545-Sens!$D$5541</f>
        <v>40.2147492622706</v>
      </c>
      <c r="E5546" s="38" t="n">
        <f aca="false">Sens!$E$5545-Sens!$E$5541</f>
        <v>28.3550887940039</v>
      </c>
      <c r="F5546" s="38" t="n">
        <f aca="false">Sens!$F$5520*Sens!$F$5547</f>
        <v>25.9529793149447</v>
      </c>
      <c r="G5546" s="38" t="n">
        <f aca="false">Sens!$E$5546+Sens!$F$5546</f>
        <v>54.3080681089486</v>
      </c>
      <c r="H5546" s="38" t="n">
        <f aca="false">Sens!$H$5520*Sens!$H$5547</f>
        <v>58.2264684589333</v>
      </c>
      <c r="I5546" s="38" t="n">
        <f aca="false">Sens!$I$5520*Sens!$I$5547</f>
        <v>64.6461353851744</v>
      </c>
      <c r="J5546" s="38" t="n">
        <f aca="false">Sens!$J$5520*Sens!$J$5547</f>
        <v>70.7957093610231</v>
      </c>
      <c r="K5546" s="38" t="n">
        <f aca="false">Sens!$K$5520*Sens!$K$5547</f>
        <v>76.4593661099049</v>
      </c>
      <c r="L5546" s="38" t="n">
        <f aca="false">Sens!$L$5520*Sens!$L$5547</f>
        <v>82.5761153986973</v>
      </c>
      <c r="M5546" s="38" t="n">
        <f aca="false">Sens!$M$5520*Sens!$M$5547</f>
        <v>89.1822046305931</v>
      </c>
      <c r="N5546" s="38" t="n">
        <f aca="false">Sens!$N$5545-Sens!$N$5541</f>
        <v>20.0277839996292</v>
      </c>
      <c r="O5546" s="38" t="n">
        <f aca="false">Sens!$O$5545-Sens!$O$5541</f>
        <v>20.1869652626414</v>
      </c>
      <c r="P5546" s="5" t="s">
        <v>661</v>
      </c>
    </row>
    <row r="5547" customFormat="false" ht="17.15" hidden="false" customHeight="false" outlineLevel="0" collapsed="false">
      <c r="A5547" s="0" t="s">
        <v>662</v>
      </c>
      <c r="B5547" s="0" t="s">
        <v>52</v>
      </c>
      <c r="C5547" s="13" t="n">
        <f aca="false">Sens!$C$5546/Sens!$C$5520</f>
        <v>0.362900395443635</v>
      </c>
      <c r="D5547" s="13" t="n">
        <f aca="false">Sens!$D$5546/Sens!$D$5520</f>
        <v>0.335063632425483</v>
      </c>
      <c r="E5547" s="13" t="n">
        <f aca="false">Sens!$E$5546/Sens!$E$5520</f>
        <v>0.397638855555478</v>
      </c>
      <c r="F5547" s="13" t="n">
        <f aca="false">(Sens!$O$5546+Sens!$E$5546)/(Sens!$O$5520+Sens!$E$5520)</f>
        <v>0.361616727338133</v>
      </c>
      <c r="G5547" s="13" t="n">
        <f aca="false">Sens!$G$5546/Sens!$G$5520</f>
        <v>0.379569803149143</v>
      </c>
      <c r="H5547" s="13" t="n">
        <f aca="false">Sens!$F$5547</f>
        <v>0.361616727338133</v>
      </c>
      <c r="I5547" s="13" t="n">
        <f aca="false">Sens!$F$5547</f>
        <v>0.361616727338133</v>
      </c>
      <c r="J5547" s="13" t="n">
        <f aca="false">Sens!$F$5547</f>
        <v>0.361616727338133</v>
      </c>
      <c r="K5547" s="13" t="n">
        <f aca="false">Sens!$F$5547</f>
        <v>0.361616727338133</v>
      </c>
      <c r="L5547" s="13" t="n">
        <f aca="false">Sens!$F$5547</f>
        <v>0.361616727338133</v>
      </c>
      <c r="M5547" s="13" t="n">
        <f aca="false">Sens!$F$5547</f>
        <v>0.361616727338133</v>
      </c>
      <c r="N5547" s="13" t="n">
        <f aca="false">Sens!$N$5546/Sens!$N$5520</f>
        <v>0.35078810535806</v>
      </c>
      <c r="O5547" s="13" t="n">
        <f aca="false">Sens!$O$5546/Sens!$O$5520</f>
        <v>0.320796939361619</v>
      </c>
      <c r="P5547" s="8" t="s">
        <v>663</v>
      </c>
    </row>
    <row r="5548" customFormat="false" ht="17.15" hidden="false" customHeight="false" outlineLevel="0" collapsed="false">
      <c r="A5548" s="0" t="s">
        <v>664</v>
      </c>
      <c r="B5548" s="0" t="s">
        <v>52</v>
      </c>
      <c r="D5548" s="13" t="n">
        <f aca="false">(Q!$E$31-ext_sh*Sens!$D$5537)/Sens!$D$5520</f>
        <v>0.167180325480118</v>
      </c>
    </row>
    <row r="5549" customFormat="false" ht="17.15" hidden="false" customHeight="false" outlineLevel="0" collapsed="false">
      <c r="A5549" s="0" t="s">
        <v>665</v>
      </c>
      <c r="B5549" s="0" t="s">
        <v>86</v>
      </c>
      <c r="C5549" s="38" t="n">
        <f aca="false">Q!$D$31</f>
        <v>13.32</v>
      </c>
      <c r="D5549" s="38" t="n">
        <f aca="false">Q!$E$31</f>
        <v>21.45</v>
      </c>
      <c r="E5549" s="38" t="n">
        <f aca="false">Q!$P$31</f>
        <v>15.353</v>
      </c>
      <c r="F5549" s="38" t="n">
        <f aca="false">ext_sh*Sens!$F$5537+Sens!$D$5548*Sens!$F$5520</f>
        <v>16.1969869840094</v>
      </c>
      <c r="G5549" s="38" t="n">
        <f aca="false">Sens!$E$5549+Sens!$F$5549</f>
        <v>31.5499869840094</v>
      </c>
      <c r="H5549" s="38" t="n">
        <f aca="false">ext_sh*Sens!$H$5537+Sens!$D$5548*Sens!$H$5520</f>
        <v>50.9556213609176</v>
      </c>
      <c r="I5549" s="38" t="n">
        <f aca="false">ext_sh*Sens!$I$5537+Sens!$D$5548*Sens!$I$5520</f>
        <v>79.464581248252</v>
      </c>
      <c r="J5549" s="38" t="n">
        <f aca="false">ext_sh*Sens!$J$5537+Sens!$D$5548*Sens!$J$5520</f>
        <v>105.296127931746</v>
      </c>
      <c r="K5549" s="38" t="n">
        <f aca="false">ext_sh*Sens!$K$5537+Sens!$D$5548*Sens!$K$5520</f>
        <v>131.454694001511</v>
      </c>
      <c r="L5549" s="38" t="n">
        <f aca="false">ext_sh*Sens!$L$5537+Sens!$D$5548*Sens!$L$5520</f>
        <v>150.840456981405</v>
      </c>
      <c r="M5549" s="38" t="n">
        <f aca="false">ext_sh*Sens!$M$5537+Sens!$D$5548*Sens!$M$5520</f>
        <v>163.399454192999</v>
      </c>
      <c r="N5549" s="38" t="n">
        <f aca="false">Q!$N$31</f>
        <v>9.234</v>
      </c>
      <c r="O5549" s="38" t="n">
        <f aca="false">Q!$O$31</f>
        <v>12.216</v>
      </c>
    </row>
    <row r="5550" customFormat="false" ht="17.15" hidden="false" customHeight="false" outlineLevel="0" collapsed="false">
      <c r="A5550" s="1" t="s">
        <v>666</v>
      </c>
    </row>
    <row r="5551" customFormat="false" ht="17.15" hidden="false" customHeight="false" outlineLevel="0" collapsed="false">
      <c r="A5551" s="15" t="s">
        <v>667</v>
      </c>
      <c r="B5551" s="14" t="s">
        <v>52</v>
      </c>
      <c r="C5551" s="14"/>
      <c r="D5551" s="14"/>
      <c r="E5551" s="14"/>
      <c r="F5551" s="14"/>
      <c r="G5551" s="17" t="n">
        <f aca="false">Sens!$G$5541*(1-tax)/(ext_sh*(Sens!$D$5538+Sens!$G$5538)/2)</f>
        <v>0.0620504069546486</v>
      </c>
      <c r="H5551" s="17" t="n">
        <f aca="false">Sens!$H$5541*(1-tax)/(ext_sh*(Sens!$G$5538+Sens!$H$5538)/2)</f>
        <v>0.0755420551527686</v>
      </c>
      <c r="I5551" s="17" t="n">
        <f aca="false">Sens!$I$5541*(1-tax)/(ext_sh*(Sens!$H$5538+Sens!$I$5538)/2)</f>
        <v>0.067127575356291</v>
      </c>
      <c r="J5551" s="17" t="n">
        <f aca="false">Sens!$J$5541*(1-tax)/(ext_sh*(Sens!$I$5538+Sens!$J$5538)/2)</f>
        <v>0.0700332392906535</v>
      </c>
      <c r="K5551" s="17" t="n">
        <f aca="false">Sens!$K$5541*(1-tax)/(ext_sh*(Sens!$J$5538+Sens!$K$5538)/2)</f>
        <v>0.0693622290093833</v>
      </c>
      <c r="L5551" s="17" t="n">
        <f aca="false">Sens!$L$5541*(1-tax)/(ext_sh*(Sens!$K$5538+Sens!$L$5538)/2)</f>
        <v>0.0711010638813626</v>
      </c>
      <c r="M5551" s="17" t="n">
        <f aca="false">Sens!$M$5541*(1-tax)/(ext_sh*(Sens!$L$5538+Sens!$M$5538)/2)</f>
        <v>0.071677531066401</v>
      </c>
      <c r="N5551" s="14"/>
      <c r="O5551" s="14"/>
      <c r="P5551" s="8" t="s">
        <v>668</v>
      </c>
    </row>
    <row r="5552" customFormat="false" ht="17.15" hidden="false" customHeight="false" outlineLevel="0" collapsed="false">
      <c r="A5552" s="5" t="s">
        <v>669</v>
      </c>
      <c r="B5552" s="0" t="s">
        <v>57</v>
      </c>
      <c r="H5552" s="36" t="n">
        <f aca="false">Sens!$H$5516*1000/(mw_open*he_open+Sens!$H$5514*Sens!$H$5511)</f>
        <v>0.991949006767191</v>
      </c>
      <c r="I5552" s="36" t="n">
        <f aca="false">Sens!$I$5516*1000/(mw_open*he_open+Sens!$I$5514*Sens!$I$5511)</f>
        <v>0.991949006767191</v>
      </c>
      <c r="J5552" s="36" t="n">
        <f aca="false">Sens!$J$5516*1000/(mw_open*he_open+Sens!$J$5514*Sens!$J$5511)</f>
        <v>0.991949006767191</v>
      </c>
      <c r="K5552" s="36" t="n">
        <f aca="false">Sens!$K$5516*1000/(mw_open*he_open+Sens!$K$5514*Sens!$K$5511)</f>
        <v>0.991949006767191</v>
      </c>
      <c r="L5552" s="36" t="n">
        <f aca="false">Sens!$L$5516*1000/(mw_open*he_open+Sens!$L$5514*Sens!$L$5511)</f>
        <v>0.991949006767191</v>
      </c>
      <c r="M5552" s="36" t="n">
        <f aca="false">Sens!$M$5516*1000/(mw_open*he_open+Sens!$M$5514*Sens!$M$5511)</f>
        <v>0.991949006767191</v>
      </c>
    </row>
    <row r="5553" customFormat="false" ht="17.15" hidden="false" customHeight="false" outlineLevel="0" collapsed="false">
      <c r="A5553" s="5" t="s">
        <v>670</v>
      </c>
      <c r="B5553" s="0" t="s">
        <v>57</v>
      </c>
      <c r="H5553" s="36" t="n">
        <f aca="false">Sens!$H$5552*(Sens!$H$5516+(wacc+0.01)*ext_sh*(Sens!$G$5538+Sens!$H$5538)/2/(1-tax)-Sens!$H$5541)/Sens!$H$5516</f>
        <v>1.23667415484871</v>
      </c>
      <c r="I5553" s="36" t="n">
        <f aca="false">Sens!$I$5552*(Sens!$I$5516+(wacc+0.01)*ext_sh*(Sens!$H$5538+Sens!$I$5538)/2/(1-tax)-Sens!$I$5541)/Sens!$I$5516</f>
        <v>1.24525038002681</v>
      </c>
      <c r="J5553" s="36" t="n">
        <f aca="false">Sens!$J$5552*(Sens!$J$5516+(wacc+0.01)*ext_sh*(Sens!$I$5538+Sens!$J$5538)/2/(1-tax)-Sens!$J$5541)/Sens!$J$5516</f>
        <v>1.2092344889586</v>
      </c>
      <c r="K5553" s="36" t="n">
        <f aca="false">Sens!$K$5552*(Sens!$K$5516+(wacc+0.01)*ext_sh*(Sens!$J$5538+Sens!$K$5538)/2/(1-tax)-Sens!$K$5541)/Sens!$K$5516</f>
        <v>1.19068471290871</v>
      </c>
      <c r="L5553" s="36" t="n">
        <f aca="false">Sens!$L$5552*(Sens!$L$5516+(wacc+0.01)*ext_sh*(Sens!$K$5538+Sens!$L$5538)/2/(1-tax)-Sens!$L$5541)/Sens!$L$5516</f>
        <v>1.16534821166256</v>
      </c>
      <c r="M5553" s="36" t="n">
        <f aca="false">Sens!$M$5552*(Sens!$M$5516+(wacc+0.01)*ext_sh*(Sens!$L$5538+Sens!$M$5538)/2/(1-tax)-Sens!$M$5541)/Sens!$M$5516</f>
        <v>1.15107231929642</v>
      </c>
    </row>
    <row r="5554" customFormat="false" ht="17.15" hidden="false" customHeight="false" outlineLevel="0" collapsed="false">
      <c r="A5554" s="5" t="s">
        <v>671</v>
      </c>
      <c r="B5554" s="0" t="s">
        <v>52</v>
      </c>
      <c r="C5554" s="13" t="n">
        <f aca="false">Sens!$C$5517/tk_pq</f>
        <v>0.195316432429398</v>
      </c>
      <c r="D5554" s="13" t="n">
        <f aca="false">Sens!$D$5517/tk_pq</f>
        <v>0.195316432429398</v>
      </c>
      <c r="E5554" s="13" t="n">
        <f aca="false">Sens!$E$5517/tk_pq</f>
        <v>0.195316432429398</v>
      </c>
      <c r="F5554" s="13" t="n">
        <f aca="false">Sens!$F$5517/tk_pq</f>
        <v>0.202241827274866</v>
      </c>
      <c r="G5554" s="13" t="n">
        <f aca="false">Sens!$G$5517/tk_pq</f>
        <v>0.199675016194063</v>
      </c>
      <c r="H5554" s="13" t="n">
        <f aca="false">Sens!$H$5517/tk_pq</f>
        <v>0.212647947710325</v>
      </c>
      <c r="I5554" s="13" t="n">
        <f aca="false">Sens!$I$5517/tk_pq</f>
        <v>0.219285125475351</v>
      </c>
      <c r="J5554" s="13" t="n">
        <f aca="false">Sens!$J$5517/tk_pq</f>
        <v>0.222492493217189</v>
      </c>
      <c r="K5554" s="13" t="n">
        <f aca="false">Sens!$K$5517/tk_pq</f>
        <v>0.224053502812094</v>
      </c>
      <c r="L5554" s="13" t="n">
        <f aca="false">Sens!$L$5517/tk_pq</f>
        <v>0.224786916785614</v>
      </c>
      <c r="M5554" s="13" t="n">
        <f aca="false">Sens!$M$5517/tk_pq</f>
        <v>0.225048671566937</v>
      </c>
      <c r="N5554" s="13" t="n">
        <f aca="false">Sens!$N$5517/tk_pq</f>
        <v>0.195316432429398</v>
      </c>
      <c r="O5554" s="13" t="n">
        <f aca="false">Sens!$O$5517/tk_pq</f>
        <v>0.195316432429398</v>
      </c>
      <c r="P5554" s="5" t="s">
        <v>672</v>
      </c>
    </row>
    <row r="5557" customFormat="false" ht="17.15" hidden="false" customHeight="false" outlineLevel="0" collapsed="false">
      <c r="A5557" s="1" t="s">
        <v>701</v>
      </c>
    </row>
    <row r="5558" customFormat="false" ht="17.15" hidden="false" customHeight="false" outlineLevel="0" collapsed="false">
      <c r="A5558" s="0" t="s">
        <v>702</v>
      </c>
      <c r="B5558" s="0" t="s">
        <v>86</v>
      </c>
      <c r="C5558" s="38" t="n">
        <f aca="false">Sens!$C$5516</f>
        <v>2.32100535697364</v>
      </c>
      <c r="D5558" s="38" t="n">
        <f aca="false">Sens!$D$5516</f>
        <v>8.70377008865116</v>
      </c>
      <c r="E5558" s="38" t="n">
        <f aca="false">Sens!$E$5516</f>
        <v>8.51035297557002</v>
      </c>
      <c r="F5558" s="38" t="n">
        <f aca="false">Sens!$F$5516</f>
        <v>14.9634336447205</v>
      </c>
      <c r="G5558" s="38" t="n">
        <f aca="false">Sens!$G$5516</f>
        <v>23.4737866202905</v>
      </c>
      <c r="H5558" s="38" t="n">
        <f aca="false">Sens!$H$5516</f>
        <v>60.1658907497746</v>
      </c>
      <c r="I5558" s="38" t="n">
        <f aca="false">Sens!$I$5516</f>
        <v>101.503699136432</v>
      </c>
      <c r="J5558" s="38" t="n">
        <f aca="false">Sens!$J$5516</f>
        <v>143.025407151278</v>
      </c>
      <c r="K5558" s="38" t="n">
        <f aca="false">Sens!$K$5516</f>
        <v>178.44812038318</v>
      </c>
      <c r="L5558" s="38" t="n">
        <f aca="false">Sens!$L$5516</f>
        <v>201.728101802396</v>
      </c>
      <c r="M5558" s="38" t="n">
        <f aca="false">Sens!$M$5516</f>
        <v>212.835441368865</v>
      </c>
      <c r="N5558" s="38" t="n">
        <f aca="false">Sens!$N$5516</f>
        <v>3.04631953102791</v>
      </c>
      <c r="O5558" s="38" t="n">
        <f aca="false">Sens!$O$5516</f>
        <v>5.65745055762326</v>
      </c>
      <c r="P5558" s="8" t="s">
        <v>703</v>
      </c>
    </row>
    <row r="5559" customFormat="false" ht="17.15" hidden="false" customHeight="false" outlineLevel="0" collapsed="false">
      <c r="A5559" s="0" t="s">
        <v>704</v>
      </c>
      <c r="B5559" s="0" t="s">
        <v>86</v>
      </c>
      <c r="C5559" s="38" t="n">
        <f aca="false">Sens!$C$5520</f>
        <v>105.234994643026</v>
      </c>
      <c r="D5559" s="38" t="n">
        <f aca="false">Sens!$D$5520</f>
        <v>120.021229911349</v>
      </c>
      <c r="E5559" s="38" t="n">
        <f aca="false">Sens!$E$5520</f>
        <v>71.30864702443</v>
      </c>
      <c r="F5559" s="38" t="n">
        <f aca="false">Sens!$F$5520</f>
        <v>71.7692997942464</v>
      </c>
      <c r="G5559" s="38" t="n">
        <f aca="false">Sens!$G$5520</f>
        <v>143.077946818676</v>
      </c>
      <c r="H5559" s="38" t="n">
        <f aca="false">Sens!$H$5520</f>
        <v>161.017077079203</v>
      </c>
      <c r="I5559" s="38" t="n">
        <f aca="false">Sens!$I$5520</f>
        <v>178.769759521457</v>
      </c>
      <c r="J5559" s="38" t="n">
        <f aca="false">Sens!$J$5520</f>
        <v>195.775538045907</v>
      </c>
      <c r="K5559" s="38" t="n">
        <f aca="false">Sens!$K$5520</f>
        <v>211.43758108958</v>
      </c>
      <c r="L5559" s="38" t="n">
        <f aca="false">Sens!$L$5520</f>
        <v>228.352587576746</v>
      </c>
      <c r="M5559" s="38" t="n">
        <f aca="false">Sens!$M$5520</f>
        <v>246.620794582886</v>
      </c>
      <c r="N5559" s="38" t="n">
        <f aca="false">Sens!$N$5520</f>
        <v>57.0936804689721</v>
      </c>
      <c r="O5559" s="38" t="n">
        <f aca="false">Sens!$O$5520</f>
        <v>62.9275494423768</v>
      </c>
      <c r="P5559" s="8" t="s">
        <v>703</v>
      </c>
    </row>
    <row r="5560" customFormat="false" ht="17.15" hidden="false" customHeight="false" outlineLevel="0" collapsed="false">
      <c r="A5560" s="1" t="s">
        <v>523</v>
      </c>
      <c r="B5560" s="8" t="s">
        <v>86</v>
      </c>
      <c r="C5560" s="38" t="n">
        <f aca="false">Q!$D$7</f>
        <v>107.556</v>
      </c>
      <c r="D5560" s="38" t="n">
        <f aca="false">Q!$E$7</f>
        <v>128.725</v>
      </c>
      <c r="E5560" s="38" t="n">
        <f aca="false">Q!$P$7</f>
        <v>79.819</v>
      </c>
      <c r="F5560" s="38" t="n">
        <f aca="false">Sens!$F$5558+Sens!$F$5559</f>
        <v>86.7327334389669</v>
      </c>
      <c r="G5560" s="38" t="n">
        <f aca="false">Sens!$G$5558+Sens!$G$5559</f>
        <v>166.551733438967</v>
      </c>
      <c r="H5560" s="38" t="n">
        <f aca="false">Sens!$H$5558+Sens!$H$5559</f>
        <v>221.182967828978</v>
      </c>
      <c r="I5560" s="38" t="n">
        <f aca="false">Sens!$I$5558+Sens!$I$5559</f>
        <v>280.27345865789</v>
      </c>
      <c r="J5560" s="38" t="n">
        <f aca="false">Sens!$J$5558+Sens!$J$5559</f>
        <v>338.800945197185</v>
      </c>
      <c r="K5560" s="38" t="n">
        <f aca="false">Sens!$K$5558+Sens!$K$5559</f>
        <v>389.88570147276</v>
      </c>
      <c r="L5560" s="38" t="n">
        <f aca="false">Sens!$L$5558+Sens!$L$5559</f>
        <v>430.080689379143</v>
      </c>
      <c r="M5560" s="38" t="n">
        <f aca="false">Sens!$M$5558+Sens!$M$5559</f>
        <v>459.456235951751</v>
      </c>
      <c r="N5560" s="38" t="n">
        <f aca="false">Q!$N$7</f>
        <v>60.14</v>
      </c>
      <c r="O5560" s="38" t="n">
        <f aca="false">Q!$O$7</f>
        <v>68.585</v>
      </c>
      <c r="P5560" s="5" t="s">
        <v>705</v>
      </c>
    </row>
    <row r="5561" customFormat="false" ht="15" hidden="false" customHeight="false" outlineLevel="0" collapsed="false">
      <c r="A5561" s="3" t="s">
        <v>706</v>
      </c>
      <c r="B5561" s="8" t="s">
        <v>86</v>
      </c>
      <c r="C5561" s="38" t="n">
        <f aca="false">Q!$D$8</f>
        <v>637.959</v>
      </c>
      <c r="D5561" s="38" t="n">
        <f aca="false">Q!$E$8</f>
        <v>716.924</v>
      </c>
      <c r="E5561" s="38" t="n">
        <f aca="false">Q!$P$8</f>
        <v>382.125</v>
      </c>
      <c r="F5561" s="38" t="n">
        <f aca="false">Sens!$F$5488+Sens!$F$5560</f>
        <v>435.780975084504</v>
      </c>
      <c r="G5561" s="38" t="n">
        <f aca="false">Sens!$G$5488+Sens!$G$5560</f>
        <v>817.905975084504</v>
      </c>
      <c r="H5561" s="38" t="n">
        <f aca="false">Sens!$H$5488+Sens!$H$5560</f>
        <v>942.279857350364</v>
      </c>
      <c r="I5561" s="38" t="n">
        <f aca="false">Sens!$I$5488+Sens!$I$5560</f>
        <v>1068.80284981042</v>
      </c>
      <c r="J5561" s="38" t="n">
        <f aca="false">Sens!$J$5488+Sens!$J$5560</f>
        <v>1189.90935093863</v>
      </c>
      <c r="K5561" s="38" t="n">
        <f aca="false">Sens!$K$5488+Sens!$K$5560</f>
        <v>1296.06215690385</v>
      </c>
      <c r="L5561" s="38" t="n">
        <f aca="false">Sens!$L$5488+Sens!$L$5560</f>
        <v>1395.17379585473</v>
      </c>
      <c r="M5561" s="38" t="n">
        <f aca="false">Sens!$M$5488+Sens!$M$5560</f>
        <v>1487.60414389864</v>
      </c>
      <c r="N5561" s="38" t="n">
        <f aca="false">Q!$N$8</f>
        <v>323.369</v>
      </c>
      <c r="O5561" s="38" t="n">
        <f aca="false">Q!$O$8</f>
        <v>393.555</v>
      </c>
    </row>
    <row r="5562" customFormat="false" ht="17.15" hidden="false" customHeight="false" outlineLevel="0" collapsed="false">
      <c r="A5562" s="24" t="s">
        <v>714</v>
      </c>
      <c r="B5562" s="25" t="s">
        <v>86</v>
      </c>
      <c r="C5562" s="41" t="n">
        <f aca="false">Sens!$C$5488-(Sens!$C$5490+Sens!$C$5491)</f>
        <v>0</v>
      </c>
      <c r="D5562" s="41" t="n">
        <f aca="false">Sens!$D$5488-(Sens!$D$5490+Sens!$D$5491)</f>
        <v>0</v>
      </c>
      <c r="E5562" s="41" t="n">
        <f aca="false">Sens!$E$5488-(Sens!$E$5490+Sens!$E$5491)</f>
        <v>0</v>
      </c>
      <c r="F5562" s="41" t="n">
        <f aca="false">Sens!$F$5488-(Sens!$F$5490+Sens!$F$5491)</f>
        <v>0</v>
      </c>
      <c r="G5562" s="41" t="n">
        <f aca="false">Sens!$G$5488-(Sens!$G$5490+Sens!$G$5491)</f>
        <v>0</v>
      </c>
      <c r="H5562" s="41" t="n">
        <f aca="false">Sens!$H$5488-(Sens!$H$5490+Sens!$H$5491)</f>
        <v>0</v>
      </c>
      <c r="I5562" s="41" t="n">
        <f aca="false">Sens!$I$5488-(Sens!$I$5490+Sens!$I$5491)</f>
        <v>0</v>
      </c>
      <c r="J5562" s="41" t="n">
        <f aca="false">Sens!$J$5488-(Sens!$J$5490+Sens!$J$5491)</f>
        <v>0</v>
      </c>
      <c r="K5562" s="41" t="n">
        <f aca="false">Sens!$K$5488-(Sens!$K$5490+Sens!$K$5491)</f>
        <v>0</v>
      </c>
      <c r="L5562" s="41" t="n">
        <f aca="false">Sens!$L$5488-(Sens!$L$5490+Sens!$L$5491)</f>
        <v>0</v>
      </c>
      <c r="M5562" s="41" t="n">
        <f aca="false">Sens!$M$5488-(Sens!$M$5490+Sens!$M$5491)</f>
        <v>0</v>
      </c>
      <c r="N5562" s="41" t="n">
        <f aca="false">Sens!$N$5488-(Sens!$N$5490+Sens!$N$5491)</f>
        <v>0</v>
      </c>
      <c r="O5562" s="41" t="n">
        <f aca="false">Sens!$O$5488-(Sens!$O$5490+Sens!$O$5491)</f>
        <v>0</v>
      </c>
    </row>
    <row r="5563" customFormat="false" ht="17.15" hidden="false" customHeight="false" outlineLevel="0" collapsed="false">
      <c r="A5563" s="24" t="s">
        <v>715</v>
      </c>
      <c r="B5563" s="25" t="s">
        <v>86</v>
      </c>
      <c r="C5563" s="41" t="n">
        <f aca="false">Sens!$C$5558+Sens!$C$5559-Sens!$C$5560</f>
        <v>0</v>
      </c>
      <c r="D5563" s="41" t="n">
        <f aca="false">Sens!$D$5558+Sens!$D$5559-Sens!$D$5560</f>
        <v>0</v>
      </c>
      <c r="E5563" s="41" t="n">
        <f aca="false">Sens!$E$5558+Sens!$E$5559-Sens!$E$5560</f>
        <v>0</v>
      </c>
      <c r="F5563" s="41" t="n">
        <f aca="false">Sens!$F$5558+Sens!$F$5559-Sens!$F$5560</f>
        <v>0</v>
      </c>
      <c r="G5563" s="41" t="n">
        <f aca="false">Sens!$G$5558+Sens!$G$5559-Sens!$G$5560</f>
        <v>0</v>
      </c>
      <c r="H5563" s="41" t="n">
        <f aca="false">Sens!$H$5558+Sens!$H$5559-Sens!$H$5560</f>
        <v>0</v>
      </c>
      <c r="I5563" s="41" t="n">
        <f aca="false">Sens!$I$5558+Sens!$I$5559-Sens!$I$5560</f>
        <v>0</v>
      </c>
      <c r="J5563" s="41" t="n">
        <f aca="false">Sens!$J$5558+Sens!$J$5559-Sens!$J$5560</f>
        <v>0</v>
      </c>
      <c r="K5563" s="41" t="n">
        <f aca="false">Sens!$K$5558+Sens!$K$5559-Sens!$K$5560</f>
        <v>0</v>
      </c>
      <c r="L5563" s="41" t="n">
        <f aca="false">Sens!$L$5558+Sens!$L$5559-Sens!$L$5560</f>
        <v>0</v>
      </c>
      <c r="M5563" s="41" t="n">
        <f aca="false">Sens!$M$5558+Sens!$M$5559-Sens!$M$5560</f>
        <v>0</v>
      </c>
      <c r="N5563" s="41" t="n">
        <f aca="false">Sens!$N$5558+Sens!$N$5559-Sens!$N$5560</f>
        <v>0</v>
      </c>
      <c r="O5563" s="41" t="n">
        <f aca="false">Sens!$O$5558+Sens!$O$5559-Sens!$O$5560</f>
        <v>0</v>
      </c>
    </row>
    <row r="5564" customFormat="false" ht="17.15" hidden="false" customHeight="false" outlineLevel="0" collapsed="false">
      <c r="A5564" s="24" t="s">
        <v>716</v>
      </c>
      <c r="B5564" s="25" t="s">
        <v>86</v>
      </c>
      <c r="C5564" s="41" t="n">
        <f aca="false">Sens!$C$5490+Sens!$C$5491+Sens!$C$5560-Sens!$C$5561</f>
        <v>0</v>
      </c>
      <c r="D5564" s="41" t="n">
        <f aca="false">Sens!$D$5490+Sens!$D$5491+Sens!$D$5560-Sens!$D$5561</f>
        <v>0</v>
      </c>
      <c r="E5564" s="41" t="n">
        <f aca="false">Sens!$E$5490+Sens!$E$5491+Sens!$E$5560-Sens!$E$5561</f>
        <v>0</v>
      </c>
      <c r="F5564" s="41" t="n">
        <f aca="false">Sens!$F$5490+Sens!$F$5491+Sens!$F$5560-Sens!$F$5561</f>
        <v>0</v>
      </c>
      <c r="G5564" s="41" t="n">
        <f aca="false">Sens!$G$5490+Sens!$G$5491+Sens!$G$5560-Sens!$G$5561</f>
        <v>0</v>
      </c>
      <c r="H5564" s="41" t="n">
        <f aca="false">Sens!$H$5490+Sens!$H$5491+Sens!$H$5560-Sens!$H$5561</f>
        <v>0</v>
      </c>
      <c r="I5564" s="41" t="n">
        <f aca="false">Sens!$I$5490+Sens!$I$5491+Sens!$I$5560-Sens!$I$5561</f>
        <v>0</v>
      </c>
      <c r="J5564" s="41" t="n">
        <f aca="false">Sens!$J$5490+Sens!$J$5491+Sens!$J$5560-Sens!$J$5561</f>
        <v>0</v>
      </c>
      <c r="K5564" s="41" t="n">
        <f aca="false">Sens!$K$5490+Sens!$K$5491+Sens!$K$5560-Sens!$K$5561</f>
        <v>0</v>
      </c>
      <c r="L5564" s="41" t="n">
        <f aca="false">Sens!$L$5490+Sens!$L$5491+Sens!$L$5560-Sens!$L$5561</f>
        <v>0</v>
      </c>
      <c r="M5564" s="41" t="n">
        <f aca="false">Sens!$M$5490+Sens!$M$5491+Sens!$M$5560-Sens!$M$5561</f>
        <v>0</v>
      </c>
      <c r="N5564" s="41" t="n">
        <f aca="false">Sens!$N$5490+Sens!$N$5491+Sens!$N$5560-Sens!$N$5561</f>
        <v>0</v>
      </c>
      <c r="O5564" s="41" t="n">
        <f aca="false">Sens!$O$5490+Sens!$O$5491+Sens!$O$5560-Sens!$O$5561</f>
        <v>0</v>
      </c>
    </row>
    <row r="5565" customFormat="false" ht="15" hidden="false" customHeight="false" outlineLevel="0" collapsed="false">
      <c r="A5565" s="5" t="s">
        <v>710</v>
      </c>
      <c r="B5565" s="0" t="s">
        <v>52</v>
      </c>
      <c r="G5565" s="13" t="n">
        <f aca="false">Sens!$G$5561/Sens!$D$5561-1</f>
        <v>0.140854504918937</v>
      </c>
      <c r="H5565" s="13" t="n">
        <f aca="false">Sens!$H$5561/Sens!$G$5561-1</f>
        <v>0.152063789793209</v>
      </c>
      <c r="I5565" s="13" t="n">
        <f aca="false">Sens!$I$5561/Sens!$H$5561-1</f>
        <v>0.134273264437417</v>
      </c>
      <c r="J5565" s="13" t="n">
        <f aca="false">Sens!$J$5561/Sens!$I$5561-1</f>
        <v>0.113310421234083</v>
      </c>
      <c r="K5565" s="13" t="n">
        <f aca="false">Sens!$K$5561/Sens!$J$5561-1</f>
        <v>0.0892108343223652</v>
      </c>
      <c r="L5565" s="13" t="n">
        <f aca="false">Sens!$L$5561/Sens!$K$5561-1</f>
        <v>0.076471362444261</v>
      </c>
      <c r="M5565" s="13" t="n">
        <f aca="false">Sens!$M$5561/Sens!$L$5561-1</f>
        <v>0.066250060256672</v>
      </c>
    </row>
    <row r="5566" customFormat="false" ht="17.15" hidden="false" customHeight="false" outlineLevel="0" collapsed="false">
      <c r="A5566" s="0" t="s">
        <v>711</v>
      </c>
      <c r="B5566" s="0" t="s">
        <v>52</v>
      </c>
      <c r="C5566" s="13" t="n">
        <f aca="false">Sens!$C$5560/Sens!$C$5561</f>
        <v>0.168593906504964</v>
      </c>
      <c r="D5566" s="13" t="n">
        <f aca="false">Sens!$D$5560/Sens!$D$5561</f>
        <v>0.179551807444025</v>
      </c>
      <c r="E5566" s="13" t="n">
        <f aca="false">Sens!$E$5560/Sens!$E$5561</f>
        <v>0.208881910369643</v>
      </c>
      <c r="F5566" s="13" t="n">
        <f aca="false">Sens!$F$5560/Sens!$F$5561</f>
        <v>0.199028269699356</v>
      </c>
      <c r="G5566" s="13" t="n">
        <f aca="false">Sens!$G$5560/Sens!$G$5561</f>
        <v>0.203631882529968</v>
      </c>
      <c r="H5566" s="13" t="n">
        <f aca="false">Sens!$H$5560/Sens!$H$5561</f>
        <v>0.234731715958496</v>
      </c>
      <c r="I5566" s="13" t="n">
        <f aca="false">Sens!$I$5560/Sens!$I$5561</f>
        <v>0.262231204480418</v>
      </c>
      <c r="J5566" s="13" t="n">
        <f aca="false">Sens!$J$5560/Sens!$J$5561</f>
        <v>0.284728366013706</v>
      </c>
      <c r="K5566" s="13" t="n">
        <f aca="false">Sens!$K$5560/Sens!$K$5561</f>
        <v>0.300823304959505</v>
      </c>
      <c r="L5566" s="13" t="n">
        <f aca="false">Sens!$L$5560/Sens!$L$5561</f>
        <v>0.308263164529735</v>
      </c>
      <c r="M5566" s="13" t="n">
        <f aca="false">Sens!$M$5560/Sens!$M$5561</f>
        <v>0.308856517936036</v>
      </c>
      <c r="N5566" s="13" t="n">
        <f aca="false">Sens!$N$5560/Sens!$N$5561</f>
        <v>0.185979484737251</v>
      </c>
      <c r="O5566" s="13" t="n">
        <f aca="false">Sens!$O$5560/Sens!$O$5561</f>
        <v>0.174270432341096</v>
      </c>
    </row>
    <row r="5567" customFormat="false" ht="17.15" hidden="false" customHeight="false" outlineLevel="0" collapsed="false">
      <c r="A5567" s="0" t="s">
        <v>712</v>
      </c>
      <c r="B5567" s="0" t="s">
        <v>52</v>
      </c>
      <c r="C5567" s="13" t="n">
        <f aca="false">Sens!$C$5558/Sens!$C$5560</f>
        <v>0.0215795060896058</v>
      </c>
      <c r="D5567" s="13" t="n">
        <f aca="false">Sens!$D$5558/Sens!$D$5560</f>
        <v>0.0676152269462122</v>
      </c>
      <c r="E5567" s="13" t="n">
        <f aca="false">Sens!$E$5558/Sens!$E$5560</f>
        <v>0.106620641395783</v>
      </c>
      <c r="F5567" s="13" t="n">
        <f aca="false">Sens!$F$5558/Sens!$F$5560</f>
        <v>0.172523487401099</v>
      </c>
      <c r="G5567" s="13" t="n">
        <f aca="false">Sens!$G$5558/Sens!$G$5560</f>
        <v>0.140939911795589</v>
      </c>
      <c r="H5567" s="13" t="n">
        <f aca="false">Sens!$H$5558/Sens!$H$5560</f>
        <v>0.272018642937714</v>
      </c>
      <c r="I5567" s="13" t="n">
        <f aca="false">Sens!$I$5558/Sens!$I$5560</f>
        <v>0.362159512436497</v>
      </c>
      <c r="J5567" s="13" t="n">
        <f aca="false">Sens!$J$5558/Sens!$J$5560</f>
        <v>0.422151735934609</v>
      </c>
      <c r="K5567" s="13" t="n">
        <f aca="false">Sens!$K$5558/Sens!$K$5560</f>
        <v>0.45769342068485</v>
      </c>
      <c r="L5567" s="13" t="n">
        <f aca="false">Sens!$L$5558/Sens!$L$5560</f>
        <v>0.469047103913472</v>
      </c>
      <c r="M5567" s="13" t="n">
        <f aca="false">Sens!$M$5558/Sens!$M$5560</f>
        <v>0.463233328258093</v>
      </c>
      <c r="N5567" s="13" t="n">
        <f aca="false">Sens!$N$5558/Sens!$N$5560</f>
        <v>0.0506537999838362</v>
      </c>
      <c r="O5567" s="13" t="n">
        <f aca="false">Sens!$O$5558/Sens!$O$5560</f>
        <v>0.0824881615167056</v>
      </c>
    </row>
    <row r="5570" customFormat="false" ht="19.4" hidden="false" customHeight="false" outlineLevel="0" collapsed="false">
      <c r="A5570" s="31" t="s">
        <v>1264</v>
      </c>
    </row>
    <row r="5571" customFormat="false" ht="17.15" hidden="false" customHeight="false" outlineLevel="0" collapsed="false">
      <c r="A5571" s="6" t="s">
        <v>16</v>
      </c>
      <c r="B5571" s="6" t="s">
        <v>17</v>
      </c>
      <c r="C5571" s="20" t="s">
        <v>504</v>
      </c>
      <c r="D5571" s="20" t="s">
        <v>505</v>
      </c>
      <c r="E5571" s="20" t="s">
        <v>587</v>
      </c>
      <c r="F5571" s="20" t="s">
        <v>588</v>
      </c>
      <c r="G5571" s="20" t="s">
        <v>589</v>
      </c>
      <c r="H5571" s="20" t="s">
        <v>590</v>
      </c>
      <c r="I5571" s="20" t="s">
        <v>591</v>
      </c>
      <c r="J5571" s="20" t="s">
        <v>592</v>
      </c>
      <c r="K5571" s="20" t="s">
        <v>593</v>
      </c>
      <c r="L5571" s="20" t="s">
        <v>594</v>
      </c>
      <c r="M5571" s="20" t="s">
        <v>595</v>
      </c>
      <c r="N5571" s="20" t="s">
        <v>596</v>
      </c>
      <c r="O5571" s="20" t="s">
        <v>597</v>
      </c>
      <c r="P5571" s="6" t="s">
        <v>23</v>
      </c>
      <c r="R5571" s="20" t="n">
        <v>2023</v>
      </c>
      <c r="S5571" s="20" t="n">
        <v>2024</v>
      </c>
      <c r="T5571" s="20" t="n">
        <v>2025</v>
      </c>
      <c r="U5571" s="20" t="n">
        <v>2026</v>
      </c>
      <c r="V5571" s="20" t="n">
        <v>2027</v>
      </c>
      <c r="W5571" s="20" t="n">
        <v>2028</v>
      </c>
      <c r="X5571" s="20" t="n">
        <v>2029</v>
      </c>
      <c r="Y5571" s="20" t="n">
        <v>2030</v>
      </c>
      <c r="Z5571" s="20" t="n">
        <v>2031</v>
      </c>
      <c r="AA5571" s="20" t="n">
        <v>2032</v>
      </c>
    </row>
    <row r="5572" customFormat="false" ht="17.15" hidden="false" customHeight="false" outlineLevel="0" collapsed="false">
      <c r="A5572" s="1" t="s">
        <v>727</v>
      </c>
    </row>
    <row r="5573" customFormat="false" ht="15" hidden="false" customHeight="false" outlineLevel="0" collapsed="false">
      <c r="A5573" s="0" t="s">
        <v>526</v>
      </c>
      <c r="B5573" s="0" t="s">
        <v>86</v>
      </c>
      <c r="C5573" s="38" t="n">
        <f aca="false">Sens!$C$5475</f>
        <v>247.029</v>
      </c>
      <c r="D5573" s="38" t="n">
        <f aca="false">Sens!$D$5475</f>
        <v>269.287</v>
      </c>
      <c r="E5573" s="38" t="n">
        <f aca="false">Sens!$E$5475</f>
        <v>134.686</v>
      </c>
      <c r="F5573" s="38" t="n">
        <f aca="false">Sens!$F$5475</f>
        <v>158.293876822267</v>
      </c>
      <c r="G5573" s="38" t="n">
        <f aca="false">Sens!$G$5475</f>
        <v>292.979876822267</v>
      </c>
      <c r="H5573" s="38" t="n">
        <f aca="false">Sens!$H$5475</f>
        <v>318.184543087396</v>
      </c>
      <c r="I5573" s="38" t="n">
        <f aca="false">Sens!$I$5475</f>
        <v>341.736278761793</v>
      </c>
      <c r="J5573" s="38" t="n">
        <f aca="false">Sens!$J$5475</f>
        <v>362.927192787048</v>
      </c>
      <c r="K5573" s="38" t="n">
        <f aca="false">Sens!$K$5475</f>
        <v>381.0735524264</v>
      </c>
      <c r="L5573" s="38" t="n">
        <f aca="false">Sens!$L$5475</f>
        <v>400.12723004772</v>
      </c>
      <c r="M5573" s="38" t="n">
        <f aca="false">Sens!$M$5475</f>
        <v>420.133591550106</v>
      </c>
      <c r="N5573" s="38" t="n">
        <f aca="false">Sens!$N$5475</f>
        <v>118.892</v>
      </c>
      <c r="O5573" s="38" t="n">
        <f aca="false">Sens!$O$5475</f>
        <v>150.395</v>
      </c>
    </row>
    <row r="5574" customFormat="false" ht="15" hidden="false" customHeight="false" outlineLevel="0" collapsed="false">
      <c r="A5574" s="0" t="s">
        <v>527</v>
      </c>
      <c r="B5574" s="0" t="s">
        <v>86</v>
      </c>
      <c r="C5574" s="38" t="n">
        <f aca="false">Sens!$C$5477</f>
        <v>21.215</v>
      </c>
      <c r="D5574" s="38" t="n">
        <f aca="false">Sens!$D$5477</f>
        <v>22.561</v>
      </c>
      <c r="E5574" s="38" t="n">
        <f aca="false">Sens!$E$5477</f>
        <v>11.579</v>
      </c>
      <c r="F5574" s="38" t="n">
        <f aca="false">Sens!$F$5477</f>
        <v>11.5938724610325</v>
      </c>
      <c r="G5574" s="38" t="n">
        <f aca="false">Sens!$G$5477</f>
        <v>23.1728724610325</v>
      </c>
      <c r="H5574" s="38" t="n">
        <f aca="false">Sens!$H$5477</f>
        <v>24.353392759506</v>
      </c>
      <c r="I5574" s="38" t="n">
        <f aca="false">Sens!$I$5477</f>
        <v>25.4240338872015</v>
      </c>
      <c r="J5574" s="38" t="n">
        <f aca="false">Sens!$J$5477</f>
        <v>26.3642491017174</v>
      </c>
      <c r="K5574" s="38" t="n">
        <f aca="false">Sens!$K$5477</f>
        <v>27.155176574769</v>
      </c>
      <c r="L5574" s="38" t="n">
        <f aca="false">Sens!$L$5477</f>
        <v>27.969831872012</v>
      </c>
      <c r="M5574" s="38" t="n">
        <f aca="false">Sens!$M$5477</f>
        <v>28.8089268281724</v>
      </c>
      <c r="N5574" s="38" t="n">
        <f aca="false">Sens!$N$5477</f>
        <v>11.128</v>
      </c>
      <c r="O5574" s="38" t="n">
        <f aca="false">Sens!$O$5477</f>
        <v>11.433</v>
      </c>
    </row>
    <row r="5575" customFormat="false" ht="15" hidden="false" customHeight="false" outlineLevel="0" collapsed="false">
      <c r="A5575" s="0" t="s">
        <v>528</v>
      </c>
      <c r="B5575" s="0" t="s">
        <v>86</v>
      </c>
      <c r="C5575" s="38" t="n">
        <f aca="false">Sens!$C$5479</f>
        <v>156.146</v>
      </c>
      <c r="D5575" s="38" t="n">
        <f aca="false">Sens!$D$5479</f>
        <v>172.162</v>
      </c>
      <c r="E5575" s="38" t="n">
        <f aca="false">Sens!$E$5479</f>
        <v>88.358</v>
      </c>
      <c r="F5575" s="38" t="n">
        <f aca="false">Sens!$F$5479</f>
        <v>102.004388260171</v>
      </c>
      <c r="G5575" s="38" t="n">
        <f aca="false">Sens!$G$5479</f>
        <v>190.362388260171</v>
      </c>
      <c r="H5575" s="38" t="n">
        <f aca="false">Sens!$H$5479</f>
        <v>210.343106588311</v>
      </c>
      <c r="I5575" s="38" t="n">
        <f aca="false">Sens!$I$5479</f>
        <v>229.969728494648</v>
      </c>
      <c r="J5575" s="38" t="n">
        <f aca="false">Sens!$J$5479</f>
        <v>248.747636972598</v>
      </c>
      <c r="K5575" s="38" t="n">
        <f aca="false">Sens!$K$5479</f>
        <v>266.15997156068</v>
      </c>
      <c r="L5575" s="38" t="n">
        <f aca="false">Sens!$L$5479</f>
        <v>284.791169569927</v>
      </c>
      <c r="M5575" s="38" t="n">
        <f aca="false">Sens!$M$5479</f>
        <v>304.726551439822</v>
      </c>
      <c r="N5575" s="38" t="n">
        <f aca="false">Sens!$N$5479</f>
        <v>76.86</v>
      </c>
      <c r="O5575" s="38" t="n">
        <f aca="false">Sens!$O$5479</f>
        <v>95.302</v>
      </c>
    </row>
    <row r="5576" customFormat="false" ht="15" hidden="false" customHeight="false" outlineLevel="0" collapsed="false">
      <c r="A5576" s="0" t="s">
        <v>529</v>
      </c>
      <c r="B5576" s="0" t="s">
        <v>86</v>
      </c>
      <c r="C5576" s="38" t="n">
        <f aca="false">Sens!$C$5481</f>
        <v>56.214</v>
      </c>
      <c r="D5576" s="38" t="n">
        <f aca="false">Sens!$D$5481</f>
        <v>68.635</v>
      </c>
      <c r="E5576" s="38" t="n">
        <f aca="false">Sens!$E$5481</f>
        <v>37.052</v>
      </c>
      <c r="F5576" s="38" t="n">
        <f aca="false">Sens!$F$5481</f>
        <v>46.1572219944148</v>
      </c>
      <c r="G5576" s="38" t="n">
        <f aca="false">Sens!$G$5481</f>
        <v>83.2092219944148</v>
      </c>
      <c r="H5576" s="38" t="n">
        <f aca="false">Sens!$H$5481</f>
        <v>99.8969223878976</v>
      </c>
      <c r="I5576" s="38" t="n">
        <f aca="false">Sens!$I$5481</f>
        <v>116.583111095496</v>
      </c>
      <c r="J5576" s="38" t="n">
        <f aca="false">Sens!$J$5481</f>
        <v>132.148941941952</v>
      </c>
      <c r="K5576" s="38" t="n">
        <f aca="false">Sens!$K$5481</f>
        <v>145.363836136147</v>
      </c>
      <c r="L5576" s="38" t="n">
        <f aca="false">Sens!$L$5481</f>
        <v>159.900219749762</v>
      </c>
      <c r="M5576" s="38" t="n">
        <f aca="false">Sens!$M$5481</f>
        <v>175.890241724738</v>
      </c>
      <c r="N5576" s="38" t="n">
        <f aca="false">Sens!$N$5481</f>
        <v>29.615</v>
      </c>
      <c r="O5576" s="38" t="n">
        <f aca="false">Sens!$O$5481</f>
        <v>39.02</v>
      </c>
    </row>
    <row r="5577" customFormat="false" ht="15" hidden="false" customHeight="false" outlineLevel="0" collapsed="false">
      <c r="A5577" s="0" t="s">
        <v>530</v>
      </c>
      <c r="B5577" s="0" t="s">
        <v>86</v>
      </c>
      <c r="C5577" s="38" t="n">
        <f aca="false">Sens!$C$5483</f>
        <v>44.374</v>
      </c>
      <c r="D5577" s="38" t="n">
        <f aca="false">Sens!$D$5483</f>
        <v>49.619</v>
      </c>
      <c r="E5577" s="38" t="n">
        <f aca="false">Sens!$E$5483</f>
        <v>27.157</v>
      </c>
      <c r="F5577" s="38" t="n">
        <f aca="false">Sens!$F$5483</f>
        <v>27.7764165988154</v>
      </c>
      <c r="G5577" s="38" t="n">
        <f aca="false">Sens!$G$5483</f>
        <v>54.9334165988154</v>
      </c>
      <c r="H5577" s="38" t="n">
        <f aca="false">Sens!$H$5483</f>
        <v>61.1564112561829</v>
      </c>
      <c r="I5577" s="38" t="n">
        <f aca="false">Sens!$I$5483</f>
        <v>67.2020282103945</v>
      </c>
      <c r="J5577" s="38" t="n">
        <f aca="false">Sens!$J$5483</f>
        <v>72.8757274028885</v>
      </c>
      <c r="K5577" s="38" t="n">
        <f aca="false">Sens!$K$5483</f>
        <v>77.9770283210907</v>
      </c>
      <c r="L5577" s="38" t="n">
        <f aca="false">Sens!$L$5483</f>
        <v>83.4354203035671</v>
      </c>
      <c r="M5577" s="38" t="n">
        <f aca="false">Sens!$M$5483</f>
        <v>89.2758997248168</v>
      </c>
      <c r="N5577" s="38" t="n">
        <f aca="false">Sens!$N$5483</f>
        <v>23.923</v>
      </c>
      <c r="O5577" s="38" t="n">
        <f aca="false">Sens!$O$5483</f>
        <v>25.696</v>
      </c>
    </row>
    <row r="5578" customFormat="false" ht="15" hidden="false" customHeight="false" outlineLevel="0" collapsed="false">
      <c r="A5578" s="0" t="s">
        <v>531</v>
      </c>
      <c r="B5578" s="0" t="s">
        <v>86</v>
      </c>
      <c r="C5578" s="38" t="n">
        <f aca="false">Sens!$C$5485</f>
        <v>5.425</v>
      </c>
      <c r="D5578" s="38" t="n">
        <f aca="false">Sens!$D$5485</f>
        <v>5.935</v>
      </c>
      <c r="E5578" s="38" t="n">
        <f aca="false">Sens!$E$5485</f>
        <v>3.474</v>
      </c>
      <c r="F5578" s="38" t="n">
        <f aca="false">Sens!$F$5485</f>
        <v>3.22246550883619</v>
      </c>
      <c r="G5578" s="38" t="n">
        <f aca="false">Sens!$G$5485</f>
        <v>6.69646550883619</v>
      </c>
      <c r="H5578" s="38" t="n">
        <f aca="false">Sens!$H$5485</f>
        <v>7.16251344209196</v>
      </c>
      <c r="I5578" s="38" t="n">
        <f aca="false">Sens!$I$5485</f>
        <v>7.61421070299826</v>
      </c>
      <c r="J5578" s="38" t="n">
        <f aca="false">Sens!$J$5485</f>
        <v>8.04465753523932</v>
      </c>
      <c r="K5578" s="38" t="n">
        <f aca="false">Sens!$K$5485</f>
        <v>8.44689041200128</v>
      </c>
      <c r="L5578" s="38" t="n">
        <f aca="false">Sens!$L$5485</f>
        <v>8.86923493260135</v>
      </c>
      <c r="M5578" s="38" t="n">
        <f aca="false">Sens!$M$5485</f>
        <v>9.31269667923142</v>
      </c>
      <c r="N5578" s="38" t="n">
        <f aca="false">Sens!$N$5485</f>
        <v>2.811</v>
      </c>
      <c r="O5578" s="38" t="n">
        <f aca="false">Sens!$O$5485</f>
        <v>3.124</v>
      </c>
    </row>
    <row r="5579" customFormat="false" ht="17.15" hidden="false" customHeight="false" outlineLevel="0" collapsed="false">
      <c r="A5579" s="0" t="s">
        <v>728</v>
      </c>
      <c r="B5579" s="0" t="s">
        <v>86</v>
      </c>
      <c r="C5579" s="38" t="n">
        <f aca="false">Sens!$C$5560</f>
        <v>107.556</v>
      </c>
      <c r="D5579" s="38" t="n">
        <f aca="false">Sens!$D$5560</f>
        <v>128.725</v>
      </c>
      <c r="E5579" s="38" t="n">
        <f aca="false">Sens!$E$5560</f>
        <v>79.819</v>
      </c>
      <c r="F5579" s="38" t="n">
        <f aca="false">Sens!$F$5560</f>
        <v>86.7327334389669</v>
      </c>
      <c r="G5579" s="38" t="n">
        <f aca="false">Sens!$G$5560</f>
        <v>166.551733438967</v>
      </c>
      <c r="H5579" s="38" t="n">
        <f aca="false">Sens!$H$5560</f>
        <v>221.182967828978</v>
      </c>
      <c r="I5579" s="38" t="n">
        <f aca="false">Sens!$I$5560</f>
        <v>280.27345865789</v>
      </c>
      <c r="J5579" s="38" t="n">
        <f aca="false">Sens!$J$5560</f>
        <v>338.800945197185</v>
      </c>
      <c r="K5579" s="38" t="n">
        <f aca="false">Sens!$K$5560</f>
        <v>389.88570147276</v>
      </c>
      <c r="L5579" s="38" t="n">
        <f aca="false">Sens!$L$5560</f>
        <v>430.080689379143</v>
      </c>
      <c r="M5579" s="38" t="n">
        <f aca="false">Sens!$M$5560</f>
        <v>459.456235951751</v>
      </c>
      <c r="N5579" s="38" t="n">
        <f aca="false">Sens!$N$5560</f>
        <v>60.14</v>
      </c>
      <c r="O5579" s="38" t="n">
        <f aca="false">Sens!$O$5560</f>
        <v>68.585</v>
      </c>
    </row>
    <row r="5580" customFormat="false" ht="15" hidden="false" customHeight="false" outlineLevel="0" collapsed="false">
      <c r="A5580" s="1" t="s">
        <v>519</v>
      </c>
      <c r="B5580" s="8" t="s">
        <v>86</v>
      </c>
      <c r="C5580" s="38" t="n">
        <f aca="false">Sens!$C$5490</f>
        <v>387.497</v>
      </c>
      <c r="D5580" s="38" t="n">
        <f aca="false">Sens!$D$5490</f>
        <v>426.305</v>
      </c>
      <c r="E5580" s="38" t="n">
        <f aca="false">Sens!$E$5490</f>
        <v>220.32</v>
      </c>
      <c r="F5580" s="38" t="n">
        <f aca="false">Sens!$F$5490</f>
        <v>250.639773480586</v>
      </c>
      <c r="G5580" s="38" t="n">
        <f aca="false">Sens!$G$5490</f>
        <v>470.959773480586</v>
      </c>
      <c r="H5580" s="38" t="n">
        <f aca="false">Sens!$H$5490</f>
        <v>521.386990416437</v>
      </c>
      <c r="I5580" s="38" t="n">
        <f aca="false">Sens!$I$5490</f>
        <v>570.143862887555</v>
      </c>
      <c r="J5580" s="38" t="n">
        <f aca="false">Sens!$J$5490</f>
        <v>615.391435791933</v>
      </c>
      <c r="K5580" s="38" t="n">
        <f aca="false">Sens!$K$5490</f>
        <v>655.208227561543</v>
      </c>
      <c r="L5580" s="38" t="n">
        <f aca="false">Sens!$L$5490</f>
        <v>697.807739249767</v>
      </c>
      <c r="M5580" s="38" t="n">
        <f aca="false">Sens!$M$5490</f>
        <v>743.399328463592</v>
      </c>
      <c r="N5580" s="38" t="n">
        <f aca="false">Sens!$N$5490</f>
        <v>192.955</v>
      </c>
      <c r="O5580" s="38" t="n">
        <f aca="false">Sens!$O$5490</f>
        <v>233.35</v>
      </c>
    </row>
    <row r="5581" customFormat="false" ht="15" hidden="false" customHeight="false" outlineLevel="0" collapsed="false">
      <c r="A5581" s="1" t="s">
        <v>522</v>
      </c>
      <c r="B5581" s="8" t="s">
        <v>86</v>
      </c>
      <c r="C5581" s="38" t="n">
        <f aca="false">Sens!$C$5491</f>
        <v>142.906</v>
      </c>
      <c r="D5581" s="38" t="n">
        <f aca="false">Sens!$D$5491</f>
        <v>161.894</v>
      </c>
      <c r="E5581" s="38" t="n">
        <f aca="false">Sens!$E$5491</f>
        <v>81.986</v>
      </c>
      <c r="F5581" s="38" t="n">
        <f aca="false">Sens!$F$5491</f>
        <v>98.408468164951</v>
      </c>
      <c r="G5581" s="38" t="n">
        <f aca="false">Sens!$G$5491</f>
        <v>180.394468164951</v>
      </c>
      <c r="H5581" s="38" t="n">
        <f aca="false">Sens!$H$5491</f>
        <v>199.709899104949</v>
      </c>
      <c r="I5581" s="38" t="n">
        <f aca="false">Sens!$I$5491</f>
        <v>218.385528264976</v>
      </c>
      <c r="J5581" s="38" t="n">
        <f aca="false">Sens!$J$5491</f>
        <v>235.71696994951</v>
      </c>
      <c r="K5581" s="38" t="n">
        <f aca="false">Sens!$K$5491</f>
        <v>250.968227869545</v>
      </c>
      <c r="L5581" s="38" t="n">
        <f aca="false">Sens!$L$5491</f>
        <v>267.285367225822</v>
      </c>
      <c r="M5581" s="38" t="n">
        <f aca="false">Sens!$M$5491</f>
        <v>284.748579483295</v>
      </c>
      <c r="N5581" s="38" t="n">
        <f aca="false">Sens!$N$5491</f>
        <v>70.274</v>
      </c>
      <c r="O5581" s="38" t="n">
        <f aca="false">Sens!$O$5491</f>
        <v>91.62</v>
      </c>
    </row>
    <row r="5582" customFormat="false" ht="15" hidden="false" customHeight="false" outlineLevel="0" collapsed="false">
      <c r="A5582" s="1" t="s">
        <v>523</v>
      </c>
      <c r="B5582" s="8" t="s">
        <v>86</v>
      </c>
      <c r="C5582" s="38" t="n">
        <f aca="false">Sens!$C$5560</f>
        <v>107.556</v>
      </c>
      <c r="D5582" s="38" t="n">
        <f aca="false">Sens!$D$5560</f>
        <v>128.725</v>
      </c>
      <c r="E5582" s="38" t="n">
        <f aca="false">Sens!$E$5560</f>
        <v>79.819</v>
      </c>
      <c r="F5582" s="38" t="n">
        <f aca="false">Sens!$F$5560</f>
        <v>86.7327334389669</v>
      </c>
      <c r="G5582" s="38" t="n">
        <f aca="false">Sens!$G$5560</f>
        <v>166.551733438967</v>
      </c>
      <c r="H5582" s="38" t="n">
        <f aca="false">Sens!$H$5560</f>
        <v>221.182967828978</v>
      </c>
      <c r="I5582" s="38" t="n">
        <f aca="false">Sens!$I$5560</f>
        <v>280.27345865789</v>
      </c>
      <c r="J5582" s="38" t="n">
        <f aca="false">Sens!$J$5560</f>
        <v>338.800945197185</v>
      </c>
      <c r="K5582" s="38" t="n">
        <f aca="false">Sens!$K$5560</f>
        <v>389.88570147276</v>
      </c>
      <c r="L5582" s="38" t="n">
        <f aca="false">Sens!$L$5560</f>
        <v>430.080689379143</v>
      </c>
      <c r="M5582" s="38" t="n">
        <f aca="false">Sens!$M$5560</f>
        <v>459.456235951751</v>
      </c>
      <c r="N5582" s="38" t="n">
        <f aca="false">Sens!$N$5560</f>
        <v>60.14</v>
      </c>
      <c r="O5582" s="38" t="n">
        <f aca="false">Sens!$O$5560</f>
        <v>68.585</v>
      </c>
    </row>
    <row r="5583" customFormat="false" ht="17.15" hidden="false" customHeight="false" outlineLevel="0" collapsed="false">
      <c r="A5583" s="0" t="s">
        <v>702</v>
      </c>
      <c r="B5583" s="0" t="s">
        <v>86</v>
      </c>
      <c r="C5583" s="38" t="n">
        <f aca="false">Sens!$C$5558</f>
        <v>2.32100535697364</v>
      </c>
      <c r="D5583" s="38" t="n">
        <f aca="false">Sens!$D$5558</f>
        <v>8.70377008865116</v>
      </c>
      <c r="E5583" s="38" t="n">
        <f aca="false">Sens!$E$5558</f>
        <v>8.51035297557002</v>
      </c>
      <c r="F5583" s="38" t="n">
        <f aca="false">Sens!$F$5558</f>
        <v>14.9634336447205</v>
      </c>
      <c r="G5583" s="38" t="n">
        <f aca="false">Sens!$G$5558</f>
        <v>23.4737866202905</v>
      </c>
      <c r="H5583" s="38" t="n">
        <f aca="false">Sens!$H$5558</f>
        <v>60.1658907497746</v>
      </c>
      <c r="I5583" s="38" t="n">
        <f aca="false">Sens!$I$5558</f>
        <v>101.503699136432</v>
      </c>
      <c r="J5583" s="38" t="n">
        <f aca="false">Sens!$J$5558</f>
        <v>143.025407151278</v>
      </c>
      <c r="K5583" s="38" t="n">
        <f aca="false">Sens!$K$5558</f>
        <v>178.44812038318</v>
      </c>
      <c r="L5583" s="38" t="n">
        <f aca="false">Sens!$L$5558</f>
        <v>201.728101802396</v>
      </c>
      <c r="M5583" s="38" t="n">
        <f aca="false">Sens!$M$5558</f>
        <v>212.835441368865</v>
      </c>
      <c r="N5583" s="38" t="n">
        <f aca="false">Sens!$N$5558</f>
        <v>3.04631953102791</v>
      </c>
      <c r="O5583" s="38" t="n">
        <f aca="false">Sens!$O$5558</f>
        <v>5.65745055762326</v>
      </c>
    </row>
    <row r="5584" customFormat="false" ht="17.15" hidden="false" customHeight="false" outlineLevel="0" collapsed="false">
      <c r="A5584" s="0" t="s">
        <v>704</v>
      </c>
      <c r="B5584" s="0" t="s">
        <v>86</v>
      </c>
      <c r="C5584" s="38" t="n">
        <f aca="false">Sens!$C$5559</f>
        <v>105.234994643026</v>
      </c>
      <c r="D5584" s="38" t="n">
        <f aca="false">Sens!$D$5559</f>
        <v>120.021229911349</v>
      </c>
      <c r="E5584" s="38" t="n">
        <f aca="false">Sens!$E$5559</f>
        <v>71.30864702443</v>
      </c>
      <c r="F5584" s="38" t="n">
        <f aca="false">Sens!$F$5559</f>
        <v>71.7692997942464</v>
      </c>
      <c r="G5584" s="38" t="n">
        <f aca="false">Sens!$G$5559</f>
        <v>143.077946818676</v>
      </c>
      <c r="H5584" s="38" t="n">
        <f aca="false">Sens!$H$5559</f>
        <v>161.017077079203</v>
      </c>
      <c r="I5584" s="38" t="n">
        <f aca="false">Sens!$I$5559</f>
        <v>178.769759521457</v>
      </c>
      <c r="J5584" s="38" t="n">
        <f aca="false">Sens!$J$5559</f>
        <v>195.775538045907</v>
      </c>
      <c r="K5584" s="38" t="n">
        <f aca="false">Sens!$K$5559</f>
        <v>211.43758108958</v>
      </c>
      <c r="L5584" s="38" t="n">
        <f aca="false">Sens!$L$5559</f>
        <v>228.352587576746</v>
      </c>
      <c r="M5584" s="38" t="n">
        <f aca="false">Sens!$M$5559</f>
        <v>246.620794582886</v>
      </c>
      <c r="N5584" s="38" t="n">
        <f aca="false">Sens!$N$5559</f>
        <v>57.0936804689721</v>
      </c>
      <c r="O5584" s="38" t="n">
        <f aca="false">Sens!$O$5559</f>
        <v>62.9275494423768</v>
      </c>
    </row>
    <row r="5585" customFormat="false" ht="15" hidden="false" customHeight="false" outlineLevel="0" collapsed="false">
      <c r="A5585" s="3" t="s">
        <v>524</v>
      </c>
      <c r="B5585" s="8" t="s">
        <v>86</v>
      </c>
      <c r="C5585" s="38" t="n">
        <f aca="false">Sens!$C$5561</f>
        <v>637.959</v>
      </c>
      <c r="D5585" s="38" t="n">
        <f aca="false">Sens!$D$5561</f>
        <v>716.924</v>
      </c>
      <c r="E5585" s="38" t="n">
        <f aca="false">Sens!$E$5561</f>
        <v>382.125</v>
      </c>
      <c r="F5585" s="38" t="n">
        <f aca="false">Sens!$F$5561</f>
        <v>435.780975084504</v>
      </c>
      <c r="G5585" s="38" t="n">
        <f aca="false">Sens!$G$5561</f>
        <v>817.905975084504</v>
      </c>
      <c r="H5585" s="38" t="n">
        <f aca="false">Sens!$H$5561</f>
        <v>942.279857350364</v>
      </c>
      <c r="I5585" s="38" t="n">
        <f aca="false">Sens!$I$5561</f>
        <v>1068.80284981042</v>
      </c>
      <c r="J5585" s="38" t="n">
        <f aca="false">Sens!$J$5561</f>
        <v>1189.90935093863</v>
      </c>
      <c r="K5585" s="38" t="n">
        <f aca="false">Sens!$K$5561</f>
        <v>1296.06215690385</v>
      </c>
      <c r="L5585" s="38" t="n">
        <f aca="false">Sens!$L$5561</f>
        <v>1395.17379585473</v>
      </c>
      <c r="M5585" s="38" t="n">
        <f aca="false">Sens!$M$5561</f>
        <v>1487.60414389864</v>
      </c>
      <c r="N5585" s="38" t="n">
        <f aca="false">Sens!$N$5561</f>
        <v>323.369</v>
      </c>
      <c r="O5585" s="38" t="n">
        <f aca="false">Sens!$O$5561</f>
        <v>393.555</v>
      </c>
    </row>
    <row r="5586" customFormat="false" ht="17.15" hidden="false" customHeight="false" outlineLevel="0" collapsed="false">
      <c r="A5586" s="24" t="s">
        <v>714</v>
      </c>
      <c r="B5586" s="25" t="s">
        <v>86</v>
      </c>
      <c r="C5586" s="41" t="n">
        <f aca="false">Sens!$C$5573+Sens!$C$5574+Sens!$C$5575+Sens!$C$5576+Sens!$C$5577+Sens!$C$5578-(Sens!$C$5580+Sens!$C$5581)</f>
        <v>0</v>
      </c>
      <c r="D5586" s="41" t="n">
        <f aca="false">Sens!$D$5573+Sens!$D$5574+Sens!$D$5575+Sens!$D$5576+Sens!$D$5577+Sens!$D$5578-(Sens!$D$5580+Sens!$D$5581)</f>
        <v>0</v>
      </c>
      <c r="E5586" s="41" t="n">
        <f aca="false">Sens!$E$5573+Sens!$E$5574+Sens!$E$5575+Sens!$E$5576+Sens!$E$5577+Sens!$E$5578-(Sens!$E$5580+Sens!$E$5581)</f>
        <v>0</v>
      </c>
      <c r="F5586" s="41" t="n">
        <f aca="false">Sens!$F$5573+Sens!$F$5574+Sens!$F$5575+Sens!$F$5576+Sens!$F$5577+Sens!$F$5578-(Sens!$F$5580+Sens!$F$5581)</f>
        <v>0</v>
      </c>
      <c r="G5586" s="41" t="n">
        <f aca="false">Sens!$G$5573+Sens!$G$5574+Sens!$G$5575+Sens!$G$5576+Sens!$G$5577+Sens!$G$5578-(Sens!$G$5580+Sens!$G$5581)</f>
        <v>0</v>
      </c>
      <c r="H5586" s="41" t="n">
        <f aca="false">Sens!$H$5573+Sens!$H$5574+Sens!$H$5575+Sens!$H$5576+Sens!$H$5577+Sens!$H$5578-(Sens!$H$5580+Sens!$H$5581)</f>
        <v>0</v>
      </c>
      <c r="I5586" s="41" t="n">
        <f aca="false">Sens!$I$5573+Sens!$I$5574+Sens!$I$5575+Sens!$I$5576+Sens!$I$5577+Sens!$I$5578-(Sens!$I$5580+Sens!$I$5581)</f>
        <v>0</v>
      </c>
      <c r="J5586" s="41" t="n">
        <f aca="false">Sens!$J$5573+Sens!$J$5574+Sens!$J$5575+Sens!$J$5576+Sens!$J$5577+Sens!$J$5578-(Sens!$J$5580+Sens!$J$5581)</f>
        <v>0</v>
      </c>
      <c r="K5586" s="41" t="n">
        <f aca="false">Sens!$K$5573+Sens!$K$5574+Sens!$K$5575+Sens!$K$5576+Sens!$K$5577+Sens!$K$5578-(Sens!$K$5580+Sens!$K$5581)</f>
        <v>0</v>
      </c>
      <c r="L5586" s="41" t="n">
        <f aca="false">Sens!$L$5573+Sens!$L$5574+Sens!$L$5575+Sens!$L$5576+Sens!$L$5577+Sens!$L$5578-(Sens!$L$5580+Sens!$L$5581)</f>
        <v>0</v>
      </c>
      <c r="M5586" s="41" t="n">
        <f aca="false">Sens!$M$5573+Sens!$M$5574+Sens!$M$5575+Sens!$M$5576+Sens!$M$5577+Sens!$M$5578-(Sens!$M$5580+Sens!$M$5581)</f>
        <v>0</v>
      </c>
      <c r="N5586" s="41" t="n">
        <f aca="false">Sens!$N$5573+Sens!$N$5574+Sens!$N$5575+Sens!$N$5576+Sens!$N$5577+Sens!$N$5578-(Sens!$N$5580+Sens!$N$5581)</f>
        <v>0</v>
      </c>
      <c r="O5586" s="41" t="n">
        <f aca="false">Sens!$O$5573+Sens!$O$5574+Sens!$O$5575+Sens!$O$5576+Sens!$O$5577+Sens!$O$5578-(Sens!$O$5580+Sens!$O$5581)</f>
        <v>0</v>
      </c>
    </row>
    <row r="5587" customFormat="false" ht="17.15" hidden="false" customHeight="false" outlineLevel="0" collapsed="false">
      <c r="A5587" s="24" t="s">
        <v>715</v>
      </c>
      <c r="B5587" s="25" t="s">
        <v>86</v>
      </c>
      <c r="C5587" s="41" t="n">
        <f aca="false">Sens!$C$5583+Sens!$C$5584-Sens!$C$5582</f>
        <v>0</v>
      </c>
      <c r="D5587" s="41" t="n">
        <f aca="false">Sens!$D$5583+Sens!$D$5584-Sens!$D$5582</f>
        <v>0</v>
      </c>
      <c r="E5587" s="41" t="n">
        <f aca="false">Sens!$E$5583+Sens!$E$5584-Sens!$E$5582</f>
        <v>0</v>
      </c>
      <c r="F5587" s="41" t="n">
        <f aca="false">Sens!$F$5583+Sens!$F$5584-Sens!$F$5582</f>
        <v>0</v>
      </c>
      <c r="G5587" s="41" t="n">
        <f aca="false">Sens!$G$5583+Sens!$G$5584-Sens!$G$5582</f>
        <v>0</v>
      </c>
      <c r="H5587" s="41" t="n">
        <f aca="false">Sens!$H$5583+Sens!$H$5584-Sens!$H$5582</f>
        <v>0</v>
      </c>
      <c r="I5587" s="41" t="n">
        <f aca="false">Sens!$I$5583+Sens!$I$5584-Sens!$I$5582</f>
        <v>0</v>
      </c>
      <c r="J5587" s="41" t="n">
        <f aca="false">Sens!$J$5583+Sens!$J$5584-Sens!$J$5582</f>
        <v>0</v>
      </c>
      <c r="K5587" s="41" t="n">
        <f aca="false">Sens!$K$5583+Sens!$K$5584-Sens!$K$5582</f>
        <v>0</v>
      </c>
      <c r="L5587" s="41" t="n">
        <f aca="false">Sens!$L$5583+Sens!$L$5584-Sens!$L$5582</f>
        <v>0</v>
      </c>
      <c r="M5587" s="41" t="n">
        <f aca="false">Sens!$M$5583+Sens!$M$5584-Sens!$M$5582</f>
        <v>0</v>
      </c>
      <c r="N5587" s="41" t="n">
        <f aca="false">Sens!$N$5583+Sens!$N$5584-Sens!$N$5582</f>
        <v>0</v>
      </c>
      <c r="O5587" s="41" t="n">
        <f aca="false">Sens!$O$5583+Sens!$O$5584-Sens!$O$5582</f>
        <v>0</v>
      </c>
    </row>
    <row r="5588" customFormat="false" ht="17.15" hidden="false" customHeight="false" outlineLevel="0" collapsed="false">
      <c r="A5588" s="24" t="s">
        <v>774</v>
      </c>
      <c r="B5588" s="25" t="s">
        <v>86</v>
      </c>
      <c r="C5588" s="41" t="n">
        <f aca="false">Sens!$C$5573+Sens!$C$5574+Sens!$C$5575+Sens!$C$5576+Sens!$C$5577+Sens!$C$5578+Sens!$C$5579-Sens!$C$5585</f>
        <v>0</v>
      </c>
      <c r="D5588" s="41" t="n">
        <f aca="false">Sens!$D$5573+Sens!$D$5574+Sens!$D$5575+Sens!$D$5576+Sens!$D$5577+Sens!$D$5578+Sens!$D$5579-Sens!$D$5585</f>
        <v>0</v>
      </c>
      <c r="E5588" s="41" t="n">
        <f aca="false">Sens!$E$5573+Sens!$E$5574+Sens!$E$5575+Sens!$E$5576+Sens!$E$5577+Sens!$E$5578+Sens!$E$5579-Sens!$E$5585</f>
        <v>0</v>
      </c>
      <c r="F5588" s="41" t="n">
        <f aca="false">Sens!$F$5573+Sens!$F$5574+Sens!$F$5575+Sens!$F$5576+Sens!$F$5577+Sens!$F$5578+Sens!$F$5579-Sens!$F$5585</f>
        <v>0</v>
      </c>
      <c r="G5588" s="41" t="n">
        <f aca="false">Sens!$G$5573+Sens!$G$5574+Sens!$G$5575+Sens!$G$5576+Sens!$G$5577+Sens!$G$5578+Sens!$G$5579-Sens!$G$5585</f>
        <v>0</v>
      </c>
      <c r="H5588" s="41" t="n">
        <f aca="false">Sens!$H$5573+Sens!$H$5574+Sens!$H$5575+Sens!$H$5576+Sens!$H$5577+Sens!$H$5578+Sens!$H$5579-Sens!$H$5585</f>
        <v>0</v>
      </c>
      <c r="I5588" s="41" t="n">
        <f aca="false">Sens!$I$5573+Sens!$I$5574+Sens!$I$5575+Sens!$I$5576+Sens!$I$5577+Sens!$I$5578+Sens!$I$5579-Sens!$I$5585</f>
        <v>0</v>
      </c>
      <c r="J5588" s="41" t="n">
        <f aca="false">Sens!$J$5573+Sens!$J$5574+Sens!$J$5575+Sens!$J$5576+Sens!$J$5577+Sens!$J$5578+Sens!$J$5579-Sens!$J$5585</f>
        <v>0</v>
      </c>
      <c r="K5588" s="41" t="n">
        <f aca="false">Sens!$K$5573+Sens!$K$5574+Sens!$K$5575+Sens!$K$5576+Sens!$K$5577+Sens!$K$5578+Sens!$K$5579-Sens!$K$5585</f>
        <v>0</v>
      </c>
      <c r="L5588" s="41" t="n">
        <f aca="false">Sens!$L$5573+Sens!$L$5574+Sens!$L$5575+Sens!$L$5576+Sens!$L$5577+Sens!$L$5578+Sens!$L$5579-Sens!$L$5585</f>
        <v>0</v>
      </c>
      <c r="M5588" s="41" t="n">
        <f aca="false">Sens!$M$5573+Sens!$M$5574+Sens!$M$5575+Sens!$M$5576+Sens!$M$5577+Sens!$M$5578+Sens!$M$5579-Sens!$M$5585</f>
        <v>0</v>
      </c>
      <c r="N5588" s="41" t="n">
        <f aca="false">Sens!$N$5573+Sens!$N$5574+Sens!$N$5575+Sens!$N$5576+Sens!$N$5577+Sens!$N$5578+Sens!$N$5579-Sens!$N$5585</f>
        <v>0</v>
      </c>
      <c r="O5588" s="41" t="n">
        <f aca="false">Sens!$O$5573+Sens!$O$5574+Sens!$O$5575+Sens!$O$5576+Sens!$O$5577+Sens!$O$5578+Sens!$O$5579-Sens!$O$5585</f>
        <v>0</v>
      </c>
    </row>
    <row r="5589" customFormat="false" ht="17.15" hidden="false" customHeight="false" outlineLevel="0" collapsed="false">
      <c r="A5589" s="24" t="s">
        <v>716</v>
      </c>
      <c r="B5589" s="25" t="s">
        <v>86</v>
      </c>
      <c r="C5589" s="41" t="n">
        <f aca="false">Sens!$C$5580+Sens!$C$5581+Sens!$C$5582-Sens!$C$5585</f>
        <v>0</v>
      </c>
      <c r="D5589" s="41" t="n">
        <f aca="false">Sens!$D$5580+Sens!$D$5581+Sens!$D$5582-Sens!$D$5585</f>
        <v>0</v>
      </c>
      <c r="E5589" s="41" t="n">
        <f aca="false">Sens!$E$5580+Sens!$E$5581+Sens!$E$5582-Sens!$E$5585</f>
        <v>0</v>
      </c>
      <c r="F5589" s="41" t="n">
        <f aca="false">Sens!$F$5580+Sens!$F$5581+Sens!$F$5582-Sens!$F$5585</f>
        <v>0</v>
      </c>
      <c r="G5589" s="41" t="n">
        <f aca="false">Sens!$G$5580+Sens!$G$5581+Sens!$G$5582-Sens!$G$5585</f>
        <v>0</v>
      </c>
      <c r="H5589" s="41" t="n">
        <f aca="false">Sens!$H$5580+Sens!$H$5581+Sens!$H$5582-Sens!$H$5585</f>
        <v>0</v>
      </c>
      <c r="I5589" s="41" t="n">
        <f aca="false">Sens!$I$5580+Sens!$I$5581+Sens!$I$5582-Sens!$I$5585</f>
        <v>0</v>
      </c>
      <c r="J5589" s="41" t="n">
        <f aca="false">Sens!$J$5580+Sens!$J$5581+Sens!$J$5582-Sens!$J$5585</f>
        <v>0</v>
      </c>
      <c r="K5589" s="41" t="n">
        <f aca="false">Sens!$K$5580+Sens!$K$5581+Sens!$K$5582-Sens!$K$5585</f>
        <v>0</v>
      </c>
      <c r="L5589" s="41" t="n">
        <f aca="false">Sens!$L$5580+Sens!$L$5581+Sens!$L$5582-Sens!$L$5585</f>
        <v>0</v>
      </c>
      <c r="M5589" s="41" t="n">
        <f aca="false">Sens!$M$5580+Sens!$M$5581+Sens!$M$5582-Sens!$M$5585</f>
        <v>0</v>
      </c>
      <c r="N5589" s="41" t="n">
        <f aca="false">Sens!$N$5580+Sens!$N$5581+Sens!$N$5582-Sens!$N$5585</f>
        <v>0</v>
      </c>
      <c r="O5589" s="41" t="n">
        <f aca="false">Sens!$O$5580+Sens!$O$5581+Sens!$O$5582-Sens!$O$5585</f>
        <v>0</v>
      </c>
    </row>
    <row r="5590" customFormat="false" ht="17.15" hidden="false" customHeight="false" outlineLevel="0" collapsed="false">
      <c r="A5590" s="1" t="s">
        <v>730</v>
      </c>
    </row>
    <row r="5591" customFormat="false" ht="17.15" hidden="false" customHeight="false" outlineLevel="0" collapsed="false">
      <c r="A5591" s="0" t="s">
        <v>731</v>
      </c>
      <c r="B5591" s="0" t="s">
        <v>86</v>
      </c>
      <c r="C5591" s="38" t="n">
        <f aca="false">Sens!$C$5492*m_ad</f>
        <v>20.5341564414228</v>
      </c>
      <c r="D5591" s="38" t="n">
        <f aca="false">Sens!$D$5492*m_ad</f>
        <v>24.8720617299587</v>
      </c>
      <c r="E5591" s="38" t="n">
        <f aca="false">Sens!$E$5492*m_ad</f>
        <v>13.5017112462207</v>
      </c>
      <c r="F5591" s="38" t="n">
        <f aca="false">Sens!$F$5492*m_ad</f>
        <v>16.5719724165257</v>
      </c>
      <c r="G5591" s="38" t="n">
        <f aca="false">Sens!$G$5492*m_ad</f>
        <v>30.0820919220415</v>
      </c>
      <c r="H5591" s="38" t="n">
        <f aca="false">Sens!$H$5492*m_ad</f>
        <v>36.1150883276314</v>
      </c>
      <c r="I5591" s="38" t="n">
        <f aca="false">Sens!$I$5492*m_ad</f>
        <v>42.1475382231996</v>
      </c>
      <c r="J5591" s="38" t="n">
        <f aca="false">Sens!$J$5492*m_ad</f>
        <v>47.7749523864693</v>
      </c>
      <c r="K5591" s="38" t="n">
        <f aca="false">Sens!$K$5492*m_ad</f>
        <v>52.5524476251162</v>
      </c>
      <c r="L5591" s="38" t="n">
        <f aca="false">Sens!$L$5492*m_ad</f>
        <v>57.8076923876279</v>
      </c>
      <c r="M5591" s="38" t="n">
        <f aca="false">Sens!$M$5492*m_ad</f>
        <v>63.5884616263907</v>
      </c>
      <c r="N5591" s="38" t="n">
        <f aca="false">Sens!$N$5492*m_ad</f>
        <v>10.8543555706248</v>
      </c>
      <c r="O5591" s="38" t="n">
        <f aca="false">Sens!$O$5492*m_ad</f>
        <v>14.0094731821399</v>
      </c>
    </row>
    <row r="5592" customFormat="false" ht="17.15" hidden="false" customHeight="false" outlineLevel="0" collapsed="false">
      <c r="A5592" s="0" t="s">
        <v>732</v>
      </c>
      <c r="B5592" s="0" t="s">
        <v>86</v>
      </c>
      <c r="C5592" s="38" t="n">
        <f aca="false">Sens!$C$5490-Sens!$C$5492</f>
        <v>346.428687117154</v>
      </c>
      <c r="D5592" s="38" t="n">
        <f aca="false">Sens!$D$5490-Sens!$D$5492</f>
        <v>376.560876540083</v>
      </c>
      <c r="E5592" s="38" t="n">
        <f aca="false">Sens!$E$5490-Sens!$E$5492</f>
        <v>193.316577507559</v>
      </c>
      <c r="F5592" s="38" t="n">
        <f aca="false">Sens!$F$5490-Sens!$F$5492</f>
        <v>217.495828647535</v>
      </c>
      <c r="G5592" s="38" t="n">
        <f aca="false">Sens!$G$5490-Sens!$G$5492</f>
        <v>410.795589636503</v>
      </c>
      <c r="H5592" s="38" t="n">
        <f aca="false">Sens!$H$5490-Sens!$H$5492</f>
        <v>449.156813761174</v>
      </c>
      <c r="I5592" s="38" t="n">
        <f aca="false">Sens!$I$5490-Sens!$I$5492</f>
        <v>485.848786441156</v>
      </c>
      <c r="J5592" s="38" t="n">
        <f aca="false">Sens!$J$5490-Sens!$J$5492</f>
        <v>519.841531018994</v>
      </c>
      <c r="K5592" s="38" t="n">
        <f aca="false">Sens!$K$5490-Sens!$K$5492</f>
        <v>550.103332311311</v>
      </c>
      <c r="L5592" s="38" t="n">
        <f aca="false">Sens!$L$5490-Sens!$L$5492</f>
        <v>582.192354474511</v>
      </c>
      <c r="M5592" s="38" t="n">
        <f aca="false">Sens!$M$5490-Sens!$M$5492</f>
        <v>616.22240521081</v>
      </c>
      <c r="N5592" s="38" t="n">
        <f aca="false">Sens!$N$5490-Sens!$N$5492</f>
        <v>171.24628885875</v>
      </c>
      <c r="O5592" s="38" t="n">
        <f aca="false">Sens!$O$5490-Sens!$O$5492</f>
        <v>205.33105363572</v>
      </c>
    </row>
    <row r="5593" customFormat="false" ht="17.15" hidden="false" customHeight="false" outlineLevel="0" collapsed="false">
      <c r="A5593" s="0" t="s">
        <v>733</v>
      </c>
      <c r="B5593" s="0" t="s">
        <v>86</v>
      </c>
      <c r="C5593" s="38" t="n">
        <f aca="false">Sens!$C$5544*Sens!$C$5489</f>
        <v>0.123617442257179</v>
      </c>
      <c r="D5593" s="38" t="n">
        <f aca="false">Sens!$D$5544*Sens!$D$5489</f>
        <v>0.600198046024689</v>
      </c>
      <c r="E5593" s="38" t="n">
        <f aca="false">Sens!$E$5544*Sens!$E$5489</f>
        <v>1.10840000750276</v>
      </c>
      <c r="F5593" s="38" t="n">
        <f aca="false">Sens!$F$5544*Sens!$F$5489</f>
        <v>1.33595298721025</v>
      </c>
      <c r="G5593" s="38" t="n">
        <f aca="false">Sens!$G$5544*Sens!$G$5489</f>
        <v>2.44487335052545</v>
      </c>
      <c r="H5593" s="38" t="n">
        <f aca="false">Sens!$H$5544*Sens!$H$5489</f>
        <v>6.63132711939388</v>
      </c>
      <c r="I5593" s="38" t="n">
        <f aca="false">Sens!$I$5544*Sens!$I$5489</f>
        <v>12.7486799258504</v>
      </c>
      <c r="J5593" s="38" t="n">
        <f aca="false">Sens!$J$5544*Sens!$J$5489</f>
        <v>18.4074045299415</v>
      </c>
      <c r="K5593" s="38" t="n">
        <f aca="false">Sens!$K$5544*Sens!$K$5489</f>
        <v>23.9455472348705</v>
      </c>
      <c r="L5593" s="38" t="n">
        <f aca="false">Sens!$L$5544*Sens!$L$5489</f>
        <v>27.78179156216</v>
      </c>
      <c r="M5593" s="38" t="n">
        <f aca="false">Sens!$M$5544*Sens!$M$5489</f>
        <v>29.9029027327362</v>
      </c>
      <c r="N5593" s="38" t="n">
        <f aca="false">Sens!$N$5544*Sens!$N$5489</f>
        <v>0.25053229484398</v>
      </c>
      <c r="O5593" s="38" t="n">
        <f aca="false">Sens!$O$5544*Sens!$O$5489</f>
        <v>0.349234376756897</v>
      </c>
    </row>
    <row r="5594" customFormat="false" ht="17.15" hidden="false" customHeight="false" outlineLevel="0" collapsed="false">
      <c r="A5594" s="0" t="s">
        <v>734</v>
      </c>
      <c r="B5594" s="0" t="s">
        <v>52</v>
      </c>
      <c r="C5594" s="28" t="n">
        <f aca="false">(Sens!$C$5595-Sens!$C$5591+Sens!$C$5593)/Sens!$C$5592</f>
        <v>0.0131526665379575</v>
      </c>
      <c r="D5594" s="28" t="n">
        <f aca="false">(Sens!$D$5595-Sens!$D$5591+Sens!$D$5593)/Sens!$D$5592</f>
        <v>0.0141999252954702</v>
      </c>
      <c r="E5594" s="28" t="n">
        <f aca="false">(Sens!$E$5595-Sens!$E$5591+Sens!$E$5593)/Sens!$E$5592</f>
        <v>0.0258471819939326</v>
      </c>
      <c r="F5594" s="28" t="n">
        <f aca="false">Sens!$O$5594+(Sens!$E$5594-Sens!$N$5594)</f>
        <v>0.0224302350712874</v>
      </c>
      <c r="G5594" s="28" t="n">
        <f aca="false">(Sens!$G$5595-Sens!$G$5591+Sens!$G$5593)/Sens!$G$5592</f>
        <v>0.0240199351461372</v>
      </c>
      <c r="H5594" s="28" t="n">
        <f aca="false">Sens!$G$5594+step_na</f>
        <v>0.0270199351461372</v>
      </c>
      <c r="I5594" s="28" t="n">
        <f aca="false">Sens!$H$5594+step_na</f>
        <v>0.0300199351461372</v>
      </c>
      <c r="J5594" s="28" t="n">
        <f aca="false">Sens!$I$5594+step_na</f>
        <v>0.0330199351461372</v>
      </c>
      <c r="K5594" s="28" t="n">
        <f aca="false">Sens!$J$5594+step_na</f>
        <v>0.0360199351461372</v>
      </c>
      <c r="L5594" s="28" t="n">
        <f aca="false">Sens!$K$5594</f>
        <v>0.0360199351461372</v>
      </c>
      <c r="M5594" s="28" t="n">
        <f aca="false">Sens!$L$5594</f>
        <v>0.0360199351461372</v>
      </c>
      <c r="N5594" s="28" t="n">
        <f aca="false">(Sens!$N$5595-Sens!$N$5591+Sens!$N$5593)/Sens!$N$5592</f>
        <v>0.0160831323269779</v>
      </c>
      <c r="O5594" s="28" t="n">
        <f aca="false">(Sens!$O$5595-Sens!$O$5591+Sens!$O$5593)/Sens!$O$5592</f>
        <v>0.0126661854043327</v>
      </c>
      <c r="P5594" s="8" t="s">
        <v>735</v>
      </c>
    </row>
    <row r="5595" customFormat="false" ht="17.15" hidden="false" customHeight="false" outlineLevel="0" collapsed="false">
      <c r="A5595" s="1" t="s">
        <v>736</v>
      </c>
      <c r="B5595" s="8" t="s">
        <v>86</v>
      </c>
      <c r="C5595" s="38" t="n">
        <f aca="false">Q!$D$22</f>
        <v>24.967</v>
      </c>
      <c r="D5595" s="38" t="n">
        <f aca="false">Q!$E$22</f>
        <v>29.619</v>
      </c>
      <c r="E5595" s="38" t="n">
        <f aca="false">Q!$P$22</f>
        <v>17.39</v>
      </c>
      <c r="F5595" s="38" t="n">
        <f aca="false">Sens!$F$5591+Sens!$F$5592*Sens!$F$5594-Sens!$F$5593</f>
        <v>20.1145019929041</v>
      </c>
      <c r="G5595" s="38" t="n">
        <f aca="false">Sens!$E$5595+Sens!$F$5595</f>
        <v>37.5045019929041</v>
      </c>
      <c r="H5595" s="38" t="n">
        <f aca="false">Sens!$H$5591+Sens!$H$5592*Sens!$H$5594-Sens!$H$5593</f>
        <v>41.6199491865101</v>
      </c>
      <c r="I5595" s="38" t="n">
        <f aca="false">Sens!$I$5591+Sens!$I$5592*Sens!$I$5594-Sens!$I$5593</f>
        <v>43.9840073571422</v>
      </c>
      <c r="J5595" s="38" t="n">
        <f aca="false">Sens!$J$5591+Sens!$J$5592*Sens!$J$5594-Sens!$J$5593</f>
        <v>46.5326814970436</v>
      </c>
      <c r="K5595" s="38" t="n">
        <f aca="false">Sens!$K$5591+Sens!$K$5592*Sens!$K$5594-Sens!$K$5593</f>
        <v>48.4215867437731</v>
      </c>
      <c r="L5595" s="38" t="n">
        <f aca="false">Sens!$L$5591+Sens!$L$5592*Sens!$L$5594-Sens!$L$5593</f>
        <v>50.9964316762167</v>
      </c>
      <c r="M5595" s="38" t="n">
        <f aca="false">Sens!$M$5591+Sens!$M$5592*Sens!$M$5594-Sens!$M$5593</f>
        <v>55.8818499649445</v>
      </c>
      <c r="N5595" s="38" t="n">
        <f aca="false">Q!$N$22</f>
        <v>13.358</v>
      </c>
      <c r="O5595" s="38" t="n">
        <f aca="false">Q!$O$22</f>
        <v>16.261</v>
      </c>
    </row>
    <row r="5596" customFormat="false" ht="17.15" hidden="false" customHeight="false" outlineLevel="0" collapsed="false">
      <c r="A5596" s="0" t="s">
        <v>737</v>
      </c>
      <c r="B5596" s="0" t="s">
        <v>86</v>
      </c>
      <c r="C5596" s="38" t="n">
        <f aca="false">Sens!$C$5493*m_ad</f>
        <v>7.57284355857716</v>
      </c>
      <c r="D5596" s="38" t="n">
        <f aca="false">Sens!$D$5493*m_ad</f>
        <v>9.44543827004127</v>
      </c>
      <c r="E5596" s="38" t="n">
        <f aca="false">Sens!$E$5493*m_ad</f>
        <v>5.02428875377928</v>
      </c>
      <c r="F5596" s="38" t="n">
        <f aca="false">Sens!$F$5493*m_ad</f>
        <v>6.50663858068173</v>
      </c>
      <c r="G5596" s="38" t="n">
        <f aca="false">Sens!$G$5493*m_ad</f>
        <v>11.5225190751659</v>
      </c>
      <c r="H5596" s="38" t="n">
        <f aca="false">Sens!$H$5493*m_ad</f>
        <v>13.8333728663174</v>
      </c>
      <c r="I5596" s="38" t="n">
        <f aca="false">Sens!$I$5493*m_ad</f>
        <v>16.1440173245485</v>
      </c>
      <c r="J5596" s="38" t="n">
        <f aca="false">Sens!$J$5493*m_ad</f>
        <v>18.2995185845066</v>
      </c>
      <c r="K5596" s="38" t="n">
        <f aca="false">Sens!$K$5493*m_ad</f>
        <v>20.1294704429572</v>
      </c>
      <c r="L5596" s="38" t="n">
        <f aca="false">Sens!$L$5493*m_ad</f>
        <v>22.142417487253</v>
      </c>
      <c r="M5596" s="38" t="n">
        <f aca="false">Sens!$M$5493*m_ad</f>
        <v>24.3566592359783</v>
      </c>
      <c r="N5596" s="38" t="n">
        <f aca="false">Sens!$N$5493*m_ad</f>
        <v>3.95314442937518</v>
      </c>
      <c r="O5596" s="38" t="n">
        <f aca="false">Sens!$O$5493*m_ad</f>
        <v>5.50052681786011</v>
      </c>
    </row>
    <row r="5597" customFormat="false" ht="17.15" hidden="false" customHeight="false" outlineLevel="0" collapsed="false">
      <c r="A5597" s="0" t="s">
        <v>738</v>
      </c>
      <c r="B5597" s="0" t="s">
        <v>86</v>
      </c>
      <c r="C5597" s="38" t="n">
        <f aca="false">Sens!$C$5491-Sens!$C$5493</f>
        <v>127.760312882846</v>
      </c>
      <c r="D5597" s="38" t="n">
        <f aca="false">Sens!$D$5491-Sens!$D$5493</f>
        <v>143.003123459917</v>
      </c>
      <c r="E5597" s="38" t="n">
        <f aca="false">Sens!$E$5491-Sens!$E$5493</f>
        <v>71.9374224924414</v>
      </c>
      <c r="F5597" s="38" t="n">
        <f aca="false">Sens!$F$5491-Sens!$F$5493</f>
        <v>85.3951910035875</v>
      </c>
      <c r="G5597" s="38" t="n">
        <f aca="false">Sens!$G$5491-Sens!$G$5493</f>
        <v>157.349430014619</v>
      </c>
      <c r="H5597" s="38" t="n">
        <f aca="false">Sens!$H$5491-Sens!$H$5493</f>
        <v>172.043153372315</v>
      </c>
      <c r="I5597" s="38" t="n">
        <f aca="false">Sens!$I$5491-Sens!$I$5493</f>
        <v>186.097493615879</v>
      </c>
      <c r="J5597" s="38" t="n">
        <f aca="false">Sens!$J$5491-Sens!$J$5493</f>
        <v>199.117932780497</v>
      </c>
      <c r="K5597" s="38" t="n">
        <f aca="false">Sens!$K$5491-Sens!$K$5493</f>
        <v>210.70928698363</v>
      </c>
      <c r="L5597" s="38" t="n">
        <f aca="false">Sens!$L$5491-Sens!$L$5493</f>
        <v>223.000532251316</v>
      </c>
      <c r="M5597" s="38" t="n">
        <f aca="false">Sens!$M$5491-Sens!$M$5493</f>
        <v>236.035261011339</v>
      </c>
      <c r="N5597" s="38" t="n">
        <f aca="false">Sens!$N$5491-Sens!$N$5493</f>
        <v>62.3677111412496</v>
      </c>
      <c r="O5597" s="38" t="n">
        <f aca="false">Sens!$O$5491-Sens!$O$5493</f>
        <v>80.6189463642798</v>
      </c>
    </row>
    <row r="5598" customFormat="false" ht="17.15" hidden="false" customHeight="false" outlineLevel="0" collapsed="false">
      <c r="A5598" s="0" t="s">
        <v>739</v>
      </c>
      <c r="B5598" s="0" t="s">
        <v>86</v>
      </c>
      <c r="C5598" s="38" t="n">
        <f aca="false">Sens!$C$5544*(1-Sens!$C$5489)</f>
        <v>0.0455891896019953</v>
      </c>
      <c r="D5598" s="38" t="n">
        <f aca="false">Sens!$D$5544*(1-Sens!$D$5489)</f>
        <v>0.227931791705753</v>
      </c>
      <c r="E5598" s="38" t="n">
        <f aca="false">Sens!$E$5544*(1-Sens!$E$5489)</f>
        <v>0.412460434890711</v>
      </c>
      <c r="F5598" s="38" t="n">
        <f aca="false">Sens!$F$5544*(1-Sens!$F$5489)</f>
        <v>0.524534016233997</v>
      </c>
      <c r="G5598" s="38" t="n">
        <f aca="false">Sens!$G$5544*(1-Sens!$G$5489)</f>
        <v>0.936474095312266</v>
      </c>
      <c r="H5598" s="38" t="n">
        <f aca="false">Sens!$H$5544*(1-Sens!$H$5489)</f>
        <v>2.54003589327823</v>
      </c>
      <c r="I5598" s="38" t="n">
        <f aca="false">Sens!$I$5544*(1-Sens!$I$5489)</f>
        <v>4.88320120852905</v>
      </c>
      <c r="J5598" s="38" t="n">
        <f aca="false">Sens!$J$5544*(1-Sens!$J$5489)</f>
        <v>7.05069548920359</v>
      </c>
      <c r="K5598" s="38" t="n">
        <f aca="false">Sens!$K$5544*(1-Sens!$K$5489)</f>
        <v>9.17200258193867</v>
      </c>
      <c r="L5598" s="38" t="n">
        <f aca="false">Sens!$L$5544*(1-Sens!$L$5489)</f>
        <v>10.6414216154535</v>
      </c>
      <c r="M5598" s="38" t="n">
        <f aca="false">Sens!$M$5544*(1-Sens!$M$5489)</f>
        <v>11.4538831951485</v>
      </c>
      <c r="N5598" s="38" t="n">
        <f aca="false">Sens!$N$5544*(1-Sens!$N$5489)</f>
        <v>0.0912435878202994</v>
      </c>
      <c r="O5598" s="38" t="n">
        <f aca="false">Sens!$O$5544*(1-Sens!$O$5489)</f>
        <v>0.137119578309265</v>
      </c>
    </row>
    <row r="5599" customFormat="false" ht="17.15" hidden="false" customHeight="false" outlineLevel="0" collapsed="false">
      <c r="A5599" s="0" t="s">
        <v>740</v>
      </c>
      <c r="B5599" s="0" t="s">
        <v>52</v>
      </c>
      <c r="C5599" s="28" t="n">
        <f aca="false">(Sens!$C$5600-Sens!$C$5596+Sens!$C$5598)/Sens!$C$5597</f>
        <v>-0.0292364215826579</v>
      </c>
      <c r="D5599" s="28" t="n">
        <f aca="false">(Sens!$D$5600-Sens!$D$5596+Sens!$D$5598)/Sens!$D$5597</f>
        <v>-0.0312406216748665</v>
      </c>
      <c r="E5599" s="28" t="n">
        <f aca="false">(Sens!$E$5600-Sens!$E$5596+Sens!$E$5598)/Sens!$E$5597</f>
        <v>-0.0204459413185552</v>
      </c>
      <c r="F5599" s="28" t="n">
        <f aca="false">Sens!$O$5599+(Sens!$E$5599-Sens!$N$5599)</f>
        <v>-0.0375409290246314</v>
      </c>
      <c r="G5599" s="28" t="n">
        <f aca="false">(Sens!$G$5600-Sens!$G$5596+Sens!$G$5598)/Sens!$G$5597</f>
        <v>-0.0296712560031684</v>
      </c>
      <c r="H5599" s="28" t="n">
        <f aca="false">Sens!$G$5599+step_in</f>
        <v>-0.0296712560031684</v>
      </c>
      <c r="I5599" s="28" t="n">
        <f aca="false">Sens!$H$5599+step_in</f>
        <v>-0.0296712560031684</v>
      </c>
      <c r="J5599" s="28" t="n">
        <f aca="false">Sens!$I$5599+step_in</f>
        <v>-0.0296712560031684</v>
      </c>
      <c r="K5599" s="28" t="n">
        <f aca="false">Sens!$J$5599+step_in</f>
        <v>-0.0296712560031684</v>
      </c>
      <c r="L5599" s="28" t="n">
        <f aca="false">Sens!$K$5599</f>
        <v>-0.0296712560031684</v>
      </c>
      <c r="M5599" s="28" t="n">
        <f aca="false">Sens!$L$5599</f>
        <v>-0.0296712560031684</v>
      </c>
      <c r="N5599" s="28" t="n">
        <f aca="false">(Sens!$N$5600-Sens!$N$5596+Sens!$N$5598)/Sens!$N$5597</f>
        <v>-0.0216602600421776</v>
      </c>
      <c r="O5599" s="28" t="n">
        <f aca="false">(Sens!$O$5600-Sens!$O$5596+Sens!$O$5598)/Sens!$O$5597</f>
        <v>-0.0387552477482538</v>
      </c>
      <c r="P5599" s="8" t="s">
        <v>735</v>
      </c>
    </row>
    <row r="5600" customFormat="false" ht="17.15" hidden="false" customHeight="false" outlineLevel="0" collapsed="false">
      <c r="A5600" s="1" t="s">
        <v>741</v>
      </c>
      <c r="B5600" s="8" t="s">
        <v>86</v>
      </c>
      <c r="C5600" s="38" t="n">
        <f aca="false">Q!$D$23</f>
        <v>3.792</v>
      </c>
      <c r="D5600" s="38" t="n">
        <f aca="false">Q!$E$23</f>
        <v>4.75</v>
      </c>
      <c r="E5600" s="38" t="n">
        <f aca="false">Q!$P$23</f>
        <v>3.141</v>
      </c>
      <c r="F5600" s="38" t="n">
        <f aca="false">Sens!$F$5596+Sens!$F$5597*Sens!$F$5599-Sens!$F$5598</f>
        <v>2.77628975993721</v>
      </c>
      <c r="G5600" s="38" t="n">
        <f aca="false">Sens!$E$5600+Sens!$F$5600</f>
        <v>5.91728975993721</v>
      </c>
      <c r="H5600" s="38" t="n">
        <f aca="false">Sens!$H$5596+Sens!$H$5597*Sens!$H$5599-Sens!$H$5598</f>
        <v>6.18860052573681</v>
      </c>
      <c r="I5600" s="38" t="n">
        <f aca="false">Sens!$I$5596+Sens!$I$5597*Sens!$I$5599-Sens!$I$5598</f>
        <v>5.73906974139474</v>
      </c>
      <c r="J5600" s="38" t="n">
        <f aca="false">Sens!$J$5596+Sens!$J$5597*Sens!$J$5599-Sens!$J$5598</f>
        <v>5.34074393695119</v>
      </c>
      <c r="K5600" s="38" t="n">
        <f aca="false">Sens!$K$5596+Sens!$K$5597*Sens!$K$5599-Sens!$K$5598</f>
        <v>4.7054586646822</v>
      </c>
      <c r="L5600" s="38" t="n">
        <f aca="false">Sens!$L$5596+Sens!$L$5597*Sens!$L$5599-Sens!$L$5598</f>
        <v>4.88428999052786</v>
      </c>
      <c r="M5600" s="38" t="n">
        <f aca="false">Sens!$M$5596+Sens!$M$5597*Sens!$M$5599-Sens!$M$5598</f>
        <v>5.89931338558769</v>
      </c>
      <c r="N5600" s="38" t="n">
        <f aca="false">Q!$N$23</f>
        <v>2.511</v>
      </c>
      <c r="O5600" s="38" t="n">
        <f aca="false">Q!$O$23</f>
        <v>2.239</v>
      </c>
    </row>
    <row r="5601" customFormat="false" ht="17.15" hidden="false" customHeight="false" outlineLevel="0" collapsed="false">
      <c r="A5601" s="0" t="s">
        <v>742</v>
      </c>
      <c r="B5601" s="0" t="s">
        <v>86</v>
      </c>
      <c r="C5601" s="38" t="n">
        <f aca="false">Sens!$C$5541</f>
        <v>1.64417882953695</v>
      </c>
      <c r="D5601" s="38" t="n">
        <f aca="false">Sens!$D$5541</f>
        <v>5.39125073772939</v>
      </c>
      <c r="E5601" s="38" t="n">
        <f aca="false">Sens!$E$5541</f>
        <v>2.42691120599613</v>
      </c>
      <c r="F5601" s="38" t="n">
        <f aca="false">Sens!$F$5541</f>
        <v>7.52148563094346</v>
      </c>
      <c r="G5601" s="38" t="n">
        <f aca="false">Sens!$G$5541</f>
        <v>9.94839683693959</v>
      </c>
      <c r="H5601" s="38" t="n">
        <f aca="false">Sens!$H$5541</f>
        <v>23.4804386990861</v>
      </c>
      <c r="I5601" s="38" t="n">
        <f aca="false">Sens!$I$5541</f>
        <v>30.9761745989143</v>
      </c>
      <c r="J5601" s="38" t="n">
        <f aca="false">Sens!$J$5541</f>
        <v>41.1930070746977</v>
      </c>
      <c r="K5601" s="38" t="n">
        <f aca="false">Sens!$K$5541</f>
        <v>45.9779211159428</v>
      </c>
      <c r="L5601" s="38" t="n">
        <f aca="false">Sens!$L$5541</f>
        <v>48.0352490919424</v>
      </c>
      <c r="M5601" s="38" t="n">
        <f aca="false">Sens!$M$5541</f>
        <v>47.4082976573265</v>
      </c>
      <c r="N5601" s="38" t="n">
        <f aca="false">Sens!$N$5541</f>
        <v>1.67921600037079</v>
      </c>
      <c r="O5601" s="38" t="n">
        <f aca="false">Sens!$O$5541</f>
        <v>3.71203473735861</v>
      </c>
    </row>
    <row r="5602" customFormat="false" ht="17.15" hidden="false" customHeight="false" outlineLevel="0" collapsed="false">
      <c r="A5602" s="0" t="s">
        <v>660</v>
      </c>
      <c r="B5602" s="0" t="s">
        <v>86</v>
      </c>
      <c r="C5602" s="38" t="n">
        <f aca="false">Sens!$C$5546</f>
        <v>38.1898211704631</v>
      </c>
      <c r="D5602" s="38" t="n">
        <f aca="false">Sens!$D$5546</f>
        <v>40.2147492622706</v>
      </c>
      <c r="E5602" s="38" t="n">
        <f aca="false">Sens!$E$5546</f>
        <v>28.3550887940039</v>
      </c>
      <c r="F5602" s="38" t="n">
        <f aca="false">Sens!$F$5546</f>
        <v>25.9529793149447</v>
      </c>
      <c r="G5602" s="38" t="n">
        <f aca="false">Sens!$G$5546</f>
        <v>54.3080681089486</v>
      </c>
      <c r="H5602" s="38" t="n">
        <f aca="false">Sens!$H$5546</f>
        <v>58.2264684589333</v>
      </c>
      <c r="I5602" s="38" t="n">
        <f aca="false">Sens!$I$5546</f>
        <v>64.6461353851744</v>
      </c>
      <c r="J5602" s="38" t="n">
        <f aca="false">Sens!$J$5546</f>
        <v>70.7957093610231</v>
      </c>
      <c r="K5602" s="38" t="n">
        <f aca="false">Sens!$K$5546</f>
        <v>76.4593661099049</v>
      </c>
      <c r="L5602" s="38" t="n">
        <f aca="false">Sens!$L$5546</f>
        <v>82.5761153986973</v>
      </c>
      <c r="M5602" s="38" t="n">
        <f aca="false">Sens!$M$5546</f>
        <v>89.1822046305931</v>
      </c>
      <c r="N5602" s="38" t="n">
        <f aca="false">Sens!$N$5546</f>
        <v>20.0277839996292</v>
      </c>
      <c r="O5602" s="38" t="n">
        <f aca="false">Sens!$O$5546</f>
        <v>20.1869652626414</v>
      </c>
    </row>
    <row r="5603" customFormat="false" ht="17.15" hidden="false" customHeight="false" outlineLevel="0" collapsed="false">
      <c r="A5603" s="1" t="s">
        <v>743</v>
      </c>
      <c r="B5603" s="8" t="s">
        <v>86</v>
      </c>
      <c r="C5603" s="38" t="n">
        <f aca="false">Q!$D$24</f>
        <v>39.834</v>
      </c>
      <c r="D5603" s="38" t="n">
        <f aca="false">Q!$E$24</f>
        <v>45.606</v>
      </c>
      <c r="E5603" s="38" t="n">
        <f aca="false">Q!$P$24</f>
        <v>30.782</v>
      </c>
      <c r="F5603" s="38" t="n">
        <f aca="false">Sens!$F$5601+Sens!$F$5602</f>
        <v>33.4744649458882</v>
      </c>
      <c r="G5603" s="38" t="n">
        <f aca="false">Sens!$G$5601+Sens!$G$5602</f>
        <v>64.2564649458882</v>
      </c>
      <c r="H5603" s="38" t="n">
        <f aca="false">Sens!$H$5601+Sens!$H$5602</f>
        <v>81.7069071580194</v>
      </c>
      <c r="I5603" s="38" t="n">
        <f aca="false">Sens!$I$5601+Sens!$I$5602</f>
        <v>95.6223099840887</v>
      </c>
      <c r="J5603" s="38" t="n">
        <f aca="false">Sens!$J$5601+Sens!$J$5602</f>
        <v>111.988716435721</v>
      </c>
      <c r="K5603" s="38" t="n">
        <f aca="false">Sens!$K$5601+Sens!$K$5602</f>
        <v>122.437287225848</v>
      </c>
      <c r="L5603" s="38" t="n">
        <f aca="false">Sens!$L$5601+Sens!$L$5602</f>
        <v>130.61136449064</v>
      </c>
      <c r="M5603" s="38" t="n">
        <f aca="false">Sens!$M$5601+Sens!$M$5602</f>
        <v>136.59050228792</v>
      </c>
      <c r="N5603" s="38" t="n">
        <f aca="false">Q!$N$24</f>
        <v>21.707</v>
      </c>
      <c r="O5603" s="38" t="n">
        <f aca="false">Q!$O$24</f>
        <v>23.899</v>
      </c>
    </row>
    <row r="5604" customFormat="false" ht="17.15" hidden="false" customHeight="false" outlineLevel="0" collapsed="false">
      <c r="A5604" s="5" t="s">
        <v>744</v>
      </c>
      <c r="B5604" s="0" t="s">
        <v>86</v>
      </c>
      <c r="C5604" s="38" t="n">
        <f aca="false">Q!$D$26</f>
        <v>0</v>
      </c>
      <c r="D5604" s="38" t="n">
        <f aca="false">Q!$E$26</f>
        <v>0</v>
      </c>
      <c r="E5604" s="38" t="n">
        <f aca="false">Q!$P$26</f>
        <v>0</v>
      </c>
      <c r="F5604" s="39" t="n">
        <v>0</v>
      </c>
      <c r="G5604" s="38" t="n">
        <f aca="false">Sens!$E$5604+Sens!$F$5604</f>
        <v>0</v>
      </c>
      <c r="H5604" s="39" t="n">
        <v>0</v>
      </c>
      <c r="I5604" s="39" t="n">
        <v>0</v>
      </c>
      <c r="J5604" s="39" t="n">
        <v>0</v>
      </c>
      <c r="K5604" s="39" t="n">
        <v>0</v>
      </c>
      <c r="L5604" s="39" t="n">
        <v>0</v>
      </c>
      <c r="M5604" s="39" t="n">
        <v>0</v>
      </c>
      <c r="N5604" s="38" t="n">
        <f aca="false">Q!$N$26</f>
        <v>0</v>
      </c>
      <c r="O5604" s="38" t="n">
        <f aca="false">Q!$O$26</f>
        <v>0</v>
      </c>
    </row>
    <row r="5605" customFormat="false" ht="15" hidden="false" customHeight="false" outlineLevel="0" collapsed="false">
      <c r="A5605" s="3" t="s">
        <v>541</v>
      </c>
      <c r="B5605" s="8" t="s">
        <v>86</v>
      </c>
      <c r="C5605" s="38" t="n">
        <f aca="false">Q!$D$25</f>
        <v>68.593</v>
      </c>
      <c r="D5605" s="38" t="n">
        <f aca="false">Q!$E$25</f>
        <v>79.975</v>
      </c>
      <c r="E5605" s="38" t="n">
        <f aca="false">Q!$P$25</f>
        <v>51.313</v>
      </c>
      <c r="F5605" s="38" t="n">
        <f aca="false">Sens!$F$5595+Sens!$F$5600+Sens!$F$5603+Sens!$F$5604</f>
        <v>56.3652566987294</v>
      </c>
      <c r="G5605" s="38" t="n">
        <f aca="false">Sens!$G$5595+Sens!$G$5600+Sens!$G$5603+Sens!$G$5604</f>
        <v>107.678256698729</v>
      </c>
      <c r="H5605" s="38" t="n">
        <f aca="false">Sens!$H$5595+Sens!$H$5600+Sens!$H$5603+Sens!$H$5604</f>
        <v>129.515456870266</v>
      </c>
      <c r="I5605" s="38" t="n">
        <f aca="false">Sens!$I$5595+Sens!$I$5600+Sens!$I$5603+Sens!$I$5604</f>
        <v>145.345387082626</v>
      </c>
      <c r="J5605" s="38" t="n">
        <f aca="false">Sens!$J$5595+Sens!$J$5600+Sens!$J$5603+Sens!$J$5604</f>
        <v>163.862141869716</v>
      </c>
      <c r="K5605" s="38" t="n">
        <f aca="false">Sens!$K$5595+Sens!$K$5600+Sens!$K$5603+Sens!$K$5604</f>
        <v>175.564332634303</v>
      </c>
      <c r="L5605" s="38" t="n">
        <f aca="false">Sens!$L$5595+Sens!$L$5600+Sens!$L$5603+Sens!$L$5604</f>
        <v>186.492086157384</v>
      </c>
      <c r="M5605" s="38" t="n">
        <f aca="false">Sens!$M$5595+Sens!$M$5600+Sens!$M$5603+Sens!$M$5604</f>
        <v>198.371665638452</v>
      </c>
      <c r="N5605" s="38" t="n">
        <f aca="false">Q!$N$25</f>
        <v>37.576</v>
      </c>
      <c r="O5605" s="38" t="n">
        <f aca="false">Q!$O$25</f>
        <v>42.399</v>
      </c>
    </row>
    <row r="5606" customFormat="false" ht="17.15" hidden="false" customHeight="false" outlineLevel="0" collapsed="false">
      <c r="A5606" s="24" t="s">
        <v>775</v>
      </c>
      <c r="B5606" s="25" t="s">
        <v>86</v>
      </c>
      <c r="C5606" s="41" t="n">
        <f aca="false">Sens!$C$5595+Sens!$C$5600+Sens!$C$5603+Sens!$C$5604-Sens!$C$5605</f>
        <v>0</v>
      </c>
      <c r="D5606" s="41" t="n">
        <f aca="false">Sens!$D$5595+Sens!$D$5600+Sens!$D$5603+Sens!$D$5604-Sens!$D$5605</f>
        <v>0</v>
      </c>
      <c r="E5606" s="41" t="n">
        <f aca="false">Sens!$E$5595+Sens!$E$5600+Sens!$E$5603+Sens!$E$5604-Sens!$E$5605</f>
        <v>0</v>
      </c>
      <c r="F5606" s="41" t="n">
        <f aca="false">Sens!$F$5595+Sens!$F$5600+Sens!$F$5603+Sens!$F$5604-Sens!$F$5605</f>
        <v>0</v>
      </c>
      <c r="G5606" s="41" t="n">
        <f aca="false">Sens!$G$5595+Sens!$G$5600+Sens!$G$5603+Sens!$G$5604-Sens!$G$5605</f>
        <v>0</v>
      </c>
      <c r="H5606" s="41" t="n">
        <f aca="false">Sens!$H$5595+Sens!$H$5600+Sens!$H$5603+Sens!$H$5604-Sens!$H$5605</f>
        <v>0</v>
      </c>
      <c r="I5606" s="41" t="n">
        <f aca="false">Sens!$I$5595+Sens!$I$5600+Sens!$I$5603+Sens!$I$5604-Sens!$I$5605</f>
        <v>0</v>
      </c>
      <c r="J5606" s="41" t="n">
        <f aca="false">Sens!$J$5595+Sens!$J$5600+Sens!$J$5603+Sens!$J$5604-Sens!$J$5605</f>
        <v>0</v>
      </c>
      <c r="K5606" s="41" t="n">
        <f aca="false">Sens!$K$5595+Sens!$K$5600+Sens!$K$5603+Sens!$K$5604-Sens!$K$5605</f>
        <v>0</v>
      </c>
      <c r="L5606" s="41" t="n">
        <f aca="false">Sens!$L$5595+Sens!$L$5600+Sens!$L$5603+Sens!$L$5604-Sens!$L$5605</f>
        <v>0</v>
      </c>
      <c r="M5606" s="41" t="n">
        <f aca="false">Sens!$M$5595+Sens!$M$5600+Sens!$M$5603+Sens!$M$5604-Sens!$M$5605</f>
        <v>0</v>
      </c>
      <c r="N5606" s="41" t="n">
        <f aca="false">Sens!$N$5595+Sens!$N$5600+Sens!$N$5603+Sens!$N$5604-Sens!$N$5605</f>
        <v>0</v>
      </c>
      <c r="O5606" s="41" t="n">
        <f aca="false">Sens!$O$5595+Sens!$O$5600+Sens!$O$5603+Sens!$O$5604-Sens!$O$5605</f>
        <v>0</v>
      </c>
    </row>
    <row r="5607" customFormat="false" ht="17.15" hidden="false" customHeight="false" outlineLevel="0" collapsed="false">
      <c r="A5607" s="5" t="s">
        <v>746</v>
      </c>
      <c r="B5607" s="0" t="s">
        <v>86</v>
      </c>
      <c r="C5607" s="38" t="n">
        <f aca="false">Sens!$C$5543</f>
        <v>0</v>
      </c>
      <c r="D5607" s="38" t="n">
        <f aca="false">Sens!$D$5543</f>
        <v>0</v>
      </c>
      <c r="E5607" s="38" t="n">
        <f aca="false">Sens!$E$5543</f>
        <v>0</v>
      </c>
      <c r="F5607" s="38" t="n">
        <f aca="false">Sens!$F$5543</f>
        <v>3.77122048175818</v>
      </c>
      <c r="G5607" s="38" t="n">
        <f aca="false">Sens!$G$5543</f>
        <v>3.77122048175818</v>
      </c>
      <c r="H5607" s="38" t="n">
        <f aca="false">Sens!$H$5543</f>
        <v>15.1635543609893</v>
      </c>
      <c r="I5607" s="38" t="n">
        <f aca="false">Sens!$I$5543</f>
        <v>25.5818843619889</v>
      </c>
      <c r="J5607" s="38" t="n">
        <f aca="false">Sens!$J$5543</f>
        <v>36.0465624179122</v>
      </c>
      <c r="K5607" s="38" t="n">
        <f aca="false">Sens!$K$5543</f>
        <v>44.9741164026038</v>
      </c>
      <c r="L5607" s="38" t="n">
        <f aca="false">Sens!$L$5543</f>
        <v>50.8413488057813</v>
      </c>
      <c r="M5607" s="38" t="n">
        <f aca="false">Sens!$M$5543</f>
        <v>53.6407214274315</v>
      </c>
      <c r="N5607" s="38" t="n">
        <f aca="false">Sens!$N$5543</f>
        <v>0</v>
      </c>
      <c r="O5607" s="38" t="n">
        <f aca="false">Sens!$O$5543</f>
        <v>0</v>
      </c>
      <c r="P5607" s="5" t="s">
        <v>747</v>
      </c>
    </row>
    <row r="5608" customFormat="false" ht="17.15" hidden="false" customHeight="false" outlineLevel="0" collapsed="false">
      <c r="A5608" s="5" t="s">
        <v>748</v>
      </c>
      <c r="B5608" s="0" t="s">
        <v>86</v>
      </c>
      <c r="C5608" s="38" t="n">
        <f aca="false">Sens!$C$5605+Sens!$C$5607</f>
        <v>68.593</v>
      </c>
      <c r="D5608" s="38" t="n">
        <f aca="false">Sens!$D$5605+Sens!$D$5607</f>
        <v>79.975</v>
      </c>
      <c r="E5608" s="38" t="n">
        <f aca="false">Sens!$E$5605+Sens!$E$5607</f>
        <v>51.313</v>
      </c>
      <c r="F5608" s="38" t="n">
        <f aca="false">Sens!$F$5605+Sens!$F$5607</f>
        <v>60.1364771804876</v>
      </c>
      <c r="G5608" s="38" t="n">
        <f aca="false">Sens!$G$5605+Sens!$G$5607</f>
        <v>111.449477180488</v>
      </c>
      <c r="H5608" s="38" t="n">
        <f aca="false">Sens!$H$5605+Sens!$H$5607</f>
        <v>144.679011231256</v>
      </c>
      <c r="I5608" s="38" t="n">
        <f aca="false">Sens!$I$5605+Sens!$I$5607</f>
        <v>170.927271444615</v>
      </c>
      <c r="J5608" s="38" t="n">
        <f aca="false">Sens!$J$5605+Sens!$J$5607</f>
        <v>199.908704287628</v>
      </c>
      <c r="K5608" s="38" t="n">
        <f aca="false">Sens!$K$5605+Sens!$K$5607</f>
        <v>220.538449036907</v>
      </c>
      <c r="L5608" s="38" t="n">
        <f aca="false">Sens!$L$5605+Sens!$L$5607</f>
        <v>237.333434963166</v>
      </c>
      <c r="M5608" s="38" t="n">
        <f aca="false">Sens!$M$5605+Sens!$M$5607</f>
        <v>252.012387065883</v>
      </c>
      <c r="N5608" s="38" t="n">
        <f aca="false">Sens!$N$5605+Sens!$N$5607</f>
        <v>37.576</v>
      </c>
      <c r="O5608" s="38" t="n">
        <f aca="false">Sens!$O$5605+Sens!$O$5607</f>
        <v>42.399</v>
      </c>
    </row>
    <row r="5609" customFormat="false" ht="17.15" hidden="false" customHeight="false" outlineLevel="0" collapsed="false">
      <c r="A5609" s="0" t="s">
        <v>749</v>
      </c>
      <c r="B5609" s="0" t="s">
        <v>52</v>
      </c>
      <c r="C5609" s="13" t="n">
        <f aca="false">Sens!$C$5595/Sens!$C$5580</f>
        <v>0.0644314665661928</v>
      </c>
      <c r="D5609" s="13" t="n">
        <f aca="false">Sens!$D$5595/Sens!$D$5580</f>
        <v>0.0694784250712518</v>
      </c>
      <c r="E5609" s="13" t="n">
        <f aca="false">Sens!$E$5595/Sens!$E$5580</f>
        <v>0.0789306463326071</v>
      </c>
      <c r="F5609" s="13" t="n">
        <f aca="false">Sens!$F$5595/Sens!$F$5580</f>
        <v>0.0802526339438384</v>
      </c>
      <c r="G5609" s="13" t="n">
        <f aca="false">Sens!$G$5595/Sens!$G$5580</f>
        <v>0.0796341940538369</v>
      </c>
      <c r="H5609" s="13" t="n">
        <f aca="false">Sens!$H$5595/Sens!$H$5580</f>
        <v>0.0798254462645258</v>
      </c>
      <c r="I5609" s="13" t="n">
        <f aca="false">Sens!$I$5595/Sens!$I$5580</f>
        <v>0.0771454543672196</v>
      </c>
      <c r="J5609" s="13" t="n">
        <f aca="false">Sens!$J$5595/Sens!$J$5580</f>
        <v>0.0756147693819656</v>
      </c>
      <c r="K5609" s="13" t="n">
        <f aca="false">Sens!$K$5595/Sens!$K$5580</f>
        <v>0.0739025926520816</v>
      </c>
      <c r="L5609" s="13" t="n">
        <f aca="false">Sens!$L$5595/Sens!$L$5580</f>
        <v>0.0730809201558074</v>
      </c>
      <c r="M5609" s="13" t="n">
        <f aca="false">Sens!$M$5595/Sens!$M$5580</f>
        <v>0.0751707027775199</v>
      </c>
      <c r="N5609" s="13" t="n">
        <f aca="false">Sens!$N$5595/Sens!$N$5580</f>
        <v>0.069228576611127</v>
      </c>
      <c r="O5609" s="13" t="n">
        <f aca="false">Sens!$O$5595/Sens!$O$5580</f>
        <v>0.069685022498393</v>
      </c>
    </row>
    <row r="5610" customFormat="false" ht="17.15" hidden="false" customHeight="false" outlineLevel="0" collapsed="false">
      <c r="A5610" s="0" t="s">
        <v>750</v>
      </c>
      <c r="B5610" s="0" t="s">
        <v>52</v>
      </c>
      <c r="C5610" s="13" t="n">
        <f aca="false">Sens!$C$5600/Sens!$C$5581</f>
        <v>0.026534925055631</v>
      </c>
      <c r="D5610" s="13" t="n">
        <f aca="false">Sens!$D$5600/Sens!$D$5581</f>
        <v>0.0293401855535103</v>
      </c>
      <c r="E5610" s="13" t="n">
        <f aca="false">Sens!$E$5600/Sens!$E$5581</f>
        <v>0.03831141902276</v>
      </c>
      <c r="F5610" s="13" t="n">
        <f aca="false">Sens!$F$5600/Sens!$F$5581</f>
        <v>0.0282118989524726</v>
      </c>
      <c r="G5610" s="13" t="n">
        <f aca="false">Sens!$G$5600/Sens!$G$5581</f>
        <v>0.0328019468674976</v>
      </c>
      <c r="H5610" s="13" t="n">
        <f aca="false">Sens!$H$5600/Sens!$H$5581</f>
        <v>0.0309879507899839</v>
      </c>
      <c r="I5610" s="13" t="n">
        <f aca="false">Sens!$I$5600/Sens!$I$5581</f>
        <v>0.0262795332043765</v>
      </c>
      <c r="J5610" s="13" t="n">
        <f aca="false">Sens!$J$5600/Sens!$J$5581</f>
        <v>0.0226574435353346</v>
      </c>
      <c r="K5610" s="13" t="n">
        <f aca="false">Sens!$K$5600/Sens!$K$5581</f>
        <v>0.0187492205871101</v>
      </c>
      <c r="L5610" s="13" t="n">
        <f aca="false">Sens!$L$5600/Sens!$L$5581</f>
        <v>0.018273690180732</v>
      </c>
      <c r="M5610" s="13" t="n">
        <f aca="false">Sens!$M$5600/Sens!$M$5581</f>
        <v>0.0207176218272716</v>
      </c>
      <c r="N5610" s="13" t="n">
        <f aca="false">Sens!$N$5600/Sens!$N$5581</f>
        <v>0.0357315650169337</v>
      </c>
      <c r="O5610" s="13" t="n">
        <f aca="false">Sens!$O$5600/Sens!$O$5581</f>
        <v>0.0244378956559703</v>
      </c>
    </row>
    <row r="5611" customFormat="false" ht="17.15" hidden="false" customHeight="false" outlineLevel="0" collapsed="false">
      <c r="A5611" s="14" t="s">
        <v>751</v>
      </c>
      <c r="B5611" s="14" t="s">
        <v>52</v>
      </c>
      <c r="C5611" s="17" t="n">
        <f aca="false">Sens!$C$5603/Sens!$C$5582</f>
        <v>0.370355907620217</v>
      </c>
      <c r="D5611" s="17" t="n">
        <f aca="false">Sens!$D$5603/Sens!$D$5582</f>
        <v>0.35429015342785</v>
      </c>
      <c r="E5611" s="17" t="n">
        <f aca="false">Sens!$E$5603/Sens!$E$5582</f>
        <v>0.385647527531039</v>
      </c>
      <c r="F5611" s="17" t="n">
        <f aca="false">Sens!$F$5603/Sens!$F$5582</f>
        <v>0.385949613469105</v>
      </c>
      <c r="G5611" s="17" t="n">
        <f aca="false">Sens!$G$5603/Sens!$G$5582</f>
        <v>0.385804840448779</v>
      </c>
      <c r="H5611" s="17" t="n">
        <f aca="false">Sens!$H$5603/Sens!$H$5582</f>
        <v>0.369408675360557</v>
      </c>
      <c r="I5611" s="17" t="n">
        <f aca="false">Sens!$I$5603/Sens!$I$5582</f>
        <v>0.34117504540738</v>
      </c>
      <c r="J5611" s="17" t="n">
        <f aca="false">Sens!$J$5603/Sens!$J$5582</f>
        <v>0.330544285732563</v>
      </c>
      <c r="K5611" s="17" t="n">
        <f aca="false">Sens!$K$5603/Sens!$K$5582</f>
        <v>0.314033796990635</v>
      </c>
      <c r="L5611" s="17" t="n">
        <f aca="false">Sens!$L$5603/Sens!$L$5582</f>
        <v>0.303690371867633</v>
      </c>
      <c r="M5611" s="17" t="n">
        <f aca="false">Sens!$M$5603/Sens!$M$5582</f>
        <v>0.297287296590884</v>
      </c>
      <c r="N5611" s="17" t="n">
        <f aca="false">Sens!$N$5603/Sens!$N$5582</f>
        <v>0.360941137346192</v>
      </c>
      <c r="O5611" s="17" t="n">
        <f aca="false">Sens!$O$5603/Sens!$O$5582</f>
        <v>0.348458117664212</v>
      </c>
    </row>
    <row r="5612" customFormat="false" ht="17.15" hidden="false" customHeight="false" outlineLevel="0" collapsed="false">
      <c r="A5612" s="0" t="s">
        <v>752</v>
      </c>
      <c r="B5612" s="0" t="s">
        <v>52</v>
      </c>
      <c r="C5612" s="13" t="n">
        <f aca="false">Sens!$C$5601/Sens!$C$5583</f>
        <v>0.708390794789371</v>
      </c>
      <c r="D5612" s="13" t="n">
        <f aca="false">Sens!$D$5601/Sens!$D$5583</f>
        <v>0.619415573115729</v>
      </c>
      <c r="E5612" s="13" t="n">
        <f aca="false">Sens!$E$5601/Sens!$E$5583</f>
        <v>0.285171627189009</v>
      </c>
      <c r="F5612" s="13" t="n">
        <f aca="false">Sens!$F$5601/Sens!$F$5583</f>
        <v>0.502657732812366</v>
      </c>
      <c r="G5612" s="13" t="n">
        <f aca="false">Sens!$G$5601/Sens!$G$5583</f>
        <v>0.423808778611812</v>
      </c>
      <c r="H5612" s="13" t="n">
        <f aca="false">Sens!$H$5601/Sens!$H$5583</f>
        <v>0.390261631739809</v>
      </c>
      <c r="I5612" s="13" t="n">
        <f aca="false">Sens!$I$5601/Sens!$I$5583</f>
        <v>0.305172864264572</v>
      </c>
      <c r="J5612" s="13" t="n">
        <f aca="false">Sens!$J$5601/Sens!$J$5583</f>
        <v>0.288011814789856</v>
      </c>
      <c r="K5612" s="13" t="n">
        <f aca="false">Sens!$K$5601/Sens!$K$5583</f>
        <v>0.25765427518774</v>
      </c>
      <c r="L5612" s="13" t="n">
        <f aca="false">Sens!$L$5601/Sens!$L$5583</f>
        <v>0.238118778012374</v>
      </c>
      <c r="M5612" s="13" t="n">
        <f aca="false">Sens!$M$5601/Sens!$M$5583</f>
        <v>0.222746255757109</v>
      </c>
      <c r="N5612" s="13" t="n">
        <f aca="false">Sens!$N$5601/Sens!$N$5583</f>
        <v>0.551227795793364</v>
      </c>
      <c r="O5612" s="13" t="n">
        <f aca="false">Sens!$O$5601/Sens!$O$5583</f>
        <v>0.656132068597002</v>
      </c>
    </row>
    <row r="5613" customFormat="false" ht="15" hidden="false" customHeight="false" outlineLevel="0" collapsed="false">
      <c r="A5613" s="5" t="s">
        <v>753</v>
      </c>
      <c r="B5613" s="0" t="s">
        <v>52</v>
      </c>
      <c r="C5613" s="13" t="n">
        <f aca="false">Sens!$C$5605/Sens!$C$5585</f>
        <v>0.107519448742004</v>
      </c>
      <c r="D5613" s="13" t="n">
        <f aca="false">Sens!$D$5605/Sens!$D$5585</f>
        <v>0.111552967957552</v>
      </c>
      <c r="E5613" s="13" t="n">
        <f aca="false">Sens!$E$5605/Sens!$E$5585</f>
        <v>0.13428328426562</v>
      </c>
      <c r="F5613" s="13" t="n">
        <f aca="false">Sens!$F$5605/Sens!$F$5585</f>
        <v>0.129343087287827</v>
      </c>
      <c r="G5613" s="13" t="n">
        <f aca="false">Sens!$G$5605/Sens!$G$5585</f>
        <v>0.131651143259596</v>
      </c>
      <c r="H5613" s="13" t="n">
        <f aca="false">Sens!$H$5605/Sens!$H$5585</f>
        <v>0.137449034763893</v>
      </c>
      <c r="I5613" s="13" t="n">
        <f aca="false">Sens!$I$5605/Sens!$I$5585</f>
        <v>0.13598895915033</v>
      </c>
      <c r="J5613" s="13" t="n">
        <f aca="false">Sens!$J$5605/Sens!$J$5585</f>
        <v>0.137709769017663</v>
      </c>
      <c r="K5613" s="13" t="n">
        <f aca="false">Sens!$K$5605/Sens!$K$5585</f>
        <v>0.135459809314784</v>
      </c>
      <c r="L5613" s="13" t="n">
        <f aca="false">Sens!$L$5605/Sens!$L$5585</f>
        <v>0.133669430082102</v>
      </c>
      <c r="M5613" s="13" t="n">
        <f aca="false">Sens!$M$5605/Sens!$M$5585</f>
        <v>0.133349766772341</v>
      </c>
      <c r="N5613" s="13" t="n">
        <f aca="false">Sens!$N$5605/Sens!$N$5585</f>
        <v>0.116201614873411</v>
      </c>
      <c r="O5613" s="13" t="n">
        <f aca="false">Sens!$O$5605/Sens!$O$5585</f>
        <v>0.107733353660861</v>
      </c>
    </row>
    <row r="5614" customFormat="false" ht="17.15" hidden="false" customHeight="false" outlineLevel="0" collapsed="false">
      <c r="A5614" s="1" t="s">
        <v>754</v>
      </c>
    </row>
    <row r="5615" customFormat="false" ht="17.15" hidden="false" customHeight="false" outlineLevel="0" collapsed="false">
      <c r="A5615" s="5" t="s">
        <v>755</v>
      </c>
      <c r="B5615" s="0" t="s">
        <v>52</v>
      </c>
      <c r="D5615" s="28" t="n">
        <f aca="false">(Q!$E$29+Q!$E$30-(1-ext_sh)*Sens!$D$5537)/Sens!$D$5488</f>
        <v>0.0341105596409988</v>
      </c>
    </row>
    <row r="5616" customFormat="false" ht="17.15" hidden="false" customHeight="false" outlineLevel="0" collapsed="false">
      <c r="A5616" s="0" t="s">
        <v>545</v>
      </c>
      <c r="B5616" s="0" t="s">
        <v>86</v>
      </c>
      <c r="C5616" s="38" t="n">
        <f aca="false">Q!$D$29</f>
        <v>14.285</v>
      </c>
      <c r="D5616" s="38" t="n">
        <f aca="false">Q!$E$29</f>
        <v>15.503</v>
      </c>
      <c r="E5616" s="38" t="n">
        <f aca="false">Q!$P$29</f>
        <v>8.78</v>
      </c>
      <c r="F5616" s="38" t="n">
        <f aca="false">(Sens!$D$5615*Sens!$F$5488+(1-ext_sh)*Sens!$F$5537)*Sens!$F$5489</f>
        <v>9.30317620449232</v>
      </c>
      <c r="G5616" s="38" t="n">
        <f aca="false">Sens!$E$5616+Sens!$F$5616</f>
        <v>18.0831762044923</v>
      </c>
      <c r="H5616" s="38" t="n">
        <f aca="false">(Sens!$D$5615*Sens!$H$5488+(1-ext_sh)*Sens!$H$5537)*Sens!$H$5489</f>
        <v>22.1297245338482</v>
      </c>
      <c r="I5616" s="38" t="n">
        <f aca="false">(Sens!$D$5615*Sens!$I$5488+(1-ext_sh)*Sens!$I$5537)*Sens!$I$5489</f>
        <v>28.409695984391</v>
      </c>
      <c r="J5616" s="38" t="n">
        <f aca="false">(Sens!$D$5615*Sens!$J$5488+(1-ext_sh)*Sens!$J$5537)*Sens!$J$5489</f>
        <v>34.1085606174579</v>
      </c>
      <c r="K5616" s="38" t="n">
        <f aca="false">(Sens!$D$5615*Sens!$K$5488+(1-ext_sh)*Sens!$K$5537)*Sens!$K$5489</f>
        <v>39.7218983009068</v>
      </c>
      <c r="L5616" s="38" t="n">
        <f aca="false">(Sens!$D$5615*Sens!$L$5488+(1-ext_sh)*Sens!$L$5537)*Sens!$L$5489</f>
        <v>44.1680279486684</v>
      </c>
      <c r="M5616" s="38" t="n">
        <f aca="false">(Sens!$D$5615*Sens!$M$5488+(1-ext_sh)*Sens!$M$5537)*Sens!$M$5489</f>
        <v>47.4413073313286</v>
      </c>
      <c r="N5616" s="38" t="n">
        <f aca="false">Q!$N$29</f>
        <v>7.272</v>
      </c>
      <c r="O5616" s="38" t="n">
        <f aca="false">Q!$O$29</f>
        <v>8.231</v>
      </c>
    </row>
    <row r="5617" customFormat="false" ht="17.15" hidden="false" customHeight="false" outlineLevel="0" collapsed="false">
      <c r="A5617" s="0" t="s">
        <v>547</v>
      </c>
      <c r="B5617" s="0" t="s">
        <v>86</v>
      </c>
      <c r="C5617" s="38" t="n">
        <f aca="false">Q!$D$30</f>
        <v>4.462</v>
      </c>
      <c r="D5617" s="38" t="n">
        <f aca="false">Q!$E$30</f>
        <v>4.907</v>
      </c>
      <c r="E5617" s="38" t="n">
        <f aca="false">Q!$P$30</f>
        <v>2.57</v>
      </c>
      <c r="F5617" s="38" t="n">
        <f aca="false">(Sens!$D$5615*Sens!$F$5488+(1-ext_sh)*Sens!$F$5537)*(1-Sens!$F$5489)</f>
        <v>3.6526976809753</v>
      </c>
      <c r="G5617" s="38" t="n">
        <f aca="false">Sens!$E$5617+Sens!$F$5617</f>
        <v>6.2226976809753</v>
      </c>
      <c r="H5617" s="38" t="n">
        <f aca="false">(Sens!$D$5615*Sens!$H$5488+(1-ext_sh)*Sens!$H$5537)*(1-Sens!$H$5489)</f>
        <v>8.4764774248495</v>
      </c>
      <c r="I5617" s="38" t="n">
        <f aca="false">(Sens!$D$5615*Sens!$I$5488+(1-ext_sh)*Sens!$I$5537)*(1-Sens!$I$5489)</f>
        <v>10.881931507561</v>
      </c>
      <c r="J5617" s="38" t="n">
        <f aca="false">(Sens!$D$5615*Sens!$J$5488+(1-ext_sh)*Sens!$J$5537)*(1-Sens!$J$5489)</f>
        <v>13.0648008575874</v>
      </c>
      <c r="K5617" s="38" t="n">
        <f aca="false">(Sens!$D$5615*Sens!$K$5488+(1-ext_sh)*Sens!$K$5537)*(1-Sens!$K$5489)</f>
        <v>15.2149103214008</v>
      </c>
      <c r="L5617" s="38" t="n">
        <f aca="false">(Sens!$D$5615*Sens!$L$5488+(1-ext_sh)*Sens!$L$5537)*(1-Sens!$L$5489)</f>
        <v>16.9179372854085</v>
      </c>
      <c r="M5617" s="38" t="n">
        <f aca="false">(Sens!$D$5615*Sens!$M$5488+(1-ext_sh)*Sens!$M$5537)*(1-Sens!$M$5489)</f>
        <v>18.1717205735785</v>
      </c>
      <c r="N5617" s="38" t="n">
        <f aca="false">Q!$N$30</f>
        <v>2.316</v>
      </c>
      <c r="O5617" s="38" t="n">
        <f aca="false">Q!$O$30</f>
        <v>2.591</v>
      </c>
    </row>
    <row r="5618" customFormat="false" ht="17.15" hidden="false" customHeight="false" outlineLevel="0" collapsed="false">
      <c r="A5618" s="0" t="s">
        <v>548</v>
      </c>
      <c r="B5618" s="0" t="s">
        <v>86</v>
      </c>
      <c r="C5618" s="38" t="n">
        <f aca="false">Sens!$C$5549</f>
        <v>13.32</v>
      </c>
      <c r="D5618" s="38" t="n">
        <f aca="false">Sens!$D$5549</f>
        <v>21.45</v>
      </c>
      <c r="E5618" s="38" t="n">
        <f aca="false">Sens!$E$5549</f>
        <v>15.353</v>
      </c>
      <c r="F5618" s="38" t="n">
        <f aca="false">Sens!$F$5549</f>
        <v>16.1969869840094</v>
      </c>
      <c r="G5618" s="38" t="n">
        <f aca="false">Sens!$G$5549</f>
        <v>31.5499869840094</v>
      </c>
      <c r="H5618" s="38" t="n">
        <f aca="false">Sens!$H$5549</f>
        <v>50.9556213609176</v>
      </c>
      <c r="I5618" s="38" t="n">
        <f aca="false">Sens!$I$5549</f>
        <v>79.464581248252</v>
      </c>
      <c r="J5618" s="38" t="n">
        <f aca="false">Sens!$J$5549</f>
        <v>105.296127931746</v>
      </c>
      <c r="K5618" s="38" t="n">
        <f aca="false">Sens!$K$5549</f>
        <v>131.454694001511</v>
      </c>
      <c r="L5618" s="38" t="n">
        <f aca="false">Sens!$L$5549</f>
        <v>150.840456981405</v>
      </c>
      <c r="M5618" s="38" t="n">
        <f aca="false">Sens!$M$5549</f>
        <v>163.399454192999</v>
      </c>
      <c r="N5618" s="38" t="n">
        <f aca="false">Sens!$N$5549</f>
        <v>9.234</v>
      </c>
      <c r="O5618" s="38" t="n">
        <f aca="false">Sens!$O$5549</f>
        <v>12.216</v>
      </c>
    </row>
    <row r="5619" customFormat="false" ht="17.15" hidden="false" customHeight="false" outlineLevel="0" collapsed="false">
      <c r="A5619" s="5" t="s">
        <v>756</v>
      </c>
      <c r="B5619" s="0" t="s">
        <v>86</v>
      </c>
      <c r="C5619" s="38" t="n">
        <f aca="false">Sens!$C$5616+Sens!$C$5617+Sens!$C$5618</f>
        <v>32.067</v>
      </c>
      <c r="D5619" s="38" t="n">
        <f aca="false">Sens!$D$5616+Sens!$D$5617+Sens!$D$5618</f>
        <v>41.86</v>
      </c>
      <c r="E5619" s="38" t="n">
        <f aca="false">Sens!$E$5616+Sens!$E$5617+Sens!$E$5618</f>
        <v>26.703</v>
      </c>
      <c r="F5619" s="38" t="n">
        <f aca="false">Sens!$F$5616+Sens!$F$5617+Sens!$F$5618</f>
        <v>29.152860869477</v>
      </c>
      <c r="G5619" s="38" t="n">
        <f aca="false">Sens!$G$5616+Sens!$G$5617+Sens!$G$5618</f>
        <v>55.855860869477</v>
      </c>
      <c r="H5619" s="38" t="n">
        <f aca="false">Sens!$H$5616+Sens!$H$5617+Sens!$H$5618</f>
        <v>81.5618233196153</v>
      </c>
      <c r="I5619" s="38" t="n">
        <f aca="false">Sens!$I$5616+Sens!$I$5617+Sens!$I$5618</f>
        <v>118.756208740204</v>
      </c>
      <c r="J5619" s="38" t="n">
        <f aca="false">Sens!$J$5616+Sens!$J$5617+Sens!$J$5618</f>
        <v>152.469489406791</v>
      </c>
      <c r="K5619" s="38" t="n">
        <f aca="false">Sens!$K$5616+Sens!$K$5617+Sens!$K$5618</f>
        <v>186.391502623819</v>
      </c>
      <c r="L5619" s="38" t="n">
        <f aca="false">Sens!$L$5616+Sens!$L$5617+Sens!$L$5618</f>
        <v>211.926422215482</v>
      </c>
      <c r="M5619" s="38" t="n">
        <f aca="false">Sens!$M$5616+Sens!$M$5617+Sens!$M$5618</f>
        <v>229.012482097906</v>
      </c>
      <c r="N5619" s="38" t="n">
        <f aca="false">Sens!$N$5616+Sens!$N$5617+Sens!$N$5618</f>
        <v>18.822</v>
      </c>
      <c r="O5619" s="38" t="n">
        <f aca="false">Sens!$O$5616+Sens!$O$5617+Sens!$O$5618</f>
        <v>23.038</v>
      </c>
    </row>
    <row r="5620" customFormat="false" ht="17.15" hidden="false" customHeight="false" outlineLevel="0" collapsed="false">
      <c r="A5620" s="0" t="s">
        <v>757</v>
      </c>
      <c r="B5620" s="0" t="s">
        <v>86</v>
      </c>
      <c r="C5620" s="38" t="n">
        <f aca="false">Sens!$C$5591+Sens!$C$5596</f>
        <v>28.107</v>
      </c>
      <c r="D5620" s="38" t="n">
        <f aca="false">Sens!$D$5591+Sens!$D$5596</f>
        <v>34.3175</v>
      </c>
      <c r="E5620" s="38" t="n">
        <f aca="false">Sens!$E$5591+Sens!$E$5596</f>
        <v>18.526</v>
      </c>
      <c r="F5620" s="38" t="n">
        <f aca="false">Sens!$F$5591+Sens!$F$5596</f>
        <v>23.0786109972074</v>
      </c>
      <c r="G5620" s="38" t="n">
        <f aca="false">Sens!$G$5591+Sens!$G$5596</f>
        <v>41.6046109972074</v>
      </c>
      <c r="H5620" s="38" t="n">
        <f aca="false">Sens!$H$5591+Sens!$H$5596</f>
        <v>49.9484611939488</v>
      </c>
      <c r="I5620" s="38" t="n">
        <f aca="false">Sens!$I$5591+Sens!$I$5596</f>
        <v>58.2915555477481</v>
      </c>
      <c r="J5620" s="38" t="n">
        <f aca="false">Sens!$J$5591+Sens!$J$5596</f>
        <v>66.0744709709759</v>
      </c>
      <c r="K5620" s="38" t="n">
        <f aca="false">Sens!$K$5591+Sens!$K$5596</f>
        <v>72.6819180680735</v>
      </c>
      <c r="L5620" s="38" t="n">
        <f aca="false">Sens!$L$5591+Sens!$L$5596</f>
        <v>79.9501098748808</v>
      </c>
      <c r="M5620" s="38" t="n">
        <f aca="false">Sens!$M$5591+Sens!$M$5596</f>
        <v>87.9451208623689</v>
      </c>
      <c r="N5620" s="38" t="n">
        <f aca="false">Sens!$N$5591+Sens!$N$5596</f>
        <v>14.8075</v>
      </c>
      <c r="O5620" s="38" t="n">
        <f aca="false">Sens!$O$5591+Sens!$O$5596</f>
        <v>19.51</v>
      </c>
    </row>
    <row r="5621" customFormat="false" ht="17.15" hidden="false" customHeight="false" outlineLevel="0" collapsed="false">
      <c r="A5621" s="0" t="s">
        <v>758</v>
      </c>
      <c r="B5621" s="0" t="s">
        <v>86</v>
      </c>
      <c r="C5621" s="38" t="n">
        <f aca="false">Sens!$C$5595+Sens!$C$5600+Sens!$C$5616+Sens!$C$5617-Sens!$C$5620</f>
        <v>19.399</v>
      </c>
      <c r="D5621" s="38" t="n">
        <f aca="false">Sens!$D$5595+Sens!$D$5600+Sens!$D$5616+Sens!$D$5617-Sens!$D$5620</f>
        <v>20.4615</v>
      </c>
      <c r="E5621" s="38" t="n">
        <f aca="false">Sens!$E$5595+Sens!$E$5600+Sens!$E$5616+Sens!$E$5617-Sens!$E$5620</f>
        <v>13.355</v>
      </c>
      <c r="F5621" s="38" t="n">
        <f aca="false">Sens!$F$5595+Sens!$F$5600+Sens!$F$5616+Sens!$F$5617-Sens!$F$5620</f>
        <v>12.7680546411015</v>
      </c>
      <c r="G5621" s="38" t="n">
        <f aca="false">Sens!$G$5595+Sens!$G$5600+Sens!$G$5616+Sens!$G$5617-Sens!$G$5620</f>
        <v>26.1230546411015</v>
      </c>
      <c r="H5621" s="38" t="n">
        <f aca="false">Sens!$H$5595+Sens!$H$5600+Sens!$H$5616+Sens!$H$5617-Sens!$H$5620</f>
        <v>28.4662904769959</v>
      </c>
      <c r="I5621" s="38" t="n">
        <f aca="false">Sens!$I$5595+Sens!$I$5600+Sens!$I$5616+Sens!$I$5617-Sens!$I$5620</f>
        <v>30.7231490427408</v>
      </c>
      <c r="J5621" s="38" t="n">
        <f aca="false">Sens!$J$5595+Sens!$J$5600+Sens!$J$5616+Sens!$J$5617-Sens!$J$5620</f>
        <v>32.9723159380642</v>
      </c>
      <c r="K5621" s="38" t="n">
        <f aca="false">Sens!$K$5595+Sens!$K$5600+Sens!$K$5616+Sens!$K$5617-Sens!$K$5620</f>
        <v>35.3819359626894</v>
      </c>
      <c r="L5621" s="38" t="n">
        <f aca="false">Sens!$L$5595+Sens!$L$5600+Sens!$L$5616+Sens!$L$5617-Sens!$L$5620</f>
        <v>37.0165770259405</v>
      </c>
      <c r="M5621" s="38" t="n">
        <f aca="false">Sens!$M$5595+Sens!$M$5600+Sens!$M$5616+Sens!$M$5617-Sens!$M$5620</f>
        <v>39.4490703930704</v>
      </c>
      <c r="N5621" s="38" t="n">
        <f aca="false">Sens!$N$5595+Sens!$N$5600+Sens!$N$5616+Sens!$N$5617-Sens!$N$5620</f>
        <v>10.6495</v>
      </c>
      <c r="O5621" s="38" t="n">
        <f aca="false">Sens!$O$5595+Sens!$O$5600+Sens!$O$5616+Sens!$O$5617-Sens!$O$5620</f>
        <v>9.81200000000001</v>
      </c>
    </row>
    <row r="5622" customFormat="false" ht="17.15" hidden="false" customHeight="false" outlineLevel="0" collapsed="false">
      <c r="A5622" s="0" t="s">
        <v>759</v>
      </c>
      <c r="B5622" s="0" t="s">
        <v>86</v>
      </c>
      <c r="C5622" s="38" t="n">
        <f aca="false">Sens!$C$5602+Sens!$C$5618-ext_sh*Sens!$C$5537</f>
        <v>51.3470500115664</v>
      </c>
      <c r="D5622" s="38" t="n">
        <f aca="false">Sens!$D$5602+Sens!$D$5618-ext_sh*Sens!$D$5537</f>
        <v>60.2799375433739</v>
      </c>
      <c r="E5622" s="38" t="n">
        <f aca="false">Sens!$E$5602+Sens!$E$5618-ext_sh*Sens!$E$5537</f>
        <v>39.5095167090767</v>
      </c>
      <c r="F5622" s="38" t="n">
        <f aca="false">Sens!$F$5602+Sens!$F$5618-ext_sh*Sens!$F$5537</f>
        <v>37.951394214027</v>
      </c>
      <c r="G5622" s="38" t="n">
        <f aca="false">Sens!$G$5602+Sens!$G$5618-ext_sh*Sens!$G$5537</f>
        <v>77.4609109231037</v>
      </c>
      <c r="H5622" s="38" t="n">
        <f aca="false">Sens!$H$5602+Sens!$H$5618-ext_sh*Sens!$H$5537</f>
        <v>85.1453558128916</v>
      </c>
      <c r="I5622" s="38" t="n">
        <f aca="false">Sens!$I$5602+Sens!$I$5618-ext_sh*Sens!$I$5537</f>
        <v>94.532921967974</v>
      </c>
      <c r="J5622" s="38" t="n">
        <f aca="false">Sens!$J$5602+Sens!$J$5618-ext_sh*Sens!$J$5537</f>
        <v>103.525527532583</v>
      </c>
      <c r="K5622" s="38" t="n">
        <f aca="false">Sens!$K$5602+Sens!$K$5618-ext_sh*Sens!$K$5537</f>
        <v>111.80756973519</v>
      </c>
      <c r="L5622" s="38" t="n">
        <f aca="false">Sens!$L$5602+Sens!$L$5618-ext_sh*Sens!$L$5537</f>
        <v>120.752175314005</v>
      </c>
      <c r="M5622" s="38" t="n">
        <f aca="false">Sens!$M$5602+Sens!$M$5618-ext_sh*Sens!$M$5537</f>
        <v>130.412349339125</v>
      </c>
      <c r="N5622" s="38" t="n">
        <f aca="false">Sens!$N$5602+Sens!$N$5618-ext_sh*Sens!$N$5537</f>
        <v>28.5693781401809</v>
      </c>
      <c r="O5622" s="38" t="n">
        <f aca="false">Sens!$O$5602+Sens!$O$5618-ext_sh*Sens!$O$5537</f>
        <v>31.7105594031931</v>
      </c>
    </row>
    <row r="5623" customFormat="false" ht="17.15" hidden="false" customHeight="false" outlineLevel="0" collapsed="false">
      <c r="A5623" s="0" t="s">
        <v>760</v>
      </c>
      <c r="B5623" s="0" t="s">
        <v>86</v>
      </c>
      <c r="C5623" s="38" t="n">
        <f aca="false">Sens!$C$5540</f>
        <v>1.80694998843362</v>
      </c>
      <c r="D5623" s="38" t="n">
        <f aca="false">Sens!$D$5540</f>
        <v>6.77606245662607</v>
      </c>
      <c r="E5623" s="38" t="n">
        <f aca="false">Sens!$E$5540</f>
        <v>6.62548329092326</v>
      </c>
      <c r="F5623" s="38" t="n">
        <f aca="false">Sens!$F$5540</f>
        <v>11.7200577158706</v>
      </c>
      <c r="G5623" s="38" t="n">
        <f aca="false">Sens!$G$5540</f>
        <v>18.3455410067939</v>
      </c>
      <c r="H5623" s="38" t="n">
        <f aca="false">Sens!$H$5540</f>
        <v>47.5171727060453</v>
      </c>
      <c r="I5623" s="38" t="n">
        <f aca="false">Sens!$I$5540</f>
        <v>80.5539692643667</v>
      </c>
      <c r="J5623" s="38" t="n">
        <f aca="false">Sens!$J$5540</f>
        <v>113.759316834883</v>
      </c>
      <c r="K5623" s="38" t="n">
        <f aca="false">Sens!$K$5540</f>
        <v>142.084411492169</v>
      </c>
      <c r="L5623" s="38" t="n">
        <f aca="false">Sens!$L$5540</f>
        <v>160.69964615804</v>
      </c>
      <c r="M5623" s="38" t="n">
        <f aca="false">Sens!$M$5540</f>
        <v>169.577607141793</v>
      </c>
      <c r="N5623" s="38" t="n">
        <f aca="false">Sens!$N$5540</f>
        <v>2.37162185981912</v>
      </c>
      <c r="O5623" s="38" t="n">
        <f aca="false">Sens!$O$5540</f>
        <v>4.40444059680694</v>
      </c>
    </row>
    <row r="5624" customFormat="false" ht="17.15" hidden="false" customHeight="false" outlineLevel="0" collapsed="false">
      <c r="A5624" s="0" t="s">
        <v>761</v>
      </c>
      <c r="B5624" s="0" t="s">
        <v>86</v>
      </c>
      <c r="C5624" s="38" t="n">
        <f aca="false">Sens!$C$5605+Sens!$C$5619</f>
        <v>100.66</v>
      </c>
      <c r="D5624" s="38" t="n">
        <f aca="false">Sens!$D$5605+Sens!$D$5619</f>
        <v>121.835</v>
      </c>
      <c r="E5624" s="38" t="n">
        <f aca="false">Sens!$E$5605+Sens!$E$5619</f>
        <v>78.016</v>
      </c>
      <c r="F5624" s="38" t="n">
        <f aca="false">Sens!$F$5605+Sens!$F$5619</f>
        <v>85.5181175682064</v>
      </c>
      <c r="G5624" s="38" t="n">
        <f aca="false">Sens!$G$5605+Sens!$G$5619</f>
        <v>163.534117568206</v>
      </c>
      <c r="H5624" s="38" t="n">
        <f aca="false">Sens!$H$5605+Sens!$H$5619</f>
        <v>211.077280189882</v>
      </c>
      <c r="I5624" s="38" t="n">
        <f aca="false">Sens!$I$5605+Sens!$I$5619</f>
        <v>264.10159582283</v>
      </c>
      <c r="J5624" s="38" t="n">
        <f aca="false">Sens!$J$5605+Sens!$J$5619</f>
        <v>316.331631276507</v>
      </c>
      <c r="K5624" s="38" t="n">
        <f aca="false">Sens!$K$5605+Sens!$K$5619</f>
        <v>361.955835258122</v>
      </c>
      <c r="L5624" s="38" t="n">
        <f aca="false">Sens!$L$5605+Sens!$L$5619</f>
        <v>398.418508372866</v>
      </c>
      <c r="M5624" s="38" t="n">
        <f aca="false">Sens!$M$5605+Sens!$M$5619</f>
        <v>427.384147736358</v>
      </c>
      <c r="N5624" s="38" t="n">
        <f aca="false">Sens!$N$5605+Sens!$N$5619</f>
        <v>56.398</v>
      </c>
      <c r="O5624" s="38" t="n">
        <f aca="false">Sens!$O$5605+Sens!$O$5619</f>
        <v>65.437</v>
      </c>
    </row>
    <row r="5625" customFormat="false" ht="17.15" hidden="false" customHeight="false" outlineLevel="0" collapsed="false">
      <c r="A5625" s="1" t="s">
        <v>762</v>
      </c>
    </row>
    <row r="5626" customFormat="false" ht="15" hidden="false" customHeight="false" outlineLevel="0" collapsed="false">
      <c r="A5626" s="5" t="s">
        <v>551</v>
      </c>
      <c r="B5626" s="0" t="s">
        <v>86</v>
      </c>
      <c r="C5626" s="38" t="n">
        <f aca="false">Q!$D$34</f>
        <v>2.406</v>
      </c>
      <c r="D5626" s="38" t="n">
        <f aca="false">Q!$E$34</f>
        <v>2.274</v>
      </c>
      <c r="E5626" s="38" t="n">
        <f aca="false">Q!$P$34</f>
        <v>2.114</v>
      </c>
      <c r="F5626" s="38" t="n">
        <f aca="false">Sens!$F$5664</f>
        <v>3.24888962733561</v>
      </c>
      <c r="G5626" s="38" t="n">
        <f aca="false">Sens!$E$5626+Sens!$F$5626</f>
        <v>5.36288962733561</v>
      </c>
      <c r="H5626" s="38" t="n">
        <f aca="false">Sens!$H$5664</f>
        <v>7.42354172302123</v>
      </c>
      <c r="I5626" s="38" t="n">
        <f aca="false">Sens!$I$5664</f>
        <v>7.84418947693382</v>
      </c>
      <c r="J5626" s="38" t="n">
        <f aca="false">Sens!$J$5664</f>
        <v>8.79561318891235</v>
      </c>
      <c r="K5626" s="38" t="n">
        <f aca="false">Sens!$K$5664</f>
        <v>8.79561318891235</v>
      </c>
      <c r="L5626" s="38" t="n">
        <f aca="false">Sens!$L$5664</f>
        <v>8.79561318891235</v>
      </c>
      <c r="M5626" s="38" t="n">
        <f aca="false">Sens!$M$5664</f>
        <v>8.79561318891235</v>
      </c>
      <c r="N5626" s="38" t="n">
        <f aca="false">Q!$N$34</f>
        <v>1.057</v>
      </c>
      <c r="O5626" s="38" t="n">
        <f aca="false">Q!$O$34</f>
        <v>1.217</v>
      </c>
    </row>
    <row r="5627" customFormat="false" ht="15" hidden="false" customHeight="false" outlineLevel="0" collapsed="false">
      <c r="A5627" s="5" t="s">
        <v>763</v>
      </c>
      <c r="B5627" s="0" t="s">
        <v>86</v>
      </c>
      <c r="F5627" s="38" t="n">
        <f aca="false">Sens!$F$5665</f>
        <v>2.59</v>
      </c>
      <c r="H5627" s="38" t="n">
        <f aca="false">Sens!$H$5665</f>
        <v>4.1153774832261</v>
      </c>
      <c r="I5627" s="38" t="n">
        <f aca="false">Sens!$I$5665</f>
        <v>2.10589651022864</v>
      </c>
      <c r="J5627" s="38" t="n">
        <f aca="false">Sens!$J$5665</f>
        <v>2.10589651022864</v>
      </c>
      <c r="K5627" s="38" t="n">
        <f aca="false">Sens!$K$5665</f>
        <v>3.172800358404</v>
      </c>
      <c r="L5627" s="38" t="n">
        <f aca="false">Sens!$L$5665</f>
        <v>8.31037272592208</v>
      </c>
      <c r="M5627" s="38" t="n">
        <f aca="false">Sens!$M$5665</f>
        <v>15.9256588704093</v>
      </c>
    </row>
    <row r="5628" customFormat="false" ht="17.15" hidden="false" customHeight="false" outlineLevel="0" collapsed="false">
      <c r="A5628" s="5" t="s">
        <v>764</v>
      </c>
      <c r="B5628" s="0" t="s">
        <v>86</v>
      </c>
      <c r="C5628" s="38" t="n">
        <f aca="false">Q!$D$39</f>
        <v>2.427</v>
      </c>
      <c r="D5628" s="38" t="n">
        <f aca="false">Q!$E$39</f>
        <v>19.61</v>
      </c>
      <c r="E5628" s="38" t="n">
        <f aca="false">Q!$P$39</f>
        <v>71.492</v>
      </c>
      <c r="F5628" s="39" t="n">
        <v>0</v>
      </c>
      <c r="G5628" s="38" t="n">
        <f aca="false">Sens!$E$5628+Sens!$F$5628</f>
        <v>71.492</v>
      </c>
      <c r="H5628" s="39" t="n">
        <v>0</v>
      </c>
      <c r="I5628" s="39" t="n">
        <v>0</v>
      </c>
      <c r="J5628" s="39" t="n">
        <v>0</v>
      </c>
      <c r="K5628" s="39" t="n">
        <v>0</v>
      </c>
      <c r="L5628" s="39" t="n">
        <v>0</v>
      </c>
      <c r="M5628" s="39" t="n">
        <v>0</v>
      </c>
      <c r="N5628" s="38" t="n">
        <f aca="false">Q!$N$39</f>
        <v>6.017</v>
      </c>
      <c r="O5628" s="38" t="n">
        <f aca="false">Q!$O$39</f>
        <v>13.593</v>
      </c>
      <c r="P5628" s="5" t="s">
        <v>765</v>
      </c>
    </row>
    <row r="5629" customFormat="false" ht="15" hidden="false" customHeight="false" outlineLevel="0" collapsed="false">
      <c r="A5629" s="5" t="s">
        <v>554</v>
      </c>
      <c r="B5629" s="0" t="s">
        <v>86</v>
      </c>
      <c r="C5629" s="38" t="n">
        <f aca="false">Q!$D$36</f>
        <v>68.614</v>
      </c>
      <c r="D5629" s="38" t="n">
        <f aca="false">Q!$E$36</f>
        <v>97.311</v>
      </c>
      <c r="E5629" s="38" t="n">
        <f aca="false">Q!$P$36</f>
        <v>120.691</v>
      </c>
      <c r="F5629" s="38" t="n">
        <f aca="false">Sens!$F$5605-Sens!$F$5626+Sens!$F$5627+Sens!$F$5628</f>
        <v>55.7063670713938</v>
      </c>
      <c r="G5629" s="38" t="n">
        <f aca="false">Sens!$E$5629+Sens!$F$5629</f>
        <v>176.397367071394</v>
      </c>
      <c r="H5629" s="38" t="n">
        <f aca="false">Sens!$H$5605-Sens!$H$5626+Sens!$H$5627+Sens!$H$5628</f>
        <v>126.207292630471</v>
      </c>
      <c r="I5629" s="38" t="n">
        <f aca="false">Sens!$I$5605-Sens!$I$5626+Sens!$I$5627+Sens!$I$5628</f>
        <v>139.60709411592</v>
      </c>
      <c r="J5629" s="38" t="n">
        <f aca="false">Sens!$J$5605-Sens!$J$5626+Sens!$J$5627+Sens!$J$5628</f>
        <v>157.172425191032</v>
      </c>
      <c r="K5629" s="38" t="n">
        <f aca="false">Sens!$K$5605-Sens!$K$5626+Sens!$K$5627+Sens!$K$5628</f>
        <v>169.941519803795</v>
      </c>
      <c r="L5629" s="38" t="n">
        <f aca="false">Sens!$L$5605-Sens!$L$5626+Sens!$L$5627+Sens!$L$5628</f>
        <v>186.006845694394</v>
      </c>
      <c r="M5629" s="38" t="n">
        <f aca="false">Sens!$M$5605-Sens!$M$5626+Sens!$M$5627+Sens!$M$5628</f>
        <v>205.501711319949</v>
      </c>
      <c r="N5629" s="38" t="n">
        <f aca="false">Q!$N$36</f>
        <v>42.536</v>
      </c>
      <c r="O5629" s="38" t="n">
        <f aca="false">Q!$O$36</f>
        <v>54.775</v>
      </c>
    </row>
    <row r="5630" customFormat="false" ht="15" hidden="false" customHeight="false" outlineLevel="0" collapsed="false">
      <c r="A5630" s="5" t="s">
        <v>555</v>
      </c>
      <c r="B5630" s="0" t="s">
        <v>86</v>
      </c>
      <c r="C5630" s="38" t="n">
        <f aca="false">Q!$D$37</f>
        <v>9.265</v>
      </c>
      <c r="D5630" s="38" t="n">
        <f aca="false">Q!$E$37</f>
        <v>19.087</v>
      </c>
      <c r="E5630" s="38" t="n">
        <f aca="false">Q!$P$37</f>
        <v>27.759</v>
      </c>
      <c r="F5630" s="38" t="n">
        <f aca="false">Sens!$F$5629*tax</f>
        <v>9.669763357865</v>
      </c>
      <c r="G5630" s="38" t="n">
        <f aca="false">Sens!$E$5630+Sens!$F$5630</f>
        <v>37.428763357865</v>
      </c>
      <c r="H5630" s="38" t="n">
        <f aca="false">Sens!$H$5629*tax</f>
        <v>21.9076331473816</v>
      </c>
      <c r="I5630" s="38" t="n">
        <f aca="false">Sens!$I$5629*tax</f>
        <v>24.2336313450491</v>
      </c>
      <c r="J5630" s="38" t="n">
        <f aca="false">Sens!$J$5629*tax</f>
        <v>27.2827010246639</v>
      </c>
      <c r="K5630" s="38" t="n">
        <f aca="false">Sens!$K$5629*tax</f>
        <v>29.4992182683994</v>
      </c>
      <c r="L5630" s="38" t="n">
        <f aca="false">Sens!$L$5629*tax</f>
        <v>32.2879102581316</v>
      </c>
      <c r="M5630" s="38" t="n">
        <f aca="false">Sens!$M$5629*tax</f>
        <v>35.671917279284</v>
      </c>
      <c r="N5630" s="38" t="n">
        <f aca="false">Q!$N$37</f>
        <v>7.231</v>
      </c>
      <c r="O5630" s="38" t="n">
        <f aca="false">Q!$O$37</f>
        <v>11.856</v>
      </c>
    </row>
    <row r="5631" customFormat="false" ht="15" hidden="false" customHeight="false" outlineLevel="0" collapsed="false">
      <c r="A5631" s="3" t="s">
        <v>556</v>
      </c>
      <c r="B5631" s="8" t="s">
        <v>86</v>
      </c>
      <c r="C5631" s="38" t="n">
        <f aca="false">Q!$D$38</f>
        <v>59.248</v>
      </c>
      <c r="D5631" s="38" t="n">
        <f aca="false">Q!$E$38</f>
        <v>77.67</v>
      </c>
      <c r="E5631" s="38" t="n">
        <f aca="false">Q!$P$38</f>
        <v>92.902</v>
      </c>
      <c r="F5631" s="38" t="n">
        <f aca="false">Sens!$F$5629-Sens!$F$5630</f>
        <v>46.0366037135288</v>
      </c>
      <c r="G5631" s="38" t="n">
        <f aca="false">Sens!$E$5631+Sens!$F$5631</f>
        <v>138.938603713529</v>
      </c>
      <c r="H5631" s="38" t="n">
        <f aca="false">Sens!$H$5629-Sens!$H$5630</f>
        <v>104.29965948309</v>
      </c>
      <c r="I5631" s="38" t="n">
        <f aca="false">Sens!$I$5629-Sens!$I$5630</f>
        <v>115.373462770871</v>
      </c>
      <c r="J5631" s="38" t="n">
        <f aca="false">Sens!$J$5629-Sens!$J$5630</f>
        <v>129.889724166368</v>
      </c>
      <c r="K5631" s="38" t="n">
        <f aca="false">Sens!$K$5629-Sens!$K$5630</f>
        <v>140.442301535395</v>
      </c>
      <c r="L5631" s="38" t="n">
        <f aca="false">Sens!$L$5629-Sens!$L$5630</f>
        <v>153.718935436262</v>
      </c>
      <c r="M5631" s="38" t="n">
        <f aca="false">Sens!$M$5629-Sens!$M$5630</f>
        <v>169.829794040665</v>
      </c>
      <c r="N5631" s="38" t="n">
        <f aca="false">Q!$N$38</f>
        <v>35.291</v>
      </c>
      <c r="O5631" s="38" t="n">
        <f aca="false">Q!$O$38</f>
        <v>42.379</v>
      </c>
    </row>
    <row r="5632" customFormat="false" ht="17.15" hidden="false" customHeight="false" outlineLevel="0" collapsed="false">
      <c r="A5632" s="5" t="s">
        <v>559</v>
      </c>
      <c r="B5632" s="5" t="s">
        <v>33</v>
      </c>
      <c r="C5632" s="22" t="n">
        <f aca="false">Q!$D$41</f>
        <v>10.721</v>
      </c>
      <c r="D5632" s="22" t="n">
        <f aca="false">Q!$E$41</f>
        <v>10.827</v>
      </c>
      <c r="E5632" s="22" t="n">
        <f aca="false">(Q!$L$41+Q!$M$41)/2</f>
        <v>10.8885</v>
      </c>
      <c r="F5632" s="22" t="n">
        <f aca="false">Sens!$G$5632</f>
        <v>10.924806</v>
      </c>
      <c r="G5632" s="22" t="n">
        <f aca="false">Q!$M$41*(1+sh_g*0.25)</f>
        <v>10.924806</v>
      </c>
      <c r="H5632" s="22" t="n">
        <f aca="false">Sens!$G$5632*(1+sh_g)</f>
        <v>11.012204448</v>
      </c>
      <c r="I5632" s="22" t="n">
        <f aca="false">Sens!$H$5632*(1+sh_g)</f>
        <v>11.100302083584</v>
      </c>
      <c r="J5632" s="22" t="n">
        <f aca="false">Sens!$I$5632*(1+sh_g)</f>
        <v>11.1891045002527</v>
      </c>
      <c r="K5632" s="22" t="n">
        <f aca="false">Sens!$J$5632*(1+sh_g)</f>
        <v>11.2786173362547</v>
      </c>
      <c r="L5632" s="22" t="n">
        <f aca="false">Sens!$K$5632*(1+sh_g)</f>
        <v>11.3688462749447</v>
      </c>
      <c r="M5632" s="22" t="n">
        <f aca="false">Sens!$L$5632*(1+sh_g)</f>
        <v>11.4597970451443</v>
      </c>
      <c r="P5632" s="5" t="s">
        <v>766</v>
      </c>
    </row>
    <row r="5633" customFormat="false" ht="17.15" hidden="false" customHeight="false" outlineLevel="0" collapsed="false">
      <c r="A5633" s="5" t="s">
        <v>767</v>
      </c>
      <c r="B5633" s="0" t="s">
        <v>86</v>
      </c>
      <c r="C5633" s="38" t="n">
        <f aca="false">Sens!$C$5631+Sens!$C$5607*(1-tax)</f>
        <v>59.248</v>
      </c>
      <c r="D5633" s="38" t="n">
        <f aca="false">Sens!$D$5631+Sens!$D$5607*(1-tax)</f>
        <v>77.67</v>
      </c>
      <c r="E5633" s="38" t="n">
        <f aca="false">Sens!$E$5631+Sens!$E$5607*(1-tax)</f>
        <v>92.902</v>
      </c>
      <c r="F5633" s="38" t="n">
        <f aca="false">Sens!$F$5631+Sens!$F$5607*(1-tax)</f>
        <v>49.1531986731775</v>
      </c>
      <c r="G5633" s="38" t="n">
        <f aca="false">Sens!$G$5631+Sens!$G$5607*(1-tax)</f>
        <v>142.055198673178</v>
      </c>
      <c r="H5633" s="38" t="n">
        <f aca="false">Sens!$H$5631+Sens!$H$5607*(1-tax)</f>
        <v>116.831055438434</v>
      </c>
      <c r="I5633" s="38" t="n">
        <f aca="false">Sens!$I$5631+Sens!$I$5607*(1-tax)</f>
        <v>136.514727845811</v>
      </c>
      <c r="J5633" s="38" t="n">
        <f aca="false">Sens!$J$5631+Sens!$J$5607*(1-tax)</f>
        <v>159.679161110652</v>
      </c>
      <c r="K5633" s="38" t="n">
        <f aca="false">Sens!$K$5631+Sens!$K$5607*(1-tax)</f>
        <v>177.609607232054</v>
      </c>
      <c r="L5633" s="38" t="n">
        <f aca="false">Sens!$L$5631+Sens!$L$5607*(1-tax)</f>
        <v>195.735012776818</v>
      </c>
      <c r="M5633" s="38" t="n">
        <f aca="false">Sens!$M$5631+Sens!$M$5607*(1-tax)</f>
        <v>214.159316231505</v>
      </c>
      <c r="N5633" s="38" t="n">
        <f aca="false">Sens!$N$5631+Sens!$N$5607*(1-tax)</f>
        <v>35.291</v>
      </c>
      <c r="O5633" s="38" t="n">
        <f aca="false">Sens!$O$5631+Sens!$O$5607*(1-tax)</f>
        <v>42.379</v>
      </c>
    </row>
    <row r="5634" customFormat="false" ht="17.15" hidden="false" customHeight="false" outlineLevel="0" collapsed="false">
      <c r="A5634" s="43" t="s">
        <v>768</v>
      </c>
      <c r="B5634" s="14" t="s">
        <v>27</v>
      </c>
      <c r="C5634" s="44" t="n">
        <f aca="false">Sens!$C$5633/Sens!$C$5632</f>
        <v>5.52635015390355</v>
      </c>
      <c r="D5634" s="44" t="n">
        <f aca="false">Sens!$D$5633/Sens!$D$5632</f>
        <v>7.1737323358271</v>
      </c>
      <c r="E5634" s="44" t="n">
        <f aca="false">Sens!$E$5633/Sens!$E$5632</f>
        <v>8.53212104513937</v>
      </c>
      <c r="F5634" s="14"/>
      <c r="G5634" s="44" t="n">
        <f aca="false">Sens!$G$5633/Sens!$G$5632</f>
        <v>13.0029950804781</v>
      </c>
      <c r="H5634" s="44" t="n">
        <f aca="false">Sens!$H$5633/Sens!$H$5632</f>
        <v>10.6092341447268</v>
      </c>
      <c r="I5634" s="44" t="n">
        <f aca="false">Sens!$I$5633/Sens!$I$5632</f>
        <v>12.298289435537</v>
      </c>
      <c r="J5634" s="44" t="n">
        <f aca="false">Sens!$J$5633/Sens!$J$5632</f>
        <v>14.2709509154236</v>
      </c>
      <c r="K5634" s="44" t="n">
        <f aca="false">Sens!$K$5633/Sens!$K$5632</f>
        <v>15.7474628260624</v>
      </c>
      <c r="L5634" s="44" t="n">
        <f aca="false">Sens!$L$5633/Sens!$L$5632</f>
        <v>17.2167877059072</v>
      </c>
      <c r="M5634" s="44" t="n">
        <f aca="false">Sens!$M$5633/Sens!$M$5632</f>
        <v>18.6878803688978</v>
      </c>
      <c r="N5634" s="14"/>
      <c r="O5634" s="14"/>
    </row>
    <row r="5635" customFormat="false" ht="17.15" hidden="false" customHeight="false" outlineLevel="0" collapsed="false">
      <c r="A5635" s="0" t="s">
        <v>769</v>
      </c>
      <c r="B5635" s="0" t="s">
        <v>27</v>
      </c>
      <c r="C5635" s="30" t="n">
        <f aca="false">Sens!$C$5631/Sens!$C$5632</f>
        <v>5.52635015390355</v>
      </c>
      <c r="D5635" s="30" t="n">
        <f aca="false">Sens!$D$5631/Sens!$D$5632</f>
        <v>7.1737323358271</v>
      </c>
      <c r="E5635" s="30" t="n">
        <f aca="false">Sens!$E$5631/Sens!$E$5632</f>
        <v>8.53212104513937</v>
      </c>
      <c r="G5635" s="30" t="n">
        <f aca="false">Sens!$G$5631/Sens!$G$5632</f>
        <v>12.7177181648378</v>
      </c>
      <c r="H5635" s="30" t="n">
        <f aca="false">Sens!$H$5631/Sens!$H$5632</f>
        <v>9.47127888658407</v>
      </c>
      <c r="I5635" s="30" t="n">
        <f aca="false">Sens!$I$5631/Sens!$I$5632</f>
        <v>10.3937227925981</v>
      </c>
      <c r="J5635" s="30" t="n">
        <f aca="false">Sens!$J$5631/Sens!$J$5632</f>
        <v>11.6085897815536</v>
      </c>
      <c r="K5635" s="30" t="n">
        <f aca="false">Sens!$K$5631/Sens!$K$5632</f>
        <v>12.4520849806606</v>
      </c>
      <c r="L5635" s="30" t="n">
        <f aca="false">Sens!$L$5631/Sens!$L$5632</f>
        <v>13.5210672849924</v>
      </c>
      <c r="M5635" s="30" t="n">
        <f aca="false">Sens!$M$5631/Sens!$M$5632</f>
        <v>14.8196162088773</v>
      </c>
    </row>
    <row r="5636" customFormat="false" ht="17.15" hidden="false" customHeight="false" outlineLevel="0" collapsed="false">
      <c r="A5636" s="0" t="s">
        <v>770</v>
      </c>
      <c r="B5636" s="0" t="s">
        <v>27</v>
      </c>
      <c r="C5636" s="30" t="n">
        <f aca="false">(Sens!$C$5631-Sens!$C$5628*(1-tax))/Sens!$C$5632</f>
        <v>5.33926775917445</v>
      </c>
      <c r="D5636" s="30" t="n">
        <f aca="false">(Sens!$D$5631-Sens!$D$5628*(1-tax))/Sens!$D$5632</f>
        <v>5.67691812755503</v>
      </c>
      <c r="E5636" s="30" t="n">
        <f aca="false">(Sens!$E$5631-Sens!$E$5628*(1-tax))/Sens!$E$5632</f>
        <v>3.10602057006846</v>
      </c>
      <c r="G5636" s="30" t="n">
        <f aca="false">(Sens!$G$5631-Sens!$G$5628*(1-tax))/Sens!$G$5632</f>
        <v>7.30965004694081</v>
      </c>
      <c r="H5636" s="30" t="n">
        <f aca="false">(Sens!$H$5631-Sens!$H$5628*(1-tax))/Sens!$H$5632</f>
        <v>9.47127888658407</v>
      </c>
      <c r="I5636" s="30" t="n">
        <f aca="false">(Sens!$I$5631-Sens!$I$5628*(1-tax))/Sens!$I$5632</f>
        <v>10.3937227925981</v>
      </c>
      <c r="J5636" s="30" t="n">
        <f aca="false">(Sens!$J$5631-Sens!$J$5628*(1-tax))/Sens!$J$5632</f>
        <v>11.6085897815536</v>
      </c>
      <c r="K5636" s="30" t="n">
        <f aca="false">(Sens!$K$5631-Sens!$K$5628*(1-tax))/Sens!$K$5632</f>
        <v>12.4520849806606</v>
      </c>
      <c r="L5636" s="30" t="n">
        <f aca="false">(Sens!$L$5631-Sens!$L$5628*(1-tax))/Sens!$L$5632</f>
        <v>13.5210672849924</v>
      </c>
      <c r="M5636" s="30" t="n">
        <f aca="false">(Sens!$M$5631-Sens!$M$5628*(1-tax))/Sens!$M$5632</f>
        <v>14.8196162088773</v>
      </c>
      <c r="P5636" s="5" t="s">
        <v>771</v>
      </c>
    </row>
    <row r="5637" customFormat="false" ht="17.15" hidden="false" customHeight="false" outlineLevel="0" collapsed="false">
      <c r="A5637" s="0" t="s">
        <v>772</v>
      </c>
      <c r="B5637" s="0" t="s">
        <v>52</v>
      </c>
      <c r="H5637" s="13" t="n">
        <f aca="false">Sens!$H$5634/Sens!$G$5634-1</f>
        <v>-0.184093043251635</v>
      </c>
      <c r="I5637" s="13" t="n">
        <f aca="false">Sens!$I$5634/Sens!$H$5634-1</f>
        <v>0.159206147000695</v>
      </c>
      <c r="J5637" s="13" t="n">
        <f aca="false">Sens!$J$5634/Sens!$I$5634-1</f>
        <v>0.160401289157047</v>
      </c>
      <c r="K5637" s="13" t="n">
        <f aca="false">Sens!$K$5634/Sens!$J$5634-1</f>
        <v>0.103462755873053</v>
      </c>
      <c r="L5637" s="13" t="n">
        <f aca="false">Sens!$L$5634/Sens!$K$5634-1</f>
        <v>0.093305499182575</v>
      </c>
      <c r="M5637" s="13" t="n">
        <f aca="false">Sens!$M$5634/Sens!$L$5634-1</f>
        <v>0.0854452461236912</v>
      </c>
    </row>
    <row r="5640" customFormat="false" ht="19.4" hidden="false" customHeight="false" outlineLevel="0" collapsed="false">
      <c r="A5640" s="31" t="s">
        <v>1265</v>
      </c>
    </row>
    <row r="5641" customFormat="false" ht="17.15" hidden="false" customHeight="false" outlineLevel="0" collapsed="false">
      <c r="A5641" s="6" t="s">
        <v>16</v>
      </c>
      <c r="B5641" s="6" t="s">
        <v>17</v>
      </c>
      <c r="C5641" s="20" t="s">
        <v>504</v>
      </c>
      <c r="D5641" s="20" t="s">
        <v>505</v>
      </c>
      <c r="E5641" s="20" t="s">
        <v>587</v>
      </c>
      <c r="F5641" s="20" t="s">
        <v>588</v>
      </c>
      <c r="G5641" s="20" t="s">
        <v>589</v>
      </c>
      <c r="H5641" s="20" t="s">
        <v>590</v>
      </c>
      <c r="I5641" s="20" t="s">
        <v>591</v>
      </c>
      <c r="J5641" s="20" t="s">
        <v>592</v>
      </c>
      <c r="K5641" s="20" t="s">
        <v>593</v>
      </c>
      <c r="L5641" s="20" t="s">
        <v>594</v>
      </c>
      <c r="M5641" s="20" t="s">
        <v>595</v>
      </c>
      <c r="N5641" s="20" t="s">
        <v>596</v>
      </c>
      <c r="O5641" s="20" t="s">
        <v>597</v>
      </c>
      <c r="P5641" s="6" t="s">
        <v>23</v>
      </c>
      <c r="R5641" s="20" t="n">
        <v>2023</v>
      </c>
      <c r="S5641" s="20" t="n">
        <v>2024</v>
      </c>
      <c r="T5641" s="20" t="n">
        <v>2025</v>
      </c>
      <c r="U5641" s="20" t="n">
        <v>2026</v>
      </c>
      <c r="V5641" s="20" t="n">
        <v>2027</v>
      </c>
      <c r="W5641" s="20" t="n">
        <v>2028</v>
      </c>
      <c r="X5641" s="20" t="n">
        <v>2029</v>
      </c>
      <c r="Y5641" s="20" t="n">
        <v>2030</v>
      </c>
      <c r="Z5641" s="20" t="n">
        <v>2031</v>
      </c>
      <c r="AA5641" s="20" t="n">
        <v>2032</v>
      </c>
    </row>
    <row r="5642" customFormat="false" ht="15" hidden="false" customHeight="false" outlineLevel="0" collapsed="false">
      <c r="A5642" s="5" t="s">
        <v>556</v>
      </c>
      <c r="B5642" s="0" t="s">
        <v>86</v>
      </c>
      <c r="C5642" s="38" t="n">
        <f aca="false">Sens!$C$5631</f>
        <v>59.248</v>
      </c>
      <c r="D5642" s="38" t="n">
        <f aca="false">Sens!$D$5631</f>
        <v>77.67</v>
      </c>
      <c r="E5642" s="38" t="n">
        <f aca="false">Sens!$E$5631</f>
        <v>92.902</v>
      </c>
      <c r="F5642" s="38" t="n">
        <f aca="false">Sens!$F$5631</f>
        <v>46.0366037135288</v>
      </c>
      <c r="G5642" s="38" t="n">
        <f aca="false">Sens!$G$5631</f>
        <v>138.938603713529</v>
      </c>
      <c r="H5642" s="38" t="n">
        <f aca="false">Sens!$H$5631</f>
        <v>104.29965948309</v>
      </c>
      <c r="I5642" s="38" t="n">
        <f aca="false">Sens!$I$5631</f>
        <v>115.373462770871</v>
      </c>
      <c r="J5642" s="38" t="n">
        <f aca="false">Sens!$J$5631</f>
        <v>129.889724166368</v>
      </c>
      <c r="K5642" s="38" t="n">
        <f aca="false">Sens!$K$5631</f>
        <v>140.442301535395</v>
      </c>
      <c r="L5642" s="38" t="n">
        <f aca="false">Sens!$L$5631</f>
        <v>153.718935436262</v>
      </c>
      <c r="M5642" s="38" t="n">
        <f aca="false">Sens!$M$5631</f>
        <v>169.829794040665</v>
      </c>
    </row>
    <row r="5643" customFormat="false" ht="17.15" hidden="false" customHeight="false" outlineLevel="0" collapsed="false">
      <c r="A5643" s="5" t="s">
        <v>795</v>
      </c>
      <c r="B5643" s="0" t="s">
        <v>86</v>
      </c>
      <c r="C5643" s="38" t="n">
        <f aca="false">Sens!$C$5619</f>
        <v>32.067</v>
      </c>
      <c r="D5643" s="38" t="n">
        <f aca="false">Sens!$D$5619</f>
        <v>41.86</v>
      </c>
      <c r="E5643" s="38" t="n">
        <f aca="false">Sens!$E$5619</f>
        <v>26.703</v>
      </c>
      <c r="F5643" s="38" t="n">
        <f aca="false">Sens!$F$5619</f>
        <v>29.152860869477</v>
      </c>
      <c r="G5643" s="38" t="n">
        <f aca="false">Sens!$G$5619</f>
        <v>55.855860869477</v>
      </c>
      <c r="H5643" s="38" t="n">
        <f aca="false">Sens!$H$5619</f>
        <v>81.5618233196153</v>
      </c>
      <c r="I5643" s="38" t="n">
        <f aca="false">Sens!$I$5619</f>
        <v>118.756208740204</v>
      </c>
      <c r="J5643" s="38" t="n">
        <f aca="false">Sens!$J$5619</f>
        <v>152.469489406791</v>
      </c>
      <c r="K5643" s="38" t="n">
        <f aca="false">Sens!$K$5619</f>
        <v>186.391502623819</v>
      </c>
      <c r="L5643" s="38" t="n">
        <f aca="false">Sens!$L$5619</f>
        <v>211.926422215482</v>
      </c>
      <c r="M5643" s="38" t="n">
        <f aca="false">Sens!$M$5619</f>
        <v>229.012482097906</v>
      </c>
    </row>
    <row r="5644" customFormat="false" ht="15" hidden="false" customHeight="false" outlineLevel="0" collapsed="false">
      <c r="A5644" s="5" t="s">
        <v>796</v>
      </c>
      <c r="B5644" s="0" t="s">
        <v>86</v>
      </c>
      <c r="C5644" s="38" t="n">
        <f aca="false">Q!$D$48</f>
        <v>22.011</v>
      </c>
      <c r="D5644" s="38" t="n">
        <f aca="false">Q!$E$48</f>
        <v>19.467</v>
      </c>
      <c r="E5644" s="38" t="n">
        <f aca="false">Q!$P$48</f>
        <v>10.07</v>
      </c>
      <c r="F5644" s="38" t="n">
        <f aca="false">sbc_r*Sens!$F$5561</f>
        <v>10.8507035798037</v>
      </c>
      <c r="G5644" s="38" t="n">
        <f aca="false">Sens!$E$5644+Sens!$F$5644</f>
        <v>20.9207035798037</v>
      </c>
      <c r="H5644" s="38" t="n">
        <f aca="false">sbc_r*Sens!$H$5561</f>
        <v>23.46224366345</v>
      </c>
      <c r="I5644" s="38" t="n">
        <f aca="false">sbc_r*Sens!$I$5561</f>
        <v>26.6125957111676</v>
      </c>
      <c r="J5644" s="38" t="n">
        <f aca="false">sbc_r*Sens!$J$5561</f>
        <v>29.6280801413323</v>
      </c>
      <c r="K5644" s="38" t="n">
        <f aca="false">sbc_r*Sens!$K$5561</f>
        <v>32.2712258901105</v>
      </c>
      <c r="L5644" s="38" t="n">
        <f aca="false">sbc_r*Sens!$L$5561</f>
        <v>34.7390505016737</v>
      </c>
      <c r="M5644" s="38" t="n">
        <f aca="false">sbc_r*Sens!$M$5561</f>
        <v>37.0405146906692</v>
      </c>
    </row>
    <row r="5645" customFormat="false" ht="17.15" hidden="false" customHeight="false" outlineLevel="0" collapsed="false">
      <c r="A5645" s="5" t="s">
        <v>797</v>
      </c>
      <c r="B5645" s="0" t="s">
        <v>86</v>
      </c>
      <c r="C5645" s="38" t="n">
        <f aca="false">Q!$D$44-Sens!$C$5642-Sens!$C$5643-Sens!$C$5644</f>
        <v>2.551</v>
      </c>
      <c r="D5645" s="38" t="n">
        <f aca="false">Q!$E$44-Sens!$D$5642-Sens!$D$5643-Sens!$D$5644</f>
        <v>0.51700000000001</v>
      </c>
      <c r="E5645" s="38" t="n">
        <f aca="false">Q!$P$44-Sens!$E$5642-Sens!$E$5643-Sens!$E$5644</f>
        <v>-58.256</v>
      </c>
      <c r="F5645" s="38" t="n">
        <f aca="false">oth_r*Sens!$F$5561</f>
        <v>5.22265251035878</v>
      </c>
      <c r="G5645" s="38" t="n">
        <f aca="false">Sens!$E$5645+Sens!$F$5645</f>
        <v>-53.0333474896412</v>
      </c>
      <c r="H5645" s="38" t="n">
        <f aca="false">oth_r*Sens!$H$5561</f>
        <v>11.2928295263397</v>
      </c>
      <c r="I5645" s="38" t="n">
        <f aca="false">oth_r*Sens!$I$5561</f>
        <v>12.8091546115766</v>
      </c>
      <c r="J5645" s="38" t="n">
        <f aca="false">oth_r*Sens!$J$5561</f>
        <v>14.2605653162668</v>
      </c>
      <c r="K5645" s="38" t="n">
        <f aca="false">oth_r*Sens!$K$5561</f>
        <v>15.5327622460396</v>
      </c>
      <c r="L5645" s="38" t="n">
        <f aca="false">oth_r*Sens!$L$5561</f>
        <v>16.720573737517</v>
      </c>
      <c r="M5645" s="38" t="n">
        <f aca="false">oth_r*Sens!$M$5561</f>
        <v>17.8283127551536</v>
      </c>
      <c r="P5645" s="8" t="s">
        <v>798</v>
      </c>
    </row>
    <row r="5646" customFormat="false" ht="15" hidden="false" customHeight="false" outlineLevel="0" collapsed="false">
      <c r="A5646" s="3" t="s">
        <v>562</v>
      </c>
      <c r="B5646" s="8" t="s">
        <v>86</v>
      </c>
      <c r="C5646" s="38" t="n">
        <f aca="false">Q!$D$44</f>
        <v>115.877</v>
      </c>
      <c r="D5646" s="38" t="n">
        <f aca="false">Q!$E$44</f>
        <v>139.514</v>
      </c>
      <c r="E5646" s="38" t="n">
        <f aca="false">Q!$P$44</f>
        <v>71.419</v>
      </c>
      <c r="F5646" s="38" t="n">
        <f aca="false">Sens!$F$5642+Sens!$F$5643+Sens!$F$5644+Sens!$F$5645</f>
        <v>91.2628206731683</v>
      </c>
      <c r="G5646" s="38" t="n">
        <f aca="false">Sens!$E$5646+Sens!$F$5646</f>
        <v>162.681820673168</v>
      </c>
      <c r="H5646" s="38" t="n">
        <f aca="false">Sens!$H$5642+Sens!$H$5643+Sens!$H$5644+Sens!$H$5645</f>
        <v>220.616555992495</v>
      </c>
      <c r="I5646" s="38" t="n">
        <f aca="false">Sens!$I$5642+Sens!$I$5643+Sens!$I$5644+Sens!$I$5645</f>
        <v>273.55142183382</v>
      </c>
      <c r="J5646" s="38" t="n">
        <f aca="false">Sens!$J$5642+Sens!$J$5643+Sens!$J$5644+Sens!$J$5645</f>
        <v>326.247859030758</v>
      </c>
      <c r="K5646" s="38" t="n">
        <f aca="false">Sens!$K$5642+Sens!$K$5643+Sens!$K$5644+Sens!$K$5645</f>
        <v>374.637792295364</v>
      </c>
      <c r="L5646" s="38" t="n">
        <f aca="false">Sens!$L$5642+Sens!$L$5643+Sens!$L$5644+Sens!$L$5645</f>
        <v>417.104981890935</v>
      </c>
      <c r="M5646" s="38" t="n">
        <f aca="false">Sens!$M$5642+Sens!$M$5643+Sens!$M$5644+Sens!$M$5645</f>
        <v>453.711103584394</v>
      </c>
    </row>
    <row r="5647" customFormat="false" ht="17.15" hidden="false" customHeight="false" outlineLevel="0" collapsed="false">
      <c r="A5647" s="5" t="s">
        <v>799</v>
      </c>
      <c r="B5647" s="0" t="s">
        <v>86</v>
      </c>
      <c r="C5647" s="38" t="n">
        <f aca="false">Sens!$C$5525</f>
        <v>25.2781053077374</v>
      </c>
      <c r="D5647" s="38" t="n">
        <f aca="false">Sens!$D$5525</f>
        <v>69.5686316310026</v>
      </c>
      <c r="E5647" s="38" t="n">
        <f aca="false">Sens!$E$5525</f>
        <v>64.1899206485108</v>
      </c>
      <c r="F5647" s="38" t="n">
        <f aca="false">Sens!$F$5525</f>
        <v>88.7165504612134</v>
      </c>
      <c r="G5647" s="38" t="n">
        <f aca="false">Sens!$G$5525</f>
        <v>152.906471109724</v>
      </c>
      <c r="H5647" s="38" t="n">
        <f aca="false">Sens!$H$5525</f>
        <v>198.57136494475</v>
      </c>
      <c r="I5647" s="38" t="n">
        <f aca="false">Sens!$I$5525</f>
        <v>204.6464699105</v>
      </c>
      <c r="J5647" s="38" t="n">
        <f aca="false">Sens!$J$5525</f>
        <v>209.8832381105</v>
      </c>
      <c r="K5647" s="38" t="n">
        <f aca="false">Sens!$K$5525</f>
        <v>155.238385275201</v>
      </c>
      <c r="L5647" s="38" t="n">
        <f aca="false">Sens!$L$5525</f>
        <v>132.014141639902</v>
      </c>
      <c r="M5647" s="38" t="n">
        <f aca="false">Sens!$M$5525</f>
        <v>132.230981659852</v>
      </c>
    </row>
    <row r="5648" customFormat="false" ht="17.15" hidden="false" customHeight="false" outlineLevel="0" collapsed="false">
      <c r="A5648" s="5" t="s">
        <v>800</v>
      </c>
      <c r="B5648" s="0" t="s">
        <v>86</v>
      </c>
      <c r="C5648" s="38" t="n">
        <f aca="false">cx_awso*Sens!$C$5559</f>
        <v>21.0469989286053</v>
      </c>
      <c r="D5648" s="38" t="n">
        <f aca="false">cx_awso*Sens!$D$5559</f>
        <v>24.0042459822698</v>
      </c>
      <c r="E5648" s="38" t="n">
        <f aca="false">cx_awso*Sens!$E$5559</f>
        <v>14.261729404886</v>
      </c>
      <c r="F5648" s="38" t="n">
        <f aca="false">cx_awso*Sens!$F$5559</f>
        <v>14.3538599588493</v>
      </c>
      <c r="G5648" s="38" t="n">
        <f aca="false">Sens!$E$5648+Sens!$F$5648</f>
        <v>28.6155893637353</v>
      </c>
      <c r="H5648" s="38" t="n">
        <f aca="false">cx_awso*Sens!$H$5559</f>
        <v>32.2034154158406</v>
      </c>
      <c r="I5648" s="38" t="n">
        <f aca="false">cx_awso*Sens!$I$5559</f>
        <v>35.7539519042915</v>
      </c>
      <c r="J5648" s="38" t="n">
        <f aca="false">cx_awso*Sens!$J$5559</f>
        <v>39.1551076091815</v>
      </c>
      <c r="K5648" s="38" t="n">
        <f aca="false">cx_awso*Sens!$K$5559</f>
        <v>42.287516217916</v>
      </c>
      <c r="L5648" s="38" t="n">
        <f aca="false">cx_awso*Sens!$L$5559</f>
        <v>45.6705175153492</v>
      </c>
      <c r="M5648" s="38" t="n">
        <f aca="false">cx_awso*Sens!$M$5559</f>
        <v>49.3241589165772</v>
      </c>
    </row>
    <row r="5649" customFormat="false" ht="17.15" hidden="false" customHeight="false" outlineLevel="0" collapsed="false">
      <c r="A5649" s="5" t="s">
        <v>801</v>
      </c>
      <c r="B5649" s="0" t="s">
        <v>86</v>
      </c>
      <c r="C5649" s="38" t="n">
        <f aca="false">Q!$D$46-Sens!$C$5647-Sens!$C$5648</f>
        <v>31.3328957636573</v>
      </c>
      <c r="D5649" s="38" t="n">
        <f aca="false">Q!$E$46-Sens!$D$5647-Sens!$D$5648</f>
        <v>34.7471223867276</v>
      </c>
      <c r="E5649" s="38" t="n">
        <f aca="false">Q!$P$46-Sens!$E$5647-Sens!$E$5648</f>
        <v>17.8583499466032</v>
      </c>
      <c r="F5649" s="38" t="n">
        <f aca="false">cx_rt*Sens!$F$5488</f>
        <v>20.6195895799373</v>
      </c>
      <c r="G5649" s="38" t="n">
        <f aca="false">Sens!$E$5649+Sens!$F$5649</f>
        <v>38.4779395265405</v>
      </c>
      <c r="H5649" s="38" t="n">
        <f aca="false">cx_rt*Sens!$H$5488</f>
        <v>42.5978994743075</v>
      </c>
      <c r="I5649" s="38" t="n">
        <f aca="false">cx_rt*Sens!$I$5488</f>
        <v>46.5813904136335</v>
      </c>
      <c r="J5649" s="38" t="n">
        <f aca="false">cx_rt*Sens!$J$5488</f>
        <v>50.2781676586844</v>
      </c>
      <c r="K5649" s="38" t="n">
        <f aca="false">cx_rt*Sens!$K$5488</f>
        <v>53.5312440191755</v>
      </c>
      <c r="L5649" s="38" t="n">
        <f aca="false">cx_rt*Sens!$L$5488</f>
        <v>57.0116717051447</v>
      </c>
      <c r="M5649" s="38" t="n">
        <f aca="false">cx_rt*Sens!$M$5488</f>
        <v>60.7365554669226</v>
      </c>
    </row>
    <row r="5650" customFormat="false" ht="15" hidden="false" customHeight="false" outlineLevel="0" collapsed="false">
      <c r="A5650" s="3" t="s">
        <v>802</v>
      </c>
      <c r="B5650" s="8" t="s">
        <v>86</v>
      </c>
      <c r="C5650" s="38" t="n">
        <f aca="false">Q!$D$46</f>
        <v>77.658</v>
      </c>
      <c r="D5650" s="38" t="n">
        <f aca="false">Q!$E$46</f>
        <v>128.32</v>
      </c>
      <c r="E5650" s="38" t="n">
        <f aca="false">Q!$P$46</f>
        <v>96.31</v>
      </c>
      <c r="F5650" s="38" t="n">
        <f aca="false">Sens!$F$5647+Sens!$F$5648+Sens!$F$5649</f>
        <v>123.69</v>
      </c>
      <c r="G5650" s="38" t="n">
        <f aca="false">Sens!$E$5650+Sens!$F$5650</f>
        <v>220</v>
      </c>
      <c r="H5650" s="38" t="n">
        <f aca="false">Sens!$H$5647+Sens!$H$5648+Sens!$H$5649</f>
        <v>273.372679834898</v>
      </c>
      <c r="I5650" s="38" t="n">
        <f aca="false">Sens!$I$5647+Sens!$I$5648+Sens!$I$5649</f>
        <v>286.981812228425</v>
      </c>
      <c r="J5650" s="38" t="n">
        <f aca="false">Sens!$J$5647+Sens!$J$5648+Sens!$J$5649</f>
        <v>299.316513378366</v>
      </c>
      <c r="K5650" s="38" t="n">
        <f aca="false">Sens!$K$5647+Sens!$K$5648+Sens!$K$5649</f>
        <v>251.057145512292</v>
      </c>
      <c r="L5650" s="38" t="n">
        <f aca="false">Sens!$L$5647+Sens!$L$5648+Sens!$L$5649</f>
        <v>234.696330860396</v>
      </c>
      <c r="M5650" s="38" t="n">
        <f aca="false">Sens!$M$5647+Sens!$M$5648+Sens!$M$5649</f>
        <v>242.291696043352</v>
      </c>
    </row>
    <row r="5651" customFormat="false" ht="17.15" hidden="false" customHeight="false" outlineLevel="0" collapsed="false">
      <c r="A5651" s="5" t="s">
        <v>570</v>
      </c>
      <c r="B5651" s="0" t="s">
        <v>86</v>
      </c>
      <c r="C5651" s="38" t="n">
        <f aca="false">Q!$D$50</f>
        <v>2.043</v>
      </c>
      <c r="D5651" s="38" t="n">
        <f aca="false">Q!$E$50</f>
        <v>1.557</v>
      </c>
      <c r="E5651" s="38" t="n">
        <f aca="false">lease_pr/2</f>
        <v>0.8</v>
      </c>
      <c r="F5651" s="38" t="n">
        <f aca="false">lease_pr/2</f>
        <v>0.8</v>
      </c>
      <c r="G5651" s="38" t="n">
        <f aca="false">Sens!$E$5651+Sens!$F$5651</f>
        <v>1.6</v>
      </c>
      <c r="H5651" s="38" t="n">
        <f aca="false">lease_pr</f>
        <v>1.6</v>
      </c>
      <c r="I5651" s="38" t="n">
        <f aca="false">lease_pr</f>
        <v>1.6</v>
      </c>
      <c r="J5651" s="38" t="n">
        <f aca="false">lease_pr</f>
        <v>1.6</v>
      </c>
      <c r="K5651" s="38" t="n">
        <f aca="false">lease_pr</f>
        <v>1.6</v>
      </c>
      <c r="L5651" s="38" t="n">
        <f aca="false">lease_pr</f>
        <v>1.6</v>
      </c>
      <c r="M5651" s="38" t="n">
        <f aca="false">lease_pr</f>
        <v>1.6</v>
      </c>
      <c r="P5651" s="8" t="s">
        <v>803</v>
      </c>
    </row>
    <row r="5652" customFormat="false" ht="15" hidden="false" customHeight="false" outlineLevel="0" collapsed="false">
      <c r="A5652" s="47" t="s">
        <v>804</v>
      </c>
      <c r="B5652" s="14" t="s">
        <v>86</v>
      </c>
      <c r="C5652" s="48" t="n">
        <f aca="false">Sens!$C$5646-Sens!$C$5650-Sens!$C$5651</f>
        <v>36.176</v>
      </c>
      <c r="D5652" s="48" t="n">
        <f aca="false">Sens!$D$5646-Sens!$D$5650-Sens!$D$5651</f>
        <v>9.63700000000002</v>
      </c>
      <c r="E5652" s="48" t="n">
        <f aca="false">Sens!$E$5646-Sens!$E$5650-Sens!$E$5651</f>
        <v>-25.691</v>
      </c>
      <c r="F5652" s="48" t="n">
        <f aca="false">Sens!$F$5646-Sens!$F$5650-Sens!$F$5651</f>
        <v>-33.2271793268317</v>
      </c>
      <c r="G5652" s="48" t="n">
        <f aca="false">Sens!$G$5646-Sens!$G$5650-Sens!$G$5651</f>
        <v>-58.9181793268317</v>
      </c>
      <c r="H5652" s="48" t="n">
        <f aca="false">Sens!$H$5646-Sens!$H$5650-Sens!$H$5651</f>
        <v>-54.3561238424036</v>
      </c>
      <c r="I5652" s="48" t="n">
        <f aca="false">Sens!$I$5646-Sens!$I$5650-Sens!$I$5651</f>
        <v>-15.0303903946055</v>
      </c>
      <c r="J5652" s="48" t="n">
        <f aca="false">Sens!$J$5646-Sens!$J$5650-Sens!$J$5651</f>
        <v>25.3313456523922</v>
      </c>
      <c r="K5652" s="48" t="n">
        <f aca="false">Sens!$K$5646-Sens!$K$5650-Sens!$K$5651</f>
        <v>121.980646783072</v>
      </c>
      <c r="L5652" s="48" t="n">
        <f aca="false">Sens!$L$5646-Sens!$L$5650-Sens!$L$5651</f>
        <v>180.80865103054</v>
      </c>
      <c r="M5652" s="48" t="n">
        <f aca="false">Sens!$M$5646-Sens!$M$5650-Sens!$M$5651</f>
        <v>209.819407541041</v>
      </c>
      <c r="N5652" s="14"/>
      <c r="O5652" s="14"/>
    </row>
    <row r="5653" customFormat="false" ht="17.15" hidden="false" customHeight="false" outlineLevel="0" collapsed="false">
      <c r="A5653" s="5" t="s">
        <v>805</v>
      </c>
      <c r="B5653" s="0" t="s">
        <v>86</v>
      </c>
      <c r="C5653" s="38" t="n">
        <f aca="false">dps*Sens!$C$5632</f>
        <v>0</v>
      </c>
      <c r="D5653" s="38" t="n">
        <f aca="false">dps*Sens!$D$5632</f>
        <v>0</v>
      </c>
      <c r="E5653" s="38" t="n">
        <f aca="false">dps*Sens!$E$5632</f>
        <v>0</v>
      </c>
      <c r="F5653" s="38" t="n">
        <f aca="false">0</f>
        <v>0</v>
      </c>
      <c r="G5653" s="38" t="n">
        <f aca="false">dps*Sens!$G$5632</f>
        <v>0</v>
      </c>
      <c r="H5653" s="38" t="n">
        <f aca="false">dps*Sens!$H$5632</f>
        <v>0</v>
      </c>
      <c r="I5653" s="38" t="n">
        <f aca="false">dps*Sens!$I$5632</f>
        <v>0</v>
      </c>
      <c r="J5653" s="38" t="n">
        <f aca="false">dps*Sens!$J$5632</f>
        <v>0</v>
      </c>
      <c r="K5653" s="38" t="n">
        <f aca="false">dps*Sens!$K$5632</f>
        <v>0</v>
      </c>
      <c r="L5653" s="38" t="n">
        <f aca="false">dps*Sens!$L$5632</f>
        <v>0</v>
      </c>
      <c r="M5653" s="38" t="n">
        <f aca="false">dps*Sens!$M$5632</f>
        <v>0</v>
      </c>
      <c r="P5653" s="8" t="s">
        <v>806</v>
      </c>
    </row>
    <row r="5654" customFormat="false" ht="17.15" hidden="false" customHeight="false" outlineLevel="0" collapsed="false">
      <c r="A5654" s="5" t="s">
        <v>807</v>
      </c>
      <c r="B5654" s="0" t="s">
        <v>86</v>
      </c>
      <c r="C5654" s="38" t="n">
        <f aca="false">0</f>
        <v>0</v>
      </c>
      <c r="D5654" s="38" t="n">
        <f aca="false">0</f>
        <v>0</v>
      </c>
      <c r="E5654" s="38" t="n">
        <f aca="false">0</f>
        <v>0</v>
      </c>
      <c r="F5654" s="38" t="n">
        <f aca="false">0</f>
        <v>0</v>
      </c>
      <c r="G5654" s="38" t="n">
        <f aca="false">0</f>
        <v>0</v>
      </c>
      <c r="H5654" s="38" t="n">
        <f aca="false">0</f>
        <v>0</v>
      </c>
      <c r="I5654" s="38" t="n">
        <f aca="false">0</f>
        <v>0</v>
      </c>
      <c r="J5654" s="38" t="n">
        <f aca="false">0</f>
        <v>0</v>
      </c>
      <c r="K5654" s="38" t="n">
        <f aca="false">0</f>
        <v>0</v>
      </c>
      <c r="L5654" s="38" t="n">
        <f aca="false">0</f>
        <v>0</v>
      </c>
      <c r="M5654" s="38" t="n">
        <f aca="false">0</f>
        <v>0</v>
      </c>
      <c r="P5654" s="8" t="s">
        <v>808</v>
      </c>
    </row>
    <row r="5655" customFormat="false" ht="15" hidden="false" customHeight="false" outlineLevel="0" collapsed="false">
      <c r="A5655" s="3" t="s">
        <v>809</v>
      </c>
      <c r="B5655" s="8" t="s">
        <v>86</v>
      </c>
      <c r="C5655" s="38" t="n">
        <f aca="false">Sens!$C$5652-Sens!$C$5653</f>
        <v>36.176</v>
      </c>
      <c r="D5655" s="38" t="n">
        <f aca="false">Sens!$D$5652-Sens!$D$5653</f>
        <v>9.63700000000002</v>
      </c>
      <c r="E5655" s="38" t="n">
        <f aca="false">Sens!$E$5652-Sens!$E$5653</f>
        <v>-25.691</v>
      </c>
      <c r="F5655" s="38" t="n">
        <f aca="false">Sens!$F$5652-Sens!$F$5653</f>
        <v>-33.2271793268317</v>
      </c>
      <c r="G5655" s="38" t="n">
        <f aca="false">Sens!$G$5652-Sens!$G$5653</f>
        <v>-58.9181793268317</v>
      </c>
      <c r="H5655" s="38" t="n">
        <f aca="false">Sens!$H$5652-Sens!$H$5653</f>
        <v>-54.3561238424036</v>
      </c>
      <c r="I5655" s="38" t="n">
        <f aca="false">Sens!$I$5652-Sens!$I$5653</f>
        <v>-15.0303903946055</v>
      </c>
      <c r="J5655" s="38" t="n">
        <f aca="false">Sens!$J$5652-Sens!$J$5653</f>
        <v>25.3313456523922</v>
      </c>
      <c r="K5655" s="38" t="n">
        <f aca="false">Sens!$K$5652-Sens!$K$5653</f>
        <v>121.980646783072</v>
      </c>
      <c r="L5655" s="38" t="n">
        <f aca="false">Sens!$L$5652-Sens!$L$5653</f>
        <v>180.80865103054</v>
      </c>
      <c r="M5655" s="38" t="n">
        <f aca="false">Sens!$M$5652-Sens!$M$5653</f>
        <v>209.819407541041</v>
      </c>
    </row>
    <row r="5656" customFormat="false" ht="17.15" hidden="false" customHeight="false" outlineLevel="0" collapsed="false">
      <c r="A5656" s="5" t="s">
        <v>810</v>
      </c>
      <c r="B5656" s="0" t="s">
        <v>86</v>
      </c>
      <c r="E5656" s="38" t="n">
        <f aca="false">Q!$P$53</f>
        <v>39.767</v>
      </c>
      <c r="F5656" s="38" t="n">
        <f aca="false">inv_2h26</f>
        <v>21.3</v>
      </c>
      <c r="G5656" s="38" t="n">
        <f aca="false">Sens!$E$5656+Sens!$F$5656</f>
        <v>61.067</v>
      </c>
      <c r="H5656" s="39" t="n">
        <v>0</v>
      </c>
      <c r="I5656" s="39" t="n">
        <v>0</v>
      </c>
      <c r="J5656" s="39" t="n">
        <v>0</v>
      </c>
      <c r="K5656" s="39" t="n">
        <v>0</v>
      </c>
      <c r="L5656" s="39" t="n">
        <v>0</v>
      </c>
      <c r="M5656" s="39" t="n">
        <v>0</v>
      </c>
    </row>
    <row r="5657" customFormat="false" ht="17.15" hidden="false" customHeight="false" outlineLevel="0" collapsed="false">
      <c r="A5657" s="5" t="s">
        <v>811</v>
      </c>
      <c r="B5657" s="0" t="s">
        <v>86</v>
      </c>
      <c r="F5657" s="38" t="n">
        <f aca="false">iss_2h26</f>
        <v>29.249999</v>
      </c>
      <c r="G5657" s="38" t="n">
        <f aca="false">Sens!$F$5657</f>
        <v>29.249999</v>
      </c>
      <c r="H5657" s="39" t="n">
        <v>0</v>
      </c>
      <c r="I5657" s="39" t="n">
        <v>0</v>
      </c>
      <c r="J5657" s="39" t="n">
        <v>0</v>
      </c>
      <c r="K5657" s="39" t="n">
        <v>0</v>
      </c>
      <c r="L5657" s="39" t="n">
        <v>0</v>
      </c>
      <c r="M5657" s="39" t="n">
        <v>0</v>
      </c>
    </row>
    <row r="5658" customFormat="false" ht="17.15" hidden="false" customHeight="false" outlineLevel="0" collapsed="false">
      <c r="A5658" s="5" t="s">
        <v>812</v>
      </c>
      <c r="B5658" s="0" t="s">
        <v>86</v>
      </c>
      <c r="F5658" s="38" t="n">
        <f aca="false">cash_q2</f>
        <v>122.988</v>
      </c>
      <c r="G5658" s="38" t="n">
        <f aca="false">cash_q2</f>
        <v>122.988</v>
      </c>
      <c r="H5658" s="38" t="n">
        <f aca="false">Sens!$G$5661</f>
        <v>97.7108196731683</v>
      </c>
      <c r="I5658" s="38" t="n">
        <f aca="false">Sens!$H$5661</f>
        <v>50</v>
      </c>
      <c r="J5658" s="38" t="n">
        <f aca="false">Sens!$I$5661</f>
        <v>50</v>
      </c>
      <c r="K5658" s="38" t="n">
        <f aca="false">Sens!$J$5661</f>
        <v>75.3313456523922</v>
      </c>
      <c r="L5658" s="38" t="n">
        <f aca="false">Sens!$K$5661</f>
        <v>197.311992435464</v>
      </c>
      <c r="M5658" s="38" t="n">
        <f aca="false">Sens!$L$5661</f>
        <v>378.120643466004</v>
      </c>
    </row>
    <row r="5659" customFormat="false" ht="15" hidden="false" customHeight="false" outlineLevel="0" collapsed="false">
      <c r="A5659" s="5" t="s">
        <v>813</v>
      </c>
      <c r="B5659" s="0" t="s">
        <v>86</v>
      </c>
      <c r="F5659" s="38" t="n">
        <f aca="false">Sens!$F$5658+Sens!$F$5655-Sens!$F$5654-Sens!$F$5656+Sens!$F$5657</f>
        <v>97.7108196731683</v>
      </c>
      <c r="H5659" s="38" t="n">
        <f aca="false">Sens!$H$5658+Sens!$H$5655-Sens!$H$5654-Sens!$H$5656+Sens!$H$5657</f>
        <v>43.3546958307647</v>
      </c>
      <c r="I5659" s="38" t="n">
        <f aca="false">Sens!$I$5658+Sens!$I$5655-Sens!$I$5654-Sens!$I$5656+Sens!$I$5657</f>
        <v>34.9696096053945</v>
      </c>
      <c r="J5659" s="38" t="n">
        <f aca="false">Sens!$J$5658+Sens!$J$5655-Sens!$J$5654-Sens!$J$5656+Sens!$J$5657</f>
        <v>75.3313456523922</v>
      </c>
      <c r="K5659" s="38" t="n">
        <f aca="false">Sens!$K$5658+Sens!$K$5655-Sens!$K$5654-Sens!$K$5656+Sens!$K$5657</f>
        <v>197.311992435464</v>
      </c>
      <c r="L5659" s="38" t="n">
        <f aca="false">Sens!$L$5658+Sens!$L$5655-Sens!$L$5654-Sens!$L$5656+Sens!$L$5657</f>
        <v>378.120643466004</v>
      </c>
      <c r="M5659" s="38" t="n">
        <f aca="false">Sens!$M$5658+Sens!$M$5655-Sens!$M$5654-Sens!$M$5656+Sens!$M$5657</f>
        <v>587.940051007045</v>
      </c>
    </row>
    <row r="5660" customFormat="false" ht="17.15" hidden="false" customHeight="false" outlineLevel="0" collapsed="false">
      <c r="A5660" s="5" t="s">
        <v>814</v>
      </c>
      <c r="B5660" s="0" t="s">
        <v>86</v>
      </c>
      <c r="F5660" s="38" t="n">
        <f aca="false">MAX(0,min_cash-Sens!$F$5659)</f>
        <v>0</v>
      </c>
      <c r="G5660" s="38" t="n">
        <f aca="false">Sens!$F$5660</f>
        <v>0</v>
      </c>
      <c r="H5660" s="38" t="n">
        <f aca="false">MAX(0,min_cash-Sens!$H$5659)</f>
        <v>6.64530416923528</v>
      </c>
      <c r="I5660" s="38" t="n">
        <f aca="false">MAX(0,min_cash-Sens!$I$5659)</f>
        <v>15.0303903946055</v>
      </c>
      <c r="J5660" s="38" t="n">
        <f aca="false">MAX(0,min_cash-Sens!$J$5659)</f>
        <v>0</v>
      </c>
      <c r="K5660" s="38" t="n">
        <f aca="false">MAX(0,min_cash-Sens!$K$5659)</f>
        <v>0</v>
      </c>
      <c r="L5660" s="38" t="n">
        <f aca="false">MAX(0,min_cash-Sens!$L$5659)</f>
        <v>0</v>
      </c>
      <c r="M5660" s="38" t="n">
        <f aca="false">MAX(0,min_cash-Sens!$M$5659)</f>
        <v>0</v>
      </c>
      <c r="P5660" s="5" t="s">
        <v>815</v>
      </c>
    </row>
    <row r="5661" customFormat="false" ht="15" hidden="false" customHeight="false" outlineLevel="0" collapsed="false">
      <c r="A5661" s="5" t="s">
        <v>816</v>
      </c>
      <c r="B5661" s="0" t="s">
        <v>86</v>
      </c>
      <c r="D5661" s="38" t="n">
        <f aca="false">Q!$E$61</f>
        <v>123.029</v>
      </c>
      <c r="E5661" s="38" t="n">
        <f aca="false">Q!$M$61</f>
        <v>122.988</v>
      </c>
      <c r="F5661" s="38" t="n">
        <f aca="false">Sens!$F$5659+Sens!$F$5660</f>
        <v>97.7108196731683</v>
      </c>
      <c r="G5661" s="38" t="n">
        <f aca="false">Sens!$F$5661</f>
        <v>97.7108196731683</v>
      </c>
      <c r="H5661" s="38" t="n">
        <f aca="false">Sens!$H$5659+Sens!$H$5660</f>
        <v>50</v>
      </c>
      <c r="I5661" s="38" t="n">
        <f aca="false">Sens!$I$5659+Sens!$I$5660</f>
        <v>50</v>
      </c>
      <c r="J5661" s="38" t="n">
        <f aca="false">Sens!$J$5659+Sens!$J$5660</f>
        <v>75.3313456523922</v>
      </c>
      <c r="K5661" s="38" t="n">
        <f aca="false">Sens!$K$5659+Sens!$K$5660</f>
        <v>197.311992435464</v>
      </c>
      <c r="L5661" s="38" t="n">
        <f aca="false">Sens!$L$5659+Sens!$L$5660</f>
        <v>378.120643466004</v>
      </c>
      <c r="M5661" s="38" t="n">
        <f aca="false">Sens!$M$5659+Sens!$M$5660</f>
        <v>587.940051007045</v>
      </c>
    </row>
    <row r="5662" customFormat="false" ht="15" hidden="false" customHeight="false" outlineLevel="0" collapsed="false">
      <c r="A5662" s="5" t="s">
        <v>817</v>
      </c>
      <c r="B5662" s="0" t="s">
        <v>86</v>
      </c>
      <c r="D5662" s="38" t="n">
        <f aca="false">Q!$E$62</f>
        <v>68.836</v>
      </c>
      <c r="E5662" s="38" t="n">
        <f aca="false">Q!$M$62</f>
        <v>132.995</v>
      </c>
      <c r="F5662" s="38" t="n">
        <f aca="false">debt_q2+Sens!$F$5657+Sens!$F$5660</f>
        <v>162.244999</v>
      </c>
      <c r="G5662" s="38" t="n">
        <f aca="false">Sens!$F$5662</f>
        <v>162.244999</v>
      </c>
      <c r="H5662" s="38" t="n">
        <f aca="false">Sens!$G$5662+Sens!$H$5660</f>
        <v>168.890303169235</v>
      </c>
      <c r="I5662" s="38" t="n">
        <f aca="false">Sens!$H$5662+Sens!$I$5660</f>
        <v>183.920693563841</v>
      </c>
      <c r="J5662" s="38" t="n">
        <f aca="false">Sens!$I$5662+Sens!$J$5660</f>
        <v>183.920693563841</v>
      </c>
      <c r="K5662" s="38" t="n">
        <f aca="false">Sens!$J$5662+Sens!$K$5660</f>
        <v>183.920693563841</v>
      </c>
      <c r="L5662" s="38" t="n">
        <f aca="false">Sens!$K$5662+Sens!$L$5660</f>
        <v>183.920693563841</v>
      </c>
      <c r="M5662" s="38" t="n">
        <f aca="false">Sens!$L$5662+Sens!$M$5660</f>
        <v>183.920693563841</v>
      </c>
    </row>
    <row r="5663" customFormat="false" ht="15" hidden="false" customHeight="false" outlineLevel="0" collapsed="false">
      <c r="A5663" s="5" t="s">
        <v>818</v>
      </c>
      <c r="B5663" s="0" t="s">
        <v>86</v>
      </c>
      <c r="D5663" s="38" t="n">
        <f aca="false">Sens!$D$5662-Sens!$D$5661</f>
        <v>-54.193</v>
      </c>
      <c r="E5663" s="38" t="n">
        <f aca="false">Sens!$E$5662-Sens!$E$5661</f>
        <v>10.007</v>
      </c>
      <c r="F5663" s="38" t="n">
        <f aca="false">Sens!$F$5662-Sens!$F$5661</f>
        <v>64.5341793268317</v>
      </c>
      <c r="G5663" s="38" t="n">
        <f aca="false">Sens!$G$5662-Sens!$G$5661</f>
        <v>64.5341793268317</v>
      </c>
      <c r="H5663" s="38" t="n">
        <f aca="false">Sens!$H$5662-Sens!$H$5661</f>
        <v>118.890303169235</v>
      </c>
      <c r="I5663" s="38" t="n">
        <f aca="false">Sens!$I$5662-Sens!$I$5661</f>
        <v>133.920693563841</v>
      </c>
      <c r="J5663" s="38" t="n">
        <f aca="false">Sens!$J$5662-Sens!$J$5661</f>
        <v>108.589347911449</v>
      </c>
      <c r="K5663" s="38" t="n">
        <f aca="false">Sens!$K$5662-Sens!$K$5661</f>
        <v>-13.3912988716235</v>
      </c>
      <c r="L5663" s="38" t="n">
        <f aca="false">Sens!$L$5662-Sens!$L$5661</f>
        <v>-194.199949902163</v>
      </c>
      <c r="M5663" s="38" t="n">
        <f aca="false">Sens!$M$5662-Sens!$M$5661</f>
        <v>-404.019357443204</v>
      </c>
    </row>
    <row r="5664" customFormat="false" ht="17.15" hidden="false" customHeight="false" outlineLevel="0" collapsed="false">
      <c r="A5664" s="5" t="s">
        <v>819</v>
      </c>
      <c r="B5664" s="0" t="s">
        <v>86</v>
      </c>
      <c r="F5664" s="38" t="n">
        <f aca="false">debt_q2*kd_book*0.5+iss_2h26*kd_new*iss_t</f>
        <v>3.24888962733561</v>
      </c>
      <c r="H5664" s="38" t="n">
        <f aca="false">debt_q2*kd_book+(Sens!$G$5662-debt_q2)*kd_new</f>
        <v>7.42354172302123</v>
      </c>
      <c r="I5664" s="38" t="n">
        <f aca="false">debt_q2*kd_book+(Sens!$H$5662-debt_q2)*kd_new</f>
        <v>7.84418947693382</v>
      </c>
      <c r="J5664" s="38" t="n">
        <f aca="false">debt_q2*kd_book+(Sens!$I$5662-debt_q2)*kd_new</f>
        <v>8.79561318891235</v>
      </c>
      <c r="K5664" s="38" t="n">
        <f aca="false">debt_q2*kd_book+(Sens!$J$5662-debt_q2)*kd_new</f>
        <v>8.79561318891235</v>
      </c>
      <c r="L5664" s="38" t="n">
        <f aca="false">debt_q2*kd_book+(Sens!$K$5662-debt_q2)*kd_new</f>
        <v>8.79561318891235</v>
      </c>
      <c r="M5664" s="38" t="n">
        <f aca="false">debt_q2*kd_book+(Sens!$L$5662-debt_q2)*kd_new</f>
        <v>8.79561318891235</v>
      </c>
    </row>
    <row r="5665" customFormat="false" ht="17.15" hidden="false" customHeight="false" outlineLevel="0" collapsed="false">
      <c r="A5665" s="5" t="s">
        <v>820</v>
      </c>
      <c r="B5665" s="0" t="s">
        <v>86</v>
      </c>
      <c r="F5665" s="38" t="n">
        <f aca="false">cash_q2*y_cash*0.5</f>
        <v>2.59</v>
      </c>
      <c r="H5665" s="38" t="n">
        <f aca="false">Sens!$G$5661*y_cash</f>
        <v>4.1153774832261</v>
      </c>
      <c r="I5665" s="38" t="n">
        <f aca="false">Sens!$H$5661*y_cash</f>
        <v>2.10589651022864</v>
      </c>
      <c r="J5665" s="38" t="n">
        <f aca="false">Sens!$I$5661*y_cash</f>
        <v>2.10589651022864</v>
      </c>
      <c r="K5665" s="38" t="n">
        <f aca="false">Sens!$J$5661*y_cash</f>
        <v>3.172800358404</v>
      </c>
      <c r="L5665" s="38" t="n">
        <f aca="false">Sens!$K$5661*y_cash</f>
        <v>8.31037272592208</v>
      </c>
      <c r="M5665" s="38" t="n">
        <f aca="false">Sens!$L$5661*y_cash</f>
        <v>15.9256588704093</v>
      </c>
    </row>
    <row r="5666" customFormat="false" ht="17.15" hidden="false" customHeight="false" outlineLevel="0" collapsed="false">
      <c r="A5666" s="47" t="s">
        <v>821</v>
      </c>
      <c r="B5666" s="14" t="s">
        <v>86</v>
      </c>
      <c r="C5666" s="14"/>
      <c r="D5666" s="14"/>
      <c r="E5666" s="14"/>
      <c r="F5666" s="14"/>
      <c r="G5666" s="48" t="n">
        <f aca="false">SUM(Sens!$G$5655:$K$5655)</f>
        <v>19.0072988716234</v>
      </c>
      <c r="H5666" s="14"/>
      <c r="I5666" s="14"/>
      <c r="J5666" s="14"/>
      <c r="K5666" s="14"/>
      <c r="L5666" s="14"/>
      <c r="M5666" s="14"/>
      <c r="N5666" s="14"/>
      <c r="O5666" s="14"/>
    </row>
    <row r="5667" customFormat="false" ht="17.15" hidden="false" customHeight="false" outlineLevel="0" collapsed="false">
      <c r="A5667" s="0" t="s">
        <v>787</v>
      </c>
      <c r="B5667" s="0" t="s">
        <v>86</v>
      </c>
      <c r="G5667" s="38" t="n">
        <f aca="false">SUM(Sens!$G$5660:$K$5660)</f>
        <v>21.6756945638408</v>
      </c>
    </row>
    <row r="5668" customFormat="false" ht="17.15" hidden="false" customHeight="false" outlineLevel="0" collapsed="false">
      <c r="A5668" s="24" t="s">
        <v>824</v>
      </c>
      <c r="B5668" s="25" t="s">
        <v>86</v>
      </c>
      <c r="C5668" s="25"/>
      <c r="D5668" s="25"/>
      <c r="E5668" s="25"/>
      <c r="F5668" s="25"/>
      <c r="G5668" s="41" t="n">
        <f aca="false">Sens!$G$5666-(Sens!$G$5655+Sens!$H$5655+Sens!$I$5655+Sens!$J$5655+Sens!$K$5655)</f>
        <v>0</v>
      </c>
      <c r="H5668" s="25"/>
      <c r="I5668" s="25"/>
      <c r="J5668" s="25"/>
      <c r="K5668" s="25"/>
      <c r="L5668" s="25"/>
      <c r="M5668" s="25"/>
      <c r="N5668" s="25"/>
      <c r="O5668" s="25"/>
    </row>
    <row r="5671" customFormat="false" ht="19.4" hidden="false" customHeight="false" outlineLevel="0" collapsed="false">
      <c r="A5671" s="31" t="s">
        <v>1266</v>
      </c>
    </row>
    <row r="5672" customFormat="false" ht="17.15" hidden="false" customHeight="false" outlineLevel="0" collapsed="false">
      <c r="A5672" s="6" t="s">
        <v>16</v>
      </c>
      <c r="B5672" s="6" t="s">
        <v>17</v>
      </c>
      <c r="C5672" s="20" t="s">
        <v>504</v>
      </c>
      <c r="D5672" s="20" t="s">
        <v>505</v>
      </c>
      <c r="E5672" s="20" t="s">
        <v>587</v>
      </c>
      <c r="F5672" s="20" t="s">
        <v>588</v>
      </c>
      <c r="G5672" s="20" t="s">
        <v>589</v>
      </c>
      <c r="H5672" s="20" t="s">
        <v>590</v>
      </c>
      <c r="I5672" s="20" t="s">
        <v>591</v>
      </c>
      <c r="J5672" s="20" t="s">
        <v>592</v>
      </c>
      <c r="K5672" s="20" t="s">
        <v>593</v>
      </c>
      <c r="L5672" s="20" t="s">
        <v>594</v>
      </c>
      <c r="M5672" s="20" t="s">
        <v>595</v>
      </c>
      <c r="N5672" s="20" t="s">
        <v>596</v>
      </c>
      <c r="O5672" s="20" t="s">
        <v>597</v>
      </c>
      <c r="P5672" s="6" t="s">
        <v>23</v>
      </c>
      <c r="R5672" s="20" t="n">
        <v>2023</v>
      </c>
      <c r="S5672" s="20" t="n">
        <v>2024</v>
      </c>
      <c r="T5672" s="20" t="n">
        <v>2025</v>
      </c>
      <c r="U5672" s="20" t="n">
        <v>2026</v>
      </c>
      <c r="V5672" s="20" t="n">
        <v>2027</v>
      </c>
      <c r="W5672" s="20" t="n">
        <v>2028</v>
      </c>
      <c r="X5672" s="20" t="n">
        <v>2029</v>
      </c>
      <c r="Y5672" s="20" t="n">
        <v>2030</v>
      </c>
      <c r="Z5672" s="20" t="n">
        <v>2031</v>
      </c>
      <c r="AA5672" s="20" t="n">
        <v>2032</v>
      </c>
    </row>
    <row r="5673" customFormat="false" ht="17.15" hidden="false" customHeight="false" outlineLevel="0" collapsed="false">
      <c r="A5673" s="1" t="s">
        <v>926</v>
      </c>
    </row>
    <row r="5674" customFormat="false" ht="17.15" hidden="false" customHeight="false" outlineLevel="0" collapsed="false">
      <c r="A5674" s="0" t="s">
        <v>927</v>
      </c>
      <c r="B5674" s="0" t="s">
        <v>86</v>
      </c>
      <c r="H5674" s="38" t="n">
        <f aca="false">Sens!$H$5608*(1-tax)</f>
        <v>119.56497355468</v>
      </c>
      <c r="I5674" s="38" t="n">
        <f aca="false">Sens!$I$5608*(1-tax)</f>
        <v>141.256941944278</v>
      </c>
      <c r="J5674" s="38" t="n">
        <f aca="false">Sens!$J$5608*(1-tax)</f>
        <v>165.207646486437</v>
      </c>
      <c r="K5674" s="38" t="n">
        <f aca="false">Sens!$K$5608*(1-tax)</f>
        <v>182.2563867591</v>
      </c>
      <c r="L5674" s="38" t="n">
        <f aca="false">Sens!$L$5608*(1-tax)</f>
        <v>196.136023003742</v>
      </c>
      <c r="M5674" s="38" t="n">
        <f aca="false">Sens!$M$5608*(1-tax)</f>
        <v>208.266936154417</v>
      </c>
    </row>
    <row r="5675" customFormat="false" ht="15" hidden="false" customHeight="false" outlineLevel="0" collapsed="false">
      <c r="A5675" s="5" t="s">
        <v>928</v>
      </c>
      <c r="B5675" s="0" t="s">
        <v>86</v>
      </c>
      <c r="H5675" s="38" t="n">
        <f aca="false">Sens!$H$5619</f>
        <v>81.5618233196153</v>
      </c>
      <c r="I5675" s="38" t="n">
        <f aca="false">Sens!$I$5619</f>
        <v>118.756208740204</v>
      </c>
      <c r="J5675" s="38" t="n">
        <f aca="false">Sens!$J$5619</f>
        <v>152.469489406791</v>
      </c>
      <c r="K5675" s="38" t="n">
        <f aca="false">Sens!$K$5619</f>
        <v>186.391502623819</v>
      </c>
      <c r="L5675" s="38" t="n">
        <f aca="false">Sens!$L$5619</f>
        <v>211.926422215482</v>
      </c>
      <c r="M5675" s="38" t="n">
        <f aca="false">Sens!$M$5619</f>
        <v>229.012482097906</v>
      </c>
    </row>
    <row r="5676" customFormat="false" ht="15" hidden="false" customHeight="false" outlineLevel="0" collapsed="false">
      <c r="A5676" s="5" t="s">
        <v>929</v>
      </c>
      <c r="B5676" s="0" t="s">
        <v>86</v>
      </c>
      <c r="H5676" s="38" t="n">
        <f aca="false">Sens!$H$5650</f>
        <v>273.372679834898</v>
      </c>
      <c r="I5676" s="38" t="n">
        <f aca="false">Sens!$I$5650</f>
        <v>286.981812228425</v>
      </c>
      <c r="J5676" s="38" t="n">
        <f aca="false">Sens!$J$5650</f>
        <v>299.316513378366</v>
      </c>
      <c r="K5676" s="38" t="n">
        <f aca="false">Sens!$K$5650</f>
        <v>251.057145512292</v>
      </c>
      <c r="L5676" s="38" t="n">
        <f aca="false">Sens!$L$5650</f>
        <v>234.696330860396</v>
      </c>
      <c r="M5676" s="38" t="n">
        <f aca="false">Sens!$M$5650</f>
        <v>242.291696043352</v>
      </c>
    </row>
    <row r="5677" customFormat="false" ht="15" hidden="false" customHeight="false" outlineLevel="0" collapsed="false">
      <c r="A5677" s="5" t="s">
        <v>930</v>
      </c>
      <c r="B5677" s="0" t="s">
        <v>86</v>
      </c>
      <c r="H5677" s="38" t="n">
        <f aca="false">Sens!$H$5651</f>
        <v>1.6</v>
      </c>
      <c r="I5677" s="38" t="n">
        <f aca="false">Sens!$I$5651</f>
        <v>1.6</v>
      </c>
      <c r="J5677" s="38" t="n">
        <f aca="false">Sens!$J$5651</f>
        <v>1.6</v>
      </c>
      <c r="K5677" s="38" t="n">
        <f aca="false">Sens!$K$5651</f>
        <v>1.6</v>
      </c>
      <c r="L5677" s="38" t="n">
        <f aca="false">Sens!$L$5651</f>
        <v>1.6</v>
      </c>
      <c r="M5677" s="38" t="n">
        <f aca="false">Sens!$M$5651</f>
        <v>1.6</v>
      </c>
    </row>
    <row r="5678" customFormat="false" ht="15" hidden="false" customHeight="false" outlineLevel="0" collapsed="false">
      <c r="A5678" s="5" t="s">
        <v>931</v>
      </c>
      <c r="B5678" s="0" t="s">
        <v>86</v>
      </c>
      <c r="H5678" s="38" t="n">
        <f aca="false">Sens!$H$5645</f>
        <v>11.2928295263397</v>
      </c>
      <c r="I5678" s="38" t="n">
        <f aca="false">Sens!$I$5645</f>
        <v>12.8091546115766</v>
      </c>
      <c r="J5678" s="38" t="n">
        <f aca="false">Sens!$J$5645</f>
        <v>14.2605653162668</v>
      </c>
      <c r="K5678" s="38" t="n">
        <f aca="false">Sens!$K$5645</f>
        <v>15.5327622460396</v>
      </c>
      <c r="L5678" s="38" t="n">
        <f aca="false">Sens!$L$5645</f>
        <v>16.720573737517</v>
      </c>
      <c r="M5678" s="38" t="n">
        <f aca="false">Sens!$M$5645</f>
        <v>17.8283127551536</v>
      </c>
    </row>
    <row r="5679" customFormat="false" ht="17.15" hidden="false" customHeight="false" outlineLevel="0" collapsed="false">
      <c r="A5679" s="1" t="s">
        <v>932</v>
      </c>
      <c r="B5679" s="8" t="s">
        <v>86</v>
      </c>
      <c r="H5679" s="38" t="n">
        <f aca="false">Sens!$H$5674+Sens!$H$5675-Sens!$H$5676-Sens!$H$5677+Sens!$H$5678</f>
        <v>-62.5530534342631</v>
      </c>
      <c r="I5679" s="38" t="n">
        <f aca="false">Sens!$I$5674+Sens!$I$5675-Sens!$I$5676-Sens!$I$5677+Sens!$I$5678</f>
        <v>-15.7595069323669</v>
      </c>
      <c r="J5679" s="38" t="n">
        <f aca="false">Sens!$J$5674+Sens!$J$5675-Sens!$J$5676-Sens!$J$5677+Sens!$J$5678</f>
        <v>31.0211878311291</v>
      </c>
      <c r="K5679" s="38" t="n">
        <f aca="false">Sens!$K$5674+Sens!$K$5675-Sens!$K$5676-Sens!$K$5677+Sens!$K$5678</f>
        <v>131.523506116666</v>
      </c>
      <c r="L5679" s="38" t="n">
        <f aca="false">Sens!$L$5674+Sens!$L$5675-Sens!$L$5676-Sens!$L$5677+Sens!$L$5678</f>
        <v>188.486688096346</v>
      </c>
      <c r="M5679" s="38" t="n">
        <f aca="false">Sens!$M$5674+Sens!$M$5675-Sens!$M$5676-Sens!$M$5677+Sens!$M$5678</f>
        <v>211.216034964125</v>
      </c>
    </row>
    <row r="5680" customFormat="false" ht="15" hidden="false" customHeight="false" outlineLevel="0" collapsed="false">
      <c r="A5680" s="5" t="s">
        <v>933</v>
      </c>
      <c r="B5680" s="0" t="s">
        <v>57</v>
      </c>
      <c r="H5680" s="40" t="n">
        <f aca="false">1/(1+(wacc+0.01))^(2027-2026-0.5)</f>
        <v>0.943523276903728</v>
      </c>
      <c r="I5680" s="40" t="n">
        <f aca="false">1/(1+(wacc+0.01))^(2028-2026-0.5)</f>
        <v>0.839958552166526</v>
      </c>
      <c r="J5680" s="40" t="n">
        <f aca="false">1/(1+(wacc+0.01))^(2029-2026-0.5)</f>
        <v>0.747761487848991</v>
      </c>
      <c r="K5680" s="40" t="n">
        <f aca="false">1/(1+(wacc+0.01))^(2030-2026-0.5)</f>
        <v>0.665684326051463</v>
      </c>
      <c r="L5680" s="40" t="n">
        <f aca="false">1/(1+(wacc+0.01))^(2031-2026-0.5)</f>
        <v>0.592616267555198</v>
      </c>
      <c r="M5680" s="40" t="n">
        <f aca="false">1/(1+(wacc+0.01))^(2032-2026-0.5)</f>
        <v>0.527568438713552</v>
      </c>
    </row>
    <row r="5681" customFormat="false" ht="15" hidden="false" customHeight="false" outlineLevel="0" collapsed="false">
      <c r="A5681" s="5" t="s">
        <v>934</v>
      </c>
      <c r="B5681" s="0" t="s">
        <v>86</v>
      </c>
      <c r="H5681" s="38" t="n">
        <f aca="false">Sens!$H$5679*Sens!$H$5680</f>
        <v>-59.02026195663</v>
      </c>
      <c r="I5681" s="38" t="n">
        <f aca="false">Sens!$I$5679*Sens!$I$5680</f>
        <v>-13.2373326257692</v>
      </c>
      <c r="J5681" s="38" t="n">
        <f aca="false">Sens!$J$5679*Sens!$J$5680</f>
        <v>23.1964495674481</v>
      </c>
      <c r="K5681" s="38" t="n">
        <f aca="false">Sens!$K$5679*Sens!$K$5680</f>
        <v>87.5531365291985</v>
      </c>
      <c r="L5681" s="38" t="n">
        <f aca="false">Sens!$L$5679*Sens!$L$5680</f>
        <v>111.700277583497</v>
      </c>
      <c r="M5681" s="38" t="n">
        <f aca="false">Sens!$M$5679*Sens!$M$5680</f>
        <v>111.43091379729</v>
      </c>
    </row>
    <row r="5682" customFormat="false" ht="15" hidden="false" customHeight="false" outlineLevel="0" collapsed="false">
      <c r="A5682" s="5" t="s">
        <v>935</v>
      </c>
      <c r="B5682" s="0" t="s">
        <v>86</v>
      </c>
      <c r="C5682" s="38" t="n">
        <f aca="false">SUM(Sens!$H$5681:$M$5681)</f>
        <v>261.623182895035</v>
      </c>
    </row>
    <row r="5683" customFormat="false" ht="17.15" hidden="false" customHeight="false" outlineLevel="0" collapsed="false">
      <c r="A5683" s="5" t="s">
        <v>936</v>
      </c>
      <c r="B5683" s="0" t="s">
        <v>86</v>
      </c>
      <c r="C5683" s="38" t="n">
        <f aca="false">Sens!$M$5674*(1+tg)*(1-tg/ronic)/((wacc+0.01)-tg)</f>
        <v>1690.43874923236</v>
      </c>
    </row>
    <row r="5684" customFormat="false" ht="15" hidden="false" customHeight="false" outlineLevel="0" collapsed="false">
      <c r="A5684" s="5" t="s">
        <v>937</v>
      </c>
      <c r="B5684" s="0" t="s">
        <v>86</v>
      </c>
      <c r="C5684" s="38" t="n">
        <f aca="false">Sens!$C$5683/(1+(wacc+0.01))^6</f>
        <v>841.454940091759</v>
      </c>
    </row>
    <row r="5685" customFormat="false" ht="17.15" hidden="false" customHeight="false" outlineLevel="0" collapsed="false">
      <c r="A5685" s="5" t="s">
        <v>938</v>
      </c>
      <c r="B5685" s="0" t="s">
        <v>86</v>
      </c>
      <c r="C5685" s="38" t="n">
        <f aca="false">Sens!$C$5682+Sens!$C$5684</f>
        <v>1103.07812298679</v>
      </c>
    </row>
    <row r="5686" customFormat="false" ht="17.15" hidden="false" customHeight="false" outlineLevel="0" collapsed="false">
      <c r="A5686" s="5" t="s">
        <v>939</v>
      </c>
      <c r="B5686" s="0" t="s">
        <v>52</v>
      </c>
      <c r="C5686" s="13" t="n">
        <f aca="false">Sens!$C$5684/Sens!$C$5685</f>
        <v>0.762824429708895</v>
      </c>
    </row>
    <row r="5687" customFormat="false" ht="17.15" hidden="false" customHeight="false" outlineLevel="0" collapsed="false">
      <c r="A5687" s="5" t="s">
        <v>940</v>
      </c>
      <c r="B5687" s="0" t="s">
        <v>86</v>
      </c>
      <c r="C5687" s="38" t="n">
        <f aca="false">Sens!$G$5663+fin_debt</f>
        <v>89.0551793268317</v>
      </c>
    </row>
    <row r="5688" customFormat="false" ht="17.15" hidden="false" customHeight="false" outlineLevel="0" collapsed="false">
      <c r="A5688" s="5" t="s">
        <v>941</v>
      </c>
      <c r="B5688" s="0" t="s">
        <v>86</v>
      </c>
      <c r="C5688" s="38" t="n">
        <f aca="false">(ant_val*ant_sh+oai_val*oai_sh)*(1-liq_disc)</f>
        <v>178.944</v>
      </c>
    </row>
    <row r="5689" customFormat="false" ht="15" hidden="false" customHeight="false" outlineLevel="0" collapsed="false">
      <c r="A5689" s="5" t="s">
        <v>942</v>
      </c>
      <c r="B5689" s="0" t="s">
        <v>86</v>
      </c>
      <c r="C5689" s="38" t="n">
        <f aca="false">Sens!$C$5685-Sens!$C$5687+Sens!$C$5688</f>
        <v>1192.96694365996</v>
      </c>
    </row>
    <row r="5690" customFormat="false" ht="17.15" hidden="false" customHeight="false" outlineLevel="0" collapsed="false">
      <c r="A5690" s="5" t="s">
        <v>943</v>
      </c>
      <c r="B5690" s="0" t="s">
        <v>27</v>
      </c>
      <c r="C5690" s="30" t="n">
        <f aca="false">Sens!$C$5689/sh_out</f>
        <v>110.600057040798</v>
      </c>
    </row>
    <row r="5691" customFormat="false" ht="17.15" hidden="false" customHeight="false" outlineLevel="0" collapsed="false">
      <c r="A5691" s="1" t="s">
        <v>944</v>
      </c>
      <c r="B5691" s="8" t="s">
        <v>27</v>
      </c>
      <c r="C5691" s="30" t="n">
        <f aca="false">Sens!$C$5690*(1+ke)^tp_yf-dps*tp_yf</f>
        <v>121.147856900808</v>
      </c>
    </row>
    <row r="5692" customFormat="false" ht="17.15" hidden="false" customHeight="false" outlineLevel="0" collapsed="false">
      <c r="A5692" s="3" t="s">
        <v>945</v>
      </c>
    </row>
    <row r="5693" customFormat="false" ht="17.15" hidden="false" customHeight="false" outlineLevel="0" collapsed="false">
      <c r="A5693" s="5" t="s">
        <v>946</v>
      </c>
      <c r="B5693" s="0" t="s">
        <v>86</v>
      </c>
      <c r="C5693" s="38" t="n">
        <f aca="false">(1-tp_yf)*(Sens!$H$5620+sbc_ab*Sens!$H$5644*Sens!$H$5481/Sens!$H$5561)+tp_yf*(Sens!$I$5620+sbc_ab*Sens!$I$5644*Sens!$I$5481/Sens!$I$5561)</f>
        <v>59.634664536349</v>
      </c>
    </row>
    <row r="5694" customFormat="false" ht="15" hidden="false" customHeight="false" outlineLevel="0" collapsed="false">
      <c r="A5694" s="5" t="s">
        <v>947</v>
      </c>
      <c r="B5694" s="0" t="s">
        <v>57</v>
      </c>
      <c r="C5694" s="30" t="n">
        <f aca="false">m_ads*m_x</f>
        <v>9.11</v>
      </c>
    </row>
    <row r="5695" customFormat="false" ht="17.15" hidden="false" customHeight="false" outlineLevel="0" collapsed="false">
      <c r="A5695" s="5" t="s">
        <v>948</v>
      </c>
      <c r="B5695" s="0" t="s">
        <v>86</v>
      </c>
      <c r="C5695" s="38" t="n">
        <f aca="false">Sens!$C$5693*Sens!$C$5694</f>
        <v>543.271793926139</v>
      </c>
    </row>
    <row r="5696" customFormat="false" ht="17.15" hidden="false" customHeight="false" outlineLevel="0" collapsed="false">
      <c r="A5696" s="5" t="s">
        <v>949</v>
      </c>
      <c r="B5696" s="0" t="s">
        <v>86</v>
      </c>
      <c r="C5696" s="38" t="n">
        <f aca="false">(1-tp_yf)*(Sens!$H$5621+sbc_ab*Sens!$H$5644*(Sens!$H$5488-Sens!$H$5481)/Sens!$H$5561+IF(internal_ai_reading=2,1,0)*(1-ext_sh)*Sens!$H$5518)+tp_yf*(Sens!$I$5621+sbc_ab*Sens!$I$5644*(Sens!$I$5488-Sens!$I$5481)/Sens!$I$5561+IF(internal_ai_reading=2,1,0)*(1-ext_sh)*Sens!$I$5518)</f>
        <v>51.6951811103438</v>
      </c>
    </row>
    <row r="5697" customFormat="false" ht="17.15" hidden="false" customHeight="false" outlineLevel="0" collapsed="false">
      <c r="A5697" s="5" t="s">
        <v>950</v>
      </c>
      <c r="B5697" s="0" t="s">
        <v>57</v>
      </c>
      <c r="C5697" s="30" t="n">
        <f aca="false">m_retail*m_x</f>
        <v>17.72</v>
      </c>
    </row>
    <row r="5698" customFormat="false" ht="17.15" hidden="false" customHeight="false" outlineLevel="0" collapsed="false">
      <c r="A5698" s="5" t="s">
        <v>951</v>
      </c>
      <c r="B5698" s="0" t="s">
        <v>86</v>
      </c>
      <c r="C5698" s="38" t="n">
        <f aca="false">Sens!$C$5696*Sens!$C$5697</f>
        <v>916.038609275292</v>
      </c>
    </row>
    <row r="5699" customFormat="false" ht="17.15" hidden="false" customHeight="false" outlineLevel="0" collapsed="false">
      <c r="A5699" s="0" t="s">
        <v>952</v>
      </c>
      <c r="B5699" s="0" t="s">
        <v>86</v>
      </c>
      <c r="C5699" s="38" t="n">
        <f aca="false">(1-tp_yf)*(Sens!$H$5622+sbc_ab*Sens!$H$5644*Sens!$H$5559/Sens!$H$5561)+tp_yf*(Sens!$I$5622+sbc_ab*Sens!$I$5644*Sens!$I$5559/Sens!$I$5561)</f>
        <v>97.2337130506861</v>
      </c>
    </row>
    <row r="5700" customFormat="false" ht="17.15" hidden="false" customHeight="false" outlineLevel="0" collapsed="false">
      <c r="A5700" s="0" t="s">
        <v>953</v>
      </c>
      <c r="B5700" s="0" t="s">
        <v>57</v>
      </c>
      <c r="C5700" s="30" t="n">
        <f aca="false">m_cloud*m_x</f>
        <v>13.82</v>
      </c>
    </row>
    <row r="5701" customFormat="false" ht="17.15" hidden="false" customHeight="false" outlineLevel="0" collapsed="false">
      <c r="A5701" s="0" t="s">
        <v>954</v>
      </c>
      <c r="B5701" s="0" t="s">
        <v>86</v>
      </c>
      <c r="C5701" s="38" t="n">
        <f aca="false">Sens!$C$5699*Sens!$C$5700</f>
        <v>1343.76991436048</v>
      </c>
    </row>
    <row r="5702" customFormat="false" ht="17.15" hidden="false" customHeight="false" outlineLevel="0" collapsed="false">
      <c r="A5702" s="0" t="s">
        <v>955</v>
      </c>
      <c r="B5702" s="0" t="s">
        <v>86</v>
      </c>
      <c r="H5702" s="38" t="n">
        <f aca="false">Sens!$H$5540-tax*Sens!$H$5541-ext_sh*Sens!$H$5525</f>
        <v>-115.41576008619</v>
      </c>
      <c r="I5702" s="38" t="n">
        <f aca="false">Sens!$I$5540-tax*Sens!$I$5541-ext_sh*Sens!$I$5525</f>
        <v>-88.5401912683161</v>
      </c>
      <c r="J5702" s="38" t="n">
        <f aca="false">Sens!$J$5540-tax*Sens!$J$5541-ext_sh*Sens!$J$5525</f>
        <v>-61.2977422866746</v>
      </c>
      <c r="K5702" s="38" t="n">
        <f aca="false">Sens!$K$5540-tax*Sens!$K$5541-ext_sh*Sens!$K$5525</f>
        <v>9.91264760007891</v>
      </c>
      <c r="L5702" s="38" t="n">
        <f aca="false">Sens!$L$5540-tax*Sens!$L$5541-ext_sh*Sens!$L$5525</f>
        <v>46.750156871371</v>
      </c>
      <c r="M5702" s="38" t="n">
        <f aca="false">Sens!$M$5540-tax*Sens!$M$5541-ext_sh*Sens!$M$5525</f>
        <v>55.5634749071557</v>
      </c>
    </row>
    <row r="5703" customFormat="false" ht="17.15" hidden="false" customHeight="false" outlineLevel="0" collapsed="false">
      <c r="A5703" s="5" t="s">
        <v>956</v>
      </c>
      <c r="B5703" s="0" t="s">
        <v>86</v>
      </c>
      <c r="H5703" s="38" t="n">
        <f aca="false">Sens!$H$5702*Sens!$H$5680</f>
        <v>-108.897456162856</v>
      </c>
      <c r="I5703" s="38" t="n">
        <f aca="false">Sens!$I$5702*Sens!$I$5680</f>
        <v>-74.3700908662821</v>
      </c>
      <c r="J5703" s="38" t="n">
        <f aca="false">Sens!$J$5702*Sens!$J$5680</f>
        <v>-45.8360909740678</v>
      </c>
      <c r="K5703" s="38" t="n">
        <f aca="false">Sens!$K$5702*Sens!$K$5680</f>
        <v>6.59869413704418</v>
      </c>
      <c r="L5703" s="38" t="n">
        <f aca="false">Sens!$L$5702*Sens!$L$5680</f>
        <v>27.7049034727318</v>
      </c>
      <c r="M5703" s="38" t="n">
        <f aca="false">Sens!$M$5702*Sens!$M$5680</f>
        <v>29.3135357062678</v>
      </c>
    </row>
    <row r="5704" customFormat="false" ht="17.15" hidden="false" customHeight="false" outlineLevel="0" collapsed="false">
      <c r="A5704" s="5" t="s">
        <v>957</v>
      </c>
      <c r="B5704" s="0" t="s">
        <v>86</v>
      </c>
      <c r="C5704" s="38" t="n">
        <f aca="false">Sens!$M$5541*(1-tax)*(1+tg)*(1-tg/ronic)/((wacc+0.01)-tg)</f>
        <v>318.003508986783</v>
      </c>
    </row>
    <row r="5705" customFormat="false" ht="17.15" hidden="false" customHeight="false" outlineLevel="0" collapsed="false">
      <c r="A5705" s="0" t="s">
        <v>958</v>
      </c>
      <c r="B5705" s="0" t="s">
        <v>86</v>
      </c>
      <c r="C5705" s="38" t="n">
        <f aca="false">(SUM(Sens!$I$5703:$M$5703)+Sens!$C$5704/(1+(wacc+0.01))^6)*(1+(wacc+0.01))^tp_yf</f>
        <v>111.903302613391</v>
      </c>
    </row>
    <row r="5706" customFormat="false" ht="17.15" hidden="false" customHeight="false" outlineLevel="0" collapsed="false">
      <c r="A5706" s="5" t="s">
        <v>959</v>
      </c>
      <c r="B5706" s="0" t="s">
        <v>86</v>
      </c>
      <c r="C5706" s="38" t="n">
        <f aca="false">(1-tp_yf)*(Sens!$H$5623)+tp_yf*(Sens!$I$5623)</f>
        <v>74.6707041238437</v>
      </c>
    </row>
    <row r="5707" customFormat="false" ht="17.15" hidden="false" customHeight="false" outlineLevel="0" collapsed="false">
      <c r="A5707" s="5" t="s">
        <v>960</v>
      </c>
      <c r="B5707" s="0" t="s">
        <v>86</v>
      </c>
      <c r="C5707" s="38" t="n">
        <f aca="false">Sens!$C$5706*m_ai</f>
        <v>448.024224743062</v>
      </c>
    </row>
    <row r="5708" customFormat="false" ht="17.15" hidden="false" customHeight="false" outlineLevel="0" collapsed="false">
      <c r="A5708" s="0" t="s">
        <v>961</v>
      </c>
      <c r="B5708" s="0" t="s">
        <v>86</v>
      </c>
      <c r="C5708" s="38" t="n">
        <f aca="false">IF(ai_leg=1,Sens!$C$5705,Sens!$C$5707)</f>
        <v>111.903302613391</v>
      </c>
    </row>
    <row r="5709" customFormat="false" ht="17.15" hidden="false" customHeight="false" outlineLevel="0" collapsed="false">
      <c r="A5709" s="5" t="s">
        <v>962</v>
      </c>
      <c r="B5709" s="0" t="s">
        <v>86</v>
      </c>
      <c r="C5709" s="38" t="n">
        <f aca="false">Sens!$C$5695+Sens!$C$5698+Sens!$C$5701+Sens!$C$5708</f>
        <v>2914.9836201753</v>
      </c>
    </row>
    <row r="5710" customFormat="false" ht="17.15" hidden="false" customHeight="false" outlineLevel="0" collapsed="false">
      <c r="A5710" s="5" t="s">
        <v>963</v>
      </c>
      <c r="B5710" s="0" t="s">
        <v>86</v>
      </c>
      <c r="C5710" s="38" t="n">
        <f aca="false">Sens!$H$5663+fin_debt</f>
        <v>143.411303169235</v>
      </c>
    </row>
    <row r="5711" customFormat="false" ht="15" hidden="false" customHeight="false" outlineLevel="0" collapsed="false">
      <c r="A5711" s="5" t="s">
        <v>964</v>
      </c>
      <c r="B5711" s="0" t="s">
        <v>86</v>
      </c>
      <c r="C5711" s="38" t="n">
        <f aca="false">Sens!$C$5709-Sens!$C$5710+Sens!$C$5688</f>
        <v>2950.51631700607</v>
      </c>
    </row>
    <row r="5712" customFormat="false" ht="15" hidden="false" customHeight="false" outlineLevel="0" collapsed="false">
      <c r="A5712" s="3" t="s">
        <v>965</v>
      </c>
      <c r="B5712" s="8" t="s">
        <v>27</v>
      </c>
      <c r="C5712" s="30" t="n">
        <f aca="false">Sens!$C$5711/sh_val</f>
        <v>267.491597882533</v>
      </c>
    </row>
    <row r="5713" customFormat="false" ht="17.15" hidden="false" customHeight="false" outlineLevel="0" collapsed="false">
      <c r="A5713" s="47" t="s">
        <v>966</v>
      </c>
      <c r="B5713" s="14" t="s">
        <v>27</v>
      </c>
      <c r="C5713" s="44" t="n">
        <f aca="false">w_dcf*Sens!$C$5691+(1-w_dcf)*Sens!$C$5712</f>
        <v>194.31972739167</v>
      </c>
      <c r="D5713" s="14"/>
      <c r="E5713" s="14"/>
      <c r="F5713" s="14"/>
      <c r="G5713" s="14"/>
      <c r="H5713" s="14"/>
      <c r="I5713" s="14"/>
      <c r="J5713" s="14"/>
      <c r="K5713" s="14"/>
      <c r="L5713" s="14"/>
      <c r="M5713" s="14"/>
      <c r="N5713" s="14"/>
      <c r="O5713" s="14"/>
    </row>
    <row r="5714" customFormat="false" ht="17.15" hidden="false" customHeight="false" outlineLevel="0" collapsed="false">
      <c r="A5714" s="5" t="s">
        <v>967</v>
      </c>
      <c r="B5714" s="0" t="s">
        <v>27</v>
      </c>
      <c r="C5714" s="30" t="n">
        <f aca="false">v022_wdcf*Sens!$C$5691+(1-v022_wdcf)*Sens!$C$5712</f>
        <v>201.636914440757</v>
      </c>
    </row>
    <row r="5715" customFormat="false" ht="17.15" hidden="false" customHeight="false" outlineLevel="0" collapsed="false">
      <c r="A5715" s="5" t="s">
        <v>968</v>
      </c>
      <c r="B5715" s="0" t="s">
        <v>27</v>
      </c>
      <c r="C5715" s="30" t="n">
        <f aca="false">(Sens!$C$5711-Sens!$C$5708+Sens!$C$5707)/sh_val</f>
        <v>297.964068759578</v>
      </c>
    </row>
    <row r="5718" customFormat="false" ht="19.4" hidden="false" customHeight="false" outlineLevel="0" collapsed="false">
      <c r="A5718" s="31" t="s">
        <v>1267</v>
      </c>
    </row>
    <row r="5719" customFormat="false" ht="17.15" hidden="false" customHeight="false" outlineLevel="0" collapsed="false">
      <c r="A5719" s="6" t="s">
        <v>16</v>
      </c>
      <c r="B5719" s="6" t="s">
        <v>17</v>
      </c>
      <c r="C5719" s="20" t="s">
        <v>504</v>
      </c>
      <c r="D5719" s="20" t="s">
        <v>505</v>
      </c>
      <c r="E5719" s="20" t="s">
        <v>587</v>
      </c>
      <c r="F5719" s="20" t="s">
        <v>588</v>
      </c>
      <c r="G5719" s="20" t="s">
        <v>589</v>
      </c>
      <c r="H5719" s="20" t="s">
        <v>590</v>
      </c>
      <c r="I5719" s="20" t="s">
        <v>591</v>
      </c>
      <c r="J5719" s="20" t="s">
        <v>592</v>
      </c>
      <c r="K5719" s="20" t="s">
        <v>593</v>
      </c>
      <c r="L5719" s="20" t="s">
        <v>594</v>
      </c>
      <c r="M5719" s="20" t="s">
        <v>595</v>
      </c>
      <c r="N5719" s="20" t="s">
        <v>596</v>
      </c>
      <c r="O5719" s="20" t="s">
        <v>597</v>
      </c>
      <c r="P5719" s="6" t="s">
        <v>23</v>
      </c>
      <c r="R5719" s="20" t="n">
        <v>2023</v>
      </c>
      <c r="S5719" s="20" t="n">
        <v>2024</v>
      </c>
      <c r="T5719" s="20" t="n">
        <v>2025</v>
      </c>
      <c r="U5719" s="20" t="n">
        <v>2026</v>
      </c>
      <c r="V5719" s="20" t="n">
        <v>2027</v>
      </c>
      <c r="W5719" s="20" t="n">
        <v>2028</v>
      </c>
      <c r="X5719" s="20" t="n">
        <v>2029</v>
      </c>
      <c r="Y5719" s="20" t="n">
        <v>2030</v>
      </c>
      <c r="Z5719" s="20" t="n">
        <v>2031</v>
      </c>
      <c r="AA5719" s="20" t="n">
        <v>2032</v>
      </c>
    </row>
    <row r="5720" customFormat="false" ht="17.15" hidden="false" customHeight="false" outlineLevel="0" collapsed="false">
      <c r="A5720" s="1" t="s">
        <v>677</v>
      </c>
    </row>
    <row r="5721" customFormat="false" ht="17.15" hidden="false" customHeight="false" outlineLevel="0" collapsed="false">
      <c r="A5721" s="0" t="s">
        <v>526</v>
      </c>
      <c r="B5721" s="0" t="s">
        <v>86</v>
      </c>
      <c r="C5721" s="38" t="n">
        <f aca="false">Q!$D$10</f>
        <v>247.029</v>
      </c>
      <c r="D5721" s="38" t="n">
        <f aca="false">Q!$E$10</f>
        <v>269.287</v>
      </c>
      <c r="E5721" s="38" t="n">
        <f aca="false">Q!$P$10</f>
        <v>134.686</v>
      </c>
      <c r="F5721" s="38" t="n">
        <f aca="false">Sens!$O$5721*(1+Sens!$F$5722)*Sens!$F$5733</f>
        <v>158.293876822267</v>
      </c>
      <c r="G5721" s="38" t="n">
        <f aca="false">Sens!$E$5721+Sens!$F$5721</f>
        <v>292.979876822267</v>
      </c>
      <c r="H5721" s="38" t="n">
        <f aca="false">Sens!$G$5721*(1+Sens!$H$5722)</f>
        <v>318.184543087396</v>
      </c>
      <c r="I5721" s="38" t="n">
        <f aca="false">Sens!$H$5721*(1+Sens!$I$5722)</f>
        <v>341.736278761793</v>
      </c>
      <c r="J5721" s="38" t="n">
        <f aca="false">Sens!$I$5721*(1+Sens!$J$5722)</f>
        <v>362.927192787048</v>
      </c>
      <c r="K5721" s="38" t="n">
        <f aca="false">Sens!$J$5721*(1+Sens!$K$5722)</f>
        <v>381.0735524264</v>
      </c>
      <c r="L5721" s="38" t="n">
        <f aca="false">Sens!$K$5721*(1+Sens!$L$5722)</f>
        <v>400.12723004772</v>
      </c>
      <c r="M5721" s="38" t="n">
        <f aca="false">Sens!$L$5721*(1+Sens!$M$5722)</f>
        <v>420.133591550106</v>
      </c>
      <c r="N5721" s="38" t="n">
        <f aca="false">Q!$N$10</f>
        <v>118.892</v>
      </c>
      <c r="O5721" s="38" t="n">
        <f aca="false">Q!$O$10</f>
        <v>150.395</v>
      </c>
      <c r="P5721" s="8" t="s">
        <v>678</v>
      </c>
    </row>
    <row r="5722" customFormat="false" ht="17.15" hidden="false" customHeight="false" outlineLevel="0" collapsed="false">
      <c r="A5722" s="0" t="s">
        <v>679</v>
      </c>
      <c r="B5722" s="0" t="s">
        <v>52</v>
      </c>
      <c r="E5722" s="13" t="n">
        <f aca="false">Sens!$E$5721/Sens!$N$5721-1</f>
        <v>0.132843252699929</v>
      </c>
      <c r="F5722" s="13" t="n">
        <f aca="false">Sens!$O$5721/(Q!$F$10+Q!$G$10)-1</f>
        <v>0.0980382135842941</v>
      </c>
      <c r="G5722" s="13" t="n">
        <f aca="false">Sens!$G$5721/Sens!$D$5721-1</f>
        <v>0.0879837378791657</v>
      </c>
      <c r="H5722" s="13" t="n">
        <f aca="false">Sens!$F$5722+(g_os-Sens!$F$5722)*1/4</f>
        <v>0.0860286601882206</v>
      </c>
      <c r="I5722" s="13" t="n">
        <f aca="false">Sens!$F$5722+(g_os-Sens!$F$5722)*2/4</f>
        <v>0.074019106792147</v>
      </c>
      <c r="J5722" s="13" t="n">
        <f aca="false">Sens!$F$5722+(g_os-Sens!$F$5722)*3/4</f>
        <v>0.0620095533960735</v>
      </c>
      <c r="K5722" s="13" t="n">
        <f aca="false">Sens!$F$5722+(g_os-Sens!$F$5722)*4/4</f>
        <v>0.05</v>
      </c>
      <c r="L5722" s="13" t="n">
        <f aca="false">g_os</f>
        <v>0.05</v>
      </c>
      <c r="M5722" s="13" t="n">
        <f aca="false">g_os</f>
        <v>0.05</v>
      </c>
      <c r="P5722" s="8" t="s">
        <v>680</v>
      </c>
    </row>
    <row r="5723" customFormat="false" ht="17.15" hidden="false" customHeight="false" outlineLevel="0" collapsed="false">
      <c r="A5723" s="0" t="s">
        <v>527</v>
      </c>
      <c r="B5723" s="0" t="s">
        <v>86</v>
      </c>
      <c r="C5723" s="38" t="n">
        <f aca="false">Q!$D$11</f>
        <v>21.215</v>
      </c>
      <c r="D5723" s="38" t="n">
        <f aca="false">Q!$E$11</f>
        <v>22.561</v>
      </c>
      <c r="E5723" s="38" t="n">
        <f aca="false">Q!$P$11</f>
        <v>11.579</v>
      </c>
      <c r="F5723" s="38" t="n">
        <f aca="false">Sens!$O$5723*(1+Sens!$F$5724)*Sens!$F$5733</f>
        <v>11.5938724610325</v>
      </c>
      <c r="G5723" s="38" t="n">
        <f aca="false">Sens!$E$5723+Sens!$F$5723</f>
        <v>23.1728724610325</v>
      </c>
      <c r="H5723" s="38" t="n">
        <f aca="false">Sens!$G$5723*(1+Sens!$H$5724)</f>
        <v>24.353392759506</v>
      </c>
      <c r="I5723" s="38" t="n">
        <f aca="false">Sens!$H$5723*(1+Sens!$I$5724)</f>
        <v>25.4240338872015</v>
      </c>
      <c r="J5723" s="38" t="n">
        <f aca="false">Sens!$I$5723*(1+Sens!$J$5724)</f>
        <v>26.3642491017174</v>
      </c>
      <c r="K5723" s="38" t="n">
        <f aca="false">Sens!$J$5723*(1+Sens!$K$5724)</f>
        <v>27.155176574769</v>
      </c>
      <c r="L5723" s="38" t="n">
        <f aca="false">Sens!$K$5723*(1+Sens!$L$5724)</f>
        <v>27.969831872012</v>
      </c>
      <c r="M5723" s="38" t="n">
        <f aca="false">Sens!$L$5723*(1+Sens!$M$5724)</f>
        <v>28.8089268281724</v>
      </c>
      <c r="N5723" s="38" t="n">
        <f aca="false">Q!$N$11</f>
        <v>11.128</v>
      </c>
      <c r="O5723" s="38" t="n">
        <f aca="false">Q!$O$11</f>
        <v>11.433</v>
      </c>
      <c r="P5723" s="8" t="s">
        <v>678</v>
      </c>
    </row>
    <row r="5724" customFormat="false" ht="17.15" hidden="false" customHeight="false" outlineLevel="0" collapsed="false">
      <c r="A5724" s="0" t="s">
        <v>681</v>
      </c>
      <c r="B5724" s="0" t="s">
        <v>52</v>
      </c>
      <c r="E5724" s="13" t="n">
        <f aca="false">Sens!$E$5723/Sens!$N$5723-1</f>
        <v>0.0405283968368082</v>
      </c>
      <c r="F5724" s="13" t="n">
        <f aca="false">Sens!$O$5723/(Q!$F$11+Q!$G$11)-1</f>
        <v>0.0579254187100955</v>
      </c>
      <c r="G5724" s="13" t="n">
        <f aca="false">Sens!$G$5723/Sens!$D$5723-1</f>
        <v>0.0271208040881397</v>
      </c>
      <c r="H5724" s="13" t="n">
        <f aca="false">Sens!$F$5724+(g_ps-Sens!$F$5724)*1/4</f>
        <v>0.0509440640325716</v>
      </c>
      <c r="I5724" s="13" t="n">
        <f aca="false">Sens!$F$5724+(g_ps-Sens!$F$5724)*2/4</f>
        <v>0.0439627093550477</v>
      </c>
      <c r="J5724" s="13" t="n">
        <f aca="false">Sens!$F$5724+(g_ps-Sens!$F$5724)*3/4</f>
        <v>0.0369813546775239</v>
      </c>
      <c r="K5724" s="13" t="n">
        <f aca="false">Sens!$F$5724+(g_ps-Sens!$F$5724)*4/4</f>
        <v>0.03</v>
      </c>
      <c r="L5724" s="13" t="n">
        <f aca="false">g_ps</f>
        <v>0.03</v>
      </c>
      <c r="M5724" s="13" t="n">
        <f aca="false">g_ps</f>
        <v>0.03</v>
      </c>
      <c r="P5724" s="8" t="s">
        <v>682</v>
      </c>
    </row>
    <row r="5725" customFormat="false" ht="17.15" hidden="false" customHeight="false" outlineLevel="0" collapsed="false">
      <c r="A5725" s="0" t="s">
        <v>528</v>
      </c>
      <c r="B5725" s="0" t="s">
        <v>86</v>
      </c>
      <c r="C5725" s="38" t="n">
        <f aca="false">Q!$D$12</f>
        <v>156.146</v>
      </c>
      <c r="D5725" s="38" t="n">
        <f aca="false">Q!$E$12</f>
        <v>172.162</v>
      </c>
      <c r="E5725" s="38" t="n">
        <f aca="false">Q!$P$12</f>
        <v>88.358</v>
      </c>
      <c r="F5725" s="38" t="n">
        <f aca="false">Sens!$O$5725*(1+Sens!$F$5726)*Sens!$F$5733</f>
        <v>102.004388260171</v>
      </c>
      <c r="G5725" s="38" t="n">
        <f aca="false">Sens!$E$5725+Sens!$F$5725</f>
        <v>190.362388260171</v>
      </c>
      <c r="H5725" s="38" t="n">
        <f aca="false">Sens!$G$5725*(1+Sens!$H$5726)</f>
        <v>210.343106588311</v>
      </c>
      <c r="I5725" s="38" t="n">
        <f aca="false">Sens!$H$5725*(1+Sens!$I$5726)</f>
        <v>229.969728494648</v>
      </c>
      <c r="J5725" s="38" t="n">
        <f aca="false">Sens!$I$5725*(1+Sens!$J$5726)</f>
        <v>248.747636972598</v>
      </c>
      <c r="K5725" s="38" t="n">
        <f aca="false">Sens!$J$5725*(1+Sens!$K$5726)</f>
        <v>266.15997156068</v>
      </c>
      <c r="L5725" s="38" t="n">
        <f aca="false">Sens!$K$5725*(1+Sens!$L$5726)</f>
        <v>284.791169569927</v>
      </c>
      <c r="M5725" s="38" t="n">
        <f aca="false">Sens!$L$5725*(1+Sens!$M$5726)</f>
        <v>304.726551439822</v>
      </c>
      <c r="N5725" s="38" t="n">
        <f aca="false">Q!$N$12</f>
        <v>76.86</v>
      </c>
      <c r="O5725" s="38" t="n">
        <f aca="false">Q!$O$12</f>
        <v>95.302</v>
      </c>
      <c r="P5725" s="8" t="s">
        <v>678</v>
      </c>
    </row>
    <row r="5726" customFormat="false" ht="17.15" hidden="false" customHeight="false" outlineLevel="0" collapsed="false">
      <c r="A5726" s="0" t="s">
        <v>683</v>
      </c>
      <c r="B5726" s="0" t="s">
        <v>52</v>
      </c>
      <c r="E5726" s="13" t="n">
        <f aca="false">Sens!$E$5725/Sens!$N$5725-1</f>
        <v>0.1495966692688</v>
      </c>
      <c r="F5726" s="13" t="n">
        <f aca="false">Sens!$O$5725/(Q!$F$12+Q!$G$12)-1</f>
        <v>0.11661530890813</v>
      </c>
      <c r="G5726" s="13" t="n">
        <f aca="false">Sens!$G$5725/Sens!$D$5725-1</f>
        <v>0.105716640490767</v>
      </c>
      <c r="H5726" s="13" t="n">
        <f aca="false">Sens!$F$5726+(g_sp-Sens!$F$5726)*1/4</f>
        <v>0.104961481681098</v>
      </c>
      <c r="I5726" s="13" t="n">
        <f aca="false">Sens!$F$5726+(g_sp-Sens!$F$5726)*2/4</f>
        <v>0.0933076544540651</v>
      </c>
      <c r="J5726" s="13" t="n">
        <f aca="false">Sens!$F$5726+(g_sp-Sens!$F$5726)*3/4</f>
        <v>0.0816538272270325</v>
      </c>
      <c r="K5726" s="13" t="n">
        <f aca="false">Sens!$F$5726+(g_sp-Sens!$F$5726)*4/4</f>
        <v>0.07</v>
      </c>
      <c r="L5726" s="13" t="n">
        <f aca="false">g_sp</f>
        <v>0.07</v>
      </c>
      <c r="M5726" s="13" t="n">
        <f aca="false">g_sp</f>
        <v>0.07</v>
      </c>
      <c r="P5726" s="8" t="s">
        <v>684</v>
      </c>
    </row>
    <row r="5727" customFormat="false" ht="17.15" hidden="false" customHeight="false" outlineLevel="0" collapsed="false">
      <c r="A5727" s="0" t="s">
        <v>529</v>
      </c>
      <c r="B5727" s="0" t="s">
        <v>86</v>
      </c>
      <c r="C5727" s="38" t="n">
        <f aca="false">Q!$D$13</f>
        <v>56.214</v>
      </c>
      <c r="D5727" s="38" t="n">
        <f aca="false">Q!$E$13</f>
        <v>68.635</v>
      </c>
      <c r="E5727" s="38" t="n">
        <f aca="false">Q!$P$13</f>
        <v>37.052</v>
      </c>
      <c r="F5727" s="38" t="n">
        <f aca="false">Sens!$O$5727*(1+Sens!$F$5728)*Sens!$F$5733</f>
        <v>46.1572219944148</v>
      </c>
      <c r="G5727" s="38" t="n">
        <f aca="false">Sens!$E$5727+Sens!$F$5727</f>
        <v>83.2092219944148</v>
      </c>
      <c r="H5727" s="38" t="n">
        <f aca="false">Sens!$G$5727*(1+Sens!$H$5728)</f>
        <v>99.8969223878976</v>
      </c>
      <c r="I5727" s="38" t="n">
        <f aca="false">Sens!$H$5727*(1+Sens!$I$5728)</f>
        <v>116.583111095496</v>
      </c>
      <c r="J5727" s="38" t="n">
        <f aca="false">Sens!$I$5727*(1+Sens!$J$5728)</f>
        <v>132.148941941952</v>
      </c>
      <c r="K5727" s="38" t="n">
        <f aca="false">Sens!$J$5727*(1+Sens!$K$5728)</f>
        <v>145.363836136147</v>
      </c>
      <c r="L5727" s="38" t="n">
        <f aca="false">Sens!$K$5727*(1+Sens!$L$5728)</f>
        <v>159.900219749762</v>
      </c>
      <c r="M5727" s="38" t="n">
        <f aca="false">Sens!$L$5727*(1+Sens!$M$5728)</f>
        <v>175.890241724738</v>
      </c>
      <c r="N5727" s="38" t="n">
        <f aca="false">Q!$N$13</f>
        <v>29.615</v>
      </c>
      <c r="O5727" s="38" t="n">
        <f aca="false">Q!$O$13</f>
        <v>39.02</v>
      </c>
      <c r="P5727" s="8" t="s">
        <v>678</v>
      </c>
    </row>
    <row r="5728" customFormat="false" ht="17.15" hidden="false" customHeight="false" outlineLevel="0" collapsed="false">
      <c r="A5728" s="0" t="s">
        <v>685</v>
      </c>
      <c r="B5728" s="0" t="s">
        <v>52</v>
      </c>
      <c r="E5728" s="13" t="n">
        <f aca="false">Sens!$E$5727/Sens!$N$5727-1</f>
        <v>0.25112274185379</v>
      </c>
      <c r="F5728" s="13" t="n">
        <f aca="false">Sens!$O$5727/(Q!$F$13+Q!$G$13)-1</f>
        <v>0.234068123596572</v>
      </c>
      <c r="G5728" s="13" t="n">
        <f aca="false">Sens!$G$5727/Sens!$D$5727-1</f>
        <v>0.212343876949294</v>
      </c>
      <c r="H5728" s="13" t="n">
        <f aca="false">Sens!$F$5728+(g_ad-Sens!$F$5728)*1/4</f>
        <v>0.200551092697429</v>
      </c>
      <c r="I5728" s="13" t="n">
        <f aca="false">Sens!$F$5728+(g_ad-Sens!$F$5728)*2/4</f>
        <v>0.167034061798286</v>
      </c>
      <c r="J5728" s="13" t="n">
        <f aca="false">Sens!$F$5728+(g_ad-Sens!$F$5728)*3/4</f>
        <v>0.133517030899143</v>
      </c>
      <c r="K5728" s="13" t="n">
        <f aca="false">Sens!$F$5728+(g_ad-Sens!$F$5728)*4/4</f>
        <v>0.1</v>
      </c>
      <c r="L5728" s="13" t="n">
        <f aca="false">g_ad</f>
        <v>0.1</v>
      </c>
      <c r="M5728" s="13" t="n">
        <f aca="false">g_ad</f>
        <v>0.1</v>
      </c>
      <c r="P5728" s="8" t="s">
        <v>686</v>
      </c>
    </row>
    <row r="5729" customFormat="false" ht="17.15" hidden="false" customHeight="false" outlineLevel="0" collapsed="false">
      <c r="A5729" s="0" t="s">
        <v>530</v>
      </c>
      <c r="B5729" s="0" t="s">
        <v>86</v>
      </c>
      <c r="C5729" s="38" t="n">
        <f aca="false">Q!$D$14</f>
        <v>44.374</v>
      </c>
      <c r="D5729" s="38" t="n">
        <f aca="false">Q!$E$14</f>
        <v>49.619</v>
      </c>
      <c r="E5729" s="38" t="n">
        <f aca="false">Q!$P$14</f>
        <v>27.157</v>
      </c>
      <c r="F5729" s="38" t="n">
        <f aca="false">Sens!$O$5729*(1+Sens!$F$5730)*Sens!$F$5733</f>
        <v>27.7764165988154</v>
      </c>
      <c r="G5729" s="38" t="n">
        <f aca="false">Sens!$E$5729+Sens!$F$5729</f>
        <v>54.9334165988154</v>
      </c>
      <c r="H5729" s="38" t="n">
        <f aca="false">Sens!$G$5729*(1+Sens!$H$5730)</f>
        <v>61.1564112561829</v>
      </c>
      <c r="I5729" s="38" t="n">
        <f aca="false">Sens!$H$5729*(1+Sens!$I$5730)</f>
        <v>67.2020282103945</v>
      </c>
      <c r="J5729" s="38" t="n">
        <f aca="false">Sens!$I$5729*(1+Sens!$J$5730)</f>
        <v>72.8757274028885</v>
      </c>
      <c r="K5729" s="38" t="n">
        <f aca="false">Sens!$J$5729*(1+Sens!$K$5730)</f>
        <v>77.9770283210907</v>
      </c>
      <c r="L5729" s="38" t="n">
        <f aca="false">Sens!$K$5729*(1+Sens!$L$5730)</f>
        <v>83.4354203035671</v>
      </c>
      <c r="M5729" s="38" t="n">
        <f aca="false">Sens!$L$5729*(1+Sens!$M$5730)</f>
        <v>89.2758997248168</v>
      </c>
      <c r="N5729" s="38" t="n">
        <f aca="false">Q!$N$14</f>
        <v>23.923</v>
      </c>
      <c r="O5729" s="38" t="n">
        <f aca="false">Q!$O$14</f>
        <v>25.696</v>
      </c>
      <c r="P5729" s="8" t="s">
        <v>678</v>
      </c>
    </row>
    <row r="5730" customFormat="false" ht="17.15" hidden="false" customHeight="false" outlineLevel="0" collapsed="false">
      <c r="A5730" s="0" t="s">
        <v>687</v>
      </c>
      <c r="B5730" s="0" t="s">
        <v>52</v>
      </c>
      <c r="E5730" s="13" t="n">
        <f aca="false">Sens!$E$5729/Sens!$N$5729-1</f>
        <v>0.135183714417088</v>
      </c>
      <c r="F5730" s="13" t="n">
        <f aca="false">Sens!$O$5729/(Q!$F$14+Q!$G$14)-1</f>
        <v>0.127709997366804</v>
      </c>
      <c r="G5730" s="13" t="n">
        <f aca="false">Sens!$G$5729/Sens!$D$5729-1</f>
        <v>0.107104468022641</v>
      </c>
      <c r="H5730" s="13" t="n">
        <f aca="false">Sens!$F$5730+(g_sub-Sens!$F$5730)*1/4</f>
        <v>0.113282498025103</v>
      </c>
      <c r="I5730" s="13" t="n">
        <f aca="false">Sens!$F$5730+(g_sub-Sens!$F$5730)*2/4</f>
        <v>0.0988549986834021</v>
      </c>
      <c r="J5730" s="13" t="n">
        <f aca="false">Sens!$F$5730+(g_sub-Sens!$F$5730)*3/4</f>
        <v>0.084427499341701</v>
      </c>
      <c r="K5730" s="13" t="n">
        <f aca="false">Sens!$F$5730+(g_sub-Sens!$F$5730)*4/4</f>
        <v>0.07</v>
      </c>
      <c r="L5730" s="13" t="n">
        <f aca="false">g_sub</f>
        <v>0.07</v>
      </c>
      <c r="M5730" s="13" t="n">
        <f aca="false">g_sub</f>
        <v>0.07</v>
      </c>
      <c r="P5730" s="8" t="s">
        <v>688</v>
      </c>
    </row>
    <row r="5731" customFormat="false" ht="17.15" hidden="false" customHeight="false" outlineLevel="0" collapsed="false">
      <c r="A5731" s="0" t="s">
        <v>531</v>
      </c>
      <c r="B5731" s="0" t="s">
        <v>86</v>
      </c>
      <c r="C5731" s="38" t="n">
        <f aca="false">Q!$D$15</f>
        <v>5.425</v>
      </c>
      <c r="D5731" s="38" t="n">
        <f aca="false">Q!$E$15</f>
        <v>5.935</v>
      </c>
      <c r="E5731" s="38" t="n">
        <f aca="false">Q!$P$15</f>
        <v>3.474</v>
      </c>
      <c r="F5731" s="38" t="n">
        <f aca="false">Sens!$O$5731*(1+Sens!$F$5732)*Sens!$F$5733</f>
        <v>3.22246550883619</v>
      </c>
      <c r="G5731" s="38" t="n">
        <f aca="false">Sens!$E$5731+Sens!$F$5731</f>
        <v>6.69646550883619</v>
      </c>
      <c r="H5731" s="38" t="n">
        <f aca="false">Sens!$G$5731*(1+Sens!$H$5732)</f>
        <v>7.16251344209196</v>
      </c>
      <c r="I5731" s="38" t="n">
        <f aca="false">Sens!$H$5731*(1+Sens!$I$5732)</f>
        <v>7.61421070299826</v>
      </c>
      <c r="J5731" s="38" t="n">
        <f aca="false">Sens!$I$5731*(1+Sens!$J$5732)</f>
        <v>8.04465753523932</v>
      </c>
      <c r="K5731" s="38" t="n">
        <f aca="false">Sens!$J$5731*(1+Sens!$K$5732)</f>
        <v>8.44689041200128</v>
      </c>
      <c r="L5731" s="38" t="n">
        <f aca="false">Sens!$K$5731*(1+Sens!$L$5732)</f>
        <v>8.86923493260135</v>
      </c>
      <c r="M5731" s="38" t="n">
        <f aca="false">Sens!$L$5731*(1+Sens!$M$5732)</f>
        <v>9.31269667923142</v>
      </c>
      <c r="N5731" s="38" t="n">
        <f aca="false">Q!$N$15</f>
        <v>2.811</v>
      </c>
      <c r="O5731" s="38" t="n">
        <f aca="false">Q!$O$15</f>
        <v>3.124</v>
      </c>
      <c r="P5731" s="8" t="s">
        <v>678</v>
      </c>
    </row>
    <row r="5732" customFormat="false" ht="17.15" hidden="false" customHeight="false" outlineLevel="0" collapsed="false">
      <c r="A5732" s="0" t="s">
        <v>689</v>
      </c>
      <c r="B5732" s="0" t="s">
        <v>52</v>
      </c>
      <c r="E5732" s="13" t="n">
        <f aca="false">Sens!$E$5731/Sens!$N$5731-1</f>
        <v>0.235859124866596</v>
      </c>
      <c r="F5732" s="13" t="n">
        <f aca="false">Sens!$O$5731/(Q!$F$15+Q!$G$15)-1</f>
        <v>0.0761281433000345</v>
      </c>
      <c r="G5732" s="13" t="n">
        <f aca="false">Sens!$G$5731/Sens!$D$5731-1</f>
        <v>0.128300843948811</v>
      </c>
      <c r="H5732" s="13" t="n">
        <f aca="false">Sens!$F$5732+(g_ot-Sens!$F$5732)*1/4</f>
        <v>0.0695961074750259</v>
      </c>
      <c r="I5732" s="13" t="n">
        <f aca="false">Sens!$F$5732+(g_ot-Sens!$F$5732)*2/4</f>
        <v>0.0630640716500172</v>
      </c>
      <c r="J5732" s="13" t="n">
        <f aca="false">Sens!$F$5732+(g_ot-Sens!$F$5732)*3/4</f>
        <v>0.0565320358250086</v>
      </c>
      <c r="K5732" s="13" t="n">
        <f aca="false">Sens!$F$5732+(g_ot-Sens!$F$5732)*4/4</f>
        <v>0.05</v>
      </c>
      <c r="L5732" s="13" t="n">
        <f aca="false">g_ot</f>
        <v>0.05</v>
      </c>
      <c r="M5732" s="13" t="n">
        <f aca="false">g_ot</f>
        <v>0.05</v>
      </c>
      <c r="P5732" s="8" t="s">
        <v>690</v>
      </c>
    </row>
    <row r="5733" customFormat="false" ht="17.15" hidden="false" customHeight="false" outlineLevel="0" collapsed="false">
      <c r="A5733" s="0" t="s">
        <v>691</v>
      </c>
      <c r="B5733" s="0" t="s">
        <v>57</v>
      </c>
      <c r="F5733" s="40" t="n">
        <f aca="false">(g26q3_mid*Q!$O$8/Q!$J$8-Thesis!$F$89-Thesis!$F$93)/(Sens!$O$5721*(1+Sens!$F$5722)+Sens!$O$5723*(1+Sens!$F$5724)+Sens!$O$5725*(1+Sens!$F$5726)+Sens!$O$5727*(1+Sens!$F$5728)+Sens!$O$5729*(1+Sens!$F$5730)+Sens!$O$5731*(1+Sens!$F$5732))</f>
        <v>0.958546670622329</v>
      </c>
      <c r="P5733" s="8" t="s">
        <v>692</v>
      </c>
    </row>
    <row r="5734" customFormat="false" ht="17.15" hidden="false" customHeight="false" outlineLevel="0" collapsed="false">
      <c r="A5734" s="3" t="s">
        <v>693</v>
      </c>
      <c r="B5734" s="8" t="s">
        <v>86</v>
      </c>
      <c r="C5734" s="38" t="n">
        <f aca="false">Sens!$C$5721+Sens!$C$5723+Sens!$C$5725+Sens!$C$5727+Sens!$C$5729+Sens!$C$5731</f>
        <v>530.403</v>
      </c>
      <c r="D5734" s="38" t="n">
        <f aca="false">Sens!$D$5721+Sens!$D$5723+Sens!$D$5725+Sens!$D$5727+Sens!$D$5729+Sens!$D$5731</f>
        <v>588.199</v>
      </c>
      <c r="E5734" s="38" t="n">
        <f aca="false">Sens!$E$5721+Sens!$E$5723+Sens!$E$5725+Sens!$E$5727+Sens!$E$5729+Sens!$E$5731</f>
        <v>302.306</v>
      </c>
      <c r="F5734" s="38" t="n">
        <f aca="false">Sens!$F$5721+Sens!$F$5723+Sens!$F$5725+Sens!$F$5727+Sens!$F$5729+Sens!$F$5731</f>
        <v>349.048241645537</v>
      </c>
      <c r="G5734" s="38" t="n">
        <f aca="false">Sens!$G$5721+Sens!$G$5723+Sens!$G$5725+Sens!$G$5727+Sens!$G$5729+Sens!$G$5731</f>
        <v>651.354241645537</v>
      </c>
      <c r="H5734" s="38" t="n">
        <f aca="false">Sens!$H$5721+Sens!$H$5723+Sens!$H$5725+Sens!$H$5727+Sens!$H$5729+Sens!$H$5731</f>
        <v>721.096889521386</v>
      </c>
      <c r="I5734" s="38" t="n">
        <f aca="false">Sens!$I$5721+Sens!$I$5723+Sens!$I$5725+Sens!$I$5727+Sens!$I$5729+Sens!$I$5731</f>
        <v>788.529391152531</v>
      </c>
      <c r="J5734" s="38" t="n">
        <f aca="false">Sens!$J$5721+Sens!$J$5723+Sens!$J$5725+Sens!$J$5727+Sens!$J$5729+Sens!$J$5731</f>
        <v>851.108405741443</v>
      </c>
      <c r="K5734" s="38" t="n">
        <f aca="false">Sens!$K$5721+Sens!$K$5723+Sens!$K$5725+Sens!$K$5727+Sens!$K$5729+Sens!$K$5731</f>
        <v>906.176455431088</v>
      </c>
      <c r="L5734" s="38" t="n">
        <f aca="false">Sens!$L$5721+Sens!$L$5723+Sens!$L$5725+Sens!$L$5727+Sens!$L$5729+Sens!$L$5731</f>
        <v>965.093106475589</v>
      </c>
      <c r="M5734" s="38" t="n">
        <f aca="false">Sens!$M$5721+Sens!$M$5723+Sens!$M$5725+Sens!$M$5727+Sens!$M$5729+Sens!$M$5731</f>
        <v>1028.14790794689</v>
      </c>
      <c r="N5734" s="38" t="n">
        <f aca="false">Sens!$N$5721+Sens!$N$5723+Sens!$N$5725+Sens!$N$5727+Sens!$N$5729+Sens!$N$5731</f>
        <v>263.229</v>
      </c>
      <c r="O5734" s="38" t="n">
        <f aca="false">Sens!$O$5721+Sens!$O$5723+Sens!$O$5725+Sens!$O$5727+Sens!$O$5729+Sens!$O$5731</f>
        <v>324.97</v>
      </c>
    </row>
    <row r="5735" customFormat="false" ht="17.15" hidden="false" customHeight="false" outlineLevel="0" collapsed="false">
      <c r="A5735" s="5" t="s">
        <v>694</v>
      </c>
      <c r="B5735" s="0" t="s">
        <v>52</v>
      </c>
      <c r="C5735" s="13" t="n">
        <f aca="false">Q!$D$5/(Q!$D$5+Q!$D$6)</f>
        <v>0.730570905519011</v>
      </c>
      <c r="D5735" s="13" t="n">
        <f aca="false">Q!$E$5/(Q!$E$5+Q!$E$6)</f>
        <v>0.724763217890544</v>
      </c>
      <c r="E5735" s="13" t="n">
        <f aca="false">Q!$P$5/(Q!$P$5+Q!$P$6)</f>
        <v>0.728797972914861</v>
      </c>
      <c r="F5735" s="13" t="n">
        <f aca="false">Sens!$O$5735</f>
        <v>0.718066283041511</v>
      </c>
      <c r="G5735" s="13" t="n">
        <f aca="false">Sens!$G$5736/Sens!$G$5734</f>
        <v>0.723047066202847</v>
      </c>
      <c r="H5735" s="13" t="n">
        <f aca="false">Sens!$G$5735</f>
        <v>0.723047066202847</v>
      </c>
      <c r="I5735" s="13" t="n">
        <f aca="false">Sens!$G$5735</f>
        <v>0.723047066202847</v>
      </c>
      <c r="J5735" s="13" t="n">
        <f aca="false">Sens!$G$5735</f>
        <v>0.723047066202847</v>
      </c>
      <c r="K5735" s="13" t="n">
        <f aca="false">Sens!$G$5735</f>
        <v>0.723047066202847</v>
      </c>
      <c r="L5735" s="13" t="n">
        <f aca="false">Sens!$G$5735</f>
        <v>0.723047066202847</v>
      </c>
      <c r="M5735" s="13" t="n">
        <f aca="false">Sens!$G$5735</f>
        <v>0.723047066202847</v>
      </c>
      <c r="N5735" s="13" t="n">
        <f aca="false">Q!$N$5/(Q!$N$5+Q!$N$6)</f>
        <v>0.733030935041352</v>
      </c>
      <c r="O5735" s="13" t="n">
        <f aca="false">Q!$O$5/(Q!$O$5+Q!$O$6)</f>
        <v>0.718066283041511</v>
      </c>
      <c r="P5735" s="8" t="s">
        <v>695</v>
      </c>
    </row>
    <row r="5736" customFormat="false" ht="17.15" hidden="false" customHeight="false" outlineLevel="0" collapsed="false">
      <c r="A5736" s="1" t="s">
        <v>519</v>
      </c>
      <c r="B5736" s="8" t="s">
        <v>86</v>
      </c>
      <c r="C5736" s="38" t="n">
        <f aca="false">Q!$D$5</f>
        <v>387.497</v>
      </c>
      <c r="D5736" s="38" t="n">
        <f aca="false">Q!$E$5</f>
        <v>426.305</v>
      </c>
      <c r="E5736" s="38" t="n">
        <f aca="false">Q!$P$5</f>
        <v>220.32</v>
      </c>
      <c r="F5736" s="38" t="n">
        <f aca="false">Sens!$F$5734*Sens!$F$5735</f>
        <v>250.639773480586</v>
      </c>
      <c r="G5736" s="38" t="n">
        <f aca="false">Sens!$E$5736+Sens!$F$5736</f>
        <v>470.959773480586</v>
      </c>
      <c r="H5736" s="38" t="n">
        <f aca="false">Sens!$H$5734*Sens!$H$5735</f>
        <v>521.386990416437</v>
      </c>
      <c r="I5736" s="38" t="n">
        <f aca="false">Sens!$I$5734*Sens!$I$5735</f>
        <v>570.143862887555</v>
      </c>
      <c r="J5736" s="38" t="n">
        <f aca="false">Sens!$J$5734*Sens!$J$5735</f>
        <v>615.391435791933</v>
      </c>
      <c r="K5736" s="38" t="n">
        <f aca="false">Sens!$K$5734*Sens!$K$5735</f>
        <v>655.208227561543</v>
      </c>
      <c r="L5736" s="38" t="n">
        <f aca="false">Sens!$L$5734*Sens!$L$5735</f>
        <v>697.807739249767</v>
      </c>
      <c r="M5736" s="38" t="n">
        <f aca="false">Sens!$M$5734*Sens!$M$5735</f>
        <v>743.399328463592</v>
      </c>
      <c r="N5736" s="38" t="n">
        <f aca="false">Q!$N$5</f>
        <v>192.955</v>
      </c>
      <c r="O5736" s="38" t="n">
        <f aca="false">Q!$O$5</f>
        <v>233.35</v>
      </c>
      <c r="P5736" s="5" t="s">
        <v>696</v>
      </c>
    </row>
    <row r="5737" customFormat="false" ht="17.15" hidden="false" customHeight="false" outlineLevel="0" collapsed="false">
      <c r="A5737" s="1" t="s">
        <v>522</v>
      </c>
      <c r="B5737" s="8" t="s">
        <v>86</v>
      </c>
      <c r="C5737" s="38" t="n">
        <f aca="false">Q!$D$6</f>
        <v>142.906</v>
      </c>
      <c r="D5737" s="38" t="n">
        <f aca="false">Q!$E$6</f>
        <v>161.894</v>
      </c>
      <c r="E5737" s="38" t="n">
        <f aca="false">Q!$P$6</f>
        <v>81.986</v>
      </c>
      <c r="F5737" s="38" t="n">
        <f aca="false">Sens!$F$5734*(1-Sens!$F$5735)</f>
        <v>98.408468164951</v>
      </c>
      <c r="G5737" s="38" t="n">
        <f aca="false">Sens!$E$5737+Sens!$F$5737</f>
        <v>180.394468164951</v>
      </c>
      <c r="H5737" s="38" t="n">
        <f aca="false">Sens!$H$5734*(1-Sens!$H$5735)</f>
        <v>199.709899104949</v>
      </c>
      <c r="I5737" s="38" t="n">
        <f aca="false">Sens!$I$5734*(1-Sens!$I$5735)</f>
        <v>218.385528264976</v>
      </c>
      <c r="J5737" s="38" t="n">
        <f aca="false">Sens!$J$5734*(1-Sens!$J$5735)</f>
        <v>235.71696994951</v>
      </c>
      <c r="K5737" s="38" t="n">
        <f aca="false">Sens!$K$5734*(1-Sens!$K$5735)</f>
        <v>250.968227869545</v>
      </c>
      <c r="L5737" s="38" t="n">
        <f aca="false">Sens!$L$5734*(1-Sens!$L$5735)</f>
        <v>267.285367225822</v>
      </c>
      <c r="M5737" s="38" t="n">
        <f aca="false">Sens!$M$5734*(1-Sens!$M$5735)</f>
        <v>284.748579483295</v>
      </c>
      <c r="N5737" s="38" t="n">
        <f aca="false">Q!$N$6</f>
        <v>70.274</v>
      </c>
      <c r="O5737" s="38" t="n">
        <f aca="false">Q!$O$6</f>
        <v>91.62</v>
      </c>
      <c r="P5737" s="5" t="s">
        <v>697</v>
      </c>
    </row>
    <row r="5738" customFormat="false" ht="17.15" hidden="false" customHeight="false" outlineLevel="0" collapsed="false">
      <c r="A5738" s="5" t="s">
        <v>698</v>
      </c>
      <c r="B5738" s="0" t="s">
        <v>86</v>
      </c>
      <c r="C5738" s="38" t="n">
        <f aca="false">Sens!$C$5727*Sens!$C$5735</f>
        <v>41.0683128828457</v>
      </c>
      <c r="D5738" s="38" t="n">
        <f aca="false">Sens!$D$5727*Sens!$D$5735</f>
        <v>49.7441234599175</v>
      </c>
      <c r="E5738" s="38" t="n">
        <f aca="false">Sens!$E$5727*Sens!$E$5735</f>
        <v>27.0034224924414</v>
      </c>
      <c r="F5738" s="38" t="n">
        <f aca="false">Sens!$F$5727*Sens!$F$5735</f>
        <v>33.1439448330513</v>
      </c>
      <c r="G5738" s="38" t="n">
        <f aca="false">Sens!$G$5727*Sens!$G$5735</f>
        <v>60.164183844083</v>
      </c>
      <c r="H5738" s="38" t="n">
        <f aca="false">Sens!$H$5727*Sens!$H$5735</f>
        <v>72.2301766552629</v>
      </c>
      <c r="I5738" s="38" t="n">
        <f aca="false">Sens!$I$5727*Sens!$I$5735</f>
        <v>84.2950764463991</v>
      </c>
      <c r="J5738" s="38" t="n">
        <f aca="false">Sens!$J$5727*Sens!$J$5735</f>
        <v>95.5499047729386</v>
      </c>
      <c r="K5738" s="38" t="n">
        <f aca="false">Sens!$K$5727*Sens!$K$5735</f>
        <v>105.104895250232</v>
      </c>
      <c r="L5738" s="38" t="n">
        <f aca="false">Sens!$L$5727*Sens!$L$5735</f>
        <v>115.615384775256</v>
      </c>
      <c r="M5738" s="38" t="n">
        <f aca="false">Sens!$M$5727*Sens!$M$5735</f>
        <v>127.176923252781</v>
      </c>
      <c r="N5738" s="38" t="n">
        <f aca="false">Sens!$N$5727*Sens!$N$5735</f>
        <v>21.7087111412496</v>
      </c>
      <c r="O5738" s="38" t="n">
        <f aca="false">Sens!$O$5727*Sens!$O$5735</f>
        <v>28.0189463642798</v>
      </c>
      <c r="P5738" s="5" t="s">
        <v>699</v>
      </c>
    </row>
    <row r="5739" customFormat="false" ht="15" hidden="false" customHeight="false" outlineLevel="0" collapsed="false">
      <c r="A5739" s="5" t="s">
        <v>700</v>
      </c>
      <c r="B5739" s="0" t="s">
        <v>86</v>
      </c>
      <c r="C5739" s="38" t="n">
        <f aca="false">Sens!$C$5727-Sens!$C$5738</f>
        <v>15.1456871171543</v>
      </c>
      <c r="D5739" s="38" t="n">
        <f aca="false">Sens!$D$5727-Sens!$D$5738</f>
        <v>18.8908765400825</v>
      </c>
      <c r="E5739" s="38" t="n">
        <f aca="false">Sens!$E$5727-Sens!$E$5738</f>
        <v>10.0485775075586</v>
      </c>
      <c r="F5739" s="38" t="n">
        <f aca="false">Sens!$F$5727-Sens!$F$5738</f>
        <v>13.0132771613635</v>
      </c>
      <c r="G5739" s="38" t="n">
        <f aca="false">Sens!$G$5727-Sens!$G$5738</f>
        <v>23.0450381503318</v>
      </c>
      <c r="H5739" s="38" t="n">
        <f aca="false">Sens!$H$5727-Sens!$H$5738</f>
        <v>27.6667457326347</v>
      </c>
      <c r="I5739" s="38" t="n">
        <f aca="false">Sens!$I$5727-Sens!$I$5738</f>
        <v>32.2880346490971</v>
      </c>
      <c r="J5739" s="38" t="n">
        <f aca="false">Sens!$J$5727-Sens!$J$5738</f>
        <v>36.5990371690132</v>
      </c>
      <c r="K5739" s="38" t="n">
        <f aca="false">Sens!$K$5727-Sens!$K$5738</f>
        <v>40.2589408859145</v>
      </c>
      <c r="L5739" s="38" t="n">
        <f aca="false">Sens!$L$5727-Sens!$L$5738</f>
        <v>44.2848349745059</v>
      </c>
      <c r="M5739" s="38" t="n">
        <f aca="false">Sens!$M$5727-Sens!$M$5738</f>
        <v>48.7133184719565</v>
      </c>
      <c r="N5739" s="38" t="n">
        <f aca="false">Sens!$N$5727-Sens!$N$5738</f>
        <v>7.90628885875037</v>
      </c>
      <c r="O5739" s="38" t="n">
        <f aca="false">Sens!$O$5727-Sens!$O$5738</f>
        <v>11.0010536357202</v>
      </c>
    </row>
    <row r="5740" customFormat="false" ht="19.4" hidden="false" customHeight="false" outlineLevel="0" collapsed="false">
      <c r="A5740" s="31" t="s">
        <v>1268</v>
      </c>
    </row>
    <row r="5741" customFormat="false" ht="17.15" hidden="false" customHeight="false" outlineLevel="0" collapsed="false">
      <c r="A5741" s="6" t="s">
        <v>16</v>
      </c>
      <c r="B5741" s="6" t="s">
        <v>17</v>
      </c>
      <c r="C5741" s="20" t="s">
        <v>504</v>
      </c>
      <c r="D5741" s="20" t="s">
        <v>505</v>
      </c>
      <c r="E5741" s="20" t="s">
        <v>587</v>
      </c>
      <c r="F5741" s="20" t="s">
        <v>588</v>
      </c>
      <c r="G5741" s="20" t="s">
        <v>589</v>
      </c>
      <c r="H5741" s="20" t="s">
        <v>590</v>
      </c>
      <c r="I5741" s="20" t="s">
        <v>591</v>
      </c>
      <c r="J5741" s="20" t="s">
        <v>592</v>
      </c>
      <c r="K5741" s="20" t="s">
        <v>593</v>
      </c>
      <c r="L5741" s="20" t="s">
        <v>594</v>
      </c>
      <c r="M5741" s="20" t="s">
        <v>595</v>
      </c>
      <c r="N5741" s="20" t="s">
        <v>596</v>
      </c>
      <c r="O5741" s="20" t="s">
        <v>597</v>
      </c>
      <c r="P5741" s="6" t="s">
        <v>23</v>
      </c>
      <c r="R5741" s="20" t="n">
        <v>2023</v>
      </c>
      <c r="S5741" s="20" t="n">
        <v>2024</v>
      </c>
      <c r="T5741" s="20" t="n">
        <v>2025</v>
      </c>
      <c r="U5741" s="20" t="n">
        <v>2026</v>
      </c>
      <c r="V5741" s="20" t="n">
        <v>2027</v>
      </c>
      <c r="W5741" s="20" t="n">
        <v>2028</v>
      </c>
      <c r="X5741" s="20" t="n">
        <v>2029</v>
      </c>
      <c r="Y5741" s="20" t="n">
        <v>2030</v>
      </c>
      <c r="Z5741" s="20" t="n">
        <v>2031</v>
      </c>
      <c r="AA5741" s="20" t="n">
        <v>2032</v>
      </c>
    </row>
    <row r="5742" customFormat="false" ht="17.15" hidden="false" customHeight="false" outlineLevel="0" collapsed="false">
      <c r="A5742" s="1" t="s">
        <v>598</v>
      </c>
    </row>
    <row r="5743" customFormat="false" ht="17.15" hidden="false" customHeight="false" outlineLevel="0" collapsed="false">
      <c r="A5743" s="5" t="s">
        <v>599</v>
      </c>
      <c r="B5743" s="0" t="s">
        <v>144</v>
      </c>
      <c r="H5743" s="32" t="n">
        <f aca="false">pace_B</f>
        <v>3634.3</v>
      </c>
      <c r="I5743" s="32" t="n">
        <f aca="false">pace_B</f>
        <v>3634.3</v>
      </c>
      <c r="J5743" s="32" t="n">
        <f aca="false">pace_B</f>
        <v>3634.3</v>
      </c>
      <c r="K5743" s="32" t="n">
        <f aca="false">pace_B+(Sens!$J$5744*tg_lo-pace_B)*1/3</f>
        <v>2521.53366666667</v>
      </c>
      <c r="L5743" s="32" t="n">
        <f aca="false">pace_B+(Sens!$J$5744*tg_lo-pace_B)*2/3</f>
        <v>1408.76733333333</v>
      </c>
      <c r="M5743" s="32" t="n">
        <f aca="false">pace_B+(Sens!$J$5744*tg_lo-pace_B)*3/3</f>
        <v>296.001</v>
      </c>
      <c r="P5743" s="5" t="s">
        <v>600</v>
      </c>
    </row>
    <row r="5744" customFormat="false" ht="17.15" hidden="false" customHeight="false" outlineLevel="0" collapsed="false">
      <c r="A5744" s="15" t="s">
        <v>601</v>
      </c>
      <c r="B5744" s="14" t="s">
        <v>129</v>
      </c>
      <c r="C5744" s="33" t="n">
        <f aca="false">mw_ye24</f>
        <v>360</v>
      </c>
      <c r="D5744" s="33" t="n">
        <f aca="false">mw_ye25</f>
        <v>1440</v>
      </c>
      <c r="E5744" s="33" t="n">
        <f aca="false">mw_open</f>
        <v>2080</v>
      </c>
      <c r="F5744" s="33" t="n">
        <f aca="false">Sens!$E$5744+pace_B*0.5</f>
        <v>3897.15</v>
      </c>
      <c r="G5744" s="33" t="n">
        <f aca="false">Sens!$F$5744</f>
        <v>3897.15</v>
      </c>
      <c r="H5744" s="33" t="n">
        <f aca="false">Sens!$G$5744+Sens!$H$5743</f>
        <v>7531.45</v>
      </c>
      <c r="I5744" s="33" t="n">
        <f aca="false">Sens!$H$5744+Sens!$I$5743</f>
        <v>11165.75</v>
      </c>
      <c r="J5744" s="33" t="n">
        <f aca="false">Sens!$I$5744+Sens!$J$5743</f>
        <v>14800.05</v>
      </c>
      <c r="K5744" s="33" t="n">
        <f aca="false">Sens!$J$5744+Sens!$K$5743</f>
        <v>17321.5836666667</v>
      </c>
      <c r="L5744" s="33" t="n">
        <f aca="false">Sens!$K$5744+Sens!$L$5743</f>
        <v>18730.351</v>
      </c>
      <c r="M5744" s="33" t="n">
        <f aca="false">Sens!$L$5744+Sens!$M$5743</f>
        <v>19026.352</v>
      </c>
      <c r="N5744" s="33" t="n">
        <f aca="false">(mw_ye24+mw_ye25)/2</f>
        <v>900</v>
      </c>
      <c r="O5744" s="33" t="n">
        <f aca="false">mw_ye25</f>
        <v>1440</v>
      </c>
      <c r="P5744" s="5" t="s">
        <v>602</v>
      </c>
    </row>
    <row r="5745" customFormat="false" ht="17.15" hidden="false" customHeight="false" outlineLevel="0" collapsed="false">
      <c r="A5745" s="5" t="s">
        <v>603</v>
      </c>
      <c r="B5745" s="0" t="s">
        <v>129</v>
      </c>
      <c r="C5745" s="32" t="n">
        <f aca="false">(mw_ye23+mw_ye24)/2</f>
        <v>240</v>
      </c>
      <c r="D5745" s="32" t="n">
        <f aca="false">(Sens!$C$5744+Sens!$D$5744)/2</f>
        <v>900</v>
      </c>
      <c r="E5745" s="32" t="n">
        <f aca="false">(Sens!$D$5744+Sens!$E$5744)/2</f>
        <v>1760</v>
      </c>
      <c r="F5745" s="32" t="n">
        <f aca="false">(Sens!$E$5744+Sens!$F$5744)/2</f>
        <v>2988.575</v>
      </c>
      <c r="G5745" s="32" t="n">
        <f aca="false">(Sens!$E$5745+Sens!$F$5745)/2</f>
        <v>2374.2875</v>
      </c>
      <c r="H5745" s="32" t="n">
        <f aca="false">(Sens!$G$5744+Sens!$H$5744)/2</f>
        <v>5714.3</v>
      </c>
      <c r="I5745" s="32" t="n">
        <f aca="false">(Sens!$H$5744+Sens!$I$5744)/2</f>
        <v>9348.6</v>
      </c>
      <c r="J5745" s="32" t="n">
        <f aca="false">(Sens!$I$5744+Sens!$J$5744)/2</f>
        <v>12982.9</v>
      </c>
      <c r="K5745" s="32" t="n">
        <f aca="false">(Sens!$J$5744+Sens!$K$5744)/2</f>
        <v>16060.8168333333</v>
      </c>
      <c r="L5745" s="32" t="n">
        <f aca="false">(Sens!$K$5744+Sens!$L$5744)/2</f>
        <v>18025.9673333333</v>
      </c>
      <c r="M5745" s="32" t="n">
        <f aca="false">(Sens!$L$5744+Sens!$M$5744)/2</f>
        <v>18878.3515</v>
      </c>
      <c r="N5745" s="32" t="n">
        <f aca="false">(Sens!$C$5744+Sens!$N$5744)/2</f>
        <v>630</v>
      </c>
      <c r="O5745" s="32" t="n">
        <f aca="false">(Sens!$N$5744+Sens!$O$5744)/2</f>
        <v>1170</v>
      </c>
    </row>
    <row r="5746" customFormat="false" ht="15" hidden="false" customHeight="false" outlineLevel="0" collapsed="false">
      <c r="A5746" s="5" t="s">
        <v>604</v>
      </c>
      <c r="B5746" s="5" t="s">
        <v>123</v>
      </c>
      <c r="C5746" s="34" t="n">
        <v>1</v>
      </c>
      <c r="D5746" s="34" t="n">
        <v>1</v>
      </c>
      <c r="E5746" s="34" t="n">
        <v>0.5</v>
      </c>
      <c r="F5746" s="34" t="n">
        <v>0.5</v>
      </c>
      <c r="G5746" s="34" t="n">
        <v>1</v>
      </c>
      <c r="H5746" s="34" t="n">
        <v>1</v>
      </c>
      <c r="I5746" s="34" t="n">
        <v>1</v>
      </c>
      <c r="J5746" s="34" t="n">
        <v>1</v>
      </c>
      <c r="K5746" s="34" t="n">
        <v>1</v>
      </c>
      <c r="L5746" s="34" t="n">
        <v>1</v>
      </c>
      <c r="M5746" s="34" t="n">
        <v>1</v>
      </c>
      <c r="N5746" s="34" t="n">
        <v>0.5</v>
      </c>
      <c r="O5746" s="34" t="n">
        <v>0.5</v>
      </c>
    </row>
    <row r="5747" customFormat="false" ht="17.15" hidden="false" customHeight="false" outlineLevel="0" collapsed="false">
      <c r="A5747" s="5" t="s">
        <v>605</v>
      </c>
      <c r="B5747" s="0" t="s">
        <v>129</v>
      </c>
      <c r="C5747" s="32" t="n">
        <f aca="false">Sens!$C$5744-mw_ye23</f>
        <v>240</v>
      </c>
      <c r="D5747" s="32" t="n">
        <f aca="false">Sens!$D$5744-Sens!$C$5744</f>
        <v>1080</v>
      </c>
      <c r="E5747" s="32" t="n">
        <f aca="false">Sens!$E$5744-Sens!$D$5744</f>
        <v>640</v>
      </c>
      <c r="F5747" s="32" t="n">
        <f aca="false">Sens!$F$5744-Sens!$E$5744</f>
        <v>1817.15</v>
      </c>
      <c r="G5747" s="32" t="n">
        <f aca="false">Sens!$E$5747+Sens!$F$5747</f>
        <v>2457.15</v>
      </c>
      <c r="H5747" s="32" t="n">
        <f aca="false">Sens!$H$5744-Sens!$G$5744</f>
        <v>3634.3</v>
      </c>
      <c r="I5747" s="32" t="n">
        <f aca="false">Sens!$I$5744-Sens!$H$5744</f>
        <v>3634.3</v>
      </c>
      <c r="J5747" s="32" t="n">
        <f aca="false">Sens!$J$5744-Sens!$I$5744</f>
        <v>3634.3</v>
      </c>
      <c r="K5747" s="32" t="n">
        <f aca="false">Sens!$K$5744-Sens!$J$5744</f>
        <v>2521.53366666667</v>
      </c>
      <c r="L5747" s="32" t="n">
        <f aca="false">Sens!$L$5744-Sens!$K$5744</f>
        <v>1408.76733333333</v>
      </c>
      <c r="M5747" s="32" t="n">
        <f aca="false">Sens!$M$5744-Sens!$L$5744</f>
        <v>296.001</v>
      </c>
      <c r="N5747" s="32" t="n">
        <f aca="false">Sens!$N$5744-Sens!$C$5744</f>
        <v>540</v>
      </c>
      <c r="O5747" s="32" t="n">
        <f aca="false">Sens!$O$5744-Sens!$N$5744</f>
        <v>540</v>
      </c>
    </row>
    <row r="5748" customFormat="false" ht="17.15" hidden="false" customHeight="false" outlineLevel="0" collapsed="false">
      <c r="A5748" s="5" t="s">
        <v>606</v>
      </c>
      <c r="B5748" s="0" t="s">
        <v>129</v>
      </c>
      <c r="C5748" s="32" t="n">
        <f aca="false">Sens!$C$5747/ext_sh</f>
        <v>300</v>
      </c>
      <c r="D5748" s="32" t="n">
        <f aca="false">Sens!$D$5747/ext_sh</f>
        <v>1350</v>
      </c>
      <c r="E5748" s="32" t="n">
        <f aca="false">Sens!$E$5747/ext_sh</f>
        <v>800</v>
      </c>
      <c r="F5748" s="32" t="n">
        <f aca="false">Sens!$F$5747/ext_sh</f>
        <v>2271.4375</v>
      </c>
      <c r="G5748" s="32" t="n">
        <f aca="false">Sens!$G$5747/ext_sh</f>
        <v>3071.4375</v>
      </c>
      <c r="H5748" s="32" t="n">
        <f aca="false">Sens!$H$5747/ext_sh</f>
        <v>4542.875</v>
      </c>
      <c r="I5748" s="32" t="n">
        <f aca="false">Sens!$I$5747/ext_sh</f>
        <v>4542.875</v>
      </c>
      <c r="J5748" s="32" t="n">
        <f aca="false">Sens!$J$5747/ext_sh</f>
        <v>4542.875</v>
      </c>
      <c r="K5748" s="32" t="n">
        <f aca="false">Sens!$K$5747/ext_sh</f>
        <v>3151.91708333333</v>
      </c>
      <c r="L5748" s="32" t="n">
        <f aca="false">Sens!$L$5747/ext_sh</f>
        <v>1760.95916666667</v>
      </c>
      <c r="M5748" s="32" t="n">
        <f aca="false">Sens!$M$5747/ext_sh</f>
        <v>370.00125</v>
      </c>
      <c r="N5748" s="32" t="n">
        <f aca="false">Sens!$N$5747/ext_sh</f>
        <v>675</v>
      </c>
      <c r="O5748" s="32" t="n">
        <f aca="false">Sens!$O$5747/ext_sh</f>
        <v>675</v>
      </c>
      <c r="P5748" s="8" t="s">
        <v>607</v>
      </c>
      <c r="R5748" s="32" t="n">
        <f aca="false">mw_ye23/ext_sh</f>
        <v>150</v>
      </c>
      <c r="S5748" s="32" t="n">
        <f aca="false">Sens!$C$5748</f>
        <v>300</v>
      </c>
      <c r="T5748" s="32" t="n">
        <f aca="false">Sens!$D$5748</f>
        <v>1350</v>
      </c>
      <c r="U5748" s="32" t="n">
        <f aca="false">Sens!$G$5748</f>
        <v>3071.4375</v>
      </c>
      <c r="V5748" s="32" t="n">
        <f aca="false">Sens!$H$5748</f>
        <v>4542.875</v>
      </c>
      <c r="W5748" s="32" t="n">
        <f aca="false">Sens!$I$5748</f>
        <v>4542.875</v>
      </c>
      <c r="X5748" s="32" t="n">
        <f aca="false">Sens!$J$5748</f>
        <v>4542.875</v>
      </c>
      <c r="Y5748" s="32" t="n">
        <f aca="false">Sens!$K$5748</f>
        <v>3151.91708333333</v>
      </c>
      <c r="Z5748" s="32" t="n">
        <f aca="false">Sens!$L$5748</f>
        <v>1760.95916666667</v>
      </c>
      <c r="AA5748" s="32" t="n">
        <f aca="false">Sens!$M$5748</f>
        <v>370.00125</v>
      </c>
    </row>
    <row r="5749" customFormat="false" ht="17.15" hidden="false" customHeight="false" outlineLevel="0" collapsed="false">
      <c r="A5749" s="1" t="s">
        <v>608</v>
      </c>
    </row>
    <row r="5750" customFormat="false" ht="17.15" hidden="false" customHeight="false" outlineLevel="0" collapsed="false">
      <c r="A5750" s="0" t="s">
        <v>609</v>
      </c>
      <c r="B5750" s="0" t="s">
        <v>52</v>
      </c>
      <c r="F5750" s="35" t="n">
        <f aca="false">na_vr26</f>
        <v>0</v>
      </c>
      <c r="G5750" s="35" t="n">
        <f aca="false">na_vr26</f>
        <v>0</v>
      </c>
      <c r="H5750" s="35" t="n">
        <f aca="false">na_vr27</f>
        <v>0.5</v>
      </c>
      <c r="I5750" s="35" t="n">
        <f aca="false">na_vr28</f>
        <v>1</v>
      </c>
      <c r="J5750" s="35" t="n">
        <f aca="false">na_vr28</f>
        <v>1</v>
      </c>
      <c r="K5750" s="35" t="n">
        <f aca="false">na_vr28</f>
        <v>1</v>
      </c>
      <c r="L5750" s="35" t="n">
        <f aca="false">na_vr28</f>
        <v>1</v>
      </c>
      <c r="M5750" s="35" t="n">
        <f aca="false">na_vr28</f>
        <v>1</v>
      </c>
    </row>
    <row r="5751" customFormat="false" ht="17.15" hidden="false" customHeight="false" outlineLevel="0" collapsed="false">
      <c r="A5751" s="5" t="s">
        <v>610</v>
      </c>
      <c r="B5751" s="0" t="s">
        <v>173</v>
      </c>
      <c r="F5751" s="36" t="n">
        <f aca="false">cust_sh*tk_he_gb300*cf_chip+(1-cust_sh)*((1-Sens!$F$5750)*tk_he_gb300+Sens!$F$5750*tk_he_vr200)</f>
        <v>10.8864110021101</v>
      </c>
      <c r="G5751" s="36" t="n">
        <f aca="false">cust_sh*tk_he_gb300*cf_chip+(1-cust_sh)*((1-Sens!$G$5750)*tk_he_gb300+Sens!$G$5750*tk_he_vr200)</f>
        <v>10.8864110021101</v>
      </c>
      <c r="H5751" s="36" t="n">
        <f aca="false">cust_sh*tk_he_gb300*cf_chip+(1-cust_sh)*((1-Sens!$H$5750)*tk_he_gb300+Sens!$H$5750*tk_he_vr200)</f>
        <v>11.2211760027286</v>
      </c>
      <c r="I5751" s="36" t="n">
        <f aca="false">cust_sh*tk_he_gb300*cf_chip+(1-cust_sh)*((1-Sens!$I$5750)*tk_he_gb300+Sens!$I$5750*tk_he_vr200)</f>
        <v>11.5559410033471</v>
      </c>
      <c r="J5751" s="36" t="n">
        <f aca="false">cust_sh*tk_he_gb300*cf_chip+(1-cust_sh)*((1-Sens!$J$5750)*tk_he_gb300+Sens!$J$5750*tk_he_vr200)</f>
        <v>11.5559410033471</v>
      </c>
      <c r="K5751" s="36" t="n">
        <f aca="false">cust_sh*tk_he_gb300*cf_chip+(1-cust_sh)*((1-Sens!$K$5750)*tk_he_gb300+Sens!$K$5750*tk_he_vr200)</f>
        <v>11.5559410033471</v>
      </c>
      <c r="L5751" s="36" t="n">
        <f aca="false">cust_sh*tk_he_gb300*cf_chip+(1-cust_sh)*((1-Sens!$L$5750)*tk_he_gb300+Sens!$L$5750*tk_he_vr200)</f>
        <v>11.5559410033471</v>
      </c>
      <c r="M5751" s="36" t="n">
        <f aca="false">cust_sh*tk_he_gb300*cf_chip+(1-cust_sh)*((1-Sens!$M$5750)*tk_he_gb300+Sens!$M$5750*tk_he_vr200)</f>
        <v>11.5559410033471</v>
      </c>
    </row>
    <row r="5752" customFormat="false" ht="17.15" hidden="false" customHeight="false" outlineLevel="0" collapsed="false">
      <c r="A5752" s="5" t="s">
        <v>611</v>
      </c>
      <c r="B5752" s="0" t="s">
        <v>173</v>
      </c>
      <c r="F5752" s="36" t="n">
        <f aca="false">cust_sh*tk_ox_gb300+(1-cust_sh)*((1-Sens!$F$5750)*tk_ox_gb300+Sens!$F$5750*tk_ox_vr200)</f>
        <v>1.98263481314457</v>
      </c>
      <c r="G5752" s="36" t="n">
        <f aca="false">cust_sh*tk_ox_gb300+(1-cust_sh)*((1-Sens!$G$5750)*tk_ox_gb300+Sens!$G$5750*tk_ox_vr200)</f>
        <v>1.98263481314457</v>
      </c>
      <c r="H5752" s="36" t="n">
        <f aca="false">cust_sh*tk_ox_gb300+(1-cust_sh)*((1-Sens!$H$5750)*tk_ox_gb300+Sens!$H$5750*tk_ox_vr200)</f>
        <v>2.01034999693694</v>
      </c>
      <c r="I5752" s="36" t="n">
        <f aca="false">cust_sh*tk_ox_gb300+(1-cust_sh)*((1-Sens!$I$5750)*tk_ox_gb300+Sens!$I$5750*tk_ox_vr200)</f>
        <v>2.0380651807293</v>
      </c>
      <c r="J5752" s="36" t="n">
        <f aca="false">cust_sh*tk_ox_gb300+(1-cust_sh)*((1-Sens!$J$5750)*tk_ox_gb300+Sens!$J$5750*tk_ox_vr200)</f>
        <v>2.0380651807293</v>
      </c>
      <c r="K5752" s="36" t="n">
        <f aca="false">cust_sh*tk_ox_gb300+(1-cust_sh)*((1-Sens!$K$5750)*tk_ox_gb300+Sens!$K$5750*tk_ox_vr200)</f>
        <v>2.0380651807293</v>
      </c>
      <c r="L5752" s="36" t="n">
        <f aca="false">cust_sh*tk_ox_gb300+(1-cust_sh)*((1-Sens!$L$5750)*tk_ox_gb300+Sens!$L$5750*tk_ox_vr200)</f>
        <v>2.0380651807293</v>
      </c>
      <c r="M5752" s="36" t="n">
        <f aca="false">cust_sh*tk_ox_gb300+(1-cust_sh)*((1-Sens!$M$5750)*tk_ox_gb300+Sens!$M$5750*tk_ox_vr200)</f>
        <v>2.0380651807293</v>
      </c>
    </row>
    <row r="5753" customFormat="false" ht="17.15" hidden="false" customHeight="false" outlineLevel="0" collapsed="false">
      <c r="A5753" s="5" t="s">
        <v>612</v>
      </c>
      <c r="B5753" s="0" t="s">
        <v>192</v>
      </c>
      <c r="F5753" s="36" t="n">
        <f aca="false">cust_sh*tk_cx_gb300*cf_cx+(1-cust_sh)*((1-Sens!$F$5750)*tk_cx_gb300+Sens!$F$5750*tk_cx_vr200)</f>
        <v>32.237224</v>
      </c>
      <c r="G5753" s="36" t="n">
        <f aca="false">cust_sh*tk_cx_gb300*cf_cx+(1-cust_sh)*((1-Sens!$G$5750)*tk_cx_gb300+Sens!$G$5750*tk_cx_vr200)</f>
        <v>32.237224</v>
      </c>
      <c r="H5753" s="36" t="n">
        <f aca="false">cust_sh*tk_cx_gb300*cf_cx+(1-cust_sh)*((1-Sens!$H$5750)*tk_cx_gb300+Sens!$H$5750*tk_cx_vr200)</f>
        <v>33.574506</v>
      </c>
      <c r="I5753" s="36" t="n">
        <f aca="false">cust_sh*tk_cx_gb300*cf_cx+(1-cust_sh)*((1-Sens!$I$5750)*tk_cx_gb300+Sens!$I$5750*tk_cx_vr200)</f>
        <v>34.911788</v>
      </c>
      <c r="J5753" s="36" t="n">
        <f aca="false">cust_sh*tk_cx_gb300*cf_cx+(1-cust_sh)*((1-Sens!$J$5750)*tk_cx_gb300+Sens!$J$5750*tk_cx_vr200)</f>
        <v>34.911788</v>
      </c>
      <c r="K5753" s="36" t="n">
        <f aca="false">cust_sh*tk_cx_gb300*cf_cx+(1-cust_sh)*((1-Sens!$K$5750)*tk_cx_gb300+Sens!$K$5750*tk_cx_vr200)</f>
        <v>34.911788</v>
      </c>
      <c r="L5753" s="36" t="n">
        <f aca="false">cust_sh*tk_cx_gb300*cf_cx+(1-cust_sh)*((1-Sens!$L$5750)*tk_cx_gb300+Sens!$L$5750*tk_cx_vr200)</f>
        <v>34.911788</v>
      </c>
      <c r="M5753" s="36" t="n">
        <f aca="false">cust_sh*tk_cx_gb300*cf_cx+(1-cust_sh)*((1-Sens!$M$5750)*tk_cx_gb300+Sens!$M$5750*tk_cx_vr200)</f>
        <v>34.911788</v>
      </c>
    </row>
    <row r="5754" customFormat="false" ht="17.15" hidden="false" customHeight="false" outlineLevel="0" collapsed="false">
      <c r="A5754" s="5" t="s">
        <v>613</v>
      </c>
      <c r="B5754" s="0" t="s">
        <v>129</v>
      </c>
      <c r="F5754" s="32" t="n">
        <f aca="false">Sens!$F$5744-mw_open</f>
        <v>1817.15</v>
      </c>
      <c r="G5754" s="32" t="n">
        <f aca="false">Sens!$F$5754</f>
        <v>1817.15</v>
      </c>
      <c r="H5754" s="32" t="n">
        <f aca="false">Sens!$H$5744-mw_open</f>
        <v>5451.45</v>
      </c>
      <c r="I5754" s="32" t="n">
        <f aca="false">Sens!$I$5744-mw_open</f>
        <v>9085.75</v>
      </c>
      <c r="J5754" s="32" t="n">
        <f aca="false">Sens!$J$5744-mw_open</f>
        <v>12720.05</v>
      </c>
      <c r="K5754" s="32" t="n">
        <f aca="false">Sens!$K$5744-mw_open</f>
        <v>15241.5836666667</v>
      </c>
      <c r="L5754" s="32" t="n">
        <f aca="false">Sens!$L$5744-mw_open</f>
        <v>16650.351</v>
      </c>
      <c r="M5754" s="32" t="n">
        <f aca="false">Sens!$M$5744-mw_open</f>
        <v>16946.352</v>
      </c>
    </row>
    <row r="5755" customFormat="false" ht="17.15" hidden="false" customHeight="false" outlineLevel="0" collapsed="false">
      <c r="A5755" s="0" t="s">
        <v>614</v>
      </c>
      <c r="B5755" s="0" t="s">
        <v>615</v>
      </c>
      <c r="F5755" s="32" t="n">
        <f aca="false">Sens!$F$5747*Sens!$F$5751</f>
        <v>19782.2417524844</v>
      </c>
      <c r="G5755" s="32" t="n">
        <f aca="false">Sens!$F$5755</f>
        <v>19782.2417524844</v>
      </c>
      <c r="H5755" s="32" t="n">
        <f aca="false">Sens!$G$5755+Sens!$H$5747*Sens!$H$5751</f>
        <v>60563.3616992009</v>
      </c>
      <c r="I5755" s="32" t="n">
        <f aca="false">Sens!$H$5755+Sens!$I$5747*Sens!$I$5751</f>
        <v>102561.118087665</v>
      </c>
      <c r="J5755" s="32" t="n">
        <f aca="false">Sens!$I$5755+Sens!$J$5747*Sens!$J$5751</f>
        <v>144558.87447613</v>
      </c>
      <c r="K5755" s="32" t="n">
        <f aca="false">Sens!$J$5755+Sens!$K$5747*Sens!$K$5751</f>
        <v>173697.568766083</v>
      </c>
      <c r="L5755" s="32" t="n">
        <f aca="false">Sens!$K$5755+Sens!$L$5747*Sens!$L$5751</f>
        <v>189977.200957526</v>
      </c>
      <c r="M5755" s="32" t="n">
        <f aca="false">Sens!$L$5755+Sens!$M$5747*Sens!$M$5751</f>
        <v>193397.771050458</v>
      </c>
    </row>
    <row r="5756" customFormat="false" ht="17.15" hidden="false" customHeight="false" outlineLevel="0" collapsed="false">
      <c r="A5756" s="0" t="s">
        <v>616</v>
      </c>
      <c r="B5756" s="0" t="s">
        <v>615</v>
      </c>
      <c r="F5756" s="32" t="n">
        <f aca="false">Sens!$F$5747*Sens!$F$5752</f>
        <v>3602.74485070566</v>
      </c>
      <c r="G5756" s="32" t="n">
        <f aca="false">Sens!$F$5756</f>
        <v>3602.74485070566</v>
      </c>
      <c r="H5756" s="32" t="n">
        <f aca="false">Sens!$G$5756+Sens!$H$5747*Sens!$H$5752</f>
        <v>10908.9598445736</v>
      </c>
      <c r="I5756" s="32" t="n">
        <f aca="false">Sens!$H$5756+Sens!$I$5747*Sens!$I$5752</f>
        <v>18315.9001308981</v>
      </c>
      <c r="J5756" s="32" t="n">
        <f aca="false">Sens!$I$5756+Sens!$J$5747*Sens!$J$5752</f>
        <v>25722.8404172225</v>
      </c>
      <c r="K5756" s="32" t="n">
        <f aca="false">Sens!$J$5756+Sens!$K$5747*Sens!$K$5752</f>
        <v>30861.8903852926</v>
      </c>
      <c r="L5756" s="32" t="n">
        <f aca="false">Sens!$K$5756+Sens!$L$5747*Sens!$L$5752</f>
        <v>33733.0500351081</v>
      </c>
      <c r="M5756" s="32" t="n">
        <f aca="false">Sens!$L$5756+Sens!$M$5747*Sens!$M$5752</f>
        <v>34336.3193666691</v>
      </c>
    </row>
    <row r="5757" customFormat="false" ht="17.15" hidden="false" customHeight="false" outlineLevel="0" collapsed="false">
      <c r="A5757" s="5" t="s">
        <v>617</v>
      </c>
      <c r="B5757" s="0" t="s">
        <v>173</v>
      </c>
      <c r="F5757" s="36" t="n">
        <f aca="false">IF(Sens!$F$5754&gt;0,Sens!$F$5755/Sens!$F$5754,Sens!$F$5751)</f>
        <v>10.8864110021101</v>
      </c>
      <c r="G5757" s="36" t="n">
        <f aca="false">IF(Sens!$G$5754&gt;0,Sens!$G$5755/Sens!$G$5754,Sens!$G$5751)</f>
        <v>10.8864110021101</v>
      </c>
      <c r="H5757" s="36" t="n">
        <f aca="false">IF(Sens!$H$5754&gt;0,Sens!$H$5755/Sens!$H$5754,Sens!$H$5751)</f>
        <v>11.1095876691891</v>
      </c>
      <c r="I5757" s="36" t="n">
        <f aca="false">IF(Sens!$I$5754&gt;0,Sens!$I$5755/Sens!$I$5754,Sens!$I$5751)</f>
        <v>11.2881290028523</v>
      </c>
      <c r="J5757" s="36" t="n">
        <f aca="false">IF(Sens!$J$5754&gt;0,Sens!$J$5755/Sens!$J$5754,Sens!$J$5751)</f>
        <v>11.3646467172794</v>
      </c>
      <c r="K5757" s="36" t="n">
        <f aca="false">IF(Sens!$K$5754&gt;0,Sens!$K$5755/Sens!$K$5754,Sens!$K$5751)</f>
        <v>11.3962940180527</v>
      </c>
      <c r="L5757" s="36" t="n">
        <f aca="false">IF(Sens!$L$5754&gt;0,Sens!$L$5755/Sens!$L$5754,Sens!$L$5751)</f>
        <v>11.4098015685991</v>
      </c>
      <c r="M5757" s="36" t="n">
        <f aca="false">IF(Sens!$M$5754&gt;0,Sens!$M$5755/Sens!$M$5754,Sens!$M$5751)</f>
        <v>11.4123541780825</v>
      </c>
    </row>
    <row r="5758" customFormat="false" ht="17.15" hidden="false" customHeight="false" outlineLevel="0" collapsed="false">
      <c r="A5758" s="5" t="s">
        <v>618</v>
      </c>
      <c r="B5758" s="0" t="s">
        <v>173</v>
      </c>
      <c r="F5758" s="36" t="n">
        <f aca="false">IF(Sens!$F$5754&gt;0,Sens!$F$5756/Sens!$F$5754,Sens!$F$5752)</f>
        <v>1.98263481314457</v>
      </c>
      <c r="G5758" s="36" t="n">
        <f aca="false">IF(Sens!$G$5754&gt;0,Sens!$G$5756/Sens!$G$5754,Sens!$G$5752)</f>
        <v>1.98263481314457</v>
      </c>
      <c r="H5758" s="36" t="n">
        <f aca="false">IF(Sens!$H$5754&gt;0,Sens!$H$5756/Sens!$H$5754,Sens!$H$5752)</f>
        <v>2.00111160233948</v>
      </c>
      <c r="I5758" s="36" t="n">
        <f aca="false">IF(Sens!$I$5754&gt;0,Sens!$I$5756/Sens!$I$5754,Sens!$I$5752)</f>
        <v>2.01589303369541</v>
      </c>
      <c r="J5758" s="36" t="n">
        <f aca="false">IF(Sens!$J$5754&gt;0,Sens!$J$5756/Sens!$J$5754,Sens!$J$5752)</f>
        <v>2.02222793284795</v>
      </c>
      <c r="K5758" s="36" t="n">
        <f aca="false">IF(Sens!$K$5754&gt;0,Sens!$K$5756/Sens!$K$5754,Sens!$K$5752)</f>
        <v>2.02484801187606</v>
      </c>
      <c r="L5758" s="36" t="n">
        <f aca="false">IF(Sens!$L$5754&gt;0,Sens!$L$5756/Sens!$L$5754,Sens!$L$5752)</f>
        <v>2.02596630155773</v>
      </c>
      <c r="M5758" s="36" t="n">
        <f aca="false">IF(Sens!$M$5754&gt;0,Sens!$M$5756/Sens!$M$5754,Sens!$M$5752)</f>
        <v>2.02617763201597</v>
      </c>
    </row>
    <row r="5759" customFormat="false" ht="17.15" hidden="false" customHeight="false" outlineLevel="0" collapsed="false">
      <c r="A5759" s="15" t="s">
        <v>619</v>
      </c>
      <c r="B5759" s="14" t="s">
        <v>173</v>
      </c>
      <c r="C5759" s="14"/>
      <c r="D5759" s="14"/>
      <c r="E5759" s="14"/>
      <c r="F5759" s="37" t="n">
        <f aca="false">Sens!$F$5757*k_B</f>
        <v>10.7987645808025</v>
      </c>
      <c r="G5759" s="37" t="n">
        <f aca="false">Sens!$G$5757*k_B</f>
        <v>10.7987645808025</v>
      </c>
      <c r="H5759" s="37" t="n">
        <f aca="false">Sens!$H$5757*k_B</f>
        <v>11.0201444540452</v>
      </c>
      <c r="I5759" s="37" t="n">
        <f aca="false">Sens!$I$5757*k_B</f>
        <v>11.1972483526393</v>
      </c>
      <c r="J5759" s="37" t="n">
        <f aca="false">Sens!$J$5757*k_B</f>
        <v>11.2731500234653</v>
      </c>
      <c r="K5759" s="37" t="n">
        <f aca="false">Sens!$K$5757*k_B</f>
        <v>11.3045425320343</v>
      </c>
      <c r="L5759" s="37" t="n">
        <f aca="false">Sens!$L$5757*k_B</f>
        <v>11.3179413333826</v>
      </c>
      <c r="M5759" s="37" t="n">
        <f aca="false">Sens!$M$5757*k_B</f>
        <v>11.3204733918244</v>
      </c>
      <c r="N5759" s="14"/>
      <c r="O5759" s="14"/>
      <c r="P5759" s="5" t="s">
        <v>620</v>
      </c>
    </row>
    <row r="5760" customFormat="false" ht="17.15" hidden="false" customHeight="false" outlineLevel="0" collapsed="false">
      <c r="A5760" s="5" t="s">
        <v>621</v>
      </c>
      <c r="B5760" s="0" t="s">
        <v>129</v>
      </c>
      <c r="F5760" s="32" t="n">
        <f aca="false">Sens!$F$5754/2</f>
        <v>908.575</v>
      </c>
      <c r="H5760" s="32" t="n">
        <f aca="false">(Sens!$G$5754+Sens!$H$5754)/2</f>
        <v>3634.3</v>
      </c>
      <c r="I5760" s="32" t="n">
        <f aca="false">(Sens!$H$5754+Sens!$I$5754)/2</f>
        <v>7268.6</v>
      </c>
      <c r="J5760" s="32" t="n">
        <f aca="false">(Sens!$I$5754+Sens!$J$5754)/2</f>
        <v>10902.9</v>
      </c>
      <c r="K5760" s="32" t="n">
        <f aca="false">(Sens!$J$5754+Sens!$K$5754)/2</f>
        <v>13980.8168333333</v>
      </c>
      <c r="L5760" s="32" t="n">
        <f aca="false">(Sens!$K$5754+Sens!$L$5754)/2</f>
        <v>15945.9673333333</v>
      </c>
      <c r="M5760" s="32" t="n">
        <f aca="false">(Sens!$L$5754+Sens!$M$5754)/2</f>
        <v>16798.3515</v>
      </c>
    </row>
    <row r="5761" customFormat="false" ht="17.15" hidden="false" customHeight="false" outlineLevel="0" collapsed="false">
      <c r="A5761" s="1" t="s">
        <v>622</v>
      </c>
    </row>
    <row r="5762" customFormat="false" ht="17.15" hidden="false" customHeight="false" outlineLevel="0" collapsed="false">
      <c r="A5762" s="1" t="s">
        <v>623</v>
      </c>
      <c r="B5762" s="8" t="s">
        <v>86</v>
      </c>
      <c r="C5762" s="38" t="n">
        <f aca="false">Sens!$C$5745*rpm_open*Sens!$C$5746/1000</f>
        <v>2.32100535697364</v>
      </c>
      <c r="D5762" s="38" t="n">
        <f aca="false">Sens!$D$5745*rpm_open*Sens!$D$5746/1000</f>
        <v>8.70377008865116</v>
      </c>
      <c r="E5762" s="38" t="n">
        <f aca="false">Sens!$E$5745*rpm_open*Sens!$E$5746/1000</f>
        <v>8.51035297557002</v>
      </c>
      <c r="F5762" s="38" t="n">
        <f aca="false">(mw_open*rpm_open+Sens!$F$5760*Sens!$F$5759)*Sens!$F$5746/1000</f>
        <v>14.9634336447205</v>
      </c>
      <c r="G5762" s="38" t="n">
        <f aca="false">Sens!$E$5762+Sens!$F$5762</f>
        <v>23.4737866202905</v>
      </c>
      <c r="H5762" s="38" t="n">
        <f aca="false">(mw_open*rpm_open+Sens!$H$5760*Sens!$H$5759)/1000</f>
        <v>60.1658907497746</v>
      </c>
      <c r="I5762" s="38" t="n">
        <f aca="false">(mw_open*rpm_open+Sens!$I$5760*Sens!$I$5759)/1000</f>
        <v>101.503699136432</v>
      </c>
      <c r="J5762" s="38" t="n">
        <f aca="false">(mw_open*rpm_open+Sens!$J$5760*Sens!$J$5759)/1000</f>
        <v>143.025407151278</v>
      </c>
      <c r="K5762" s="38" t="n">
        <f aca="false">(mw_open*rpm_open+Sens!$K$5760*Sens!$K$5759)/1000</f>
        <v>178.162118285436</v>
      </c>
      <c r="L5762" s="38" t="n">
        <f aca="false">(mw_open*rpm_open+Sens!$L$5760*Sens!$L$5759)/1000</f>
        <v>200.590902543141</v>
      </c>
      <c r="M5762" s="38" t="n">
        <f aca="false">(mw_open*rpm_open+Sens!$M$5760*Sens!$M$5759)/1000</f>
        <v>210.280670942702</v>
      </c>
      <c r="N5762" s="38" t="n">
        <f aca="false">Sens!$N$5745*rpm_open*Sens!$N$5746/1000</f>
        <v>3.04631953102791</v>
      </c>
      <c r="O5762" s="38" t="n">
        <f aca="false">Sens!$O$5745*rpm_open*Sens!$O$5746/1000</f>
        <v>5.65745055762326</v>
      </c>
      <c r="P5762" s="5" t="s">
        <v>624</v>
      </c>
    </row>
    <row r="5763" customFormat="false" ht="17.15" hidden="false" customHeight="false" outlineLevel="0" collapsed="false">
      <c r="A5763" s="5" t="s">
        <v>625</v>
      </c>
      <c r="B5763" s="0" t="s">
        <v>173</v>
      </c>
      <c r="C5763" s="36" t="n">
        <f aca="false">Sens!$C$5762*1000/(Sens!$C$5745*Sens!$C$5746)</f>
        <v>9.67085565405685</v>
      </c>
      <c r="D5763" s="36" t="n">
        <f aca="false">Sens!$D$5762*1000/(Sens!$D$5745*Sens!$D$5746)</f>
        <v>9.67085565405685</v>
      </c>
      <c r="E5763" s="36" t="n">
        <f aca="false">Sens!$E$5762*1000/(Sens!$E$5745*Sens!$E$5746)</f>
        <v>9.67085565405685</v>
      </c>
      <c r="F5763" s="36" t="n">
        <f aca="false">Sens!$F$5762*1000/(Sens!$F$5745*Sens!$F$5746)</f>
        <v>10.0137581588017</v>
      </c>
      <c r="G5763" s="36" t="n">
        <f aca="false">Sens!$G$5762*1000/(Sens!$G$5745*Sens!$G$5746)</f>
        <v>9.88666562928478</v>
      </c>
      <c r="H5763" s="36" t="n">
        <f aca="false">Sens!$H$5762*1000/(Sens!$H$5745*Sens!$H$5746)</f>
        <v>10.5290045586992</v>
      </c>
      <c r="I5763" s="36" t="n">
        <f aca="false">Sens!$I$5762*1000/(Sens!$I$5745*Sens!$I$5746)</f>
        <v>10.8576363451674</v>
      </c>
      <c r="J5763" s="36" t="n">
        <f aca="false">Sens!$J$5762*1000/(Sens!$J$5745*Sens!$J$5746)</f>
        <v>11.0164452588619</v>
      </c>
      <c r="K5763" s="36" t="n">
        <f aca="false">Sens!$K$5762*1000/(Sens!$K$5745*Sens!$K$5746)</f>
        <v>11.0929674458194</v>
      </c>
      <c r="L5763" s="36" t="n">
        <f aca="false">Sens!$L$5762*1000/(Sens!$L$5745*Sens!$L$5746)</f>
        <v>11.1278856126745</v>
      </c>
      <c r="M5763" s="36" t="n">
        <f aca="false">Sens!$M$5762*1000/(Sens!$M$5745*Sens!$M$5746)</f>
        <v>11.1387199747129</v>
      </c>
      <c r="N5763" s="36" t="n">
        <f aca="false">Sens!$N$5762*1000/(Sens!$N$5745*Sens!$N$5746)</f>
        <v>9.67085565405685</v>
      </c>
      <c r="O5763" s="36" t="n">
        <f aca="false">Sens!$O$5762*1000/(Sens!$O$5745*Sens!$O$5746)</f>
        <v>9.67085565405685</v>
      </c>
    </row>
    <row r="5764" customFormat="false" ht="17.15" hidden="false" customHeight="false" outlineLevel="0" collapsed="false">
      <c r="A5764" s="0" t="s">
        <v>626</v>
      </c>
      <c r="B5764" s="0" t="s">
        <v>86</v>
      </c>
      <c r="C5764" s="38" t="n">
        <f aca="false">Sens!$C$5745/ext_sh*(ox_open+rent_mw)*Sens!$C$5746/1000</f>
        <v>0.642569210675032</v>
      </c>
      <c r="D5764" s="38" t="n">
        <f aca="false">Sens!$D$5745/ext_sh*(ox_open+rent_mw)*Sens!$D$5746/1000</f>
        <v>2.40963454003137</v>
      </c>
      <c r="E5764" s="38" t="n">
        <f aca="false">Sens!$E$5745/ext_sh*(ox_open+rent_mw)*Sens!$E$5746/1000</f>
        <v>2.35608710580845</v>
      </c>
      <c r="F5764" s="38" t="n">
        <f aca="false">((mw_open*ox_open+Sens!$F$5760*Sens!$F$5758)/ext_sh+Sens!$F$5745/ext_sh*rent_mw)*Sens!$F$5746/1000</f>
        <v>4.05421991106232</v>
      </c>
      <c r="G5764" s="38" t="n">
        <f aca="false">Sens!$E$5764+Sens!$F$5764</f>
        <v>6.41030701687077</v>
      </c>
      <c r="H5764" s="38" t="n">
        <f aca="false">((mw_open*ox_open+Sens!$H$5760*Sens!$H$5758)/ext_sh+Sens!$H$5745/ext_sh*rent_mw)*Sens!$H$5746/1000</f>
        <v>15.8108975546616</v>
      </c>
      <c r="I5764" s="38" t="n">
        <f aca="false">((mw_open*ox_open+Sens!$I$5760*Sens!$I$5758)/ext_sh+Sens!$I$5745/ext_sh*rent_mw)*Sens!$I$5746/1000</f>
        <v>26.1871623400817</v>
      </c>
      <c r="J5764" s="38" t="n">
        <f aca="false">((mw_open*ox_open+Sens!$J$5760*Sens!$J$5758)/ext_sh+Sens!$J$5745/ext_sh*rent_mw)*Sens!$J$5746/1000</f>
        <v>36.5826128954935</v>
      </c>
      <c r="K5764" s="38" t="n">
        <f aca="false">((mw_open*ox_open+Sens!$K$5760*Sens!$K$5758)/ext_sh+Sens!$K$5745/ext_sh*rent_mw)*Sens!$K$5746/1000</f>
        <v>45.3836433528648</v>
      </c>
      <c r="L5764" s="38" t="n">
        <f aca="false">((mw_open*ox_open+Sens!$L$5760*Sens!$L$5758)/ext_sh+Sens!$L$5745/ext_sh*rent_mw)*Sens!$L$5746/1000</f>
        <v>51.0023088908591</v>
      </c>
      <c r="M5764" s="38" t="n">
        <f aca="false">((mw_open*ox_open+Sens!$M$5760*Sens!$M$5758)/ext_sh+Sens!$M$5745/ext_sh*rent_mw)*Sens!$M$5746/1000</f>
        <v>53.4353660768611</v>
      </c>
      <c r="N5764" s="38" t="n">
        <f aca="false">Sens!$N$5745/ext_sh*(ox_open+rent_mw)*Sens!$N$5746/1000</f>
        <v>0.84337208901098</v>
      </c>
      <c r="O5764" s="38" t="n">
        <f aca="false">Sens!$O$5745/ext_sh*(ox_open+rent_mw)*Sens!$O$5746/1000</f>
        <v>1.56626245102039</v>
      </c>
    </row>
    <row r="5765" customFormat="false" ht="17.15" hidden="false" customHeight="false" outlineLevel="0" collapsed="false">
      <c r="A5765" s="0" t="s">
        <v>627</v>
      </c>
      <c r="B5765" s="0" t="s">
        <v>86</v>
      </c>
      <c r="C5765" s="38" t="n">
        <f aca="false">Q!$D$7</f>
        <v>107.556</v>
      </c>
      <c r="D5765" s="38" t="n">
        <f aca="false">Q!$E$7</f>
        <v>128.725</v>
      </c>
      <c r="E5765" s="38" t="n">
        <f aca="false">Q!$P$7</f>
        <v>79.819</v>
      </c>
      <c r="N5765" s="38" t="n">
        <f aca="false">Q!$N$7</f>
        <v>60.14</v>
      </c>
      <c r="O5765" s="38" t="n">
        <f aca="false">Q!$O$7</f>
        <v>68.585</v>
      </c>
    </row>
    <row r="5766" customFormat="false" ht="17.15" hidden="false" customHeight="false" outlineLevel="0" collapsed="false">
      <c r="A5766" s="1" t="s">
        <v>628</v>
      </c>
      <c r="B5766" s="8" t="s">
        <v>86</v>
      </c>
      <c r="C5766" s="38" t="n">
        <f aca="false">Sens!$C$5765-Sens!$C$5762</f>
        <v>105.234994643026</v>
      </c>
      <c r="D5766" s="38" t="n">
        <f aca="false">Sens!$D$5765-Sens!$D$5762</f>
        <v>120.021229911349</v>
      </c>
      <c r="E5766" s="38" t="n">
        <f aca="false">Sens!$E$5765-Sens!$E$5762</f>
        <v>71.30864702443</v>
      </c>
      <c r="F5766" s="38" t="n">
        <f aca="false">Sens!$O$5766*(1+Sens!$F$5767)</f>
        <v>71.7692997942464</v>
      </c>
      <c r="G5766" s="38" t="n">
        <f aca="false">Sens!$E$5766+Sens!$F$5766</f>
        <v>143.077946818676</v>
      </c>
      <c r="H5766" s="38" t="n">
        <f aca="false">Sens!$G$5766*(1+Sens!$H$5767)</f>
        <v>161.017077079203</v>
      </c>
      <c r="I5766" s="38" t="n">
        <f aca="false">Sens!$H$5766*(1+Sens!$I$5767)</f>
        <v>178.769759521457</v>
      </c>
      <c r="J5766" s="38" t="n">
        <f aca="false">Sens!$I$5766*(1+Sens!$J$5767)</f>
        <v>195.775538045907</v>
      </c>
      <c r="K5766" s="38" t="n">
        <f aca="false">Sens!$J$5766*(1+Sens!$K$5767)</f>
        <v>211.43758108958</v>
      </c>
      <c r="L5766" s="38" t="n">
        <f aca="false">Sens!$K$5766*(1+Sens!$L$5767)</f>
        <v>228.352587576746</v>
      </c>
      <c r="M5766" s="38" t="n">
        <f aca="false">Sens!$L$5766*(1+Sens!$M$5767)</f>
        <v>246.620794582886</v>
      </c>
      <c r="N5766" s="38" t="n">
        <f aca="false">Sens!$N$5765-Sens!$N$5762</f>
        <v>57.0936804689721</v>
      </c>
      <c r="O5766" s="38" t="n">
        <f aca="false">Sens!$O$5765-Sens!$O$5762</f>
        <v>62.9275494423768</v>
      </c>
      <c r="P5766" s="5" t="s">
        <v>629</v>
      </c>
    </row>
    <row r="5767" customFormat="false" ht="17.15" hidden="false" customHeight="false" outlineLevel="0" collapsed="false">
      <c r="A5767" s="0" t="s">
        <v>630</v>
      </c>
      <c r="B5767" s="0" t="s">
        <v>52</v>
      </c>
      <c r="D5767" s="13" t="n">
        <f aca="false">Sens!$D$5766/Sens!$C$5766-1</f>
        <v>0.140506827776062</v>
      </c>
      <c r="E5767" s="13" t="n">
        <f aca="false">Sens!$E$5766/Sens!$N$5766-1</f>
        <v>0.248976181579029</v>
      </c>
      <c r="F5767" s="13" t="n">
        <f aca="false">Sens!$D$5767</f>
        <v>0.140506827776062</v>
      </c>
      <c r="G5767" s="13" t="n">
        <f aca="false">Sens!$G$5766/Sens!$D$5766-1</f>
        <v>0.19210532106993</v>
      </c>
      <c r="H5767" s="13" t="n">
        <f aca="false">Sens!$F$5767+(g_awso_lt-Sens!$F$5767)*1/4</f>
        <v>0.125380120832046</v>
      </c>
      <c r="I5767" s="13" t="n">
        <f aca="false">Sens!$F$5767+(g_awso_lt-Sens!$F$5767)*2/4</f>
        <v>0.110253413888031</v>
      </c>
      <c r="J5767" s="13" t="n">
        <f aca="false">Sens!$F$5767+(g_awso_lt-Sens!$F$5767)*3/4</f>
        <v>0.0951267069440154</v>
      </c>
      <c r="K5767" s="13" t="n">
        <f aca="false">Sens!$F$5767+(g_awso_lt-Sens!$F$5767)*4/4</f>
        <v>0.08</v>
      </c>
      <c r="L5767" s="13" t="n">
        <f aca="false">g_awso_lt</f>
        <v>0.08</v>
      </c>
      <c r="M5767" s="13" t="n">
        <f aca="false">g_awso_lt</f>
        <v>0.08</v>
      </c>
      <c r="P5767" s="5" t="s">
        <v>631</v>
      </c>
    </row>
    <row r="5768" customFormat="false" ht="17.15" hidden="false" customHeight="false" outlineLevel="0" collapsed="false">
      <c r="A5768" s="1" t="s">
        <v>632</v>
      </c>
    </row>
    <row r="5769" customFormat="false" ht="17.15" hidden="false" customHeight="false" outlineLevel="0" collapsed="false">
      <c r="A5769" s="0" t="s">
        <v>633</v>
      </c>
      <c r="B5769" s="0" t="s">
        <v>86</v>
      </c>
      <c r="F5769" s="38" t="n">
        <f aca="false">cx_rt*Sens!$F$5734+cx_awso*Sens!$F$5766</f>
        <v>34.9734495387866</v>
      </c>
    </row>
    <row r="5770" customFormat="false" ht="17.15" hidden="false" customHeight="false" outlineLevel="0" collapsed="false">
      <c r="A5770" s="0" t="s">
        <v>634</v>
      </c>
      <c r="B5770" s="0" t="s">
        <v>52</v>
      </c>
      <c r="C5770" s="13" t="n">
        <f aca="false">tk_cx_h100/(tk_cx_h100+tk_fac*(1-colo_sh))</f>
        <v>0.730756458006641</v>
      </c>
      <c r="D5770" s="13" t="n">
        <f aca="false">tk_cx_h100/(tk_cx_h100+tk_fac*(1-colo_sh))</f>
        <v>0.730756458006641</v>
      </c>
      <c r="E5770" s="13" t="n">
        <f aca="false">Sens!$F$5770</f>
        <v>0.760792334328868</v>
      </c>
      <c r="F5770" s="13" t="n">
        <f aca="false">Sens!$F$5753/(Sens!$F$5753+tk_fac*(1-colo_sh))</f>
        <v>0.760792334328868</v>
      </c>
      <c r="G5770" s="13" t="n">
        <f aca="false">Sens!$G$5753/(Sens!$G$5753+tk_fac*(1-colo_sh))</f>
        <v>0.760792334328868</v>
      </c>
      <c r="H5770" s="13" t="n">
        <f aca="false">Sens!$H$5753/(Sens!$H$5753+tk_fac*(1-colo_sh))</f>
        <v>0.768110668862996</v>
      </c>
      <c r="I5770" s="13" t="n">
        <f aca="false">Sens!$I$5753/(Sens!$I$5753+tk_fac*(1-colo_sh))</f>
        <v>0.77499450139483</v>
      </c>
      <c r="J5770" s="13" t="n">
        <f aca="false">Sens!$J$5753/(Sens!$J$5753+tk_fac*(1-colo_sh))</f>
        <v>0.77499450139483</v>
      </c>
      <c r="K5770" s="13" t="n">
        <f aca="false">Sens!$K$5753/(Sens!$K$5753+tk_fac*(1-colo_sh))</f>
        <v>0.77499450139483</v>
      </c>
      <c r="L5770" s="13" t="n">
        <f aca="false">Sens!$L$5753/(Sens!$L$5753+tk_fac*(1-colo_sh))</f>
        <v>0.77499450139483</v>
      </c>
      <c r="M5770" s="13" t="n">
        <f aca="false">Sens!$M$5753/(Sens!$M$5753+tk_fac*(1-colo_sh))</f>
        <v>0.77499450139483</v>
      </c>
    </row>
    <row r="5771" customFormat="false" ht="17.15" hidden="false" customHeight="false" outlineLevel="0" collapsed="false">
      <c r="A5771" s="1" t="s">
        <v>635</v>
      </c>
      <c r="B5771" s="8" t="s">
        <v>86</v>
      </c>
      <c r="C5771" s="38" t="n">
        <f aca="false">Q!$D$46-cx_rt*Q!$D$16-cx_awso*Sens!$C$5766</f>
        <v>25.2781053077374</v>
      </c>
      <c r="D5771" s="38" t="n">
        <f aca="false">Q!$E$46-cx_rt*Q!$E$16-cx_awso*Sens!$D$5766</f>
        <v>69.5686316310026</v>
      </c>
      <c r="E5771" s="38" t="n">
        <f aca="false">Q!$P$46-cx_rt*Q!$P$16-cx_awso*Sens!$E$5766</f>
        <v>64.1899206485108</v>
      </c>
      <c r="F5771" s="38" t="n">
        <f aca="false">capex_g26-Q!$P$46-Sens!$F$5769</f>
        <v>88.7165504612134</v>
      </c>
      <c r="G5771" s="38" t="n">
        <f aca="false">Sens!$E$5771+Sens!$F$5771</f>
        <v>152.906471109724</v>
      </c>
      <c r="H5771" s="38" t="n">
        <f aca="false">Sens!$H$5748*(Sens!$H$5753+tk_fac*(1-colo_sh))/1000+Sens!$H$5772</f>
        <v>198.57136494475</v>
      </c>
      <c r="I5771" s="38" t="n">
        <f aca="false">Sens!$I$5748*(Sens!$I$5753+tk_fac*(1-colo_sh))/1000+Sens!$I$5772</f>
        <v>204.6464699105</v>
      </c>
      <c r="J5771" s="38" t="n">
        <f aca="false">Sens!$J$5748*(Sens!$J$5753+tk_fac*(1-colo_sh))/1000+Sens!$J$5772</f>
        <v>209.8832381105</v>
      </c>
      <c r="K5771" s="38" t="n">
        <f aca="false">Sens!$K$5748*(Sens!$K$5753+tk_fac*(1-colo_sh))/1000+Sens!$K$5772</f>
        <v>152.460428963578</v>
      </c>
      <c r="L5771" s="38" t="n">
        <f aca="false">Sens!$L$5748*(Sens!$L$5753+tk_fac*(1-colo_sh))/1000+Sens!$L$5772</f>
        <v>126.458229016657</v>
      </c>
      <c r="M5771" s="38" t="n">
        <f aca="false">Sens!$M$5748*(Sens!$M$5753+tk_fac*(1-colo_sh))/1000+Sens!$M$5772</f>
        <v>123.897112724985</v>
      </c>
      <c r="P5771" s="5" t="s">
        <v>636</v>
      </c>
      <c r="R5771" s="38" t="n">
        <f aca="false">Q!$C$46-cx_rt*Q!$C$16-cx_awso*(Q!$C$7-mw_ye23/2*rpm_open/1000)</f>
        <v>1.50429979529945</v>
      </c>
      <c r="S5771" s="38" t="n">
        <f aca="false">Sens!$C$5771</f>
        <v>25.2781053077374</v>
      </c>
      <c r="T5771" s="38" t="n">
        <f aca="false">Sens!$D$5771</f>
        <v>69.5686316310026</v>
      </c>
      <c r="U5771" s="38" t="n">
        <f aca="false">Sens!$G$5771</f>
        <v>152.906471109724</v>
      </c>
      <c r="V5771" s="38" t="n">
        <f aca="false">Sens!$H$5771</f>
        <v>198.57136494475</v>
      </c>
      <c r="W5771" s="38" t="n">
        <f aca="false">Sens!$I$5771</f>
        <v>204.6464699105</v>
      </c>
      <c r="X5771" s="38" t="n">
        <f aca="false">Sens!$J$5771</f>
        <v>209.8832381105</v>
      </c>
      <c r="Y5771" s="38" t="n">
        <f aca="false">Sens!$K$5771</f>
        <v>152.460428963578</v>
      </c>
      <c r="Z5771" s="38" t="n">
        <f aca="false">Sens!$L$5771</f>
        <v>126.458229016657</v>
      </c>
      <c r="AA5771" s="38" t="n">
        <f aca="false">Sens!$M$5771</f>
        <v>123.897112724985</v>
      </c>
    </row>
    <row r="5772" customFormat="false" ht="17.15" hidden="false" customHeight="false" outlineLevel="0" collapsed="false">
      <c r="A5772" s="0" t="s">
        <v>637</v>
      </c>
      <c r="B5772" s="0" t="s">
        <v>86</v>
      </c>
      <c r="H5772" s="38" t="n">
        <f aca="false">SUMPRODUCT(--(Sens!$R$5741:$AA$5741=2027-tk_life),Sens!$R$5748:$AA$5748)*Sens!$H$5753/1000</f>
        <v>0</v>
      </c>
      <c r="I5772" s="38" t="n">
        <f aca="false">SUMPRODUCT(--(Sens!$R$5741:$AA$5741=2028-tk_life),Sens!$R$5748:$AA$5748)*Sens!$I$5753/1000</f>
        <v>0</v>
      </c>
      <c r="J5772" s="38" t="n">
        <f aca="false">SUMPRODUCT(--(Sens!$R$5741:$AA$5741=2029-tk_life),Sens!$R$5748:$AA$5748)*Sens!$J$5753/1000</f>
        <v>5.2367682</v>
      </c>
      <c r="K5772" s="38" t="n">
        <f aca="false">SUMPRODUCT(--(Sens!$R$5741:$AA$5741=2030-tk_life),Sens!$R$5748:$AA$5748)*Sens!$K$5753/1000</f>
        <v>10.4735364</v>
      </c>
      <c r="L5772" s="38" t="n">
        <f aca="false">SUMPRODUCT(--(Sens!$R$5741:$AA$5741=2031-tk_life),Sens!$R$5748:$AA$5748)*Sens!$L$5753/1000</f>
        <v>47.1309138</v>
      </c>
      <c r="M5772" s="38" t="n">
        <f aca="false">SUMPRODUCT(--(Sens!$R$5741:$AA$5741=2032-tk_life),Sens!$R$5748:$AA$5748)*Sens!$M$5753/1000</f>
        <v>107.22937485525</v>
      </c>
    </row>
    <row r="5773" customFormat="false" ht="17.15" hidden="false" customHeight="false" outlineLevel="0" collapsed="false">
      <c r="A5773" s="0" t="s">
        <v>638</v>
      </c>
      <c r="B5773" s="0" t="s">
        <v>86</v>
      </c>
      <c r="C5773" s="38" t="n">
        <f aca="false">MIN(Sens!$C$5771,Sens!$C$5748*(tk_cx_h100+tk_fac*(1-colo_sh))/1000)</f>
        <v>11.2938642</v>
      </c>
      <c r="D5773" s="38" t="n">
        <f aca="false">MIN(Sens!$D$5771,Sens!$D$5748*(tk_cx_h100+tk_fac*(1-colo_sh))/1000)</f>
        <v>50.8223889</v>
      </c>
      <c r="E5773" s="38" t="n">
        <f aca="false">MIN(Sens!$E$5771,Sens!$E$5748*(Sens!$F$5753+tk_fac*(1-colo_sh))/1000)</f>
        <v>33.8985792</v>
      </c>
      <c r="F5773" s="38" t="n">
        <f aca="false">Sens!$F$5771</f>
        <v>88.7165504612134</v>
      </c>
      <c r="G5773" s="38" t="n">
        <f aca="false">Sens!$E$5773+Sens!$F$5773</f>
        <v>122.615129661213</v>
      </c>
      <c r="H5773" s="38" t="n">
        <f aca="false">Sens!$H$5771</f>
        <v>198.57136494475</v>
      </c>
      <c r="I5773" s="38" t="n">
        <f aca="false">Sens!$I$5771</f>
        <v>204.6464699105</v>
      </c>
      <c r="J5773" s="38" t="n">
        <f aca="false">Sens!$J$5771</f>
        <v>209.8832381105</v>
      </c>
      <c r="K5773" s="38" t="n">
        <f aca="false">Sens!$K$5771</f>
        <v>152.460428963578</v>
      </c>
      <c r="L5773" s="38" t="n">
        <f aca="false">Sens!$L$5771</f>
        <v>126.458229016657</v>
      </c>
      <c r="M5773" s="38" t="n">
        <f aca="false">Sens!$M$5771</f>
        <v>123.897112724985</v>
      </c>
      <c r="P5773" s="5" t="s">
        <v>639</v>
      </c>
      <c r="R5773" s="38" t="n">
        <f aca="false">MIN(Sens!$R$5771,Sens!$R$5748*(tk_cx_h100+tk_fac*(1-colo_sh))/1000)</f>
        <v>1.50429979529945</v>
      </c>
      <c r="S5773" s="38" t="n">
        <f aca="false">Sens!$C$5773</f>
        <v>11.2938642</v>
      </c>
      <c r="T5773" s="38" t="n">
        <f aca="false">Sens!$D$5773</f>
        <v>50.8223889</v>
      </c>
      <c r="U5773" s="38" t="n">
        <f aca="false">Sens!$G$5773</f>
        <v>122.615129661213</v>
      </c>
      <c r="V5773" s="38" t="n">
        <f aca="false">Sens!$H$5773</f>
        <v>198.57136494475</v>
      </c>
      <c r="W5773" s="38" t="n">
        <f aca="false">Sens!$I$5773</f>
        <v>204.6464699105</v>
      </c>
      <c r="X5773" s="38" t="n">
        <f aca="false">Sens!$J$5773</f>
        <v>209.8832381105</v>
      </c>
      <c r="Y5773" s="38" t="n">
        <f aca="false">Sens!$K$5773</f>
        <v>152.460428963578</v>
      </c>
      <c r="Z5773" s="38" t="n">
        <f aca="false">Sens!$L$5773</f>
        <v>126.458229016657</v>
      </c>
      <c r="AA5773" s="38" t="n">
        <f aca="false">Sens!$M$5773</f>
        <v>123.897112724985</v>
      </c>
    </row>
    <row r="5774" customFormat="false" ht="17.15" hidden="false" customHeight="false" outlineLevel="0" collapsed="false">
      <c r="A5774" s="5" t="s">
        <v>640</v>
      </c>
      <c r="B5774" s="0" t="s">
        <v>86</v>
      </c>
      <c r="C5774" s="38" t="n">
        <f aca="false">Sens!$C$5771-Sens!$C$5773</f>
        <v>13.9842411077374</v>
      </c>
      <c r="D5774" s="38" t="n">
        <f aca="false">Sens!$D$5771-Sens!$D$5773</f>
        <v>18.7462427310026</v>
      </c>
      <c r="E5774" s="38" t="n">
        <f aca="false">Sens!$E$5771-Sens!$E$5773</f>
        <v>30.2913414485108</v>
      </c>
      <c r="F5774" s="38" t="n">
        <f aca="false">Sens!$F$5771-Sens!$F$5773</f>
        <v>0</v>
      </c>
      <c r="G5774" s="38" t="n">
        <f aca="false">Sens!$G$5771-Sens!$G$5773</f>
        <v>30.2913414485108</v>
      </c>
      <c r="H5774" s="38" t="n">
        <f aca="false">Sens!$H$5771-Sens!$H$5773</f>
        <v>0</v>
      </c>
      <c r="I5774" s="38" t="n">
        <f aca="false">Sens!$I$5771-Sens!$I$5773</f>
        <v>0</v>
      </c>
      <c r="J5774" s="38" t="n">
        <f aca="false">Sens!$J$5771-Sens!$J$5773</f>
        <v>0</v>
      </c>
      <c r="K5774" s="38" t="n">
        <f aca="false">Sens!$K$5771-Sens!$K$5773</f>
        <v>0</v>
      </c>
      <c r="L5774" s="38" t="n">
        <f aca="false">Sens!$L$5771-Sens!$L$5773</f>
        <v>0</v>
      </c>
      <c r="M5774" s="38" t="n">
        <f aca="false">Sens!$M$5771-Sens!$M$5773</f>
        <v>0</v>
      </c>
      <c r="P5774" s="5" t="s">
        <v>641</v>
      </c>
      <c r="R5774" s="38" t="n">
        <f aca="false">Sens!$R$5771-Sens!$R$5773</f>
        <v>0</v>
      </c>
      <c r="S5774" s="38" t="n">
        <f aca="false">Sens!$S$5771-Sens!$S$5773</f>
        <v>13.9842411077374</v>
      </c>
      <c r="T5774" s="38" t="n">
        <f aca="false">Sens!$T$5771-Sens!$T$5773</f>
        <v>18.7462427310026</v>
      </c>
      <c r="U5774" s="38" t="n">
        <f aca="false">Sens!$U$5771-Sens!$U$5773</f>
        <v>30.2913414485108</v>
      </c>
      <c r="V5774" s="38" t="n">
        <f aca="false">Sens!$V$5771-Sens!$V$5773</f>
        <v>0</v>
      </c>
      <c r="W5774" s="38" t="n">
        <f aca="false">Sens!$W$5771-Sens!$W$5773</f>
        <v>0</v>
      </c>
      <c r="X5774" s="38" t="n">
        <f aca="false">Sens!$X$5771-Sens!$X$5773</f>
        <v>0</v>
      </c>
      <c r="Y5774" s="38" t="n">
        <f aca="false">Sens!$Y$5771-Sens!$Y$5773</f>
        <v>0</v>
      </c>
      <c r="Z5774" s="38" t="n">
        <f aca="false">Sens!$Z$5771-Sens!$Z$5773</f>
        <v>0</v>
      </c>
      <c r="AA5774" s="38" t="n">
        <f aca="false">Sens!$AA$5771-Sens!$AA$5773</f>
        <v>0</v>
      </c>
    </row>
    <row r="5775" customFormat="false" ht="17.15" hidden="false" customHeight="false" outlineLevel="0" collapsed="false">
      <c r="A5775" s="5" t="s">
        <v>642</v>
      </c>
      <c r="B5775" s="0" t="s">
        <v>86</v>
      </c>
      <c r="R5775" s="38" t="n">
        <f aca="false">Sens!$R$5774*Sens!$C$5770</f>
        <v>0</v>
      </c>
      <c r="S5775" s="38" t="n">
        <f aca="false">Sens!$S$5774*Sens!$C$5770</f>
        <v>10.219074499801</v>
      </c>
      <c r="T5775" s="38" t="n">
        <f aca="false">Sens!$T$5774*Sens!$C$5770</f>
        <v>13.6989379390402</v>
      </c>
      <c r="U5775" s="38" t="n">
        <f aca="false">Sens!$U$5774*Sens!$E$5770</f>
        <v>23.0454203705653</v>
      </c>
      <c r="V5775" s="38" t="n">
        <f aca="false">Sens!$V$5774*Sens!$E$5770</f>
        <v>0</v>
      </c>
      <c r="W5775" s="38" t="n">
        <f aca="false">Sens!$W$5774*Sens!$E$5770</f>
        <v>0</v>
      </c>
      <c r="X5775" s="38" t="n">
        <f aca="false">Sens!$X$5774*Sens!$E$5770</f>
        <v>0</v>
      </c>
      <c r="Y5775" s="38" t="n">
        <f aca="false">Sens!$Y$5774*Sens!$E$5770</f>
        <v>0</v>
      </c>
      <c r="Z5775" s="38" t="n">
        <f aca="false">Sens!$Z$5774*Sens!$E$5770</f>
        <v>0</v>
      </c>
      <c r="AA5775" s="38" t="n">
        <f aca="false">Sens!$AA$5774*Sens!$E$5770</f>
        <v>0</v>
      </c>
    </row>
    <row r="5776" customFormat="false" ht="17.15" hidden="false" customHeight="false" outlineLevel="0" collapsed="false">
      <c r="A5776" s="5" t="s">
        <v>643</v>
      </c>
      <c r="B5776" s="0" t="s">
        <v>86</v>
      </c>
      <c r="R5776" s="38" t="n">
        <f aca="false">SUMPRODUCT(--(Sens!$R$5741:$AA$5741=2023-cip_lag),Sens!$R$5775:$AA$5775)</f>
        <v>0</v>
      </c>
      <c r="S5776" s="38" t="n">
        <f aca="false">SUMPRODUCT(--(Sens!$R$5741:$AA$5741=2024-cip_lag),Sens!$R$5775:$AA$5775)</f>
        <v>0</v>
      </c>
      <c r="T5776" s="38" t="n">
        <f aca="false">SUMPRODUCT(--(Sens!$R$5741:$AA$5741=2025-cip_lag),Sens!$R$5775:$AA$5775)</f>
        <v>10.219074499801</v>
      </c>
      <c r="U5776" s="38" t="n">
        <f aca="false">SUMPRODUCT(--(Sens!$R$5741:$AA$5741=2026-cip_lag),Sens!$R$5775:$AA$5775)</f>
        <v>13.6989379390402</v>
      </c>
      <c r="V5776" s="38" t="n">
        <f aca="false">SUMPRODUCT(--(Sens!$R$5741:$AA$5741=2027-cip_lag),Sens!$R$5775:$AA$5775)</f>
        <v>23.0454203705653</v>
      </c>
      <c r="W5776" s="38" t="n">
        <f aca="false">SUMPRODUCT(--(Sens!$R$5741:$AA$5741=2028-cip_lag),Sens!$R$5775:$AA$5775)</f>
        <v>0</v>
      </c>
      <c r="X5776" s="38" t="n">
        <f aca="false">SUMPRODUCT(--(Sens!$R$5741:$AA$5741=2029-cip_lag),Sens!$R$5775:$AA$5775)</f>
        <v>0</v>
      </c>
      <c r="Y5776" s="38" t="n">
        <f aca="false">SUMPRODUCT(--(Sens!$R$5741:$AA$5741=2030-cip_lag),Sens!$R$5775:$AA$5775)</f>
        <v>0</v>
      </c>
      <c r="Z5776" s="38" t="n">
        <f aca="false">SUMPRODUCT(--(Sens!$R$5741:$AA$5741=2031-cip_lag),Sens!$R$5775:$AA$5775)</f>
        <v>0</v>
      </c>
      <c r="AA5776" s="38" t="n">
        <f aca="false">SUMPRODUCT(--(Sens!$R$5741:$AA$5741=2032-cip_lag),Sens!$R$5775:$AA$5775)</f>
        <v>0</v>
      </c>
    </row>
    <row r="5777" customFormat="false" ht="15" hidden="false" customHeight="false" outlineLevel="0" collapsed="false">
      <c r="A5777" s="5" t="s">
        <v>644</v>
      </c>
      <c r="B5777" s="0" t="s">
        <v>86</v>
      </c>
      <c r="R5777" s="38" t="n">
        <f aca="false">SUMPRODUCT(--(Sens!$R$5741:$AA$5741=2023-cip_lag),Sens!$R$5774:$AA$5774)-Sens!$R$5776</f>
        <v>0</v>
      </c>
      <c r="S5777" s="38" t="n">
        <f aca="false">SUMPRODUCT(--(Sens!$R$5741:$AA$5741=2024-cip_lag),Sens!$R$5774:$AA$5774)-Sens!$S$5776</f>
        <v>0</v>
      </c>
      <c r="T5777" s="38" t="n">
        <f aca="false">SUMPRODUCT(--(Sens!$R$5741:$AA$5741=2025-cip_lag),Sens!$R$5774:$AA$5774)-Sens!$T$5776</f>
        <v>3.76516660793636</v>
      </c>
      <c r="U5777" s="38" t="n">
        <f aca="false">SUMPRODUCT(--(Sens!$R$5741:$AA$5741=2026-cip_lag),Sens!$R$5774:$AA$5774)-Sens!$U$5776</f>
        <v>5.04730479196242</v>
      </c>
      <c r="V5777" s="38" t="n">
        <f aca="false">SUMPRODUCT(--(Sens!$R$5741:$AA$5741=2027-cip_lag),Sens!$R$5774:$AA$5774)-Sens!$V$5776</f>
        <v>7.24592107794548</v>
      </c>
      <c r="W5777" s="38" t="n">
        <f aca="false">SUMPRODUCT(--(Sens!$R$5741:$AA$5741=2028-cip_lag),Sens!$R$5774:$AA$5774)-Sens!$W$5776</f>
        <v>0</v>
      </c>
      <c r="X5777" s="38" t="n">
        <f aca="false">SUMPRODUCT(--(Sens!$R$5741:$AA$5741=2029-cip_lag),Sens!$R$5774:$AA$5774)-Sens!$X$5776</f>
        <v>0</v>
      </c>
      <c r="Y5777" s="38" t="n">
        <f aca="false">SUMPRODUCT(--(Sens!$R$5741:$AA$5741=2030-cip_lag),Sens!$R$5774:$AA$5774)-Sens!$Y$5776</f>
        <v>0</v>
      </c>
      <c r="Z5777" s="38" t="n">
        <f aca="false">SUMPRODUCT(--(Sens!$R$5741:$AA$5741=2031-cip_lag),Sens!$R$5774:$AA$5774)-Sens!$Z$5776</f>
        <v>0</v>
      </c>
      <c r="AA5777" s="38" t="n">
        <f aca="false">SUMPRODUCT(--(Sens!$R$5741:$AA$5741=2032-cip_lag),Sens!$R$5774:$AA$5774)-Sens!$AA$5776</f>
        <v>0</v>
      </c>
    </row>
    <row r="5778" customFormat="false" ht="17.15" hidden="false" customHeight="false" outlineLevel="0" collapsed="false">
      <c r="A5778" s="5" t="s">
        <v>645</v>
      </c>
      <c r="B5778" s="0" t="s">
        <v>86</v>
      </c>
      <c r="C5778" s="38" t="n">
        <f aca="false">Sens!$C$5773*Sens!$C$5770</f>
        <v>8.2530642</v>
      </c>
      <c r="D5778" s="38" t="n">
        <f aca="false">Sens!$D$5773*Sens!$D$5770</f>
        <v>37.1387889</v>
      </c>
      <c r="E5778" s="38" t="n">
        <f aca="false">Sens!$E$5773*Sens!$E$5770</f>
        <v>25.7897792</v>
      </c>
      <c r="F5778" s="38" t="n">
        <f aca="false">Sens!$F$5773*Sens!$F$5770</f>
        <v>67.4948715189913</v>
      </c>
      <c r="G5778" s="38" t="n">
        <f aca="false">Sens!$E$5778+Sens!$F$5778</f>
        <v>93.2846507189913</v>
      </c>
      <c r="H5778" s="38" t="n">
        <f aca="false">(Sens!$H$5773-Sens!$H$5772)*Sens!$H$5770+Sens!$H$5772</f>
        <v>152.52478394475</v>
      </c>
      <c r="I5778" s="38" t="n">
        <f aca="false">(Sens!$I$5773-Sens!$I$5772)*Sens!$I$5770+Sens!$I$5772</f>
        <v>158.5998889105</v>
      </c>
      <c r="J5778" s="38" t="n">
        <f aca="false">(Sens!$J$5773-Sens!$J$5772)*Sens!$J$5770+Sens!$J$5772</f>
        <v>163.8366571105</v>
      </c>
      <c r="K5778" s="38" t="n">
        <f aca="false">(Sens!$K$5773-Sens!$K$5772)*Sens!$K$5770+Sens!$K$5772</f>
        <v>120.512597406912</v>
      </c>
      <c r="L5778" s="38" t="n">
        <f aca="false">(Sens!$L$5773-Sens!$L$5772)*Sens!$L$5770+Sens!$L$5772</f>
        <v>108.609146903323</v>
      </c>
      <c r="M5778" s="38" t="n">
        <f aca="false">(Sens!$M$5773-Sens!$M$5772)*Sens!$M$5770+Sens!$M$5772</f>
        <v>120.146780054985</v>
      </c>
      <c r="R5778" s="38" t="n">
        <f aca="false">Sens!$R$5773*Sens!$C$5770</f>
        <v>1.09927679019314</v>
      </c>
      <c r="S5778" s="38" t="n">
        <f aca="false">Sens!$C$5778</f>
        <v>8.2530642</v>
      </c>
      <c r="T5778" s="38" t="n">
        <f aca="false">Sens!$D$5778</f>
        <v>37.1387889</v>
      </c>
      <c r="U5778" s="38" t="n">
        <f aca="false">Sens!$G$5778</f>
        <v>93.2846507189913</v>
      </c>
      <c r="V5778" s="38" t="n">
        <f aca="false">Sens!$H$5778</f>
        <v>152.52478394475</v>
      </c>
      <c r="W5778" s="38" t="n">
        <f aca="false">Sens!$I$5778</f>
        <v>158.5998889105</v>
      </c>
      <c r="X5778" s="38" t="n">
        <f aca="false">Sens!$J$5778</f>
        <v>163.8366571105</v>
      </c>
      <c r="Y5778" s="38" t="n">
        <f aca="false">Sens!$K$5778</f>
        <v>120.512597406912</v>
      </c>
      <c r="Z5778" s="38" t="n">
        <f aca="false">Sens!$L$5778</f>
        <v>108.609146903323</v>
      </c>
      <c r="AA5778" s="38" t="n">
        <f aca="false">Sens!$M$5778</f>
        <v>120.146780054985</v>
      </c>
    </row>
    <row r="5779" customFormat="false" ht="15" hidden="false" customHeight="false" outlineLevel="0" collapsed="false">
      <c r="A5779" s="5" t="s">
        <v>646</v>
      </c>
      <c r="B5779" s="0" t="s">
        <v>86</v>
      </c>
      <c r="C5779" s="38" t="n">
        <f aca="false">Sens!$C$5773-Sens!$C$5778</f>
        <v>3.0408</v>
      </c>
      <c r="D5779" s="38" t="n">
        <f aca="false">Sens!$D$5773-Sens!$D$5778</f>
        <v>13.6836</v>
      </c>
      <c r="E5779" s="38" t="n">
        <f aca="false">Sens!$E$5773-Sens!$E$5778</f>
        <v>8.1088</v>
      </c>
      <c r="F5779" s="38" t="n">
        <f aca="false">Sens!$F$5773-Sens!$F$5778</f>
        <v>21.2216789422221</v>
      </c>
      <c r="G5779" s="38" t="n">
        <f aca="false">Sens!$G$5773-Sens!$G$5778</f>
        <v>29.3304789422221</v>
      </c>
      <c r="H5779" s="38" t="n">
        <f aca="false">Sens!$H$5773-Sens!$H$5778</f>
        <v>46.046581</v>
      </c>
      <c r="I5779" s="38" t="n">
        <f aca="false">Sens!$I$5773-Sens!$I$5778</f>
        <v>46.046581</v>
      </c>
      <c r="J5779" s="38" t="n">
        <f aca="false">Sens!$J$5773-Sens!$J$5778</f>
        <v>46.046581</v>
      </c>
      <c r="K5779" s="38" t="n">
        <f aca="false">Sens!$K$5773-Sens!$K$5778</f>
        <v>31.9478315566667</v>
      </c>
      <c r="L5779" s="38" t="n">
        <f aca="false">Sens!$L$5773-Sens!$L$5778</f>
        <v>17.8490821133333</v>
      </c>
      <c r="M5779" s="38" t="n">
        <f aca="false">Sens!$M$5773-Sens!$M$5778</f>
        <v>3.75033267000001</v>
      </c>
      <c r="R5779" s="38" t="n">
        <f aca="false">Sens!$R$5773-Sens!$R$5778</f>
        <v>0.405023005106309</v>
      </c>
      <c r="S5779" s="38" t="n">
        <f aca="false">Sens!$S$5773-Sens!$S$5778</f>
        <v>3.0408</v>
      </c>
      <c r="T5779" s="38" t="n">
        <f aca="false">Sens!$T$5773-Sens!$T$5778</f>
        <v>13.6836</v>
      </c>
      <c r="U5779" s="38" t="n">
        <f aca="false">Sens!$U$5773-Sens!$U$5778</f>
        <v>29.3304789422221</v>
      </c>
      <c r="V5779" s="38" t="n">
        <f aca="false">Sens!$V$5773-Sens!$V$5778</f>
        <v>46.046581</v>
      </c>
      <c r="W5779" s="38" t="n">
        <f aca="false">Sens!$W$5773-Sens!$W$5778</f>
        <v>46.046581</v>
      </c>
      <c r="X5779" s="38" t="n">
        <f aca="false">Sens!$X$5773-Sens!$X$5778</f>
        <v>46.046581</v>
      </c>
      <c r="Y5779" s="38" t="n">
        <f aca="false">Sens!$Y$5773-Sens!$Y$5778</f>
        <v>31.9478315566667</v>
      </c>
      <c r="Z5779" s="38" t="n">
        <f aca="false">Sens!$Z$5773-Sens!$Z$5778</f>
        <v>17.8490821133333</v>
      </c>
      <c r="AA5779" s="38" t="n">
        <f aca="false">Sens!$AA$5773-Sens!$AA$5778</f>
        <v>3.75033267000001</v>
      </c>
    </row>
    <row r="5780" customFormat="false" ht="17.15" hidden="false" customHeight="false" outlineLevel="0" collapsed="false">
      <c r="A5780" s="0" t="s">
        <v>647</v>
      </c>
      <c r="B5780" s="0" t="s">
        <v>52</v>
      </c>
      <c r="C5780" s="13" t="n">
        <f aca="false">Sens!$C$5771/Sens!$C$5896</f>
        <v>0.325505489553393</v>
      </c>
      <c r="D5780" s="13" t="n">
        <f aca="false">Sens!$D$5771/Sens!$D$5896</f>
        <v>0.54214956071542</v>
      </c>
      <c r="E5780" s="13" t="n">
        <f aca="false">Sens!$E$5771/Sens!$E$5896</f>
        <v>0.666492790452817</v>
      </c>
      <c r="F5780" s="13" t="n">
        <f aca="false">Sens!$F$5771/Sens!$F$5896</f>
        <v>0.71724917504417</v>
      </c>
      <c r="G5780" s="13" t="n">
        <f aca="false">Sens!$G$5771/Sens!$G$5896</f>
        <v>0.69502941413511</v>
      </c>
      <c r="H5780" s="13" t="n">
        <f aca="false">Sens!$H$5771/Sens!$H$5896</f>
        <v>0.726376041178204</v>
      </c>
      <c r="I5780" s="13" t="n">
        <f aca="false">Sens!$I$5771/Sens!$I$5896</f>
        <v>0.713099092661699</v>
      </c>
      <c r="J5780" s="13" t="n">
        <f aca="false">Sens!$J$5771/Sens!$J$5896</f>
        <v>0.701208348786245</v>
      </c>
      <c r="K5780" s="13" t="n">
        <f aca="false">Sens!$K$5771/Sens!$K$5896</f>
        <v>0.614068498670476</v>
      </c>
      <c r="L5780" s="13" t="n">
        <f aca="false">Sens!$L$5771/Sens!$L$5896</f>
        <v>0.551880938289018</v>
      </c>
      <c r="M5780" s="13" t="n">
        <f aca="false">Sens!$M$5771/Sens!$M$5896</f>
        <v>0.529570283055906</v>
      </c>
    </row>
    <row r="5781" customFormat="false" ht="17.15" hidden="false" customHeight="false" outlineLevel="0" collapsed="false">
      <c r="A5781" s="0" t="s">
        <v>648</v>
      </c>
      <c r="B5781" s="0" t="s">
        <v>86</v>
      </c>
      <c r="C5781" s="38" t="n">
        <f aca="false">Sens!$S$5781</f>
        <v>0.183212798365523</v>
      </c>
      <c r="D5781" s="38" t="n">
        <f aca="false">Sens!$T$5781</f>
        <v>1.55872349836552</v>
      </c>
      <c r="E5781" s="38" t="n">
        <f aca="false">Sens!$G$5781/2</f>
        <v>4.72585036583285</v>
      </c>
      <c r="F5781" s="38" t="n">
        <f aca="false">Sens!$G$5781/2</f>
        <v>4.72585036583285</v>
      </c>
      <c r="G5781" s="38" t="n">
        <f aca="false">Sens!$U$5781</f>
        <v>9.4517007316657</v>
      </c>
      <c r="H5781" s="38" t="n">
        <f aca="false">Sens!$V$5781</f>
        <v>27.2822988413376</v>
      </c>
      <c r="I5781" s="38" t="n">
        <f aca="false">Sens!$W$5781</f>
        <v>56.5439995605568</v>
      </c>
      <c r="J5781" s="38" t="n">
        <f aca="false">Sens!$X$5781</f>
        <v>82.9773143789735</v>
      </c>
      <c r="K5781" s="38" t="n">
        <f aca="false">Sens!$Y$5781</f>
        <v>110.100211099025</v>
      </c>
      <c r="L5781" s="38" t="n">
        <f aca="false">Sens!$Z$5781</f>
        <v>128.810133300177</v>
      </c>
      <c r="M5781" s="38" t="n">
        <f aca="false">Sens!$AA$5781</f>
        <v>139.018680550764</v>
      </c>
      <c r="N5781" s="38" t="n">
        <f aca="false">Sens!$D$5781/2</f>
        <v>0.779361749182762</v>
      </c>
      <c r="O5781" s="38" t="n">
        <f aca="false">Sens!$D$5781/2</f>
        <v>0.779361749182762</v>
      </c>
      <c r="R5781" s="38" t="n">
        <f aca="false">(SUMPRODUCT(--(Sens!$R$5741:$AA$5741&lt;Sens!R$5741),--(Sens!$R$5741:$AA$5741&gt;=Sens!R$5741-tk_life),Sens!$R$5778:$AA$5778)+SUMPRODUCT(--(Sens!$R$5741:$AA$5741&lt;Sens!R$5741),--(Sens!$R$5741:$AA$5741&gt;=Sens!R$5741-tk_life),Sens!$R$5776:$AA$5776))/tk_life</f>
        <v>0</v>
      </c>
      <c r="S5781" s="38" t="n">
        <f aca="false">(SUMPRODUCT(--(Sens!$R$5741:$AA$5741&lt;Sens!S$5741),--(Sens!$R$5741:$AA$5741&gt;=Sens!S$5741-tk_life),Sens!$R$5778:$AA$5778)+SUMPRODUCT(--(Sens!$R$5741:$AA$5741&lt;Sens!S$5741),--(Sens!$R$5741:$AA$5741&gt;=Sens!S$5741-tk_life),Sens!$R$5776:$AA$5776))/tk_life</f>
        <v>0.183212798365523</v>
      </c>
      <c r="T5781" s="38" t="n">
        <f aca="false">(SUMPRODUCT(--(Sens!$R$5741:$AA$5741&lt;Sens!T$5741),--(Sens!$R$5741:$AA$5741&gt;=Sens!T$5741-tk_life),Sens!$R$5778:$AA$5778)+SUMPRODUCT(--(Sens!$R$5741:$AA$5741&lt;Sens!T$5741),--(Sens!$R$5741:$AA$5741&gt;=Sens!T$5741-tk_life),Sens!$R$5776:$AA$5776))/tk_life</f>
        <v>1.55872349836552</v>
      </c>
      <c r="U5781" s="38" t="n">
        <f aca="false">(SUMPRODUCT(--(Sens!$R$5741:$AA$5741&lt;Sens!U$5741),--(Sens!$R$5741:$AA$5741&gt;=Sens!U$5741-tk_life),Sens!$R$5778:$AA$5778)+SUMPRODUCT(--(Sens!$R$5741:$AA$5741&lt;Sens!U$5741),--(Sens!$R$5741:$AA$5741&gt;=Sens!U$5741-tk_life),Sens!$R$5776:$AA$5776))/tk_life</f>
        <v>9.4517007316657</v>
      </c>
      <c r="V5781" s="38" t="n">
        <f aca="false">(SUMPRODUCT(--(Sens!$R$5741:$AA$5741&lt;Sens!V$5741),--(Sens!$R$5741:$AA$5741&gt;=Sens!V$5741-tk_life),Sens!$R$5778:$AA$5778)+SUMPRODUCT(--(Sens!$R$5741:$AA$5741&lt;Sens!V$5741),--(Sens!$R$5741:$AA$5741&gt;=Sens!V$5741-tk_life),Sens!$R$5776:$AA$5776))/tk_life</f>
        <v>27.2822988413376</v>
      </c>
      <c r="W5781" s="38" t="n">
        <f aca="false">(SUMPRODUCT(--(Sens!$R$5741:$AA$5741&lt;Sens!W$5741),--(Sens!$R$5741:$AA$5741&gt;=Sens!W$5741-tk_life),Sens!$R$5778:$AA$5778)+SUMPRODUCT(--(Sens!$R$5741:$AA$5741&lt;Sens!W$5741),--(Sens!$R$5741:$AA$5741&gt;=Sens!W$5741-tk_life),Sens!$R$5776:$AA$5776))/tk_life</f>
        <v>56.5439995605568</v>
      </c>
      <c r="X5781" s="38" t="n">
        <f aca="false">(SUMPRODUCT(--(Sens!$R$5741:$AA$5741&lt;Sens!X$5741),--(Sens!$R$5741:$AA$5741&gt;=Sens!X$5741-tk_life),Sens!$R$5778:$AA$5778)+SUMPRODUCT(--(Sens!$R$5741:$AA$5741&lt;Sens!X$5741),--(Sens!$R$5741:$AA$5741&gt;=Sens!X$5741-tk_life),Sens!$R$5776:$AA$5776))/tk_life</f>
        <v>82.9773143789735</v>
      </c>
      <c r="Y5781" s="38" t="n">
        <f aca="false">(SUMPRODUCT(--(Sens!$R$5741:$AA$5741&lt;Sens!Y$5741),--(Sens!$R$5741:$AA$5741&gt;=Sens!Y$5741-tk_life),Sens!$R$5778:$AA$5778)+SUMPRODUCT(--(Sens!$R$5741:$AA$5741&lt;Sens!Y$5741),--(Sens!$R$5741:$AA$5741&gt;=Sens!Y$5741-tk_life),Sens!$R$5776:$AA$5776))/tk_life</f>
        <v>110.100211099025</v>
      </c>
      <c r="Z5781" s="38" t="n">
        <f aca="false">(SUMPRODUCT(--(Sens!$R$5741:$AA$5741&lt;Sens!Z$5741),--(Sens!$R$5741:$AA$5741&gt;=Sens!Z$5741-tk_life),Sens!$R$5778:$AA$5778)+SUMPRODUCT(--(Sens!$R$5741:$AA$5741&lt;Sens!Z$5741),--(Sens!$R$5741:$AA$5741&gt;=Sens!Z$5741-tk_life),Sens!$R$5776:$AA$5776))/tk_life</f>
        <v>128.810133300177</v>
      </c>
      <c r="AA5781" s="38" t="n">
        <f aca="false">(SUMPRODUCT(--(Sens!$R$5741:$AA$5741&lt;Sens!AA$5741),--(Sens!$R$5741:$AA$5741&gt;=Sens!AA$5741-tk_life),Sens!$R$5778:$AA$5778)+SUMPRODUCT(--(Sens!$R$5741:$AA$5741&lt;Sens!AA$5741),--(Sens!$R$5741:$AA$5741&gt;=Sens!AA$5741-tk_life),Sens!$R$5776:$AA$5776))/tk_life</f>
        <v>139.018680550764</v>
      </c>
    </row>
    <row r="5782" customFormat="false" ht="17.15" hidden="false" customHeight="false" outlineLevel="0" collapsed="false">
      <c r="A5782" s="0" t="s">
        <v>649</v>
      </c>
      <c r="B5782" s="0" t="s">
        <v>86</v>
      </c>
      <c r="C5782" s="38" t="n">
        <f aca="false">Sens!$S$5782</f>
        <v>0.0202511502553155</v>
      </c>
      <c r="D5782" s="38" t="n">
        <f aca="false">Sens!$T$5782</f>
        <v>0.172291150255315</v>
      </c>
      <c r="E5782" s="38" t="n">
        <f aca="false">Sens!$G$5782/2</f>
        <v>0.522364740326067</v>
      </c>
      <c r="F5782" s="38" t="n">
        <f aca="false">Sens!$G$5782/2</f>
        <v>0.522364740326067</v>
      </c>
      <c r="G5782" s="38" t="n">
        <f aca="false">Sens!$U$5782</f>
        <v>1.04472948065213</v>
      </c>
      <c r="H5782" s="38" t="n">
        <f aca="false">Sens!$V$5782</f>
        <v>2.76361866736136</v>
      </c>
      <c r="I5782" s="38" t="n">
        <f aca="false">Sens!$W$5782</f>
        <v>5.42824377125863</v>
      </c>
      <c r="J5782" s="38" t="n">
        <f aca="false">Sens!$X$5782</f>
        <v>7.73057282125864</v>
      </c>
      <c r="K5782" s="38" t="n">
        <f aca="false">Sens!$Y$5782</f>
        <v>10.0329018712586</v>
      </c>
      <c r="L5782" s="38" t="n">
        <f aca="false">Sens!$Z$5782</f>
        <v>11.630293449092</v>
      </c>
      <c r="M5782" s="38" t="n">
        <f aca="false">Sens!$AA$5782</f>
        <v>12.5227475547586</v>
      </c>
      <c r="N5782" s="38" t="n">
        <f aca="false">Sens!$D$5782/2</f>
        <v>0.0861455751276577</v>
      </c>
      <c r="O5782" s="38" t="n">
        <f aca="false">Sens!$D$5782/2</f>
        <v>0.0861455751276577</v>
      </c>
      <c r="R5782" s="38" t="n">
        <f aca="false">(SUMPRODUCT(--(Sens!$R$5741:$AA$5741&lt;Sens!R$5741),Sens!$R$5779:$AA$5779)+SUMPRODUCT(--(Sens!$R$5741:$AA$5741&lt;Sens!R$5741),Sens!$R$5777:$AA$5777))/fac_life</f>
        <v>0</v>
      </c>
      <c r="S5782" s="38" t="n">
        <f aca="false">(SUMPRODUCT(--(Sens!$R$5741:$AA$5741&lt;Sens!S$5741),Sens!$R$5779:$AA$5779)+SUMPRODUCT(--(Sens!$R$5741:$AA$5741&lt;Sens!S$5741),Sens!$R$5777:$AA$5777))/fac_life</f>
        <v>0.0202511502553155</v>
      </c>
      <c r="T5782" s="38" t="n">
        <f aca="false">(SUMPRODUCT(--(Sens!$R$5741:$AA$5741&lt;Sens!T$5741),Sens!$R$5779:$AA$5779)+SUMPRODUCT(--(Sens!$R$5741:$AA$5741&lt;Sens!T$5741),Sens!$R$5777:$AA$5777))/fac_life</f>
        <v>0.172291150255315</v>
      </c>
      <c r="U5782" s="38" t="n">
        <f aca="false">(SUMPRODUCT(--(Sens!$R$5741:$AA$5741&lt;Sens!U$5741),Sens!$R$5779:$AA$5779)+SUMPRODUCT(--(Sens!$R$5741:$AA$5741&lt;Sens!U$5741),Sens!$R$5777:$AA$5777))/fac_life</f>
        <v>1.04472948065213</v>
      </c>
      <c r="V5782" s="38" t="n">
        <f aca="false">(SUMPRODUCT(--(Sens!$R$5741:$AA$5741&lt;Sens!V$5741),Sens!$R$5779:$AA$5779)+SUMPRODUCT(--(Sens!$R$5741:$AA$5741&lt;Sens!V$5741),Sens!$R$5777:$AA$5777))/fac_life</f>
        <v>2.76361866736136</v>
      </c>
      <c r="W5782" s="38" t="n">
        <f aca="false">(SUMPRODUCT(--(Sens!$R$5741:$AA$5741&lt;Sens!W$5741),Sens!$R$5779:$AA$5779)+SUMPRODUCT(--(Sens!$R$5741:$AA$5741&lt;Sens!W$5741),Sens!$R$5777:$AA$5777))/fac_life</f>
        <v>5.42824377125863</v>
      </c>
      <c r="X5782" s="38" t="n">
        <f aca="false">(SUMPRODUCT(--(Sens!$R$5741:$AA$5741&lt;Sens!X$5741),Sens!$R$5779:$AA$5779)+SUMPRODUCT(--(Sens!$R$5741:$AA$5741&lt;Sens!X$5741),Sens!$R$5777:$AA$5777))/fac_life</f>
        <v>7.73057282125864</v>
      </c>
      <c r="Y5782" s="38" t="n">
        <f aca="false">(SUMPRODUCT(--(Sens!$R$5741:$AA$5741&lt;Sens!Y$5741),Sens!$R$5779:$AA$5779)+SUMPRODUCT(--(Sens!$R$5741:$AA$5741&lt;Sens!Y$5741),Sens!$R$5777:$AA$5777))/fac_life</f>
        <v>10.0329018712586</v>
      </c>
      <c r="Z5782" s="38" t="n">
        <f aca="false">(SUMPRODUCT(--(Sens!$R$5741:$AA$5741&lt;Sens!Z$5741),Sens!$R$5779:$AA$5779)+SUMPRODUCT(--(Sens!$R$5741:$AA$5741&lt;Sens!Z$5741),Sens!$R$5777:$AA$5777))/fac_life</f>
        <v>11.630293449092</v>
      </c>
      <c r="AA5782" s="38" t="n">
        <f aca="false">(SUMPRODUCT(--(Sens!$R$5741:$AA$5741&lt;Sens!AA$5741),Sens!$R$5779:$AA$5779)+SUMPRODUCT(--(Sens!$R$5741:$AA$5741&lt;Sens!AA$5741),Sens!$R$5777:$AA$5777))/fac_life</f>
        <v>12.5227475547586</v>
      </c>
    </row>
    <row r="5783" customFormat="false" ht="17.15" hidden="false" customHeight="false" outlineLevel="0" collapsed="false">
      <c r="A5783" s="1" t="s">
        <v>650</v>
      </c>
      <c r="B5783" s="8" t="s">
        <v>86</v>
      </c>
      <c r="C5783" s="38" t="n">
        <f aca="false">Sens!$C$5781+Sens!$C$5782</f>
        <v>0.203463948620839</v>
      </c>
      <c r="D5783" s="38" t="n">
        <f aca="false">Sens!$D$5781+Sens!$D$5782</f>
        <v>1.73101464862084</v>
      </c>
      <c r="E5783" s="38" t="n">
        <f aca="false">Sens!$E$5781+Sens!$E$5782</f>
        <v>5.24821510615892</v>
      </c>
      <c r="F5783" s="38" t="n">
        <f aca="false">Sens!$F$5781+Sens!$F$5782</f>
        <v>5.24821510615892</v>
      </c>
      <c r="G5783" s="38" t="n">
        <f aca="false">Sens!$G$5781+Sens!$G$5782</f>
        <v>10.4964302123178</v>
      </c>
      <c r="H5783" s="38" t="n">
        <f aca="false">Sens!$H$5781+Sens!$H$5782</f>
        <v>30.045917508699</v>
      </c>
      <c r="I5783" s="38" t="n">
        <f aca="false">Sens!$I$5781+Sens!$I$5782</f>
        <v>61.9722433318155</v>
      </c>
      <c r="J5783" s="38" t="n">
        <f aca="false">Sens!$J$5781+Sens!$J$5782</f>
        <v>90.7078872002321</v>
      </c>
      <c r="K5783" s="38" t="n">
        <f aca="false">Sens!$K$5781+Sens!$K$5782</f>
        <v>120.133112970283</v>
      </c>
      <c r="L5783" s="38" t="n">
        <f aca="false">Sens!$L$5781+Sens!$L$5782</f>
        <v>140.440426749269</v>
      </c>
      <c r="M5783" s="38" t="n">
        <f aca="false">Sens!$M$5781+Sens!$M$5782</f>
        <v>151.541428105522</v>
      </c>
      <c r="N5783" s="38" t="n">
        <f aca="false">Sens!$N$5781+Sens!$N$5782</f>
        <v>0.865507324310419</v>
      </c>
      <c r="O5783" s="38" t="n">
        <f aca="false">Sens!$O$5781+Sens!$O$5782</f>
        <v>0.865507324310419</v>
      </c>
      <c r="R5783" s="38" t="n">
        <f aca="false">Sens!$R$5781+Sens!$R$5782</f>
        <v>0</v>
      </c>
      <c r="S5783" s="38" t="n">
        <f aca="false">Sens!$S$5781+Sens!$S$5782</f>
        <v>0.203463948620839</v>
      </c>
      <c r="T5783" s="38" t="n">
        <f aca="false">Sens!$T$5781+Sens!$T$5782</f>
        <v>1.73101464862084</v>
      </c>
      <c r="U5783" s="38" t="n">
        <f aca="false">Sens!$U$5781+Sens!$U$5782</f>
        <v>10.4964302123178</v>
      </c>
      <c r="V5783" s="38" t="n">
        <f aca="false">Sens!$V$5781+Sens!$V$5782</f>
        <v>30.045917508699</v>
      </c>
      <c r="W5783" s="38" t="n">
        <f aca="false">Sens!$W$5781+Sens!$W$5782</f>
        <v>61.9722433318155</v>
      </c>
      <c r="X5783" s="38" t="n">
        <f aca="false">Sens!$X$5781+Sens!$X$5782</f>
        <v>90.7078872002321</v>
      </c>
      <c r="Y5783" s="38" t="n">
        <f aca="false">Sens!$Y$5781+Sens!$Y$5782</f>
        <v>120.133112970283</v>
      </c>
      <c r="Z5783" s="38" t="n">
        <f aca="false">Sens!$Z$5781+Sens!$Z$5782</f>
        <v>140.440426749269</v>
      </c>
      <c r="AA5783" s="38" t="n">
        <f aca="false">Sens!$AA$5781+Sens!$AA$5782</f>
        <v>151.541428105522</v>
      </c>
    </row>
    <row r="5784" customFormat="false" ht="17.15" hidden="false" customHeight="false" outlineLevel="0" collapsed="false">
      <c r="A5784" s="0" t="s">
        <v>651</v>
      </c>
      <c r="B5784" s="0" t="s">
        <v>86</v>
      </c>
      <c r="C5784" s="38" t="n">
        <f aca="false">Sens!$S$5784</f>
        <v>26.578941154416</v>
      </c>
      <c r="D5784" s="38" t="n">
        <f aca="false">Sens!$T$5784</f>
        <v>94.4165581367978</v>
      </c>
      <c r="G5784" s="38" t="n">
        <f aca="false">Sens!$U$5784</f>
        <v>236.826599034204</v>
      </c>
      <c r="H5784" s="38" t="n">
        <f aca="false">Sens!$V$5784</f>
        <v>405.352046470255</v>
      </c>
      <c r="I5784" s="38" t="n">
        <f aca="false">Sens!$W$5784</f>
        <v>548.02627304894</v>
      </c>
      <c r="J5784" s="38" t="n">
        <f aca="false">Sens!$X$5784</f>
        <v>667.201623959208</v>
      </c>
      <c r="K5784" s="38" t="n">
        <f aca="false">Sens!$Y$5784</f>
        <v>699.528939952503</v>
      </c>
      <c r="L5784" s="38" t="n">
        <f aca="false">Sens!$Z$5784</f>
        <v>685.546742219891</v>
      </c>
      <c r="M5784" s="38" t="n">
        <f aca="false">Sens!$AA$5784</f>
        <v>657.902426839353</v>
      </c>
      <c r="R5784" s="38" t="n">
        <f aca="false">SUM(Sens!$R$5771:$R$5771)-SUM(Sens!$R$5783:$R$5783)</f>
        <v>1.50429979529945</v>
      </c>
      <c r="S5784" s="38" t="n">
        <f aca="false">SUM(Sens!$R$5771:$S$5771)-SUM(Sens!$R$5783:$S$5783)</f>
        <v>26.578941154416</v>
      </c>
      <c r="T5784" s="38" t="n">
        <f aca="false">SUM(Sens!$R$5771:$T$5771)-SUM(Sens!$R$5783:$T$5783)</f>
        <v>94.4165581367978</v>
      </c>
      <c r="U5784" s="38" t="n">
        <f aca="false">SUM(Sens!$R$5771:$U$5771)-SUM(Sens!$R$5783:$U$5783)</f>
        <v>236.826599034204</v>
      </c>
      <c r="V5784" s="38" t="n">
        <f aca="false">SUM(Sens!$R$5771:$V$5771)-SUM(Sens!$R$5783:$V$5783)</f>
        <v>405.352046470255</v>
      </c>
      <c r="W5784" s="38" t="n">
        <f aca="false">SUM(Sens!$R$5771:$W$5771)-SUM(Sens!$R$5783:$W$5783)</f>
        <v>548.02627304894</v>
      </c>
      <c r="X5784" s="38" t="n">
        <f aca="false">SUM(Sens!$R$5771:$X$5771)-SUM(Sens!$R$5783:$X$5783)</f>
        <v>667.201623959208</v>
      </c>
      <c r="Y5784" s="38" t="n">
        <f aca="false">SUM(Sens!$R$5771:$Y$5771)-SUM(Sens!$R$5783:$Y$5783)</f>
        <v>699.528939952503</v>
      </c>
      <c r="Z5784" s="38" t="n">
        <f aca="false">SUM(Sens!$R$5771:$Z$5771)-SUM(Sens!$R$5783:$Z$5783)</f>
        <v>685.546742219891</v>
      </c>
      <c r="AA5784" s="38" t="n">
        <f aca="false">SUM(Sens!$R$5771:$AA$5771)-SUM(Sens!$R$5783:$AA$5783)</f>
        <v>657.902426839353</v>
      </c>
    </row>
    <row r="5785" customFormat="false" ht="17.15" hidden="false" customHeight="false" outlineLevel="0" collapsed="false">
      <c r="A5785" s="1" t="s">
        <v>652</v>
      </c>
    </row>
    <row r="5786" customFormat="false" ht="17.15" hidden="false" customHeight="false" outlineLevel="0" collapsed="false">
      <c r="A5786" s="0" t="s">
        <v>653</v>
      </c>
      <c r="B5786" s="0" t="s">
        <v>86</v>
      </c>
      <c r="C5786" s="38" t="n">
        <f aca="false">Sens!$C$5762-ext_sh*Sens!$C$5764</f>
        <v>1.80694998843362</v>
      </c>
      <c r="D5786" s="38" t="n">
        <f aca="false">Sens!$D$5762-ext_sh*Sens!$D$5764</f>
        <v>6.77606245662607</v>
      </c>
      <c r="E5786" s="38" t="n">
        <f aca="false">Sens!$E$5762-ext_sh*Sens!$E$5764</f>
        <v>6.62548329092326</v>
      </c>
      <c r="F5786" s="38" t="n">
        <f aca="false">Sens!$F$5762-ext_sh*Sens!$F$5764</f>
        <v>11.7200577158706</v>
      </c>
      <c r="G5786" s="38" t="n">
        <f aca="false">Sens!$G$5762-ext_sh*Sens!$G$5764</f>
        <v>18.3455410067939</v>
      </c>
      <c r="H5786" s="38" t="n">
        <f aca="false">Sens!$H$5762-ext_sh*Sens!$H$5764</f>
        <v>47.5171727060453</v>
      </c>
      <c r="I5786" s="38" t="n">
        <f aca="false">Sens!$I$5762-ext_sh*Sens!$I$5764</f>
        <v>80.5539692643667</v>
      </c>
      <c r="J5786" s="38" t="n">
        <f aca="false">Sens!$J$5762-ext_sh*Sens!$J$5764</f>
        <v>113.759316834883</v>
      </c>
      <c r="K5786" s="38" t="n">
        <f aca="false">Sens!$K$5762-ext_sh*Sens!$K$5764</f>
        <v>141.855203603144</v>
      </c>
      <c r="L5786" s="38" t="n">
        <f aca="false">Sens!$L$5762-ext_sh*Sens!$L$5764</f>
        <v>159.789055430453</v>
      </c>
      <c r="M5786" s="38" t="n">
        <f aca="false">Sens!$M$5762-ext_sh*Sens!$M$5764</f>
        <v>167.532378081213</v>
      </c>
      <c r="N5786" s="38" t="n">
        <f aca="false">Sens!$N$5762-ext_sh*Sens!$N$5764</f>
        <v>2.37162185981912</v>
      </c>
      <c r="O5786" s="38" t="n">
        <f aca="false">Sens!$O$5762-ext_sh*Sens!$O$5764</f>
        <v>4.40444059680694</v>
      </c>
    </row>
    <row r="5787" customFormat="false" ht="17.15" hidden="false" customHeight="false" outlineLevel="0" collapsed="false">
      <c r="A5787" s="1" t="s">
        <v>654</v>
      </c>
      <c r="B5787" s="8" t="s">
        <v>86</v>
      </c>
      <c r="C5787" s="38" t="n">
        <f aca="false">Sens!$C$5786-ext_sh*Sens!$C$5783</f>
        <v>1.64417882953695</v>
      </c>
      <c r="D5787" s="38" t="n">
        <f aca="false">Sens!$D$5786-ext_sh*Sens!$D$5783</f>
        <v>5.39125073772939</v>
      </c>
      <c r="E5787" s="38" t="n">
        <f aca="false">Sens!$E$5786-ext_sh*Sens!$E$5783</f>
        <v>2.42691120599613</v>
      </c>
      <c r="F5787" s="38" t="n">
        <f aca="false">Sens!$F$5786-ext_sh*Sens!$F$5783</f>
        <v>7.52148563094346</v>
      </c>
      <c r="G5787" s="38" t="n">
        <f aca="false">Sens!$G$5786-ext_sh*Sens!$G$5783</f>
        <v>9.94839683693959</v>
      </c>
      <c r="H5787" s="38" t="n">
        <f aca="false">Sens!$H$5786-ext_sh*Sens!$H$5783</f>
        <v>23.4804386990861</v>
      </c>
      <c r="I5787" s="38" t="n">
        <f aca="false">Sens!$I$5786-ext_sh*Sens!$I$5783</f>
        <v>30.9761745989143</v>
      </c>
      <c r="J5787" s="38" t="n">
        <f aca="false">Sens!$J$5786-ext_sh*Sens!$J$5783</f>
        <v>41.1930070746977</v>
      </c>
      <c r="K5787" s="38" t="n">
        <f aca="false">Sens!$K$5786-ext_sh*Sens!$K$5783</f>
        <v>45.7487132269171</v>
      </c>
      <c r="L5787" s="38" t="n">
        <f aca="false">Sens!$L$5786-ext_sh*Sens!$L$5783</f>
        <v>47.4367140310386</v>
      </c>
      <c r="M5787" s="38" t="n">
        <f aca="false">Sens!$M$5786-ext_sh*Sens!$M$5783</f>
        <v>46.2992355967948</v>
      </c>
      <c r="N5787" s="38" t="n">
        <f aca="false">Sens!$N$5786-ext_sh*Sens!$N$5783</f>
        <v>1.67921600037079</v>
      </c>
      <c r="O5787" s="38" t="n">
        <f aca="false">Sens!$O$5786-ext_sh*Sens!$O$5783</f>
        <v>3.71203473735861</v>
      </c>
    </row>
    <row r="5788" customFormat="false" ht="17.15" hidden="false" customHeight="false" outlineLevel="0" collapsed="false">
      <c r="A5788" s="0" t="s">
        <v>655</v>
      </c>
      <c r="B5788" s="0" t="s">
        <v>52</v>
      </c>
      <c r="C5788" s="13" t="n">
        <f aca="false">Sens!$C$5787/Sens!$C$5762</f>
        <v>0.708390794789371</v>
      </c>
      <c r="D5788" s="13" t="n">
        <f aca="false">Sens!$D$5787/Sens!$D$5762</f>
        <v>0.619415573115729</v>
      </c>
      <c r="E5788" s="13" t="n">
        <f aca="false">Sens!$E$5787/Sens!$E$5762</f>
        <v>0.285171627189009</v>
      </c>
      <c r="F5788" s="13" t="n">
        <f aca="false">Sens!$F$5787/Sens!$F$5762</f>
        <v>0.502657732812366</v>
      </c>
      <c r="G5788" s="13" t="n">
        <f aca="false">Sens!$G$5787/Sens!$G$5762</f>
        <v>0.423808778611812</v>
      </c>
      <c r="H5788" s="13" t="n">
        <f aca="false">Sens!$H$5787/Sens!$H$5762</f>
        <v>0.390261631739809</v>
      </c>
      <c r="I5788" s="13" t="n">
        <f aca="false">Sens!$I$5787/Sens!$I$5762</f>
        <v>0.305172864264572</v>
      </c>
      <c r="J5788" s="13" t="n">
        <f aca="false">Sens!$J$5787/Sens!$J$5762</f>
        <v>0.288011814789856</v>
      </c>
      <c r="K5788" s="13" t="n">
        <f aca="false">Sens!$K$5787/Sens!$K$5762</f>
        <v>0.256781372309587</v>
      </c>
      <c r="L5788" s="13" t="n">
        <f aca="false">Sens!$L$5787/Sens!$L$5762</f>
        <v>0.236484872592048</v>
      </c>
      <c r="M5788" s="13" t="n">
        <f aca="false">Sens!$M$5787/Sens!$M$5762</f>
        <v>0.220178275964369</v>
      </c>
      <c r="N5788" s="13" t="n">
        <f aca="false">Sens!$N$5787/Sens!$N$5762</f>
        <v>0.551227795793364</v>
      </c>
      <c r="O5788" s="13" t="n">
        <f aca="false">Sens!$O$5787/Sens!$O$5762</f>
        <v>0.656132068597002</v>
      </c>
    </row>
    <row r="5789" customFormat="false" ht="17.15" hidden="false" customHeight="false" outlineLevel="0" collapsed="false">
      <c r="A5789" s="5" t="s">
        <v>656</v>
      </c>
      <c r="B5789" s="0" t="s">
        <v>86</v>
      </c>
      <c r="C5789" s="39" t="n">
        <v>0</v>
      </c>
      <c r="D5789" s="39" t="n">
        <v>0</v>
      </c>
      <c r="E5789" s="39" t="n">
        <v>0</v>
      </c>
      <c r="F5789" s="38" t="n">
        <f aca="false">IF(internal_ai_reading=2,1,0)*(1-ext_sh)/ext_sh*(mw_open*he_open+Sens!$F$5760*Sens!$F$5757)*Sens!$F$5746/1000</f>
        <v>3.77122048175818</v>
      </c>
      <c r="G5789" s="38" t="n">
        <f aca="false">Sens!$E$5789+Sens!$F$5789</f>
        <v>3.77122048175818</v>
      </c>
      <c r="H5789" s="38" t="n">
        <f aca="false">IF(internal_ai_reading=2,1,0)*(1-ext_sh)/ext_sh*(mw_open*he_open+Sens!$H$5760*Sens!$H$5757)*Sens!$H$5746/1000</f>
        <v>15.1635543609893</v>
      </c>
      <c r="I5789" s="38" t="n">
        <f aca="false">IF(internal_ai_reading=2,1,0)*(1-ext_sh)/ext_sh*(mw_open*he_open+Sens!$I$5760*Sens!$I$5757)*Sens!$I$5746/1000</f>
        <v>25.5818843619889</v>
      </c>
      <c r="J5789" s="38" t="n">
        <f aca="false">IF(internal_ai_reading=2,1,0)*(1-ext_sh)/ext_sh*(mw_open*he_open+Sens!$J$5760*Sens!$J$5757)*Sens!$J$5746/1000</f>
        <v>36.0465624179122</v>
      </c>
      <c r="K5789" s="38" t="n">
        <f aca="false">IF(internal_ai_reading=2,1,0)*(1-ext_sh)/ext_sh*(mw_open*he_open+Sens!$K$5760*Sens!$K$5757)*Sens!$K$5746/1000</f>
        <v>44.9020355557576</v>
      </c>
      <c r="L5789" s="38" t="n">
        <f aca="false">IF(internal_ai_reading=2,1,0)*(1-ext_sh)/ext_sh*(mw_open*he_open+Sens!$L$5760*Sens!$L$5757)*Sens!$L$5746/1000</f>
        <v>50.55474151763</v>
      </c>
      <c r="M5789" s="38" t="n">
        <f aca="false">IF(internal_ai_reading=2,1,0)*(1-ext_sh)/ext_sh*(mw_open*he_open+Sens!$M$5760*Sens!$M$5757)*Sens!$M$5746/1000</f>
        <v>52.9968449759368</v>
      </c>
      <c r="N5789" s="39" t="n">
        <v>0</v>
      </c>
      <c r="O5789" s="39" t="n">
        <v>0</v>
      </c>
      <c r="P5789" s="8" t="s">
        <v>657</v>
      </c>
    </row>
    <row r="5790" customFormat="false" ht="17.15" hidden="false" customHeight="false" outlineLevel="0" collapsed="false">
      <c r="A5790" s="5" t="s">
        <v>658</v>
      </c>
      <c r="B5790" s="0" t="s">
        <v>86</v>
      </c>
      <c r="C5790" s="38" t="n">
        <f aca="false">(1-ext_sh)*(Sens!$C$5764+Sens!$C$5783)</f>
        <v>0.169206631859174</v>
      </c>
      <c r="D5790" s="38" t="n">
        <f aca="false">(1-ext_sh)*(Sens!$D$5764+Sens!$D$5783)</f>
        <v>0.828129837730442</v>
      </c>
      <c r="E5790" s="38" t="n">
        <f aca="false">(1-ext_sh)*(Sens!$E$5764+Sens!$E$5783)</f>
        <v>1.52086044239347</v>
      </c>
      <c r="F5790" s="38" t="n">
        <f aca="false">(1-ext_sh)*(Sens!$F$5764+Sens!$F$5783)</f>
        <v>1.86048700344425</v>
      </c>
      <c r="G5790" s="38" t="n">
        <f aca="false">(1-ext_sh)*(Sens!$G$5764+Sens!$G$5783)</f>
        <v>3.38134744583772</v>
      </c>
      <c r="H5790" s="38" t="n">
        <f aca="false">(1-ext_sh)*(Sens!$H$5764+Sens!$H$5783)</f>
        <v>9.17136301267211</v>
      </c>
      <c r="I5790" s="38" t="n">
        <f aca="false">(1-ext_sh)*(Sens!$I$5764+Sens!$I$5783)</f>
        <v>17.6318811343794</v>
      </c>
      <c r="J5790" s="38" t="n">
        <f aca="false">(1-ext_sh)*(Sens!$J$5764+Sens!$J$5783)</f>
        <v>25.4581000191451</v>
      </c>
      <c r="K5790" s="38" t="n">
        <f aca="false">(1-ext_sh)*(Sens!$K$5764+Sens!$K$5783)</f>
        <v>33.1033512646296</v>
      </c>
      <c r="L5790" s="38" t="n">
        <f aca="false">(1-ext_sh)*(Sens!$L$5764+Sens!$L$5783)</f>
        <v>38.2885471280255</v>
      </c>
      <c r="M5790" s="38" t="n">
        <f aca="false">(1-ext_sh)*(Sens!$M$5764+Sens!$M$5783)</f>
        <v>40.9953588364767</v>
      </c>
      <c r="N5790" s="38" t="n">
        <f aca="false">(1-ext_sh)*(Sens!$N$5764+Sens!$N$5783)</f>
        <v>0.34177588266428</v>
      </c>
      <c r="O5790" s="38" t="n">
        <f aca="false">(1-ext_sh)*(Sens!$O$5764+Sens!$O$5783)</f>
        <v>0.486353955066162</v>
      </c>
    </row>
    <row r="5791" customFormat="false" ht="17.15" hidden="false" customHeight="false" outlineLevel="0" collapsed="false">
      <c r="A5791" s="0" t="s">
        <v>659</v>
      </c>
      <c r="B5791" s="0" t="s">
        <v>86</v>
      </c>
      <c r="C5791" s="38" t="n">
        <f aca="false">Q!$D$24</f>
        <v>39.834</v>
      </c>
      <c r="D5791" s="38" t="n">
        <f aca="false">Q!$E$24</f>
        <v>45.606</v>
      </c>
      <c r="E5791" s="38" t="n">
        <f aca="false">Q!$P$24</f>
        <v>30.782</v>
      </c>
      <c r="N5791" s="38" t="n">
        <f aca="false">Q!$N$24</f>
        <v>21.707</v>
      </c>
      <c r="O5791" s="38" t="n">
        <f aca="false">Q!$O$24</f>
        <v>23.899</v>
      </c>
    </row>
    <row r="5792" customFormat="false" ht="17.15" hidden="false" customHeight="false" outlineLevel="0" collapsed="false">
      <c r="A5792" s="0" t="s">
        <v>660</v>
      </c>
      <c r="B5792" s="0" t="s">
        <v>86</v>
      </c>
      <c r="C5792" s="38" t="n">
        <f aca="false">Sens!$C$5791-Sens!$C$5787</f>
        <v>38.1898211704631</v>
      </c>
      <c r="D5792" s="38" t="n">
        <f aca="false">Sens!$D$5791-Sens!$D$5787</f>
        <v>40.2147492622706</v>
      </c>
      <c r="E5792" s="38" t="n">
        <f aca="false">Sens!$E$5791-Sens!$E$5787</f>
        <v>28.3550887940039</v>
      </c>
      <c r="F5792" s="38" t="n">
        <f aca="false">Sens!$F$5766*Sens!$F$5793</f>
        <v>25.9529793149447</v>
      </c>
      <c r="G5792" s="38" t="n">
        <f aca="false">Sens!$E$5792+Sens!$F$5792</f>
        <v>54.3080681089486</v>
      </c>
      <c r="H5792" s="38" t="n">
        <f aca="false">Sens!$H$5766*Sens!$H$5793</f>
        <v>58.2264684589333</v>
      </c>
      <c r="I5792" s="38" t="n">
        <f aca="false">Sens!$I$5766*Sens!$I$5793</f>
        <v>64.6461353851744</v>
      </c>
      <c r="J5792" s="38" t="n">
        <f aca="false">Sens!$J$5766*Sens!$J$5793</f>
        <v>70.7957093610231</v>
      </c>
      <c r="K5792" s="38" t="n">
        <f aca="false">Sens!$K$5766*Sens!$K$5793</f>
        <v>76.4593661099049</v>
      </c>
      <c r="L5792" s="38" t="n">
        <f aca="false">Sens!$L$5766*Sens!$L$5793</f>
        <v>82.5761153986973</v>
      </c>
      <c r="M5792" s="38" t="n">
        <f aca="false">Sens!$M$5766*Sens!$M$5793</f>
        <v>89.1822046305931</v>
      </c>
      <c r="N5792" s="38" t="n">
        <f aca="false">Sens!$N$5791-Sens!$N$5787</f>
        <v>20.0277839996292</v>
      </c>
      <c r="O5792" s="38" t="n">
        <f aca="false">Sens!$O$5791-Sens!$O$5787</f>
        <v>20.1869652626414</v>
      </c>
      <c r="P5792" s="5" t="s">
        <v>661</v>
      </c>
    </row>
    <row r="5793" customFormat="false" ht="17.15" hidden="false" customHeight="false" outlineLevel="0" collapsed="false">
      <c r="A5793" s="0" t="s">
        <v>662</v>
      </c>
      <c r="B5793" s="0" t="s">
        <v>52</v>
      </c>
      <c r="C5793" s="13" t="n">
        <f aca="false">Sens!$C$5792/Sens!$C$5766</f>
        <v>0.362900395443635</v>
      </c>
      <c r="D5793" s="13" t="n">
        <f aca="false">Sens!$D$5792/Sens!$D$5766</f>
        <v>0.335063632425483</v>
      </c>
      <c r="E5793" s="13" t="n">
        <f aca="false">Sens!$E$5792/Sens!$E$5766</f>
        <v>0.397638855555478</v>
      </c>
      <c r="F5793" s="13" t="n">
        <f aca="false">(Sens!$O$5792+Sens!$E$5792)/(Sens!$O$5766+Sens!$E$5766)</f>
        <v>0.361616727338133</v>
      </c>
      <c r="G5793" s="13" t="n">
        <f aca="false">Sens!$G$5792/Sens!$G$5766</f>
        <v>0.379569803149143</v>
      </c>
      <c r="H5793" s="13" t="n">
        <f aca="false">Sens!$F$5793</f>
        <v>0.361616727338133</v>
      </c>
      <c r="I5793" s="13" t="n">
        <f aca="false">Sens!$F$5793</f>
        <v>0.361616727338133</v>
      </c>
      <c r="J5793" s="13" t="n">
        <f aca="false">Sens!$F$5793</f>
        <v>0.361616727338133</v>
      </c>
      <c r="K5793" s="13" t="n">
        <f aca="false">Sens!$F$5793</f>
        <v>0.361616727338133</v>
      </c>
      <c r="L5793" s="13" t="n">
        <f aca="false">Sens!$F$5793</f>
        <v>0.361616727338133</v>
      </c>
      <c r="M5793" s="13" t="n">
        <f aca="false">Sens!$F$5793</f>
        <v>0.361616727338133</v>
      </c>
      <c r="N5793" s="13" t="n">
        <f aca="false">Sens!$N$5792/Sens!$N$5766</f>
        <v>0.35078810535806</v>
      </c>
      <c r="O5793" s="13" t="n">
        <f aca="false">Sens!$O$5792/Sens!$O$5766</f>
        <v>0.320796939361619</v>
      </c>
      <c r="P5793" s="8" t="s">
        <v>663</v>
      </c>
    </row>
    <row r="5794" customFormat="false" ht="17.15" hidden="false" customHeight="false" outlineLevel="0" collapsed="false">
      <c r="A5794" s="0" t="s">
        <v>664</v>
      </c>
      <c r="B5794" s="0" t="s">
        <v>52</v>
      </c>
      <c r="D5794" s="13" t="n">
        <f aca="false">(Q!$E$31-ext_sh*Sens!$D$5783)/Sens!$D$5766</f>
        <v>0.167180325480118</v>
      </c>
    </row>
    <row r="5795" customFormat="false" ht="17.15" hidden="false" customHeight="false" outlineLevel="0" collapsed="false">
      <c r="A5795" s="0" t="s">
        <v>665</v>
      </c>
      <c r="B5795" s="0" t="s">
        <v>86</v>
      </c>
      <c r="C5795" s="38" t="n">
        <f aca="false">Q!$D$31</f>
        <v>13.32</v>
      </c>
      <c r="D5795" s="38" t="n">
        <f aca="false">Q!$E$31</f>
        <v>21.45</v>
      </c>
      <c r="E5795" s="38" t="n">
        <f aca="false">Q!$P$31</f>
        <v>15.353</v>
      </c>
      <c r="F5795" s="38" t="n">
        <f aca="false">ext_sh*Sens!$F$5783+Sens!$D$5794*Sens!$F$5766</f>
        <v>16.1969869840094</v>
      </c>
      <c r="G5795" s="38" t="n">
        <f aca="false">Sens!$E$5795+Sens!$F$5795</f>
        <v>31.5499869840094</v>
      </c>
      <c r="H5795" s="38" t="n">
        <f aca="false">ext_sh*Sens!$H$5783+Sens!$D$5794*Sens!$H$5766</f>
        <v>50.9556213609176</v>
      </c>
      <c r="I5795" s="38" t="n">
        <f aca="false">ext_sh*Sens!$I$5783+Sens!$D$5794*Sens!$I$5766</f>
        <v>79.464581248252</v>
      </c>
      <c r="J5795" s="38" t="n">
        <f aca="false">ext_sh*Sens!$J$5783+Sens!$D$5794*Sens!$J$5766</f>
        <v>105.296127931746</v>
      </c>
      <c r="K5795" s="38" t="n">
        <f aca="false">ext_sh*Sens!$K$5783+Sens!$D$5794*Sens!$K$5766</f>
        <v>131.454694001511</v>
      </c>
      <c r="L5795" s="38" t="n">
        <f aca="false">ext_sh*Sens!$L$5783+Sens!$D$5794*Sens!$L$5766</f>
        <v>150.528401314722</v>
      </c>
      <c r="M5795" s="38" t="n">
        <f aca="false">ext_sh*Sens!$M$5783+Sens!$D$5794*Sens!$M$5766</f>
        <v>162.46328719295</v>
      </c>
      <c r="N5795" s="38" t="n">
        <f aca="false">Q!$N$31</f>
        <v>9.234</v>
      </c>
      <c r="O5795" s="38" t="n">
        <f aca="false">Q!$O$31</f>
        <v>12.216</v>
      </c>
    </row>
    <row r="5796" customFormat="false" ht="17.15" hidden="false" customHeight="false" outlineLevel="0" collapsed="false">
      <c r="A5796" s="1" t="s">
        <v>666</v>
      </c>
    </row>
    <row r="5797" customFormat="false" ht="17.15" hidden="false" customHeight="false" outlineLevel="0" collapsed="false">
      <c r="A5797" s="15" t="s">
        <v>667</v>
      </c>
      <c r="B5797" s="14" t="s">
        <v>52</v>
      </c>
      <c r="C5797" s="14"/>
      <c r="D5797" s="14"/>
      <c r="E5797" s="14"/>
      <c r="F5797" s="14"/>
      <c r="G5797" s="17" t="n">
        <f aca="false">Sens!$G$5787*(1-tax)/(ext_sh*(Sens!$D$5784+Sens!$G$5784)/2)</f>
        <v>0.0620504069546486</v>
      </c>
      <c r="H5797" s="17" t="n">
        <f aca="false">Sens!$H$5787*(1-tax)/(ext_sh*(Sens!$G$5784+Sens!$H$5784)/2)</f>
        <v>0.0755420551527686</v>
      </c>
      <c r="I5797" s="17" t="n">
        <f aca="false">Sens!$I$5787*(1-tax)/(ext_sh*(Sens!$H$5784+Sens!$I$5784)/2)</f>
        <v>0.067127575356291</v>
      </c>
      <c r="J5797" s="17" t="n">
        <f aca="false">Sens!$J$5787*(1-tax)/(ext_sh*(Sens!$I$5784+Sens!$J$5784)/2)</f>
        <v>0.0700332392906535</v>
      </c>
      <c r="K5797" s="17" t="n">
        <f aca="false">Sens!$K$5787*(1-tax)/(ext_sh*(Sens!$J$5784+Sens!$K$5784)/2)</f>
        <v>0.0691567260881567</v>
      </c>
      <c r="L5797" s="17" t="n">
        <f aca="false">Sens!$L$5787*(1-tax)/(ext_sh*(Sens!$K$5784+Sens!$L$5784)/2)</f>
        <v>0.0707586505670534</v>
      </c>
      <c r="M5797" s="17" t="n">
        <f aca="false">Sens!$M$5787*(1-tax)/(ext_sh*(Sens!$L$5784+Sens!$M$5784)/2)</f>
        <v>0.0712018094618408</v>
      </c>
      <c r="N5797" s="14"/>
      <c r="O5797" s="14"/>
      <c r="P5797" s="8" t="s">
        <v>668</v>
      </c>
    </row>
    <row r="5798" customFormat="false" ht="17.15" hidden="false" customHeight="false" outlineLevel="0" collapsed="false">
      <c r="A5798" s="5" t="s">
        <v>669</v>
      </c>
      <c r="B5798" s="0" t="s">
        <v>57</v>
      </c>
      <c r="H5798" s="36" t="n">
        <f aca="false">Sens!$H$5762*1000/(mw_open*he_open+Sens!$H$5760*Sens!$H$5757)</f>
        <v>0.991949006767191</v>
      </c>
      <c r="I5798" s="36" t="n">
        <f aca="false">Sens!$I$5762*1000/(mw_open*he_open+Sens!$I$5760*Sens!$I$5757)</f>
        <v>0.991949006767191</v>
      </c>
      <c r="J5798" s="36" t="n">
        <f aca="false">Sens!$J$5762*1000/(mw_open*he_open+Sens!$J$5760*Sens!$J$5757)</f>
        <v>0.991949006767191</v>
      </c>
      <c r="K5798" s="36" t="n">
        <f aca="false">Sens!$K$5762*1000/(mw_open*he_open+Sens!$K$5760*Sens!$K$5757)</f>
        <v>0.991949006767191</v>
      </c>
      <c r="L5798" s="36" t="n">
        <f aca="false">Sens!$L$5762*1000/(mw_open*he_open+Sens!$L$5760*Sens!$L$5757)</f>
        <v>0.991949006767191</v>
      </c>
      <c r="M5798" s="36" t="n">
        <f aca="false">Sens!$M$5762*1000/(mw_open*he_open+Sens!$M$5760*Sens!$M$5757)</f>
        <v>0.991949006767191</v>
      </c>
    </row>
    <row r="5799" customFormat="false" ht="17.15" hidden="false" customHeight="false" outlineLevel="0" collapsed="false">
      <c r="A5799" s="5" t="s">
        <v>670</v>
      </c>
      <c r="B5799" s="0" t="s">
        <v>57</v>
      </c>
      <c r="H5799" s="36" t="n">
        <f aca="false">Sens!$H$5798*(Sens!$H$5762+wacc*ext_sh*(Sens!$G$5784+Sens!$H$5784)/2/(1-tax)-Sens!$H$5787)/Sens!$H$5762</f>
        <v>1.18542857552197</v>
      </c>
      <c r="I5799" s="36" t="n">
        <f aca="false">Sens!$I$5798*(Sens!$I$5762+wacc*ext_sh*(Sens!$H$5784+Sens!$I$5784)/2/(1-tax)-Sens!$I$5787)/Sens!$I$5762</f>
        <v>1.20015476648903</v>
      </c>
      <c r="J5799" s="36" t="n">
        <f aca="false">Sens!$J$5798*(Sens!$J$5762+wacc*ext_sh*(Sens!$I$5784+Sens!$J$5784)/2/(1-tax)-Sens!$J$5787)/Sens!$J$5762</f>
        <v>1.16844056931249</v>
      </c>
      <c r="K5799" s="36" t="n">
        <f aca="false">Sens!$K$5798*(Sens!$K$5762+wacc*ext_sh*(Sens!$J$5784+Sens!$K$5784)/2/(1-tax)-Sens!$K$5787)/Sens!$K$5762</f>
        <v>1.15452545100558</v>
      </c>
      <c r="L5799" s="36" t="n">
        <f aca="false">Sens!$L$5798*(Sens!$L$5762+wacc*ext_sh*(Sens!$K$5784+Sens!$L$5784)/2/(1-tax)-Sens!$L$5787)/Sens!$L$5762</f>
        <v>1.13297466032551</v>
      </c>
      <c r="M5799" s="36" t="n">
        <f aca="false">Sens!$M$5798*(Sens!$M$5762+wacc*ext_sh*(Sens!$L$5784+Sens!$M$5784)/2/(1-tax)-Sens!$M$5787)/Sens!$M$5762</f>
        <v>1.12107379572429</v>
      </c>
    </row>
    <row r="5800" customFormat="false" ht="17.15" hidden="false" customHeight="false" outlineLevel="0" collapsed="false">
      <c r="A5800" s="5" t="s">
        <v>671</v>
      </c>
      <c r="B5800" s="0" t="s">
        <v>52</v>
      </c>
      <c r="C5800" s="13" t="n">
        <f aca="false">Sens!$C$5763/tk_pq</f>
        <v>0.195316432429398</v>
      </c>
      <c r="D5800" s="13" t="n">
        <f aca="false">Sens!$D$5763/tk_pq</f>
        <v>0.195316432429398</v>
      </c>
      <c r="E5800" s="13" t="n">
        <f aca="false">Sens!$E$5763/tk_pq</f>
        <v>0.195316432429398</v>
      </c>
      <c r="F5800" s="13" t="n">
        <f aca="false">Sens!$F$5763/tk_pq</f>
        <v>0.202241827274866</v>
      </c>
      <c r="G5800" s="13" t="n">
        <f aca="false">Sens!$G$5763/tk_pq</f>
        <v>0.199675016194063</v>
      </c>
      <c r="H5800" s="13" t="n">
        <f aca="false">Sens!$H$5763/tk_pq</f>
        <v>0.212647947710325</v>
      </c>
      <c r="I5800" s="13" t="n">
        <f aca="false">Sens!$I$5763/tk_pq</f>
        <v>0.219285125475351</v>
      </c>
      <c r="J5800" s="13" t="n">
        <f aca="false">Sens!$J$5763/tk_pq</f>
        <v>0.222492493217189</v>
      </c>
      <c r="K5800" s="13" t="n">
        <f aca="false">Sens!$K$5763/tk_pq</f>
        <v>0.224037965623446</v>
      </c>
      <c r="L5800" s="13" t="n">
        <f aca="false">Sens!$L$5763/tk_pq</f>
        <v>0.224743186755999</v>
      </c>
      <c r="M5800" s="13" t="n">
        <f aca="false">Sens!$M$5763/tk_pq</f>
        <v>0.224962001824354</v>
      </c>
      <c r="N5800" s="13" t="n">
        <f aca="false">Sens!$N$5763/tk_pq</f>
        <v>0.195316432429398</v>
      </c>
      <c r="O5800" s="13" t="n">
        <f aca="false">Sens!$O$5763/tk_pq</f>
        <v>0.195316432429398</v>
      </c>
      <c r="P5800" s="5" t="s">
        <v>672</v>
      </c>
    </row>
    <row r="5803" customFormat="false" ht="17.15" hidden="false" customHeight="false" outlineLevel="0" collapsed="false">
      <c r="A5803" s="1" t="s">
        <v>701</v>
      </c>
    </row>
    <row r="5804" customFormat="false" ht="17.15" hidden="false" customHeight="false" outlineLevel="0" collapsed="false">
      <c r="A5804" s="0" t="s">
        <v>702</v>
      </c>
      <c r="B5804" s="0" t="s">
        <v>86</v>
      </c>
      <c r="C5804" s="38" t="n">
        <f aca="false">Sens!$C$5762</f>
        <v>2.32100535697364</v>
      </c>
      <c r="D5804" s="38" t="n">
        <f aca="false">Sens!$D$5762</f>
        <v>8.70377008865116</v>
      </c>
      <c r="E5804" s="38" t="n">
        <f aca="false">Sens!$E$5762</f>
        <v>8.51035297557002</v>
      </c>
      <c r="F5804" s="38" t="n">
        <f aca="false">Sens!$F$5762</f>
        <v>14.9634336447205</v>
      </c>
      <c r="G5804" s="38" t="n">
        <f aca="false">Sens!$G$5762</f>
        <v>23.4737866202905</v>
      </c>
      <c r="H5804" s="38" t="n">
        <f aca="false">Sens!$H$5762</f>
        <v>60.1658907497746</v>
      </c>
      <c r="I5804" s="38" t="n">
        <f aca="false">Sens!$I$5762</f>
        <v>101.503699136432</v>
      </c>
      <c r="J5804" s="38" t="n">
        <f aca="false">Sens!$J$5762</f>
        <v>143.025407151278</v>
      </c>
      <c r="K5804" s="38" t="n">
        <f aca="false">Sens!$K$5762</f>
        <v>178.162118285436</v>
      </c>
      <c r="L5804" s="38" t="n">
        <f aca="false">Sens!$L$5762</f>
        <v>200.590902543141</v>
      </c>
      <c r="M5804" s="38" t="n">
        <f aca="false">Sens!$M$5762</f>
        <v>210.280670942702</v>
      </c>
      <c r="N5804" s="38" t="n">
        <f aca="false">Sens!$N$5762</f>
        <v>3.04631953102791</v>
      </c>
      <c r="O5804" s="38" t="n">
        <f aca="false">Sens!$O$5762</f>
        <v>5.65745055762326</v>
      </c>
      <c r="P5804" s="8" t="s">
        <v>703</v>
      </c>
    </row>
    <row r="5805" customFormat="false" ht="17.15" hidden="false" customHeight="false" outlineLevel="0" collapsed="false">
      <c r="A5805" s="0" t="s">
        <v>704</v>
      </c>
      <c r="B5805" s="0" t="s">
        <v>86</v>
      </c>
      <c r="C5805" s="38" t="n">
        <f aca="false">Sens!$C$5766</f>
        <v>105.234994643026</v>
      </c>
      <c r="D5805" s="38" t="n">
        <f aca="false">Sens!$D$5766</f>
        <v>120.021229911349</v>
      </c>
      <c r="E5805" s="38" t="n">
        <f aca="false">Sens!$E$5766</f>
        <v>71.30864702443</v>
      </c>
      <c r="F5805" s="38" t="n">
        <f aca="false">Sens!$F$5766</f>
        <v>71.7692997942464</v>
      </c>
      <c r="G5805" s="38" t="n">
        <f aca="false">Sens!$G$5766</f>
        <v>143.077946818676</v>
      </c>
      <c r="H5805" s="38" t="n">
        <f aca="false">Sens!$H$5766</f>
        <v>161.017077079203</v>
      </c>
      <c r="I5805" s="38" t="n">
        <f aca="false">Sens!$I$5766</f>
        <v>178.769759521457</v>
      </c>
      <c r="J5805" s="38" t="n">
        <f aca="false">Sens!$J$5766</f>
        <v>195.775538045907</v>
      </c>
      <c r="K5805" s="38" t="n">
        <f aca="false">Sens!$K$5766</f>
        <v>211.43758108958</v>
      </c>
      <c r="L5805" s="38" t="n">
        <f aca="false">Sens!$L$5766</f>
        <v>228.352587576746</v>
      </c>
      <c r="M5805" s="38" t="n">
        <f aca="false">Sens!$M$5766</f>
        <v>246.620794582886</v>
      </c>
      <c r="N5805" s="38" t="n">
        <f aca="false">Sens!$N$5766</f>
        <v>57.0936804689721</v>
      </c>
      <c r="O5805" s="38" t="n">
        <f aca="false">Sens!$O$5766</f>
        <v>62.9275494423768</v>
      </c>
      <c r="P5805" s="8" t="s">
        <v>703</v>
      </c>
    </row>
    <row r="5806" customFormat="false" ht="17.15" hidden="false" customHeight="false" outlineLevel="0" collapsed="false">
      <c r="A5806" s="1" t="s">
        <v>523</v>
      </c>
      <c r="B5806" s="8" t="s">
        <v>86</v>
      </c>
      <c r="C5806" s="38" t="n">
        <f aca="false">Q!$D$7</f>
        <v>107.556</v>
      </c>
      <c r="D5806" s="38" t="n">
        <f aca="false">Q!$E$7</f>
        <v>128.725</v>
      </c>
      <c r="E5806" s="38" t="n">
        <f aca="false">Q!$P$7</f>
        <v>79.819</v>
      </c>
      <c r="F5806" s="38" t="n">
        <f aca="false">Sens!$F$5804+Sens!$F$5805</f>
        <v>86.7327334389669</v>
      </c>
      <c r="G5806" s="38" t="n">
        <f aca="false">Sens!$G$5804+Sens!$G$5805</f>
        <v>166.551733438967</v>
      </c>
      <c r="H5806" s="38" t="n">
        <f aca="false">Sens!$H$5804+Sens!$H$5805</f>
        <v>221.182967828978</v>
      </c>
      <c r="I5806" s="38" t="n">
        <f aca="false">Sens!$I$5804+Sens!$I$5805</f>
        <v>280.27345865789</v>
      </c>
      <c r="J5806" s="38" t="n">
        <f aca="false">Sens!$J$5804+Sens!$J$5805</f>
        <v>338.800945197185</v>
      </c>
      <c r="K5806" s="38" t="n">
        <f aca="false">Sens!$K$5804+Sens!$K$5805</f>
        <v>389.599699375015</v>
      </c>
      <c r="L5806" s="38" t="n">
        <f aca="false">Sens!$L$5804+Sens!$L$5805</f>
        <v>428.943490119887</v>
      </c>
      <c r="M5806" s="38" t="n">
        <f aca="false">Sens!$M$5804+Sens!$M$5805</f>
        <v>456.901465525587</v>
      </c>
      <c r="N5806" s="38" t="n">
        <f aca="false">Q!$N$7</f>
        <v>60.14</v>
      </c>
      <c r="O5806" s="38" t="n">
        <f aca="false">Q!$O$7</f>
        <v>68.585</v>
      </c>
      <c r="P5806" s="5" t="s">
        <v>705</v>
      </c>
    </row>
    <row r="5807" customFormat="false" ht="15" hidden="false" customHeight="false" outlineLevel="0" collapsed="false">
      <c r="A5807" s="3" t="s">
        <v>706</v>
      </c>
      <c r="B5807" s="8" t="s">
        <v>86</v>
      </c>
      <c r="C5807" s="38" t="n">
        <f aca="false">Q!$D$8</f>
        <v>637.959</v>
      </c>
      <c r="D5807" s="38" t="n">
        <f aca="false">Q!$E$8</f>
        <v>716.924</v>
      </c>
      <c r="E5807" s="38" t="n">
        <f aca="false">Q!$P$8</f>
        <v>382.125</v>
      </c>
      <c r="F5807" s="38" t="n">
        <f aca="false">Sens!$F$5734+Sens!$F$5806</f>
        <v>435.780975084504</v>
      </c>
      <c r="G5807" s="38" t="n">
        <f aca="false">Sens!$G$5734+Sens!$G$5806</f>
        <v>817.905975084504</v>
      </c>
      <c r="H5807" s="38" t="n">
        <f aca="false">Sens!$H$5734+Sens!$H$5806</f>
        <v>942.279857350364</v>
      </c>
      <c r="I5807" s="38" t="n">
        <f aca="false">Sens!$I$5734+Sens!$I$5806</f>
        <v>1068.80284981042</v>
      </c>
      <c r="J5807" s="38" t="n">
        <f aca="false">Sens!$J$5734+Sens!$J$5806</f>
        <v>1189.90935093863</v>
      </c>
      <c r="K5807" s="38" t="n">
        <f aca="false">Sens!$K$5734+Sens!$K$5806</f>
        <v>1295.7761548061</v>
      </c>
      <c r="L5807" s="38" t="n">
        <f aca="false">Sens!$L$5734+Sens!$L$5806</f>
        <v>1394.03659659548</v>
      </c>
      <c r="M5807" s="38" t="n">
        <f aca="false">Sens!$M$5734+Sens!$M$5806</f>
        <v>1485.04937347247</v>
      </c>
      <c r="N5807" s="38" t="n">
        <f aca="false">Q!$N$8</f>
        <v>323.369</v>
      </c>
      <c r="O5807" s="38" t="n">
        <f aca="false">Q!$O$8</f>
        <v>393.555</v>
      </c>
    </row>
    <row r="5808" customFormat="false" ht="17.15" hidden="false" customHeight="false" outlineLevel="0" collapsed="false">
      <c r="A5808" s="24" t="s">
        <v>714</v>
      </c>
      <c r="B5808" s="25" t="s">
        <v>86</v>
      </c>
      <c r="C5808" s="41" t="n">
        <f aca="false">Sens!$C$5734-(Sens!$C$5736+Sens!$C$5737)</f>
        <v>0</v>
      </c>
      <c r="D5808" s="41" t="n">
        <f aca="false">Sens!$D$5734-(Sens!$D$5736+Sens!$D$5737)</f>
        <v>0</v>
      </c>
      <c r="E5808" s="41" t="n">
        <f aca="false">Sens!$E$5734-(Sens!$E$5736+Sens!$E$5737)</f>
        <v>0</v>
      </c>
      <c r="F5808" s="41" t="n">
        <f aca="false">Sens!$F$5734-(Sens!$F$5736+Sens!$F$5737)</f>
        <v>0</v>
      </c>
      <c r="G5808" s="41" t="n">
        <f aca="false">Sens!$G$5734-(Sens!$G$5736+Sens!$G$5737)</f>
        <v>0</v>
      </c>
      <c r="H5808" s="41" t="n">
        <f aca="false">Sens!$H$5734-(Sens!$H$5736+Sens!$H$5737)</f>
        <v>0</v>
      </c>
      <c r="I5808" s="41" t="n">
        <f aca="false">Sens!$I$5734-(Sens!$I$5736+Sens!$I$5737)</f>
        <v>0</v>
      </c>
      <c r="J5808" s="41" t="n">
        <f aca="false">Sens!$J$5734-(Sens!$J$5736+Sens!$J$5737)</f>
        <v>0</v>
      </c>
      <c r="K5808" s="41" t="n">
        <f aca="false">Sens!$K$5734-(Sens!$K$5736+Sens!$K$5737)</f>
        <v>0</v>
      </c>
      <c r="L5808" s="41" t="n">
        <f aca="false">Sens!$L$5734-(Sens!$L$5736+Sens!$L$5737)</f>
        <v>0</v>
      </c>
      <c r="M5808" s="41" t="n">
        <f aca="false">Sens!$M$5734-(Sens!$M$5736+Sens!$M$5737)</f>
        <v>0</v>
      </c>
      <c r="N5808" s="41" t="n">
        <f aca="false">Sens!$N$5734-(Sens!$N$5736+Sens!$N$5737)</f>
        <v>0</v>
      </c>
      <c r="O5808" s="41" t="n">
        <f aca="false">Sens!$O$5734-(Sens!$O$5736+Sens!$O$5737)</f>
        <v>0</v>
      </c>
    </row>
    <row r="5809" customFormat="false" ht="17.15" hidden="false" customHeight="false" outlineLevel="0" collapsed="false">
      <c r="A5809" s="24" t="s">
        <v>715</v>
      </c>
      <c r="B5809" s="25" t="s">
        <v>86</v>
      </c>
      <c r="C5809" s="41" t="n">
        <f aca="false">Sens!$C$5804+Sens!$C$5805-Sens!$C$5806</f>
        <v>0</v>
      </c>
      <c r="D5809" s="41" t="n">
        <f aca="false">Sens!$D$5804+Sens!$D$5805-Sens!$D$5806</f>
        <v>0</v>
      </c>
      <c r="E5809" s="41" t="n">
        <f aca="false">Sens!$E$5804+Sens!$E$5805-Sens!$E$5806</f>
        <v>0</v>
      </c>
      <c r="F5809" s="41" t="n">
        <f aca="false">Sens!$F$5804+Sens!$F$5805-Sens!$F$5806</f>
        <v>0</v>
      </c>
      <c r="G5809" s="41" t="n">
        <f aca="false">Sens!$G$5804+Sens!$G$5805-Sens!$G$5806</f>
        <v>0</v>
      </c>
      <c r="H5809" s="41" t="n">
        <f aca="false">Sens!$H$5804+Sens!$H$5805-Sens!$H$5806</f>
        <v>0</v>
      </c>
      <c r="I5809" s="41" t="n">
        <f aca="false">Sens!$I$5804+Sens!$I$5805-Sens!$I$5806</f>
        <v>0</v>
      </c>
      <c r="J5809" s="41" t="n">
        <f aca="false">Sens!$J$5804+Sens!$J$5805-Sens!$J$5806</f>
        <v>0</v>
      </c>
      <c r="K5809" s="41" t="n">
        <f aca="false">Sens!$K$5804+Sens!$K$5805-Sens!$K$5806</f>
        <v>0</v>
      </c>
      <c r="L5809" s="41" t="n">
        <f aca="false">Sens!$L$5804+Sens!$L$5805-Sens!$L$5806</f>
        <v>0</v>
      </c>
      <c r="M5809" s="41" t="n">
        <f aca="false">Sens!$M$5804+Sens!$M$5805-Sens!$M$5806</f>
        <v>0</v>
      </c>
      <c r="N5809" s="41" t="n">
        <f aca="false">Sens!$N$5804+Sens!$N$5805-Sens!$N$5806</f>
        <v>0</v>
      </c>
      <c r="O5809" s="41" t="n">
        <f aca="false">Sens!$O$5804+Sens!$O$5805-Sens!$O$5806</f>
        <v>0</v>
      </c>
    </row>
    <row r="5810" customFormat="false" ht="17.15" hidden="false" customHeight="false" outlineLevel="0" collapsed="false">
      <c r="A5810" s="24" t="s">
        <v>716</v>
      </c>
      <c r="B5810" s="25" t="s">
        <v>86</v>
      </c>
      <c r="C5810" s="41" t="n">
        <f aca="false">Sens!$C$5736+Sens!$C$5737+Sens!$C$5806-Sens!$C$5807</f>
        <v>0</v>
      </c>
      <c r="D5810" s="41" t="n">
        <f aca="false">Sens!$D$5736+Sens!$D$5737+Sens!$D$5806-Sens!$D$5807</f>
        <v>0</v>
      </c>
      <c r="E5810" s="41" t="n">
        <f aca="false">Sens!$E$5736+Sens!$E$5737+Sens!$E$5806-Sens!$E$5807</f>
        <v>0</v>
      </c>
      <c r="F5810" s="41" t="n">
        <f aca="false">Sens!$F$5736+Sens!$F$5737+Sens!$F$5806-Sens!$F$5807</f>
        <v>0</v>
      </c>
      <c r="G5810" s="41" t="n">
        <f aca="false">Sens!$G$5736+Sens!$G$5737+Sens!$G$5806-Sens!$G$5807</f>
        <v>0</v>
      </c>
      <c r="H5810" s="41" t="n">
        <f aca="false">Sens!$H$5736+Sens!$H$5737+Sens!$H$5806-Sens!$H$5807</f>
        <v>0</v>
      </c>
      <c r="I5810" s="41" t="n">
        <f aca="false">Sens!$I$5736+Sens!$I$5737+Sens!$I$5806-Sens!$I$5807</f>
        <v>0</v>
      </c>
      <c r="J5810" s="41" t="n">
        <f aca="false">Sens!$J$5736+Sens!$J$5737+Sens!$J$5806-Sens!$J$5807</f>
        <v>0</v>
      </c>
      <c r="K5810" s="41" t="n">
        <f aca="false">Sens!$K$5736+Sens!$K$5737+Sens!$K$5806-Sens!$K$5807</f>
        <v>0</v>
      </c>
      <c r="L5810" s="41" t="n">
        <f aca="false">Sens!$L$5736+Sens!$L$5737+Sens!$L$5806-Sens!$L$5807</f>
        <v>0</v>
      </c>
      <c r="M5810" s="41" t="n">
        <f aca="false">Sens!$M$5736+Sens!$M$5737+Sens!$M$5806-Sens!$M$5807</f>
        <v>0</v>
      </c>
      <c r="N5810" s="41" t="n">
        <f aca="false">Sens!$N$5736+Sens!$N$5737+Sens!$N$5806-Sens!$N$5807</f>
        <v>0</v>
      </c>
      <c r="O5810" s="41" t="n">
        <f aca="false">Sens!$O$5736+Sens!$O$5737+Sens!$O$5806-Sens!$O$5807</f>
        <v>0</v>
      </c>
    </row>
    <row r="5811" customFormat="false" ht="15" hidden="false" customHeight="false" outlineLevel="0" collapsed="false">
      <c r="A5811" s="5" t="s">
        <v>710</v>
      </c>
      <c r="B5811" s="0" t="s">
        <v>52</v>
      </c>
      <c r="G5811" s="13" t="n">
        <f aca="false">Sens!$G$5807/Sens!$D$5807-1</f>
        <v>0.140854504918937</v>
      </c>
      <c r="H5811" s="13" t="n">
        <f aca="false">Sens!$H$5807/Sens!$G$5807-1</f>
        <v>0.152063789793209</v>
      </c>
      <c r="I5811" s="13" t="n">
        <f aca="false">Sens!$I$5807/Sens!$H$5807-1</f>
        <v>0.134273264437417</v>
      </c>
      <c r="J5811" s="13" t="n">
        <f aca="false">Sens!$J$5807/Sens!$I$5807-1</f>
        <v>0.113310421234083</v>
      </c>
      <c r="K5811" s="13" t="n">
        <f aca="false">Sens!$K$5807/Sens!$J$5807-1</f>
        <v>0.0889704781158034</v>
      </c>
      <c r="L5811" s="13" t="n">
        <f aca="false">Sens!$L$5807/Sens!$K$5807-1</f>
        <v>0.0758313397147494</v>
      </c>
      <c r="M5811" s="13" t="n">
        <f aca="false">Sens!$M$5807/Sens!$L$5807-1</f>
        <v>0.0652872220853238</v>
      </c>
    </row>
    <row r="5812" customFormat="false" ht="17.15" hidden="false" customHeight="false" outlineLevel="0" collapsed="false">
      <c r="A5812" s="0" t="s">
        <v>711</v>
      </c>
      <c r="B5812" s="0" t="s">
        <v>52</v>
      </c>
      <c r="C5812" s="13" t="n">
        <f aca="false">Sens!$C$5806/Sens!$C$5807</f>
        <v>0.168593906504964</v>
      </c>
      <c r="D5812" s="13" t="n">
        <f aca="false">Sens!$D$5806/Sens!$D$5807</f>
        <v>0.179551807444025</v>
      </c>
      <c r="E5812" s="13" t="n">
        <f aca="false">Sens!$E$5806/Sens!$E$5807</f>
        <v>0.208881910369643</v>
      </c>
      <c r="F5812" s="13" t="n">
        <f aca="false">Sens!$F$5806/Sens!$F$5807</f>
        <v>0.199028269699356</v>
      </c>
      <c r="G5812" s="13" t="n">
        <f aca="false">Sens!$G$5806/Sens!$G$5807</f>
        <v>0.203631882529968</v>
      </c>
      <c r="H5812" s="13" t="n">
        <f aca="false">Sens!$H$5806/Sens!$H$5807</f>
        <v>0.234731715958496</v>
      </c>
      <c r="I5812" s="13" t="n">
        <f aca="false">Sens!$I$5806/Sens!$I$5807</f>
        <v>0.262231204480418</v>
      </c>
      <c r="J5812" s="13" t="n">
        <f aca="false">Sens!$J$5806/Sens!$J$5807</f>
        <v>0.284728366013706</v>
      </c>
      <c r="K5812" s="13" t="n">
        <f aca="false">Sens!$K$5806/Sens!$K$5807</f>
        <v>0.300668983550877</v>
      </c>
      <c r="L5812" s="13" t="n">
        <f aca="false">Sens!$L$5806/Sens!$L$5807</f>
        <v>0.307698873306092</v>
      </c>
      <c r="M5812" s="13" t="n">
        <f aca="false">Sens!$M$5806/Sens!$M$5807</f>
        <v>0.30766752519293</v>
      </c>
      <c r="N5812" s="13" t="n">
        <f aca="false">Sens!$N$5806/Sens!$N$5807</f>
        <v>0.185979484737251</v>
      </c>
      <c r="O5812" s="13" t="n">
        <f aca="false">Sens!$O$5806/Sens!$O$5807</f>
        <v>0.174270432341096</v>
      </c>
    </row>
    <row r="5813" customFormat="false" ht="17.15" hidden="false" customHeight="false" outlineLevel="0" collapsed="false">
      <c r="A5813" s="0" t="s">
        <v>712</v>
      </c>
      <c r="B5813" s="0" t="s">
        <v>52</v>
      </c>
      <c r="C5813" s="13" t="n">
        <f aca="false">Sens!$C$5804/Sens!$C$5806</f>
        <v>0.0215795060896058</v>
      </c>
      <c r="D5813" s="13" t="n">
        <f aca="false">Sens!$D$5804/Sens!$D$5806</f>
        <v>0.0676152269462122</v>
      </c>
      <c r="E5813" s="13" t="n">
        <f aca="false">Sens!$E$5804/Sens!$E$5806</f>
        <v>0.106620641395783</v>
      </c>
      <c r="F5813" s="13" t="n">
        <f aca="false">Sens!$F$5804/Sens!$F$5806</f>
        <v>0.172523487401099</v>
      </c>
      <c r="G5813" s="13" t="n">
        <f aca="false">Sens!$G$5804/Sens!$G$5806</f>
        <v>0.140939911795589</v>
      </c>
      <c r="H5813" s="13" t="n">
        <f aca="false">Sens!$H$5804/Sens!$H$5806</f>
        <v>0.272018642937714</v>
      </c>
      <c r="I5813" s="13" t="n">
        <f aca="false">Sens!$I$5804/Sens!$I$5806</f>
        <v>0.362159512436497</v>
      </c>
      <c r="J5813" s="13" t="n">
        <f aca="false">Sens!$J$5804/Sens!$J$5806</f>
        <v>0.422151735934609</v>
      </c>
      <c r="K5813" s="13" t="n">
        <f aca="false">Sens!$K$5804/Sens!$K$5806</f>
        <v>0.45729531765871</v>
      </c>
      <c r="L5813" s="13" t="n">
        <f aca="false">Sens!$L$5804/Sens!$L$5806</f>
        <v>0.467639461055993</v>
      </c>
      <c r="M5813" s="13" t="n">
        <f aca="false">Sens!$M$5804/Sens!$M$5806</f>
        <v>0.460231990503268</v>
      </c>
      <c r="N5813" s="13" t="n">
        <f aca="false">Sens!$N$5804/Sens!$N$5806</f>
        <v>0.0506537999838362</v>
      </c>
      <c r="O5813" s="13" t="n">
        <f aca="false">Sens!$O$5804/Sens!$O$5806</f>
        <v>0.0824881615167056</v>
      </c>
    </row>
    <row r="5816" customFormat="false" ht="19.4" hidden="false" customHeight="false" outlineLevel="0" collapsed="false">
      <c r="A5816" s="31" t="s">
        <v>1269</v>
      </c>
    </row>
    <row r="5817" customFormat="false" ht="17.15" hidden="false" customHeight="false" outlineLevel="0" collapsed="false">
      <c r="A5817" s="6" t="s">
        <v>16</v>
      </c>
      <c r="B5817" s="6" t="s">
        <v>17</v>
      </c>
      <c r="C5817" s="20" t="s">
        <v>504</v>
      </c>
      <c r="D5817" s="20" t="s">
        <v>505</v>
      </c>
      <c r="E5817" s="20" t="s">
        <v>587</v>
      </c>
      <c r="F5817" s="20" t="s">
        <v>588</v>
      </c>
      <c r="G5817" s="20" t="s">
        <v>589</v>
      </c>
      <c r="H5817" s="20" t="s">
        <v>590</v>
      </c>
      <c r="I5817" s="20" t="s">
        <v>591</v>
      </c>
      <c r="J5817" s="20" t="s">
        <v>592</v>
      </c>
      <c r="K5817" s="20" t="s">
        <v>593</v>
      </c>
      <c r="L5817" s="20" t="s">
        <v>594</v>
      </c>
      <c r="M5817" s="20" t="s">
        <v>595</v>
      </c>
      <c r="N5817" s="20" t="s">
        <v>596</v>
      </c>
      <c r="O5817" s="20" t="s">
        <v>597</v>
      </c>
      <c r="P5817" s="6" t="s">
        <v>23</v>
      </c>
      <c r="R5817" s="20" t="n">
        <v>2023</v>
      </c>
      <c r="S5817" s="20" t="n">
        <v>2024</v>
      </c>
      <c r="T5817" s="20" t="n">
        <v>2025</v>
      </c>
      <c r="U5817" s="20" t="n">
        <v>2026</v>
      </c>
      <c r="V5817" s="20" t="n">
        <v>2027</v>
      </c>
      <c r="W5817" s="20" t="n">
        <v>2028</v>
      </c>
      <c r="X5817" s="20" t="n">
        <v>2029</v>
      </c>
      <c r="Y5817" s="20" t="n">
        <v>2030</v>
      </c>
      <c r="Z5817" s="20" t="n">
        <v>2031</v>
      </c>
      <c r="AA5817" s="20" t="n">
        <v>2032</v>
      </c>
    </row>
    <row r="5818" customFormat="false" ht="17.15" hidden="false" customHeight="false" outlineLevel="0" collapsed="false">
      <c r="A5818" s="1" t="s">
        <v>727</v>
      </c>
    </row>
    <row r="5819" customFormat="false" ht="15" hidden="false" customHeight="false" outlineLevel="0" collapsed="false">
      <c r="A5819" s="0" t="s">
        <v>526</v>
      </c>
      <c r="B5819" s="0" t="s">
        <v>86</v>
      </c>
      <c r="C5819" s="38" t="n">
        <f aca="false">Sens!$C$5721</f>
        <v>247.029</v>
      </c>
      <c r="D5819" s="38" t="n">
        <f aca="false">Sens!$D$5721</f>
        <v>269.287</v>
      </c>
      <c r="E5819" s="38" t="n">
        <f aca="false">Sens!$E$5721</f>
        <v>134.686</v>
      </c>
      <c r="F5819" s="38" t="n">
        <f aca="false">Sens!$F$5721</f>
        <v>158.293876822267</v>
      </c>
      <c r="G5819" s="38" t="n">
        <f aca="false">Sens!$G$5721</f>
        <v>292.979876822267</v>
      </c>
      <c r="H5819" s="38" t="n">
        <f aca="false">Sens!$H$5721</f>
        <v>318.184543087396</v>
      </c>
      <c r="I5819" s="38" t="n">
        <f aca="false">Sens!$I$5721</f>
        <v>341.736278761793</v>
      </c>
      <c r="J5819" s="38" t="n">
        <f aca="false">Sens!$J$5721</f>
        <v>362.927192787048</v>
      </c>
      <c r="K5819" s="38" t="n">
        <f aca="false">Sens!$K$5721</f>
        <v>381.0735524264</v>
      </c>
      <c r="L5819" s="38" t="n">
        <f aca="false">Sens!$L$5721</f>
        <v>400.12723004772</v>
      </c>
      <c r="M5819" s="38" t="n">
        <f aca="false">Sens!$M$5721</f>
        <v>420.133591550106</v>
      </c>
      <c r="N5819" s="38" t="n">
        <f aca="false">Sens!$N$5721</f>
        <v>118.892</v>
      </c>
      <c r="O5819" s="38" t="n">
        <f aca="false">Sens!$O$5721</f>
        <v>150.395</v>
      </c>
    </row>
    <row r="5820" customFormat="false" ht="15" hidden="false" customHeight="false" outlineLevel="0" collapsed="false">
      <c r="A5820" s="0" t="s">
        <v>527</v>
      </c>
      <c r="B5820" s="0" t="s">
        <v>86</v>
      </c>
      <c r="C5820" s="38" t="n">
        <f aca="false">Sens!$C$5723</f>
        <v>21.215</v>
      </c>
      <c r="D5820" s="38" t="n">
        <f aca="false">Sens!$D$5723</f>
        <v>22.561</v>
      </c>
      <c r="E5820" s="38" t="n">
        <f aca="false">Sens!$E$5723</f>
        <v>11.579</v>
      </c>
      <c r="F5820" s="38" t="n">
        <f aca="false">Sens!$F$5723</f>
        <v>11.5938724610325</v>
      </c>
      <c r="G5820" s="38" t="n">
        <f aca="false">Sens!$G$5723</f>
        <v>23.1728724610325</v>
      </c>
      <c r="H5820" s="38" t="n">
        <f aca="false">Sens!$H$5723</f>
        <v>24.353392759506</v>
      </c>
      <c r="I5820" s="38" t="n">
        <f aca="false">Sens!$I$5723</f>
        <v>25.4240338872015</v>
      </c>
      <c r="J5820" s="38" t="n">
        <f aca="false">Sens!$J$5723</f>
        <v>26.3642491017174</v>
      </c>
      <c r="K5820" s="38" t="n">
        <f aca="false">Sens!$K$5723</f>
        <v>27.155176574769</v>
      </c>
      <c r="L5820" s="38" t="n">
        <f aca="false">Sens!$L$5723</f>
        <v>27.969831872012</v>
      </c>
      <c r="M5820" s="38" t="n">
        <f aca="false">Sens!$M$5723</f>
        <v>28.8089268281724</v>
      </c>
      <c r="N5820" s="38" t="n">
        <f aca="false">Sens!$N$5723</f>
        <v>11.128</v>
      </c>
      <c r="O5820" s="38" t="n">
        <f aca="false">Sens!$O$5723</f>
        <v>11.433</v>
      </c>
    </row>
    <row r="5821" customFormat="false" ht="15" hidden="false" customHeight="false" outlineLevel="0" collapsed="false">
      <c r="A5821" s="0" t="s">
        <v>528</v>
      </c>
      <c r="B5821" s="0" t="s">
        <v>86</v>
      </c>
      <c r="C5821" s="38" t="n">
        <f aca="false">Sens!$C$5725</f>
        <v>156.146</v>
      </c>
      <c r="D5821" s="38" t="n">
        <f aca="false">Sens!$D$5725</f>
        <v>172.162</v>
      </c>
      <c r="E5821" s="38" t="n">
        <f aca="false">Sens!$E$5725</f>
        <v>88.358</v>
      </c>
      <c r="F5821" s="38" t="n">
        <f aca="false">Sens!$F$5725</f>
        <v>102.004388260171</v>
      </c>
      <c r="G5821" s="38" t="n">
        <f aca="false">Sens!$G$5725</f>
        <v>190.362388260171</v>
      </c>
      <c r="H5821" s="38" t="n">
        <f aca="false">Sens!$H$5725</f>
        <v>210.343106588311</v>
      </c>
      <c r="I5821" s="38" t="n">
        <f aca="false">Sens!$I$5725</f>
        <v>229.969728494648</v>
      </c>
      <c r="J5821" s="38" t="n">
        <f aca="false">Sens!$J$5725</f>
        <v>248.747636972598</v>
      </c>
      <c r="K5821" s="38" t="n">
        <f aca="false">Sens!$K$5725</f>
        <v>266.15997156068</v>
      </c>
      <c r="L5821" s="38" t="n">
        <f aca="false">Sens!$L$5725</f>
        <v>284.791169569927</v>
      </c>
      <c r="M5821" s="38" t="n">
        <f aca="false">Sens!$M$5725</f>
        <v>304.726551439822</v>
      </c>
      <c r="N5821" s="38" t="n">
        <f aca="false">Sens!$N$5725</f>
        <v>76.86</v>
      </c>
      <c r="O5821" s="38" t="n">
        <f aca="false">Sens!$O$5725</f>
        <v>95.302</v>
      </c>
    </row>
    <row r="5822" customFormat="false" ht="15" hidden="false" customHeight="false" outlineLevel="0" collapsed="false">
      <c r="A5822" s="0" t="s">
        <v>529</v>
      </c>
      <c r="B5822" s="0" t="s">
        <v>86</v>
      </c>
      <c r="C5822" s="38" t="n">
        <f aca="false">Sens!$C$5727</f>
        <v>56.214</v>
      </c>
      <c r="D5822" s="38" t="n">
        <f aca="false">Sens!$D$5727</f>
        <v>68.635</v>
      </c>
      <c r="E5822" s="38" t="n">
        <f aca="false">Sens!$E$5727</f>
        <v>37.052</v>
      </c>
      <c r="F5822" s="38" t="n">
        <f aca="false">Sens!$F$5727</f>
        <v>46.1572219944148</v>
      </c>
      <c r="G5822" s="38" t="n">
        <f aca="false">Sens!$G$5727</f>
        <v>83.2092219944148</v>
      </c>
      <c r="H5822" s="38" t="n">
        <f aca="false">Sens!$H$5727</f>
        <v>99.8969223878976</v>
      </c>
      <c r="I5822" s="38" t="n">
        <f aca="false">Sens!$I$5727</f>
        <v>116.583111095496</v>
      </c>
      <c r="J5822" s="38" t="n">
        <f aca="false">Sens!$J$5727</f>
        <v>132.148941941952</v>
      </c>
      <c r="K5822" s="38" t="n">
        <f aca="false">Sens!$K$5727</f>
        <v>145.363836136147</v>
      </c>
      <c r="L5822" s="38" t="n">
        <f aca="false">Sens!$L$5727</f>
        <v>159.900219749762</v>
      </c>
      <c r="M5822" s="38" t="n">
        <f aca="false">Sens!$M$5727</f>
        <v>175.890241724738</v>
      </c>
      <c r="N5822" s="38" t="n">
        <f aca="false">Sens!$N$5727</f>
        <v>29.615</v>
      </c>
      <c r="O5822" s="38" t="n">
        <f aca="false">Sens!$O$5727</f>
        <v>39.02</v>
      </c>
    </row>
    <row r="5823" customFormat="false" ht="15" hidden="false" customHeight="false" outlineLevel="0" collapsed="false">
      <c r="A5823" s="0" t="s">
        <v>530</v>
      </c>
      <c r="B5823" s="0" t="s">
        <v>86</v>
      </c>
      <c r="C5823" s="38" t="n">
        <f aca="false">Sens!$C$5729</f>
        <v>44.374</v>
      </c>
      <c r="D5823" s="38" t="n">
        <f aca="false">Sens!$D$5729</f>
        <v>49.619</v>
      </c>
      <c r="E5823" s="38" t="n">
        <f aca="false">Sens!$E$5729</f>
        <v>27.157</v>
      </c>
      <c r="F5823" s="38" t="n">
        <f aca="false">Sens!$F$5729</f>
        <v>27.7764165988154</v>
      </c>
      <c r="G5823" s="38" t="n">
        <f aca="false">Sens!$G$5729</f>
        <v>54.9334165988154</v>
      </c>
      <c r="H5823" s="38" t="n">
        <f aca="false">Sens!$H$5729</f>
        <v>61.1564112561829</v>
      </c>
      <c r="I5823" s="38" t="n">
        <f aca="false">Sens!$I$5729</f>
        <v>67.2020282103945</v>
      </c>
      <c r="J5823" s="38" t="n">
        <f aca="false">Sens!$J$5729</f>
        <v>72.8757274028885</v>
      </c>
      <c r="K5823" s="38" t="n">
        <f aca="false">Sens!$K$5729</f>
        <v>77.9770283210907</v>
      </c>
      <c r="L5823" s="38" t="n">
        <f aca="false">Sens!$L$5729</f>
        <v>83.4354203035671</v>
      </c>
      <c r="M5823" s="38" t="n">
        <f aca="false">Sens!$M$5729</f>
        <v>89.2758997248168</v>
      </c>
      <c r="N5823" s="38" t="n">
        <f aca="false">Sens!$N$5729</f>
        <v>23.923</v>
      </c>
      <c r="O5823" s="38" t="n">
        <f aca="false">Sens!$O$5729</f>
        <v>25.696</v>
      </c>
    </row>
    <row r="5824" customFormat="false" ht="15" hidden="false" customHeight="false" outlineLevel="0" collapsed="false">
      <c r="A5824" s="0" t="s">
        <v>531</v>
      </c>
      <c r="B5824" s="0" t="s">
        <v>86</v>
      </c>
      <c r="C5824" s="38" t="n">
        <f aca="false">Sens!$C$5731</f>
        <v>5.425</v>
      </c>
      <c r="D5824" s="38" t="n">
        <f aca="false">Sens!$D$5731</f>
        <v>5.935</v>
      </c>
      <c r="E5824" s="38" t="n">
        <f aca="false">Sens!$E$5731</f>
        <v>3.474</v>
      </c>
      <c r="F5824" s="38" t="n">
        <f aca="false">Sens!$F$5731</f>
        <v>3.22246550883619</v>
      </c>
      <c r="G5824" s="38" t="n">
        <f aca="false">Sens!$G$5731</f>
        <v>6.69646550883619</v>
      </c>
      <c r="H5824" s="38" t="n">
        <f aca="false">Sens!$H$5731</f>
        <v>7.16251344209196</v>
      </c>
      <c r="I5824" s="38" t="n">
        <f aca="false">Sens!$I$5731</f>
        <v>7.61421070299826</v>
      </c>
      <c r="J5824" s="38" t="n">
        <f aca="false">Sens!$J$5731</f>
        <v>8.04465753523932</v>
      </c>
      <c r="K5824" s="38" t="n">
        <f aca="false">Sens!$K$5731</f>
        <v>8.44689041200128</v>
      </c>
      <c r="L5824" s="38" t="n">
        <f aca="false">Sens!$L$5731</f>
        <v>8.86923493260135</v>
      </c>
      <c r="M5824" s="38" t="n">
        <f aca="false">Sens!$M$5731</f>
        <v>9.31269667923142</v>
      </c>
      <c r="N5824" s="38" t="n">
        <f aca="false">Sens!$N$5731</f>
        <v>2.811</v>
      </c>
      <c r="O5824" s="38" t="n">
        <f aca="false">Sens!$O$5731</f>
        <v>3.124</v>
      </c>
    </row>
    <row r="5825" customFormat="false" ht="17.15" hidden="false" customHeight="false" outlineLevel="0" collapsed="false">
      <c r="A5825" s="0" t="s">
        <v>728</v>
      </c>
      <c r="B5825" s="0" t="s">
        <v>86</v>
      </c>
      <c r="C5825" s="38" t="n">
        <f aca="false">Sens!$C$5806</f>
        <v>107.556</v>
      </c>
      <c r="D5825" s="38" t="n">
        <f aca="false">Sens!$D$5806</f>
        <v>128.725</v>
      </c>
      <c r="E5825" s="38" t="n">
        <f aca="false">Sens!$E$5806</f>
        <v>79.819</v>
      </c>
      <c r="F5825" s="38" t="n">
        <f aca="false">Sens!$F$5806</f>
        <v>86.7327334389669</v>
      </c>
      <c r="G5825" s="38" t="n">
        <f aca="false">Sens!$G$5806</f>
        <v>166.551733438967</v>
      </c>
      <c r="H5825" s="38" t="n">
        <f aca="false">Sens!$H$5806</f>
        <v>221.182967828978</v>
      </c>
      <c r="I5825" s="38" t="n">
        <f aca="false">Sens!$I$5806</f>
        <v>280.27345865789</v>
      </c>
      <c r="J5825" s="38" t="n">
        <f aca="false">Sens!$J$5806</f>
        <v>338.800945197185</v>
      </c>
      <c r="K5825" s="38" t="n">
        <f aca="false">Sens!$K$5806</f>
        <v>389.599699375015</v>
      </c>
      <c r="L5825" s="38" t="n">
        <f aca="false">Sens!$L$5806</f>
        <v>428.943490119887</v>
      </c>
      <c r="M5825" s="38" t="n">
        <f aca="false">Sens!$M$5806</f>
        <v>456.901465525587</v>
      </c>
      <c r="N5825" s="38" t="n">
        <f aca="false">Sens!$N$5806</f>
        <v>60.14</v>
      </c>
      <c r="O5825" s="38" t="n">
        <f aca="false">Sens!$O$5806</f>
        <v>68.585</v>
      </c>
    </row>
    <row r="5826" customFormat="false" ht="15" hidden="false" customHeight="false" outlineLevel="0" collapsed="false">
      <c r="A5826" s="1" t="s">
        <v>519</v>
      </c>
      <c r="B5826" s="8" t="s">
        <v>86</v>
      </c>
      <c r="C5826" s="38" t="n">
        <f aca="false">Sens!$C$5736</f>
        <v>387.497</v>
      </c>
      <c r="D5826" s="38" t="n">
        <f aca="false">Sens!$D$5736</f>
        <v>426.305</v>
      </c>
      <c r="E5826" s="38" t="n">
        <f aca="false">Sens!$E$5736</f>
        <v>220.32</v>
      </c>
      <c r="F5826" s="38" t="n">
        <f aca="false">Sens!$F$5736</f>
        <v>250.639773480586</v>
      </c>
      <c r="G5826" s="38" t="n">
        <f aca="false">Sens!$G$5736</f>
        <v>470.959773480586</v>
      </c>
      <c r="H5826" s="38" t="n">
        <f aca="false">Sens!$H$5736</f>
        <v>521.386990416437</v>
      </c>
      <c r="I5826" s="38" t="n">
        <f aca="false">Sens!$I$5736</f>
        <v>570.143862887555</v>
      </c>
      <c r="J5826" s="38" t="n">
        <f aca="false">Sens!$J$5736</f>
        <v>615.391435791933</v>
      </c>
      <c r="K5826" s="38" t="n">
        <f aca="false">Sens!$K$5736</f>
        <v>655.208227561543</v>
      </c>
      <c r="L5826" s="38" t="n">
        <f aca="false">Sens!$L$5736</f>
        <v>697.807739249767</v>
      </c>
      <c r="M5826" s="38" t="n">
        <f aca="false">Sens!$M$5736</f>
        <v>743.399328463592</v>
      </c>
      <c r="N5826" s="38" t="n">
        <f aca="false">Sens!$N$5736</f>
        <v>192.955</v>
      </c>
      <c r="O5826" s="38" t="n">
        <f aca="false">Sens!$O$5736</f>
        <v>233.35</v>
      </c>
    </row>
    <row r="5827" customFormat="false" ht="15" hidden="false" customHeight="false" outlineLevel="0" collapsed="false">
      <c r="A5827" s="1" t="s">
        <v>522</v>
      </c>
      <c r="B5827" s="8" t="s">
        <v>86</v>
      </c>
      <c r="C5827" s="38" t="n">
        <f aca="false">Sens!$C$5737</f>
        <v>142.906</v>
      </c>
      <c r="D5827" s="38" t="n">
        <f aca="false">Sens!$D$5737</f>
        <v>161.894</v>
      </c>
      <c r="E5827" s="38" t="n">
        <f aca="false">Sens!$E$5737</f>
        <v>81.986</v>
      </c>
      <c r="F5827" s="38" t="n">
        <f aca="false">Sens!$F$5737</f>
        <v>98.408468164951</v>
      </c>
      <c r="G5827" s="38" t="n">
        <f aca="false">Sens!$G$5737</f>
        <v>180.394468164951</v>
      </c>
      <c r="H5827" s="38" t="n">
        <f aca="false">Sens!$H$5737</f>
        <v>199.709899104949</v>
      </c>
      <c r="I5827" s="38" t="n">
        <f aca="false">Sens!$I$5737</f>
        <v>218.385528264976</v>
      </c>
      <c r="J5827" s="38" t="n">
        <f aca="false">Sens!$J$5737</f>
        <v>235.71696994951</v>
      </c>
      <c r="K5827" s="38" t="n">
        <f aca="false">Sens!$K$5737</f>
        <v>250.968227869545</v>
      </c>
      <c r="L5827" s="38" t="n">
        <f aca="false">Sens!$L$5737</f>
        <v>267.285367225822</v>
      </c>
      <c r="M5827" s="38" t="n">
        <f aca="false">Sens!$M$5737</f>
        <v>284.748579483295</v>
      </c>
      <c r="N5827" s="38" t="n">
        <f aca="false">Sens!$N$5737</f>
        <v>70.274</v>
      </c>
      <c r="O5827" s="38" t="n">
        <f aca="false">Sens!$O$5737</f>
        <v>91.62</v>
      </c>
    </row>
    <row r="5828" customFormat="false" ht="15" hidden="false" customHeight="false" outlineLevel="0" collapsed="false">
      <c r="A5828" s="1" t="s">
        <v>523</v>
      </c>
      <c r="B5828" s="8" t="s">
        <v>86</v>
      </c>
      <c r="C5828" s="38" t="n">
        <f aca="false">Sens!$C$5806</f>
        <v>107.556</v>
      </c>
      <c r="D5828" s="38" t="n">
        <f aca="false">Sens!$D$5806</f>
        <v>128.725</v>
      </c>
      <c r="E5828" s="38" t="n">
        <f aca="false">Sens!$E$5806</f>
        <v>79.819</v>
      </c>
      <c r="F5828" s="38" t="n">
        <f aca="false">Sens!$F$5806</f>
        <v>86.7327334389669</v>
      </c>
      <c r="G5828" s="38" t="n">
        <f aca="false">Sens!$G$5806</f>
        <v>166.551733438967</v>
      </c>
      <c r="H5828" s="38" t="n">
        <f aca="false">Sens!$H$5806</f>
        <v>221.182967828978</v>
      </c>
      <c r="I5828" s="38" t="n">
        <f aca="false">Sens!$I$5806</f>
        <v>280.27345865789</v>
      </c>
      <c r="J5828" s="38" t="n">
        <f aca="false">Sens!$J$5806</f>
        <v>338.800945197185</v>
      </c>
      <c r="K5828" s="38" t="n">
        <f aca="false">Sens!$K$5806</f>
        <v>389.599699375015</v>
      </c>
      <c r="L5828" s="38" t="n">
        <f aca="false">Sens!$L$5806</f>
        <v>428.943490119887</v>
      </c>
      <c r="M5828" s="38" t="n">
        <f aca="false">Sens!$M$5806</f>
        <v>456.901465525587</v>
      </c>
      <c r="N5828" s="38" t="n">
        <f aca="false">Sens!$N$5806</f>
        <v>60.14</v>
      </c>
      <c r="O5828" s="38" t="n">
        <f aca="false">Sens!$O$5806</f>
        <v>68.585</v>
      </c>
    </row>
    <row r="5829" customFormat="false" ht="17.15" hidden="false" customHeight="false" outlineLevel="0" collapsed="false">
      <c r="A5829" s="0" t="s">
        <v>702</v>
      </c>
      <c r="B5829" s="0" t="s">
        <v>86</v>
      </c>
      <c r="C5829" s="38" t="n">
        <f aca="false">Sens!$C$5804</f>
        <v>2.32100535697364</v>
      </c>
      <c r="D5829" s="38" t="n">
        <f aca="false">Sens!$D$5804</f>
        <v>8.70377008865116</v>
      </c>
      <c r="E5829" s="38" t="n">
        <f aca="false">Sens!$E$5804</f>
        <v>8.51035297557002</v>
      </c>
      <c r="F5829" s="38" t="n">
        <f aca="false">Sens!$F$5804</f>
        <v>14.9634336447205</v>
      </c>
      <c r="G5829" s="38" t="n">
        <f aca="false">Sens!$G$5804</f>
        <v>23.4737866202905</v>
      </c>
      <c r="H5829" s="38" t="n">
        <f aca="false">Sens!$H$5804</f>
        <v>60.1658907497746</v>
      </c>
      <c r="I5829" s="38" t="n">
        <f aca="false">Sens!$I$5804</f>
        <v>101.503699136432</v>
      </c>
      <c r="J5829" s="38" t="n">
        <f aca="false">Sens!$J$5804</f>
        <v>143.025407151278</v>
      </c>
      <c r="K5829" s="38" t="n">
        <f aca="false">Sens!$K$5804</f>
        <v>178.162118285436</v>
      </c>
      <c r="L5829" s="38" t="n">
        <f aca="false">Sens!$L$5804</f>
        <v>200.590902543141</v>
      </c>
      <c r="M5829" s="38" t="n">
        <f aca="false">Sens!$M$5804</f>
        <v>210.280670942702</v>
      </c>
      <c r="N5829" s="38" t="n">
        <f aca="false">Sens!$N$5804</f>
        <v>3.04631953102791</v>
      </c>
      <c r="O5829" s="38" t="n">
        <f aca="false">Sens!$O$5804</f>
        <v>5.65745055762326</v>
      </c>
    </row>
    <row r="5830" customFormat="false" ht="17.15" hidden="false" customHeight="false" outlineLevel="0" collapsed="false">
      <c r="A5830" s="0" t="s">
        <v>704</v>
      </c>
      <c r="B5830" s="0" t="s">
        <v>86</v>
      </c>
      <c r="C5830" s="38" t="n">
        <f aca="false">Sens!$C$5805</f>
        <v>105.234994643026</v>
      </c>
      <c r="D5830" s="38" t="n">
        <f aca="false">Sens!$D$5805</f>
        <v>120.021229911349</v>
      </c>
      <c r="E5830" s="38" t="n">
        <f aca="false">Sens!$E$5805</f>
        <v>71.30864702443</v>
      </c>
      <c r="F5830" s="38" t="n">
        <f aca="false">Sens!$F$5805</f>
        <v>71.7692997942464</v>
      </c>
      <c r="G5830" s="38" t="n">
        <f aca="false">Sens!$G$5805</f>
        <v>143.077946818676</v>
      </c>
      <c r="H5830" s="38" t="n">
        <f aca="false">Sens!$H$5805</f>
        <v>161.017077079203</v>
      </c>
      <c r="I5830" s="38" t="n">
        <f aca="false">Sens!$I$5805</f>
        <v>178.769759521457</v>
      </c>
      <c r="J5830" s="38" t="n">
        <f aca="false">Sens!$J$5805</f>
        <v>195.775538045907</v>
      </c>
      <c r="K5830" s="38" t="n">
        <f aca="false">Sens!$K$5805</f>
        <v>211.43758108958</v>
      </c>
      <c r="L5830" s="38" t="n">
        <f aca="false">Sens!$L$5805</f>
        <v>228.352587576746</v>
      </c>
      <c r="M5830" s="38" t="n">
        <f aca="false">Sens!$M$5805</f>
        <v>246.620794582886</v>
      </c>
      <c r="N5830" s="38" t="n">
        <f aca="false">Sens!$N$5805</f>
        <v>57.0936804689721</v>
      </c>
      <c r="O5830" s="38" t="n">
        <f aca="false">Sens!$O$5805</f>
        <v>62.9275494423768</v>
      </c>
    </row>
    <row r="5831" customFormat="false" ht="15" hidden="false" customHeight="false" outlineLevel="0" collapsed="false">
      <c r="A5831" s="3" t="s">
        <v>524</v>
      </c>
      <c r="B5831" s="8" t="s">
        <v>86</v>
      </c>
      <c r="C5831" s="38" t="n">
        <f aca="false">Sens!$C$5807</f>
        <v>637.959</v>
      </c>
      <c r="D5831" s="38" t="n">
        <f aca="false">Sens!$D$5807</f>
        <v>716.924</v>
      </c>
      <c r="E5831" s="38" t="n">
        <f aca="false">Sens!$E$5807</f>
        <v>382.125</v>
      </c>
      <c r="F5831" s="38" t="n">
        <f aca="false">Sens!$F$5807</f>
        <v>435.780975084504</v>
      </c>
      <c r="G5831" s="38" t="n">
        <f aca="false">Sens!$G$5807</f>
        <v>817.905975084504</v>
      </c>
      <c r="H5831" s="38" t="n">
        <f aca="false">Sens!$H$5807</f>
        <v>942.279857350364</v>
      </c>
      <c r="I5831" s="38" t="n">
        <f aca="false">Sens!$I$5807</f>
        <v>1068.80284981042</v>
      </c>
      <c r="J5831" s="38" t="n">
        <f aca="false">Sens!$J$5807</f>
        <v>1189.90935093863</v>
      </c>
      <c r="K5831" s="38" t="n">
        <f aca="false">Sens!$K$5807</f>
        <v>1295.7761548061</v>
      </c>
      <c r="L5831" s="38" t="n">
        <f aca="false">Sens!$L$5807</f>
        <v>1394.03659659548</v>
      </c>
      <c r="M5831" s="38" t="n">
        <f aca="false">Sens!$M$5807</f>
        <v>1485.04937347247</v>
      </c>
      <c r="N5831" s="38" t="n">
        <f aca="false">Sens!$N$5807</f>
        <v>323.369</v>
      </c>
      <c r="O5831" s="38" t="n">
        <f aca="false">Sens!$O$5807</f>
        <v>393.555</v>
      </c>
    </row>
    <row r="5832" customFormat="false" ht="17.15" hidden="false" customHeight="false" outlineLevel="0" collapsed="false">
      <c r="A5832" s="24" t="s">
        <v>714</v>
      </c>
      <c r="B5832" s="25" t="s">
        <v>86</v>
      </c>
      <c r="C5832" s="41" t="n">
        <f aca="false">Sens!$C$5819+Sens!$C$5820+Sens!$C$5821+Sens!$C$5822+Sens!$C$5823+Sens!$C$5824-(Sens!$C$5826+Sens!$C$5827)</f>
        <v>0</v>
      </c>
      <c r="D5832" s="41" t="n">
        <f aca="false">Sens!$D$5819+Sens!$D$5820+Sens!$D$5821+Sens!$D$5822+Sens!$D$5823+Sens!$D$5824-(Sens!$D$5826+Sens!$D$5827)</f>
        <v>0</v>
      </c>
      <c r="E5832" s="41" t="n">
        <f aca="false">Sens!$E$5819+Sens!$E$5820+Sens!$E$5821+Sens!$E$5822+Sens!$E$5823+Sens!$E$5824-(Sens!$E$5826+Sens!$E$5827)</f>
        <v>0</v>
      </c>
      <c r="F5832" s="41" t="n">
        <f aca="false">Sens!$F$5819+Sens!$F$5820+Sens!$F$5821+Sens!$F$5822+Sens!$F$5823+Sens!$F$5824-(Sens!$F$5826+Sens!$F$5827)</f>
        <v>0</v>
      </c>
      <c r="G5832" s="41" t="n">
        <f aca="false">Sens!$G$5819+Sens!$G$5820+Sens!$G$5821+Sens!$G$5822+Sens!$G$5823+Sens!$G$5824-(Sens!$G$5826+Sens!$G$5827)</f>
        <v>0</v>
      </c>
      <c r="H5832" s="41" t="n">
        <f aca="false">Sens!$H$5819+Sens!$H$5820+Sens!$H$5821+Sens!$H$5822+Sens!$H$5823+Sens!$H$5824-(Sens!$H$5826+Sens!$H$5827)</f>
        <v>0</v>
      </c>
      <c r="I5832" s="41" t="n">
        <f aca="false">Sens!$I$5819+Sens!$I$5820+Sens!$I$5821+Sens!$I$5822+Sens!$I$5823+Sens!$I$5824-(Sens!$I$5826+Sens!$I$5827)</f>
        <v>0</v>
      </c>
      <c r="J5832" s="41" t="n">
        <f aca="false">Sens!$J$5819+Sens!$J$5820+Sens!$J$5821+Sens!$J$5822+Sens!$J$5823+Sens!$J$5824-(Sens!$J$5826+Sens!$J$5827)</f>
        <v>0</v>
      </c>
      <c r="K5832" s="41" t="n">
        <f aca="false">Sens!$K$5819+Sens!$K$5820+Sens!$K$5821+Sens!$K$5822+Sens!$K$5823+Sens!$K$5824-(Sens!$K$5826+Sens!$K$5827)</f>
        <v>0</v>
      </c>
      <c r="L5832" s="41" t="n">
        <f aca="false">Sens!$L$5819+Sens!$L$5820+Sens!$L$5821+Sens!$L$5822+Sens!$L$5823+Sens!$L$5824-(Sens!$L$5826+Sens!$L$5827)</f>
        <v>0</v>
      </c>
      <c r="M5832" s="41" t="n">
        <f aca="false">Sens!$M$5819+Sens!$M$5820+Sens!$M$5821+Sens!$M$5822+Sens!$M$5823+Sens!$M$5824-(Sens!$M$5826+Sens!$M$5827)</f>
        <v>0</v>
      </c>
      <c r="N5832" s="41" t="n">
        <f aca="false">Sens!$N$5819+Sens!$N$5820+Sens!$N$5821+Sens!$N$5822+Sens!$N$5823+Sens!$N$5824-(Sens!$N$5826+Sens!$N$5827)</f>
        <v>0</v>
      </c>
      <c r="O5832" s="41" t="n">
        <f aca="false">Sens!$O$5819+Sens!$O$5820+Sens!$O$5821+Sens!$O$5822+Sens!$O$5823+Sens!$O$5824-(Sens!$O$5826+Sens!$O$5827)</f>
        <v>0</v>
      </c>
    </row>
    <row r="5833" customFormat="false" ht="17.15" hidden="false" customHeight="false" outlineLevel="0" collapsed="false">
      <c r="A5833" s="24" t="s">
        <v>715</v>
      </c>
      <c r="B5833" s="25" t="s">
        <v>86</v>
      </c>
      <c r="C5833" s="41" t="n">
        <f aca="false">Sens!$C$5829+Sens!$C$5830-Sens!$C$5828</f>
        <v>0</v>
      </c>
      <c r="D5833" s="41" t="n">
        <f aca="false">Sens!$D$5829+Sens!$D$5830-Sens!$D$5828</f>
        <v>0</v>
      </c>
      <c r="E5833" s="41" t="n">
        <f aca="false">Sens!$E$5829+Sens!$E$5830-Sens!$E$5828</f>
        <v>0</v>
      </c>
      <c r="F5833" s="41" t="n">
        <f aca="false">Sens!$F$5829+Sens!$F$5830-Sens!$F$5828</f>
        <v>0</v>
      </c>
      <c r="G5833" s="41" t="n">
        <f aca="false">Sens!$G$5829+Sens!$G$5830-Sens!$G$5828</f>
        <v>0</v>
      </c>
      <c r="H5833" s="41" t="n">
        <f aca="false">Sens!$H$5829+Sens!$H$5830-Sens!$H$5828</f>
        <v>0</v>
      </c>
      <c r="I5833" s="41" t="n">
        <f aca="false">Sens!$I$5829+Sens!$I$5830-Sens!$I$5828</f>
        <v>0</v>
      </c>
      <c r="J5833" s="41" t="n">
        <f aca="false">Sens!$J$5829+Sens!$J$5830-Sens!$J$5828</f>
        <v>0</v>
      </c>
      <c r="K5833" s="41" t="n">
        <f aca="false">Sens!$K$5829+Sens!$K$5830-Sens!$K$5828</f>
        <v>0</v>
      </c>
      <c r="L5833" s="41" t="n">
        <f aca="false">Sens!$L$5829+Sens!$L$5830-Sens!$L$5828</f>
        <v>0</v>
      </c>
      <c r="M5833" s="41" t="n">
        <f aca="false">Sens!$M$5829+Sens!$M$5830-Sens!$M$5828</f>
        <v>0</v>
      </c>
      <c r="N5833" s="41" t="n">
        <f aca="false">Sens!$N$5829+Sens!$N$5830-Sens!$N$5828</f>
        <v>0</v>
      </c>
      <c r="O5833" s="41" t="n">
        <f aca="false">Sens!$O$5829+Sens!$O$5830-Sens!$O$5828</f>
        <v>0</v>
      </c>
    </row>
    <row r="5834" customFormat="false" ht="17.15" hidden="false" customHeight="false" outlineLevel="0" collapsed="false">
      <c r="A5834" s="24" t="s">
        <v>774</v>
      </c>
      <c r="B5834" s="25" t="s">
        <v>86</v>
      </c>
      <c r="C5834" s="41" t="n">
        <f aca="false">Sens!$C$5819+Sens!$C$5820+Sens!$C$5821+Sens!$C$5822+Sens!$C$5823+Sens!$C$5824+Sens!$C$5825-Sens!$C$5831</f>
        <v>0</v>
      </c>
      <c r="D5834" s="41" t="n">
        <f aca="false">Sens!$D$5819+Sens!$D$5820+Sens!$D$5821+Sens!$D$5822+Sens!$D$5823+Sens!$D$5824+Sens!$D$5825-Sens!$D$5831</f>
        <v>0</v>
      </c>
      <c r="E5834" s="41" t="n">
        <f aca="false">Sens!$E$5819+Sens!$E$5820+Sens!$E$5821+Sens!$E$5822+Sens!$E$5823+Sens!$E$5824+Sens!$E$5825-Sens!$E$5831</f>
        <v>0</v>
      </c>
      <c r="F5834" s="41" t="n">
        <f aca="false">Sens!$F$5819+Sens!$F$5820+Sens!$F$5821+Sens!$F$5822+Sens!$F$5823+Sens!$F$5824+Sens!$F$5825-Sens!$F$5831</f>
        <v>0</v>
      </c>
      <c r="G5834" s="41" t="n">
        <f aca="false">Sens!$G$5819+Sens!$G$5820+Sens!$G$5821+Sens!$G$5822+Sens!$G$5823+Sens!$G$5824+Sens!$G$5825-Sens!$G$5831</f>
        <v>0</v>
      </c>
      <c r="H5834" s="41" t="n">
        <f aca="false">Sens!$H$5819+Sens!$H$5820+Sens!$H$5821+Sens!$H$5822+Sens!$H$5823+Sens!$H$5824+Sens!$H$5825-Sens!$H$5831</f>
        <v>0</v>
      </c>
      <c r="I5834" s="41" t="n">
        <f aca="false">Sens!$I$5819+Sens!$I$5820+Sens!$I$5821+Sens!$I$5822+Sens!$I$5823+Sens!$I$5824+Sens!$I$5825-Sens!$I$5831</f>
        <v>0</v>
      </c>
      <c r="J5834" s="41" t="n">
        <f aca="false">Sens!$J$5819+Sens!$J$5820+Sens!$J$5821+Sens!$J$5822+Sens!$J$5823+Sens!$J$5824+Sens!$J$5825-Sens!$J$5831</f>
        <v>0</v>
      </c>
      <c r="K5834" s="41" t="n">
        <f aca="false">Sens!$K$5819+Sens!$K$5820+Sens!$K$5821+Sens!$K$5822+Sens!$K$5823+Sens!$K$5824+Sens!$K$5825-Sens!$K$5831</f>
        <v>0</v>
      </c>
      <c r="L5834" s="41" t="n">
        <f aca="false">Sens!$L$5819+Sens!$L$5820+Sens!$L$5821+Sens!$L$5822+Sens!$L$5823+Sens!$L$5824+Sens!$L$5825-Sens!$L$5831</f>
        <v>0</v>
      </c>
      <c r="M5834" s="41" t="n">
        <f aca="false">Sens!$M$5819+Sens!$M$5820+Sens!$M$5821+Sens!$M$5822+Sens!$M$5823+Sens!$M$5824+Sens!$M$5825-Sens!$M$5831</f>
        <v>0</v>
      </c>
      <c r="N5834" s="41" t="n">
        <f aca="false">Sens!$N$5819+Sens!$N$5820+Sens!$N$5821+Sens!$N$5822+Sens!$N$5823+Sens!$N$5824+Sens!$N$5825-Sens!$N$5831</f>
        <v>0</v>
      </c>
      <c r="O5834" s="41" t="n">
        <f aca="false">Sens!$O$5819+Sens!$O$5820+Sens!$O$5821+Sens!$O$5822+Sens!$O$5823+Sens!$O$5824+Sens!$O$5825-Sens!$O$5831</f>
        <v>0</v>
      </c>
    </row>
    <row r="5835" customFormat="false" ht="17.15" hidden="false" customHeight="false" outlineLevel="0" collapsed="false">
      <c r="A5835" s="24" t="s">
        <v>716</v>
      </c>
      <c r="B5835" s="25" t="s">
        <v>86</v>
      </c>
      <c r="C5835" s="41" t="n">
        <f aca="false">Sens!$C$5826+Sens!$C$5827+Sens!$C$5828-Sens!$C$5831</f>
        <v>0</v>
      </c>
      <c r="D5835" s="41" t="n">
        <f aca="false">Sens!$D$5826+Sens!$D$5827+Sens!$D$5828-Sens!$D$5831</f>
        <v>0</v>
      </c>
      <c r="E5835" s="41" t="n">
        <f aca="false">Sens!$E$5826+Sens!$E$5827+Sens!$E$5828-Sens!$E$5831</f>
        <v>0</v>
      </c>
      <c r="F5835" s="41" t="n">
        <f aca="false">Sens!$F$5826+Sens!$F$5827+Sens!$F$5828-Sens!$F$5831</f>
        <v>0</v>
      </c>
      <c r="G5835" s="41" t="n">
        <f aca="false">Sens!$G$5826+Sens!$G$5827+Sens!$G$5828-Sens!$G$5831</f>
        <v>0</v>
      </c>
      <c r="H5835" s="41" t="n">
        <f aca="false">Sens!$H$5826+Sens!$H$5827+Sens!$H$5828-Sens!$H$5831</f>
        <v>0</v>
      </c>
      <c r="I5835" s="41" t="n">
        <f aca="false">Sens!$I$5826+Sens!$I$5827+Sens!$I$5828-Sens!$I$5831</f>
        <v>0</v>
      </c>
      <c r="J5835" s="41" t="n">
        <f aca="false">Sens!$J$5826+Sens!$J$5827+Sens!$J$5828-Sens!$J$5831</f>
        <v>0</v>
      </c>
      <c r="K5835" s="41" t="n">
        <f aca="false">Sens!$K$5826+Sens!$K$5827+Sens!$K$5828-Sens!$K$5831</f>
        <v>0</v>
      </c>
      <c r="L5835" s="41" t="n">
        <f aca="false">Sens!$L$5826+Sens!$L$5827+Sens!$L$5828-Sens!$L$5831</f>
        <v>0</v>
      </c>
      <c r="M5835" s="41" t="n">
        <f aca="false">Sens!$M$5826+Sens!$M$5827+Sens!$M$5828-Sens!$M$5831</f>
        <v>0</v>
      </c>
      <c r="N5835" s="41" t="n">
        <f aca="false">Sens!$N$5826+Sens!$N$5827+Sens!$N$5828-Sens!$N$5831</f>
        <v>0</v>
      </c>
      <c r="O5835" s="41" t="n">
        <f aca="false">Sens!$O$5826+Sens!$O$5827+Sens!$O$5828-Sens!$O$5831</f>
        <v>0</v>
      </c>
    </row>
    <row r="5836" customFormat="false" ht="17.15" hidden="false" customHeight="false" outlineLevel="0" collapsed="false">
      <c r="A5836" s="1" t="s">
        <v>730</v>
      </c>
    </row>
    <row r="5837" customFormat="false" ht="17.15" hidden="false" customHeight="false" outlineLevel="0" collapsed="false">
      <c r="A5837" s="0" t="s">
        <v>731</v>
      </c>
      <c r="B5837" s="0" t="s">
        <v>86</v>
      </c>
      <c r="C5837" s="38" t="n">
        <f aca="false">Sens!$C$5738*m_ad</f>
        <v>20.5341564414228</v>
      </c>
      <c r="D5837" s="38" t="n">
        <f aca="false">Sens!$D$5738*m_ad</f>
        <v>24.8720617299587</v>
      </c>
      <c r="E5837" s="38" t="n">
        <f aca="false">Sens!$E$5738*m_ad</f>
        <v>13.5017112462207</v>
      </c>
      <c r="F5837" s="38" t="n">
        <f aca="false">Sens!$F$5738*m_ad</f>
        <v>16.5719724165257</v>
      </c>
      <c r="G5837" s="38" t="n">
        <f aca="false">Sens!$G$5738*m_ad</f>
        <v>30.0820919220415</v>
      </c>
      <c r="H5837" s="38" t="n">
        <f aca="false">Sens!$H$5738*m_ad</f>
        <v>36.1150883276314</v>
      </c>
      <c r="I5837" s="38" t="n">
        <f aca="false">Sens!$I$5738*m_ad</f>
        <v>42.1475382231996</v>
      </c>
      <c r="J5837" s="38" t="n">
        <f aca="false">Sens!$J$5738*m_ad</f>
        <v>47.7749523864693</v>
      </c>
      <c r="K5837" s="38" t="n">
        <f aca="false">Sens!$K$5738*m_ad</f>
        <v>52.5524476251162</v>
      </c>
      <c r="L5837" s="38" t="n">
        <f aca="false">Sens!$L$5738*m_ad</f>
        <v>57.8076923876279</v>
      </c>
      <c r="M5837" s="38" t="n">
        <f aca="false">Sens!$M$5738*m_ad</f>
        <v>63.5884616263907</v>
      </c>
      <c r="N5837" s="38" t="n">
        <f aca="false">Sens!$N$5738*m_ad</f>
        <v>10.8543555706248</v>
      </c>
      <c r="O5837" s="38" t="n">
        <f aca="false">Sens!$O$5738*m_ad</f>
        <v>14.0094731821399</v>
      </c>
    </row>
    <row r="5838" customFormat="false" ht="17.15" hidden="false" customHeight="false" outlineLevel="0" collapsed="false">
      <c r="A5838" s="0" t="s">
        <v>732</v>
      </c>
      <c r="B5838" s="0" t="s">
        <v>86</v>
      </c>
      <c r="C5838" s="38" t="n">
        <f aca="false">Sens!$C$5736-Sens!$C$5738</f>
        <v>346.428687117154</v>
      </c>
      <c r="D5838" s="38" t="n">
        <f aca="false">Sens!$D$5736-Sens!$D$5738</f>
        <v>376.560876540083</v>
      </c>
      <c r="E5838" s="38" t="n">
        <f aca="false">Sens!$E$5736-Sens!$E$5738</f>
        <v>193.316577507559</v>
      </c>
      <c r="F5838" s="38" t="n">
        <f aca="false">Sens!$F$5736-Sens!$F$5738</f>
        <v>217.495828647535</v>
      </c>
      <c r="G5838" s="38" t="n">
        <f aca="false">Sens!$G$5736-Sens!$G$5738</f>
        <v>410.795589636503</v>
      </c>
      <c r="H5838" s="38" t="n">
        <f aca="false">Sens!$H$5736-Sens!$H$5738</f>
        <v>449.156813761174</v>
      </c>
      <c r="I5838" s="38" t="n">
        <f aca="false">Sens!$I$5736-Sens!$I$5738</f>
        <v>485.848786441156</v>
      </c>
      <c r="J5838" s="38" t="n">
        <f aca="false">Sens!$J$5736-Sens!$J$5738</f>
        <v>519.841531018994</v>
      </c>
      <c r="K5838" s="38" t="n">
        <f aca="false">Sens!$K$5736-Sens!$K$5738</f>
        <v>550.103332311311</v>
      </c>
      <c r="L5838" s="38" t="n">
        <f aca="false">Sens!$L$5736-Sens!$L$5738</f>
        <v>582.192354474511</v>
      </c>
      <c r="M5838" s="38" t="n">
        <f aca="false">Sens!$M$5736-Sens!$M$5738</f>
        <v>616.22240521081</v>
      </c>
      <c r="N5838" s="38" t="n">
        <f aca="false">Sens!$N$5736-Sens!$N$5738</f>
        <v>171.24628885875</v>
      </c>
      <c r="O5838" s="38" t="n">
        <f aca="false">Sens!$O$5736-Sens!$O$5738</f>
        <v>205.33105363572</v>
      </c>
    </row>
    <row r="5839" customFormat="false" ht="17.15" hidden="false" customHeight="false" outlineLevel="0" collapsed="false">
      <c r="A5839" s="0" t="s">
        <v>733</v>
      </c>
      <c r="B5839" s="0" t="s">
        <v>86</v>
      </c>
      <c r="C5839" s="38" t="n">
        <f aca="false">Sens!$C$5790*Sens!$C$5735</f>
        <v>0.123617442257179</v>
      </c>
      <c r="D5839" s="38" t="n">
        <f aca="false">Sens!$D$5790*Sens!$D$5735</f>
        <v>0.600198046024689</v>
      </c>
      <c r="E5839" s="38" t="n">
        <f aca="false">Sens!$E$5790*Sens!$E$5735</f>
        <v>1.10840000750276</v>
      </c>
      <c r="F5839" s="38" t="n">
        <f aca="false">Sens!$F$5790*Sens!$F$5735</f>
        <v>1.33595298721025</v>
      </c>
      <c r="G5839" s="38" t="n">
        <f aca="false">Sens!$G$5790*Sens!$G$5735</f>
        <v>2.44487335052545</v>
      </c>
      <c r="H5839" s="38" t="n">
        <f aca="false">Sens!$H$5790*Sens!$H$5735</f>
        <v>6.63132711939388</v>
      </c>
      <c r="I5839" s="38" t="n">
        <f aca="false">Sens!$I$5790*Sens!$I$5735</f>
        <v>12.7486799258504</v>
      </c>
      <c r="J5839" s="38" t="n">
        <f aca="false">Sens!$J$5790*Sens!$J$5735</f>
        <v>18.4074045299415</v>
      </c>
      <c r="K5839" s="38" t="n">
        <f aca="false">Sens!$K$5790*Sens!$K$5735</f>
        <v>23.9352810133727</v>
      </c>
      <c r="L5839" s="38" t="n">
        <f aca="false">Sens!$L$5790*Sens!$L$5735</f>
        <v>27.6844216700883</v>
      </c>
      <c r="M5839" s="38" t="n">
        <f aca="false">Sens!$M$5790*Sens!$M$5735</f>
        <v>29.6415739346474</v>
      </c>
      <c r="N5839" s="38" t="n">
        <f aca="false">Sens!$N$5790*Sens!$N$5735</f>
        <v>0.25053229484398</v>
      </c>
      <c r="O5839" s="38" t="n">
        <f aca="false">Sens!$O$5790*Sens!$O$5735</f>
        <v>0.349234376756897</v>
      </c>
    </row>
    <row r="5840" customFormat="false" ht="17.15" hidden="false" customHeight="false" outlineLevel="0" collapsed="false">
      <c r="A5840" s="0" t="s">
        <v>734</v>
      </c>
      <c r="B5840" s="0" t="s">
        <v>52</v>
      </c>
      <c r="C5840" s="28" t="n">
        <f aca="false">(Sens!$C$5841-Sens!$C$5837+Sens!$C$5839)/Sens!$C$5838</f>
        <v>0.0131526665379575</v>
      </c>
      <c r="D5840" s="28" t="n">
        <f aca="false">(Sens!$D$5841-Sens!$D$5837+Sens!$D$5839)/Sens!$D$5838</f>
        <v>0.0141999252954702</v>
      </c>
      <c r="E5840" s="28" t="n">
        <f aca="false">(Sens!$E$5841-Sens!$E$5837+Sens!$E$5839)/Sens!$E$5838</f>
        <v>0.0258471819939326</v>
      </c>
      <c r="F5840" s="28" t="n">
        <f aca="false">Sens!$O$5840+(Sens!$E$5840-Sens!$N$5840)</f>
        <v>0.0224302350712874</v>
      </c>
      <c r="G5840" s="28" t="n">
        <f aca="false">(Sens!$G$5841-Sens!$G$5837+Sens!$G$5839)/Sens!$G$5838</f>
        <v>0.0240199351461372</v>
      </c>
      <c r="H5840" s="28" t="n">
        <f aca="false">Sens!$G$5840+step_na</f>
        <v>0.0270199351461372</v>
      </c>
      <c r="I5840" s="28" t="n">
        <f aca="false">Sens!$H$5840+step_na</f>
        <v>0.0300199351461372</v>
      </c>
      <c r="J5840" s="28" t="n">
        <f aca="false">Sens!$I$5840+step_na</f>
        <v>0.0330199351461372</v>
      </c>
      <c r="K5840" s="28" t="n">
        <f aca="false">Sens!$J$5840+step_na</f>
        <v>0.0360199351461372</v>
      </c>
      <c r="L5840" s="28" t="n">
        <f aca="false">Sens!$K$5840</f>
        <v>0.0360199351461372</v>
      </c>
      <c r="M5840" s="28" t="n">
        <f aca="false">Sens!$L$5840</f>
        <v>0.0360199351461372</v>
      </c>
      <c r="N5840" s="28" t="n">
        <f aca="false">(Sens!$N$5841-Sens!$N$5837+Sens!$N$5839)/Sens!$N$5838</f>
        <v>0.0160831323269779</v>
      </c>
      <c r="O5840" s="28" t="n">
        <f aca="false">(Sens!$O$5841-Sens!$O$5837+Sens!$O$5839)/Sens!$O$5838</f>
        <v>0.0126661854043327</v>
      </c>
      <c r="P5840" s="8" t="s">
        <v>735</v>
      </c>
    </row>
    <row r="5841" customFormat="false" ht="17.15" hidden="false" customHeight="false" outlineLevel="0" collapsed="false">
      <c r="A5841" s="1" t="s">
        <v>736</v>
      </c>
      <c r="B5841" s="8" t="s">
        <v>86</v>
      </c>
      <c r="C5841" s="38" t="n">
        <f aca="false">Q!$D$22</f>
        <v>24.967</v>
      </c>
      <c r="D5841" s="38" t="n">
        <f aca="false">Q!$E$22</f>
        <v>29.619</v>
      </c>
      <c r="E5841" s="38" t="n">
        <f aca="false">Q!$P$22</f>
        <v>17.39</v>
      </c>
      <c r="F5841" s="38" t="n">
        <f aca="false">Sens!$F$5837+Sens!$F$5838*Sens!$F$5840-Sens!$F$5839</f>
        <v>20.1145019929041</v>
      </c>
      <c r="G5841" s="38" t="n">
        <f aca="false">Sens!$E$5841+Sens!$F$5841</f>
        <v>37.5045019929041</v>
      </c>
      <c r="H5841" s="38" t="n">
        <f aca="false">Sens!$H$5837+Sens!$H$5838*Sens!$H$5840-Sens!$H$5839</f>
        <v>41.6199491865101</v>
      </c>
      <c r="I5841" s="38" t="n">
        <f aca="false">Sens!$I$5837+Sens!$I$5838*Sens!$I$5840-Sens!$I$5839</f>
        <v>43.9840073571422</v>
      </c>
      <c r="J5841" s="38" t="n">
        <f aca="false">Sens!$J$5837+Sens!$J$5838*Sens!$J$5840-Sens!$J$5839</f>
        <v>46.5326814970436</v>
      </c>
      <c r="K5841" s="38" t="n">
        <f aca="false">Sens!$K$5837+Sens!$K$5838*Sens!$K$5840-Sens!$K$5839</f>
        <v>48.4318529652709</v>
      </c>
      <c r="L5841" s="38" t="n">
        <f aca="false">Sens!$L$5837+Sens!$L$5838*Sens!$L$5840-Sens!$L$5839</f>
        <v>51.0938015682884</v>
      </c>
      <c r="M5841" s="38" t="n">
        <f aca="false">Sens!$M$5837+Sens!$M$5838*Sens!$M$5840-Sens!$M$5839</f>
        <v>56.1431787630333</v>
      </c>
      <c r="N5841" s="38" t="n">
        <f aca="false">Q!$N$22</f>
        <v>13.358</v>
      </c>
      <c r="O5841" s="38" t="n">
        <f aca="false">Q!$O$22</f>
        <v>16.261</v>
      </c>
    </row>
    <row r="5842" customFormat="false" ht="17.15" hidden="false" customHeight="false" outlineLevel="0" collapsed="false">
      <c r="A5842" s="0" t="s">
        <v>737</v>
      </c>
      <c r="B5842" s="0" t="s">
        <v>86</v>
      </c>
      <c r="C5842" s="38" t="n">
        <f aca="false">Sens!$C$5739*m_ad</f>
        <v>7.57284355857716</v>
      </c>
      <c r="D5842" s="38" t="n">
        <f aca="false">Sens!$D$5739*m_ad</f>
        <v>9.44543827004127</v>
      </c>
      <c r="E5842" s="38" t="n">
        <f aca="false">Sens!$E$5739*m_ad</f>
        <v>5.02428875377928</v>
      </c>
      <c r="F5842" s="38" t="n">
        <f aca="false">Sens!$F$5739*m_ad</f>
        <v>6.50663858068173</v>
      </c>
      <c r="G5842" s="38" t="n">
        <f aca="false">Sens!$G$5739*m_ad</f>
        <v>11.5225190751659</v>
      </c>
      <c r="H5842" s="38" t="n">
        <f aca="false">Sens!$H$5739*m_ad</f>
        <v>13.8333728663174</v>
      </c>
      <c r="I5842" s="38" t="n">
        <f aca="false">Sens!$I$5739*m_ad</f>
        <v>16.1440173245485</v>
      </c>
      <c r="J5842" s="38" t="n">
        <f aca="false">Sens!$J$5739*m_ad</f>
        <v>18.2995185845066</v>
      </c>
      <c r="K5842" s="38" t="n">
        <f aca="false">Sens!$K$5739*m_ad</f>
        <v>20.1294704429572</v>
      </c>
      <c r="L5842" s="38" t="n">
        <f aca="false">Sens!$L$5739*m_ad</f>
        <v>22.142417487253</v>
      </c>
      <c r="M5842" s="38" t="n">
        <f aca="false">Sens!$M$5739*m_ad</f>
        <v>24.3566592359783</v>
      </c>
      <c r="N5842" s="38" t="n">
        <f aca="false">Sens!$N$5739*m_ad</f>
        <v>3.95314442937518</v>
      </c>
      <c r="O5842" s="38" t="n">
        <f aca="false">Sens!$O$5739*m_ad</f>
        <v>5.50052681786011</v>
      </c>
    </row>
    <row r="5843" customFormat="false" ht="17.15" hidden="false" customHeight="false" outlineLevel="0" collapsed="false">
      <c r="A5843" s="0" t="s">
        <v>738</v>
      </c>
      <c r="B5843" s="0" t="s">
        <v>86</v>
      </c>
      <c r="C5843" s="38" t="n">
        <f aca="false">Sens!$C$5737-Sens!$C$5739</f>
        <v>127.760312882846</v>
      </c>
      <c r="D5843" s="38" t="n">
        <f aca="false">Sens!$D$5737-Sens!$D$5739</f>
        <v>143.003123459917</v>
      </c>
      <c r="E5843" s="38" t="n">
        <f aca="false">Sens!$E$5737-Sens!$E$5739</f>
        <v>71.9374224924414</v>
      </c>
      <c r="F5843" s="38" t="n">
        <f aca="false">Sens!$F$5737-Sens!$F$5739</f>
        <v>85.3951910035875</v>
      </c>
      <c r="G5843" s="38" t="n">
        <f aca="false">Sens!$G$5737-Sens!$G$5739</f>
        <v>157.349430014619</v>
      </c>
      <c r="H5843" s="38" t="n">
        <f aca="false">Sens!$H$5737-Sens!$H$5739</f>
        <v>172.043153372315</v>
      </c>
      <c r="I5843" s="38" t="n">
        <f aca="false">Sens!$I$5737-Sens!$I$5739</f>
        <v>186.097493615879</v>
      </c>
      <c r="J5843" s="38" t="n">
        <f aca="false">Sens!$J$5737-Sens!$J$5739</f>
        <v>199.117932780497</v>
      </c>
      <c r="K5843" s="38" t="n">
        <f aca="false">Sens!$K$5737-Sens!$K$5739</f>
        <v>210.70928698363</v>
      </c>
      <c r="L5843" s="38" t="n">
        <f aca="false">Sens!$L$5737-Sens!$L$5739</f>
        <v>223.000532251316</v>
      </c>
      <c r="M5843" s="38" t="n">
        <f aca="false">Sens!$M$5737-Sens!$M$5739</f>
        <v>236.035261011339</v>
      </c>
      <c r="N5843" s="38" t="n">
        <f aca="false">Sens!$N$5737-Sens!$N$5739</f>
        <v>62.3677111412496</v>
      </c>
      <c r="O5843" s="38" t="n">
        <f aca="false">Sens!$O$5737-Sens!$O$5739</f>
        <v>80.6189463642798</v>
      </c>
    </row>
    <row r="5844" customFormat="false" ht="17.15" hidden="false" customHeight="false" outlineLevel="0" collapsed="false">
      <c r="A5844" s="0" t="s">
        <v>739</v>
      </c>
      <c r="B5844" s="0" t="s">
        <v>86</v>
      </c>
      <c r="C5844" s="38" t="n">
        <f aca="false">Sens!$C$5790*(1-Sens!$C$5735)</f>
        <v>0.0455891896019953</v>
      </c>
      <c r="D5844" s="38" t="n">
        <f aca="false">Sens!$D$5790*(1-Sens!$D$5735)</f>
        <v>0.227931791705753</v>
      </c>
      <c r="E5844" s="38" t="n">
        <f aca="false">Sens!$E$5790*(1-Sens!$E$5735)</f>
        <v>0.412460434890711</v>
      </c>
      <c r="F5844" s="38" t="n">
        <f aca="false">Sens!$F$5790*(1-Sens!$F$5735)</f>
        <v>0.524534016233997</v>
      </c>
      <c r="G5844" s="38" t="n">
        <f aca="false">Sens!$G$5790*(1-Sens!$G$5735)</f>
        <v>0.936474095312266</v>
      </c>
      <c r="H5844" s="38" t="n">
        <f aca="false">Sens!$H$5790*(1-Sens!$H$5735)</f>
        <v>2.54003589327823</v>
      </c>
      <c r="I5844" s="38" t="n">
        <f aca="false">Sens!$I$5790*(1-Sens!$I$5735)</f>
        <v>4.88320120852905</v>
      </c>
      <c r="J5844" s="38" t="n">
        <f aca="false">Sens!$J$5790*(1-Sens!$J$5735)</f>
        <v>7.05069548920359</v>
      </c>
      <c r="K5844" s="38" t="n">
        <f aca="false">Sens!$K$5790*(1-Sens!$K$5735)</f>
        <v>9.16807025125686</v>
      </c>
      <c r="L5844" s="38" t="n">
        <f aca="false">Sens!$L$5790*(1-Sens!$L$5735)</f>
        <v>10.6041254579372</v>
      </c>
      <c r="M5844" s="38" t="n">
        <f aca="false">Sens!$M$5790*(1-Sens!$M$5735)</f>
        <v>11.3537849018292</v>
      </c>
      <c r="N5844" s="38" t="n">
        <f aca="false">Sens!$N$5790*(1-Sens!$N$5735)</f>
        <v>0.0912435878202994</v>
      </c>
      <c r="O5844" s="38" t="n">
        <f aca="false">Sens!$O$5790*(1-Sens!$O$5735)</f>
        <v>0.137119578309265</v>
      </c>
    </row>
    <row r="5845" customFormat="false" ht="17.15" hidden="false" customHeight="false" outlineLevel="0" collapsed="false">
      <c r="A5845" s="0" t="s">
        <v>740</v>
      </c>
      <c r="B5845" s="0" t="s">
        <v>52</v>
      </c>
      <c r="C5845" s="28" t="n">
        <f aca="false">(Sens!$C$5846-Sens!$C$5842+Sens!$C$5844)/Sens!$C$5843</f>
        <v>-0.0292364215826579</v>
      </c>
      <c r="D5845" s="28" t="n">
        <f aca="false">(Sens!$D$5846-Sens!$D$5842+Sens!$D$5844)/Sens!$D$5843</f>
        <v>-0.0312406216748665</v>
      </c>
      <c r="E5845" s="28" t="n">
        <f aca="false">(Sens!$E$5846-Sens!$E$5842+Sens!$E$5844)/Sens!$E$5843</f>
        <v>-0.0204459413185552</v>
      </c>
      <c r="F5845" s="28" t="n">
        <f aca="false">Sens!$O$5845+(Sens!$E$5845-Sens!$N$5845)</f>
        <v>-0.0375409290246314</v>
      </c>
      <c r="G5845" s="28" t="n">
        <f aca="false">(Sens!$G$5846-Sens!$G$5842+Sens!$G$5844)/Sens!$G$5843</f>
        <v>-0.0296712560031684</v>
      </c>
      <c r="H5845" s="28" t="n">
        <f aca="false">Sens!$G$5845+step_in</f>
        <v>-0.0296712560031684</v>
      </c>
      <c r="I5845" s="28" t="n">
        <f aca="false">Sens!$H$5845+step_in</f>
        <v>-0.0296712560031684</v>
      </c>
      <c r="J5845" s="28" t="n">
        <f aca="false">Sens!$I$5845+step_in</f>
        <v>-0.0296712560031684</v>
      </c>
      <c r="K5845" s="28" t="n">
        <f aca="false">Sens!$J$5845+step_in</f>
        <v>-0.0296712560031684</v>
      </c>
      <c r="L5845" s="28" t="n">
        <f aca="false">Sens!$K$5845</f>
        <v>-0.0296712560031684</v>
      </c>
      <c r="M5845" s="28" t="n">
        <f aca="false">Sens!$L$5845</f>
        <v>-0.0296712560031684</v>
      </c>
      <c r="N5845" s="28" t="n">
        <f aca="false">(Sens!$N$5846-Sens!$N$5842+Sens!$N$5844)/Sens!$N$5843</f>
        <v>-0.0216602600421776</v>
      </c>
      <c r="O5845" s="28" t="n">
        <f aca="false">(Sens!$O$5846-Sens!$O$5842+Sens!$O$5844)/Sens!$O$5843</f>
        <v>-0.0387552477482538</v>
      </c>
      <c r="P5845" s="8" t="s">
        <v>735</v>
      </c>
    </row>
    <row r="5846" customFormat="false" ht="17.15" hidden="false" customHeight="false" outlineLevel="0" collapsed="false">
      <c r="A5846" s="1" t="s">
        <v>741</v>
      </c>
      <c r="B5846" s="8" t="s">
        <v>86</v>
      </c>
      <c r="C5846" s="38" t="n">
        <f aca="false">Q!$D$23</f>
        <v>3.792</v>
      </c>
      <c r="D5846" s="38" t="n">
        <f aca="false">Q!$E$23</f>
        <v>4.75</v>
      </c>
      <c r="E5846" s="38" t="n">
        <f aca="false">Q!$P$23</f>
        <v>3.141</v>
      </c>
      <c r="F5846" s="38" t="n">
        <f aca="false">Sens!$F$5842+Sens!$F$5843*Sens!$F$5845-Sens!$F$5844</f>
        <v>2.77628975993721</v>
      </c>
      <c r="G5846" s="38" t="n">
        <f aca="false">Sens!$E$5846+Sens!$F$5846</f>
        <v>5.91728975993721</v>
      </c>
      <c r="H5846" s="38" t="n">
        <f aca="false">Sens!$H$5842+Sens!$H$5843*Sens!$H$5845-Sens!$H$5844</f>
        <v>6.18860052573681</v>
      </c>
      <c r="I5846" s="38" t="n">
        <f aca="false">Sens!$I$5842+Sens!$I$5843*Sens!$I$5845-Sens!$I$5844</f>
        <v>5.73906974139474</v>
      </c>
      <c r="J5846" s="38" t="n">
        <f aca="false">Sens!$J$5842+Sens!$J$5843*Sens!$J$5845-Sens!$J$5844</f>
        <v>5.34074393695119</v>
      </c>
      <c r="K5846" s="38" t="n">
        <f aca="false">Sens!$K$5842+Sens!$K$5843*Sens!$K$5845-Sens!$K$5844</f>
        <v>4.70939099536401</v>
      </c>
      <c r="L5846" s="38" t="n">
        <f aca="false">Sens!$L$5842+Sens!$L$5843*Sens!$L$5845-Sens!$L$5844</f>
        <v>4.92158614804412</v>
      </c>
      <c r="M5846" s="38" t="n">
        <f aca="false">Sens!$M$5842+Sens!$M$5843*Sens!$M$5845-Sens!$M$5844</f>
        <v>5.99941167890691</v>
      </c>
      <c r="N5846" s="38" t="n">
        <f aca="false">Q!$N$23</f>
        <v>2.511</v>
      </c>
      <c r="O5846" s="38" t="n">
        <f aca="false">Q!$O$23</f>
        <v>2.239</v>
      </c>
    </row>
    <row r="5847" customFormat="false" ht="17.15" hidden="false" customHeight="false" outlineLevel="0" collapsed="false">
      <c r="A5847" s="0" t="s">
        <v>742</v>
      </c>
      <c r="B5847" s="0" t="s">
        <v>86</v>
      </c>
      <c r="C5847" s="38" t="n">
        <f aca="false">Sens!$C$5787</f>
        <v>1.64417882953695</v>
      </c>
      <c r="D5847" s="38" t="n">
        <f aca="false">Sens!$D$5787</f>
        <v>5.39125073772939</v>
      </c>
      <c r="E5847" s="38" t="n">
        <f aca="false">Sens!$E$5787</f>
        <v>2.42691120599613</v>
      </c>
      <c r="F5847" s="38" t="n">
        <f aca="false">Sens!$F$5787</f>
        <v>7.52148563094346</v>
      </c>
      <c r="G5847" s="38" t="n">
        <f aca="false">Sens!$G$5787</f>
        <v>9.94839683693959</v>
      </c>
      <c r="H5847" s="38" t="n">
        <f aca="false">Sens!$H$5787</f>
        <v>23.4804386990861</v>
      </c>
      <c r="I5847" s="38" t="n">
        <f aca="false">Sens!$I$5787</f>
        <v>30.9761745989143</v>
      </c>
      <c r="J5847" s="38" t="n">
        <f aca="false">Sens!$J$5787</f>
        <v>41.1930070746977</v>
      </c>
      <c r="K5847" s="38" t="n">
        <f aca="false">Sens!$K$5787</f>
        <v>45.7487132269171</v>
      </c>
      <c r="L5847" s="38" t="n">
        <f aca="false">Sens!$L$5787</f>
        <v>47.4367140310386</v>
      </c>
      <c r="M5847" s="38" t="n">
        <f aca="false">Sens!$M$5787</f>
        <v>46.2992355967948</v>
      </c>
      <c r="N5847" s="38" t="n">
        <f aca="false">Sens!$N$5787</f>
        <v>1.67921600037079</v>
      </c>
      <c r="O5847" s="38" t="n">
        <f aca="false">Sens!$O$5787</f>
        <v>3.71203473735861</v>
      </c>
    </row>
    <row r="5848" customFormat="false" ht="17.15" hidden="false" customHeight="false" outlineLevel="0" collapsed="false">
      <c r="A5848" s="0" t="s">
        <v>660</v>
      </c>
      <c r="B5848" s="0" t="s">
        <v>86</v>
      </c>
      <c r="C5848" s="38" t="n">
        <f aca="false">Sens!$C$5792</f>
        <v>38.1898211704631</v>
      </c>
      <c r="D5848" s="38" t="n">
        <f aca="false">Sens!$D$5792</f>
        <v>40.2147492622706</v>
      </c>
      <c r="E5848" s="38" t="n">
        <f aca="false">Sens!$E$5792</f>
        <v>28.3550887940039</v>
      </c>
      <c r="F5848" s="38" t="n">
        <f aca="false">Sens!$F$5792</f>
        <v>25.9529793149447</v>
      </c>
      <c r="G5848" s="38" t="n">
        <f aca="false">Sens!$G$5792</f>
        <v>54.3080681089486</v>
      </c>
      <c r="H5848" s="38" t="n">
        <f aca="false">Sens!$H$5792</f>
        <v>58.2264684589333</v>
      </c>
      <c r="I5848" s="38" t="n">
        <f aca="false">Sens!$I$5792</f>
        <v>64.6461353851744</v>
      </c>
      <c r="J5848" s="38" t="n">
        <f aca="false">Sens!$J$5792</f>
        <v>70.7957093610231</v>
      </c>
      <c r="K5848" s="38" t="n">
        <f aca="false">Sens!$K$5792</f>
        <v>76.4593661099049</v>
      </c>
      <c r="L5848" s="38" t="n">
        <f aca="false">Sens!$L$5792</f>
        <v>82.5761153986973</v>
      </c>
      <c r="M5848" s="38" t="n">
        <f aca="false">Sens!$M$5792</f>
        <v>89.1822046305931</v>
      </c>
      <c r="N5848" s="38" t="n">
        <f aca="false">Sens!$N$5792</f>
        <v>20.0277839996292</v>
      </c>
      <c r="O5848" s="38" t="n">
        <f aca="false">Sens!$O$5792</f>
        <v>20.1869652626414</v>
      </c>
    </row>
    <row r="5849" customFormat="false" ht="17.15" hidden="false" customHeight="false" outlineLevel="0" collapsed="false">
      <c r="A5849" s="1" t="s">
        <v>743</v>
      </c>
      <c r="B5849" s="8" t="s">
        <v>86</v>
      </c>
      <c r="C5849" s="38" t="n">
        <f aca="false">Q!$D$24</f>
        <v>39.834</v>
      </c>
      <c r="D5849" s="38" t="n">
        <f aca="false">Q!$E$24</f>
        <v>45.606</v>
      </c>
      <c r="E5849" s="38" t="n">
        <f aca="false">Q!$P$24</f>
        <v>30.782</v>
      </c>
      <c r="F5849" s="38" t="n">
        <f aca="false">Sens!$F$5847+Sens!$F$5848</f>
        <v>33.4744649458882</v>
      </c>
      <c r="G5849" s="38" t="n">
        <f aca="false">Sens!$G$5847+Sens!$G$5848</f>
        <v>64.2564649458882</v>
      </c>
      <c r="H5849" s="38" t="n">
        <f aca="false">Sens!$H$5847+Sens!$H$5848</f>
        <v>81.7069071580194</v>
      </c>
      <c r="I5849" s="38" t="n">
        <f aca="false">Sens!$I$5847+Sens!$I$5848</f>
        <v>95.6223099840887</v>
      </c>
      <c r="J5849" s="38" t="n">
        <f aca="false">Sens!$J$5847+Sens!$J$5848</f>
        <v>111.988716435721</v>
      </c>
      <c r="K5849" s="38" t="n">
        <f aca="false">Sens!$K$5847+Sens!$K$5848</f>
        <v>122.208079336822</v>
      </c>
      <c r="L5849" s="38" t="n">
        <f aca="false">Sens!$L$5847+Sens!$L$5848</f>
        <v>130.012829429736</v>
      </c>
      <c r="M5849" s="38" t="n">
        <f aca="false">Sens!$M$5847+Sens!$M$5848</f>
        <v>135.481440227388</v>
      </c>
      <c r="N5849" s="38" t="n">
        <f aca="false">Q!$N$24</f>
        <v>21.707</v>
      </c>
      <c r="O5849" s="38" t="n">
        <f aca="false">Q!$O$24</f>
        <v>23.899</v>
      </c>
    </row>
    <row r="5850" customFormat="false" ht="17.15" hidden="false" customHeight="false" outlineLevel="0" collapsed="false">
      <c r="A5850" s="5" t="s">
        <v>744</v>
      </c>
      <c r="B5850" s="0" t="s">
        <v>86</v>
      </c>
      <c r="C5850" s="38" t="n">
        <f aca="false">Q!$D$26</f>
        <v>0</v>
      </c>
      <c r="D5850" s="38" t="n">
        <f aca="false">Q!$E$26</f>
        <v>0</v>
      </c>
      <c r="E5850" s="38" t="n">
        <f aca="false">Q!$P$26</f>
        <v>0</v>
      </c>
      <c r="F5850" s="39" t="n">
        <v>0</v>
      </c>
      <c r="G5850" s="38" t="n">
        <f aca="false">Sens!$E$5850+Sens!$F$5850</f>
        <v>0</v>
      </c>
      <c r="H5850" s="39" t="n">
        <v>0</v>
      </c>
      <c r="I5850" s="39" t="n">
        <v>0</v>
      </c>
      <c r="J5850" s="39" t="n">
        <v>0</v>
      </c>
      <c r="K5850" s="39" t="n">
        <v>0</v>
      </c>
      <c r="L5850" s="39" t="n">
        <v>0</v>
      </c>
      <c r="M5850" s="39" t="n">
        <v>0</v>
      </c>
      <c r="N5850" s="38" t="n">
        <f aca="false">Q!$N$26</f>
        <v>0</v>
      </c>
      <c r="O5850" s="38" t="n">
        <f aca="false">Q!$O$26</f>
        <v>0</v>
      </c>
    </row>
    <row r="5851" customFormat="false" ht="15" hidden="false" customHeight="false" outlineLevel="0" collapsed="false">
      <c r="A5851" s="3" t="s">
        <v>541</v>
      </c>
      <c r="B5851" s="8" t="s">
        <v>86</v>
      </c>
      <c r="C5851" s="38" t="n">
        <f aca="false">Q!$D$25</f>
        <v>68.593</v>
      </c>
      <c r="D5851" s="38" t="n">
        <f aca="false">Q!$E$25</f>
        <v>79.975</v>
      </c>
      <c r="E5851" s="38" t="n">
        <f aca="false">Q!$P$25</f>
        <v>51.313</v>
      </c>
      <c r="F5851" s="38" t="n">
        <f aca="false">Sens!$F$5841+Sens!$F$5846+Sens!$F$5849+Sens!$F$5850</f>
        <v>56.3652566987294</v>
      </c>
      <c r="G5851" s="38" t="n">
        <f aca="false">Sens!$G$5841+Sens!$G$5846+Sens!$G$5849+Sens!$G$5850</f>
        <v>107.678256698729</v>
      </c>
      <c r="H5851" s="38" t="n">
        <f aca="false">Sens!$H$5841+Sens!$H$5846+Sens!$H$5849+Sens!$H$5850</f>
        <v>129.515456870266</v>
      </c>
      <c r="I5851" s="38" t="n">
        <f aca="false">Sens!$I$5841+Sens!$I$5846+Sens!$I$5849+Sens!$I$5850</f>
        <v>145.345387082626</v>
      </c>
      <c r="J5851" s="38" t="n">
        <f aca="false">Sens!$J$5841+Sens!$J$5846+Sens!$J$5849+Sens!$J$5850</f>
        <v>163.862141869716</v>
      </c>
      <c r="K5851" s="38" t="n">
        <f aca="false">Sens!$K$5841+Sens!$K$5846+Sens!$K$5849+Sens!$K$5850</f>
        <v>175.349323297457</v>
      </c>
      <c r="L5851" s="38" t="n">
        <f aca="false">Sens!$L$5841+Sens!$L$5846+Sens!$L$5849+Sens!$L$5850</f>
        <v>186.028217146068</v>
      </c>
      <c r="M5851" s="38" t="n">
        <f aca="false">Sens!$M$5841+Sens!$M$5846+Sens!$M$5849+Sens!$M$5850</f>
        <v>197.624030669328</v>
      </c>
      <c r="N5851" s="38" t="n">
        <f aca="false">Q!$N$25</f>
        <v>37.576</v>
      </c>
      <c r="O5851" s="38" t="n">
        <f aca="false">Q!$O$25</f>
        <v>42.399</v>
      </c>
    </row>
    <row r="5852" customFormat="false" ht="17.15" hidden="false" customHeight="false" outlineLevel="0" collapsed="false">
      <c r="A5852" s="24" t="s">
        <v>775</v>
      </c>
      <c r="B5852" s="25" t="s">
        <v>86</v>
      </c>
      <c r="C5852" s="41" t="n">
        <f aca="false">Sens!$C$5841+Sens!$C$5846+Sens!$C$5849+Sens!$C$5850-Sens!$C$5851</f>
        <v>0</v>
      </c>
      <c r="D5852" s="41" t="n">
        <f aca="false">Sens!$D$5841+Sens!$D$5846+Sens!$D$5849+Sens!$D$5850-Sens!$D$5851</f>
        <v>0</v>
      </c>
      <c r="E5852" s="41" t="n">
        <f aca="false">Sens!$E$5841+Sens!$E$5846+Sens!$E$5849+Sens!$E$5850-Sens!$E$5851</f>
        <v>0</v>
      </c>
      <c r="F5852" s="41" t="n">
        <f aca="false">Sens!$F$5841+Sens!$F$5846+Sens!$F$5849+Sens!$F$5850-Sens!$F$5851</f>
        <v>0</v>
      </c>
      <c r="G5852" s="41" t="n">
        <f aca="false">Sens!$G$5841+Sens!$G$5846+Sens!$G$5849+Sens!$G$5850-Sens!$G$5851</f>
        <v>0</v>
      </c>
      <c r="H5852" s="41" t="n">
        <f aca="false">Sens!$H$5841+Sens!$H$5846+Sens!$H$5849+Sens!$H$5850-Sens!$H$5851</f>
        <v>0</v>
      </c>
      <c r="I5852" s="41" t="n">
        <f aca="false">Sens!$I$5841+Sens!$I$5846+Sens!$I$5849+Sens!$I$5850-Sens!$I$5851</f>
        <v>0</v>
      </c>
      <c r="J5852" s="41" t="n">
        <f aca="false">Sens!$J$5841+Sens!$J$5846+Sens!$J$5849+Sens!$J$5850-Sens!$J$5851</f>
        <v>0</v>
      </c>
      <c r="K5852" s="41" t="n">
        <f aca="false">Sens!$K$5841+Sens!$K$5846+Sens!$K$5849+Sens!$K$5850-Sens!$K$5851</f>
        <v>0</v>
      </c>
      <c r="L5852" s="41" t="n">
        <f aca="false">Sens!$L$5841+Sens!$L$5846+Sens!$L$5849+Sens!$L$5850-Sens!$L$5851</f>
        <v>0</v>
      </c>
      <c r="M5852" s="41" t="n">
        <f aca="false">Sens!$M$5841+Sens!$M$5846+Sens!$M$5849+Sens!$M$5850-Sens!$M$5851</f>
        <v>0</v>
      </c>
      <c r="N5852" s="41" t="n">
        <f aca="false">Sens!$N$5841+Sens!$N$5846+Sens!$N$5849+Sens!$N$5850-Sens!$N$5851</f>
        <v>0</v>
      </c>
      <c r="O5852" s="41" t="n">
        <f aca="false">Sens!$O$5841+Sens!$O$5846+Sens!$O$5849+Sens!$O$5850-Sens!$O$5851</f>
        <v>0</v>
      </c>
    </row>
    <row r="5853" customFormat="false" ht="17.15" hidden="false" customHeight="false" outlineLevel="0" collapsed="false">
      <c r="A5853" s="5" t="s">
        <v>746</v>
      </c>
      <c r="B5853" s="0" t="s">
        <v>86</v>
      </c>
      <c r="C5853" s="38" t="n">
        <f aca="false">Sens!$C$5789</f>
        <v>0</v>
      </c>
      <c r="D5853" s="38" t="n">
        <f aca="false">Sens!$D$5789</f>
        <v>0</v>
      </c>
      <c r="E5853" s="38" t="n">
        <f aca="false">Sens!$E$5789</f>
        <v>0</v>
      </c>
      <c r="F5853" s="38" t="n">
        <f aca="false">Sens!$F$5789</f>
        <v>3.77122048175818</v>
      </c>
      <c r="G5853" s="38" t="n">
        <f aca="false">Sens!$G$5789</f>
        <v>3.77122048175818</v>
      </c>
      <c r="H5853" s="38" t="n">
        <f aca="false">Sens!$H$5789</f>
        <v>15.1635543609893</v>
      </c>
      <c r="I5853" s="38" t="n">
        <f aca="false">Sens!$I$5789</f>
        <v>25.5818843619889</v>
      </c>
      <c r="J5853" s="38" t="n">
        <f aca="false">Sens!$J$5789</f>
        <v>36.0465624179122</v>
      </c>
      <c r="K5853" s="38" t="n">
        <f aca="false">Sens!$K$5789</f>
        <v>44.9020355557576</v>
      </c>
      <c r="L5853" s="38" t="n">
        <f aca="false">Sens!$L$5789</f>
        <v>50.55474151763</v>
      </c>
      <c r="M5853" s="38" t="n">
        <f aca="false">Sens!$M$5789</f>
        <v>52.9968449759368</v>
      </c>
      <c r="N5853" s="38" t="n">
        <f aca="false">Sens!$N$5789</f>
        <v>0</v>
      </c>
      <c r="O5853" s="38" t="n">
        <f aca="false">Sens!$O$5789</f>
        <v>0</v>
      </c>
      <c r="P5853" s="5" t="s">
        <v>747</v>
      </c>
    </row>
    <row r="5854" customFormat="false" ht="17.15" hidden="false" customHeight="false" outlineLevel="0" collapsed="false">
      <c r="A5854" s="5" t="s">
        <v>748</v>
      </c>
      <c r="B5854" s="0" t="s">
        <v>86</v>
      </c>
      <c r="C5854" s="38" t="n">
        <f aca="false">Sens!$C$5851+Sens!$C$5853</f>
        <v>68.593</v>
      </c>
      <c r="D5854" s="38" t="n">
        <f aca="false">Sens!$D$5851+Sens!$D$5853</f>
        <v>79.975</v>
      </c>
      <c r="E5854" s="38" t="n">
        <f aca="false">Sens!$E$5851+Sens!$E$5853</f>
        <v>51.313</v>
      </c>
      <c r="F5854" s="38" t="n">
        <f aca="false">Sens!$F$5851+Sens!$F$5853</f>
        <v>60.1364771804876</v>
      </c>
      <c r="G5854" s="38" t="n">
        <f aca="false">Sens!$G$5851+Sens!$G$5853</f>
        <v>111.449477180488</v>
      </c>
      <c r="H5854" s="38" t="n">
        <f aca="false">Sens!$H$5851+Sens!$H$5853</f>
        <v>144.679011231256</v>
      </c>
      <c r="I5854" s="38" t="n">
        <f aca="false">Sens!$I$5851+Sens!$I$5853</f>
        <v>170.927271444615</v>
      </c>
      <c r="J5854" s="38" t="n">
        <f aca="false">Sens!$J$5851+Sens!$J$5853</f>
        <v>199.908704287628</v>
      </c>
      <c r="K5854" s="38" t="n">
        <f aca="false">Sens!$K$5851+Sens!$K$5853</f>
        <v>220.251358853214</v>
      </c>
      <c r="L5854" s="38" t="n">
        <f aca="false">Sens!$L$5851+Sens!$L$5853</f>
        <v>236.582958663698</v>
      </c>
      <c r="M5854" s="38" t="n">
        <f aca="false">Sens!$M$5851+Sens!$M$5853</f>
        <v>250.620875645265</v>
      </c>
      <c r="N5854" s="38" t="n">
        <f aca="false">Sens!$N$5851+Sens!$N$5853</f>
        <v>37.576</v>
      </c>
      <c r="O5854" s="38" t="n">
        <f aca="false">Sens!$O$5851+Sens!$O$5853</f>
        <v>42.399</v>
      </c>
    </row>
    <row r="5855" customFormat="false" ht="17.15" hidden="false" customHeight="false" outlineLevel="0" collapsed="false">
      <c r="A5855" s="0" t="s">
        <v>749</v>
      </c>
      <c r="B5855" s="0" t="s">
        <v>52</v>
      </c>
      <c r="C5855" s="13" t="n">
        <f aca="false">Sens!$C$5841/Sens!$C$5826</f>
        <v>0.0644314665661928</v>
      </c>
      <c r="D5855" s="13" t="n">
        <f aca="false">Sens!$D$5841/Sens!$D$5826</f>
        <v>0.0694784250712518</v>
      </c>
      <c r="E5855" s="13" t="n">
        <f aca="false">Sens!$E$5841/Sens!$E$5826</f>
        <v>0.0789306463326071</v>
      </c>
      <c r="F5855" s="13" t="n">
        <f aca="false">Sens!$F$5841/Sens!$F$5826</f>
        <v>0.0802526339438384</v>
      </c>
      <c r="G5855" s="13" t="n">
        <f aca="false">Sens!$G$5841/Sens!$G$5826</f>
        <v>0.0796341940538369</v>
      </c>
      <c r="H5855" s="13" t="n">
        <f aca="false">Sens!$H$5841/Sens!$H$5826</f>
        <v>0.0798254462645258</v>
      </c>
      <c r="I5855" s="13" t="n">
        <f aca="false">Sens!$I$5841/Sens!$I$5826</f>
        <v>0.0771454543672196</v>
      </c>
      <c r="J5855" s="13" t="n">
        <f aca="false">Sens!$J$5841/Sens!$J$5826</f>
        <v>0.0756147693819656</v>
      </c>
      <c r="K5855" s="13" t="n">
        <f aca="false">Sens!$K$5841/Sens!$K$5826</f>
        <v>0.0739182612915551</v>
      </c>
      <c r="L5855" s="13" t="n">
        <f aca="false">Sens!$L$5841/Sens!$L$5826</f>
        <v>0.0732204570032725</v>
      </c>
      <c r="M5855" s="13" t="n">
        <f aca="false">Sens!$M$5841/Sens!$M$5826</f>
        <v>0.0755222349730478</v>
      </c>
      <c r="N5855" s="13" t="n">
        <f aca="false">Sens!$N$5841/Sens!$N$5826</f>
        <v>0.069228576611127</v>
      </c>
      <c r="O5855" s="13" t="n">
        <f aca="false">Sens!$O$5841/Sens!$O$5826</f>
        <v>0.069685022498393</v>
      </c>
    </row>
    <row r="5856" customFormat="false" ht="17.15" hidden="false" customHeight="false" outlineLevel="0" collapsed="false">
      <c r="A5856" s="0" t="s">
        <v>750</v>
      </c>
      <c r="B5856" s="0" t="s">
        <v>52</v>
      </c>
      <c r="C5856" s="13" t="n">
        <f aca="false">Sens!$C$5846/Sens!$C$5827</f>
        <v>0.026534925055631</v>
      </c>
      <c r="D5856" s="13" t="n">
        <f aca="false">Sens!$D$5846/Sens!$D$5827</f>
        <v>0.0293401855535103</v>
      </c>
      <c r="E5856" s="13" t="n">
        <f aca="false">Sens!$E$5846/Sens!$E$5827</f>
        <v>0.03831141902276</v>
      </c>
      <c r="F5856" s="13" t="n">
        <f aca="false">Sens!$F$5846/Sens!$F$5827</f>
        <v>0.0282118989524726</v>
      </c>
      <c r="G5856" s="13" t="n">
        <f aca="false">Sens!$G$5846/Sens!$G$5827</f>
        <v>0.0328019468674976</v>
      </c>
      <c r="H5856" s="13" t="n">
        <f aca="false">Sens!$H$5846/Sens!$H$5827</f>
        <v>0.0309879507899839</v>
      </c>
      <c r="I5856" s="13" t="n">
        <f aca="false">Sens!$I$5846/Sens!$I$5827</f>
        <v>0.0262795332043765</v>
      </c>
      <c r="J5856" s="13" t="n">
        <f aca="false">Sens!$J$5846/Sens!$J$5827</f>
        <v>0.0226574435353346</v>
      </c>
      <c r="K5856" s="13" t="n">
        <f aca="false">Sens!$K$5846/Sens!$K$5827</f>
        <v>0.0187648892265837</v>
      </c>
      <c r="L5856" s="13" t="n">
        <f aca="false">Sens!$L$5846/Sens!$L$5827</f>
        <v>0.0184132270281972</v>
      </c>
      <c r="M5856" s="13" t="n">
        <f aca="false">Sens!$M$5846/Sens!$M$5827</f>
        <v>0.0210691540227995</v>
      </c>
      <c r="N5856" s="13" t="n">
        <f aca="false">Sens!$N$5846/Sens!$N$5827</f>
        <v>0.0357315650169337</v>
      </c>
      <c r="O5856" s="13" t="n">
        <f aca="false">Sens!$O$5846/Sens!$O$5827</f>
        <v>0.0244378956559703</v>
      </c>
    </row>
    <row r="5857" customFormat="false" ht="17.15" hidden="false" customHeight="false" outlineLevel="0" collapsed="false">
      <c r="A5857" s="14" t="s">
        <v>751</v>
      </c>
      <c r="B5857" s="14" t="s">
        <v>52</v>
      </c>
      <c r="C5857" s="17" t="n">
        <f aca="false">Sens!$C$5849/Sens!$C$5828</f>
        <v>0.370355907620217</v>
      </c>
      <c r="D5857" s="17" t="n">
        <f aca="false">Sens!$D$5849/Sens!$D$5828</f>
        <v>0.35429015342785</v>
      </c>
      <c r="E5857" s="17" t="n">
        <f aca="false">Sens!$E$5849/Sens!$E$5828</f>
        <v>0.385647527531039</v>
      </c>
      <c r="F5857" s="17" t="n">
        <f aca="false">Sens!$F$5849/Sens!$F$5828</f>
        <v>0.385949613469105</v>
      </c>
      <c r="G5857" s="17" t="n">
        <f aca="false">Sens!$G$5849/Sens!$G$5828</f>
        <v>0.385804840448779</v>
      </c>
      <c r="H5857" s="17" t="n">
        <f aca="false">Sens!$H$5849/Sens!$H$5828</f>
        <v>0.369408675360557</v>
      </c>
      <c r="I5857" s="17" t="n">
        <f aca="false">Sens!$I$5849/Sens!$I$5828</f>
        <v>0.34117504540738</v>
      </c>
      <c r="J5857" s="17" t="n">
        <f aca="false">Sens!$J$5849/Sens!$J$5828</f>
        <v>0.330544285732563</v>
      </c>
      <c r="K5857" s="17" t="n">
        <f aca="false">Sens!$K$5849/Sens!$K$5828</f>
        <v>0.31367601035849</v>
      </c>
      <c r="L5857" s="17" t="n">
        <f aca="false">Sens!$L$5849/Sens!$L$5828</f>
        <v>0.303100134223737</v>
      </c>
      <c r="M5857" s="17" t="n">
        <f aca="false">Sens!$M$5849/Sens!$M$5828</f>
        <v>0.296522227328686</v>
      </c>
      <c r="N5857" s="17" t="n">
        <f aca="false">Sens!$N$5849/Sens!$N$5828</f>
        <v>0.360941137346192</v>
      </c>
      <c r="O5857" s="17" t="n">
        <f aca="false">Sens!$O$5849/Sens!$O$5828</f>
        <v>0.348458117664212</v>
      </c>
    </row>
    <row r="5858" customFormat="false" ht="17.15" hidden="false" customHeight="false" outlineLevel="0" collapsed="false">
      <c r="A5858" s="0" t="s">
        <v>752</v>
      </c>
      <c r="B5858" s="0" t="s">
        <v>52</v>
      </c>
      <c r="C5858" s="13" t="n">
        <f aca="false">Sens!$C$5847/Sens!$C$5829</f>
        <v>0.708390794789371</v>
      </c>
      <c r="D5858" s="13" t="n">
        <f aca="false">Sens!$D$5847/Sens!$D$5829</f>
        <v>0.619415573115729</v>
      </c>
      <c r="E5858" s="13" t="n">
        <f aca="false">Sens!$E$5847/Sens!$E$5829</f>
        <v>0.285171627189009</v>
      </c>
      <c r="F5858" s="13" t="n">
        <f aca="false">Sens!$F$5847/Sens!$F$5829</f>
        <v>0.502657732812366</v>
      </c>
      <c r="G5858" s="13" t="n">
        <f aca="false">Sens!$G$5847/Sens!$G$5829</f>
        <v>0.423808778611812</v>
      </c>
      <c r="H5858" s="13" t="n">
        <f aca="false">Sens!$H$5847/Sens!$H$5829</f>
        <v>0.390261631739809</v>
      </c>
      <c r="I5858" s="13" t="n">
        <f aca="false">Sens!$I$5847/Sens!$I$5829</f>
        <v>0.305172864264572</v>
      </c>
      <c r="J5858" s="13" t="n">
        <f aca="false">Sens!$J$5847/Sens!$J$5829</f>
        <v>0.288011814789856</v>
      </c>
      <c r="K5858" s="13" t="n">
        <f aca="false">Sens!$K$5847/Sens!$K$5829</f>
        <v>0.256781372309587</v>
      </c>
      <c r="L5858" s="13" t="n">
        <f aca="false">Sens!$L$5847/Sens!$L$5829</f>
        <v>0.236484872592048</v>
      </c>
      <c r="M5858" s="13" t="n">
        <f aca="false">Sens!$M$5847/Sens!$M$5829</f>
        <v>0.220178275964369</v>
      </c>
      <c r="N5858" s="13" t="n">
        <f aca="false">Sens!$N$5847/Sens!$N$5829</f>
        <v>0.551227795793364</v>
      </c>
      <c r="O5858" s="13" t="n">
        <f aca="false">Sens!$O$5847/Sens!$O$5829</f>
        <v>0.656132068597002</v>
      </c>
    </row>
    <row r="5859" customFormat="false" ht="15" hidden="false" customHeight="false" outlineLevel="0" collapsed="false">
      <c r="A5859" s="5" t="s">
        <v>753</v>
      </c>
      <c r="B5859" s="0" t="s">
        <v>52</v>
      </c>
      <c r="C5859" s="13" t="n">
        <f aca="false">Sens!$C$5851/Sens!$C$5831</f>
        <v>0.107519448742004</v>
      </c>
      <c r="D5859" s="13" t="n">
        <f aca="false">Sens!$D$5851/Sens!$D$5831</f>
        <v>0.111552967957552</v>
      </c>
      <c r="E5859" s="13" t="n">
        <f aca="false">Sens!$E$5851/Sens!$E$5831</f>
        <v>0.13428328426562</v>
      </c>
      <c r="F5859" s="13" t="n">
        <f aca="false">Sens!$F$5851/Sens!$F$5831</f>
        <v>0.129343087287827</v>
      </c>
      <c r="G5859" s="13" t="n">
        <f aca="false">Sens!$G$5851/Sens!$G$5831</f>
        <v>0.131651143259596</v>
      </c>
      <c r="H5859" s="13" t="n">
        <f aca="false">Sens!$H$5851/Sens!$H$5831</f>
        <v>0.137449034763893</v>
      </c>
      <c r="I5859" s="13" t="n">
        <f aca="false">Sens!$I$5851/Sens!$I$5831</f>
        <v>0.13598895915033</v>
      </c>
      <c r="J5859" s="13" t="n">
        <f aca="false">Sens!$J$5851/Sens!$J$5831</f>
        <v>0.137709769017663</v>
      </c>
      <c r="K5859" s="13" t="n">
        <f aca="false">Sens!$K$5851/Sens!$K$5831</f>
        <v>0.135323776909366</v>
      </c>
      <c r="L5859" s="13" t="n">
        <f aca="false">Sens!$L$5851/Sens!$L$5831</f>
        <v>0.133445719861579</v>
      </c>
      <c r="M5859" s="13" t="n">
        <f aca="false">Sens!$M$5851/Sens!$M$5831</f>
        <v>0.133075730813735</v>
      </c>
      <c r="N5859" s="13" t="n">
        <f aca="false">Sens!$N$5851/Sens!$N$5831</f>
        <v>0.116201614873411</v>
      </c>
      <c r="O5859" s="13" t="n">
        <f aca="false">Sens!$O$5851/Sens!$O$5831</f>
        <v>0.107733353660861</v>
      </c>
    </row>
    <row r="5860" customFormat="false" ht="17.15" hidden="false" customHeight="false" outlineLevel="0" collapsed="false">
      <c r="A5860" s="1" t="s">
        <v>754</v>
      </c>
    </row>
    <row r="5861" customFormat="false" ht="17.15" hidden="false" customHeight="false" outlineLevel="0" collapsed="false">
      <c r="A5861" s="5" t="s">
        <v>755</v>
      </c>
      <c r="B5861" s="0" t="s">
        <v>52</v>
      </c>
      <c r="D5861" s="28" t="n">
        <f aca="false">(Q!$E$29+Q!$E$30-(1-ext_sh)*Sens!$D$5783)/Sens!$D$5734</f>
        <v>0.0341105596409988</v>
      </c>
    </row>
    <row r="5862" customFormat="false" ht="17.15" hidden="false" customHeight="false" outlineLevel="0" collapsed="false">
      <c r="A5862" s="0" t="s">
        <v>545</v>
      </c>
      <c r="B5862" s="0" t="s">
        <v>86</v>
      </c>
      <c r="C5862" s="38" t="n">
        <f aca="false">Q!$D$29</f>
        <v>14.285</v>
      </c>
      <c r="D5862" s="38" t="n">
        <f aca="false">Q!$E$29</f>
        <v>15.503</v>
      </c>
      <c r="E5862" s="38" t="n">
        <f aca="false">Q!$P$29</f>
        <v>8.78</v>
      </c>
      <c r="F5862" s="38" t="n">
        <f aca="false">(Sens!$D$5861*Sens!$F$5734+(1-ext_sh)*Sens!$F$5783)*Sens!$F$5735</f>
        <v>9.30317620449232</v>
      </c>
      <c r="G5862" s="38" t="n">
        <f aca="false">Sens!$E$5862+Sens!$F$5862</f>
        <v>18.0831762044923</v>
      </c>
      <c r="H5862" s="38" t="n">
        <f aca="false">(Sens!$D$5861*Sens!$H$5734+(1-ext_sh)*Sens!$H$5783)*Sens!$H$5735</f>
        <v>22.1297245338482</v>
      </c>
      <c r="I5862" s="38" t="n">
        <f aca="false">(Sens!$D$5861*Sens!$I$5734+(1-ext_sh)*Sens!$I$5783)*Sens!$I$5735</f>
        <v>28.409695984391</v>
      </c>
      <c r="J5862" s="38" t="n">
        <f aca="false">(Sens!$D$5861*Sens!$J$5734+(1-ext_sh)*Sens!$J$5783)*Sens!$J$5735</f>
        <v>34.1085606174579</v>
      </c>
      <c r="K5862" s="38" t="n">
        <f aca="false">(Sens!$D$5861*Sens!$K$5734+(1-ext_sh)*Sens!$K$5783)*Sens!$K$5735</f>
        <v>39.7218983009068</v>
      </c>
      <c r="L5862" s="38" t="n">
        <f aca="false">(Sens!$D$5861*Sens!$L$5734+(1-ext_sh)*Sens!$L$5783)*Sens!$L$5735</f>
        <v>44.1116202150966</v>
      </c>
      <c r="M5862" s="38" t="n">
        <f aca="false">(Sens!$D$5861*Sens!$M$5734+(1-ext_sh)*Sens!$M$5783)*Sens!$M$5735</f>
        <v>47.2720841306133</v>
      </c>
      <c r="N5862" s="38" t="n">
        <f aca="false">Q!$N$29</f>
        <v>7.272</v>
      </c>
      <c r="O5862" s="38" t="n">
        <f aca="false">Q!$O$29</f>
        <v>8.231</v>
      </c>
    </row>
    <row r="5863" customFormat="false" ht="17.15" hidden="false" customHeight="false" outlineLevel="0" collapsed="false">
      <c r="A5863" s="0" t="s">
        <v>547</v>
      </c>
      <c r="B5863" s="0" t="s">
        <v>86</v>
      </c>
      <c r="C5863" s="38" t="n">
        <f aca="false">Q!$D$30</f>
        <v>4.462</v>
      </c>
      <c r="D5863" s="38" t="n">
        <f aca="false">Q!$E$30</f>
        <v>4.907</v>
      </c>
      <c r="E5863" s="38" t="n">
        <f aca="false">Q!$P$30</f>
        <v>2.57</v>
      </c>
      <c r="F5863" s="38" t="n">
        <f aca="false">(Sens!$D$5861*Sens!$F$5734+(1-ext_sh)*Sens!$F$5783)*(1-Sens!$F$5735)</f>
        <v>3.6526976809753</v>
      </c>
      <c r="G5863" s="38" t="n">
        <f aca="false">Sens!$E$5863+Sens!$F$5863</f>
        <v>6.2226976809753</v>
      </c>
      <c r="H5863" s="38" t="n">
        <f aca="false">(Sens!$D$5861*Sens!$H$5734+(1-ext_sh)*Sens!$H$5783)*(1-Sens!$H$5735)</f>
        <v>8.4764774248495</v>
      </c>
      <c r="I5863" s="38" t="n">
        <f aca="false">(Sens!$D$5861*Sens!$I$5734+(1-ext_sh)*Sens!$I$5783)*(1-Sens!$I$5735)</f>
        <v>10.881931507561</v>
      </c>
      <c r="J5863" s="38" t="n">
        <f aca="false">(Sens!$D$5861*Sens!$J$5734+(1-ext_sh)*Sens!$J$5783)*(1-Sens!$J$5735)</f>
        <v>13.0648008575874</v>
      </c>
      <c r="K5863" s="38" t="n">
        <f aca="false">(Sens!$D$5861*Sens!$K$5734+(1-ext_sh)*Sens!$K$5783)*(1-Sens!$K$5735)</f>
        <v>15.2149103214008</v>
      </c>
      <c r="L5863" s="38" t="n">
        <f aca="false">(Sens!$D$5861*Sens!$L$5734+(1-ext_sh)*Sens!$L$5783)*(1-Sens!$L$5735)</f>
        <v>16.8963311023095</v>
      </c>
      <c r="M5863" s="38" t="n">
        <f aca="false">(Sens!$D$5861*Sens!$M$5734+(1-ext_sh)*Sens!$M$5783)*(1-Sens!$M$5735)</f>
        <v>18.1069020242816</v>
      </c>
      <c r="N5863" s="38" t="n">
        <f aca="false">Q!$N$30</f>
        <v>2.316</v>
      </c>
      <c r="O5863" s="38" t="n">
        <f aca="false">Q!$O$30</f>
        <v>2.591</v>
      </c>
    </row>
    <row r="5864" customFormat="false" ht="17.15" hidden="false" customHeight="false" outlineLevel="0" collapsed="false">
      <c r="A5864" s="0" t="s">
        <v>548</v>
      </c>
      <c r="B5864" s="0" t="s">
        <v>86</v>
      </c>
      <c r="C5864" s="38" t="n">
        <f aca="false">Sens!$C$5795</f>
        <v>13.32</v>
      </c>
      <c r="D5864" s="38" t="n">
        <f aca="false">Sens!$D$5795</f>
        <v>21.45</v>
      </c>
      <c r="E5864" s="38" t="n">
        <f aca="false">Sens!$E$5795</f>
        <v>15.353</v>
      </c>
      <c r="F5864" s="38" t="n">
        <f aca="false">Sens!$F$5795</f>
        <v>16.1969869840094</v>
      </c>
      <c r="G5864" s="38" t="n">
        <f aca="false">Sens!$G$5795</f>
        <v>31.5499869840094</v>
      </c>
      <c r="H5864" s="38" t="n">
        <f aca="false">Sens!$H$5795</f>
        <v>50.9556213609176</v>
      </c>
      <c r="I5864" s="38" t="n">
        <f aca="false">Sens!$I$5795</f>
        <v>79.464581248252</v>
      </c>
      <c r="J5864" s="38" t="n">
        <f aca="false">Sens!$J$5795</f>
        <v>105.296127931746</v>
      </c>
      <c r="K5864" s="38" t="n">
        <f aca="false">Sens!$K$5795</f>
        <v>131.454694001511</v>
      </c>
      <c r="L5864" s="38" t="n">
        <f aca="false">Sens!$L$5795</f>
        <v>150.528401314722</v>
      </c>
      <c r="M5864" s="38" t="n">
        <f aca="false">Sens!$M$5795</f>
        <v>162.46328719295</v>
      </c>
      <c r="N5864" s="38" t="n">
        <f aca="false">Sens!$N$5795</f>
        <v>9.234</v>
      </c>
      <c r="O5864" s="38" t="n">
        <f aca="false">Sens!$O$5795</f>
        <v>12.216</v>
      </c>
    </row>
    <row r="5865" customFormat="false" ht="17.15" hidden="false" customHeight="false" outlineLevel="0" collapsed="false">
      <c r="A5865" s="5" t="s">
        <v>756</v>
      </c>
      <c r="B5865" s="0" t="s">
        <v>86</v>
      </c>
      <c r="C5865" s="38" t="n">
        <f aca="false">Sens!$C$5862+Sens!$C$5863+Sens!$C$5864</f>
        <v>32.067</v>
      </c>
      <c r="D5865" s="38" t="n">
        <f aca="false">Sens!$D$5862+Sens!$D$5863+Sens!$D$5864</f>
        <v>41.86</v>
      </c>
      <c r="E5865" s="38" t="n">
        <f aca="false">Sens!$E$5862+Sens!$E$5863+Sens!$E$5864</f>
        <v>26.703</v>
      </c>
      <c r="F5865" s="38" t="n">
        <f aca="false">Sens!$F$5862+Sens!$F$5863+Sens!$F$5864</f>
        <v>29.152860869477</v>
      </c>
      <c r="G5865" s="38" t="n">
        <f aca="false">Sens!$G$5862+Sens!$G$5863+Sens!$G$5864</f>
        <v>55.855860869477</v>
      </c>
      <c r="H5865" s="38" t="n">
        <f aca="false">Sens!$H$5862+Sens!$H$5863+Sens!$H$5864</f>
        <v>81.5618233196153</v>
      </c>
      <c r="I5865" s="38" t="n">
        <f aca="false">Sens!$I$5862+Sens!$I$5863+Sens!$I$5864</f>
        <v>118.756208740204</v>
      </c>
      <c r="J5865" s="38" t="n">
        <f aca="false">Sens!$J$5862+Sens!$J$5863+Sens!$J$5864</f>
        <v>152.469489406791</v>
      </c>
      <c r="K5865" s="38" t="n">
        <f aca="false">Sens!$K$5862+Sens!$K$5863+Sens!$K$5864</f>
        <v>186.391502623819</v>
      </c>
      <c r="L5865" s="38" t="n">
        <f aca="false">Sens!$L$5862+Sens!$L$5863+Sens!$L$5864</f>
        <v>211.536352632128</v>
      </c>
      <c r="M5865" s="38" t="n">
        <f aca="false">Sens!$M$5862+Sens!$M$5863+Sens!$M$5864</f>
        <v>227.842273347845</v>
      </c>
      <c r="N5865" s="38" t="n">
        <f aca="false">Sens!$N$5862+Sens!$N$5863+Sens!$N$5864</f>
        <v>18.822</v>
      </c>
      <c r="O5865" s="38" t="n">
        <f aca="false">Sens!$O$5862+Sens!$O$5863+Sens!$O$5864</f>
        <v>23.038</v>
      </c>
    </row>
    <row r="5866" customFormat="false" ht="17.15" hidden="false" customHeight="false" outlineLevel="0" collapsed="false">
      <c r="A5866" s="0" t="s">
        <v>757</v>
      </c>
      <c r="B5866" s="0" t="s">
        <v>86</v>
      </c>
      <c r="C5866" s="38" t="n">
        <f aca="false">Sens!$C$5837+Sens!$C$5842</f>
        <v>28.107</v>
      </c>
      <c r="D5866" s="38" t="n">
        <f aca="false">Sens!$D$5837+Sens!$D$5842</f>
        <v>34.3175</v>
      </c>
      <c r="E5866" s="38" t="n">
        <f aca="false">Sens!$E$5837+Sens!$E$5842</f>
        <v>18.526</v>
      </c>
      <c r="F5866" s="38" t="n">
        <f aca="false">Sens!$F$5837+Sens!$F$5842</f>
        <v>23.0786109972074</v>
      </c>
      <c r="G5866" s="38" t="n">
        <f aca="false">Sens!$G$5837+Sens!$G$5842</f>
        <v>41.6046109972074</v>
      </c>
      <c r="H5866" s="38" t="n">
        <f aca="false">Sens!$H$5837+Sens!$H$5842</f>
        <v>49.9484611939488</v>
      </c>
      <c r="I5866" s="38" t="n">
        <f aca="false">Sens!$I$5837+Sens!$I$5842</f>
        <v>58.2915555477481</v>
      </c>
      <c r="J5866" s="38" t="n">
        <f aca="false">Sens!$J$5837+Sens!$J$5842</f>
        <v>66.0744709709759</v>
      </c>
      <c r="K5866" s="38" t="n">
        <f aca="false">Sens!$K$5837+Sens!$K$5842</f>
        <v>72.6819180680735</v>
      </c>
      <c r="L5866" s="38" t="n">
        <f aca="false">Sens!$L$5837+Sens!$L$5842</f>
        <v>79.9501098748808</v>
      </c>
      <c r="M5866" s="38" t="n">
        <f aca="false">Sens!$M$5837+Sens!$M$5842</f>
        <v>87.9451208623689</v>
      </c>
      <c r="N5866" s="38" t="n">
        <f aca="false">Sens!$N$5837+Sens!$N$5842</f>
        <v>14.8075</v>
      </c>
      <c r="O5866" s="38" t="n">
        <f aca="false">Sens!$O$5837+Sens!$O$5842</f>
        <v>19.51</v>
      </c>
    </row>
    <row r="5867" customFormat="false" ht="17.15" hidden="false" customHeight="false" outlineLevel="0" collapsed="false">
      <c r="A5867" s="0" t="s">
        <v>758</v>
      </c>
      <c r="B5867" s="0" t="s">
        <v>86</v>
      </c>
      <c r="C5867" s="38" t="n">
        <f aca="false">Sens!$C$5841+Sens!$C$5846+Sens!$C$5862+Sens!$C$5863-Sens!$C$5866</f>
        <v>19.399</v>
      </c>
      <c r="D5867" s="38" t="n">
        <f aca="false">Sens!$D$5841+Sens!$D$5846+Sens!$D$5862+Sens!$D$5863-Sens!$D$5866</f>
        <v>20.4615</v>
      </c>
      <c r="E5867" s="38" t="n">
        <f aca="false">Sens!$E$5841+Sens!$E$5846+Sens!$E$5862+Sens!$E$5863-Sens!$E$5866</f>
        <v>13.355</v>
      </c>
      <c r="F5867" s="38" t="n">
        <f aca="false">Sens!$F$5841+Sens!$F$5846+Sens!$F$5862+Sens!$F$5863-Sens!$F$5866</f>
        <v>12.7680546411015</v>
      </c>
      <c r="G5867" s="38" t="n">
        <f aca="false">Sens!$G$5841+Sens!$G$5846+Sens!$G$5862+Sens!$G$5863-Sens!$G$5866</f>
        <v>26.1230546411015</v>
      </c>
      <c r="H5867" s="38" t="n">
        <f aca="false">Sens!$H$5841+Sens!$H$5846+Sens!$H$5862+Sens!$H$5863-Sens!$H$5866</f>
        <v>28.4662904769959</v>
      </c>
      <c r="I5867" s="38" t="n">
        <f aca="false">Sens!$I$5841+Sens!$I$5846+Sens!$I$5862+Sens!$I$5863-Sens!$I$5866</f>
        <v>30.7231490427408</v>
      </c>
      <c r="J5867" s="38" t="n">
        <f aca="false">Sens!$J$5841+Sens!$J$5846+Sens!$J$5862+Sens!$J$5863-Sens!$J$5866</f>
        <v>32.9723159380642</v>
      </c>
      <c r="K5867" s="38" t="n">
        <f aca="false">Sens!$K$5841+Sens!$K$5846+Sens!$K$5862+Sens!$K$5863-Sens!$K$5866</f>
        <v>35.396134514869</v>
      </c>
      <c r="L5867" s="38" t="n">
        <f aca="false">Sens!$L$5841+Sens!$L$5846+Sens!$L$5862+Sens!$L$5863-Sens!$L$5866</f>
        <v>37.0732291588577</v>
      </c>
      <c r="M5867" s="38" t="n">
        <f aca="false">Sens!$M$5841+Sens!$M$5846+Sens!$M$5862+Sens!$M$5863-Sens!$M$5866</f>
        <v>39.5764557344662</v>
      </c>
      <c r="N5867" s="38" t="n">
        <f aca="false">Sens!$N$5841+Sens!$N$5846+Sens!$N$5862+Sens!$N$5863-Sens!$N$5866</f>
        <v>10.6495</v>
      </c>
      <c r="O5867" s="38" t="n">
        <f aca="false">Sens!$O$5841+Sens!$O$5846+Sens!$O$5862+Sens!$O$5863-Sens!$O$5866</f>
        <v>9.81200000000001</v>
      </c>
    </row>
    <row r="5868" customFormat="false" ht="17.15" hidden="false" customHeight="false" outlineLevel="0" collapsed="false">
      <c r="A5868" s="0" t="s">
        <v>759</v>
      </c>
      <c r="B5868" s="0" t="s">
        <v>86</v>
      </c>
      <c r="C5868" s="38" t="n">
        <f aca="false">Sens!$C$5848+Sens!$C$5864-ext_sh*Sens!$C$5783</f>
        <v>51.3470500115664</v>
      </c>
      <c r="D5868" s="38" t="n">
        <f aca="false">Sens!$D$5848+Sens!$D$5864-ext_sh*Sens!$D$5783</f>
        <v>60.2799375433739</v>
      </c>
      <c r="E5868" s="38" t="n">
        <f aca="false">Sens!$E$5848+Sens!$E$5864-ext_sh*Sens!$E$5783</f>
        <v>39.5095167090767</v>
      </c>
      <c r="F5868" s="38" t="n">
        <f aca="false">Sens!$F$5848+Sens!$F$5864-ext_sh*Sens!$F$5783</f>
        <v>37.951394214027</v>
      </c>
      <c r="G5868" s="38" t="n">
        <f aca="false">Sens!$G$5848+Sens!$G$5864-ext_sh*Sens!$G$5783</f>
        <v>77.4609109231037</v>
      </c>
      <c r="H5868" s="38" t="n">
        <f aca="false">Sens!$H$5848+Sens!$H$5864-ext_sh*Sens!$H$5783</f>
        <v>85.1453558128916</v>
      </c>
      <c r="I5868" s="38" t="n">
        <f aca="false">Sens!$I$5848+Sens!$I$5864-ext_sh*Sens!$I$5783</f>
        <v>94.532921967974</v>
      </c>
      <c r="J5868" s="38" t="n">
        <f aca="false">Sens!$J$5848+Sens!$J$5864-ext_sh*Sens!$J$5783</f>
        <v>103.525527532583</v>
      </c>
      <c r="K5868" s="38" t="n">
        <f aca="false">Sens!$K$5848+Sens!$K$5864-ext_sh*Sens!$K$5783</f>
        <v>111.80756973519</v>
      </c>
      <c r="L5868" s="38" t="n">
        <f aca="false">Sens!$L$5848+Sens!$L$5864-ext_sh*Sens!$L$5783</f>
        <v>120.752175314005</v>
      </c>
      <c r="M5868" s="38" t="n">
        <f aca="false">Sens!$M$5848+Sens!$M$5864-ext_sh*Sens!$M$5783</f>
        <v>130.412349339125</v>
      </c>
      <c r="N5868" s="38" t="n">
        <f aca="false">Sens!$N$5848+Sens!$N$5864-ext_sh*Sens!$N$5783</f>
        <v>28.5693781401809</v>
      </c>
      <c r="O5868" s="38" t="n">
        <f aca="false">Sens!$O$5848+Sens!$O$5864-ext_sh*Sens!$O$5783</f>
        <v>31.7105594031931</v>
      </c>
    </row>
    <row r="5869" customFormat="false" ht="17.15" hidden="false" customHeight="false" outlineLevel="0" collapsed="false">
      <c r="A5869" s="0" t="s">
        <v>760</v>
      </c>
      <c r="B5869" s="0" t="s">
        <v>86</v>
      </c>
      <c r="C5869" s="38" t="n">
        <f aca="false">Sens!$C$5786</f>
        <v>1.80694998843362</v>
      </c>
      <c r="D5869" s="38" t="n">
        <f aca="false">Sens!$D$5786</f>
        <v>6.77606245662607</v>
      </c>
      <c r="E5869" s="38" t="n">
        <f aca="false">Sens!$E$5786</f>
        <v>6.62548329092326</v>
      </c>
      <c r="F5869" s="38" t="n">
        <f aca="false">Sens!$F$5786</f>
        <v>11.7200577158706</v>
      </c>
      <c r="G5869" s="38" t="n">
        <f aca="false">Sens!$G$5786</f>
        <v>18.3455410067939</v>
      </c>
      <c r="H5869" s="38" t="n">
        <f aca="false">Sens!$H$5786</f>
        <v>47.5171727060453</v>
      </c>
      <c r="I5869" s="38" t="n">
        <f aca="false">Sens!$I$5786</f>
        <v>80.5539692643667</v>
      </c>
      <c r="J5869" s="38" t="n">
        <f aca="false">Sens!$J$5786</f>
        <v>113.759316834883</v>
      </c>
      <c r="K5869" s="38" t="n">
        <f aca="false">Sens!$K$5786</f>
        <v>141.855203603144</v>
      </c>
      <c r="L5869" s="38" t="n">
        <f aca="false">Sens!$L$5786</f>
        <v>159.789055430453</v>
      </c>
      <c r="M5869" s="38" t="n">
        <f aca="false">Sens!$M$5786</f>
        <v>167.532378081213</v>
      </c>
      <c r="N5869" s="38" t="n">
        <f aca="false">Sens!$N$5786</f>
        <v>2.37162185981912</v>
      </c>
      <c r="O5869" s="38" t="n">
        <f aca="false">Sens!$O$5786</f>
        <v>4.40444059680694</v>
      </c>
    </row>
    <row r="5870" customFormat="false" ht="17.15" hidden="false" customHeight="false" outlineLevel="0" collapsed="false">
      <c r="A5870" s="0" t="s">
        <v>761</v>
      </c>
      <c r="B5870" s="0" t="s">
        <v>86</v>
      </c>
      <c r="C5870" s="38" t="n">
        <f aca="false">Sens!$C$5851+Sens!$C$5865</f>
        <v>100.66</v>
      </c>
      <c r="D5870" s="38" t="n">
        <f aca="false">Sens!$D$5851+Sens!$D$5865</f>
        <v>121.835</v>
      </c>
      <c r="E5870" s="38" t="n">
        <f aca="false">Sens!$E$5851+Sens!$E$5865</f>
        <v>78.016</v>
      </c>
      <c r="F5870" s="38" t="n">
        <f aca="false">Sens!$F$5851+Sens!$F$5865</f>
        <v>85.5181175682064</v>
      </c>
      <c r="G5870" s="38" t="n">
        <f aca="false">Sens!$G$5851+Sens!$G$5865</f>
        <v>163.534117568206</v>
      </c>
      <c r="H5870" s="38" t="n">
        <f aca="false">Sens!$H$5851+Sens!$H$5865</f>
        <v>211.077280189882</v>
      </c>
      <c r="I5870" s="38" t="n">
        <f aca="false">Sens!$I$5851+Sens!$I$5865</f>
        <v>264.10159582283</v>
      </c>
      <c r="J5870" s="38" t="n">
        <f aca="false">Sens!$J$5851+Sens!$J$5865</f>
        <v>316.331631276507</v>
      </c>
      <c r="K5870" s="38" t="n">
        <f aca="false">Sens!$K$5851+Sens!$K$5865</f>
        <v>361.740825921276</v>
      </c>
      <c r="L5870" s="38" t="n">
        <f aca="false">Sens!$L$5851+Sens!$L$5865</f>
        <v>397.564569778197</v>
      </c>
      <c r="M5870" s="38" t="n">
        <f aca="false">Sens!$M$5851+Sens!$M$5865</f>
        <v>425.466304017173</v>
      </c>
      <c r="N5870" s="38" t="n">
        <f aca="false">Sens!$N$5851+Sens!$N$5865</f>
        <v>56.398</v>
      </c>
      <c r="O5870" s="38" t="n">
        <f aca="false">Sens!$O$5851+Sens!$O$5865</f>
        <v>65.437</v>
      </c>
    </row>
    <row r="5871" customFormat="false" ht="17.15" hidden="false" customHeight="false" outlineLevel="0" collapsed="false">
      <c r="A5871" s="1" t="s">
        <v>762</v>
      </c>
    </row>
    <row r="5872" customFormat="false" ht="15" hidden="false" customHeight="false" outlineLevel="0" collapsed="false">
      <c r="A5872" s="5" t="s">
        <v>551</v>
      </c>
      <c r="B5872" s="0" t="s">
        <v>86</v>
      </c>
      <c r="C5872" s="38" t="n">
        <f aca="false">Q!$D$34</f>
        <v>2.406</v>
      </c>
      <c r="D5872" s="38" t="n">
        <f aca="false">Q!$E$34</f>
        <v>2.274</v>
      </c>
      <c r="E5872" s="38" t="n">
        <f aca="false">Q!$P$34</f>
        <v>2.114</v>
      </c>
      <c r="F5872" s="38" t="n">
        <f aca="false">Sens!$F$5910</f>
        <v>3.24888962733561</v>
      </c>
      <c r="G5872" s="38" t="n">
        <f aca="false">Sens!$E$5872+Sens!$F$5872</f>
        <v>5.36288962733561</v>
      </c>
      <c r="H5872" s="38" t="n">
        <f aca="false">Sens!$H$5910</f>
        <v>7.42354172302123</v>
      </c>
      <c r="I5872" s="38" t="n">
        <f aca="false">Sens!$I$5910</f>
        <v>7.84418947693382</v>
      </c>
      <c r="J5872" s="38" t="n">
        <f aca="false">Sens!$J$5910</f>
        <v>8.79561318891235</v>
      </c>
      <c r="K5872" s="38" t="n">
        <f aca="false">Sens!$K$5910</f>
        <v>8.79561318891235</v>
      </c>
      <c r="L5872" s="38" t="n">
        <f aca="false">Sens!$L$5910</f>
        <v>8.79561318891235</v>
      </c>
      <c r="M5872" s="38" t="n">
        <f aca="false">Sens!$M$5910</f>
        <v>8.79561318891235</v>
      </c>
      <c r="N5872" s="38" t="n">
        <f aca="false">Q!$N$34</f>
        <v>1.057</v>
      </c>
      <c r="O5872" s="38" t="n">
        <f aca="false">Q!$O$34</f>
        <v>1.217</v>
      </c>
    </row>
    <row r="5873" customFormat="false" ht="15" hidden="false" customHeight="false" outlineLevel="0" collapsed="false">
      <c r="A5873" s="5" t="s">
        <v>763</v>
      </c>
      <c r="B5873" s="0" t="s">
        <v>86</v>
      </c>
      <c r="F5873" s="38" t="n">
        <f aca="false">Sens!$F$5911</f>
        <v>2.59</v>
      </c>
      <c r="H5873" s="38" t="n">
        <f aca="false">Sens!$H$5911</f>
        <v>4.1153774832261</v>
      </c>
      <c r="I5873" s="38" t="n">
        <f aca="false">Sens!$I$5911</f>
        <v>2.10589651022864</v>
      </c>
      <c r="J5873" s="38" t="n">
        <f aca="false">Sens!$J$5911</f>
        <v>2.10589651022864</v>
      </c>
      <c r="K5873" s="38" t="n">
        <f aca="false">Sens!$K$5911</f>
        <v>3.172800358404</v>
      </c>
      <c r="L5873" s="38" t="n">
        <f aca="false">Sens!$L$5911</f>
        <v>8.41944638731071</v>
      </c>
      <c r="M5873" s="38" t="n">
        <f aca="false">Sens!$M$5911</f>
        <v>16.2381912039624</v>
      </c>
    </row>
    <row r="5874" customFormat="false" ht="17.15" hidden="false" customHeight="false" outlineLevel="0" collapsed="false">
      <c r="A5874" s="5" t="s">
        <v>764</v>
      </c>
      <c r="B5874" s="0" t="s">
        <v>86</v>
      </c>
      <c r="C5874" s="38" t="n">
        <f aca="false">Q!$D$39</f>
        <v>2.427</v>
      </c>
      <c r="D5874" s="38" t="n">
        <f aca="false">Q!$E$39</f>
        <v>19.61</v>
      </c>
      <c r="E5874" s="38" t="n">
        <f aca="false">Q!$P$39</f>
        <v>71.492</v>
      </c>
      <c r="F5874" s="39" t="n">
        <v>0</v>
      </c>
      <c r="G5874" s="38" t="n">
        <f aca="false">Sens!$E$5874+Sens!$F$5874</f>
        <v>71.492</v>
      </c>
      <c r="H5874" s="39" t="n">
        <v>0</v>
      </c>
      <c r="I5874" s="39" t="n">
        <v>0</v>
      </c>
      <c r="J5874" s="39" t="n">
        <v>0</v>
      </c>
      <c r="K5874" s="39" t="n">
        <v>0</v>
      </c>
      <c r="L5874" s="39" t="n">
        <v>0</v>
      </c>
      <c r="M5874" s="39" t="n">
        <v>0</v>
      </c>
      <c r="N5874" s="38" t="n">
        <f aca="false">Q!$N$39</f>
        <v>6.017</v>
      </c>
      <c r="O5874" s="38" t="n">
        <f aca="false">Q!$O$39</f>
        <v>13.593</v>
      </c>
      <c r="P5874" s="5" t="s">
        <v>765</v>
      </c>
    </row>
    <row r="5875" customFormat="false" ht="15" hidden="false" customHeight="false" outlineLevel="0" collapsed="false">
      <c r="A5875" s="5" t="s">
        <v>554</v>
      </c>
      <c r="B5875" s="0" t="s">
        <v>86</v>
      </c>
      <c r="C5875" s="38" t="n">
        <f aca="false">Q!$D$36</f>
        <v>68.614</v>
      </c>
      <c r="D5875" s="38" t="n">
        <f aca="false">Q!$E$36</f>
        <v>97.311</v>
      </c>
      <c r="E5875" s="38" t="n">
        <f aca="false">Q!$P$36</f>
        <v>120.691</v>
      </c>
      <c r="F5875" s="38" t="n">
        <f aca="false">Sens!$F$5851-Sens!$F$5872+Sens!$F$5873+Sens!$F$5874</f>
        <v>55.7063670713938</v>
      </c>
      <c r="G5875" s="38" t="n">
        <f aca="false">Sens!$E$5875+Sens!$F$5875</f>
        <v>176.397367071394</v>
      </c>
      <c r="H5875" s="38" t="n">
        <f aca="false">Sens!$H$5851-Sens!$H$5872+Sens!$H$5873+Sens!$H$5874</f>
        <v>126.207292630471</v>
      </c>
      <c r="I5875" s="38" t="n">
        <f aca="false">Sens!$I$5851-Sens!$I$5872+Sens!$I$5873+Sens!$I$5874</f>
        <v>139.60709411592</v>
      </c>
      <c r="J5875" s="38" t="n">
        <f aca="false">Sens!$J$5851-Sens!$J$5872+Sens!$J$5873+Sens!$J$5874</f>
        <v>157.172425191032</v>
      </c>
      <c r="K5875" s="38" t="n">
        <f aca="false">Sens!$K$5851-Sens!$K$5872+Sens!$K$5873+Sens!$K$5874</f>
        <v>169.726510466949</v>
      </c>
      <c r="L5875" s="38" t="n">
        <f aca="false">Sens!$L$5851-Sens!$L$5872+Sens!$L$5873+Sens!$L$5874</f>
        <v>185.652050344467</v>
      </c>
      <c r="M5875" s="38" t="n">
        <f aca="false">Sens!$M$5851-Sens!$M$5872+Sens!$M$5873+Sens!$M$5874</f>
        <v>205.066608684378</v>
      </c>
      <c r="N5875" s="38" t="n">
        <f aca="false">Q!$N$36</f>
        <v>42.536</v>
      </c>
      <c r="O5875" s="38" t="n">
        <f aca="false">Q!$O$36</f>
        <v>54.775</v>
      </c>
    </row>
    <row r="5876" customFormat="false" ht="15" hidden="false" customHeight="false" outlineLevel="0" collapsed="false">
      <c r="A5876" s="5" t="s">
        <v>555</v>
      </c>
      <c r="B5876" s="0" t="s">
        <v>86</v>
      </c>
      <c r="C5876" s="38" t="n">
        <f aca="false">Q!$D$37</f>
        <v>9.265</v>
      </c>
      <c r="D5876" s="38" t="n">
        <f aca="false">Q!$E$37</f>
        <v>19.087</v>
      </c>
      <c r="E5876" s="38" t="n">
        <f aca="false">Q!$P$37</f>
        <v>27.759</v>
      </c>
      <c r="F5876" s="38" t="n">
        <f aca="false">Sens!$F$5875*tax</f>
        <v>9.669763357865</v>
      </c>
      <c r="G5876" s="38" t="n">
        <f aca="false">Sens!$E$5876+Sens!$F$5876</f>
        <v>37.428763357865</v>
      </c>
      <c r="H5876" s="38" t="n">
        <f aca="false">Sens!$H$5875*tax</f>
        <v>21.9076331473816</v>
      </c>
      <c r="I5876" s="38" t="n">
        <f aca="false">Sens!$I$5875*tax</f>
        <v>24.2336313450491</v>
      </c>
      <c r="J5876" s="38" t="n">
        <f aca="false">Sens!$J$5875*tax</f>
        <v>27.2827010246639</v>
      </c>
      <c r="K5876" s="38" t="n">
        <f aca="false">Sens!$K$5875*tax</f>
        <v>29.4618959744438</v>
      </c>
      <c r="L5876" s="38" t="n">
        <f aca="false">Sens!$L$5875*tax</f>
        <v>32.2263232752671</v>
      </c>
      <c r="M5876" s="38" t="n">
        <f aca="false">Sens!$M$5875*tax</f>
        <v>35.5963901942569</v>
      </c>
      <c r="N5876" s="38" t="n">
        <f aca="false">Q!$N$37</f>
        <v>7.231</v>
      </c>
      <c r="O5876" s="38" t="n">
        <f aca="false">Q!$O$37</f>
        <v>11.856</v>
      </c>
    </row>
    <row r="5877" customFormat="false" ht="15" hidden="false" customHeight="false" outlineLevel="0" collapsed="false">
      <c r="A5877" s="3" t="s">
        <v>556</v>
      </c>
      <c r="B5877" s="8" t="s">
        <v>86</v>
      </c>
      <c r="C5877" s="38" t="n">
        <f aca="false">Q!$D$38</f>
        <v>59.248</v>
      </c>
      <c r="D5877" s="38" t="n">
        <f aca="false">Q!$E$38</f>
        <v>77.67</v>
      </c>
      <c r="E5877" s="38" t="n">
        <f aca="false">Q!$P$38</f>
        <v>92.902</v>
      </c>
      <c r="F5877" s="38" t="n">
        <f aca="false">Sens!$F$5875-Sens!$F$5876</f>
        <v>46.0366037135288</v>
      </c>
      <c r="G5877" s="38" t="n">
        <f aca="false">Sens!$E$5877+Sens!$F$5877</f>
        <v>138.938603713529</v>
      </c>
      <c r="H5877" s="38" t="n">
        <f aca="false">Sens!$H$5875-Sens!$H$5876</f>
        <v>104.29965948309</v>
      </c>
      <c r="I5877" s="38" t="n">
        <f aca="false">Sens!$I$5875-Sens!$I$5876</f>
        <v>115.373462770871</v>
      </c>
      <c r="J5877" s="38" t="n">
        <f aca="false">Sens!$J$5875-Sens!$J$5876</f>
        <v>129.889724166368</v>
      </c>
      <c r="K5877" s="38" t="n">
        <f aca="false">Sens!$K$5875-Sens!$K$5876</f>
        <v>140.264614492505</v>
      </c>
      <c r="L5877" s="38" t="n">
        <f aca="false">Sens!$L$5875-Sens!$L$5876</f>
        <v>153.4257270692</v>
      </c>
      <c r="M5877" s="38" t="n">
        <f aca="false">Sens!$M$5875-Sens!$M$5876</f>
        <v>169.470218490121</v>
      </c>
      <c r="N5877" s="38" t="n">
        <f aca="false">Q!$N$38</f>
        <v>35.291</v>
      </c>
      <c r="O5877" s="38" t="n">
        <f aca="false">Q!$O$38</f>
        <v>42.379</v>
      </c>
    </row>
    <row r="5878" customFormat="false" ht="17.15" hidden="false" customHeight="false" outlineLevel="0" collapsed="false">
      <c r="A5878" s="5" t="s">
        <v>559</v>
      </c>
      <c r="B5878" s="5" t="s">
        <v>33</v>
      </c>
      <c r="C5878" s="22" t="n">
        <f aca="false">Q!$D$41</f>
        <v>10.721</v>
      </c>
      <c r="D5878" s="22" t="n">
        <f aca="false">Q!$E$41</f>
        <v>10.827</v>
      </c>
      <c r="E5878" s="22" t="n">
        <f aca="false">(Q!$L$41+Q!$M$41)/2</f>
        <v>10.8885</v>
      </c>
      <c r="F5878" s="22" t="n">
        <f aca="false">Sens!$G$5878</f>
        <v>10.924806</v>
      </c>
      <c r="G5878" s="22" t="n">
        <f aca="false">Q!$M$41*(1+sh_g*0.25)</f>
        <v>10.924806</v>
      </c>
      <c r="H5878" s="22" t="n">
        <f aca="false">Sens!$G$5878*(1+sh_g)</f>
        <v>11.012204448</v>
      </c>
      <c r="I5878" s="22" t="n">
        <f aca="false">Sens!$H$5878*(1+sh_g)</f>
        <v>11.100302083584</v>
      </c>
      <c r="J5878" s="22" t="n">
        <f aca="false">Sens!$I$5878*(1+sh_g)</f>
        <v>11.1891045002527</v>
      </c>
      <c r="K5878" s="22" t="n">
        <f aca="false">Sens!$J$5878*(1+sh_g)</f>
        <v>11.2786173362547</v>
      </c>
      <c r="L5878" s="22" t="n">
        <f aca="false">Sens!$K$5878*(1+sh_g)</f>
        <v>11.3688462749447</v>
      </c>
      <c r="M5878" s="22" t="n">
        <f aca="false">Sens!$L$5878*(1+sh_g)</f>
        <v>11.4597970451443</v>
      </c>
      <c r="P5878" s="5" t="s">
        <v>766</v>
      </c>
    </row>
    <row r="5879" customFormat="false" ht="17.15" hidden="false" customHeight="false" outlineLevel="0" collapsed="false">
      <c r="A5879" s="5" t="s">
        <v>767</v>
      </c>
      <c r="B5879" s="0" t="s">
        <v>86</v>
      </c>
      <c r="C5879" s="38" t="n">
        <f aca="false">Sens!$C$5877+Sens!$C$5853*(1-tax)</f>
        <v>59.248</v>
      </c>
      <c r="D5879" s="38" t="n">
        <f aca="false">Sens!$D$5877+Sens!$D$5853*(1-tax)</f>
        <v>77.67</v>
      </c>
      <c r="E5879" s="38" t="n">
        <f aca="false">Sens!$E$5877+Sens!$E$5853*(1-tax)</f>
        <v>92.902</v>
      </c>
      <c r="F5879" s="38" t="n">
        <f aca="false">Sens!$F$5877+Sens!$F$5853*(1-tax)</f>
        <v>49.1531986731775</v>
      </c>
      <c r="G5879" s="38" t="n">
        <f aca="false">Sens!$G$5877+Sens!$G$5853*(1-tax)</f>
        <v>142.055198673178</v>
      </c>
      <c r="H5879" s="38" t="n">
        <f aca="false">Sens!$H$5877+Sens!$H$5853*(1-tax)</f>
        <v>116.831055438434</v>
      </c>
      <c r="I5879" s="38" t="n">
        <f aca="false">Sens!$I$5877+Sens!$I$5853*(1-tax)</f>
        <v>136.514727845811</v>
      </c>
      <c r="J5879" s="38" t="n">
        <f aca="false">Sens!$J$5877+Sens!$J$5853*(1-tax)</f>
        <v>159.679161110652</v>
      </c>
      <c r="K5879" s="38" t="n">
        <f aca="false">Sens!$K$5877+Sens!$K$5853*(1-tax)</f>
        <v>177.372351461996</v>
      </c>
      <c r="L5879" s="38" t="n">
        <f aca="false">Sens!$L$5877+Sens!$L$5853*(1-tax)</f>
        <v>195.204947712044</v>
      </c>
      <c r="M5879" s="38" t="n">
        <f aca="false">Sens!$M$5877+Sens!$M$5853*(1-tax)</f>
        <v>213.267631218502</v>
      </c>
      <c r="N5879" s="38" t="n">
        <f aca="false">Sens!$N$5877+Sens!$N$5853*(1-tax)</f>
        <v>35.291</v>
      </c>
      <c r="O5879" s="38" t="n">
        <f aca="false">Sens!$O$5877+Sens!$O$5853*(1-tax)</f>
        <v>42.379</v>
      </c>
    </row>
    <row r="5880" customFormat="false" ht="17.15" hidden="false" customHeight="false" outlineLevel="0" collapsed="false">
      <c r="A5880" s="43" t="s">
        <v>768</v>
      </c>
      <c r="B5880" s="14" t="s">
        <v>27</v>
      </c>
      <c r="C5880" s="44" t="n">
        <f aca="false">Sens!$C$5879/Sens!$C$5878</f>
        <v>5.52635015390355</v>
      </c>
      <c r="D5880" s="44" t="n">
        <f aca="false">Sens!$D$5879/Sens!$D$5878</f>
        <v>7.1737323358271</v>
      </c>
      <c r="E5880" s="44" t="n">
        <f aca="false">Sens!$E$5879/Sens!$E$5878</f>
        <v>8.53212104513937</v>
      </c>
      <c r="F5880" s="14"/>
      <c r="G5880" s="44" t="n">
        <f aca="false">Sens!$G$5879/Sens!$G$5878</f>
        <v>13.0029950804781</v>
      </c>
      <c r="H5880" s="44" t="n">
        <f aca="false">Sens!$H$5879/Sens!$H$5878</f>
        <v>10.6092341447268</v>
      </c>
      <c r="I5880" s="44" t="n">
        <f aca="false">Sens!$I$5879/Sens!$I$5878</f>
        <v>12.298289435537</v>
      </c>
      <c r="J5880" s="44" t="n">
        <f aca="false">Sens!$J$5879/Sens!$J$5878</f>
        <v>14.2709509154236</v>
      </c>
      <c r="K5880" s="44" t="n">
        <f aca="false">Sens!$K$5879/Sens!$K$5878</f>
        <v>15.7264269346065</v>
      </c>
      <c r="L5880" s="44" t="n">
        <f aca="false">Sens!$L$5879/Sens!$L$5878</f>
        <v>17.1701633561751</v>
      </c>
      <c r="M5880" s="44" t="n">
        <f aca="false">Sens!$M$5879/Sens!$M$5878</f>
        <v>18.6100705255393</v>
      </c>
      <c r="N5880" s="14"/>
      <c r="O5880" s="14"/>
    </row>
    <row r="5881" customFormat="false" ht="17.15" hidden="false" customHeight="false" outlineLevel="0" collapsed="false">
      <c r="A5881" s="0" t="s">
        <v>769</v>
      </c>
      <c r="B5881" s="0" t="s">
        <v>27</v>
      </c>
      <c r="C5881" s="30" t="n">
        <f aca="false">Sens!$C$5877/Sens!$C$5878</f>
        <v>5.52635015390355</v>
      </c>
      <c r="D5881" s="30" t="n">
        <f aca="false">Sens!$D$5877/Sens!$D$5878</f>
        <v>7.1737323358271</v>
      </c>
      <c r="E5881" s="30" t="n">
        <f aca="false">Sens!$E$5877/Sens!$E$5878</f>
        <v>8.53212104513937</v>
      </c>
      <c r="G5881" s="30" t="n">
        <f aca="false">Sens!$G$5877/Sens!$G$5878</f>
        <v>12.7177181648378</v>
      </c>
      <c r="H5881" s="30" t="n">
        <f aca="false">Sens!$H$5877/Sens!$H$5878</f>
        <v>9.47127888658407</v>
      </c>
      <c r="I5881" s="30" t="n">
        <f aca="false">Sens!$I$5877/Sens!$I$5878</f>
        <v>10.3937227925981</v>
      </c>
      <c r="J5881" s="30" t="n">
        <f aca="false">Sens!$J$5877/Sens!$J$5878</f>
        <v>11.6085897815536</v>
      </c>
      <c r="K5881" s="30" t="n">
        <f aca="false">Sens!$K$5877/Sens!$K$5878</f>
        <v>12.4363306521296</v>
      </c>
      <c r="L5881" s="30" t="n">
        <f aca="false">Sens!$L$5877/Sens!$L$5878</f>
        <v>13.4952767729235</v>
      </c>
      <c r="M5881" s="30" t="n">
        <f aca="false">Sens!$M$5877/Sens!$M$5878</f>
        <v>14.7882390781021</v>
      </c>
    </row>
    <row r="5882" customFormat="false" ht="17.15" hidden="false" customHeight="false" outlineLevel="0" collapsed="false">
      <c r="A5882" s="0" t="s">
        <v>770</v>
      </c>
      <c r="B5882" s="0" t="s">
        <v>27</v>
      </c>
      <c r="C5882" s="30" t="n">
        <f aca="false">(Sens!$C$5877-Sens!$C$5874*(1-tax))/Sens!$C$5878</f>
        <v>5.33926775917445</v>
      </c>
      <c r="D5882" s="30" t="n">
        <f aca="false">(Sens!$D$5877-Sens!$D$5874*(1-tax))/Sens!$D$5878</f>
        <v>5.67691812755503</v>
      </c>
      <c r="E5882" s="30" t="n">
        <f aca="false">(Sens!$E$5877-Sens!$E$5874*(1-tax))/Sens!$E$5878</f>
        <v>3.10602057006846</v>
      </c>
      <c r="G5882" s="30" t="n">
        <f aca="false">(Sens!$G$5877-Sens!$G$5874*(1-tax))/Sens!$G$5878</f>
        <v>7.30965004694081</v>
      </c>
      <c r="H5882" s="30" t="n">
        <f aca="false">(Sens!$H$5877-Sens!$H$5874*(1-tax))/Sens!$H$5878</f>
        <v>9.47127888658407</v>
      </c>
      <c r="I5882" s="30" t="n">
        <f aca="false">(Sens!$I$5877-Sens!$I$5874*(1-tax))/Sens!$I$5878</f>
        <v>10.3937227925981</v>
      </c>
      <c r="J5882" s="30" t="n">
        <f aca="false">(Sens!$J$5877-Sens!$J$5874*(1-tax))/Sens!$J$5878</f>
        <v>11.6085897815536</v>
      </c>
      <c r="K5882" s="30" t="n">
        <f aca="false">(Sens!$K$5877-Sens!$K$5874*(1-tax))/Sens!$K$5878</f>
        <v>12.4363306521296</v>
      </c>
      <c r="L5882" s="30" t="n">
        <f aca="false">(Sens!$L$5877-Sens!$L$5874*(1-tax))/Sens!$L$5878</f>
        <v>13.4952767729235</v>
      </c>
      <c r="M5882" s="30" t="n">
        <f aca="false">(Sens!$M$5877-Sens!$M$5874*(1-tax))/Sens!$M$5878</f>
        <v>14.7882390781021</v>
      </c>
      <c r="P5882" s="5" t="s">
        <v>771</v>
      </c>
    </row>
    <row r="5883" customFormat="false" ht="17.15" hidden="false" customHeight="false" outlineLevel="0" collapsed="false">
      <c r="A5883" s="0" t="s">
        <v>772</v>
      </c>
      <c r="B5883" s="0" t="s">
        <v>52</v>
      </c>
      <c r="H5883" s="13" t="n">
        <f aca="false">Sens!$H$5880/Sens!$G$5880-1</f>
        <v>-0.184093043251635</v>
      </c>
      <c r="I5883" s="13" t="n">
        <f aca="false">Sens!$I$5880/Sens!$H$5880-1</f>
        <v>0.159206147000695</v>
      </c>
      <c r="J5883" s="13" t="n">
        <f aca="false">Sens!$J$5880/Sens!$I$5880-1</f>
        <v>0.160401289157047</v>
      </c>
      <c r="K5883" s="13" t="n">
        <f aca="false">Sens!$K$5880/Sens!$J$5880-1</f>
        <v>0.101988720149673</v>
      </c>
      <c r="L5883" s="13" t="n">
        <f aca="false">Sens!$L$5880/Sens!$K$5880-1</f>
        <v>0.0918032066388574</v>
      </c>
      <c r="M5883" s="13" t="n">
        <f aca="false">Sens!$M$5880/Sens!$L$5880-1</f>
        <v>0.083861005832911</v>
      </c>
    </row>
    <row r="5886" customFormat="false" ht="19.4" hidden="false" customHeight="false" outlineLevel="0" collapsed="false">
      <c r="A5886" s="31" t="s">
        <v>1270</v>
      </c>
    </row>
    <row r="5887" customFormat="false" ht="17.15" hidden="false" customHeight="false" outlineLevel="0" collapsed="false">
      <c r="A5887" s="6" t="s">
        <v>16</v>
      </c>
      <c r="B5887" s="6" t="s">
        <v>17</v>
      </c>
      <c r="C5887" s="20" t="s">
        <v>504</v>
      </c>
      <c r="D5887" s="20" t="s">
        <v>505</v>
      </c>
      <c r="E5887" s="20" t="s">
        <v>587</v>
      </c>
      <c r="F5887" s="20" t="s">
        <v>588</v>
      </c>
      <c r="G5887" s="20" t="s">
        <v>589</v>
      </c>
      <c r="H5887" s="20" t="s">
        <v>590</v>
      </c>
      <c r="I5887" s="20" t="s">
        <v>591</v>
      </c>
      <c r="J5887" s="20" t="s">
        <v>592</v>
      </c>
      <c r="K5887" s="20" t="s">
        <v>593</v>
      </c>
      <c r="L5887" s="20" t="s">
        <v>594</v>
      </c>
      <c r="M5887" s="20" t="s">
        <v>595</v>
      </c>
      <c r="N5887" s="20" t="s">
        <v>596</v>
      </c>
      <c r="O5887" s="20" t="s">
        <v>597</v>
      </c>
      <c r="P5887" s="6" t="s">
        <v>23</v>
      </c>
      <c r="R5887" s="20" t="n">
        <v>2023</v>
      </c>
      <c r="S5887" s="20" t="n">
        <v>2024</v>
      </c>
      <c r="T5887" s="20" t="n">
        <v>2025</v>
      </c>
      <c r="U5887" s="20" t="n">
        <v>2026</v>
      </c>
      <c r="V5887" s="20" t="n">
        <v>2027</v>
      </c>
      <c r="W5887" s="20" t="n">
        <v>2028</v>
      </c>
      <c r="X5887" s="20" t="n">
        <v>2029</v>
      </c>
      <c r="Y5887" s="20" t="n">
        <v>2030</v>
      </c>
      <c r="Z5887" s="20" t="n">
        <v>2031</v>
      </c>
      <c r="AA5887" s="20" t="n">
        <v>2032</v>
      </c>
    </row>
    <row r="5888" customFormat="false" ht="15" hidden="false" customHeight="false" outlineLevel="0" collapsed="false">
      <c r="A5888" s="5" t="s">
        <v>556</v>
      </c>
      <c r="B5888" s="0" t="s">
        <v>86</v>
      </c>
      <c r="C5888" s="38" t="n">
        <f aca="false">Sens!$C$5877</f>
        <v>59.248</v>
      </c>
      <c r="D5888" s="38" t="n">
        <f aca="false">Sens!$D$5877</f>
        <v>77.67</v>
      </c>
      <c r="E5888" s="38" t="n">
        <f aca="false">Sens!$E$5877</f>
        <v>92.902</v>
      </c>
      <c r="F5888" s="38" t="n">
        <f aca="false">Sens!$F$5877</f>
        <v>46.0366037135288</v>
      </c>
      <c r="G5888" s="38" t="n">
        <f aca="false">Sens!$G$5877</f>
        <v>138.938603713529</v>
      </c>
      <c r="H5888" s="38" t="n">
        <f aca="false">Sens!$H$5877</f>
        <v>104.29965948309</v>
      </c>
      <c r="I5888" s="38" t="n">
        <f aca="false">Sens!$I$5877</f>
        <v>115.373462770871</v>
      </c>
      <c r="J5888" s="38" t="n">
        <f aca="false">Sens!$J$5877</f>
        <v>129.889724166368</v>
      </c>
      <c r="K5888" s="38" t="n">
        <f aca="false">Sens!$K$5877</f>
        <v>140.264614492505</v>
      </c>
      <c r="L5888" s="38" t="n">
        <f aca="false">Sens!$L$5877</f>
        <v>153.4257270692</v>
      </c>
      <c r="M5888" s="38" t="n">
        <f aca="false">Sens!$M$5877</f>
        <v>169.470218490121</v>
      </c>
    </row>
    <row r="5889" customFormat="false" ht="17.15" hidden="false" customHeight="false" outlineLevel="0" collapsed="false">
      <c r="A5889" s="5" t="s">
        <v>795</v>
      </c>
      <c r="B5889" s="0" t="s">
        <v>86</v>
      </c>
      <c r="C5889" s="38" t="n">
        <f aca="false">Sens!$C$5865</f>
        <v>32.067</v>
      </c>
      <c r="D5889" s="38" t="n">
        <f aca="false">Sens!$D$5865</f>
        <v>41.86</v>
      </c>
      <c r="E5889" s="38" t="n">
        <f aca="false">Sens!$E$5865</f>
        <v>26.703</v>
      </c>
      <c r="F5889" s="38" t="n">
        <f aca="false">Sens!$F$5865</f>
        <v>29.152860869477</v>
      </c>
      <c r="G5889" s="38" t="n">
        <f aca="false">Sens!$G$5865</f>
        <v>55.855860869477</v>
      </c>
      <c r="H5889" s="38" t="n">
        <f aca="false">Sens!$H$5865</f>
        <v>81.5618233196153</v>
      </c>
      <c r="I5889" s="38" t="n">
        <f aca="false">Sens!$I$5865</f>
        <v>118.756208740204</v>
      </c>
      <c r="J5889" s="38" t="n">
        <f aca="false">Sens!$J$5865</f>
        <v>152.469489406791</v>
      </c>
      <c r="K5889" s="38" t="n">
        <f aca="false">Sens!$K$5865</f>
        <v>186.391502623819</v>
      </c>
      <c r="L5889" s="38" t="n">
        <f aca="false">Sens!$L$5865</f>
        <v>211.536352632128</v>
      </c>
      <c r="M5889" s="38" t="n">
        <f aca="false">Sens!$M$5865</f>
        <v>227.842273347845</v>
      </c>
    </row>
    <row r="5890" customFormat="false" ht="15" hidden="false" customHeight="false" outlineLevel="0" collapsed="false">
      <c r="A5890" s="5" t="s">
        <v>796</v>
      </c>
      <c r="B5890" s="0" t="s">
        <v>86</v>
      </c>
      <c r="C5890" s="38" t="n">
        <f aca="false">Q!$D$48</f>
        <v>22.011</v>
      </c>
      <c r="D5890" s="38" t="n">
        <f aca="false">Q!$E$48</f>
        <v>19.467</v>
      </c>
      <c r="E5890" s="38" t="n">
        <f aca="false">Q!$P$48</f>
        <v>10.07</v>
      </c>
      <c r="F5890" s="38" t="n">
        <f aca="false">sbc_r*Sens!$F$5807</f>
        <v>10.8507035798037</v>
      </c>
      <c r="G5890" s="38" t="n">
        <f aca="false">Sens!$E$5890+Sens!$F$5890</f>
        <v>20.9207035798037</v>
      </c>
      <c r="H5890" s="38" t="n">
        <f aca="false">sbc_r*Sens!$H$5807</f>
        <v>23.46224366345</v>
      </c>
      <c r="I5890" s="38" t="n">
        <f aca="false">sbc_r*Sens!$I$5807</f>
        <v>26.6125957111676</v>
      </c>
      <c r="J5890" s="38" t="n">
        <f aca="false">sbc_r*Sens!$J$5807</f>
        <v>29.6280801413323</v>
      </c>
      <c r="K5890" s="38" t="n">
        <f aca="false">sbc_r*Sens!$K$5807</f>
        <v>32.26410459716</v>
      </c>
      <c r="L5890" s="38" t="n">
        <f aca="false">sbc_r*Sens!$L$5807</f>
        <v>34.7107348734595</v>
      </c>
      <c r="M5890" s="38" t="n">
        <f aca="false">sbc_r*Sens!$M$5807</f>
        <v>36.9769023298878</v>
      </c>
    </row>
    <row r="5891" customFormat="false" ht="17.15" hidden="false" customHeight="false" outlineLevel="0" collapsed="false">
      <c r="A5891" s="5" t="s">
        <v>797</v>
      </c>
      <c r="B5891" s="0" t="s">
        <v>86</v>
      </c>
      <c r="C5891" s="38" t="n">
        <f aca="false">Q!$D$44-Sens!$C$5888-Sens!$C$5889-Sens!$C$5890</f>
        <v>2.551</v>
      </c>
      <c r="D5891" s="38" t="n">
        <f aca="false">Q!$E$44-Sens!$D$5888-Sens!$D$5889-Sens!$D$5890</f>
        <v>0.51700000000001</v>
      </c>
      <c r="E5891" s="38" t="n">
        <f aca="false">Q!$P$44-Sens!$E$5888-Sens!$E$5889-Sens!$E$5890</f>
        <v>-58.256</v>
      </c>
      <c r="F5891" s="38" t="n">
        <f aca="false">oth_r*Sens!$F$5807</f>
        <v>5.22265251035878</v>
      </c>
      <c r="G5891" s="38" t="n">
        <f aca="false">Sens!$E$5891+Sens!$F$5891</f>
        <v>-53.0333474896412</v>
      </c>
      <c r="H5891" s="38" t="n">
        <f aca="false">oth_r*Sens!$H$5807</f>
        <v>11.2928295263397</v>
      </c>
      <c r="I5891" s="38" t="n">
        <f aca="false">oth_r*Sens!$I$5807</f>
        <v>12.8091546115766</v>
      </c>
      <c r="J5891" s="38" t="n">
        <f aca="false">oth_r*Sens!$J$5807</f>
        <v>14.2605653162668</v>
      </c>
      <c r="K5891" s="38" t="n">
        <f aca="false">oth_r*Sens!$K$5807</f>
        <v>15.5293346306567</v>
      </c>
      <c r="L5891" s="38" t="n">
        <f aca="false">oth_r*Sens!$L$5807</f>
        <v>16.7069448805781</v>
      </c>
      <c r="M5891" s="38" t="n">
        <f aca="false">oth_r*Sens!$M$5807</f>
        <v>17.7976949013636</v>
      </c>
      <c r="P5891" s="8" t="s">
        <v>798</v>
      </c>
    </row>
    <row r="5892" customFormat="false" ht="15" hidden="false" customHeight="false" outlineLevel="0" collapsed="false">
      <c r="A5892" s="3" t="s">
        <v>562</v>
      </c>
      <c r="B5892" s="8" t="s">
        <v>86</v>
      </c>
      <c r="C5892" s="38" t="n">
        <f aca="false">Q!$D$44</f>
        <v>115.877</v>
      </c>
      <c r="D5892" s="38" t="n">
        <f aca="false">Q!$E$44</f>
        <v>139.514</v>
      </c>
      <c r="E5892" s="38" t="n">
        <f aca="false">Q!$P$44</f>
        <v>71.419</v>
      </c>
      <c r="F5892" s="38" t="n">
        <f aca="false">Sens!$F$5888+Sens!$F$5889+Sens!$F$5890+Sens!$F$5891</f>
        <v>91.2628206731683</v>
      </c>
      <c r="G5892" s="38" t="n">
        <f aca="false">Sens!$E$5892+Sens!$F$5892</f>
        <v>162.681820673168</v>
      </c>
      <c r="H5892" s="38" t="n">
        <f aca="false">Sens!$H$5888+Sens!$H$5889+Sens!$H$5890+Sens!$H$5891</f>
        <v>220.616555992495</v>
      </c>
      <c r="I5892" s="38" t="n">
        <f aca="false">Sens!$I$5888+Sens!$I$5889+Sens!$I$5890+Sens!$I$5891</f>
        <v>273.55142183382</v>
      </c>
      <c r="J5892" s="38" t="n">
        <f aca="false">Sens!$J$5888+Sens!$J$5889+Sens!$J$5890+Sens!$J$5891</f>
        <v>326.247859030758</v>
      </c>
      <c r="K5892" s="38" t="n">
        <f aca="false">Sens!$K$5888+Sens!$K$5889+Sens!$K$5890+Sens!$K$5891</f>
        <v>374.44955634414</v>
      </c>
      <c r="L5892" s="38" t="n">
        <f aca="false">Sens!$L$5888+Sens!$L$5889+Sens!$L$5890+Sens!$L$5891</f>
        <v>416.379759455366</v>
      </c>
      <c r="M5892" s="38" t="n">
        <f aca="false">Sens!$M$5888+Sens!$M$5889+Sens!$M$5890+Sens!$M$5891</f>
        <v>452.087089069218</v>
      </c>
    </row>
    <row r="5893" customFormat="false" ht="17.15" hidden="false" customHeight="false" outlineLevel="0" collapsed="false">
      <c r="A5893" s="5" t="s">
        <v>799</v>
      </c>
      <c r="B5893" s="0" t="s">
        <v>86</v>
      </c>
      <c r="C5893" s="38" t="n">
        <f aca="false">Sens!$C$5771</f>
        <v>25.2781053077374</v>
      </c>
      <c r="D5893" s="38" t="n">
        <f aca="false">Sens!$D$5771</f>
        <v>69.5686316310026</v>
      </c>
      <c r="E5893" s="38" t="n">
        <f aca="false">Sens!$E$5771</f>
        <v>64.1899206485108</v>
      </c>
      <c r="F5893" s="38" t="n">
        <f aca="false">Sens!$F$5771</f>
        <v>88.7165504612134</v>
      </c>
      <c r="G5893" s="38" t="n">
        <f aca="false">Sens!$G$5771</f>
        <v>152.906471109724</v>
      </c>
      <c r="H5893" s="38" t="n">
        <f aca="false">Sens!$H$5771</f>
        <v>198.57136494475</v>
      </c>
      <c r="I5893" s="38" t="n">
        <f aca="false">Sens!$I$5771</f>
        <v>204.6464699105</v>
      </c>
      <c r="J5893" s="38" t="n">
        <f aca="false">Sens!$J$5771</f>
        <v>209.8832381105</v>
      </c>
      <c r="K5893" s="38" t="n">
        <f aca="false">Sens!$K$5771</f>
        <v>152.460428963578</v>
      </c>
      <c r="L5893" s="38" t="n">
        <f aca="false">Sens!$L$5771</f>
        <v>126.458229016657</v>
      </c>
      <c r="M5893" s="38" t="n">
        <f aca="false">Sens!$M$5771</f>
        <v>123.897112724985</v>
      </c>
    </row>
    <row r="5894" customFormat="false" ht="17.15" hidden="false" customHeight="false" outlineLevel="0" collapsed="false">
      <c r="A5894" s="5" t="s">
        <v>800</v>
      </c>
      <c r="B5894" s="0" t="s">
        <v>86</v>
      </c>
      <c r="C5894" s="38" t="n">
        <f aca="false">cx_awso*Sens!$C$5805</f>
        <v>21.0469989286053</v>
      </c>
      <c r="D5894" s="38" t="n">
        <f aca="false">cx_awso*Sens!$D$5805</f>
        <v>24.0042459822698</v>
      </c>
      <c r="E5894" s="38" t="n">
        <f aca="false">cx_awso*Sens!$E$5805</f>
        <v>14.261729404886</v>
      </c>
      <c r="F5894" s="38" t="n">
        <f aca="false">cx_awso*Sens!$F$5805</f>
        <v>14.3538599588493</v>
      </c>
      <c r="G5894" s="38" t="n">
        <f aca="false">Sens!$E$5894+Sens!$F$5894</f>
        <v>28.6155893637353</v>
      </c>
      <c r="H5894" s="38" t="n">
        <f aca="false">cx_awso*Sens!$H$5805</f>
        <v>32.2034154158406</v>
      </c>
      <c r="I5894" s="38" t="n">
        <f aca="false">cx_awso*Sens!$I$5805</f>
        <v>35.7539519042915</v>
      </c>
      <c r="J5894" s="38" t="n">
        <f aca="false">cx_awso*Sens!$J$5805</f>
        <v>39.1551076091815</v>
      </c>
      <c r="K5894" s="38" t="n">
        <f aca="false">cx_awso*Sens!$K$5805</f>
        <v>42.287516217916</v>
      </c>
      <c r="L5894" s="38" t="n">
        <f aca="false">cx_awso*Sens!$L$5805</f>
        <v>45.6705175153492</v>
      </c>
      <c r="M5894" s="38" t="n">
        <f aca="false">cx_awso*Sens!$M$5805</f>
        <v>49.3241589165772</v>
      </c>
    </row>
    <row r="5895" customFormat="false" ht="17.15" hidden="false" customHeight="false" outlineLevel="0" collapsed="false">
      <c r="A5895" s="5" t="s">
        <v>801</v>
      </c>
      <c r="B5895" s="0" t="s">
        <v>86</v>
      </c>
      <c r="C5895" s="38" t="n">
        <f aca="false">Q!$D$46-Sens!$C$5893-Sens!$C$5894</f>
        <v>31.3328957636573</v>
      </c>
      <c r="D5895" s="38" t="n">
        <f aca="false">Q!$E$46-Sens!$D$5893-Sens!$D$5894</f>
        <v>34.7471223867276</v>
      </c>
      <c r="E5895" s="38" t="n">
        <f aca="false">Q!$P$46-Sens!$E$5893-Sens!$E$5894</f>
        <v>17.8583499466032</v>
      </c>
      <c r="F5895" s="38" t="n">
        <f aca="false">cx_rt*Sens!$F$5734</f>
        <v>20.6195895799373</v>
      </c>
      <c r="G5895" s="38" t="n">
        <f aca="false">Sens!$E$5895+Sens!$F$5895</f>
        <v>38.4779395265405</v>
      </c>
      <c r="H5895" s="38" t="n">
        <f aca="false">cx_rt*Sens!$H$5734</f>
        <v>42.5978994743075</v>
      </c>
      <c r="I5895" s="38" t="n">
        <f aca="false">cx_rt*Sens!$I$5734</f>
        <v>46.5813904136335</v>
      </c>
      <c r="J5895" s="38" t="n">
        <f aca="false">cx_rt*Sens!$J$5734</f>
        <v>50.2781676586844</v>
      </c>
      <c r="K5895" s="38" t="n">
        <f aca="false">cx_rt*Sens!$K$5734</f>
        <v>53.5312440191755</v>
      </c>
      <c r="L5895" s="38" t="n">
        <f aca="false">cx_rt*Sens!$L$5734</f>
        <v>57.0116717051447</v>
      </c>
      <c r="M5895" s="38" t="n">
        <f aca="false">cx_rt*Sens!$M$5734</f>
        <v>60.7365554669226</v>
      </c>
    </row>
    <row r="5896" customFormat="false" ht="15" hidden="false" customHeight="false" outlineLevel="0" collapsed="false">
      <c r="A5896" s="3" t="s">
        <v>802</v>
      </c>
      <c r="B5896" s="8" t="s">
        <v>86</v>
      </c>
      <c r="C5896" s="38" t="n">
        <f aca="false">Q!$D$46</f>
        <v>77.658</v>
      </c>
      <c r="D5896" s="38" t="n">
        <f aca="false">Q!$E$46</f>
        <v>128.32</v>
      </c>
      <c r="E5896" s="38" t="n">
        <f aca="false">Q!$P$46</f>
        <v>96.31</v>
      </c>
      <c r="F5896" s="38" t="n">
        <f aca="false">Sens!$F$5893+Sens!$F$5894+Sens!$F$5895</f>
        <v>123.69</v>
      </c>
      <c r="G5896" s="38" t="n">
        <f aca="false">Sens!$E$5896+Sens!$F$5896</f>
        <v>220</v>
      </c>
      <c r="H5896" s="38" t="n">
        <f aca="false">Sens!$H$5893+Sens!$H$5894+Sens!$H$5895</f>
        <v>273.372679834898</v>
      </c>
      <c r="I5896" s="38" t="n">
        <f aca="false">Sens!$I$5893+Sens!$I$5894+Sens!$I$5895</f>
        <v>286.981812228425</v>
      </c>
      <c r="J5896" s="38" t="n">
        <f aca="false">Sens!$J$5893+Sens!$J$5894+Sens!$J$5895</f>
        <v>299.316513378366</v>
      </c>
      <c r="K5896" s="38" t="n">
        <f aca="false">Sens!$K$5893+Sens!$K$5894+Sens!$K$5895</f>
        <v>248.27918920067</v>
      </c>
      <c r="L5896" s="38" t="n">
        <f aca="false">Sens!$L$5893+Sens!$L$5894+Sens!$L$5895</f>
        <v>229.140418237151</v>
      </c>
      <c r="M5896" s="38" t="n">
        <f aca="false">Sens!$M$5893+Sens!$M$5894+Sens!$M$5895</f>
        <v>233.957827108485</v>
      </c>
    </row>
    <row r="5897" customFormat="false" ht="17.15" hidden="false" customHeight="false" outlineLevel="0" collapsed="false">
      <c r="A5897" s="5" t="s">
        <v>570</v>
      </c>
      <c r="B5897" s="0" t="s">
        <v>86</v>
      </c>
      <c r="C5897" s="38" t="n">
        <f aca="false">Q!$D$50</f>
        <v>2.043</v>
      </c>
      <c r="D5897" s="38" t="n">
        <f aca="false">Q!$E$50</f>
        <v>1.557</v>
      </c>
      <c r="E5897" s="38" t="n">
        <f aca="false">lease_pr/2</f>
        <v>0.8</v>
      </c>
      <c r="F5897" s="38" t="n">
        <f aca="false">lease_pr/2</f>
        <v>0.8</v>
      </c>
      <c r="G5897" s="38" t="n">
        <f aca="false">Sens!$E$5897+Sens!$F$5897</f>
        <v>1.6</v>
      </c>
      <c r="H5897" s="38" t="n">
        <f aca="false">lease_pr</f>
        <v>1.6</v>
      </c>
      <c r="I5897" s="38" t="n">
        <f aca="false">lease_pr</f>
        <v>1.6</v>
      </c>
      <c r="J5897" s="38" t="n">
        <f aca="false">lease_pr</f>
        <v>1.6</v>
      </c>
      <c r="K5897" s="38" t="n">
        <f aca="false">lease_pr</f>
        <v>1.6</v>
      </c>
      <c r="L5897" s="38" t="n">
        <f aca="false">lease_pr</f>
        <v>1.6</v>
      </c>
      <c r="M5897" s="38" t="n">
        <f aca="false">lease_pr</f>
        <v>1.6</v>
      </c>
      <c r="P5897" s="8" t="s">
        <v>803</v>
      </c>
    </row>
    <row r="5898" customFormat="false" ht="15" hidden="false" customHeight="false" outlineLevel="0" collapsed="false">
      <c r="A5898" s="47" t="s">
        <v>804</v>
      </c>
      <c r="B5898" s="14" t="s">
        <v>86</v>
      </c>
      <c r="C5898" s="48" t="n">
        <f aca="false">Sens!$C$5892-Sens!$C$5896-Sens!$C$5897</f>
        <v>36.176</v>
      </c>
      <c r="D5898" s="48" t="n">
        <f aca="false">Sens!$D$5892-Sens!$D$5896-Sens!$D$5897</f>
        <v>9.63700000000002</v>
      </c>
      <c r="E5898" s="48" t="n">
        <f aca="false">Sens!$E$5892-Sens!$E$5896-Sens!$E$5897</f>
        <v>-25.691</v>
      </c>
      <c r="F5898" s="48" t="n">
        <f aca="false">Sens!$F$5892-Sens!$F$5896-Sens!$F$5897</f>
        <v>-33.2271793268317</v>
      </c>
      <c r="G5898" s="48" t="n">
        <f aca="false">Sens!$G$5892-Sens!$G$5896-Sens!$G$5897</f>
        <v>-58.9181793268317</v>
      </c>
      <c r="H5898" s="48" t="n">
        <f aca="false">Sens!$H$5892-Sens!$H$5896-Sens!$H$5897</f>
        <v>-54.3561238424036</v>
      </c>
      <c r="I5898" s="48" t="n">
        <f aca="false">Sens!$I$5892-Sens!$I$5896-Sens!$I$5897</f>
        <v>-15.0303903946055</v>
      </c>
      <c r="J5898" s="48" t="n">
        <f aca="false">Sens!$J$5892-Sens!$J$5896-Sens!$J$5897</f>
        <v>25.3313456523922</v>
      </c>
      <c r="K5898" s="48" t="n">
        <f aca="false">Sens!$K$5892-Sens!$K$5896-Sens!$K$5897</f>
        <v>124.570367143471</v>
      </c>
      <c r="L5898" s="48" t="n">
        <f aca="false">Sens!$L$5892-Sens!$L$5896-Sens!$L$5897</f>
        <v>185.639341218215</v>
      </c>
      <c r="M5898" s="48" t="n">
        <f aca="false">Sens!$M$5892-Sens!$M$5896-Sens!$M$5897</f>
        <v>216.529261960733</v>
      </c>
      <c r="N5898" s="14"/>
      <c r="O5898" s="14"/>
    </row>
    <row r="5899" customFormat="false" ht="17.15" hidden="false" customHeight="false" outlineLevel="0" collapsed="false">
      <c r="A5899" s="5" t="s">
        <v>805</v>
      </c>
      <c r="B5899" s="0" t="s">
        <v>86</v>
      </c>
      <c r="C5899" s="38" t="n">
        <f aca="false">dps*Sens!$C$5878</f>
        <v>0</v>
      </c>
      <c r="D5899" s="38" t="n">
        <f aca="false">dps*Sens!$D$5878</f>
        <v>0</v>
      </c>
      <c r="E5899" s="38" t="n">
        <f aca="false">dps*Sens!$E$5878</f>
        <v>0</v>
      </c>
      <c r="F5899" s="38" t="n">
        <f aca="false">0</f>
        <v>0</v>
      </c>
      <c r="G5899" s="38" t="n">
        <f aca="false">dps*Sens!$G$5878</f>
        <v>0</v>
      </c>
      <c r="H5899" s="38" t="n">
        <f aca="false">dps*Sens!$H$5878</f>
        <v>0</v>
      </c>
      <c r="I5899" s="38" t="n">
        <f aca="false">dps*Sens!$I$5878</f>
        <v>0</v>
      </c>
      <c r="J5899" s="38" t="n">
        <f aca="false">dps*Sens!$J$5878</f>
        <v>0</v>
      </c>
      <c r="K5899" s="38" t="n">
        <f aca="false">dps*Sens!$K$5878</f>
        <v>0</v>
      </c>
      <c r="L5899" s="38" t="n">
        <f aca="false">dps*Sens!$L$5878</f>
        <v>0</v>
      </c>
      <c r="M5899" s="38" t="n">
        <f aca="false">dps*Sens!$M$5878</f>
        <v>0</v>
      </c>
      <c r="P5899" s="8" t="s">
        <v>806</v>
      </c>
    </row>
    <row r="5900" customFormat="false" ht="17.15" hidden="false" customHeight="false" outlineLevel="0" collapsed="false">
      <c r="A5900" s="5" t="s">
        <v>807</v>
      </c>
      <c r="B5900" s="0" t="s">
        <v>86</v>
      </c>
      <c r="C5900" s="38" t="n">
        <f aca="false">0</f>
        <v>0</v>
      </c>
      <c r="D5900" s="38" t="n">
        <f aca="false">0</f>
        <v>0</v>
      </c>
      <c r="E5900" s="38" t="n">
        <f aca="false">0</f>
        <v>0</v>
      </c>
      <c r="F5900" s="38" t="n">
        <f aca="false">0</f>
        <v>0</v>
      </c>
      <c r="G5900" s="38" t="n">
        <f aca="false">0</f>
        <v>0</v>
      </c>
      <c r="H5900" s="38" t="n">
        <f aca="false">0</f>
        <v>0</v>
      </c>
      <c r="I5900" s="38" t="n">
        <f aca="false">0</f>
        <v>0</v>
      </c>
      <c r="J5900" s="38" t="n">
        <f aca="false">0</f>
        <v>0</v>
      </c>
      <c r="K5900" s="38" t="n">
        <f aca="false">0</f>
        <v>0</v>
      </c>
      <c r="L5900" s="38" t="n">
        <f aca="false">0</f>
        <v>0</v>
      </c>
      <c r="M5900" s="38" t="n">
        <f aca="false">0</f>
        <v>0</v>
      </c>
      <c r="P5900" s="8" t="s">
        <v>808</v>
      </c>
    </row>
    <row r="5901" customFormat="false" ht="15" hidden="false" customHeight="false" outlineLevel="0" collapsed="false">
      <c r="A5901" s="3" t="s">
        <v>809</v>
      </c>
      <c r="B5901" s="8" t="s">
        <v>86</v>
      </c>
      <c r="C5901" s="38" t="n">
        <f aca="false">Sens!$C$5898-Sens!$C$5899</f>
        <v>36.176</v>
      </c>
      <c r="D5901" s="38" t="n">
        <f aca="false">Sens!$D$5898-Sens!$D$5899</f>
        <v>9.63700000000002</v>
      </c>
      <c r="E5901" s="38" t="n">
        <f aca="false">Sens!$E$5898-Sens!$E$5899</f>
        <v>-25.691</v>
      </c>
      <c r="F5901" s="38" t="n">
        <f aca="false">Sens!$F$5898-Sens!$F$5899</f>
        <v>-33.2271793268317</v>
      </c>
      <c r="G5901" s="38" t="n">
        <f aca="false">Sens!$G$5898-Sens!$G$5899</f>
        <v>-58.9181793268317</v>
      </c>
      <c r="H5901" s="38" t="n">
        <f aca="false">Sens!$H$5898-Sens!$H$5899</f>
        <v>-54.3561238424036</v>
      </c>
      <c r="I5901" s="38" t="n">
        <f aca="false">Sens!$I$5898-Sens!$I$5899</f>
        <v>-15.0303903946055</v>
      </c>
      <c r="J5901" s="38" t="n">
        <f aca="false">Sens!$J$5898-Sens!$J$5899</f>
        <v>25.3313456523922</v>
      </c>
      <c r="K5901" s="38" t="n">
        <f aca="false">Sens!$K$5898-Sens!$K$5899</f>
        <v>124.570367143471</v>
      </c>
      <c r="L5901" s="38" t="n">
        <f aca="false">Sens!$L$5898-Sens!$L$5899</f>
        <v>185.639341218215</v>
      </c>
      <c r="M5901" s="38" t="n">
        <f aca="false">Sens!$M$5898-Sens!$M$5899</f>
        <v>216.529261960733</v>
      </c>
    </row>
    <row r="5902" customFormat="false" ht="17.15" hidden="false" customHeight="false" outlineLevel="0" collapsed="false">
      <c r="A5902" s="5" t="s">
        <v>810</v>
      </c>
      <c r="B5902" s="0" t="s">
        <v>86</v>
      </c>
      <c r="E5902" s="38" t="n">
        <f aca="false">Q!$P$53</f>
        <v>39.767</v>
      </c>
      <c r="F5902" s="38" t="n">
        <f aca="false">inv_2h26</f>
        <v>21.3</v>
      </c>
      <c r="G5902" s="38" t="n">
        <f aca="false">Sens!$E$5902+Sens!$F$5902</f>
        <v>61.067</v>
      </c>
      <c r="H5902" s="39" t="n">
        <v>0</v>
      </c>
      <c r="I5902" s="39" t="n">
        <v>0</v>
      </c>
      <c r="J5902" s="39" t="n">
        <v>0</v>
      </c>
      <c r="K5902" s="39" t="n">
        <v>0</v>
      </c>
      <c r="L5902" s="39" t="n">
        <v>0</v>
      </c>
      <c r="M5902" s="39" t="n">
        <v>0</v>
      </c>
    </row>
    <row r="5903" customFormat="false" ht="17.15" hidden="false" customHeight="false" outlineLevel="0" collapsed="false">
      <c r="A5903" s="5" t="s">
        <v>811</v>
      </c>
      <c r="B5903" s="0" t="s">
        <v>86</v>
      </c>
      <c r="F5903" s="38" t="n">
        <f aca="false">iss_2h26</f>
        <v>29.249999</v>
      </c>
      <c r="G5903" s="38" t="n">
        <f aca="false">Sens!$F$5903</f>
        <v>29.249999</v>
      </c>
      <c r="H5903" s="39" t="n">
        <v>0</v>
      </c>
      <c r="I5903" s="39" t="n">
        <v>0</v>
      </c>
      <c r="J5903" s="39" t="n">
        <v>0</v>
      </c>
      <c r="K5903" s="39" t="n">
        <v>0</v>
      </c>
      <c r="L5903" s="39" t="n">
        <v>0</v>
      </c>
      <c r="M5903" s="39" t="n">
        <v>0</v>
      </c>
    </row>
    <row r="5904" customFormat="false" ht="17.15" hidden="false" customHeight="false" outlineLevel="0" collapsed="false">
      <c r="A5904" s="5" t="s">
        <v>812</v>
      </c>
      <c r="B5904" s="0" t="s">
        <v>86</v>
      </c>
      <c r="F5904" s="38" t="n">
        <f aca="false">cash_q2</f>
        <v>122.988</v>
      </c>
      <c r="G5904" s="38" t="n">
        <f aca="false">cash_q2</f>
        <v>122.988</v>
      </c>
      <c r="H5904" s="38" t="n">
        <f aca="false">Sens!$G$5907</f>
        <v>97.7108196731683</v>
      </c>
      <c r="I5904" s="38" t="n">
        <f aca="false">Sens!$H$5907</f>
        <v>50</v>
      </c>
      <c r="J5904" s="38" t="n">
        <f aca="false">Sens!$I$5907</f>
        <v>50</v>
      </c>
      <c r="K5904" s="38" t="n">
        <f aca="false">Sens!$J$5907</f>
        <v>75.3313456523922</v>
      </c>
      <c r="L5904" s="38" t="n">
        <f aca="false">Sens!$K$5907</f>
        <v>199.901712795863</v>
      </c>
      <c r="M5904" s="38" t="n">
        <f aca="false">Sens!$L$5907</f>
        <v>385.541054014078</v>
      </c>
    </row>
    <row r="5905" customFormat="false" ht="15" hidden="false" customHeight="false" outlineLevel="0" collapsed="false">
      <c r="A5905" s="5" t="s">
        <v>813</v>
      </c>
      <c r="B5905" s="0" t="s">
        <v>86</v>
      </c>
      <c r="F5905" s="38" t="n">
        <f aca="false">Sens!$F$5904+Sens!$F$5901-Sens!$F$5900-Sens!$F$5902+Sens!$F$5903</f>
        <v>97.7108196731683</v>
      </c>
      <c r="H5905" s="38" t="n">
        <f aca="false">Sens!$H$5904+Sens!$H$5901-Sens!$H$5900-Sens!$H$5902+Sens!$H$5903</f>
        <v>43.3546958307647</v>
      </c>
      <c r="I5905" s="38" t="n">
        <f aca="false">Sens!$I$5904+Sens!$I$5901-Sens!$I$5900-Sens!$I$5902+Sens!$I$5903</f>
        <v>34.9696096053945</v>
      </c>
      <c r="J5905" s="38" t="n">
        <f aca="false">Sens!$J$5904+Sens!$J$5901-Sens!$J$5900-Sens!$J$5902+Sens!$J$5903</f>
        <v>75.3313456523922</v>
      </c>
      <c r="K5905" s="38" t="n">
        <f aca="false">Sens!$K$5904+Sens!$K$5901-Sens!$K$5900-Sens!$K$5902+Sens!$K$5903</f>
        <v>199.901712795863</v>
      </c>
      <c r="L5905" s="38" t="n">
        <f aca="false">Sens!$L$5904+Sens!$L$5901-Sens!$L$5900-Sens!$L$5902+Sens!$L$5903</f>
        <v>385.541054014078</v>
      </c>
      <c r="M5905" s="38" t="n">
        <f aca="false">Sens!$M$5904+Sens!$M$5901-Sens!$M$5900-Sens!$M$5902+Sens!$M$5903</f>
        <v>602.070315974811</v>
      </c>
    </row>
    <row r="5906" customFormat="false" ht="17.15" hidden="false" customHeight="false" outlineLevel="0" collapsed="false">
      <c r="A5906" s="5" t="s">
        <v>814</v>
      </c>
      <c r="B5906" s="0" t="s">
        <v>86</v>
      </c>
      <c r="F5906" s="38" t="n">
        <f aca="false">MAX(0,min_cash-Sens!$F$5905)</f>
        <v>0</v>
      </c>
      <c r="G5906" s="38" t="n">
        <f aca="false">Sens!$F$5906</f>
        <v>0</v>
      </c>
      <c r="H5906" s="38" t="n">
        <f aca="false">MAX(0,min_cash-Sens!$H$5905)</f>
        <v>6.64530416923528</v>
      </c>
      <c r="I5906" s="38" t="n">
        <f aca="false">MAX(0,min_cash-Sens!$I$5905)</f>
        <v>15.0303903946055</v>
      </c>
      <c r="J5906" s="38" t="n">
        <f aca="false">MAX(0,min_cash-Sens!$J$5905)</f>
        <v>0</v>
      </c>
      <c r="K5906" s="38" t="n">
        <f aca="false">MAX(0,min_cash-Sens!$K$5905)</f>
        <v>0</v>
      </c>
      <c r="L5906" s="38" t="n">
        <f aca="false">MAX(0,min_cash-Sens!$L$5905)</f>
        <v>0</v>
      </c>
      <c r="M5906" s="38" t="n">
        <f aca="false">MAX(0,min_cash-Sens!$M$5905)</f>
        <v>0</v>
      </c>
      <c r="P5906" s="5" t="s">
        <v>815</v>
      </c>
    </row>
    <row r="5907" customFormat="false" ht="15" hidden="false" customHeight="false" outlineLevel="0" collapsed="false">
      <c r="A5907" s="5" t="s">
        <v>816</v>
      </c>
      <c r="B5907" s="0" t="s">
        <v>86</v>
      </c>
      <c r="D5907" s="38" t="n">
        <f aca="false">Q!$E$61</f>
        <v>123.029</v>
      </c>
      <c r="E5907" s="38" t="n">
        <f aca="false">Q!$M$61</f>
        <v>122.988</v>
      </c>
      <c r="F5907" s="38" t="n">
        <f aca="false">Sens!$F$5905+Sens!$F$5906</f>
        <v>97.7108196731683</v>
      </c>
      <c r="G5907" s="38" t="n">
        <f aca="false">Sens!$F$5907</f>
        <v>97.7108196731683</v>
      </c>
      <c r="H5907" s="38" t="n">
        <f aca="false">Sens!$H$5905+Sens!$H$5906</f>
        <v>50</v>
      </c>
      <c r="I5907" s="38" t="n">
        <f aca="false">Sens!$I$5905+Sens!$I$5906</f>
        <v>50</v>
      </c>
      <c r="J5907" s="38" t="n">
        <f aca="false">Sens!$J$5905+Sens!$J$5906</f>
        <v>75.3313456523922</v>
      </c>
      <c r="K5907" s="38" t="n">
        <f aca="false">Sens!$K$5905+Sens!$K$5906</f>
        <v>199.901712795863</v>
      </c>
      <c r="L5907" s="38" t="n">
        <f aca="false">Sens!$L$5905+Sens!$L$5906</f>
        <v>385.541054014078</v>
      </c>
      <c r="M5907" s="38" t="n">
        <f aca="false">Sens!$M$5905+Sens!$M$5906</f>
        <v>602.070315974811</v>
      </c>
    </row>
    <row r="5908" customFormat="false" ht="15" hidden="false" customHeight="false" outlineLevel="0" collapsed="false">
      <c r="A5908" s="5" t="s">
        <v>817</v>
      </c>
      <c r="B5908" s="0" t="s">
        <v>86</v>
      </c>
      <c r="D5908" s="38" t="n">
        <f aca="false">Q!$E$62</f>
        <v>68.836</v>
      </c>
      <c r="E5908" s="38" t="n">
        <f aca="false">Q!$M$62</f>
        <v>132.995</v>
      </c>
      <c r="F5908" s="38" t="n">
        <f aca="false">debt_q2+Sens!$F$5903+Sens!$F$5906</f>
        <v>162.244999</v>
      </c>
      <c r="G5908" s="38" t="n">
        <f aca="false">Sens!$F$5908</f>
        <v>162.244999</v>
      </c>
      <c r="H5908" s="38" t="n">
        <f aca="false">Sens!$G$5908+Sens!$H$5906</f>
        <v>168.890303169235</v>
      </c>
      <c r="I5908" s="38" t="n">
        <f aca="false">Sens!$H$5908+Sens!$I$5906</f>
        <v>183.920693563841</v>
      </c>
      <c r="J5908" s="38" t="n">
        <f aca="false">Sens!$I$5908+Sens!$J$5906</f>
        <v>183.920693563841</v>
      </c>
      <c r="K5908" s="38" t="n">
        <f aca="false">Sens!$J$5908+Sens!$K$5906</f>
        <v>183.920693563841</v>
      </c>
      <c r="L5908" s="38" t="n">
        <f aca="false">Sens!$K$5908+Sens!$L$5906</f>
        <v>183.920693563841</v>
      </c>
      <c r="M5908" s="38" t="n">
        <f aca="false">Sens!$L$5908+Sens!$M$5906</f>
        <v>183.920693563841</v>
      </c>
    </row>
    <row r="5909" customFormat="false" ht="15" hidden="false" customHeight="false" outlineLevel="0" collapsed="false">
      <c r="A5909" s="5" t="s">
        <v>818</v>
      </c>
      <c r="B5909" s="0" t="s">
        <v>86</v>
      </c>
      <c r="D5909" s="38" t="n">
        <f aca="false">Sens!$D$5908-Sens!$D$5907</f>
        <v>-54.193</v>
      </c>
      <c r="E5909" s="38" t="n">
        <f aca="false">Sens!$E$5908-Sens!$E$5907</f>
        <v>10.007</v>
      </c>
      <c r="F5909" s="38" t="n">
        <f aca="false">Sens!$F$5908-Sens!$F$5907</f>
        <v>64.5341793268317</v>
      </c>
      <c r="G5909" s="38" t="n">
        <f aca="false">Sens!$G$5908-Sens!$G$5907</f>
        <v>64.5341793268317</v>
      </c>
      <c r="H5909" s="38" t="n">
        <f aca="false">Sens!$H$5908-Sens!$H$5907</f>
        <v>118.890303169235</v>
      </c>
      <c r="I5909" s="38" t="n">
        <f aca="false">Sens!$I$5908-Sens!$I$5907</f>
        <v>133.920693563841</v>
      </c>
      <c r="J5909" s="38" t="n">
        <f aca="false">Sens!$J$5908-Sens!$J$5907</f>
        <v>108.589347911449</v>
      </c>
      <c r="K5909" s="38" t="n">
        <f aca="false">Sens!$K$5908-Sens!$K$5907</f>
        <v>-15.9810192320221</v>
      </c>
      <c r="L5909" s="38" t="n">
        <f aca="false">Sens!$L$5908-Sens!$L$5907</f>
        <v>-201.620360450237</v>
      </c>
      <c r="M5909" s="38" t="n">
        <f aca="false">Sens!$M$5908-Sens!$M$5907</f>
        <v>-418.14962241097</v>
      </c>
    </row>
    <row r="5910" customFormat="false" ht="17.15" hidden="false" customHeight="false" outlineLevel="0" collapsed="false">
      <c r="A5910" s="5" t="s">
        <v>819</v>
      </c>
      <c r="B5910" s="0" t="s">
        <v>86</v>
      </c>
      <c r="F5910" s="38" t="n">
        <f aca="false">debt_q2*kd_book*0.5+iss_2h26*kd_new*iss_t</f>
        <v>3.24888962733561</v>
      </c>
      <c r="H5910" s="38" t="n">
        <f aca="false">debt_q2*kd_book+(Sens!$G$5908-debt_q2)*kd_new</f>
        <v>7.42354172302123</v>
      </c>
      <c r="I5910" s="38" t="n">
        <f aca="false">debt_q2*kd_book+(Sens!$H$5908-debt_q2)*kd_new</f>
        <v>7.84418947693382</v>
      </c>
      <c r="J5910" s="38" t="n">
        <f aca="false">debt_q2*kd_book+(Sens!$I$5908-debt_q2)*kd_new</f>
        <v>8.79561318891235</v>
      </c>
      <c r="K5910" s="38" t="n">
        <f aca="false">debt_q2*kd_book+(Sens!$J$5908-debt_q2)*kd_new</f>
        <v>8.79561318891235</v>
      </c>
      <c r="L5910" s="38" t="n">
        <f aca="false">debt_q2*kd_book+(Sens!$K$5908-debt_q2)*kd_new</f>
        <v>8.79561318891235</v>
      </c>
      <c r="M5910" s="38" t="n">
        <f aca="false">debt_q2*kd_book+(Sens!$L$5908-debt_q2)*kd_new</f>
        <v>8.79561318891235</v>
      </c>
    </row>
    <row r="5911" customFormat="false" ht="17.15" hidden="false" customHeight="false" outlineLevel="0" collapsed="false">
      <c r="A5911" s="5" t="s">
        <v>820</v>
      </c>
      <c r="B5911" s="0" t="s">
        <v>86</v>
      </c>
      <c r="F5911" s="38" t="n">
        <f aca="false">cash_q2*y_cash*0.5</f>
        <v>2.59</v>
      </c>
      <c r="H5911" s="38" t="n">
        <f aca="false">Sens!$G$5907*y_cash</f>
        <v>4.1153774832261</v>
      </c>
      <c r="I5911" s="38" t="n">
        <f aca="false">Sens!$H$5907*y_cash</f>
        <v>2.10589651022864</v>
      </c>
      <c r="J5911" s="38" t="n">
        <f aca="false">Sens!$I$5907*y_cash</f>
        <v>2.10589651022864</v>
      </c>
      <c r="K5911" s="38" t="n">
        <f aca="false">Sens!$J$5907*y_cash</f>
        <v>3.172800358404</v>
      </c>
      <c r="L5911" s="38" t="n">
        <f aca="false">Sens!$K$5907*y_cash</f>
        <v>8.41944638731071</v>
      </c>
      <c r="M5911" s="38" t="n">
        <f aca="false">Sens!$L$5907*y_cash</f>
        <v>16.2381912039624</v>
      </c>
    </row>
    <row r="5912" customFormat="false" ht="17.15" hidden="false" customHeight="false" outlineLevel="0" collapsed="false">
      <c r="A5912" s="47" t="s">
        <v>821</v>
      </c>
      <c r="B5912" s="14" t="s">
        <v>86</v>
      </c>
      <c r="C5912" s="14"/>
      <c r="D5912" s="14"/>
      <c r="E5912" s="14"/>
      <c r="F5912" s="14"/>
      <c r="G5912" s="48" t="n">
        <f aca="false">SUM(Sens!$G$5901:$K$5901)</f>
        <v>21.5970192320221</v>
      </c>
      <c r="H5912" s="14"/>
      <c r="I5912" s="14"/>
      <c r="J5912" s="14"/>
      <c r="K5912" s="14"/>
      <c r="L5912" s="14"/>
      <c r="M5912" s="14"/>
      <c r="N5912" s="14"/>
      <c r="O5912" s="14"/>
    </row>
    <row r="5913" customFormat="false" ht="17.15" hidden="false" customHeight="false" outlineLevel="0" collapsed="false">
      <c r="A5913" s="0" t="s">
        <v>787</v>
      </c>
      <c r="B5913" s="0" t="s">
        <v>86</v>
      </c>
      <c r="G5913" s="38" t="n">
        <f aca="false">SUM(Sens!$G$5906:$K$5906)</f>
        <v>21.6756945638408</v>
      </c>
    </row>
    <row r="5914" customFormat="false" ht="17.15" hidden="false" customHeight="false" outlineLevel="0" collapsed="false">
      <c r="A5914" s="24" t="s">
        <v>824</v>
      </c>
      <c r="B5914" s="25" t="s">
        <v>86</v>
      </c>
      <c r="C5914" s="25"/>
      <c r="D5914" s="25"/>
      <c r="E5914" s="25"/>
      <c r="F5914" s="25"/>
      <c r="G5914" s="41" t="n">
        <f aca="false">Sens!$G$5912-(Sens!$G$5901+Sens!$H$5901+Sens!$I$5901+Sens!$J$5901+Sens!$K$5901)</f>
        <v>0</v>
      </c>
      <c r="H5914" s="25"/>
      <c r="I5914" s="25"/>
      <c r="J5914" s="25"/>
      <c r="K5914" s="25"/>
      <c r="L5914" s="25"/>
      <c r="M5914" s="25"/>
      <c r="N5914" s="25"/>
      <c r="O5914" s="25"/>
    </row>
    <row r="5917" customFormat="false" ht="19.4" hidden="false" customHeight="false" outlineLevel="0" collapsed="false">
      <c r="A5917" s="31" t="s">
        <v>1271</v>
      </c>
    </row>
    <row r="5918" customFormat="false" ht="17.15" hidden="false" customHeight="false" outlineLevel="0" collapsed="false">
      <c r="A5918" s="6" t="s">
        <v>16</v>
      </c>
      <c r="B5918" s="6" t="s">
        <v>17</v>
      </c>
      <c r="C5918" s="20" t="s">
        <v>504</v>
      </c>
      <c r="D5918" s="20" t="s">
        <v>505</v>
      </c>
      <c r="E5918" s="20" t="s">
        <v>587</v>
      </c>
      <c r="F5918" s="20" t="s">
        <v>588</v>
      </c>
      <c r="G5918" s="20" t="s">
        <v>589</v>
      </c>
      <c r="H5918" s="20" t="s">
        <v>590</v>
      </c>
      <c r="I5918" s="20" t="s">
        <v>591</v>
      </c>
      <c r="J5918" s="20" t="s">
        <v>592</v>
      </c>
      <c r="K5918" s="20" t="s">
        <v>593</v>
      </c>
      <c r="L5918" s="20" t="s">
        <v>594</v>
      </c>
      <c r="M5918" s="20" t="s">
        <v>595</v>
      </c>
      <c r="N5918" s="20" t="s">
        <v>596</v>
      </c>
      <c r="O5918" s="20" t="s">
        <v>597</v>
      </c>
      <c r="P5918" s="6" t="s">
        <v>23</v>
      </c>
      <c r="R5918" s="20" t="n">
        <v>2023</v>
      </c>
      <c r="S5918" s="20" t="n">
        <v>2024</v>
      </c>
      <c r="T5918" s="20" t="n">
        <v>2025</v>
      </c>
      <c r="U5918" s="20" t="n">
        <v>2026</v>
      </c>
      <c r="V5918" s="20" t="n">
        <v>2027</v>
      </c>
      <c r="W5918" s="20" t="n">
        <v>2028</v>
      </c>
      <c r="X5918" s="20" t="n">
        <v>2029</v>
      </c>
      <c r="Y5918" s="20" t="n">
        <v>2030</v>
      </c>
      <c r="Z5918" s="20" t="n">
        <v>2031</v>
      </c>
      <c r="AA5918" s="20" t="n">
        <v>2032</v>
      </c>
    </row>
    <row r="5919" customFormat="false" ht="17.15" hidden="false" customHeight="false" outlineLevel="0" collapsed="false">
      <c r="A5919" s="1" t="s">
        <v>926</v>
      </c>
    </row>
    <row r="5920" customFormat="false" ht="17.15" hidden="false" customHeight="false" outlineLevel="0" collapsed="false">
      <c r="A5920" s="0" t="s">
        <v>927</v>
      </c>
      <c r="B5920" s="0" t="s">
        <v>86</v>
      </c>
      <c r="H5920" s="38" t="n">
        <f aca="false">Sens!$H$5854*(1-tax)</f>
        <v>119.56497355468</v>
      </c>
      <c r="I5920" s="38" t="n">
        <f aca="false">Sens!$I$5854*(1-tax)</f>
        <v>141.256941944278</v>
      </c>
      <c r="J5920" s="38" t="n">
        <f aca="false">Sens!$J$5854*(1-tax)</f>
        <v>165.207646486437</v>
      </c>
      <c r="K5920" s="38" t="n">
        <f aca="false">Sens!$K$5854*(1-tax)</f>
        <v>182.019130989042</v>
      </c>
      <c r="L5920" s="38" t="n">
        <f aca="false">Sens!$L$5854*(1-tax)</f>
        <v>195.515817777459</v>
      </c>
      <c r="M5920" s="38" t="n">
        <f aca="false">Sens!$M$5854*(1-tax)</f>
        <v>207.116969585035</v>
      </c>
    </row>
    <row r="5921" customFormat="false" ht="15" hidden="false" customHeight="false" outlineLevel="0" collapsed="false">
      <c r="A5921" s="5" t="s">
        <v>928</v>
      </c>
      <c r="B5921" s="0" t="s">
        <v>86</v>
      </c>
      <c r="H5921" s="38" t="n">
        <f aca="false">Sens!$H$5865</f>
        <v>81.5618233196153</v>
      </c>
      <c r="I5921" s="38" t="n">
        <f aca="false">Sens!$I$5865</f>
        <v>118.756208740204</v>
      </c>
      <c r="J5921" s="38" t="n">
        <f aca="false">Sens!$J$5865</f>
        <v>152.469489406791</v>
      </c>
      <c r="K5921" s="38" t="n">
        <f aca="false">Sens!$K$5865</f>
        <v>186.391502623819</v>
      </c>
      <c r="L5921" s="38" t="n">
        <f aca="false">Sens!$L$5865</f>
        <v>211.536352632128</v>
      </c>
      <c r="M5921" s="38" t="n">
        <f aca="false">Sens!$M$5865</f>
        <v>227.842273347845</v>
      </c>
    </row>
    <row r="5922" customFormat="false" ht="15" hidden="false" customHeight="false" outlineLevel="0" collapsed="false">
      <c r="A5922" s="5" t="s">
        <v>929</v>
      </c>
      <c r="B5922" s="0" t="s">
        <v>86</v>
      </c>
      <c r="H5922" s="38" t="n">
        <f aca="false">Sens!$H$5896</f>
        <v>273.372679834898</v>
      </c>
      <c r="I5922" s="38" t="n">
        <f aca="false">Sens!$I$5896</f>
        <v>286.981812228425</v>
      </c>
      <c r="J5922" s="38" t="n">
        <f aca="false">Sens!$J$5896</f>
        <v>299.316513378366</v>
      </c>
      <c r="K5922" s="38" t="n">
        <f aca="false">Sens!$K$5896</f>
        <v>248.27918920067</v>
      </c>
      <c r="L5922" s="38" t="n">
        <f aca="false">Sens!$L$5896</f>
        <v>229.140418237151</v>
      </c>
      <c r="M5922" s="38" t="n">
        <f aca="false">Sens!$M$5896</f>
        <v>233.957827108485</v>
      </c>
    </row>
    <row r="5923" customFormat="false" ht="15" hidden="false" customHeight="false" outlineLevel="0" collapsed="false">
      <c r="A5923" s="5" t="s">
        <v>930</v>
      </c>
      <c r="B5923" s="0" t="s">
        <v>86</v>
      </c>
      <c r="H5923" s="38" t="n">
        <f aca="false">Sens!$H$5897</f>
        <v>1.6</v>
      </c>
      <c r="I5923" s="38" t="n">
        <f aca="false">Sens!$I$5897</f>
        <v>1.6</v>
      </c>
      <c r="J5923" s="38" t="n">
        <f aca="false">Sens!$J$5897</f>
        <v>1.6</v>
      </c>
      <c r="K5923" s="38" t="n">
        <f aca="false">Sens!$K$5897</f>
        <v>1.6</v>
      </c>
      <c r="L5923" s="38" t="n">
        <f aca="false">Sens!$L$5897</f>
        <v>1.6</v>
      </c>
      <c r="M5923" s="38" t="n">
        <f aca="false">Sens!$M$5897</f>
        <v>1.6</v>
      </c>
    </row>
    <row r="5924" customFormat="false" ht="15" hidden="false" customHeight="false" outlineLevel="0" collapsed="false">
      <c r="A5924" s="5" t="s">
        <v>931</v>
      </c>
      <c r="B5924" s="0" t="s">
        <v>86</v>
      </c>
      <c r="H5924" s="38" t="n">
        <f aca="false">Sens!$H$5891</f>
        <v>11.2928295263397</v>
      </c>
      <c r="I5924" s="38" t="n">
        <f aca="false">Sens!$I$5891</f>
        <v>12.8091546115766</v>
      </c>
      <c r="J5924" s="38" t="n">
        <f aca="false">Sens!$J$5891</f>
        <v>14.2605653162668</v>
      </c>
      <c r="K5924" s="38" t="n">
        <f aca="false">Sens!$K$5891</f>
        <v>15.5293346306567</v>
      </c>
      <c r="L5924" s="38" t="n">
        <f aca="false">Sens!$L$5891</f>
        <v>16.7069448805781</v>
      </c>
      <c r="M5924" s="38" t="n">
        <f aca="false">Sens!$M$5891</f>
        <v>17.7976949013636</v>
      </c>
    </row>
    <row r="5925" customFormat="false" ht="17.15" hidden="false" customHeight="false" outlineLevel="0" collapsed="false">
      <c r="A5925" s="1" t="s">
        <v>932</v>
      </c>
      <c r="B5925" s="8" t="s">
        <v>86</v>
      </c>
      <c r="H5925" s="38" t="n">
        <f aca="false">Sens!$H$5920+Sens!$H$5921-Sens!$H$5922-Sens!$H$5923+Sens!$H$5924</f>
        <v>-62.5530534342631</v>
      </c>
      <c r="I5925" s="38" t="n">
        <f aca="false">Sens!$I$5920+Sens!$I$5921-Sens!$I$5922-Sens!$I$5923+Sens!$I$5924</f>
        <v>-15.7595069323669</v>
      </c>
      <c r="J5925" s="38" t="n">
        <f aca="false">Sens!$J$5920+Sens!$J$5921-Sens!$J$5922-Sens!$J$5923+Sens!$J$5924</f>
        <v>31.0211878311291</v>
      </c>
      <c r="K5925" s="38" t="n">
        <f aca="false">Sens!$K$5920+Sens!$K$5921-Sens!$K$5922-Sens!$K$5923+Sens!$K$5924</f>
        <v>134.060779042848</v>
      </c>
      <c r="L5925" s="38" t="n">
        <f aca="false">Sens!$L$5920+Sens!$L$5921-Sens!$L$5922-Sens!$L$5923+Sens!$L$5924</f>
        <v>193.018697053015</v>
      </c>
      <c r="M5925" s="38" t="n">
        <f aca="false">Sens!$M$5920+Sens!$M$5921-Sens!$M$5922-Sens!$M$5923+Sens!$M$5924</f>
        <v>217.199110725758</v>
      </c>
    </row>
    <row r="5926" customFormat="false" ht="15" hidden="false" customHeight="false" outlineLevel="0" collapsed="false">
      <c r="A5926" s="5" t="s">
        <v>933</v>
      </c>
      <c r="B5926" s="0" t="s">
        <v>57</v>
      </c>
      <c r="H5926" s="40" t="n">
        <f aca="false">1/(1+wacc)^(2027-2026-0.5)</f>
        <v>0.947751320380232</v>
      </c>
      <c r="I5926" s="40" t="n">
        <f aca="false">1/(1+wacc)^(2028-2026-0.5)</f>
        <v>0.851301099754987</v>
      </c>
      <c r="J5926" s="40" t="n">
        <f aca="false">1/(1+wacc)^(2029-2026-0.5)</f>
        <v>0.764666370660713</v>
      </c>
      <c r="K5926" s="40" t="n">
        <f aca="false">1/(1+wacc)^(2030-2026-0.5)</f>
        <v>0.686848235703811</v>
      </c>
      <c r="L5926" s="40" t="n">
        <f aca="false">1/(1+wacc)^(2031-2026-0.5)</f>
        <v>0.616949452715975</v>
      </c>
      <c r="M5926" s="40" t="n">
        <f aca="false">1/(1+wacc)^(2032-2026-0.5)</f>
        <v>0.554164089562688</v>
      </c>
    </row>
    <row r="5927" customFormat="false" ht="15" hidden="false" customHeight="false" outlineLevel="0" collapsed="false">
      <c r="A5927" s="5" t="s">
        <v>934</v>
      </c>
      <c r="B5927" s="0" t="s">
        <v>86</v>
      </c>
      <c r="H5927" s="38" t="n">
        <f aca="false">Sens!$H$5925*Sens!$H$5926</f>
        <v>-59.2847389861381</v>
      </c>
      <c r="I5927" s="38" t="n">
        <f aca="false">Sens!$I$5925*Sens!$I$5926</f>
        <v>-13.4160855831203</v>
      </c>
      <c r="J5927" s="38" t="n">
        <f aca="false">Sens!$J$5925*Sens!$J$5926</f>
        <v>23.7208591124138</v>
      </c>
      <c r="K5927" s="38" t="n">
        <f aca="false">Sens!$K$5925*Sens!$K$5926</f>
        <v>92.0794095626583</v>
      </c>
      <c r="L5927" s="38" t="n">
        <f aca="false">Sens!$L$5925*Sens!$L$5926</f>
        <v>119.082779510808</v>
      </c>
      <c r="M5927" s="38" t="n">
        <f aca="false">Sens!$M$5925*Sens!$M$5926</f>
        <v>120.363947449165</v>
      </c>
    </row>
    <row r="5928" customFormat="false" ht="15" hidden="false" customHeight="false" outlineLevel="0" collapsed="false">
      <c r="A5928" s="5" t="s">
        <v>935</v>
      </c>
      <c r="B5928" s="0" t="s">
        <v>86</v>
      </c>
      <c r="C5928" s="38" t="n">
        <f aca="false">SUM(Sens!$H$5927:$M$5927)</f>
        <v>282.546171065787</v>
      </c>
    </row>
    <row r="5929" customFormat="false" ht="17.15" hidden="false" customHeight="false" outlineLevel="0" collapsed="false">
      <c r="A5929" s="5" t="s">
        <v>936</v>
      </c>
      <c r="B5929" s="0" t="s">
        <v>86</v>
      </c>
      <c r="C5929" s="38" t="n">
        <f aca="false">Sens!$M$5920*(1+tg_lo)*(1-tg_lo/ronic)/(wacc-tg_lo)</f>
        <v>1864.64355290755</v>
      </c>
    </row>
    <row r="5930" customFormat="false" ht="15" hidden="false" customHeight="false" outlineLevel="0" collapsed="false">
      <c r="A5930" s="5" t="s">
        <v>937</v>
      </c>
      <c r="B5930" s="0" t="s">
        <v>86</v>
      </c>
      <c r="C5930" s="38" t="n">
        <f aca="false">Sens!$C$5929/(1+wacc)^6</f>
        <v>979.32896976854</v>
      </c>
    </row>
    <row r="5931" customFormat="false" ht="17.15" hidden="false" customHeight="false" outlineLevel="0" collapsed="false">
      <c r="A5931" s="5" t="s">
        <v>938</v>
      </c>
      <c r="B5931" s="0" t="s">
        <v>86</v>
      </c>
      <c r="C5931" s="38" t="n">
        <f aca="false">Sens!$C$5928+Sens!$C$5930</f>
        <v>1261.87514083433</v>
      </c>
    </row>
    <row r="5932" customFormat="false" ht="17.15" hidden="false" customHeight="false" outlineLevel="0" collapsed="false">
      <c r="A5932" s="5" t="s">
        <v>939</v>
      </c>
      <c r="B5932" s="0" t="s">
        <v>52</v>
      </c>
      <c r="C5932" s="13" t="n">
        <f aca="false">Sens!$C$5930/Sens!$C$5931</f>
        <v>0.77609023117852</v>
      </c>
    </row>
    <row r="5933" customFormat="false" ht="17.15" hidden="false" customHeight="false" outlineLevel="0" collapsed="false">
      <c r="A5933" s="5" t="s">
        <v>940</v>
      </c>
      <c r="B5933" s="0" t="s">
        <v>86</v>
      </c>
      <c r="C5933" s="38" t="n">
        <f aca="false">Sens!$G$5909+fin_debt</f>
        <v>89.0551793268317</v>
      </c>
    </row>
    <row r="5934" customFormat="false" ht="17.15" hidden="false" customHeight="false" outlineLevel="0" collapsed="false">
      <c r="A5934" s="5" t="s">
        <v>941</v>
      </c>
      <c r="B5934" s="0" t="s">
        <v>86</v>
      </c>
      <c r="C5934" s="38" t="n">
        <f aca="false">(ant_val*ant_sh+oai_val*oai_sh)*(1-liq_disc)</f>
        <v>178.944</v>
      </c>
    </row>
    <row r="5935" customFormat="false" ht="15" hidden="false" customHeight="false" outlineLevel="0" collapsed="false">
      <c r="A5935" s="5" t="s">
        <v>942</v>
      </c>
      <c r="B5935" s="0" t="s">
        <v>86</v>
      </c>
      <c r="C5935" s="38" t="n">
        <f aca="false">Sens!$C$5931-Sens!$C$5933+Sens!$C$5934</f>
        <v>1351.7639615075</v>
      </c>
    </row>
    <row r="5936" customFormat="false" ht="17.15" hidden="false" customHeight="false" outlineLevel="0" collapsed="false">
      <c r="A5936" s="5" t="s">
        <v>943</v>
      </c>
      <c r="B5936" s="0" t="s">
        <v>27</v>
      </c>
      <c r="C5936" s="30" t="n">
        <f aca="false">Sens!$C$5935/sh_out</f>
        <v>125.322140770934</v>
      </c>
    </row>
    <row r="5937" customFormat="false" ht="17.15" hidden="false" customHeight="false" outlineLevel="0" collapsed="false">
      <c r="A5937" s="1" t="s">
        <v>944</v>
      </c>
      <c r="B5937" s="8" t="s">
        <v>27</v>
      </c>
      <c r="C5937" s="30" t="n">
        <f aca="false">Sens!$C$5936*(1+ke)^tp_yf-dps*tp_yf</f>
        <v>137.27396877399</v>
      </c>
    </row>
    <row r="5938" customFormat="false" ht="17.15" hidden="false" customHeight="false" outlineLevel="0" collapsed="false">
      <c r="A5938" s="3" t="s">
        <v>945</v>
      </c>
    </row>
    <row r="5939" customFormat="false" ht="17.15" hidden="false" customHeight="false" outlineLevel="0" collapsed="false">
      <c r="A5939" s="5" t="s">
        <v>946</v>
      </c>
      <c r="B5939" s="0" t="s">
        <v>86</v>
      </c>
      <c r="C5939" s="38" t="n">
        <f aca="false">(1-tp_yf)*(Sens!$H$5866+sbc_ab*Sens!$H$5890*Sens!$H$5727/Sens!$H$5807)+tp_yf*(Sens!$I$5866+sbc_ab*Sens!$I$5890*Sens!$I$5727/Sens!$I$5807)</f>
        <v>59.634664536349</v>
      </c>
    </row>
    <row r="5940" customFormat="false" ht="15" hidden="false" customHeight="false" outlineLevel="0" collapsed="false">
      <c r="A5940" s="5" t="s">
        <v>947</v>
      </c>
      <c r="B5940" s="0" t="s">
        <v>57</v>
      </c>
      <c r="C5940" s="30" t="n">
        <f aca="false">m_ads*m_x</f>
        <v>9.11</v>
      </c>
    </row>
    <row r="5941" customFormat="false" ht="17.15" hidden="false" customHeight="false" outlineLevel="0" collapsed="false">
      <c r="A5941" s="5" t="s">
        <v>948</v>
      </c>
      <c r="B5941" s="0" t="s">
        <v>86</v>
      </c>
      <c r="C5941" s="38" t="n">
        <f aca="false">Sens!$C$5939*Sens!$C$5940</f>
        <v>543.271793926139</v>
      </c>
    </row>
    <row r="5942" customFormat="false" ht="17.15" hidden="false" customHeight="false" outlineLevel="0" collapsed="false">
      <c r="A5942" s="5" t="s">
        <v>949</v>
      </c>
      <c r="B5942" s="0" t="s">
        <v>86</v>
      </c>
      <c r="C5942" s="38" t="n">
        <f aca="false">(1-tp_yf)*(Sens!$H$5867+sbc_ab*Sens!$H$5890*(Sens!$H$5734-Sens!$H$5727)/Sens!$H$5807+IF(internal_ai_reading=2,1,0)*(1-ext_sh)*Sens!$H$5764)+tp_yf*(Sens!$I$5867+sbc_ab*Sens!$I$5890*(Sens!$I$5734-Sens!$I$5727)/Sens!$I$5807+IF(internal_ai_reading=2,1,0)*(1-ext_sh)*Sens!$I$5764)</f>
        <v>51.6951811103438</v>
      </c>
    </row>
    <row r="5943" customFormat="false" ht="17.15" hidden="false" customHeight="false" outlineLevel="0" collapsed="false">
      <c r="A5943" s="5" t="s">
        <v>950</v>
      </c>
      <c r="B5943" s="0" t="s">
        <v>57</v>
      </c>
      <c r="C5943" s="30" t="n">
        <f aca="false">m_retail*m_x</f>
        <v>17.72</v>
      </c>
    </row>
    <row r="5944" customFormat="false" ht="17.15" hidden="false" customHeight="false" outlineLevel="0" collapsed="false">
      <c r="A5944" s="5" t="s">
        <v>951</v>
      </c>
      <c r="B5944" s="0" t="s">
        <v>86</v>
      </c>
      <c r="C5944" s="38" t="n">
        <f aca="false">Sens!$C$5942*Sens!$C$5943</f>
        <v>916.038609275292</v>
      </c>
    </row>
    <row r="5945" customFormat="false" ht="17.15" hidden="false" customHeight="false" outlineLevel="0" collapsed="false">
      <c r="A5945" s="0" t="s">
        <v>952</v>
      </c>
      <c r="B5945" s="0" t="s">
        <v>86</v>
      </c>
      <c r="C5945" s="38" t="n">
        <f aca="false">(1-tp_yf)*(Sens!$H$5868+sbc_ab*Sens!$H$5890*Sens!$H$5805/Sens!$H$5807)+tp_yf*(Sens!$I$5868+sbc_ab*Sens!$I$5890*Sens!$I$5805/Sens!$I$5807)</f>
        <v>97.2337130506861</v>
      </c>
    </row>
    <row r="5946" customFormat="false" ht="17.15" hidden="false" customHeight="false" outlineLevel="0" collapsed="false">
      <c r="A5946" s="0" t="s">
        <v>953</v>
      </c>
      <c r="B5946" s="0" t="s">
        <v>57</v>
      </c>
      <c r="C5946" s="30" t="n">
        <f aca="false">m_cloud*m_x</f>
        <v>13.82</v>
      </c>
    </row>
    <row r="5947" customFormat="false" ht="17.15" hidden="false" customHeight="false" outlineLevel="0" collapsed="false">
      <c r="A5947" s="0" t="s">
        <v>954</v>
      </c>
      <c r="B5947" s="0" t="s">
        <v>86</v>
      </c>
      <c r="C5947" s="38" t="n">
        <f aca="false">Sens!$C$5945*Sens!$C$5946</f>
        <v>1343.76991436048</v>
      </c>
    </row>
    <row r="5948" customFormat="false" ht="17.15" hidden="false" customHeight="false" outlineLevel="0" collapsed="false">
      <c r="A5948" s="0" t="s">
        <v>955</v>
      </c>
      <c r="B5948" s="0" t="s">
        <v>86</v>
      </c>
      <c r="H5948" s="38" t="n">
        <f aca="false">Sens!$H$5786-tax*Sens!$H$5787-ext_sh*Sens!$H$5771</f>
        <v>-115.41576008619</v>
      </c>
      <c r="I5948" s="38" t="n">
        <f aca="false">Sens!$I$5786-tax*Sens!$I$5787-ext_sh*Sens!$I$5771</f>
        <v>-88.5401912683161</v>
      </c>
      <c r="J5948" s="38" t="n">
        <f aca="false">Sens!$J$5786-tax*Sens!$J$5787-ext_sh*Sens!$J$5771</f>
        <v>-61.2977422866746</v>
      </c>
      <c r="K5948" s="38" t="n">
        <f aca="false">Sens!$K$5786-tax*Sens!$K$5787-ext_sh*Sens!$K$5771</f>
        <v>11.9455917032656</v>
      </c>
      <c r="L5948" s="38" t="n">
        <f aca="false">Sens!$L$5786-tax*Sens!$L$5787-ext_sh*Sens!$L$5771</f>
        <v>50.3881926675933</v>
      </c>
      <c r="M5948" s="38" t="n">
        <f aca="false">Sens!$M$5786-tax*Sens!$M$5787-ext_sh*Sens!$M$5771</f>
        <v>60.3778570072396</v>
      </c>
    </row>
    <row r="5949" customFormat="false" ht="17.15" hidden="false" customHeight="false" outlineLevel="0" collapsed="false">
      <c r="A5949" s="5" t="s">
        <v>956</v>
      </c>
      <c r="B5949" s="0" t="s">
        <v>86</v>
      </c>
      <c r="H5949" s="38" t="n">
        <f aca="false">Sens!$H$5948*Sens!$H$5926</f>
        <v>-109.385439014374</v>
      </c>
      <c r="I5949" s="38" t="n">
        <f aca="false">Sens!$I$5948*Sens!$I$5926</f>
        <v>-75.3743621992344</v>
      </c>
      <c r="J5949" s="38" t="n">
        <f aca="false">Sens!$J$5948*Sens!$J$5926</f>
        <v>-46.8723221240472</v>
      </c>
      <c r="K5949" s="38" t="n">
        <f aca="false">Sens!$K$5948*Sens!$K$5926</f>
        <v>8.20480858582604</v>
      </c>
      <c r="L5949" s="38" t="n">
        <f aca="false">Sens!$L$5948*Sens!$L$5926</f>
        <v>31.0869678896188</v>
      </c>
      <c r="M5949" s="38" t="n">
        <f aca="false">Sens!$M$5948*Sens!$M$5926</f>
        <v>33.4592401581631</v>
      </c>
    </row>
    <row r="5950" customFormat="false" ht="17.15" hidden="false" customHeight="false" outlineLevel="0" collapsed="false">
      <c r="A5950" s="5" t="s">
        <v>957</v>
      </c>
      <c r="B5950" s="0" t="s">
        <v>86</v>
      </c>
      <c r="C5950" s="38" t="n">
        <f aca="false">Sens!$M$5787*(1-tax)*(1+tg_lo)*(1-tg_lo/ronic)/(wacc-tg_lo)</f>
        <v>344.470790543031</v>
      </c>
    </row>
    <row r="5951" customFormat="false" ht="17.15" hidden="false" customHeight="false" outlineLevel="0" collapsed="false">
      <c r="A5951" s="0" t="s">
        <v>958</v>
      </c>
      <c r="B5951" s="0" t="s">
        <v>86</v>
      </c>
      <c r="C5951" s="38" t="n">
        <f aca="false">(SUM(Sens!$I$5949:$M$5949)+Sens!$C$5950/(1+wacc)^6)*(1+wacc)^tp_yf</f>
        <v>143.543797348418</v>
      </c>
    </row>
    <row r="5952" customFormat="false" ht="17.15" hidden="false" customHeight="false" outlineLevel="0" collapsed="false">
      <c r="A5952" s="5" t="s">
        <v>959</v>
      </c>
      <c r="B5952" s="0" t="s">
        <v>86</v>
      </c>
      <c r="C5952" s="38" t="n">
        <f aca="false">(1-tp_yf)*(Sens!$H$5869)+tp_yf*(Sens!$I$5869)</f>
        <v>74.6707041238437</v>
      </c>
    </row>
    <row r="5953" customFormat="false" ht="17.15" hidden="false" customHeight="false" outlineLevel="0" collapsed="false">
      <c r="A5953" s="5" t="s">
        <v>960</v>
      </c>
      <c r="B5953" s="0" t="s">
        <v>86</v>
      </c>
      <c r="C5953" s="38" t="n">
        <f aca="false">Sens!$C$5952*m_ai</f>
        <v>448.024224743062</v>
      </c>
    </row>
    <row r="5954" customFormat="false" ht="17.15" hidden="false" customHeight="false" outlineLevel="0" collapsed="false">
      <c r="A5954" s="0" t="s">
        <v>961</v>
      </c>
      <c r="B5954" s="0" t="s">
        <v>86</v>
      </c>
      <c r="C5954" s="38" t="n">
        <f aca="false">IF(ai_leg=1,Sens!$C$5951,Sens!$C$5953)</f>
        <v>143.543797348418</v>
      </c>
    </row>
    <row r="5955" customFormat="false" ht="17.15" hidden="false" customHeight="false" outlineLevel="0" collapsed="false">
      <c r="A5955" s="5" t="s">
        <v>962</v>
      </c>
      <c r="B5955" s="0" t="s">
        <v>86</v>
      </c>
      <c r="C5955" s="38" t="n">
        <f aca="false">Sens!$C$5941+Sens!$C$5944+Sens!$C$5947+Sens!$C$5954</f>
        <v>2946.62411491033</v>
      </c>
    </row>
    <row r="5956" customFormat="false" ht="17.15" hidden="false" customHeight="false" outlineLevel="0" collapsed="false">
      <c r="A5956" s="5" t="s">
        <v>963</v>
      </c>
      <c r="B5956" s="0" t="s">
        <v>86</v>
      </c>
      <c r="C5956" s="38" t="n">
        <f aca="false">Sens!$H$5909+fin_debt</f>
        <v>143.411303169235</v>
      </c>
    </row>
    <row r="5957" customFormat="false" ht="15" hidden="false" customHeight="false" outlineLevel="0" collapsed="false">
      <c r="A5957" s="5" t="s">
        <v>964</v>
      </c>
      <c r="B5957" s="0" t="s">
        <v>86</v>
      </c>
      <c r="C5957" s="38" t="n">
        <f aca="false">Sens!$C$5955-Sens!$C$5956+Sens!$C$5934</f>
        <v>2982.1568117411</v>
      </c>
    </row>
    <row r="5958" customFormat="false" ht="15" hidden="false" customHeight="false" outlineLevel="0" collapsed="false">
      <c r="A5958" s="3" t="s">
        <v>965</v>
      </c>
      <c r="B5958" s="8" t="s">
        <v>27</v>
      </c>
      <c r="C5958" s="30" t="n">
        <f aca="false">Sens!$C$5957/sh_val</f>
        <v>270.360101420603</v>
      </c>
    </row>
    <row r="5959" customFormat="false" ht="17.15" hidden="false" customHeight="false" outlineLevel="0" collapsed="false">
      <c r="A5959" s="47" t="s">
        <v>966</v>
      </c>
      <c r="B5959" s="14" t="s">
        <v>27</v>
      </c>
      <c r="C5959" s="44" t="n">
        <f aca="false">w_dcf*Sens!$C$5937+(1-w_dcf)*Sens!$C$5958</f>
        <v>203.817035097296</v>
      </c>
      <c r="D5959" s="14"/>
      <c r="E5959" s="14"/>
      <c r="F5959" s="14"/>
      <c r="G5959" s="14"/>
      <c r="H5959" s="14"/>
      <c r="I5959" s="14"/>
      <c r="J5959" s="14"/>
      <c r="K5959" s="14"/>
      <c r="L5959" s="14"/>
      <c r="M5959" s="14"/>
      <c r="N5959" s="14"/>
      <c r="O5959" s="14"/>
    </row>
    <row r="5960" customFormat="false" ht="17.15" hidden="false" customHeight="false" outlineLevel="0" collapsed="false">
      <c r="A5960" s="5" t="s">
        <v>967</v>
      </c>
      <c r="B5960" s="0" t="s">
        <v>27</v>
      </c>
      <c r="C5960" s="30" t="n">
        <f aca="false">v022_wdcf*Sens!$C$5937+(1-v022_wdcf)*Sens!$C$5958</f>
        <v>210.471341729627</v>
      </c>
    </row>
    <row r="5961" customFormat="false" ht="17.15" hidden="false" customHeight="false" outlineLevel="0" collapsed="false">
      <c r="A5961" s="5" t="s">
        <v>968</v>
      </c>
      <c r="B5961" s="0" t="s">
        <v>27</v>
      </c>
      <c r="C5961" s="30" t="n">
        <f aca="false">(Sens!$C$5957-Sens!$C$5954+Sens!$C$5953)/sh_val</f>
        <v>297.964068759578</v>
      </c>
    </row>
    <row r="5964" customFormat="false" ht="19.4" hidden="false" customHeight="false" outlineLevel="0" collapsed="false">
      <c r="A5964" s="31" t="s">
        <v>1272</v>
      </c>
    </row>
    <row r="5965" customFormat="false" ht="17.15" hidden="false" customHeight="false" outlineLevel="0" collapsed="false">
      <c r="A5965" s="6" t="s">
        <v>16</v>
      </c>
      <c r="B5965" s="6" t="s">
        <v>17</v>
      </c>
      <c r="C5965" s="20" t="s">
        <v>504</v>
      </c>
      <c r="D5965" s="20" t="s">
        <v>505</v>
      </c>
      <c r="E5965" s="20" t="s">
        <v>587</v>
      </c>
      <c r="F5965" s="20" t="s">
        <v>588</v>
      </c>
      <c r="G5965" s="20" t="s">
        <v>589</v>
      </c>
      <c r="H5965" s="20" t="s">
        <v>590</v>
      </c>
      <c r="I5965" s="20" t="s">
        <v>591</v>
      </c>
      <c r="J5965" s="20" t="s">
        <v>592</v>
      </c>
      <c r="K5965" s="20" t="s">
        <v>593</v>
      </c>
      <c r="L5965" s="20" t="s">
        <v>594</v>
      </c>
      <c r="M5965" s="20" t="s">
        <v>595</v>
      </c>
      <c r="N5965" s="20" t="s">
        <v>596</v>
      </c>
      <c r="O5965" s="20" t="s">
        <v>597</v>
      </c>
      <c r="P5965" s="6" t="s">
        <v>23</v>
      </c>
      <c r="R5965" s="20" t="n">
        <v>2023</v>
      </c>
      <c r="S5965" s="20" t="n">
        <v>2024</v>
      </c>
      <c r="T5965" s="20" t="n">
        <v>2025</v>
      </c>
      <c r="U5965" s="20" t="n">
        <v>2026</v>
      </c>
      <c r="V5965" s="20" t="n">
        <v>2027</v>
      </c>
      <c r="W5965" s="20" t="n">
        <v>2028</v>
      </c>
      <c r="X5965" s="20" t="n">
        <v>2029</v>
      </c>
      <c r="Y5965" s="20" t="n">
        <v>2030</v>
      </c>
      <c r="Z5965" s="20" t="n">
        <v>2031</v>
      </c>
      <c r="AA5965" s="20" t="n">
        <v>2032</v>
      </c>
    </row>
    <row r="5966" customFormat="false" ht="17.15" hidden="false" customHeight="false" outlineLevel="0" collapsed="false">
      <c r="A5966" s="1" t="s">
        <v>677</v>
      </c>
    </row>
    <row r="5967" customFormat="false" ht="17.15" hidden="false" customHeight="false" outlineLevel="0" collapsed="false">
      <c r="A5967" s="0" t="s">
        <v>526</v>
      </c>
      <c r="B5967" s="0" t="s">
        <v>86</v>
      </c>
      <c r="C5967" s="38" t="n">
        <f aca="false">Q!$D$10</f>
        <v>247.029</v>
      </c>
      <c r="D5967" s="38" t="n">
        <f aca="false">Q!$E$10</f>
        <v>269.287</v>
      </c>
      <c r="E5967" s="38" t="n">
        <f aca="false">Q!$P$10</f>
        <v>134.686</v>
      </c>
      <c r="F5967" s="38" t="n">
        <f aca="false">Sens!$O$5967*(1+Sens!$F$5968)*Sens!$F$5979</f>
        <v>158.293876822267</v>
      </c>
      <c r="G5967" s="38" t="n">
        <f aca="false">Sens!$E$5967+Sens!$F$5967</f>
        <v>292.979876822267</v>
      </c>
      <c r="H5967" s="38" t="n">
        <f aca="false">Sens!$G$5967*(1+Sens!$H$5968)</f>
        <v>318.184543087396</v>
      </c>
      <c r="I5967" s="38" t="n">
        <f aca="false">Sens!$H$5967*(1+Sens!$I$5968)</f>
        <v>341.736278761793</v>
      </c>
      <c r="J5967" s="38" t="n">
        <f aca="false">Sens!$I$5967*(1+Sens!$J$5968)</f>
        <v>362.927192787048</v>
      </c>
      <c r="K5967" s="38" t="n">
        <f aca="false">Sens!$J$5967*(1+Sens!$K$5968)</f>
        <v>381.0735524264</v>
      </c>
      <c r="L5967" s="38" t="n">
        <f aca="false">Sens!$K$5967*(1+Sens!$L$5968)</f>
        <v>400.12723004772</v>
      </c>
      <c r="M5967" s="38" t="n">
        <f aca="false">Sens!$L$5967*(1+Sens!$M$5968)</f>
        <v>420.133591550106</v>
      </c>
      <c r="N5967" s="38" t="n">
        <f aca="false">Q!$N$10</f>
        <v>118.892</v>
      </c>
      <c r="O5967" s="38" t="n">
        <f aca="false">Q!$O$10</f>
        <v>150.395</v>
      </c>
      <c r="P5967" s="8" t="s">
        <v>678</v>
      </c>
    </row>
    <row r="5968" customFormat="false" ht="17.15" hidden="false" customHeight="false" outlineLevel="0" collapsed="false">
      <c r="A5968" s="0" t="s">
        <v>679</v>
      </c>
      <c r="B5968" s="0" t="s">
        <v>52</v>
      </c>
      <c r="E5968" s="13" t="n">
        <f aca="false">Sens!$E$5967/Sens!$N$5967-1</f>
        <v>0.132843252699929</v>
      </c>
      <c r="F5968" s="13" t="n">
        <f aca="false">Sens!$O$5967/(Q!$F$10+Q!$G$10)-1</f>
        <v>0.0980382135842941</v>
      </c>
      <c r="G5968" s="13" t="n">
        <f aca="false">Sens!$G$5967/Sens!$D$5967-1</f>
        <v>0.0879837378791657</v>
      </c>
      <c r="H5968" s="13" t="n">
        <f aca="false">Sens!$F$5968+(g_os-Sens!$F$5968)*1/4</f>
        <v>0.0860286601882206</v>
      </c>
      <c r="I5968" s="13" t="n">
        <f aca="false">Sens!$F$5968+(g_os-Sens!$F$5968)*2/4</f>
        <v>0.074019106792147</v>
      </c>
      <c r="J5968" s="13" t="n">
        <f aca="false">Sens!$F$5968+(g_os-Sens!$F$5968)*3/4</f>
        <v>0.0620095533960735</v>
      </c>
      <c r="K5968" s="13" t="n">
        <f aca="false">Sens!$F$5968+(g_os-Sens!$F$5968)*4/4</f>
        <v>0.05</v>
      </c>
      <c r="L5968" s="13" t="n">
        <f aca="false">g_os</f>
        <v>0.05</v>
      </c>
      <c r="M5968" s="13" t="n">
        <f aca="false">g_os</f>
        <v>0.05</v>
      </c>
      <c r="P5968" s="8" t="s">
        <v>680</v>
      </c>
    </row>
    <row r="5969" customFormat="false" ht="17.15" hidden="false" customHeight="false" outlineLevel="0" collapsed="false">
      <c r="A5969" s="0" t="s">
        <v>527</v>
      </c>
      <c r="B5969" s="0" t="s">
        <v>86</v>
      </c>
      <c r="C5969" s="38" t="n">
        <f aca="false">Q!$D$11</f>
        <v>21.215</v>
      </c>
      <c r="D5969" s="38" t="n">
        <f aca="false">Q!$E$11</f>
        <v>22.561</v>
      </c>
      <c r="E5969" s="38" t="n">
        <f aca="false">Q!$P$11</f>
        <v>11.579</v>
      </c>
      <c r="F5969" s="38" t="n">
        <f aca="false">Sens!$O$5969*(1+Sens!$F$5970)*Sens!$F$5979</f>
        <v>11.5938724610325</v>
      </c>
      <c r="G5969" s="38" t="n">
        <f aca="false">Sens!$E$5969+Sens!$F$5969</f>
        <v>23.1728724610325</v>
      </c>
      <c r="H5969" s="38" t="n">
        <f aca="false">Sens!$G$5969*(1+Sens!$H$5970)</f>
        <v>24.353392759506</v>
      </c>
      <c r="I5969" s="38" t="n">
        <f aca="false">Sens!$H$5969*(1+Sens!$I$5970)</f>
        <v>25.4240338872015</v>
      </c>
      <c r="J5969" s="38" t="n">
        <f aca="false">Sens!$I$5969*(1+Sens!$J$5970)</f>
        <v>26.3642491017174</v>
      </c>
      <c r="K5969" s="38" t="n">
        <f aca="false">Sens!$J$5969*(1+Sens!$K$5970)</f>
        <v>27.155176574769</v>
      </c>
      <c r="L5969" s="38" t="n">
        <f aca="false">Sens!$K$5969*(1+Sens!$L$5970)</f>
        <v>27.969831872012</v>
      </c>
      <c r="M5969" s="38" t="n">
        <f aca="false">Sens!$L$5969*(1+Sens!$M$5970)</f>
        <v>28.8089268281724</v>
      </c>
      <c r="N5969" s="38" t="n">
        <f aca="false">Q!$N$11</f>
        <v>11.128</v>
      </c>
      <c r="O5969" s="38" t="n">
        <f aca="false">Q!$O$11</f>
        <v>11.433</v>
      </c>
      <c r="P5969" s="8" t="s">
        <v>678</v>
      </c>
    </row>
    <row r="5970" customFormat="false" ht="17.15" hidden="false" customHeight="false" outlineLevel="0" collapsed="false">
      <c r="A5970" s="0" t="s">
        <v>681</v>
      </c>
      <c r="B5970" s="0" t="s">
        <v>52</v>
      </c>
      <c r="E5970" s="13" t="n">
        <f aca="false">Sens!$E$5969/Sens!$N$5969-1</f>
        <v>0.0405283968368082</v>
      </c>
      <c r="F5970" s="13" t="n">
        <f aca="false">Sens!$O$5969/(Q!$F$11+Q!$G$11)-1</f>
        <v>0.0579254187100955</v>
      </c>
      <c r="G5970" s="13" t="n">
        <f aca="false">Sens!$G$5969/Sens!$D$5969-1</f>
        <v>0.0271208040881397</v>
      </c>
      <c r="H5970" s="13" t="n">
        <f aca="false">Sens!$F$5970+(g_ps-Sens!$F$5970)*1/4</f>
        <v>0.0509440640325716</v>
      </c>
      <c r="I5970" s="13" t="n">
        <f aca="false">Sens!$F$5970+(g_ps-Sens!$F$5970)*2/4</f>
        <v>0.0439627093550477</v>
      </c>
      <c r="J5970" s="13" t="n">
        <f aca="false">Sens!$F$5970+(g_ps-Sens!$F$5970)*3/4</f>
        <v>0.0369813546775239</v>
      </c>
      <c r="K5970" s="13" t="n">
        <f aca="false">Sens!$F$5970+(g_ps-Sens!$F$5970)*4/4</f>
        <v>0.03</v>
      </c>
      <c r="L5970" s="13" t="n">
        <f aca="false">g_ps</f>
        <v>0.03</v>
      </c>
      <c r="M5970" s="13" t="n">
        <f aca="false">g_ps</f>
        <v>0.03</v>
      </c>
      <c r="P5970" s="8" t="s">
        <v>682</v>
      </c>
    </row>
    <row r="5971" customFormat="false" ht="17.15" hidden="false" customHeight="false" outlineLevel="0" collapsed="false">
      <c r="A5971" s="0" t="s">
        <v>528</v>
      </c>
      <c r="B5971" s="0" t="s">
        <v>86</v>
      </c>
      <c r="C5971" s="38" t="n">
        <f aca="false">Q!$D$12</f>
        <v>156.146</v>
      </c>
      <c r="D5971" s="38" t="n">
        <f aca="false">Q!$E$12</f>
        <v>172.162</v>
      </c>
      <c r="E5971" s="38" t="n">
        <f aca="false">Q!$P$12</f>
        <v>88.358</v>
      </c>
      <c r="F5971" s="38" t="n">
        <f aca="false">Sens!$O$5971*(1+Sens!$F$5972)*Sens!$F$5979</f>
        <v>102.004388260171</v>
      </c>
      <c r="G5971" s="38" t="n">
        <f aca="false">Sens!$E$5971+Sens!$F$5971</f>
        <v>190.362388260171</v>
      </c>
      <c r="H5971" s="38" t="n">
        <f aca="false">Sens!$G$5971*(1+Sens!$H$5972)</f>
        <v>210.343106588311</v>
      </c>
      <c r="I5971" s="38" t="n">
        <f aca="false">Sens!$H$5971*(1+Sens!$I$5972)</f>
        <v>229.969728494648</v>
      </c>
      <c r="J5971" s="38" t="n">
        <f aca="false">Sens!$I$5971*(1+Sens!$J$5972)</f>
        <v>248.747636972598</v>
      </c>
      <c r="K5971" s="38" t="n">
        <f aca="false">Sens!$J$5971*(1+Sens!$K$5972)</f>
        <v>266.15997156068</v>
      </c>
      <c r="L5971" s="38" t="n">
        <f aca="false">Sens!$K$5971*(1+Sens!$L$5972)</f>
        <v>284.791169569927</v>
      </c>
      <c r="M5971" s="38" t="n">
        <f aca="false">Sens!$L$5971*(1+Sens!$M$5972)</f>
        <v>304.726551439822</v>
      </c>
      <c r="N5971" s="38" t="n">
        <f aca="false">Q!$N$12</f>
        <v>76.86</v>
      </c>
      <c r="O5971" s="38" t="n">
        <f aca="false">Q!$O$12</f>
        <v>95.302</v>
      </c>
      <c r="P5971" s="8" t="s">
        <v>678</v>
      </c>
    </row>
    <row r="5972" customFormat="false" ht="17.15" hidden="false" customHeight="false" outlineLevel="0" collapsed="false">
      <c r="A5972" s="0" t="s">
        <v>683</v>
      </c>
      <c r="B5972" s="0" t="s">
        <v>52</v>
      </c>
      <c r="E5972" s="13" t="n">
        <f aca="false">Sens!$E$5971/Sens!$N$5971-1</f>
        <v>0.1495966692688</v>
      </c>
      <c r="F5972" s="13" t="n">
        <f aca="false">Sens!$O$5971/(Q!$F$12+Q!$G$12)-1</f>
        <v>0.11661530890813</v>
      </c>
      <c r="G5972" s="13" t="n">
        <f aca="false">Sens!$G$5971/Sens!$D$5971-1</f>
        <v>0.105716640490767</v>
      </c>
      <c r="H5972" s="13" t="n">
        <f aca="false">Sens!$F$5972+(g_sp-Sens!$F$5972)*1/4</f>
        <v>0.104961481681098</v>
      </c>
      <c r="I5972" s="13" t="n">
        <f aca="false">Sens!$F$5972+(g_sp-Sens!$F$5972)*2/4</f>
        <v>0.0933076544540651</v>
      </c>
      <c r="J5972" s="13" t="n">
        <f aca="false">Sens!$F$5972+(g_sp-Sens!$F$5972)*3/4</f>
        <v>0.0816538272270325</v>
      </c>
      <c r="K5972" s="13" t="n">
        <f aca="false">Sens!$F$5972+(g_sp-Sens!$F$5972)*4/4</f>
        <v>0.07</v>
      </c>
      <c r="L5972" s="13" t="n">
        <f aca="false">g_sp</f>
        <v>0.07</v>
      </c>
      <c r="M5972" s="13" t="n">
        <f aca="false">g_sp</f>
        <v>0.07</v>
      </c>
      <c r="P5972" s="8" t="s">
        <v>684</v>
      </c>
    </row>
    <row r="5973" customFormat="false" ht="17.15" hidden="false" customHeight="false" outlineLevel="0" collapsed="false">
      <c r="A5973" s="0" t="s">
        <v>529</v>
      </c>
      <c r="B5973" s="0" t="s">
        <v>86</v>
      </c>
      <c r="C5973" s="38" t="n">
        <f aca="false">Q!$D$13</f>
        <v>56.214</v>
      </c>
      <c r="D5973" s="38" t="n">
        <f aca="false">Q!$E$13</f>
        <v>68.635</v>
      </c>
      <c r="E5973" s="38" t="n">
        <f aca="false">Q!$P$13</f>
        <v>37.052</v>
      </c>
      <c r="F5973" s="38" t="n">
        <f aca="false">Sens!$O$5973*(1+Sens!$F$5974)*Sens!$F$5979</f>
        <v>46.1572219944148</v>
      </c>
      <c r="G5973" s="38" t="n">
        <f aca="false">Sens!$E$5973+Sens!$F$5973</f>
        <v>83.2092219944148</v>
      </c>
      <c r="H5973" s="38" t="n">
        <f aca="false">Sens!$G$5973*(1+Sens!$H$5974)</f>
        <v>99.8969223878976</v>
      </c>
      <c r="I5973" s="38" t="n">
        <f aca="false">Sens!$H$5973*(1+Sens!$I$5974)</f>
        <v>116.583111095496</v>
      </c>
      <c r="J5973" s="38" t="n">
        <f aca="false">Sens!$I$5973*(1+Sens!$J$5974)</f>
        <v>132.148941941952</v>
      </c>
      <c r="K5973" s="38" t="n">
        <f aca="false">Sens!$J$5973*(1+Sens!$K$5974)</f>
        <v>145.363836136147</v>
      </c>
      <c r="L5973" s="38" t="n">
        <f aca="false">Sens!$K$5973*(1+Sens!$L$5974)</f>
        <v>159.900219749762</v>
      </c>
      <c r="M5973" s="38" t="n">
        <f aca="false">Sens!$L$5973*(1+Sens!$M$5974)</f>
        <v>175.890241724738</v>
      </c>
      <c r="N5973" s="38" t="n">
        <f aca="false">Q!$N$13</f>
        <v>29.615</v>
      </c>
      <c r="O5973" s="38" t="n">
        <f aca="false">Q!$O$13</f>
        <v>39.02</v>
      </c>
      <c r="P5973" s="8" t="s">
        <v>678</v>
      </c>
    </row>
    <row r="5974" customFormat="false" ht="17.15" hidden="false" customHeight="false" outlineLevel="0" collapsed="false">
      <c r="A5974" s="0" t="s">
        <v>685</v>
      </c>
      <c r="B5974" s="0" t="s">
        <v>52</v>
      </c>
      <c r="E5974" s="13" t="n">
        <f aca="false">Sens!$E$5973/Sens!$N$5973-1</f>
        <v>0.25112274185379</v>
      </c>
      <c r="F5974" s="13" t="n">
        <f aca="false">Sens!$O$5973/(Q!$F$13+Q!$G$13)-1</f>
        <v>0.234068123596572</v>
      </c>
      <c r="G5974" s="13" t="n">
        <f aca="false">Sens!$G$5973/Sens!$D$5973-1</f>
        <v>0.212343876949294</v>
      </c>
      <c r="H5974" s="13" t="n">
        <f aca="false">Sens!$F$5974+(g_ad-Sens!$F$5974)*1/4</f>
        <v>0.200551092697429</v>
      </c>
      <c r="I5974" s="13" t="n">
        <f aca="false">Sens!$F$5974+(g_ad-Sens!$F$5974)*2/4</f>
        <v>0.167034061798286</v>
      </c>
      <c r="J5974" s="13" t="n">
        <f aca="false">Sens!$F$5974+(g_ad-Sens!$F$5974)*3/4</f>
        <v>0.133517030899143</v>
      </c>
      <c r="K5974" s="13" t="n">
        <f aca="false">Sens!$F$5974+(g_ad-Sens!$F$5974)*4/4</f>
        <v>0.1</v>
      </c>
      <c r="L5974" s="13" t="n">
        <f aca="false">g_ad</f>
        <v>0.1</v>
      </c>
      <c r="M5974" s="13" t="n">
        <f aca="false">g_ad</f>
        <v>0.1</v>
      </c>
      <c r="P5974" s="8" t="s">
        <v>686</v>
      </c>
    </row>
    <row r="5975" customFormat="false" ht="17.15" hidden="false" customHeight="false" outlineLevel="0" collapsed="false">
      <c r="A5975" s="0" t="s">
        <v>530</v>
      </c>
      <c r="B5975" s="0" t="s">
        <v>86</v>
      </c>
      <c r="C5975" s="38" t="n">
        <f aca="false">Q!$D$14</f>
        <v>44.374</v>
      </c>
      <c r="D5975" s="38" t="n">
        <f aca="false">Q!$E$14</f>
        <v>49.619</v>
      </c>
      <c r="E5975" s="38" t="n">
        <f aca="false">Q!$P$14</f>
        <v>27.157</v>
      </c>
      <c r="F5975" s="38" t="n">
        <f aca="false">Sens!$O$5975*(1+Sens!$F$5976)*Sens!$F$5979</f>
        <v>27.7764165988154</v>
      </c>
      <c r="G5975" s="38" t="n">
        <f aca="false">Sens!$E$5975+Sens!$F$5975</f>
        <v>54.9334165988154</v>
      </c>
      <c r="H5975" s="38" t="n">
        <f aca="false">Sens!$G$5975*(1+Sens!$H$5976)</f>
        <v>61.1564112561829</v>
      </c>
      <c r="I5975" s="38" t="n">
        <f aca="false">Sens!$H$5975*(1+Sens!$I$5976)</f>
        <v>67.2020282103945</v>
      </c>
      <c r="J5975" s="38" t="n">
        <f aca="false">Sens!$I$5975*(1+Sens!$J$5976)</f>
        <v>72.8757274028885</v>
      </c>
      <c r="K5975" s="38" t="n">
        <f aca="false">Sens!$J$5975*(1+Sens!$K$5976)</f>
        <v>77.9770283210907</v>
      </c>
      <c r="L5975" s="38" t="n">
        <f aca="false">Sens!$K$5975*(1+Sens!$L$5976)</f>
        <v>83.4354203035671</v>
      </c>
      <c r="M5975" s="38" t="n">
        <f aca="false">Sens!$L$5975*(1+Sens!$M$5976)</f>
        <v>89.2758997248168</v>
      </c>
      <c r="N5975" s="38" t="n">
        <f aca="false">Q!$N$14</f>
        <v>23.923</v>
      </c>
      <c r="O5975" s="38" t="n">
        <f aca="false">Q!$O$14</f>
        <v>25.696</v>
      </c>
      <c r="P5975" s="8" t="s">
        <v>678</v>
      </c>
    </row>
    <row r="5976" customFormat="false" ht="17.15" hidden="false" customHeight="false" outlineLevel="0" collapsed="false">
      <c r="A5976" s="0" t="s">
        <v>687</v>
      </c>
      <c r="B5976" s="0" t="s">
        <v>52</v>
      </c>
      <c r="E5976" s="13" t="n">
        <f aca="false">Sens!$E$5975/Sens!$N$5975-1</f>
        <v>0.135183714417088</v>
      </c>
      <c r="F5976" s="13" t="n">
        <f aca="false">Sens!$O$5975/(Q!$F$14+Q!$G$14)-1</f>
        <v>0.127709997366804</v>
      </c>
      <c r="G5976" s="13" t="n">
        <f aca="false">Sens!$G$5975/Sens!$D$5975-1</f>
        <v>0.107104468022641</v>
      </c>
      <c r="H5976" s="13" t="n">
        <f aca="false">Sens!$F$5976+(g_sub-Sens!$F$5976)*1/4</f>
        <v>0.113282498025103</v>
      </c>
      <c r="I5976" s="13" t="n">
        <f aca="false">Sens!$F$5976+(g_sub-Sens!$F$5976)*2/4</f>
        <v>0.0988549986834021</v>
      </c>
      <c r="J5976" s="13" t="n">
        <f aca="false">Sens!$F$5976+(g_sub-Sens!$F$5976)*3/4</f>
        <v>0.084427499341701</v>
      </c>
      <c r="K5976" s="13" t="n">
        <f aca="false">Sens!$F$5976+(g_sub-Sens!$F$5976)*4/4</f>
        <v>0.07</v>
      </c>
      <c r="L5976" s="13" t="n">
        <f aca="false">g_sub</f>
        <v>0.07</v>
      </c>
      <c r="M5976" s="13" t="n">
        <f aca="false">g_sub</f>
        <v>0.07</v>
      </c>
      <c r="P5976" s="8" t="s">
        <v>688</v>
      </c>
    </row>
    <row r="5977" customFormat="false" ht="17.15" hidden="false" customHeight="false" outlineLevel="0" collapsed="false">
      <c r="A5977" s="0" t="s">
        <v>531</v>
      </c>
      <c r="B5977" s="0" t="s">
        <v>86</v>
      </c>
      <c r="C5977" s="38" t="n">
        <f aca="false">Q!$D$15</f>
        <v>5.425</v>
      </c>
      <c r="D5977" s="38" t="n">
        <f aca="false">Q!$E$15</f>
        <v>5.935</v>
      </c>
      <c r="E5977" s="38" t="n">
        <f aca="false">Q!$P$15</f>
        <v>3.474</v>
      </c>
      <c r="F5977" s="38" t="n">
        <f aca="false">Sens!$O$5977*(1+Sens!$F$5978)*Sens!$F$5979</f>
        <v>3.22246550883619</v>
      </c>
      <c r="G5977" s="38" t="n">
        <f aca="false">Sens!$E$5977+Sens!$F$5977</f>
        <v>6.69646550883619</v>
      </c>
      <c r="H5977" s="38" t="n">
        <f aca="false">Sens!$G$5977*(1+Sens!$H$5978)</f>
        <v>7.16251344209196</v>
      </c>
      <c r="I5977" s="38" t="n">
        <f aca="false">Sens!$H$5977*(1+Sens!$I$5978)</f>
        <v>7.61421070299826</v>
      </c>
      <c r="J5977" s="38" t="n">
        <f aca="false">Sens!$I$5977*(1+Sens!$J$5978)</f>
        <v>8.04465753523932</v>
      </c>
      <c r="K5977" s="38" t="n">
        <f aca="false">Sens!$J$5977*(1+Sens!$K$5978)</f>
        <v>8.44689041200128</v>
      </c>
      <c r="L5977" s="38" t="n">
        <f aca="false">Sens!$K$5977*(1+Sens!$L$5978)</f>
        <v>8.86923493260135</v>
      </c>
      <c r="M5977" s="38" t="n">
        <f aca="false">Sens!$L$5977*(1+Sens!$M$5978)</f>
        <v>9.31269667923142</v>
      </c>
      <c r="N5977" s="38" t="n">
        <f aca="false">Q!$N$15</f>
        <v>2.811</v>
      </c>
      <c r="O5977" s="38" t="n">
        <f aca="false">Q!$O$15</f>
        <v>3.124</v>
      </c>
      <c r="P5977" s="8" t="s">
        <v>678</v>
      </c>
    </row>
    <row r="5978" customFormat="false" ht="17.15" hidden="false" customHeight="false" outlineLevel="0" collapsed="false">
      <c r="A5978" s="0" t="s">
        <v>689</v>
      </c>
      <c r="B5978" s="0" t="s">
        <v>52</v>
      </c>
      <c r="E5978" s="13" t="n">
        <f aca="false">Sens!$E$5977/Sens!$N$5977-1</f>
        <v>0.235859124866596</v>
      </c>
      <c r="F5978" s="13" t="n">
        <f aca="false">Sens!$O$5977/(Q!$F$15+Q!$G$15)-1</f>
        <v>0.0761281433000345</v>
      </c>
      <c r="G5978" s="13" t="n">
        <f aca="false">Sens!$G$5977/Sens!$D$5977-1</f>
        <v>0.128300843948811</v>
      </c>
      <c r="H5978" s="13" t="n">
        <f aca="false">Sens!$F$5978+(g_ot-Sens!$F$5978)*1/4</f>
        <v>0.0695961074750259</v>
      </c>
      <c r="I5978" s="13" t="n">
        <f aca="false">Sens!$F$5978+(g_ot-Sens!$F$5978)*2/4</f>
        <v>0.0630640716500172</v>
      </c>
      <c r="J5978" s="13" t="n">
        <f aca="false">Sens!$F$5978+(g_ot-Sens!$F$5978)*3/4</f>
        <v>0.0565320358250086</v>
      </c>
      <c r="K5978" s="13" t="n">
        <f aca="false">Sens!$F$5978+(g_ot-Sens!$F$5978)*4/4</f>
        <v>0.05</v>
      </c>
      <c r="L5978" s="13" t="n">
        <f aca="false">g_ot</f>
        <v>0.05</v>
      </c>
      <c r="M5978" s="13" t="n">
        <f aca="false">g_ot</f>
        <v>0.05</v>
      </c>
      <c r="P5978" s="8" t="s">
        <v>690</v>
      </c>
    </row>
    <row r="5979" customFormat="false" ht="17.15" hidden="false" customHeight="false" outlineLevel="0" collapsed="false">
      <c r="A5979" s="0" t="s">
        <v>691</v>
      </c>
      <c r="B5979" s="0" t="s">
        <v>57</v>
      </c>
      <c r="F5979" s="40" t="n">
        <f aca="false">(g26q3_mid*Q!$O$8/Q!$J$8-Thesis!$F$89-Thesis!$F$93)/(Sens!$O$5967*(1+Sens!$F$5968)+Sens!$O$5969*(1+Sens!$F$5970)+Sens!$O$5971*(1+Sens!$F$5972)+Sens!$O$5973*(1+Sens!$F$5974)+Sens!$O$5975*(1+Sens!$F$5976)+Sens!$O$5977*(1+Sens!$F$5978))</f>
        <v>0.958546670622329</v>
      </c>
      <c r="P5979" s="8" t="s">
        <v>692</v>
      </c>
    </row>
    <row r="5980" customFormat="false" ht="17.15" hidden="false" customHeight="false" outlineLevel="0" collapsed="false">
      <c r="A5980" s="3" t="s">
        <v>693</v>
      </c>
      <c r="B5980" s="8" t="s">
        <v>86</v>
      </c>
      <c r="C5980" s="38" t="n">
        <f aca="false">Sens!$C$5967+Sens!$C$5969+Sens!$C$5971+Sens!$C$5973+Sens!$C$5975+Sens!$C$5977</f>
        <v>530.403</v>
      </c>
      <c r="D5980" s="38" t="n">
        <f aca="false">Sens!$D$5967+Sens!$D$5969+Sens!$D$5971+Sens!$D$5973+Sens!$D$5975+Sens!$D$5977</f>
        <v>588.199</v>
      </c>
      <c r="E5980" s="38" t="n">
        <f aca="false">Sens!$E$5967+Sens!$E$5969+Sens!$E$5971+Sens!$E$5973+Sens!$E$5975+Sens!$E$5977</f>
        <v>302.306</v>
      </c>
      <c r="F5980" s="38" t="n">
        <f aca="false">Sens!$F$5967+Sens!$F$5969+Sens!$F$5971+Sens!$F$5973+Sens!$F$5975+Sens!$F$5977</f>
        <v>349.048241645537</v>
      </c>
      <c r="G5980" s="38" t="n">
        <f aca="false">Sens!$G$5967+Sens!$G$5969+Sens!$G$5971+Sens!$G$5973+Sens!$G$5975+Sens!$G$5977</f>
        <v>651.354241645537</v>
      </c>
      <c r="H5980" s="38" t="n">
        <f aca="false">Sens!$H$5967+Sens!$H$5969+Sens!$H$5971+Sens!$H$5973+Sens!$H$5975+Sens!$H$5977</f>
        <v>721.096889521386</v>
      </c>
      <c r="I5980" s="38" t="n">
        <f aca="false">Sens!$I$5967+Sens!$I$5969+Sens!$I$5971+Sens!$I$5973+Sens!$I$5975+Sens!$I$5977</f>
        <v>788.529391152531</v>
      </c>
      <c r="J5980" s="38" t="n">
        <f aca="false">Sens!$J$5967+Sens!$J$5969+Sens!$J$5971+Sens!$J$5973+Sens!$J$5975+Sens!$J$5977</f>
        <v>851.108405741443</v>
      </c>
      <c r="K5980" s="38" t="n">
        <f aca="false">Sens!$K$5967+Sens!$K$5969+Sens!$K$5971+Sens!$K$5973+Sens!$K$5975+Sens!$K$5977</f>
        <v>906.176455431088</v>
      </c>
      <c r="L5980" s="38" t="n">
        <f aca="false">Sens!$L$5967+Sens!$L$5969+Sens!$L$5971+Sens!$L$5973+Sens!$L$5975+Sens!$L$5977</f>
        <v>965.093106475589</v>
      </c>
      <c r="M5980" s="38" t="n">
        <f aca="false">Sens!$M$5967+Sens!$M$5969+Sens!$M$5971+Sens!$M$5973+Sens!$M$5975+Sens!$M$5977</f>
        <v>1028.14790794689</v>
      </c>
      <c r="N5980" s="38" t="n">
        <f aca="false">Sens!$N$5967+Sens!$N$5969+Sens!$N$5971+Sens!$N$5973+Sens!$N$5975+Sens!$N$5977</f>
        <v>263.229</v>
      </c>
      <c r="O5980" s="38" t="n">
        <f aca="false">Sens!$O$5967+Sens!$O$5969+Sens!$O$5971+Sens!$O$5973+Sens!$O$5975+Sens!$O$5977</f>
        <v>324.97</v>
      </c>
    </row>
    <row r="5981" customFormat="false" ht="17.15" hidden="false" customHeight="false" outlineLevel="0" collapsed="false">
      <c r="A5981" s="5" t="s">
        <v>694</v>
      </c>
      <c r="B5981" s="0" t="s">
        <v>52</v>
      </c>
      <c r="C5981" s="13" t="n">
        <f aca="false">Q!$D$5/(Q!$D$5+Q!$D$6)</f>
        <v>0.730570905519011</v>
      </c>
      <c r="D5981" s="13" t="n">
        <f aca="false">Q!$E$5/(Q!$E$5+Q!$E$6)</f>
        <v>0.724763217890544</v>
      </c>
      <c r="E5981" s="13" t="n">
        <f aca="false">Q!$P$5/(Q!$P$5+Q!$P$6)</f>
        <v>0.728797972914861</v>
      </c>
      <c r="F5981" s="13" t="n">
        <f aca="false">Sens!$O$5981</f>
        <v>0.718066283041511</v>
      </c>
      <c r="G5981" s="13" t="n">
        <f aca="false">Sens!$G$5982/Sens!$G$5980</f>
        <v>0.723047066202847</v>
      </c>
      <c r="H5981" s="13" t="n">
        <f aca="false">Sens!$G$5981</f>
        <v>0.723047066202847</v>
      </c>
      <c r="I5981" s="13" t="n">
        <f aca="false">Sens!$G$5981</f>
        <v>0.723047066202847</v>
      </c>
      <c r="J5981" s="13" t="n">
        <f aca="false">Sens!$G$5981</f>
        <v>0.723047066202847</v>
      </c>
      <c r="K5981" s="13" t="n">
        <f aca="false">Sens!$G$5981</f>
        <v>0.723047066202847</v>
      </c>
      <c r="L5981" s="13" t="n">
        <f aca="false">Sens!$G$5981</f>
        <v>0.723047066202847</v>
      </c>
      <c r="M5981" s="13" t="n">
        <f aca="false">Sens!$G$5981</f>
        <v>0.723047066202847</v>
      </c>
      <c r="N5981" s="13" t="n">
        <f aca="false">Q!$N$5/(Q!$N$5+Q!$N$6)</f>
        <v>0.733030935041352</v>
      </c>
      <c r="O5981" s="13" t="n">
        <f aca="false">Q!$O$5/(Q!$O$5+Q!$O$6)</f>
        <v>0.718066283041511</v>
      </c>
      <c r="P5981" s="8" t="s">
        <v>695</v>
      </c>
    </row>
    <row r="5982" customFormat="false" ht="17.15" hidden="false" customHeight="false" outlineLevel="0" collapsed="false">
      <c r="A5982" s="1" t="s">
        <v>519</v>
      </c>
      <c r="B5982" s="8" t="s">
        <v>86</v>
      </c>
      <c r="C5982" s="38" t="n">
        <f aca="false">Q!$D$5</f>
        <v>387.497</v>
      </c>
      <c r="D5982" s="38" t="n">
        <f aca="false">Q!$E$5</f>
        <v>426.305</v>
      </c>
      <c r="E5982" s="38" t="n">
        <f aca="false">Q!$P$5</f>
        <v>220.32</v>
      </c>
      <c r="F5982" s="38" t="n">
        <f aca="false">Sens!$F$5980*Sens!$F$5981</f>
        <v>250.639773480586</v>
      </c>
      <c r="G5982" s="38" t="n">
        <f aca="false">Sens!$E$5982+Sens!$F$5982</f>
        <v>470.959773480586</v>
      </c>
      <c r="H5982" s="38" t="n">
        <f aca="false">Sens!$H$5980*Sens!$H$5981</f>
        <v>521.386990416437</v>
      </c>
      <c r="I5982" s="38" t="n">
        <f aca="false">Sens!$I$5980*Sens!$I$5981</f>
        <v>570.143862887555</v>
      </c>
      <c r="J5982" s="38" t="n">
        <f aca="false">Sens!$J$5980*Sens!$J$5981</f>
        <v>615.391435791933</v>
      </c>
      <c r="K5982" s="38" t="n">
        <f aca="false">Sens!$K$5980*Sens!$K$5981</f>
        <v>655.208227561543</v>
      </c>
      <c r="L5982" s="38" t="n">
        <f aca="false">Sens!$L$5980*Sens!$L$5981</f>
        <v>697.807739249767</v>
      </c>
      <c r="M5982" s="38" t="n">
        <f aca="false">Sens!$M$5980*Sens!$M$5981</f>
        <v>743.399328463592</v>
      </c>
      <c r="N5982" s="38" t="n">
        <f aca="false">Q!$N$5</f>
        <v>192.955</v>
      </c>
      <c r="O5982" s="38" t="n">
        <f aca="false">Q!$O$5</f>
        <v>233.35</v>
      </c>
      <c r="P5982" s="5" t="s">
        <v>696</v>
      </c>
    </row>
    <row r="5983" customFormat="false" ht="17.15" hidden="false" customHeight="false" outlineLevel="0" collapsed="false">
      <c r="A5983" s="1" t="s">
        <v>522</v>
      </c>
      <c r="B5983" s="8" t="s">
        <v>86</v>
      </c>
      <c r="C5983" s="38" t="n">
        <f aca="false">Q!$D$6</f>
        <v>142.906</v>
      </c>
      <c r="D5983" s="38" t="n">
        <f aca="false">Q!$E$6</f>
        <v>161.894</v>
      </c>
      <c r="E5983" s="38" t="n">
        <f aca="false">Q!$P$6</f>
        <v>81.986</v>
      </c>
      <c r="F5983" s="38" t="n">
        <f aca="false">Sens!$F$5980*(1-Sens!$F$5981)</f>
        <v>98.408468164951</v>
      </c>
      <c r="G5983" s="38" t="n">
        <f aca="false">Sens!$E$5983+Sens!$F$5983</f>
        <v>180.394468164951</v>
      </c>
      <c r="H5983" s="38" t="n">
        <f aca="false">Sens!$H$5980*(1-Sens!$H$5981)</f>
        <v>199.709899104949</v>
      </c>
      <c r="I5983" s="38" t="n">
        <f aca="false">Sens!$I$5980*(1-Sens!$I$5981)</f>
        <v>218.385528264976</v>
      </c>
      <c r="J5983" s="38" t="n">
        <f aca="false">Sens!$J$5980*(1-Sens!$J$5981)</f>
        <v>235.71696994951</v>
      </c>
      <c r="K5983" s="38" t="n">
        <f aca="false">Sens!$K$5980*(1-Sens!$K$5981)</f>
        <v>250.968227869545</v>
      </c>
      <c r="L5983" s="38" t="n">
        <f aca="false">Sens!$L$5980*(1-Sens!$L$5981)</f>
        <v>267.285367225822</v>
      </c>
      <c r="M5983" s="38" t="n">
        <f aca="false">Sens!$M$5980*(1-Sens!$M$5981)</f>
        <v>284.748579483295</v>
      </c>
      <c r="N5983" s="38" t="n">
        <f aca="false">Q!$N$6</f>
        <v>70.274</v>
      </c>
      <c r="O5983" s="38" t="n">
        <f aca="false">Q!$O$6</f>
        <v>91.62</v>
      </c>
      <c r="P5983" s="5" t="s">
        <v>697</v>
      </c>
    </row>
    <row r="5984" customFormat="false" ht="17.15" hidden="false" customHeight="false" outlineLevel="0" collapsed="false">
      <c r="A5984" s="5" t="s">
        <v>698</v>
      </c>
      <c r="B5984" s="0" t="s">
        <v>86</v>
      </c>
      <c r="C5984" s="38" t="n">
        <f aca="false">Sens!$C$5973*Sens!$C$5981</f>
        <v>41.0683128828457</v>
      </c>
      <c r="D5984" s="38" t="n">
        <f aca="false">Sens!$D$5973*Sens!$D$5981</f>
        <v>49.7441234599175</v>
      </c>
      <c r="E5984" s="38" t="n">
        <f aca="false">Sens!$E$5973*Sens!$E$5981</f>
        <v>27.0034224924414</v>
      </c>
      <c r="F5984" s="38" t="n">
        <f aca="false">Sens!$F$5973*Sens!$F$5981</f>
        <v>33.1439448330513</v>
      </c>
      <c r="G5984" s="38" t="n">
        <f aca="false">Sens!$G$5973*Sens!$G$5981</f>
        <v>60.164183844083</v>
      </c>
      <c r="H5984" s="38" t="n">
        <f aca="false">Sens!$H$5973*Sens!$H$5981</f>
        <v>72.2301766552629</v>
      </c>
      <c r="I5984" s="38" t="n">
        <f aca="false">Sens!$I$5973*Sens!$I$5981</f>
        <v>84.2950764463991</v>
      </c>
      <c r="J5984" s="38" t="n">
        <f aca="false">Sens!$J$5973*Sens!$J$5981</f>
        <v>95.5499047729386</v>
      </c>
      <c r="K5984" s="38" t="n">
        <f aca="false">Sens!$K$5973*Sens!$K$5981</f>
        <v>105.104895250232</v>
      </c>
      <c r="L5984" s="38" t="n">
        <f aca="false">Sens!$L$5973*Sens!$L$5981</f>
        <v>115.615384775256</v>
      </c>
      <c r="M5984" s="38" t="n">
        <f aca="false">Sens!$M$5973*Sens!$M$5981</f>
        <v>127.176923252781</v>
      </c>
      <c r="N5984" s="38" t="n">
        <f aca="false">Sens!$N$5973*Sens!$N$5981</f>
        <v>21.7087111412496</v>
      </c>
      <c r="O5984" s="38" t="n">
        <f aca="false">Sens!$O$5973*Sens!$O$5981</f>
        <v>28.0189463642798</v>
      </c>
      <c r="P5984" s="5" t="s">
        <v>699</v>
      </c>
    </row>
    <row r="5985" customFormat="false" ht="15" hidden="false" customHeight="false" outlineLevel="0" collapsed="false">
      <c r="A5985" s="5" t="s">
        <v>700</v>
      </c>
      <c r="B5985" s="0" t="s">
        <v>86</v>
      </c>
      <c r="C5985" s="38" t="n">
        <f aca="false">Sens!$C$5973-Sens!$C$5984</f>
        <v>15.1456871171543</v>
      </c>
      <c r="D5985" s="38" t="n">
        <f aca="false">Sens!$D$5973-Sens!$D$5984</f>
        <v>18.8908765400825</v>
      </c>
      <c r="E5985" s="38" t="n">
        <f aca="false">Sens!$E$5973-Sens!$E$5984</f>
        <v>10.0485775075586</v>
      </c>
      <c r="F5985" s="38" t="n">
        <f aca="false">Sens!$F$5973-Sens!$F$5984</f>
        <v>13.0132771613635</v>
      </c>
      <c r="G5985" s="38" t="n">
        <f aca="false">Sens!$G$5973-Sens!$G$5984</f>
        <v>23.0450381503318</v>
      </c>
      <c r="H5985" s="38" t="n">
        <f aca="false">Sens!$H$5973-Sens!$H$5984</f>
        <v>27.6667457326347</v>
      </c>
      <c r="I5985" s="38" t="n">
        <f aca="false">Sens!$I$5973-Sens!$I$5984</f>
        <v>32.2880346490971</v>
      </c>
      <c r="J5985" s="38" t="n">
        <f aca="false">Sens!$J$5973-Sens!$J$5984</f>
        <v>36.5990371690132</v>
      </c>
      <c r="K5985" s="38" t="n">
        <f aca="false">Sens!$K$5973-Sens!$K$5984</f>
        <v>40.2589408859145</v>
      </c>
      <c r="L5985" s="38" t="n">
        <f aca="false">Sens!$L$5973-Sens!$L$5984</f>
        <v>44.2848349745059</v>
      </c>
      <c r="M5985" s="38" t="n">
        <f aca="false">Sens!$M$5973-Sens!$M$5984</f>
        <v>48.7133184719565</v>
      </c>
      <c r="N5985" s="38" t="n">
        <f aca="false">Sens!$N$5973-Sens!$N$5984</f>
        <v>7.90628885875037</v>
      </c>
      <c r="O5985" s="38" t="n">
        <f aca="false">Sens!$O$5973-Sens!$O$5984</f>
        <v>11.0010536357202</v>
      </c>
    </row>
    <row r="5986" customFormat="false" ht="19.4" hidden="false" customHeight="false" outlineLevel="0" collapsed="false">
      <c r="A5986" s="31" t="s">
        <v>1273</v>
      </c>
    </row>
    <row r="5987" customFormat="false" ht="17.15" hidden="false" customHeight="false" outlineLevel="0" collapsed="false">
      <c r="A5987" s="6" t="s">
        <v>16</v>
      </c>
      <c r="B5987" s="6" t="s">
        <v>17</v>
      </c>
      <c r="C5987" s="20" t="s">
        <v>504</v>
      </c>
      <c r="D5987" s="20" t="s">
        <v>505</v>
      </c>
      <c r="E5987" s="20" t="s">
        <v>587</v>
      </c>
      <c r="F5987" s="20" t="s">
        <v>588</v>
      </c>
      <c r="G5987" s="20" t="s">
        <v>589</v>
      </c>
      <c r="H5987" s="20" t="s">
        <v>590</v>
      </c>
      <c r="I5987" s="20" t="s">
        <v>591</v>
      </c>
      <c r="J5987" s="20" t="s">
        <v>592</v>
      </c>
      <c r="K5987" s="20" t="s">
        <v>593</v>
      </c>
      <c r="L5987" s="20" t="s">
        <v>594</v>
      </c>
      <c r="M5987" s="20" t="s">
        <v>595</v>
      </c>
      <c r="N5987" s="20" t="s">
        <v>596</v>
      </c>
      <c r="O5987" s="20" t="s">
        <v>597</v>
      </c>
      <c r="P5987" s="6" t="s">
        <v>23</v>
      </c>
      <c r="R5987" s="20" t="n">
        <v>2023</v>
      </c>
      <c r="S5987" s="20" t="n">
        <v>2024</v>
      </c>
      <c r="T5987" s="20" t="n">
        <v>2025</v>
      </c>
      <c r="U5987" s="20" t="n">
        <v>2026</v>
      </c>
      <c r="V5987" s="20" t="n">
        <v>2027</v>
      </c>
      <c r="W5987" s="20" t="n">
        <v>2028</v>
      </c>
      <c r="X5987" s="20" t="n">
        <v>2029</v>
      </c>
      <c r="Y5987" s="20" t="n">
        <v>2030</v>
      </c>
      <c r="Z5987" s="20" t="n">
        <v>2031</v>
      </c>
      <c r="AA5987" s="20" t="n">
        <v>2032</v>
      </c>
    </row>
    <row r="5988" customFormat="false" ht="17.15" hidden="false" customHeight="false" outlineLevel="0" collapsed="false">
      <c r="A5988" s="1" t="s">
        <v>598</v>
      </c>
    </row>
    <row r="5989" customFormat="false" ht="17.15" hidden="false" customHeight="false" outlineLevel="0" collapsed="false">
      <c r="A5989" s="5" t="s">
        <v>599</v>
      </c>
      <c r="B5989" s="0" t="s">
        <v>144</v>
      </c>
      <c r="H5989" s="32" t="n">
        <f aca="false">pace_B</f>
        <v>3634.3</v>
      </c>
      <c r="I5989" s="32" t="n">
        <f aca="false">pace_B</f>
        <v>3634.3</v>
      </c>
      <c r="J5989" s="32" t="n">
        <f aca="false">pace_B</f>
        <v>3634.3</v>
      </c>
      <c r="K5989" s="32" t="n">
        <f aca="false">pace_B+(Sens!$J$5990*tg_hi-pace_B)*1/3</f>
        <v>2620.20066666667</v>
      </c>
      <c r="L5989" s="32" t="n">
        <f aca="false">pace_B+(Sens!$J$5990*tg_hi-pace_B)*2/3</f>
        <v>1606.10133333333</v>
      </c>
      <c r="M5989" s="32" t="n">
        <f aca="false">pace_B+(Sens!$J$5990*tg_hi-pace_B)*3/3</f>
        <v>592.002</v>
      </c>
      <c r="P5989" s="5" t="s">
        <v>600</v>
      </c>
    </row>
    <row r="5990" customFormat="false" ht="17.15" hidden="false" customHeight="false" outlineLevel="0" collapsed="false">
      <c r="A5990" s="15" t="s">
        <v>601</v>
      </c>
      <c r="B5990" s="14" t="s">
        <v>129</v>
      </c>
      <c r="C5990" s="33" t="n">
        <f aca="false">mw_ye24</f>
        <v>360</v>
      </c>
      <c r="D5990" s="33" t="n">
        <f aca="false">mw_ye25</f>
        <v>1440</v>
      </c>
      <c r="E5990" s="33" t="n">
        <f aca="false">mw_open</f>
        <v>2080</v>
      </c>
      <c r="F5990" s="33" t="n">
        <f aca="false">Sens!$E$5990+pace_B*0.5</f>
        <v>3897.15</v>
      </c>
      <c r="G5990" s="33" t="n">
        <f aca="false">Sens!$F$5990</f>
        <v>3897.15</v>
      </c>
      <c r="H5990" s="33" t="n">
        <f aca="false">Sens!$G$5990+Sens!$H$5989</f>
        <v>7531.45</v>
      </c>
      <c r="I5990" s="33" t="n">
        <f aca="false">Sens!$H$5990+Sens!$I$5989</f>
        <v>11165.75</v>
      </c>
      <c r="J5990" s="33" t="n">
        <f aca="false">Sens!$I$5990+Sens!$J$5989</f>
        <v>14800.05</v>
      </c>
      <c r="K5990" s="33" t="n">
        <f aca="false">Sens!$J$5990+Sens!$K$5989</f>
        <v>17420.2506666667</v>
      </c>
      <c r="L5990" s="33" t="n">
        <f aca="false">Sens!$K$5990+Sens!$L$5989</f>
        <v>19026.352</v>
      </c>
      <c r="M5990" s="33" t="n">
        <f aca="false">Sens!$L$5990+Sens!$M$5989</f>
        <v>19618.354</v>
      </c>
      <c r="N5990" s="33" t="n">
        <f aca="false">(mw_ye24+mw_ye25)/2</f>
        <v>900</v>
      </c>
      <c r="O5990" s="33" t="n">
        <f aca="false">mw_ye25</f>
        <v>1440</v>
      </c>
      <c r="P5990" s="5" t="s">
        <v>602</v>
      </c>
    </row>
    <row r="5991" customFormat="false" ht="17.15" hidden="false" customHeight="false" outlineLevel="0" collapsed="false">
      <c r="A5991" s="5" t="s">
        <v>603</v>
      </c>
      <c r="B5991" s="0" t="s">
        <v>129</v>
      </c>
      <c r="C5991" s="32" t="n">
        <f aca="false">(mw_ye23+mw_ye24)/2</f>
        <v>240</v>
      </c>
      <c r="D5991" s="32" t="n">
        <f aca="false">(Sens!$C$5990+Sens!$D$5990)/2</f>
        <v>900</v>
      </c>
      <c r="E5991" s="32" t="n">
        <f aca="false">(Sens!$D$5990+Sens!$E$5990)/2</f>
        <v>1760</v>
      </c>
      <c r="F5991" s="32" t="n">
        <f aca="false">(Sens!$E$5990+Sens!$F$5990)/2</f>
        <v>2988.575</v>
      </c>
      <c r="G5991" s="32" t="n">
        <f aca="false">(Sens!$E$5991+Sens!$F$5991)/2</f>
        <v>2374.2875</v>
      </c>
      <c r="H5991" s="32" t="n">
        <f aca="false">(Sens!$G$5990+Sens!$H$5990)/2</f>
        <v>5714.3</v>
      </c>
      <c r="I5991" s="32" t="n">
        <f aca="false">(Sens!$H$5990+Sens!$I$5990)/2</f>
        <v>9348.6</v>
      </c>
      <c r="J5991" s="32" t="n">
        <f aca="false">(Sens!$I$5990+Sens!$J$5990)/2</f>
        <v>12982.9</v>
      </c>
      <c r="K5991" s="32" t="n">
        <f aca="false">(Sens!$J$5990+Sens!$K$5990)/2</f>
        <v>16110.1503333333</v>
      </c>
      <c r="L5991" s="32" t="n">
        <f aca="false">(Sens!$K$5990+Sens!$L$5990)/2</f>
        <v>18223.3013333333</v>
      </c>
      <c r="M5991" s="32" t="n">
        <f aca="false">(Sens!$L$5990+Sens!$M$5990)/2</f>
        <v>19322.353</v>
      </c>
      <c r="N5991" s="32" t="n">
        <f aca="false">(Sens!$C$5990+Sens!$N$5990)/2</f>
        <v>630</v>
      </c>
      <c r="O5991" s="32" t="n">
        <f aca="false">(Sens!$N$5990+Sens!$O$5990)/2</f>
        <v>1170</v>
      </c>
    </row>
    <row r="5992" customFormat="false" ht="15" hidden="false" customHeight="false" outlineLevel="0" collapsed="false">
      <c r="A5992" s="5" t="s">
        <v>604</v>
      </c>
      <c r="B5992" s="5" t="s">
        <v>123</v>
      </c>
      <c r="C5992" s="34" t="n">
        <v>1</v>
      </c>
      <c r="D5992" s="34" t="n">
        <v>1</v>
      </c>
      <c r="E5992" s="34" t="n">
        <v>0.5</v>
      </c>
      <c r="F5992" s="34" t="n">
        <v>0.5</v>
      </c>
      <c r="G5992" s="34" t="n">
        <v>1</v>
      </c>
      <c r="H5992" s="34" t="n">
        <v>1</v>
      </c>
      <c r="I5992" s="34" t="n">
        <v>1</v>
      </c>
      <c r="J5992" s="34" t="n">
        <v>1</v>
      </c>
      <c r="K5992" s="34" t="n">
        <v>1</v>
      </c>
      <c r="L5992" s="34" t="n">
        <v>1</v>
      </c>
      <c r="M5992" s="34" t="n">
        <v>1</v>
      </c>
      <c r="N5992" s="34" t="n">
        <v>0.5</v>
      </c>
      <c r="O5992" s="34" t="n">
        <v>0.5</v>
      </c>
    </row>
    <row r="5993" customFormat="false" ht="17.15" hidden="false" customHeight="false" outlineLevel="0" collapsed="false">
      <c r="A5993" s="5" t="s">
        <v>605</v>
      </c>
      <c r="B5993" s="0" t="s">
        <v>129</v>
      </c>
      <c r="C5993" s="32" t="n">
        <f aca="false">Sens!$C$5990-mw_ye23</f>
        <v>240</v>
      </c>
      <c r="D5993" s="32" t="n">
        <f aca="false">Sens!$D$5990-Sens!$C$5990</f>
        <v>1080</v>
      </c>
      <c r="E5993" s="32" t="n">
        <f aca="false">Sens!$E$5990-Sens!$D$5990</f>
        <v>640</v>
      </c>
      <c r="F5993" s="32" t="n">
        <f aca="false">Sens!$F$5990-Sens!$E$5990</f>
        <v>1817.15</v>
      </c>
      <c r="G5993" s="32" t="n">
        <f aca="false">Sens!$E$5993+Sens!$F$5993</f>
        <v>2457.15</v>
      </c>
      <c r="H5993" s="32" t="n">
        <f aca="false">Sens!$H$5990-Sens!$G$5990</f>
        <v>3634.3</v>
      </c>
      <c r="I5993" s="32" t="n">
        <f aca="false">Sens!$I$5990-Sens!$H$5990</f>
        <v>3634.3</v>
      </c>
      <c r="J5993" s="32" t="n">
        <f aca="false">Sens!$J$5990-Sens!$I$5990</f>
        <v>3634.3</v>
      </c>
      <c r="K5993" s="32" t="n">
        <f aca="false">Sens!$K$5990-Sens!$J$5990</f>
        <v>2620.20066666667</v>
      </c>
      <c r="L5993" s="32" t="n">
        <f aca="false">Sens!$L$5990-Sens!$K$5990</f>
        <v>1606.10133333333</v>
      </c>
      <c r="M5993" s="32" t="n">
        <f aca="false">Sens!$M$5990-Sens!$L$5990</f>
        <v>592.002</v>
      </c>
      <c r="N5993" s="32" t="n">
        <f aca="false">Sens!$N$5990-Sens!$C$5990</f>
        <v>540</v>
      </c>
      <c r="O5993" s="32" t="n">
        <f aca="false">Sens!$O$5990-Sens!$N$5990</f>
        <v>540</v>
      </c>
    </row>
    <row r="5994" customFormat="false" ht="17.15" hidden="false" customHeight="false" outlineLevel="0" collapsed="false">
      <c r="A5994" s="5" t="s">
        <v>606</v>
      </c>
      <c r="B5994" s="0" t="s">
        <v>129</v>
      </c>
      <c r="C5994" s="32" t="n">
        <f aca="false">Sens!$C$5993/ext_sh</f>
        <v>300</v>
      </c>
      <c r="D5994" s="32" t="n">
        <f aca="false">Sens!$D$5993/ext_sh</f>
        <v>1350</v>
      </c>
      <c r="E5994" s="32" t="n">
        <f aca="false">Sens!$E$5993/ext_sh</f>
        <v>800</v>
      </c>
      <c r="F5994" s="32" t="n">
        <f aca="false">Sens!$F$5993/ext_sh</f>
        <v>2271.4375</v>
      </c>
      <c r="G5994" s="32" t="n">
        <f aca="false">Sens!$G$5993/ext_sh</f>
        <v>3071.4375</v>
      </c>
      <c r="H5994" s="32" t="n">
        <f aca="false">Sens!$H$5993/ext_sh</f>
        <v>4542.875</v>
      </c>
      <c r="I5994" s="32" t="n">
        <f aca="false">Sens!$I$5993/ext_sh</f>
        <v>4542.875</v>
      </c>
      <c r="J5994" s="32" t="n">
        <f aca="false">Sens!$J$5993/ext_sh</f>
        <v>4542.875</v>
      </c>
      <c r="K5994" s="32" t="n">
        <f aca="false">Sens!$K$5993/ext_sh</f>
        <v>3275.25083333333</v>
      </c>
      <c r="L5994" s="32" t="n">
        <f aca="false">Sens!$L$5993/ext_sh</f>
        <v>2007.62666666667</v>
      </c>
      <c r="M5994" s="32" t="n">
        <f aca="false">Sens!$M$5993/ext_sh</f>
        <v>740.002500000001</v>
      </c>
      <c r="N5994" s="32" t="n">
        <f aca="false">Sens!$N$5993/ext_sh</f>
        <v>675</v>
      </c>
      <c r="O5994" s="32" t="n">
        <f aca="false">Sens!$O$5993/ext_sh</f>
        <v>675</v>
      </c>
      <c r="P5994" s="8" t="s">
        <v>607</v>
      </c>
      <c r="R5994" s="32" t="n">
        <f aca="false">mw_ye23/ext_sh</f>
        <v>150</v>
      </c>
      <c r="S5994" s="32" t="n">
        <f aca="false">Sens!$C$5994</f>
        <v>300</v>
      </c>
      <c r="T5994" s="32" t="n">
        <f aca="false">Sens!$D$5994</f>
        <v>1350</v>
      </c>
      <c r="U5994" s="32" t="n">
        <f aca="false">Sens!$G$5994</f>
        <v>3071.4375</v>
      </c>
      <c r="V5994" s="32" t="n">
        <f aca="false">Sens!$H$5994</f>
        <v>4542.875</v>
      </c>
      <c r="W5994" s="32" t="n">
        <f aca="false">Sens!$I$5994</f>
        <v>4542.875</v>
      </c>
      <c r="X5994" s="32" t="n">
        <f aca="false">Sens!$J$5994</f>
        <v>4542.875</v>
      </c>
      <c r="Y5994" s="32" t="n">
        <f aca="false">Sens!$K$5994</f>
        <v>3275.25083333333</v>
      </c>
      <c r="Z5994" s="32" t="n">
        <f aca="false">Sens!$L$5994</f>
        <v>2007.62666666667</v>
      </c>
      <c r="AA5994" s="32" t="n">
        <f aca="false">Sens!$M$5994</f>
        <v>740.002500000001</v>
      </c>
    </row>
    <row r="5995" customFormat="false" ht="17.15" hidden="false" customHeight="false" outlineLevel="0" collapsed="false">
      <c r="A5995" s="1" t="s">
        <v>608</v>
      </c>
    </row>
    <row r="5996" customFormat="false" ht="17.15" hidden="false" customHeight="false" outlineLevel="0" collapsed="false">
      <c r="A5996" s="0" t="s">
        <v>609</v>
      </c>
      <c r="B5996" s="0" t="s">
        <v>52</v>
      </c>
      <c r="F5996" s="35" t="n">
        <f aca="false">na_vr26</f>
        <v>0</v>
      </c>
      <c r="G5996" s="35" t="n">
        <f aca="false">na_vr26</f>
        <v>0</v>
      </c>
      <c r="H5996" s="35" t="n">
        <f aca="false">na_vr27</f>
        <v>0.5</v>
      </c>
      <c r="I5996" s="35" t="n">
        <f aca="false">na_vr28</f>
        <v>1</v>
      </c>
      <c r="J5996" s="35" t="n">
        <f aca="false">na_vr28</f>
        <v>1</v>
      </c>
      <c r="K5996" s="35" t="n">
        <f aca="false">na_vr28</f>
        <v>1</v>
      </c>
      <c r="L5996" s="35" t="n">
        <f aca="false">na_vr28</f>
        <v>1</v>
      </c>
      <c r="M5996" s="35" t="n">
        <f aca="false">na_vr28</f>
        <v>1</v>
      </c>
    </row>
    <row r="5997" customFormat="false" ht="17.15" hidden="false" customHeight="false" outlineLevel="0" collapsed="false">
      <c r="A5997" s="5" t="s">
        <v>610</v>
      </c>
      <c r="B5997" s="0" t="s">
        <v>173</v>
      </c>
      <c r="F5997" s="36" t="n">
        <f aca="false">cust_sh*tk_he_gb300*cf_chip+(1-cust_sh)*((1-Sens!$F$5996)*tk_he_gb300+Sens!$F$5996*tk_he_vr200)</f>
        <v>10.8864110021101</v>
      </c>
      <c r="G5997" s="36" t="n">
        <f aca="false">cust_sh*tk_he_gb300*cf_chip+(1-cust_sh)*((1-Sens!$G$5996)*tk_he_gb300+Sens!$G$5996*tk_he_vr200)</f>
        <v>10.8864110021101</v>
      </c>
      <c r="H5997" s="36" t="n">
        <f aca="false">cust_sh*tk_he_gb300*cf_chip+(1-cust_sh)*((1-Sens!$H$5996)*tk_he_gb300+Sens!$H$5996*tk_he_vr200)</f>
        <v>11.2211760027286</v>
      </c>
      <c r="I5997" s="36" t="n">
        <f aca="false">cust_sh*tk_he_gb300*cf_chip+(1-cust_sh)*((1-Sens!$I$5996)*tk_he_gb300+Sens!$I$5996*tk_he_vr200)</f>
        <v>11.5559410033471</v>
      </c>
      <c r="J5997" s="36" t="n">
        <f aca="false">cust_sh*tk_he_gb300*cf_chip+(1-cust_sh)*((1-Sens!$J$5996)*tk_he_gb300+Sens!$J$5996*tk_he_vr200)</f>
        <v>11.5559410033471</v>
      </c>
      <c r="K5997" s="36" t="n">
        <f aca="false">cust_sh*tk_he_gb300*cf_chip+(1-cust_sh)*((1-Sens!$K$5996)*tk_he_gb300+Sens!$K$5996*tk_he_vr200)</f>
        <v>11.5559410033471</v>
      </c>
      <c r="L5997" s="36" t="n">
        <f aca="false">cust_sh*tk_he_gb300*cf_chip+(1-cust_sh)*((1-Sens!$L$5996)*tk_he_gb300+Sens!$L$5996*tk_he_vr200)</f>
        <v>11.5559410033471</v>
      </c>
      <c r="M5997" s="36" t="n">
        <f aca="false">cust_sh*tk_he_gb300*cf_chip+(1-cust_sh)*((1-Sens!$M$5996)*tk_he_gb300+Sens!$M$5996*tk_he_vr200)</f>
        <v>11.5559410033471</v>
      </c>
    </row>
    <row r="5998" customFormat="false" ht="17.15" hidden="false" customHeight="false" outlineLevel="0" collapsed="false">
      <c r="A5998" s="5" t="s">
        <v>611</v>
      </c>
      <c r="B5998" s="0" t="s">
        <v>173</v>
      </c>
      <c r="F5998" s="36" t="n">
        <f aca="false">cust_sh*tk_ox_gb300+(1-cust_sh)*((1-Sens!$F$5996)*tk_ox_gb300+Sens!$F$5996*tk_ox_vr200)</f>
        <v>1.98263481314457</v>
      </c>
      <c r="G5998" s="36" t="n">
        <f aca="false">cust_sh*tk_ox_gb300+(1-cust_sh)*((1-Sens!$G$5996)*tk_ox_gb300+Sens!$G$5996*tk_ox_vr200)</f>
        <v>1.98263481314457</v>
      </c>
      <c r="H5998" s="36" t="n">
        <f aca="false">cust_sh*tk_ox_gb300+(1-cust_sh)*((1-Sens!$H$5996)*tk_ox_gb300+Sens!$H$5996*tk_ox_vr200)</f>
        <v>2.01034999693694</v>
      </c>
      <c r="I5998" s="36" t="n">
        <f aca="false">cust_sh*tk_ox_gb300+(1-cust_sh)*((1-Sens!$I$5996)*tk_ox_gb300+Sens!$I$5996*tk_ox_vr200)</f>
        <v>2.0380651807293</v>
      </c>
      <c r="J5998" s="36" t="n">
        <f aca="false">cust_sh*tk_ox_gb300+(1-cust_sh)*((1-Sens!$J$5996)*tk_ox_gb300+Sens!$J$5996*tk_ox_vr200)</f>
        <v>2.0380651807293</v>
      </c>
      <c r="K5998" s="36" t="n">
        <f aca="false">cust_sh*tk_ox_gb300+(1-cust_sh)*((1-Sens!$K$5996)*tk_ox_gb300+Sens!$K$5996*tk_ox_vr200)</f>
        <v>2.0380651807293</v>
      </c>
      <c r="L5998" s="36" t="n">
        <f aca="false">cust_sh*tk_ox_gb300+(1-cust_sh)*((1-Sens!$L$5996)*tk_ox_gb300+Sens!$L$5996*tk_ox_vr200)</f>
        <v>2.0380651807293</v>
      </c>
      <c r="M5998" s="36" t="n">
        <f aca="false">cust_sh*tk_ox_gb300+(1-cust_sh)*((1-Sens!$M$5996)*tk_ox_gb300+Sens!$M$5996*tk_ox_vr200)</f>
        <v>2.0380651807293</v>
      </c>
    </row>
    <row r="5999" customFormat="false" ht="17.15" hidden="false" customHeight="false" outlineLevel="0" collapsed="false">
      <c r="A5999" s="5" t="s">
        <v>612</v>
      </c>
      <c r="B5999" s="0" t="s">
        <v>192</v>
      </c>
      <c r="F5999" s="36" t="n">
        <f aca="false">cust_sh*tk_cx_gb300*cf_cx+(1-cust_sh)*((1-Sens!$F$5996)*tk_cx_gb300+Sens!$F$5996*tk_cx_vr200)</f>
        <v>32.237224</v>
      </c>
      <c r="G5999" s="36" t="n">
        <f aca="false">cust_sh*tk_cx_gb300*cf_cx+(1-cust_sh)*((1-Sens!$G$5996)*tk_cx_gb300+Sens!$G$5996*tk_cx_vr200)</f>
        <v>32.237224</v>
      </c>
      <c r="H5999" s="36" t="n">
        <f aca="false">cust_sh*tk_cx_gb300*cf_cx+(1-cust_sh)*((1-Sens!$H$5996)*tk_cx_gb300+Sens!$H$5996*tk_cx_vr200)</f>
        <v>33.574506</v>
      </c>
      <c r="I5999" s="36" t="n">
        <f aca="false">cust_sh*tk_cx_gb300*cf_cx+(1-cust_sh)*((1-Sens!$I$5996)*tk_cx_gb300+Sens!$I$5996*tk_cx_vr200)</f>
        <v>34.911788</v>
      </c>
      <c r="J5999" s="36" t="n">
        <f aca="false">cust_sh*tk_cx_gb300*cf_cx+(1-cust_sh)*((1-Sens!$J$5996)*tk_cx_gb300+Sens!$J$5996*tk_cx_vr200)</f>
        <v>34.911788</v>
      </c>
      <c r="K5999" s="36" t="n">
        <f aca="false">cust_sh*tk_cx_gb300*cf_cx+(1-cust_sh)*((1-Sens!$K$5996)*tk_cx_gb300+Sens!$K$5996*tk_cx_vr200)</f>
        <v>34.911788</v>
      </c>
      <c r="L5999" s="36" t="n">
        <f aca="false">cust_sh*tk_cx_gb300*cf_cx+(1-cust_sh)*((1-Sens!$L$5996)*tk_cx_gb300+Sens!$L$5996*tk_cx_vr200)</f>
        <v>34.911788</v>
      </c>
      <c r="M5999" s="36" t="n">
        <f aca="false">cust_sh*tk_cx_gb300*cf_cx+(1-cust_sh)*((1-Sens!$M$5996)*tk_cx_gb300+Sens!$M$5996*tk_cx_vr200)</f>
        <v>34.911788</v>
      </c>
    </row>
    <row r="6000" customFormat="false" ht="17.15" hidden="false" customHeight="false" outlineLevel="0" collapsed="false">
      <c r="A6000" s="5" t="s">
        <v>613</v>
      </c>
      <c r="B6000" s="0" t="s">
        <v>129</v>
      </c>
      <c r="F6000" s="32" t="n">
        <f aca="false">Sens!$F$5990-mw_open</f>
        <v>1817.15</v>
      </c>
      <c r="G6000" s="32" t="n">
        <f aca="false">Sens!$F$6000</f>
        <v>1817.15</v>
      </c>
      <c r="H6000" s="32" t="n">
        <f aca="false">Sens!$H$5990-mw_open</f>
        <v>5451.45</v>
      </c>
      <c r="I6000" s="32" t="n">
        <f aca="false">Sens!$I$5990-mw_open</f>
        <v>9085.75</v>
      </c>
      <c r="J6000" s="32" t="n">
        <f aca="false">Sens!$J$5990-mw_open</f>
        <v>12720.05</v>
      </c>
      <c r="K6000" s="32" t="n">
        <f aca="false">Sens!$K$5990-mw_open</f>
        <v>15340.2506666667</v>
      </c>
      <c r="L6000" s="32" t="n">
        <f aca="false">Sens!$L$5990-mw_open</f>
        <v>16946.352</v>
      </c>
      <c r="M6000" s="32" t="n">
        <f aca="false">Sens!$M$5990-mw_open</f>
        <v>17538.354</v>
      </c>
    </row>
    <row r="6001" customFormat="false" ht="17.15" hidden="false" customHeight="false" outlineLevel="0" collapsed="false">
      <c r="A6001" s="0" t="s">
        <v>614</v>
      </c>
      <c r="B6001" s="0" t="s">
        <v>615</v>
      </c>
      <c r="F6001" s="32" t="n">
        <f aca="false">Sens!$F$5993*Sens!$F$5997</f>
        <v>19782.2417524844</v>
      </c>
      <c r="G6001" s="32" t="n">
        <f aca="false">Sens!$F$6001</f>
        <v>19782.2417524844</v>
      </c>
      <c r="H6001" s="32" t="n">
        <f aca="false">Sens!$G$6001+Sens!$H$5993*Sens!$H$5997</f>
        <v>60563.3616992009</v>
      </c>
      <c r="I6001" s="32" t="n">
        <f aca="false">Sens!$H$6001+Sens!$I$5993*Sens!$I$5997</f>
        <v>102561.118087665</v>
      </c>
      <c r="J6001" s="32" t="n">
        <f aca="false">Sens!$I$6001+Sens!$J$5993*Sens!$J$5997</f>
        <v>144558.87447613</v>
      </c>
      <c r="K6001" s="32" t="n">
        <f aca="false">Sens!$J$6001+Sens!$K$5993*Sens!$K$5997</f>
        <v>174837.75879706</v>
      </c>
      <c r="L6001" s="32" t="n">
        <f aca="false">Sens!$K$6001+Sens!$L$5993*Sens!$L$5997</f>
        <v>193397.771050458</v>
      </c>
      <c r="M6001" s="32" t="n">
        <f aca="false">Sens!$L$6001+Sens!$M$5993*Sens!$M$5997</f>
        <v>200238.911236321</v>
      </c>
    </row>
    <row r="6002" customFormat="false" ht="17.15" hidden="false" customHeight="false" outlineLevel="0" collapsed="false">
      <c r="A6002" s="0" t="s">
        <v>616</v>
      </c>
      <c r="B6002" s="0" t="s">
        <v>615</v>
      </c>
      <c r="F6002" s="32" t="n">
        <f aca="false">Sens!$F$5993*Sens!$F$5998</f>
        <v>3602.74485070566</v>
      </c>
      <c r="G6002" s="32" t="n">
        <f aca="false">Sens!$F$6002</f>
        <v>3602.74485070566</v>
      </c>
      <c r="H6002" s="32" t="n">
        <f aca="false">Sens!$G$6002+Sens!$H$5993*Sens!$H$5998</f>
        <v>10908.9598445736</v>
      </c>
      <c r="I6002" s="32" t="n">
        <f aca="false">Sens!$H$6002+Sens!$I$5993*Sens!$I$5998</f>
        <v>18315.9001308981</v>
      </c>
      <c r="J6002" s="32" t="n">
        <f aca="false">Sens!$I$6002+Sens!$J$5993*Sens!$J$5998</f>
        <v>25722.8404172225</v>
      </c>
      <c r="K6002" s="32" t="n">
        <f aca="false">Sens!$J$6002+Sens!$K$5993*Sens!$K$5998</f>
        <v>31062.9801624796</v>
      </c>
      <c r="L6002" s="32" t="n">
        <f aca="false">Sens!$K$6002+Sens!$L$5993*Sens!$L$5998</f>
        <v>34336.3193666691</v>
      </c>
      <c r="M6002" s="32" t="n">
        <f aca="false">Sens!$L$6002+Sens!$M$5993*Sens!$M$5998</f>
        <v>35542.8580297913</v>
      </c>
    </row>
    <row r="6003" customFormat="false" ht="17.15" hidden="false" customHeight="false" outlineLevel="0" collapsed="false">
      <c r="A6003" s="5" t="s">
        <v>617</v>
      </c>
      <c r="B6003" s="0" t="s">
        <v>173</v>
      </c>
      <c r="F6003" s="36" t="n">
        <f aca="false">IF(Sens!$F$6000&gt;0,Sens!$F$6001/Sens!$F$6000,Sens!$F$5997)</f>
        <v>10.8864110021101</v>
      </c>
      <c r="G6003" s="36" t="n">
        <f aca="false">IF(Sens!$G$6000&gt;0,Sens!$G$6001/Sens!$G$6000,Sens!$G$5997)</f>
        <v>10.8864110021101</v>
      </c>
      <c r="H6003" s="36" t="n">
        <f aca="false">IF(Sens!$H$6000&gt;0,Sens!$H$6001/Sens!$H$6000,Sens!$H$5997)</f>
        <v>11.1095876691891</v>
      </c>
      <c r="I6003" s="36" t="n">
        <f aca="false">IF(Sens!$I$6000&gt;0,Sens!$I$6001/Sens!$I$6000,Sens!$I$5997)</f>
        <v>11.2881290028523</v>
      </c>
      <c r="J6003" s="36" t="n">
        <f aca="false">IF(Sens!$J$6000&gt;0,Sens!$J$6001/Sens!$J$6000,Sens!$J$5997)</f>
        <v>11.3646467172794</v>
      </c>
      <c r="K6003" s="36" t="n">
        <f aca="false">IF(Sens!$K$6000&gt;0,Sens!$K$6001/Sens!$K$6000,Sens!$K$5997)</f>
        <v>11.3973208519318</v>
      </c>
      <c r="L6003" s="36" t="n">
        <f aca="false">IF(Sens!$L$6000&gt;0,Sens!$L$6001/Sens!$L$6000,Sens!$L$5997)</f>
        <v>11.4123541780825</v>
      </c>
      <c r="M6003" s="36" t="n">
        <f aca="false">IF(Sens!$M$6000&gt;0,Sens!$M$6001/Sens!$M$6000,Sens!$M$5997)</f>
        <v>11.4172009092941</v>
      </c>
    </row>
    <row r="6004" customFormat="false" ht="17.15" hidden="false" customHeight="false" outlineLevel="0" collapsed="false">
      <c r="A6004" s="5" t="s">
        <v>618</v>
      </c>
      <c r="B6004" s="0" t="s">
        <v>173</v>
      </c>
      <c r="F6004" s="36" t="n">
        <f aca="false">IF(Sens!$F$6000&gt;0,Sens!$F$6002/Sens!$F$6000,Sens!$F$5998)</f>
        <v>1.98263481314457</v>
      </c>
      <c r="G6004" s="36" t="n">
        <f aca="false">IF(Sens!$G$6000&gt;0,Sens!$G$6002/Sens!$G$6000,Sens!$G$5998)</f>
        <v>1.98263481314457</v>
      </c>
      <c r="H6004" s="36" t="n">
        <f aca="false">IF(Sens!$H$6000&gt;0,Sens!$H$6002/Sens!$H$6000,Sens!$H$5998)</f>
        <v>2.00111160233948</v>
      </c>
      <c r="I6004" s="36" t="n">
        <f aca="false">IF(Sens!$I$6000&gt;0,Sens!$I$6002/Sens!$I$6000,Sens!$I$5998)</f>
        <v>2.01589303369541</v>
      </c>
      <c r="J6004" s="36" t="n">
        <f aca="false">IF(Sens!$J$6000&gt;0,Sens!$J$6002/Sens!$J$6000,Sens!$J$5998)</f>
        <v>2.02222793284795</v>
      </c>
      <c r="K6004" s="36" t="n">
        <f aca="false">IF(Sens!$K$6000&gt;0,Sens!$K$6002/Sens!$K$6000,Sens!$K$5998)</f>
        <v>2.02493302342036</v>
      </c>
      <c r="L6004" s="36" t="n">
        <f aca="false">IF(Sens!$L$6000&gt;0,Sens!$L$6002/Sens!$L$6000,Sens!$L$5998)</f>
        <v>2.02617763201597</v>
      </c>
      <c r="M6004" s="36" t="n">
        <f aca="false">IF(Sens!$M$6000&gt;0,Sens!$M$6002/Sens!$M$6000,Sens!$M$5998)</f>
        <v>2.02657889273938</v>
      </c>
    </row>
    <row r="6005" customFormat="false" ht="17.15" hidden="false" customHeight="false" outlineLevel="0" collapsed="false">
      <c r="A6005" s="15" t="s">
        <v>619</v>
      </c>
      <c r="B6005" s="14" t="s">
        <v>173</v>
      </c>
      <c r="C6005" s="14"/>
      <c r="D6005" s="14"/>
      <c r="E6005" s="14"/>
      <c r="F6005" s="37" t="n">
        <f aca="false">Sens!$F$6003*k_B</f>
        <v>10.7987645808025</v>
      </c>
      <c r="G6005" s="37" t="n">
        <f aca="false">Sens!$G$6003*k_B</f>
        <v>10.7987645808025</v>
      </c>
      <c r="H6005" s="37" t="n">
        <f aca="false">Sens!$H$6003*k_B</f>
        <v>11.0201444540452</v>
      </c>
      <c r="I6005" s="37" t="n">
        <f aca="false">Sens!$I$6003*k_B</f>
        <v>11.1972483526393</v>
      </c>
      <c r="J6005" s="37" t="n">
        <f aca="false">Sens!$J$6003*k_B</f>
        <v>11.2731500234653</v>
      </c>
      <c r="K6005" s="37" t="n">
        <f aca="false">Sens!$K$6003*k_B</f>
        <v>11.3055610988807</v>
      </c>
      <c r="L6005" s="37" t="n">
        <f aca="false">Sens!$L$6003*k_B</f>
        <v>11.3204733918244</v>
      </c>
      <c r="M6005" s="37" t="n">
        <f aca="false">Sens!$M$6003*k_B</f>
        <v>11.3252811020357</v>
      </c>
      <c r="N6005" s="14"/>
      <c r="O6005" s="14"/>
      <c r="P6005" s="5" t="s">
        <v>620</v>
      </c>
    </row>
    <row r="6006" customFormat="false" ht="17.15" hidden="false" customHeight="false" outlineLevel="0" collapsed="false">
      <c r="A6006" s="5" t="s">
        <v>621</v>
      </c>
      <c r="B6006" s="0" t="s">
        <v>129</v>
      </c>
      <c r="F6006" s="32" t="n">
        <f aca="false">Sens!$F$6000/2</f>
        <v>908.575</v>
      </c>
      <c r="H6006" s="32" t="n">
        <f aca="false">(Sens!$G$6000+Sens!$H$6000)/2</f>
        <v>3634.3</v>
      </c>
      <c r="I6006" s="32" t="n">
        <f aca="false">(Sens!$H$6000+Sens!$I$6000)/2</f>
        <v>7268.6</v>
      </c>
      <c r="J6006" s="32" t="n">
        <f aca="false">(Sens!$I$6000+Sens!$J$6000)/2</f>
        <v>10902.9</v>
      </c>
      <c r="K6006" s="32" t="n">
        <f aca="false">(Sens!$J$6000+Sens!$K$6000)/2</f>
        <v>14030.1503333333</v>
      </c>
      <c r="L6006" s="32" t="n">
        <f aca="false">(Sens!$K$6000+Sens!$L$6000)/2</f>
        <v>16143.3013333333</v>
      </c>
      <c r="M6006" s="32" t="n">
        <f aca="false">(Sens!$L$6000+Sens!$M$6000)/2</f>
        <v>17242.353</v>
      </c>
    </row>
    <row r="6007" customFormat="false" ht="17.15" hidden="false" customHeight="false" outlineLevel="0" collapsed="false">
      <c r="A6007" s="1" t="s">
        <v>622</v>
      </c>
    </row>
    <row r="6008" customFormat="false" ht="17.15" hidden="false" customHeight="false" outlineLevel="0" collapsed="false">
      <c r="A6008" s="1" t="s">
        <v>623</v>
      </c>
      <c r="B6008" s="8" t="s">
        <v>86</v>
      </c>
      <c r="C6008" s="38" t="n">
        <f aca="false">Sens!$C$5991*rpm_open*Sens!$C$5992/1000</f>
        <v>2.32100535697364</v>
      </c>
      <c r="D6008" s="38" t="n">
        <f aca="false">Sens!$D$5991*rpm_open*Sens!$D$5992/1000</f>
        <v>8.70377008865116</v>
      </c>
      <c r="E6008" s="38" t="n">
        <f aca="false">Sens!$E$5991*rpm_open*Sens!$E$5992/1000</f>
        <v>8.51035297557002</v>
      </c>
      <c r="F6008" s="38" t="n">
        <f aca="false">(mw_open*rpm_open+Sens!$F$6006*Sens!$F$6005)*Sens!$F$5992/1000</f>
        <v>14.9634336447205</v>
      </c>
      <c r="G6008" s="38" t="n">
        <f aca="false">Sens!$E$6008+Sens!$F$6008</f>
        <v>23.4737866202905</v>
      </c>
      <c r="H6008" s="38" t="n">
        <f aca="false">(mw_open*rpm_open+Sens!$H$6006*Sens!$H$6005)/1000</f>
        <v>60.1658907497746</v>
      </c>
      <c r="I6008" s="38" t="n">
        <f aca="false">(mw_open*rpm_open+Sens!$I$6006*Sens!$I$6005)/1000</f>
        <v>101.503699136432</v>
      </c>
      <c r="J6008" s="38" t="n">
        <f aca="false">(mw_open*rpm_open+Sens!$J$6006*Sens!$J$6005)/1000</f>
        <v>143.025407151278</v>
      </c>
      <c r="K6008" s="38" t="n">
        <f aca="false">(mw_open*rpm_open+Sens!$K$6006*Sens!$K$6005)/1000</f>
        <v>178.73410158042</v>
      </c>
      <c r="L6008" s="38" t="n">
        <f aca="false">(mw_open*rpm_open+Sens!$L$6006*Sens!$L$6005)/1000</f>
        <v>202.865192960641</v>
      </c>
      <c r="M6008" s="38" t="n">
        <f aca="false">(mw_open*rpm_open+Sens!$M$6006*Sens!$M$6005)/1000</f>
        <v>215.389874345967</v>
      </c>
      <c r="N6008" s="38" t="n">
        <f aca="false">Sens!$N$5991*rpm_open*Sens!$N$5992/1000</f>
        <v>3.04631953102791</v>
      </c>
      <c r="O6008" s="38" t="n">
        <f aca="false">Sens!$O$5991*rpm_open*Sens!$O$5992/1000</f>
        <v>5.65745055762326</v>
      </c>
      <c r="P6008" s="5" t="s">
        <v>624</v>
      </c>
    </row>
    <row r="6009" customFormat="false" ht="17.15" hidden="false" customHeight="false" outlineLevel="0" collapsed="false">
      <c r="A6009" s="5" t="s">
        <v>625</v>
      </c>
      <c r="B6009" s="0" t="s">
        <v>173</v>
      </c>
      <c r="C6009" s="36" t="n">
        <f aca="false">Sens!$C$6008*1000/(Sens!$C$5991*Sens!$C$5992)</f>
        <v>9.67085565405685</v>
      </c>
      <c r="D6009" s="36" t="n">
        <f aca="false">Sens!$D$6008*1000/(Sens!$D$5991*Sens!$D$5992)</f>
        <v>9.67085565405685</v>
      </c>
      <c r="E6009" s="36" t="n">
        <f aca="false">Sens!$E$6008*1000/(Sens!$E$5991*Sens!$E$5992)</f>
        <v>9.67085565405685</v>
      </c>
      <c r="F6009" s="36" t="n">
        <f aca="false">Sens!$F$6008*1000/(Sens!$F$5991*Sens!$F$5992)</f>
        <v>10.0137581588017</v>
      </c>
      <c r="G6009" s="36" t="n">
        <f aca="false">Sens!$G$6008*1000/(Sens!$G$5991*Sens!$G$5992)</f>
        <v>9.88666562928478</v>
      </c>
      <c r="H6009" s="36" t="n">
        <f aca="false">Sens!$H$6008*1000/(Sens!$H$5991*Sens!$H$5992)</f>
        <v>10.5290045586992</v>
      </c>
      <c r="I6009" s="36" t="n">
        <f aca="false">Sens!$I$6008*1000/(Sens!$I$5991*Sens!$I$5992)</f>
        <v>10.8576363451674</v>
      </c>
      <c r="J6009" s="36" t="n">
        <f aca="false">Sens!$J$6008*1000/(Sens!$J$5991*Sens!$J$5992)</f>
        <v>11.0164452588619</v>
      </c>
      <c r="K6009" s="36" t="n">
        <f aca="false">Sens!$K$6008*1000/(Sens!$K$5991*Sens!$K$5992)</f>
        <v>11.0945024026625</v>
      </c>
      <c r="L6009" s="36" t="n">
        <f aca="false">Sens!$L$6008*1000/(Sens!$L$5991*Sens!$L$5992)</f>
        <v>11.1321867124904</v>
      </c>
      <c r="M6009" s="36" t="n">
        <f aca="false">Sens!$M$6008*1000/(Sens!$M$5991*Sens!$M$5992)</f>
        <v>11.1471865950263</v>
      </c>
      <c r="N6009" s="36" t="n">
        <f aca="false">Sens!$N$6008*1000/(Sens!$N$5991*Sens!$N$5992)</f>
        <v>9.67085565405685</v>
      </c>
      <c r="O6009" s="36" t="n">
        <f aca="false">Sens!$O$6008*1000/(Sens!$O$5991*Sens!$O$5992)</f>
        <v>9.67085565405685</v>
      </c>
    </row>
    <row r="6010" customFormat="false" ht="17.15" hidden="false" customHeight="false" outlineLevel="0" collapsed="false">
      <c r="A6010" s="0" t="s">
        <v>626</v>
      </c>
      <c r="B6010" s="0" t="s">
        <v>86</v>
      </c>
      <c r="C6010" s="38" t="n">
        <f aca="false">Sens!$C$5991/ext_sh*(ox_open+rent_mw)*Sens!$C$5992/1000</f>
        <v>0.642569210675032</v>
      </c>
      <c r="D6010" s="38" t="n">
        <f aca="false">Sens!$D$5991/ext_sh*(ox_open+rent_mw)*Sens!$D$5992/1000</f>
        <v>2.40963454003137</v>
      </c>
      <c r="E6010" s="38" t="n">
        <f aca="false">Sens!$E$5991/ext_sh*(ox_open+rent_mw)*Sens!$E$5992/1000</f>
        <v>2.35608710580845</v>
      </c>
      <c r="F6010" s="38" t="n">
        <f aca="false">((mw_open*ox_open+Sens!$F$6006*Sens!$F$6004)/ext_sh+Sens!$F$5991/ext_sh*rent_mw)*Sens!$F$5992/1000</f>
        <v>4.05421991106232</v>
      </c>
      <c r="G6010" s="38" t="n">
        <f aca="false">Sens!$E$6010+Sens!$F$6010</f>
        <v>6.41030701687077</v>
      </c>
      <c r="H6010" s="38" t="n">
        <f aca="false">((mw_open*ox_open+Sens!$H$6006*Sens!$H$6004)/ext_sh+Sens!$H$5991/ext_sh*rent_mw)*Sens!$H$5992/1000</f>
        <v>15.8108975546616</v>
      </c>
      <c r="I6010" s="38" t="n">
        <f aca="false">((mw_open*ox_open+Sens!$I$6006*Sens!$I$6004)/ext_sh+Sens!$I$5991/ext_sh*rent_mw)*Sens!$I$5992/1000</f>
        <v>26.1871623400817</v>
      </c>
      <c r="J6010" s="38" t="n">
        <f aca="false">((mw_open*ox_open+Sens!$J$6006*Sens!$J$6004)/ext_sh+Sens!$J$5991/ext_sh*rent_mw)*Sens!$J$5992/1000</f>
        <v>36.5826128954935</v>
      </c>
      <c r="K6010" s="38" t="n">
        <f aca="false">((mw_open*ox_open+Sens!$K$6006*Sens!$K$6004)/ext_sh+Sens!$K$5991/ext_sh*rent_mw)*Sens!$K$5992/1000</f>
        <v>45.5256266941655</v>
      </c>
      <c r="L6010" s="38" t="n">
        <f aca="false">((mw_open*ox_open+Sens!$L$6006*Sens!$L$6004)/ext_sh+Sens!$L$5991/ext_sh*rent_mw)*Sens!$L$5992/1000</f>
        <v>51.568818942134</v>
      </c>
      <c r="M6010" s="38" t="n">
        <f aca="false">((mw_open*ox_open+Sens!$M$6006*Sens!$M$6004)/ext_sh+Sens!$M$5991/ext_sh*rent_mw)*Sens!$M$5992/1000</f>
        <v>54.7091842856355</v>
      </c>
      <c r="N6010" s="38" t="n">
        <f aca="false">Sens!$N$5991/ext_sh*(ox_open+rent_mw)*Sens!$N$5992/1000</f>
        <v>0.84337208901098</v>
      </c>
      <c r="O6010" s="38" t="n">
        <f aca="false">Sens!$O$5991/ext_sh*(ox_open+rent_mw)*Sens!$O$5992/1000</f>
        <v>1.56626245102039</v>
      </c>
    </row>
    <row r="6011" customFormat="false" ht="17.15" hidden="false" customHeight="false" outlineLevel="0" collapsed="false">
      <c r="A6011" s="0" t="s">
        <v>627</v>
      </c>
      <c r="B6011" s="0" t="s">
        <v>86</v>
      </c>
      <c r="C6011" s="38" t="n">
        <f aca="false">Q!$D$7</f>
        <v>107.556</v>
      </c>
      <c r="D6011" s="38" t="n">
        <f aca="false">Q!$E$7</f>
        <v>128.725</v>
      </c>
      <c r="E6011" s="38" t="n">
        <f aca="false">Q!$P$7</f>
        <v>79.819</v>
      </c>
      <c r="N6011" s="38" t="n">
        <f aca="false">Q!$N$7</f>
        <v>60.14</v>
      </c>
      <c r="O6011" s="38" t="n">
        <f aca="false">Q!$O$7</f>
        <v>68.585</v>
      </c>
    </row>
    <row r="6012" customFormat="false" ht="17.15" hidden="false" customHeight="false" outlineLevel="0" collapsed="false">
      <c r="A6012" s="1" t="s">
        <v>628</v>
      </c>
      <c r="B6012" s="8" t="s">
        <v>86</v>
      </c>
      <c r="C6012" s="38" t="n">
        <f aca="false">Sens!$C$6011-Sens!$C$6008</f>
        <v>105.234994643026</v>
      </c>
      <c r="D6012" s="38" t="n">
        <f aca="false">Sens!$D$6011-Sens!$D$6008</f>
        <v>120.021229911349</v>
      </c>
      <c r="E6012" s="38" t="n">
        <f aca="false">Sens!$E$6011-Sens!$E$6008</f>
        <v>71.30864702443</v>
      </c>
      <c r="F6012" s="38" t="n">
        <f aca="false">Sens!$O$6012*(1+Sens!$F$6013)</f>
        <v>71.7692997942464</v>
      </c>
      <c r="G6012" s="38" t="n">
        <f aca="false">Sens!$E$6012+Sens!$F$6012</f>
        <v>143.077946818676</v>
      </c>
      <c r="H6012" s="38" t="n">
        <f aca="false">Sens!$G$6012*(1+Sens!$H$6013)</f>
        <v>161.017077079203</v>
      </c>
      <c r="I6012" s="38" t="n">
        <f aca="false">Sens!$H$6012*(1+Sens!$I$6013)</f>
        <v>178.769759521457</v>
      </c>
      <c r="J6012" s="38" t="n">
        <f aca="false">Sens!$I$6012*(1+Sens!$J$6013)</f>
        <v>195.775538045907</v>
      </c>
      <c r="K6012" s="38" t="n">
        <f aca="false">Sens!$J$6012*(1+Sens!$K$6013)</f>
        <v>211.43758108958</v>
      </c>
      <c r="L6012" s="38" t="n">
        <f aca="false">Sens!$K$6012*(1+Sens!$L$6013)</f>
        <v>228.352587576746</v>
      </c>
      <c r="M6012" s="38" t="n">
        <f aca="false">Sens!$L$6012*(1+Sens!$M$6013)</f>
        <v>246.620794582886</v>
      </c>
      <c r="N6012" s="38" t="n">
        <f aca="false">Sens!$N$6011-Sens!$N$6008</f>
        <v>57.0936804689721</v>
      </c>
      <c r="O6012" s="38" t="n">
        <f aca="false">Sens!$O$6011-Sens!$O$6008</f>
        <v>62.9275494423768</v>
      </c>
      <c r="P6012" s="5" t="s">
        <v>629</v>
      </c>
    </row>
    <row r="6013" customFormat="false" ht="17.15" hidden="false" customHeight="false" outlineLevel="0" collapsed="false">
      <c r="A6013" s="0" t="s">
        <v>630</v>
      </c>
      <c r="B6013" s="0" t="s">
        <v>52</v>
      </c>
      <c r="D6013" s="13" t="n">
        <f aca="false">Sens!$D$6012/Sens!$C$6012-1</f>
        <v>0.140506827776062</v>
      </c>
      <c r="E6013" s="13" t="n">
        <f aca="false">Sens!$E$6012/Sens!$N$6012-1</f>
        <v>0.248976181579029</v>
      </c>
      <c r="F6013" s="13" t="n">
        <f aca="false">Sens!$D$6013</f>
        <v>0.140506827776062</v>
      </c>
      <c r="G6013" s="13" t="n">
        <f aca="false">Sens!$G$6012/Sens!$D$6012-1</f>
        <v>0.19210532106993</v>
      </c>
      <c r="H6013" s="13" t="n">
        <f aca="false">Sens!$F$6013+(g_awso_lt-Sens!$F$6013)*1/4</f>
        <v>0.125380120832046</v>
      </c>
      <c r="I6013" s="13" t="n">
        <f aca="false">Sens!$F$6013+(g_awso_lt-Sens!$F$6013)*2/4</f>
        <v>0.110253413888031</v>
      </c>
      <c r="J6013" s="13" t="n">
        <f aca="false">Sens!$F$6013+(g_awso_lt-Sens!$F$6013)*3/4</f>
        <v>0.0951267069440154</v>
      </c>
      <c r="K6013" s="13" t="n">
        <f aca="false">Sens!$F$6013+(g_awso_lt-Sens!$F$6013)*4/4</f>
        <v>0.08</v>
      </c>
      <c r="L6013" s="13" t="n">
        <f aca="false">g_awso_lt</f>
        <v>0.08</v>
      </c>
      <c r="M6013" s="13" t="n">
        <f aca="false">g_awso_lt</f>
        <v>0.08</v>
      </c>
      <c r="P6013" s="5" t="s">
        <v>631</v>
      </c>
    </row>
    <row r="6014" customFormat="false" ht="17.15" hidden="false" customHeight="false" outlineLevel="0" collapsed="false">
      <c r="A6014" s="1" t="s">
        <v>632</v>
      </c>
    </row>
    <row r="6015" customFormat="false" ht="17.15" hidden="false" customHeight="false" outlineLevel="0" collapsed="false">
      <c r="A6015" s="0" t="s">
        <v>633</v>
      </c>
      <c r="B6015" s="0" t="s">
        <v>86</v>
      </c>
      <c r="F6015" s="38" t="n">
        <f aca="false">cx_rt*Sens!$F$5980+cx_awso*Sens!$F$6012</f>
        <v>34.9734495387866</v>
      </c>
    </row>
    <row r="6016" customFormat="false" ht="17.15" hidden="false" customHeight="false" outlineLevel="0" collapsed="false">
      <c r="A6016" s="0" t="s">
        <v>634</v>
      </c>
      <c r="B6016" s="0" t="s">
        <v>52</v>
      </c>
      <c r="C6016" s="13" t="n">
        <f aca="false">tk_cx_h100/(tk_cx_h100+tk_fac*(1-colo_sh))</f>
        <v>0.730756458006641</v>
      </c>
      <c r="D6016" s="13" t="n">
        <f aca="false">tk_cx_h100/(tk_cx_h100+tk_fac*(1-colo_sh))</f>
        <v>0.730756458006641</v>
      </c>
      <c r="E6016" s="13" t="n">
        <f aca="false">Sens!$F$6016</f>
        <v>0.760792334328868</v>
      </c>
      <c r="F6016" s="13" t="n">
        <f aca="false">Sens!$F$5999/(Sens!$F$5999+tk_fac*(1-colo_sh))</f>
        <v>0.760792334328868</v>
      </c>
      <c r="G6016" s="13" t="n">
        <f aca="false">Sens!$G$5999/(Sens!$G$5999+tk_fac*(1-colo_sh))</f>
        <v>0.760792334328868</v>
      </c>
      <c r="H6016" s="13" t="n">
        <f aca="false">Sens!$H$5999/(Sens!$H$5999+tk_fac*(1-colo_sh))</f>
        <v>0.768110668862996</v>
      </c>
      <c r="I6016" s="13" t="n">
        <f aca="false">Sens!$I$5999/(Sens!$I$5999+tk_fac*(1-colo_sh))</f>
        <v>0.77499450139483</v>
      </c>
      <c r="J6016" s="13" t="n">
        <f aca="false">Sens!$J$5999/(Sens!$J$5999+tk_fac*(1-colo_sh))</f>
        <v>0.77499450139483</v>
      </c>
      <c r="K6016" s="13" t="n">
        <f aca="false">Sens!$K$5999/(Sens!$K$5999+tk_fac*(1-colo_sh))</f>
        <v>0.77499450139483</v>
      </c>
      <c r="L6016" s="13" t="n">
        <f aca="false">Sens!$L$5999/(Sens!$L$5999+tk_fac*(1-colo_sh))</f>
        <v>0.77499450139483</v>
      </c>
      <c r="M6016" s="13" t="n">
        <f aca="false">Sens!$M$5999/(Sens!$M$5999+tk_fac*(1-colo_sh))</f>
        <v>0.77499450139483</v>
      </c>
    </row>
    <row r="6017" customFormat="false" ht="17.15" hidden="false" customHeight="false" outlineLevel="0" collapsed="false">
      <c r="A6017" s="1" t="s">
        <v>635</v>
      </c>
      <c r="B6017" s="8" t="s">
        <v>86</v>
      </c>
      <c r="C6017" s="38" t="n">
        <f aca="false">Q!$D$46-cx_rt*Q!$D$16-cx_awso*Sens!$C$6012</f>
        <v>25.2781053077374</v>
      </c>
      <c r="D6017" s="38" t="n">
        <f aca="false">Q!$E$46-cx_rt*Q!$E$16-cx_awso*Sens!$D$6012</f>
        <v>69.5686316310026</v>
      </c>
      <c r="E6017" s="38" t="n">
        <f aca="false">Q!$P$46-cx_rt*Q!$P$16-cx_awso*Sens!$E$6012</f>
        <v>64.1899206485108</v>
      </c>
      <c r="F6017" s="38" t="n">
        <f aca="false">capex_g26-Q!$P$46-Sens!$F$6015</f>
        <v>88.7165504612134</v>
      </c>
      <c r="G6017" s="38" t="n">
        <f aca="false">Sens!$E$6017+Sens!$F$6017</f>
        <v>152.906471109724</v>
      </c>
      <c r="H6017" s="38" t="n">
        <f aca="false">Sens!$H$5994*(Sens!$H$5999+tk_fac*(1-colo_sh))/1000+Sens!$H$6018</f>
        <v>198.57136494475</v>
      </c>
      <c r="I6017" s="38" t="n">
        <f aca="false">Sens!$I$5994*(Sens!$I$5999+tk_fac*(1-colo_sh))/1000+Sens!$I$6018</f>
        <v>204.6464699105</v>
      </c>
      <c r="J6017" s="38" t="n">
        <f aca="false">Sens!$J$5994*(Sens!$J$5999+tk_fac*(1-colo_sh))/1000+Sens!$J$6018</f>
        <v>209.8832381105</v>
      </c>
      <c r="K6017" s="38" t="n">
        <f aca="false">Sens!$K$5994*(Sens!$K$5999+tk_fac*(1-colo_sh))/1000+Sens!$K$6018</f>
        <v>158.016341586823</v>
      </c>
      <c r="L6017" s="38" t="n">
        <f aca="false">Sens!$L$5994*(Sens!$L$5999+tk_fac*(1-colo_sh))/1000+Sens!$L$6018</f>
        <v>137.570054263147</v>
      </c>
      <c r="M6017" s="38" t="n">
        <f aca="false">Sens!$M$5994*(Sens!$M$5999+tk_fac*(1-colo_sh))/1000+Sens!$M$6018</f>
        <v>140.56485059472</v>
      </c>
      <c r="P6017" s="5" t="s">
        <v>636</v>
      </c>
      <c r="R6017" s="38" t="n">
        <f aca="false">Q!$C$46-cx_rt*Q!$C$16-cx_awso*(Q!$C$7-mw_ye23/2*rpm_open/1000)</f>
        <v>1.50429979529945</v>
      </c>
      <c r="S6017" s="38" t="n">
        <f aca="false">Sens!$C$6017</f>
        <v>25.2781053077374</v>
      </c>
      <c r="T6017" s="38" t="n">
        <f aca="false">Sens!$D$6017</f>
        <v>69.5686316310026</v>
      </c>
      <c r="U6017" s="38" t="n">
        <f aca="false">Sens!$G$6017</f>
        <v>152.906471109724</v>
      </c>
      <c r="V6017" s="38" t="n">
        <f aca="false">Sens!$H$6017</f>
        <v>198.57136494475</v>
      </c>
      <c r="W6017" s="38" t="n">
        <f aca="false">Sens!$I$6017</f>
        <v>204.6464699105</v>
      </c>
      <c r="X6017" s="38" t="n">
        <f aca="false">Sens!$J$6017</f>
        <v>209.8832381105</v>
      </c>
      <c r="Y6017" s="38" t="n">
        <f aca="false">Sens!$K$6017</f>
        <v>158.016341586823</v>
      </c>
      <c r="Z6017" s="38" t="n">
        <f aca="false">Sens!$L$6017</f>
        <v>137.570054263147</v>
      </c>
      <c r="AA6017" s="38" t="n">
        <f aca="false">Sens!$M$6017</f>
        <v>140.56485059472</v>
      </c>
    </row>
    <row r="6018" customFormat="false" ht="17.15" hidden="false" customHeight="false" outlineLevel="0" collapsed="false">
      <c r="A6018" s="0" t="s">
        <v>637</v>
      </c>
      <c r="B6018" s="0" t="s">
        <v>86</v>
      </c>
      <c r="H6018" s="38" t="n">
        <f aca="false">SUMPRODUCT(--(Sens!$R$5987:$AA$5987=2027-tk_life),Sens!$R$5994:$AA$5994)*Sens!$H$5999/1000</f>
        <v>0</v>
      </c>
      <c r="I6018" s="38" t="n">
        <f aca="false">SUMPRODUCT(--(Sens!$R$5987:$AA$5987=2028-tk_life),Sens!$R$5994:$AA$5994)*Sens!$I$5999/1000</f>
        <v>0</v>
      </c>
      <c r="J6018" s="38" t="n">
        <f aca="false">SUMPRODUCT(--(Sens!$R$5987:$AA$5987=2029-tk_life),Sens!$R$5994:$AA$5994)*Sens!$J$5999/1000</f>
        <v>5.2367682</v>
      </c>
      <c r="K6018" s="38" t="n">
        <f aca="false">SUMPRODUCT(--(Sens!$R$5987:$AA$5987=2030-tk_life),Sens!$R$5994:$AA$5994)*Sens!$K$5999/1000</f>
        <v>10.4735364</v>
      </c>
      <c r="L6018" s="38" t="n">
        <f aca="false">SUMPRODUCT(--(Sens!$R$5987:$AA$5987=2031-tk_life),Sens!$R$5994:$AA$5994)*Sens!$L$5999/1000</f>
        <v>47.1309138</v>
      </c>
      <c r="M6018" s="38" t="n">
        <f aca="false">SUMPRODUCT(--(Sens!$R$5987:$AA$5987=2032-tk_life),Sens!$R$5994:$AA$5994)*Sens!$M$5999/1000</f>
        <v>107.22937485525</v>
      </c>
    </row>
    <row r="6019" customFormat="false" ht="17.15" hidden="false" customHeight="false" outlineLevel="0" collapsed="false">
      <c r="A6019" s="0" t="s">
        <v>638</v>
      </c>
      <c r="B6019" s="0" t="s">
        <v>86</v>
      </c>
      <c r="C6019" s="38" t="n">
        <f aca="false">MIN(Sens!$C$6017,Sens!$C$5994*(tk_cx_h100+tk_fac*(1-colo_sh))/1000)</f>
        <v>11.2938642</v>
      </c>
      <c r="D6019" s="38" t="n">
        <f aca="false">MIN(Sens!$D$6017,Sens!$D$5994*(tk_cx_h100+tk_fac*(1-colo_sh))/1000)</f>
        <v>50.8223889</v>
      </c>
      <c r="E6019" s="38" t="n">
        <f aca="false">MIN(Sens!$E$6017,Sens!$E$5994*(Sens!$F$5999+tk_fac*(1-colo_sh))/1000)</f>
        <v>33.8985792</v>
      </c>
      <c r="F6019" s="38" t="n">
        <f aca="false">Sens!$F$6017</f>
        <v>88.7165504612134</v>
      </c>
      <c r="G6019" s="38" t="n">
        <f aca="false">Sens!$E$6019+Sens!$F$6019</f>
        <v>122.615129661213</v>
      </c>
      <c r="H6019" s="38" t="n">
        <f aca="false">Sens!$H$6017</f>
        <v>198.57136494475</v>
      </c>
      <c r="I6019" s="38" t="n">
        <f aca="false">Sens!$I$6017</f>
        <v>204.6464699105</v>
      </c>
      <c r="J6019" s="38" t="n">
        <f aca="false">Sens!$J$6017</f>
        <v>209.8832381105</v>
      </c>
      <c r="K6019" s="38" t="n">
        <f aca="false">Sens!$K$6017</f>
        <v>158.016341586823</v>
      </c>
      <c r="L6019" s="38" t="n">
        <f aca="false">Sens!$L$6017</f>
        <v>137.570054263147</v>
      </c>
      <c r="M6019" s="38" t="n">
        <f aca="false">Sens!$M$6017</f>
        <v>140.56485059472</v>
      </c>
      <c r="P6019" s="5" t="s">
        <v>639</v>
      </c>
      <c r="R6019" s="38" t="n">
        <f aca="false">MIN(Sens!$R$6017,Sens!$R$5994*(tk_cx_h100+tk_fac*(1-colo_sh))/1000)</f>
        <v>1.50429979529945</v>
      </c>
      <c r="S6019" s="38" t="n">
        <f aca="false">Sens!$C$6019</f>
        <v>11.2938642</v>
      </c>
      <c r="T6019" s="38" t="n">
        <f aca="false">Sens!$D$6019</f>
        <v>50.8223889</v>
      </c>
      <c r="U6019" s="38" t="n">
        <f aca="false">Sens!$G$6019</f>
        <v>122.615129661213</v>
      </c>
      <c r="V6019" s="38" t="n">
        <f aca="false">Sens!$H$6019</f>
        <v>198.57136494475</v>
      </c>
      <c r="W6019" s="38" t="n">
        <f aca="false">Sens!$I$6019</f>
        <v>204.6464699105</v>
      </c>
      <c r="X6019" s="38" t="n">
        <f aca="false">Sens!$J$6019</f>
        <v>209.8832381105</v>
      </c>
      <c r="Y6019" s="38" t="n">
        <f aca="false">Sens!$K$6019</f>
        <v>158.016341586823</v>
      </c>
      <c r="Z6019" s="38" t="n">
        <f aca="false">Sens!$L$6019</f>
        <v>137.570054263147</v>
      </c>
      <c r="AA6019" s="38" t="n">
        <f aca="false">Sens!$M$6019</f>
        <v>140.56485059472</v>
      </c>
    </row>
    <row r="6020" customFormat="false" ht="17.15" hidden="false" customHeight="false" outlineLevel="0" collapsed="false">
      <c r="A6020" s="5" t="s">
        <v>640</v>
      </c>
      <c r="B6020" s="0" t="s">
        <v>86</v>
      </c>
      <c r="C6020" s="38" t="n">
        <f aca="false">Sens!$C$6017-Sens!$C$6019</f>
        <v>13.9842411077374</v>
      </c>
      <c r="D6020" s="38" t="n">
        <f aca="false">Sens!$D$6017-Sens!$D$6019</f>
        <v>18.7462427310026</v>
      </c>
      <c r="E6020" s="38" t="n">
        <f aca="false">Sens!$E$6017-Sens!$E$6019</f>
        <v>30.2913414485108</v>
      </c>
      <c r="F6020" s="38" t="n">
        <f aca="false">Sens!$F$6017-Sens!$F$6019</f>
        <v>0</v>
      </c>
      <c r="G6020" s="38" t="n">
        <f aca="false">Sens!$G$6017-Sens!$G$6019</f>
        <v>30.2913414485108</v>
      </c>
      <c r="H6020" s="38" t="n">
        <f aca="false">Sens!$H$6017-Sens!$H$6019</f>
        <v>0</v>
      </c>
      <c r="I6020" s="38" t="n">
        <f aca="false">Sens!$I$6017-Sens!$I$6019</f>
        <v>0</v>
      </c>
      <c r="J6020" s="38" t="n">
        <f aca="false">Sens!$J$6017-Sens!$J$6019</f>
        <v>0</v>
      </c>
      <c r="K6020" s="38" t="n">
        <f aca="false">Sens!$K$6017-Sens!$K$6019</f>
        <v>0</v>
      </c>
      <c r="L6020" s="38" t="n">
        <f aca="false">Sens!$L$6017-Sens!$L$6019</f>
        <v>0</v>
      </c>
      <c r="M6020" s="38" t="n">
        <f aca="false">Sens!$M$6017-Sens!$M$6019</f>
        <v>0</v>
      </c>
      <c r="P6020" s="5" t="s">
        <v>641</v>
      </c>
      <c r="R6020" s="38" t="n">
        <f aca="false">Sens!$R$6017-Sens!$R$6019</f>
        <v>0</v>
      </c>
      <c r="S6020" s="38" t="n">
        <f aca="false">Sens!$S$6017-Sens!$S$6019</f>
        <v>13.9842411077374</v>
      </c>
      <c r="T6020" s="38" t="n">
        <f aca="false">Sens!$T$6017-Sens!$T$6019</f>
        <v>18.7462427310026</v>
      </c>
      <c r="U6020" s="38" t="n">
        <f aca="false">Sens!$U$6017-Sens!$U$6019</f>
        <v>30.2913414485108</v>
      </c>
      <c r="V6020" s="38" t="n">
        <f aca="false">Sens!$V$6017-Sens!$V$6019</f>
        <v>0</v>
      </c>
      <c r="W6020" s="38" t="n">
        <f aca="false">Sens!$W$6017-Sens!$W$6019</f>
        <v>0</v>
      </c>
      <c r="X6020" s="38" t="n">
        <f aca="false">Sens!$X$6017-Sens!$X$6019</f>
        <v>0</v>
      </c>
      <c r="Y6020" s="38" t="n">
        <f aca="false">Sens!$Y$6017-Sens!$Y$6019</f>
        <v>0</v>
      </c>
      <c r="Z6020" s="38" t="n">
        <f aca="false">Sens!$Z$6017-Sens!$Z$6019</f>
        <v>0</v>
      </c>
      <c r="AA6020" s="38" t="n">
        <f aca="false">Sens!$AA$6017-Sens!$AA$6019</f>
        <v>0</v>
      </c>
    </row>
    <row r="6021" customFormat="false" ht="17.15" hidden="false" customHeight="false" outlineLevel="0" collapsed="false">
      <c r="A6021" s="5" t="s">
        <v>642</v>
      </c>
      <c r="B6021" s="0" t="s">
        <v>86</v>
      </c>
      <c r="R6021" s="38" t="n">
        <f aca="false">Sens!$R$6020*Sens!$C$6016</f>
        <v>0</v>
      </c>
      <c r="S6021" s="38" t="n">
        <f aca="false">Sens!$S$6020*Sens!$C$6016</f>
        <v>10.219074499801</v>
      </c>
      <c r="T6021" s="38" t="n">
        <f aca="false">Sens!$T$6020*Sens!$C$6016</f>
        <v>13.6989379390402</v>
      </c>
      <c r="U6021" s="38" t="n">
        <f aca="false">Sens!$U$6020*Sens!$E$6016</f>
        <v>23.0454203705653</v>
      </c>
      <c r="V6021" s="38" t="n">
        <f aca="false">Sens!$V$6020*Sens!$E$6016</f>
        <v>0</v>
      </c>
      <c r="W6021" s="38" t="n">
        <f aca="false">Sens!$W$6020*Sens!$E$6016</f>
        <v>0</v>
      </c>
      <c r="X6021" s="38" t="n">
        <f aca="false">Sens!$X$6020*Sens!$E$6016</f>
        <v>0</v>
      </c>
      <c r="Y6021" s="38" t="n">
        <f aca="false">Sens!$Y$6020*Sens!$E$6016</f>
        <v>0</v>
      </c>
      <c r="Z6021" s="38" t="n">
        <f aca="false">Sens!$Z$6020*Sens!$E$6016</f>
        <v>0</v>
      </c>
      <c r="AA6021" s="38" t="n">
        <f aca="false">Sens!$AA$6020*Sens!$E$6016</f>
        <v>0</v>
      </c>
    </row>
    <row r="6022" customFormat="false" ht="17.15" hidden="false" customHeight="false" outlineLevel="0" collapsed="false">
      <c r="A6022" s="5" t="s">
        <v>643</v>
      </c>
      <c r="B6022" s="0" t="s">
        <v>86</v>
      </c>
      <c r="R6022" s="38" t="n">
        <f aca="false">SUMPRODUCT(--(Sens!$R$5987:$AA$5987=2023-cip_lag),Sens!$R$6021:$AA$6021)</f>
        <v>0</v>
      </c>
      <c r="S6022" s="38" t="n">
        <f aca="false">SUMPRODUCT(--(Sens!$R$5987:$AA$5987=2024-cip_lag),Sens!$R$6021:$AA$6021)</f>
        <v>0</v>
      </c>
      <c r="T6022" s="38" t="n">
        <f aca="false">SUMPRODUCT(--(Sens!$R$5987:$AA$5987=2025-cip_lag),Sens!$R$6021:$AA$6021)</f>
        <v>10.219074499801</v>
      </c>
      <c r="U6022" s="38" t="n">
        <f aca="false">SUMPRODUCT(--(Sens!$R$5987:$AA$5987=2026-cip_lag),Sens!$R$6021:$AA$6021)</f>
        <v>13.6989379390402</v>
      </c>
      <c r="V6022" s="38" t="n">
        <f aca="false">SUMPRODUCT(--(Sens!$R$5987:$AA$5987=2027-cip_lag),Sens!$R$6021:$AA$6021)</f>
        <v>23.0454203705653</v>
      </c>
      <c r="W6022" s="38" t="n">
        <f aca="false">SUMPRODUCT(--(Sens!$R$5987:$AA$5987=2028-cip_lag),Sens!$R$6021:$AA$6021)</f>
        <v>0</v>
      </c>
      <c r="X6022" s="38" t="n">
        <f aca="false">SUMPRODUCT(--(Sens!$R$5987:$AA$5987=2029-cip_lag),Sens!$R$6021:$AA$6021)</f>
        <v>0</v>
      </c>
      <c r="Y6022" s="38" t="n">
        <f aca="false">SUMPRODUCT(--(Sens!$R$5987:$AA$5987=2030-cip_lag),Sens!$R$6021:$AA$6021)</f>
        <v>0</v>
      </c>
      <c r="Z6022" s="38" t="n">
        <f aca="false">SUMPRODUCT(--(Sens!$R$5987:$AA$5987=2031-cip_lag),Sens!$R$6021:$AA$6021)</f>
        <v>0</v>
      </c>
      <c r="AA6022" s="38" t="n">
        <f aca="false">SUMPRODUCT(--(Sens!$R$5987:$AA$5987=2032-cip_lag),Sens!$R$6021:$AA$6021)</f>
        <v>0</v>
      </c>
    </row>
    <row r="6023" customFormat="false" ht="15" hidden="false" customHeight="false" outlineLevel="0" collapsed="false">
      <c r="A6023" s="5" t="s">
        <v>644</v>
      </c>
      <c r="B6023" s="0" t="s">
        <v>86</v>
      </c>
      <c r="R6023" s="38" t="n">
        <f aca="false">SUMPRODUCT(--(Sens!$R$5987:$AA$5987=2023-cip_lag),Sens!$R$6020:$AA$6020)-Sens!$R$6022</f>
        <v>0</v>
      </c>
      <c r="S6023" s="38" t="n">
        <f aca="false">SUMPRODUCT(--(Sens!$R$5987:$AA$5987=2024-cip_lag),Sens!$R$6020:$AA$6020)-Sens!$S$6022</f>
        <v>0</v>
      </c>
      <c r="T6023" s="38" t="n">
        <f aca="false">SUMPRODUCT(--(Sens!$R$5987:$AA$5987=2025-cip_lag),Sens!$R$6020:$AA$6020)-Sens!$T$6022</f>
        <v>3.76516660793636</v>
      </c>
      <c r="U6023" s="38" t="n">
        <f aca="false">SUMPRODUCT(--(Sens!$R$5987:$AA$5987=2026-cip_lag),Sens!$R$6020:$AA$6020)-Sens!$U$6022</f>
        <v>5.04730479196242</v>
      </c>
      <c r="V6023" s="38" t="n">
        <f aca="false">SUMPRODUCT(--(Sens!$R$5987:$AA$5987=2027-cip_lag),Sens!$R$6020:$AA$6020)-Sens!$V$6022</f>
        <v>7.24592107794548</v>
      </c>
      <c r="W6023" s="38" t="n">
        <f aca="false">SUMPRODUCT(--(Sens!$R$5987:$AA$5987=2028-cip_lag),Sens!$R$6020:$AA$6020)-Sens!$W$6022</f>
        <v>0</v>
      </c>
      <c r="X6023" s="38" t="n">
        <f aca="false">SUMPRODUCT(--(Sens!$R$5987:$AA$5987=2029-cip_lag),Sens!$R$6020:$AA$6020)-Sens!$X$6022</f>
        <v>0</v>
      </c>
      <c r="Y6023" s="38" t="n">
        <f aca="false">SUMPRODUCT(--(Sens!$R$5987:$AA$5987=2030-cip_lag),Sens!$R$6020:$AA$6020)-Sens!$Y$6022</f>
        <v>0</v>
      </c>
      <c r="Z6023" s="38" t="n">
        <f aca="false">SUMPRODUCT(--(Sens!$R$5987:$AA$5987=2031-cip_lag),Sens!$R$6020:$AA$6020)-Sens!$Z$6022</f>
        <v>0</v>
      </c>
      <c r="AA6023" s="38" t="n">
        <f aca="false">SUMPRODUCT(--(Sens!$R$5987:$AA$5987=2032-cip_lag),Sens!$R$6020:$AA$6020)-Sens!$AA$6022</f>
        <v>0</v>
      </c>
    </row>
    <row r="6024" customFormat="false" ht="17.15" hidden="false" customHeight="false" outlineLevel="0" collapsed="false">
      <c r="A6024" s="5" t="s">
        <v>645</v>
      </c>
      <c r="B6024" s="0" t="s">
        <v>86</v>
      </c>
      <c r="C6024" s="38" t="n">
        <f aca="false">Sens!$C$6019*Sens!$C$6016</f>
        <v>8.2530642</v>
      </c>
      <c r="D6024" s="38" t="n">
        <f aca="false">Sens!$D$6019*Sens!$D$6016</f>
        <v>37.1387889</v>
      </c>
      <c r="E6024" s="38" t="n">
        <f aca="false">Sens!$E$6019*Sens!$E$6016</f>
        <v>25.7897792</v>
      </c>
      <c r="F6024" s="38" t="n">
        <f aca="false">Sens!$F$6019*Sens!$F$6016</f>
        <v>67.4948715189913</v>
      </c>
      <c r="G6024" s="38" t="n">
        <f aca="false">Sens!$E$6024+Sens!$F$6024</f>
        <v>93.2846507189913</v>
      </c>
      <c r="H6024" s="38" t="n">
        <f aca="false">(Sens!$H$6019-Sens!$H$6018)*Sens!$H$6016+Sens!$H$6018</f>
        <v>152.52478394475</v>
      </c>
      <c r="I6024" s="38" t="n">
        <f aca="false">(Sens!$I$6019-Sens!$I$6018)*Sens!$I$6016+Sens!$I$6018</f>
        <v>158.5998889105</v>
      </c>
      <c r="J6024" s="38" t="n">
        <f aca="false">(Sens!$J$6019-Sens!$J$6018)*Sens!$J$6016+Sens!$J$6018</f>
        <v>163.8366571105</v>
      </c>
      <c r="K6024" s="38" t="n">
        <f aca="false">(Sens!$K$6019-Sens!$K$6018)*Sens!$K$6016+Sens!$K$6018</f>
        <v>124.818399140157</v>
      </c>
      <c r="L6024" s="38" t="n">
        <f aca="false">(Sens!$L$6019-Sens!$L$6018)*Sens!$L$6016+Sens!$L$6018</f>
        <v>117.220750369813</v>
      </c>
      <c r="M6024" s="38" t="n">
        <f aca="false">(Sens!$M$6019-Sens!$M$6018)*Sens!$M$6016+Sens!$M$6018</f>
        <v>133.06418525472</v>
      </c>
      <c r="R6024" s="38" t="n">
        <f aca="false">Sens!$R$6019*Sens!$C$6016</f>
        <v>1.09927679019314</v>
      </c>
      <c r="S6024" s="38" t="n">
        <f aca="false">Sens!$C$6024</f>
        <v>8.2530642</v>
      </c>
      <c r="T6024" s="38" t="n">
        <f aca="false">Sens!$D$6024</f>
        <v>37.1387889</v>
      </c>
      <c r="U6024" s="38" t="n">
        <f aca="false">Sens!$G$6024</f>
        <v>93.2846507189913</v>
      </c>
      <c r="V6024" s="38" t="n">
        <f aca="false">Sens!$H$6024</f>
        <v>152.52478394475</v>
      </c>
      <c r="W6024" s="38" t="n">
        <f aca="false">Sens!$I$6024</f>
        <v>158.5998889105</v>
      </c>
      <c r="X6024" s="38" t="n">
        <f aca="false">Sens!$J$6024</f>
        <v>163.8366571105</v>
      </c>
      <c r="Y6024" s="38" t="n">
        <f aca="false">Sens!$K$6024</f>
        <v>124.818399140157</v>
      </c>
      <c r="Z6024" s="38" t="n">
        <f aca="false">Sens!$L$6024</f>
        <v>117.220750369813</v>
      </c>
      <c r="AA6024" s="38" t="n">
        <f aca="false">Sens!$M$6024</f>
        <v>133.06418525472</v>
      </c>
    </row>
    <row r="6025" customFormat="false" ht="15" hidden="false" customHeight="false" outlineLevel="0" collapsed="false">
      <c r="A6025" s="5" t="s">
        <v>646</v>
      </c>
      <c r="B6025" s="0" t="s">
        <v>86</v>
      </c>
      <c r="C6025" s="38" t="n">
        <f aca="false">Sens!$C$6019-Sens!$C$6024</f>
        <v>3.0408</v>
      </c>
      <c r="D6025" s="38" t="n">
        <f aca="false">Sens!$D$6019-Sens!$D$6024</f>
        <v>13.6836</v>
      </c>
      <c r="E6025" s="38" t="n">
        <f aca="false">Sens!$E$6019-Sens!$E$6024</f>
        <v>8.1088</v>
      </c>
      <c r="F6025" s="38" t="n">
        <f aca="false">Sens!$F$6019-Sens!$F$6024</f>
        <v>21.2216789422221</v>
      </c>
      <c r="G6025" s="38" t="n">
        <f aca="false">Sens!$G$6019-Sens!$G$6024</f>
        <v>29.3304789422221</v>
      </c>
      <c r="H6025" s="38" t="n">
        <f aca="false">Sens!$H$6019-Sens!$H$6024</f>
        <v>46.046581</v>
      </c>
      <c r="I6025" s="38" t="n">
        <f aca="false">Sens!$I$6019-Sens!$I$6024</f>
        <v>46.046581</v>
      </c>
      <c r="J6025" s="38" t="n">
        <f aca="false">Sens!$J$6019-Sens!$J$6024</f>
        <v>46.046581</v>
      </c>
      <c r="K6025" s="38" t="n">
        <f aca="false">Sens!$K$6019-Sens!$K$6024</f>
        <v>33.1979424466667</v>
      </c>
      <c r="L6025" s="38" t="n">
        <f aca="false">Sens!$L$6019-Sens!$L$6024</f>
        <v>20.3493038933333</v>
      </c>
      <c r="M6025" s="38" t="n">
        <f aca="false">Sens!$M$6019-Sens!$M$6024</f>
        <v>7.50066534000001</v>
      </c>
      <c r="R6025" s="38" t="n">
        <f aca="false">Sens!$R$6019-Sens!$R$6024</f>
        <v>0.405023005106309</v>
      </c>
      <c r="S6025" s="38" t="n">
        <f aca="false">Sens!$S$6019-Sens!$S$6024</f>
        <v>3.0408</v>
      </c>
      <c r="T6025" s="38" t="n">
        <f aca="false">Sens!$T$6019-Sens!$T$6024</f>
        <v>13.6836</v>
      </c>
      <c r="U6025" s="38" t="n">
        <f aca="false">Sens!$U$6019-Sens!$U$6024</f>
        <v>29.3304789422221</v>
      </c>
      <c r="V6025" s="38" t="n">
        <f aca="false">Sens!$V$6019-Sens!$V$6024</f>
        <v>46.046581</v>
      </c>
      <c r="W6025" s="38" t="n">
        <f aca="false">Sens!$W$6019-Sens!$W$6024</f>
        <v>46.046581</v>
      </c>
      <c r="X6025" s="38" t="n">
        <f aca="false">Sens!$X$6019-Sens!$X$6024</f>
        <v>46.046581</v>
      </c>
      <c r="Y6025" s="38" t="n">
        <f aca="false">Sens!$Y$6019-Sens!$Y$6024</f>
        <v>33.1979424466667</v>
      </c>
      <c r="Z6025" s="38" t="n">
        <f aca="false">Sens!$Z$6019-Sens!$Z$6024</f>
        <v>20.3493038933333</v>
      </c>
      <c r="AA6025" s="38" t="n">
        <f aca="false">Sens!$AA$6019-Sens!$AA$6024</f>
        <v>7.50066534000001</v>
      </c>
    </row>
    <row r="6026" customFormat="false" ht="17.15" hidden="false" customHeight="false" outlineLevel="0" collapsed="false">
      <c r="A6026" s="0" t="s">
        <v>647</v>
      </c>
      <c r="B6026" s="0" t="s">
        <v>52</v>
      </c>
      <c r="C6026" s="13" t="n">
        <f aca="false">Sens!$C$6017/Sens!$C$6142</f>
        <v>0.325505489553393</v>
      </c>
      <c r="D6026" s="13" t="n">
        <f aca="false">Sens!$D$6017/Sens!$D$6142</f>
        <v>0.54214956071542</v>
      </c>
      <c r="E6026" s="13" t="n">
        <f aca="false">Sens!$E$6017/Sens!$E$6142</f>
        <v>0.666492790452817</v>
      </c>
      <c r="F6026" s="13" t="n">
        <f aca="false">Sens!$F$6017/Sens!$F$6142</f>
        <v>0.71724917504417</v>
      </c>
      <c r="G6026" s="13" t="n">
        <f aca="false">Sens!$G$6017/Sens!$G$6142</f>
        <v>0.69502941413511</v>
      </c>
      <c r="H6026" s="13" t="n">
        <f aca="false">Sens!$H$6017/Sens!$H$6142</f>
        <v>0.726376041178204</v>
      </c>
      <c r="I6026" s="13" t="n">
        <f aca="false">Sens!$I$6017/Sens!$I$6142</f>
        <v>0.713099092661699</v>
      </c>
      <c r="J6026" s="13" t="n">
        <f aca="false">Sens!$J$6017/Sens!$J$6142</f>
        <v>0.701208348786245</v>
      </c>
      <c r="K6026" s="13" t="n">
        <f aca="false">Sens!$K$6017/Sens!$K$6142</f>
        <v>0.622515721629545</v>
      </c>
      <c r="L6026" s="13" t="n">
        <f aca="false">Sens!$L$6017/Sens!$L$6142</f>
        <v>0.572606741433048</v>
      </c>
      <c r="M6026" s="13" t="n">
        <f aca="false">Sens!$M$6017/Sens!$M$6142</f>
        <v>0.560855994905929</v>
      </c>
    </row>
    <row r="6027" customFormat="false" ht="17.15" hidden="false" customHeight="false" outlineLevel="0" collapsed="false">
      <c r="A6027" s="0" t="s">
        <v>648</v>
      </c>
      <c r="B6027" s="0" t="s">
        <v>86</v>
      </c>
      <c r="C6027" s="38" t="n">
        <f aca="false">Sens!$S$6027</f>
        <v>0.183212798365523</v>
      </c>
      <c r="D6027" s="38" t="n">
        <f aca="false">Sens!$T$6027</f>
        <v>1.55872349836552</v>
      </c>
      <c r="E6027" s="38" t="n">
        <f aca="false">Sens!$G$6027/2</f>
        <v>4.72585036583285</v>
      </c>
      <c r="F6027" s="38" t="n">
        <f aca="false">Sens!$G$6027/2</f>
        <v>4.72585036583285</v>
      </c>
      <c r="G6027" s="38" t="n">
        <f aca="false">Sens!$U$6027</f>
        <v>9.4517007316657</v>
      </c>
      <c r="H6027" s="38" t="n">
        <f aca="false">Sens!$V$6027</f>
        <v>27.2822988413376</v>
      </c>
      <c r="I6027" s="38" t="n">
        <f aca="false">Sens!$W$6027</f>
        <v>56.5439995605568</v>
      </c>
      <c r="J6027" s="38" t="n">
        <f aca="false">Sens!$X$6027</f>
        <v>82.9773143789735</v>
      </c>
      <c r="K6027" s="38" t="n">
        <f aca="false">Sens!$Y$6027</f>
        <v>110.100211099025</v>
      </c>
      <c r="L6027" s="38" t="n">
        <f aca="false">Sens!$Z$6027</f>
        <v>129.527766922384</v>
      </c>
      <c r="M6027" s="38" t="n">
        <f aca="false">Sens!$AA$6027</f>
        <v>141.171581417386</v>
      </c>
      <c r="N6027" s="38" t="n">
        <f aca="false">Sens!$D$6027/2</f>
        <v>0.779361749182762</v>
      </c>
      <c r="O6027" s="38" t="n">
        <f aca="false">Sens!$D$6027/2</f>
        <v>0.779361749182762</v>
      </c>
      <c r="R6027" s="38" t="n">
        <f aca="false">(SUMPRODUCT(--(Sens!$R$5987:$AA$5987&lt;Sens!R$5987),--(Sens!$R$5987:$AA$5987&gt;=Sens!R$5987-tk_life),Sens!$R$6024:$AA$6024)+SUMPRODUCT(--(Sens!$R$5987:$AA$5987&lt;Sens!R$5987),--(Sens!$R$5987:$AA$5987&gt;=Sens!R$5987-tk_life),Sens!$R$6022:$AA$6022))/tk_life</f>
        <v>0</v>
      </c>
      <c r="S6027" s="38" t="n">
        <f aca="false">(SUMPRODUCT(--(Sens!$R$5987:$AA$5987&lt;Sens!S$5987),--(Sens!$R$5987:$AA$5987&gt;=Sens!S$5987-tk_life),Sens!$R$6024:$AA$6024)+SUMPRODUCT(--(Sens!$R$5987:$AA$5987&lt;Sens!S$5987),--(Sens!$R$5987:$AA$5987&gt;=Sens!S$5987-tk_life),Sens!$R$6022:$AA$6022))/tk_life</f>
        <v>0.183212798365523</v>
      </c>
      <c r="T6027" s="38" t="n">
        <f aca="false">(SUMPRODUCT(--(Sens!$R$5987:$AA$5987&lt;Sens!T$5987),--(Sens!$R$5987:$AA$5987&gt;=Sens!T$5987-tk_life),Sens!$R$6024:$AA$6024)+SUMPRODUCT(--(Sens!$R$5987:$AA$5987&lt;Sens!T$5987),--(Sens!$R$5987:$AA$5987&gt;=Sens!T$5987-tk_life),Sens!$R$6022:$AA$6022))/tk_life</f>
        <v>1.55872349836552</v>
      </c>
      <c r="U6027" s="38" t="n">
        <f aca="false">(SUMPRODUCT(--(Sens!$R$5987:$AA$5987&lt;Sens!U$5987),--(Sens!$R$5987:$AA$5987&gt;=Sens!U$5987-tk_life),Sens!$R$6024:$AA$6024)+SUMPRODUCT(--(Sens!$R$5987:$AA$5987&lt;Sens!U$5987),--(Sens!$R$5987:$AA$5987&gt;=Sens!U$5987-tk_life),Sens!$R$6022:$AA$6022))/tk_life</f>
        <v>9.4517007316657</v>
      </c>
      <c r="V6027" s="38" t="n">
        <f aca="false">(SUMPRODUCT(--(Sens!$R$5987:$AA$5987&lt;Sens!V$5987),--(Sens!$R$5987:$AA$5987&gt;=Sens!V$5987-tk_life),Sens!$R$6024:$AA$6024)+SUMPRODUCT(--(Sens!$R$5987:$AA$5987&lt;Sens!V$5987),--(Sens!$R$5987:$AA$5987&gt;=Sens!V$5987-tk_life),Sens!$R$6022:$AA$6022))/tk_life</f>
        <v>27.2822988413376</v>
      </c>
      <c r="W6027" s="38" t="n">
        <f aca="false">(SUMPRODUCT(--(Sens!$R$5987:$AA$5987&lt;Sens!W$5987),--(Sens!$R$5987:$AA$5987&gt;=Sens!W$5987-tk_life),Sens!$R$6024:$AA$6024)+SUMPRODUCT(--(Sens!$R$5987:$AA$5987&lt;Sens!W$5987),--(Sens!$R$5987:$AA$5987&gt;=Sens!W$5987-tk_life),Sens!$R$6022:$AA$6022))/tk_life</f>
        <v>56.5439995605568</v>
      </c>
      <c r="X6027" s="38" t="n">
        <f aca="false">(SUMPRODUCT(--(Sens!$R$5987:$AA$5987&lt;Sens!X$5987),--(Sens!$R$5987:$AA$5987&gt;=Sens!X$5987-tk_life),Sens!$R$6024:$AA$6024)+SUMPRODUCT(--(Sens!$R$5987:$AA$5987&lt;Sens!X$5987),--(Sens!$R$5987:$AA$5987&gt;=Sens!X$5987-tk_life),Sens!$R$6022:$AA$6022))/tk_life</f>
        <v>82.9773143789735</v>
      </c>
      <c r="Y6027" s="38" t="n">
        <f aca="false">(SUMPRODUCT(--(Sens!$R$5987:$AA$5987&lt;Sens!Y$5987),--(Sens!$R$5987:$AA$5987&gt;=Sens!Y$5987-tk_life),Sens!$R$6024:$AA$6024)+SUMPRODUCT(--(Sens!$R$5987:$AA$5987&lt;Sens!Y$5987),--(Sens!$R$5987:$AA$5987&gt;=Sens!Y$5987-tk_life),Sens!$R$6022:$AA$6022))/tk_life</f>
        <v>110.100211099025</v>
      </c>
      <c r="Z6027" s="38" t="n">
        <f aca="false">(SUMPRODUCT(--(Sens!$R$5987:$AA$5987&lt;Sens!Z$5987),--(Sens!$R$5987:$AA$5987&gt;=Sens!Z$5987-tk_life),Sens!$R$6024:$AA$6024)+SUMPRODUCT(--(Sens!$R$5987:$AA$5987&lt;Sens!Z$5987),--(Sens!$R$5987:$AA$5987&gt;=Sens!Z$5987-tk_life),Sens!$R$6022:$AA$6022))/tk_life</f>
        <v>129.527766922384</v>
      </c>
      <c r="AA6027" s="38" t="n">
        <f aca="false">(SUMPRODUCT(--(Sens!$R$5987:$AA$5987&lt;Sens!AA$5987),--(Sens!$R$5987:$AA$5987&gt;=Sens!AA$5987-tk_life),Sens!$R$6024:$AA$6024)+SUMPRODUCT(--(Sens!$R$5987:$AA$5987&lt;Sens!AA$5987),--(Sens!$R$5987:$AA$5987&gt;=Sens!AA$5987-tk_life),Sens!$R$6022:$AA$6022))/tk_life</f>
        <v>141.171581417386</v>
      </c>
    </row>
    <row r="6028" customFormat="false" ht="17.15" hidden="false" customHeight="false" outlineLevel="0" collapsed="false">
      <c r="A6028" s="0" t="s">
        <v>649</v>
      </c>
      <c r="B6028" s="0" t="s">
        <v>86</v>
      </c>
      <c r="C6028" s="38" t="n">
        <f aca="false">Sens!$S$6028</f>
        <v>0.0202511502553155</v>
      </c>
      <c r="D6028" s="38" t="n">
        <f aca="false">Sens!$T$6028</f>
        <v>0.172291150255315</v>
      </c>
      <c r="E6028" s="38" t="n">
        <f aca="false">Sens!$G$6028/2</f>
        <v>0.522364740326067</v>
      </c>
      <c r="F6028" s="38" t="n">
        <f aca="false">Sens!$G$6028/2</f>
        <v>0.522364740326067</v>
      </c>
      <c r="G6028" s="38" t="n">
        <f aca="false">Sens!$U$6028</f>
        <v>1.04472948065213</v>
      </c>
      <c r="H6028" s="38" t="n">
        <f aca="false">Sens!$V$6028</f>
        <v>2.76361866736136</v>
      </c>
      <c r="I6028" s="38" t="n">
        <f aca="false">Sens!$W$6028</f>
        <v>5.42824377125863</v>
      </c>
      <c r="J6028" s="38" t="n">
        <f aca="false">Sens!$X$6028</f>
        <v>7.73057282125864</v>
      </c>
      <c r="K6028" s="38" t="n">
        <f aca="false">Sens!$Y$6028</f>
        <v>10.0329018712586</v>
      </c>
      <c r="L6028" s="38" t="n">
        <f aca="false">Sens!$Z$6028</f>
        <v>11.692798993592</v>
      </c>
      <c r="M6028" s="38" t="n">
        <f aca="false">Sens!$AA$6028</f>
        <v>12.7102641882586</v>
      </c>
      <c r="N6028" s="38" t="n">
        <f aca="false">Sens!$D$6028/2</f>
        <v>0.0861455751276577</v>
      </c>
      <c r="O6028" s="38" t="n">
        <f aca="false">Sens!$D$6028/2</f>
        <v>0.0861455751276577</v>
      </c>
      <c r="R6028" s="38" t="n">
        <f aca="false">(SUMPRODUCT(--(Sens!$R$5987:$AA$5987&lt;Sens!R$5987),Sens!$R$6025:$AA$6025)+SUMPRODUCT(--(Sens!$R$5987:$AA$5987&lt;Sens!R$5987),Sens!$R$6023:$AA$6023))/fac_life</f>
        <v>0</v>
      </c>
      <c r="S6028" s="38" t="n">
        <f aca="false">(SUMPRODUCT(--(Sens!$R$5987:$AA$5987&lt;Sens!S$5987),Sens!$R$6025:$AA$6025)+SUMPRODUCT(--(Sens!$R$5987:$AA$5987&lt;Sens!S$5987),Sens!$R$6023:$AA$6023))/fac_life</f>
        <v>0.0202511502553155</v>
      </c>
      <c r="T6028" s="38" t="n">
        <f aca="false">(SUMPRODUCT(--(Sens!$R$5987:$AA$5987&lt;Sens!T$5987),Sens!$R$6025:$AA$6025)+SUMPRODUCT(--(Sens!$R$5987:$AA$5987&lt;Sens!T$5987),Sens!$R$6023:$AA$6023))/fac_life</f>
        <v>0.172291150255315</v>
      </c>
      <c r="U6028" s="38" t="n">
        <f aca="false">(SUMPRODUCT(--(Sens!$R$5987:$AA$5987&lt;Sens!U$5987),Sens!$R$6025:$AA$6025)+SUMPRODUCT(--(Sens!$R$5987:$AA$5987&lt;Sens!U$5987),Sens!$R$6023:$AA$6023))/fac_life</f>
        <v>1.04472948065213</v>
      </c>
      <c r="V6028" s="38" t="n">
        <f aca="false">(SUMPRODUCT(--(Sens!$R$5987:$AA$5987&lt;Sens!V$5987),Sens!$R$6025:$AA$6025)+SUMPRODUCT(--(Sens!$R$5987:$AA$5987&lt;Sens!V$5987),Sens!$R$6023:$AA$6023))/fac_life</f>
        <v>2.76361866736136</v>
      </c>
      <c r="W6028" s="38" t="n">
        <f aca="false">(SUMPRODUCT(--(Sens!$R$5987:$AA$5987&lt;Sens!W$5987),Sens!$R$6025:$AA$6025)+SUMPRODUCT(--(Sens!$R$5987:$AA$5987&lt;Sens!W$5987),Sens!$R$6023:$AA$6023))/fac_life</f>
        <v>5.42824377125863</v>
      </c>
      <c r="X6028" s="38" t="n">
        <f aca="false">(SUMPRODUCT(--(Sens!$R$5987:$AA$5987&lt;Sens!X$5987),Sens!$R$6025:$AA$6025)+SUMPRODUCT(--(Sens!$R$5987:$AA$5987&lt;Sens!X$5987),Sens!$R$6023:$AA$6023))/fac_life</f>
        <v>7.73057282125864</v>
      </c>
      <c r="Y6028" s="38" t="n">
        <f aca="false">(SUMPRODUCT(--(Sens!$R$5987:$AA$5987&lt;Sens!Y$5987),Sens!$R$6025:$AA$6025)+SUMPRODUCT(--(Sens!$R$5987:$AA$5987&lt;Sens!Y$5987),Sens!$R$6023:$AA$6023))/fac_life</f>
        <v>10.0329018712586</v>
      </c>
      <c r="Z6028" s="38" t="n">
        <f aca="false">(SUMPRODUCT(--(Sens!$R$5987:$AA$5987&lt;Sens!Z$5987),Sens!$R$6025:$AA$6025)+SUMPRODUCT(--(Sens!$R$5987:$AA$5987&lt;Sens!Z$5987),Sens!$R$6023:$AA$6023))/fac_life</f>
        <v>11.692798993592</v>
      </c>
      <c r="AA6028" s="38" t="n">
        <f aca="false">(SUMPRODUCT(--(Sens!$R$5987:$AA$5987&lt;Sens!AA$5987),Sens!$R$6025:$AA$6025)+SUMPRODUCT(--(Sens!$R$5987:$AA$5987&lt;Sens!AA$5987),Sens!$R$6023:$AA$6023))/fac_life</f>
        <v>12.7102641882586</v>
      </c>
    </row>
    <row r="6029" customFormat="false" ht="17.15" hidden="false" customHeight="false" outlineLevel="0" collapsed="false">
      <c r="A6029" s="1" t="s">
        <v>650</v>
      </c>
      <c r="B6029" s="8" t="s">
        <v>86</v>
      </c>
      <c r="C6029" s="38" t="n">
        <f aca="false">Sens!$C$6027+Sens!$C$6028</f>
        <v>0.203463948620839</v>
      </c>
      <c r="D6029" s="38" t="n">
        <f aca="false">Sens!$D$6027+Sens!$D$6028</f>
        <v>1.73101464862084</v>
      </c>
      <c r="E6029" s="38" t="n">
        <f aca="false">Sens!$E$6027+Sens!$E$6028</f>
        <v>5.24821510615892</v>
      </c>
      <c r="F6029" s="38" t="n">
        <f aca="false">Sens!$F$6027+Sens!$F$6028</f>
        <v>5.24821510615892</v>
      </c>
      <c r="G6029" s="38" t="n">
        <f aca="false">Sens!$G$6027+Sens!$G$6028</f>
        <v>10.4964302123178</v>
      </c>
      <c r="H6029" s="38" t="n">
        <f aca="false">Sens!$H$6027+Sens!$H$6028</f>
        <v>30.045917508699</v>
      </c>
      <c r="I6029" s="38" t="n">
        <f aca="false">Sens!$I$6027+Sens!$I$6028</f>
        <v>61.9722433318155</v>
      </c>
      <c r="J6029" s="38" t="n">
        <f aca="false">Sens!$J$6027+Sens!$J$6028</f>
        <v>90.7078872002321</v>
      </c>
      <c r="K6029" s="38" t="n">
        <f aca="false">Sens!$K$6027+Sens!$K$6028</f>
        <v>120.133112970283</v>
      </c>
      <c r="L6029" s="38" t="n">
        <f aca="false">Sens!$L$6027+Sens!$L$6028</f>
        <v>141.220565915976</v>
      </c>
      <c r="M6029" s="38" t="n">
        <f aca="false">Sens!$M$6027+Sens!$M$6028</f>
        <v>153.881845605645</v>
      </c>
      <c r="N6029" s="38" t="n">
        <f aca="false">Sens!$N$6027+Sens!$N$6028</f>
        <v>0.865507324310419</v>
      </c>
      <c r="O6029" s="38" t="n">
        <f aca="false">Sens!$O$6027+Sens!$O$6028</f>
        <v>0.865507324310419</v>
      </c>
      <c r="R6029" s="38" t="n">
        <f aca="false">Sens!$R$6027+Sens!$R$6028</f>
        <v>0</v>
      </c>
      <c r="S6029" s="38" t="n">
        <f aca="false">Sens!$S$6027+Sens!$S$6028</f>
        <v>0.203463948620839</v>
      </c>
      <c r="T6029" s="38" t="n">
        <f aca="false">Sens!$T$6027+Sens!$T$6028</f>
        <v>1.73101464862084</v>
      </c>
      <c r="U6029" s="38" t="n">
        <f aca="false">Sens!$U$6027+Sens!$U$6028</f>
        <v>10.4964302123178</v>
      </c>
      <c r="V6029" s="38" t="n">
        <f aca="false">Sens!$V$6027+Sens!$V$6028</f>
        <v>30.045917508699</v>
      </c>
      <c r="W6029" s="38" t="n">
        <f aca="false">Sens!$W$6027+Sens!$W$6028</f>
        <v>61.9722433318155</v>
      </c>
      <c r="X6029" s="38" t="n">
        <f aca="false">Sens!$X$6027+Sens!$X$6028</f>
        <v>90.7078872002321</v>
      </c>
      <c r="Y6029" s="38" t="n">
        <f aca="false">Sens!$Y$6027+Sens!$Y$6028</f>
        <v>120.133112970283</v>
      </c>
      <c r="Z6029" s="38" t="n">
        <f aca="false">Sens!$Z$6027+Sens!$Z$6028</f>
        <v>141.220565915976</v>
      </c>
      <c r="AA6029" s="38" t="n">
        <f aca="false">Sens!$AA$6027+Sens!$AA$6028</f>
        <v>153.881845605645</v>
      </c>
    </row>
    <row r="6030" customFormat="false" ht="17.15" hidden="false" customHeight="false" outlineLevel="0" collapsed="false">
      <c r="A6030" s="0" t="s">
        <v>651</v>
      </c>
      <c r="B6030" s="0" t="s">
        <v>86</v>
      </c>
      <c r="C6030" s="38" t="n">
        <f aca="false">Sens!$S$6030</f>
        <v>26.578941154416</v>
      </c>
      <c r="D6030" s="38" t="n">
        <f aca="false">Sens!$T$6030</f>
        <v>94.4165581367978</v>
      </c>
      <c r="G6030" s="38" t="n">
        <f aca="false">Sens!$U$6030</f>
        <v>236.826599034204</v>
      </c>
      <c r="H6030" s="38" t="n">
        <f aca="false">Sens!$V$6030</f>
        <v>405.352046470255</v>
      </c>
      <c r="I6030" s="38" t="n">
        <f aca="false">Sens!$W$6030</f>
        <v>548.02627304894</v>
      </c>
      <c r="J6030" s="38" t="n">
        <f aca="false">Sens!$X$6030</f>
        <v>667.201623959208</v>
      </c>
      <c r="K6030" s="38" t="n">
        <f aca="false">Sens!$Y$6030</f>
        <v>705.084852575748</v>
      </c>
      <c r="L6030" s="38" t="n">
        <f aca="false">Sens!$Z$6030</f>
        <v>701.434340922918</v>
      </c>
      <c r="M6030" s="38" t="n">
        <f aca="false">Sens!$AA$6030</f>
        <v>688.117345911993</v>
      </c>
      <c r="R6030" s="38" t="n">
        <f aca="false">SUM(Sens!$R$6017:$R$6017)-SUM(Sens!$R$6029:$R$6029)</f>
        <v>1.50429979529945</v>
      </c>
      <c r="S6030" s="38" t="n">
        <f aca="false">SUM(Sens!$R$6017:$S$6017)-SUM(Sens!$R$6029:$S$6029)</f>
        <v>26.578941154416</v>
      </c>
      <c r="T6030" s="38" t="n">
        <f aca="false">SUM(Sens!$R$6017:$T$6017)-SUM(Sens!$R$6029:$T$6029)</f>
        <v>94.4165581367978</v>
      </c>
      <c r="U6030" s="38" t="n">
        <f aca="false">SUM(Sens!$R$6017:$U$6017)-SUM(Sens!$R$6029:$U$6029)</f>
        <v>236.826599034204</v>
      </c>
      <c r="V6030" s="38" t="n">
        <f aca="false">SUM(Sens!$R$6017:$V$6017)-SUM(Sens!$R$6029:$V$6029)</f>
        <v>405.352046470255</v>
      </c>
      <c r="W6030" s="38" t="n">
        <f aca="false">SUM(Sens!$R$6017:$W$6017)-SUM(Sens!$R$6029:$W$6029)</f>
        <v>548.02627304894</v>
      </c>
      <c r="X6030" s="38" t="n">
        <f aca="false">SUM(Sens!$R$6017:$X$6017)-SUM(Sens!$R$6029:$X$6029)</f>
        <v>667.201623959208</v>
      </c>
      <c r="Y6030" s="38" t="n">
        <f aca="false">SUM(Sens!$R$6017:$Y$6017)-SUM(Sens!$R$6029:$Y$6029)</f>
        <v>705.084852575748</v>
      </c>
      <c r="Z6030" s="38" t="n">
        <f aca="false">SUM(Sens!$R$6017:$Z$6017)-SUM(Sens!$R$6029:$Z$6029)</f>
        <v>701.434340922918</v>
      </c>
      <c r="AA6030" s="38" t="n">
        <f aca="false">SUM(Sens!$R$6017:$AA$6017)-SUM(Sens!$R$6029:$AA$6029)</f>
        <v>688.117345911993</v>
      </c>
    </row>
    <row r="6031" customFormat="false" ht="17.15" hidden="false" customHeight="false" outlineLevel="0" collapsed="false">
      <c r="A6031" s="1" t="s">
        <v>652</v>
      </c>
    </row>
    <row r="6032" customFormat="false" ht="17.15" hidden="false" customHeight="false" outlineLevel="0" collapsed="false">
      <c r="A6032" s="0" t="s">
        <v>653</v>
      </c>
      <c r="B6032" s="0" t="s">
        <v>86</v>
      </c>
      <c r="C6032" s="38" t="n">
        <f aca="false">Sens!$C$6008-ext_sh*Sens!$C$6010</f>
        <v>1.80694998843362</v>
      </c>
      <c r="D6032" s="38" t="n">
        <f aca="false">Sens!$D$6008-ext_sh*Sens!$D$6010</f>
        <v>6.77606245662607</v>
      </c>
      <c r="E6032" s="38" t="n">
        <f aca="false">Sens!$E$6008-ext_sh*Sens!$E$6010</f>
        <v>6.62548329092326</v>
      </c>
      <c r="F6032" s="38" t="n">
        <f aca="false">Sens!$F$6008-ext_sh*Sens!$F$6010</f>
        <v>11.7200577158706</v>
      </c>
      <c r="G6032" s="38" t="n">
        <f aca="false">Sens!$G$6008-ext_sh*Sens!$G$6010</f>
        <v>18.3455410067939</v>
      </c>
      <c r="H6032" s="38" t="n">
        <f aca="false">Sens!$H$6008-ext_sh*Sens!$H$6010</f>
        <v>47.5171727060453</v>
      </c>
      <c r="I6032" s="38" t="n">
        <f aca="false">Sens!$I$6008-ext_sh*Sens!$I$6010</f>
        <v>80.5539692643667</v>
      </c>
      <c r="J6032" s="38" t="n">
        <f aca="false">Sens!$J$6008-ext_sh*Sens!$J$6010</f>
        <v>113.759316834883</v>
      </c>
      <c r="K6032" s="38" t="n">
        <f aca="false">Sens!$K$6008-ext_sh*Sens!$K$6010</f>
        <v>142.313600225088</v>
      </c>
      <c r="L6032" s="38" t="n">
        <f aca="false">Sens!$L$6008-ext_sh*Sens!$L$6010</f>
        <v>161.610137806934</v>
      </c>
      <c r="M6032" s="38" t="n">
        <f aca="false">Sens!$M$6008-ext_sh*Sens!$M$6010</f>
        <v>171.622526917459</v>
      </c>
      <c r="N6032" s="38" t="n">
        <f aca="false">Sens!$N$6008-ext_sh*Sens!$N$6010</f>
        <v>2.37162185981912</v>
      </c>
      <c r="O6032" s="38" t="n">
        <f aca="false">Sens!$O$6008-ext_sh*Sens!$O$6010</f>
        <v>4.40444059680694</v>
      </c>
    </row>
    <row r="6033" customFormat="false" ht="17.15" hidden="false" customHeight="false" outlineLevel="0" collapsed="false">
      <c r="A6033" s="1" t="s">
        <v>654</v>
      </c>
      <c r="B6033" s="8" t="s">
        <v>86</v>
      </c>
      <c r="C6033" s="38" t="n">
        <f aca="false">Sens!$C$6032-ext_sh*Sens!$C$6029</f>
        <v>1.64417882953695</v>
      </c>
      <c r="D6033" s="38" t="n">
        <f aca="false">Sens!$D$6032-ext_sh*Sens!$D$6029</f>
        <v>5.39125073772939</v>
      </c>
      <c r="E6033" s="38" t="n">
        <f aca="false">Sens!$E$6032-ext_sh*Sens!$E$6029</f>
        <v>2.42691120599613</v>
      </c>
      <c r="F6033" s="38" t="n">
        <f aca="false">Sens!$F$6032-ext_sh*Sens!$F$6029</f>
        <v>7.52148563094346</v>
      </c>
      <c r="G6033" s="38" t="n">
        <f aca="false">Sens!$G$6032-ext_sh*Sens!$G$6029</f>
        <v>9.94839683693959</v>
      </c>
      <c r="H6033" s="38" t="n">
        <f aca="false">Sens!$H$6032-ext_sh*Sens!$H$6029</f>
        <v>23.4804386990861</v>
      </c>
      <c r="I6033" s="38" t="n">
        <f aca="false">Sens!$I$6032-ext_sh*Sens!$I$6029</f>
        <v>30.9761745989143</v>
      </c>
      <c r="J6033" s="38" t="n">
        <f aca="false">Sens!$J$6032-ext_sh*Sens!$J$6029</f>
        <v>41.1930070746977</v>
      </c>
      <c r="K6033" s="38" t="n">
        <f aca="false">Sens!$K$6032-ext_sh*Sens!$K$6029</f>
        <v>46.207109848861</v>
      </c>
      <c r="L6033" s="38" t="n">
        <f aca="false">Sens!$L$6032-ext_sh*Sens!$L$6029</f>
        <v>48.6336850741534</v>
      </c>
      <c r="M6033" s="38" t="n">
        <f aca="false">Sens!$M$6032-ext_sh*Sens!$M$6029</f>
        <v>48.5170504329428</v>
      </c>
      <c r="N6033" s="38" t="n">
        <f aca="false">Sens!$N$6032-ext_sh*Sens!$N$6029</f>
        <v>1.67921600037079</v>
      </c>
      <c r="O6033" s="38" t="n">
        <f aca="false">Sens!$O$6032-ext_sh*Sens!$O$6029</f>
        <v>3.71203473735861</v>
      </c>
    </row>
    <row r="6034" customFormat="false" ht="17.15" hidden="false" customHeight="false" outlineLevel="0" collapsed="false">
      <c r="A6034" s="0" t="s">
        <v>655</v>
      </c>
      <c r="B6034" s="0" t="s">
        <v>52</v>
      </c>
      <c r="C6034" s="13" t="n">
        <f aca="false">Sens!$C$6033/Sens!$C$6008</f>
        <v>0.708390794789371</v>
      </c>
      <c r="D6034" s="13" t="n">
        <f aca="false">Sens!$D$6033/Sens!$D$6008</f>
        <v>0.619415573115729</v>
      </c>
      <c r="E6034" s="13" t="n">
        <f aca="false">Sens!$E$6033/Sens!$E$6008</f>
        <v>0.285171627189009</v>
      </c>
      <c r="F6034" s="13" t="n">
        <f aca="false">Sens!$F$6033/Sens!$F$6008</f>
        <v>0.502657732812366</v>
      </c>
      <c r="G6034" s="13" t="n">
        <f aca="false">Sens!$G$6033/Sens!$G$6008</f>
        <v>0.423808778611812</v>
      </c>
      <c r="H6034" s="13" t="n">
        <f aca="false">Sens!$H$6033/Sens!$H$6008</f>
        <v>0.390261631739809</v>
      </c>
      <c r="I6034" s="13" t="n">
        <f aca="false">Sens!$I$6033/Sens!$I$6008</f>
        <v>0.305172864264572</v>
      </c>
      <c r="J6034" s="13" t="n">
        <f aca="false">Sens!$J$6033/Sens!$J$6008</f>
        <v>0.288011814789856</v>
      </c>
      <c r="K6034" s="13" t="n">
        <f aca="false">Sens!$K$6033/Sens!$K$6008</f>
        <v>0.258524307562373</v>
      </c>
      <c r="L6034" s="13" t="n">
        <f aca="false">Sens!$L$6033/Sens!$L$6008</f>
        <v>0.23973400446073</v>
      </c>
      <c r="M6034" s="13" t="n">
        <f aca="false">Sens!$M$6033/Sens!$M$6008</f>
        <v>0.225252234257832</v>
      </c>
      <c r="N6034" s="13" t="n">
        <f aca="false">Sens!$N$6033/Sens!$N$6008</f>
        <v>0.551227795793364</v>
      </c>
      <c r="O6034" s="13" t="n">
        <f aca="false">Sens!$O$6033/Sens!$O$6008</f>
        <v>0.656132068597002</v>
      </c>
    </row>
    <row r="6035" customFormat="false" ht="17.15" hidden="false" customHeight="false" outlineLevel="0" collapsed="false">
      <c r="A6035" s="5" t="s">
        <v>656</v>
      </c>
      <c r="B6035" s="0" t="s">
        <v>86</v>
      </c>
      <c r="C6035" s="39" t="n">
        <v>0</v>
      </c>
      <c r="D6035" s="39" t="n">
        <v>0</v>
      </c>
      <c r="E6035" s="39" t="n">
        <v>0</v>
      </c>
      <c r="F6035" s="38" t="n">
        <f aca="false">IF(internal_ai_reading=2,1,0)*(1-ext_sh)/ext_sh*(mw_open*he_open+Sens!$F$6006*Sens!$F$6003)*Sens!$F$5992/1000</f>
        <v>3.77122048175818</v>
      </c>
      <c r="G6035" s="38" t="n">
        <f aca="false">Sens!$E$6035+Sens!$F$6035</f>
        <v>3.77122048175818</v>
      </c>
      <c r="H6035" s="38" t="n">
        <f aca="false">IF(internal_ai_reading=2,1,0)*(1-ext_sh)/ext_sh*(mw_open*he_open+Sens!$H$6006*Sens!$H$6003)*Sens!$H$5992/1000</f>
        <v>15.1635543609893</v>
      </c>
      <c r="I6035" s="38" t="n">
        <f aca="false">IF(internal_ai_reading=2,1,0)*(1-ext_sh)/ext_sh*(mw_open*he_open+Sens!$I$6006*Sens!$I$6003)*Sens!$I$5992/1000</f>
        <v>25.5818843619889</v>
      </c>
      <c r="J6035" s="38" t="n">
        <f aca="false">IF(internal_ai_reading=2,1,0)*(1-ext_sh)/ext_sh*(mw_open*he_open+Sens!$J$6006*Sens!$J$6003)*Sens!$J$5992/1000</f>
        <v>36.0465624179122</v>
      </c>
      <c r="K6035" s="38" t="n">
        <f aca="false">IF(internal_ai_reading=2,1,0)*(1-ext_sh)/ext_sh*(mw_open*he_open+Sens!$K$6006*Sens!$K$6003)*Sens!$K$5992/1000</f>
        <v>45.0461919819152</v>
      </c>
      <c r="L6035" s="38" t="n">
        <f aca="false">IF(internal_ai_reading=2,1,0)*(1-ext_sh)/ext_sh*(mw_open*he_open+Sens!$L$6006*Sens!$L$6003)*Sens!$L$5992/1000</f>
        <v>51.1279288493339</v>
      </c>
      <c r="M6035" s="38" t="n">
        <f aca="false">IF(internal_ai_reading=2,1,0)*(1-ext_sh)/ext_sh*(mw_open*he_open+Sens!$M$6006*Sens!$M$6003)*Sens!$M$5992/1000</f>
        <v>54.2845128319481</v>
      </c>
      <c r="N6035" s="39" t="n">
        <v>0</v>
      </c>
      <c r="O6035" s="39" t="n">
        <v>0</v>
      </c>
      <c r="P6035" s="8" t="s">
        <v>657</v>
      </c>
    </row>
    <row r="6036" customFormat="false" ht="17.15" hidden="false" customHeight="false" outlineLevel="0" collapsed="false">
      <c r="A6036" s="5" t="s">
        <v>658</v>
      </c>
      <c r="B6036" s="0" t="s">
        <v>86</v>
      </c>
      <c r="C6036" s="38" t="n">
        <f aca="false">(1-ext_sh)*(Sens!$C$6010+Sens!$C$6029)</f>
        <v>0.169206631859174</v>
      </c>
      <c r="D6036" s="38" t="n">
        <f aca="false">(1-ext_sh)*(Sens!$D$6010+Sens!$D$6029)</f>
        <v>0.828129837730442</v>
      </c>
      <c r="E6036" s="38" t="n">
        <f aca="false">(1-ext_sh)*(Sens!$E$6010+Sens!$E$6029)</f>
        <v>1.52086044239347</v>
      </c>
      <c r="F6036" s="38" t="n">
        <f aca="false">(1-ext_sh)*(Sens!$F$6010+Sens!$F$6029)</f>
        <v>1.86048700344425</v>
      </c>
      <c r="G6036" s="38" t="n">
        <f aca="false">(1-ext_sh)*(Sens!$G$6010+Sens!$G$6029)</f>
        <v>3.38134744583772</v>
      </c>
      <c r="H6036" s="38" t="n">
        <f aca="false">(1-ext_sh)*(Sens!$H$6010+Sens!$H$6029)</f>
        <v>9.17136301267211</v>
      </c>
      <c r="I6036" s="38" t="n">
        <f aca="false">(1-ext_sh)*(Sens!$I$6010+Sens!$I$6029)</f>
        <v>17.6318811343794</v>
      </c>
      <c r="J6036" s="38" t="n">
        <f aca="false">(1-ext_sh)*(Sens!$J$6010+Sens!$J$6029)</f>
        <v>25.4581000191451</v>
      </c>
      <c r="K6036" s="38" t="n">
        <f aca="false">(1-ext_sh)*(Sens!$K$6010+Sens!$K$6029)</f>
        <v>33.1317479328898</v>
      </c>
      <c r="L6036" s="38" t="n">
        <f aca="false">(1-ext_sh)*(Sens!$L$6010+Sens!$L$6029)</f>
        <v>38.557876971622</v>
      </c>
      <c r="M6036" s="38" t="n">
        <f aca="false">(1-ext_sh)*(Sens!$M$6010+Sens!$M$6029)</f>
        <v>41.718205978256</v>
      </c>
      <c r="N6036" s="38" t="n">
        <f aca="false">(1-ext_sh)*(Sens!$N$6010+Sens!$N$6029)</f>
        <v>0.34177588266428</v>
      </c>
      <c r="O6036" s="38" t="n">
        <f aca="false">(1-ext_sh)*(Sens!$O$6010+Sens!$O$6029)</f>
        <v>0.486353955066162</v>
      </c>
    </row>
    <row r="6037" customFormat="false" ht="17.15" hidden="false" customHeight="false" outlineLevel="0" collapsed="false">
      <c r="A6037" s="0" t="s">
        <v>659</v>
      </c>
      <c r="B6037" s="0" t="s">
        <v>86</v>
      </c>
      <c r="C6037" s="38" t="n">
        <f aca="false">Q!$D$24</f>
        <v>39.834</v>
      </c>
      <c r="D6037" s="38" t="n">
        <f aca="false">Q!$E$24</f>
        <v>45.606</v>
      </c>
      <c r="E6037" s="38" t="n">
        <f aca="false">Q!$P$24</f>
        <v>30.782</v>
      </c>
      <c r="N6037" s="38" t="n">
        <f aca="false">Q!$N$24</f>
        <v>21.707</v>
      </c>
      <c r="O6037" s="38" t="n">
        <f aca="false">Q!$O$24</f>
        <v>23.899</v>
      </c>
    </row>
    <row r="6038" customFormat="false" ht="17.15" hidden="false" customHeight="false" outlineLevel="0" collapsed="false">
      <c r="A6038" s="0" t="s">
        <v>660</v>
      </c>
      <c r="B6038" s="0" t="s">
        <v>86</v>
      </c>
      <c r="C6038" s="38" t="n">
        <f aca="false">Sens!$C$6037-Sens!$C$6033</f>
        <v>38.1898211704631</v>
      </c>
      <c r="D6038" s="38" t="n">
        <f aca="false">Sens!$D$6037-Sens!$D$6033</f>
        <v>40.2147492622706</v>
      </c>
      <c r="E6038" s="38" t="n">
        <f aca="false">Sens!$E$6037-Sens!$E$6033</f>
        <v>28.3550887940039</v>
      </c>
      <c r="F6038" s="38" t="n">
        <f aca="false">Sens!$F$6012*Sens!$F$6039</f>
        <v>25.9529793149447</v>
      </c>
      <c r="G6038" s="38" t="n">
        <f aca="false">Sens!$E$6038+Sens!$F$6038</f>
        <v>54.3080681089486</v>
      </c>
      <c r="H6038" s="38" t="n">
        <f aca="false">Sens!$H$6012*Sens!$H$6039</f>
        <v>58.2264684589333</v>
      </c>
      <c r="I6038" s="38" t="n">
        <f aca="false">Sens!$I$6012*Sens!$I$6039</f>
        <v>64.6461353851744</v>
      </c>
      <c r="J6038" s="38" t="n">
        <f aca="false">Sens!$J$6012*Sens!$J$6039</f>
        <v>70.7957093610231</v>
      </c>
      <c r="K6038" s="38" t="n">
        <f aca="false">Sens!$K$6012*Sens!$K$6039</f>
        <v>76.4593661099049</v>
      </c>
      <c r="L6038" s="38" t="n">
        <f aca="false">Sens!$L$6012*Sens!$L$6039</f>
        <v>82.5761153986973</v>
      </c>
      <c r="M6038" s="38" t="n">
        <f aca="false">Sens!$M$6012*Sens!$M$6039</f>
        <v>89.1822046305931</v>
      </c>
      <c r="N6038" s="38" t="n">
        <f aca="false">Sens!$N$6037-Sens!$N$6033</f>
        <v>20.0277839996292</v>
      </c>
      <c r="O6038" s="38" t="n">
        <f aca="false">Sens!$O$6037-Sens!$O$6033</f>
        <v>20.1869652626414</v>
      </c>
      <c r="P6038" s="5" t="s">
        <v>661</v>
      </c>
    </row>
    <row r="6039" customFormat="false" ht="17.15" hidden="false" customHeight="false" outlineLevel="0" collapsed="false">
      <c r="A6039" s="0" t="s">
        <v>662</v>
      </c>
      <c r="B6039" s="0" t="s">
        <v>52</v>
      </c>
      <c r="C6039" s="13" t="n">
        <f aca="false">Sens!$C$6038/Sens!$C$6012</f>
        <v>0.362900395443635</v>
      </c>
      <c r="D6039" s="13" t="n">
        <f aca="false">Sens!$D$6038/Sens!$D$6012</f>
        <v>0.335063632425483</v>
      </c>
      <c r="E6039" s="13" t="n">
        <f aca="false">Sens!$E$6038/Sens!$E$6012</f>
        <v>0.397638855555478</v>
      </c>
      <c r="F6039" s="13" t="n">
        <f aca="false">(Sens!$O$6038+Sens!$E$6038)/(Sens!$O$6012+Sens!$E$6012)</f>
        <v>0.361616727338133</v>
      </c>
      <c r="G6039" s="13" t="n">
        <f aca="false">Sens!$G$6038/Sens!$G$6012</f>
        <v>0.379569803149143</v>
      </c>
      <c r="H6039" s="13" t="n">
        <f aca="false">Sens!$F$6039</f>
        <v>0.361616727338133</v>
      </c>
      <c r="I6039" s="13" t="n">
        <f aca="false">Sens!$F$6039</f>
        <v>0.361616727338133</v>
      </c>
      <c r="J6039" s="13" t="n">
        <f aca="false">Sens!$F$6039</f>
        <v>0.361616727338133</v>
      </c>
      <c r="K6039" s="13" t="n">
        <f aca="false">Sens!$F$6039</f>
        <v>0.361616727338133</v>
      </c>
      <c r="L6039" s="13" t="n">
        <f aca="false">Sens!$F$6039</f>
        <v>0.361616727338133</v>
      </c>
      <c r="M6039" s="13" t="n">
        <f aca="false">Sens!$F$6039</f>
        <v>0.361616727338133</v>
      </c>
      <c r="N6039" s="13" t="n">
        <f aca="false">Sens!$N$6038/Sens!$N$6012</f>
        <v>0.35078810535806</v>
      </c>
      <c r="O6039" s="13" t="n">
        <f aca="false">Sens!$O$6038/Sens!$O$6012</f>
        <v>0.320796939361619</v>
      </c>
      <c r="P6039" s="8" t="s">
        <v>663</v>
      </c>
    </row>
    <row r="6040" customFormat="false" ht="17.15" hidden="false" customHeight="false" outlineLevel="0" collapsed="false">
      <c r="A6040" s="0" t="s">
        <v>664</v>
      </c>
      <c r="B6040" s="0" t="s">
        <v>52</v>
      </c>
      <c r="D6040" s="13" t="n">
        <f aca="false">(Q!$E$31-ext_sh*Sens!$D$6029)/Sens!$D$6012</f>
        <v>0.167180325480118</v>
      </c>
    </row>
    <row r="6041" customFormat="false" ht="17.15" hidden="false" customHeight="false" outlineLevel="0" collapsed="false">
      <c r="A6041" s="0" t="s">
        <v>665</v>
      </c>
      <c r="B6041" s="0" t="s">
        <v>86</v>
      </c>
      <c r="C6041" s="38" t="n">
        <f aca="false">Q!$D$31</f>
        <v>13.32</v>
      </c>
      <c r="D6041" s="38" t="n">
        <f aca="false">Q!$E$31</f>
        <v>21.45</v>
      </c>
      <c r="E6041" s="38" t="n">
        <f aca="false">Q!$P$31</f>
        <v>15.353</v>
      </c>
      <c r="F6041" s="38" t="n">
        <f aca="false">ext_sh*Sens!$F$6029+Sens!$D$6040*Sens!$F$6012</f>
        <v>16.1969869840094</v>
      </c>
      <c r="G6041" s="38" t="n">
        <f aca="false">Sens!$E$6041+Sens!$F$6041</f>
        <v>31.5499869840094</v>
      </c>
      <c r="H6041" s="38" t="n">
        <f aca="false">ext_sh*Sens!$H$6029+Sens!$D$6040*Sens!$H$6012</f>
        <v>50.9556213609176</v>
      </c>
      <c r="I6041" s="38" t="n">
        <f aca="false">ext_sh*Sens!$I$6029+Sens!$D$6040*Sens!$I$6012</f>
        <v>79.464581248252</v>
      </c>
      <c r="J6041" s="38" t="n">
        <f aca="false">ext_sh*Sens!$J$6029+Sens!$D$6040*Sens!$J$6012</f>
        <v>105.296127931746</v>
      </c>
      <c r="K6041" s="38" t="n">
        <f aca="false">ext_sh*Sens!$K$6029+Sens!$D$6040*Sens!$K$6012</f>
        <v>131.454694001511</v>
      </c>
      <c r="L6041" s="38" t="n">
        <f aca="false">ext_sh*Sens!$L$6029+Sens!$D$6040*Sens!$L$6012</f>
        <v>151.152512648088</v>
      </c>
      <c r="M6041" s="38" t="n">
        <f aca="false">ext_sh*Sens!$M$6029+Sens!$D$6040*Sens!$M$6012</f>
        <v>164.335621193048</v>
      </c>
      <c r="N6041" s="38" t="n">
        <f aca="false">Q!$N$31</f>
        <v>9.234</v>
      </c>
      <c r="O6041" s="38" t="n">
        <f aca="false">Q!$O$31</f>
        <v>12.216</v>
      </c>
    </row>
    <row r="6042" customFormat="false" ht="17.15" hidden="false" customHeight="false" outlineLevel="0" collapsed="false">
      <c r="A6042" s="1" t="s">
        <v>666</v>
      </c>
    </row>
    <row r="6043" customFormat="false" ht="17.15" hidden="false" customHeight="false" outlineLevel="0" collapsed="false">
      <c r="A6043" s="15" t="s">
        <v>667</v>
      </c>
      <c r="B6043" s="14" t="s">
        <v>52</v>
      </c>
      <c r="C6043" s="14"/>
      <c r="D6043" s="14"/>
      <c r="E6043" s="14"/>
      <c r="F6043" s="14"/>
      <c r="G6043" s="17" t="n">
        <f aca="false">Sens!$G$6033*(1-tax)/(ext_sh*(Sens!$D$6030+Sens!$G$6030)/2)</f>
        <v>0.0620504069546486</v>
      </c>
      <c r="H6043" s="17" t="n">
        <f aca="false">Sens!$H$6033*(1-tax)/(ext_sh*(Sens!$G$6030+Sens!$H$6030)/2)</f>
        <v>0.0755420551527686</v>
      </c>
      <c r="I6043" s="17" t="n">
        <f aca="false">Sens!$I$6033*(1-tax)/(ext_sh*(Sens!$H$6030+Sens!$I$6030)/2)</f>
        <v>0.067127575356291</v>
      </c>
      <c r="J6043" s="17" t="n">
        <f aca="false">Sens!$J$6033*(1-tax)/(ext_sh*(Sens!$I$6030+Sens!$J$6030)/2)</f>
        <v>0.0700332392906535</v>
      </c>
      <c r="K6043" s="17" t="n">
        <f aca="false">Sens!$K$6033*(1-tax)/(ext_sh*(Sens!$J$6030+Sens!$K$6030)/2)</f>
        <v>0.0695668710800853</v>
      </c>
      <c r="L6043" s="17" t="n">
        <f aca="false">Sens!$L$6033*(1-tax)/(ext_sh*(Sens!$K$6030+Sens!$L$6030)/2)</f>
        <v>0.0714381112936418</v>
      </c>
      <c r="M6043" s="17" t="n">
        <f aca="false">Sens!$M$6033*(1-tax)/(ext_sh*(Sens!$L$6030+Sens!$M$6030)/2)</f>
        <v>0.0721370093325208</v>
      </c>
      <c r="N6043" s="14"/>
      <c r="O6043" s="14"/>
      <c r="P6043" s="8" t="s">
        <v>668</v>
      </c>
    </row>
    <row r="6044" customFormat="false" ht="17.15" hidden="false" customHeight="false" outlineLevel="0" collapsed="false">
      <c r="A6044" s="5" t="s">
        <v>669</v>
      </c>
      <c r="B6044" s="0" t="s">
        <v>57</v>
      </c>
      <c r="H6044" s="36" t="n">
        <f aca="false">Sens!$H$6008*1000/(mw_open*he_open+Sens!$H$6006*Sens!$H$6003)</f>
        <v>0.991949006767191</v>
      </c>
      <c r="I6044" s="36" t="n">
        <f aca="false">Sens!$I$6008*1000/(mw_open*he_open+Sens!$I$6006*Sens!$I$6003)</f>
        <v>0.991949006767191</v>
      </c>
      <c r="J6044" s="36" t="n">
        <f aca="false">Sens!$J$6008*1000/(mw_open*he_open+Sens!$J$6006*Sens!$J$6003)</f>
        <v>0.991949006767191</v>
      </c>
      <c r="K6044" s="36" t="n">
        <f aca="false">Sens!$K$6008*1000/(mw_open*he_open+Sens!$K$6006*Sens!$K$6003)</f>
        <v>0.991949006767191</v>
      </c>
      <c r="L6044" s="36" t="n">
        <f aca="false">Sens!$L$6008*1000/(mw_open*he_open+Sens!$L$6006*Sens!$L$6003)</f>
        <v>0.991949006767191</v>
      </c>
      <c r="M6044" s="36" t="n">
        <f aca="false">Sens!$M$6008*1000/(mw_open*he_open+Sens!$M$6006*Sens!$M$6003)</f>
        <v>0.991949006767191</v>
      </c>
    </row>
    <row r="6045" customFormat="false" ht="17.15" hidden="false" customHeight="false" outlineLevel="0" collapsed="false">
      <c r="A6045" s="5" t="s">
        <v>670</v>
      </c>
      <c r="B6045" s="0" t="s">
        <v>57</v>
      </c>
      <c r="H6045" s="36" t="n">
        <f aca="false">Sens!$H$6044*(Sens!$H$6008+wacc*ext_sh*(Sens!$G$6030+Sens!$H$6030)/2/(1-tax)-Sens!$H$6033)/Sens!$H$6008</f>
        <v>1.18542857552197</v>
      </c>
      <c r="I6045" s="36" t="n">
        <f aca="false">Sens!$I$6044*(Sens!$I$6008+wacc*ext_sh*(Sens!$H$6030+Sens!$I$6030)/2/(1-tax)-Sens!$I$6033)/Sens!$I$6008</f>
        <v>1.20015476648903</v>
      </c>
      <c r="J6045" s="36" t="n">
        <f aca="false">Sens!$J$6044*(Sens!$J$6008+wacc*ext_sh*(Sens!$I$6030+Sens!$J$6030)/2/(1-tax)-Sens!$J$6033)/Sens!$J$6008</f>
        <v>1.16844056931249</v>
      </c>
      <c r="K6045" s="36" t="n">
        <f aca="false">Sens!$K$6044*(Sens!$K$6008+wacc*ext_sh*(Sens!$J$6030+Sens!$K$6030)/2/(1-tax)-Sens!$K$6033)/Sens!$K$6008</f>
        <v>1.15315204268353</v>
      </c>
      <c r="L6045" s="36" t="n">
        <f aca="false">Sens!$L$6044*(Sens!$L$6008+wacc*ext_sh*(Sens!$K$6030+Sens!$L$6030)/2/(1-tax)-Sens!$L$6033)/Sens!$L$6008</f>
        <v>1.13129070638505</v>
      </c>
      <c r="M6045" s="36" t="n">
        <f aca="false">Sens!$M$6044*(Sens!$M$6008+wacc*ext_sh*(Sens!$L$6030+Sens!$M$6030)/2/(1-tax)-Sens!$M$6033)/Sens!$M$6008</f>
        <v>1.11944016002355</v>
      </c>
    </row>
    <row r="6046" customFormat="false" ht="17.15" hidden="false" customHeight="false" outlineLevel="0" collapsed="false">
      <c r="A6046" s="5" t="s">
        <v>671</v>
      </c>
      <c r="B6046" s="0" t="s">
        <v>52</v>
      </c>
      <c r="C6046" s="13" t="n">
        <f aca="false">Sens!$C$6009/tk_pq</f>
        <v>0.195316432429398</v>
      </c>
      <c r="D6046" s="13" t="n">
        <f aca="false">Sens!$D$6009/tk_pq</f>
        <v>0.195316432429398</v>
      </c>
      <c r="E6046" s="13" t="n">
        <f aca="false">Sens!$E$6009/tk_pq</f>
        <v>0.195316432429398</v>
      </c>
      <c r="F6046" s="13" t="n">
        <f aca="false">Sens!$F$6009/tk_pq</f>
        <v>0.202241827274866</v>
      </c>
      <c r="G6046" s="13" t="n">
        <f aca="false">Sens!$G$6009/tk_pq</f>
        <v>0.199675016194063</v>
      </c>
      <c r="H6046" s="13" t="n">
        <f aca="false">Sens!$H$6009/tk_pq</f>
        <v>0.212647947710325</v>
      </c>
      <c r="I6046" s="13" t="n">
        <f aca="false">Sens!$I$6009/tk_pq</f>
        <v>0.219285125475351</v>
      </c>
      <c r="J6046" s="13" t="n">
        <f aca="false">Sens!$J$6009/tk_pq</f>
        <v>0.222492493217189</v>
      </c>
      <c r="K6046" s="13" t="n">
        <f aca="false">Sens!$K$6009/tk_pq</f>
        <v>0.224068966220005</v>
      </c>
      <c r="L6046" s="13" t="n">
        <f aca="false">Sens!$L$6009/tk_pq</f>
        <v>0.224830053471997</v>
      </c>
      <c r="M6046" s="13" t="n">
        <f aca="false">Sens!$M$6009/tk_pq</f>
        <v>0.22513299704272</v>
      </c>
      <c r="N6046" s="13" t="n">
        <f aca="false">Sens!$N$6009/tk_pq</f>
        <v>0.195316432429398</v>
      </c>
      <c r="O6046" s="13" t="n">
        <f aca="false">Sens!$O$6009/tk_pq</f>
        <v>0.195316432429398</v>
      </c>
      <c r="P6046" s="5" t="s">
        <v>672</v>
      </c>
    </row>
    <row r="6049" customFormat="false" ht="17.15" hidden="false" customHeight="false" outlineLevel="0" collapsed="false">
      <c r="A6049" s="1" t="s">
        <v>701</v>
      </c>
    </row>
    <row r="6050" customFormat="false" ht="17.15" hidden="false" customHeight="false" outlineLevel="0" collapsed="false">
      <c r="A6050" s="0" t="s">
        <v>702</v>
      </c>
      <c r="B6050" s="0" t="s">
        <v>86</v>
      </c>
      <c r="C6050" s="38" t="n">
        <f aca="false">Sens!$C$6008</f>
        <v>2.32100535697364</v>
      </c>
      <c r="D6050" s="38" t="n">
        <f aca="false">Sens!$D$6008</f>
        <v>8.70377008865116</v>
      </c>
      <c r="E6050" s="38" t="n">
        <f aca="false">Sens!$E$6008</f>
        <v>8.51035297557002</v>
      </c>
      <c r="F6050" s="38" t="n">
        <f aca="false">Sens!$F$6008</f>
        <v>14.9634336447205</v>
      </c>
      <c r="G6050" s="38" t="n">
        <f aca="false">Sens!$G$6008</f>
        <v>23.4737866202905</v>
      </c>
      <c r="H6050" s="38" t="n">
        <f aca="false">Sens!$H$6008</f>
        <v>60.1658907497746</v>
      </c>
      <c r="I6050" s="38" t="n">
        <f aca="false">Sens!$I$6008</f>
        <v>101.503699136432</v>
      </c>
      <c r="J6050" s="38" t="n">
        <f aca="false">Sens!$J$6008</f>
        <v>143.025407151278</v>
      </c>
      <c r="K6050" s="38" t="n">
        <f aca="false">Sens!$K$6008</f>
        <v>178.73410158042</v>
      </c>
      <c r="L6050" s="38" t="n">
        <f aca="false">Sens!$L$6008</f>
        <v>202.865192960641</v>
      </c>
      <c r="M6050" s="38" t="n">
        <f aca="false">Sens!$M$6008</f>
        <v>215.389874345967</v>
      </c>
      <c r="N6050" s="38" t="n">
        <f aca="false">Sens!$N$6008</f>
        <v>3.04631953102791</v>
      </c>
      <c r="O6050" s="38" t="n">
        <f aca="false">Sens!$O$6008</f>
        <v>5.65745055762326</v>
      </c>
      <c r="P6050" s="8" t="s">
        <v>703</v>
      </c>
    </row>
    <row r="6051" customFormat="false" ht="17.15" hidden="false" customHeight="false" outlineLevel="0" collapsed="false">
      <c r="A6051" s="0" t="s">
        <v>704</v>
      </c>
      <c r="B6051" s="0" t="s">
        <v>86</v>
      </c>
      <c r="C6051" s="38" t="n">
        <f aca="false">Sens!$C$6012</f>
        <v>105.234994643026</v>
      </c>
      <c r="D6051" s="38" t="n">
        <f aca="false">Sens!$D$6012</f>
        <v>120.021229911349</v>
      </c>
      <c r="E6051" s="38" t="n">
        <f aca="false">Sens!$E$6012</f>
        <v>71.30864702443</v>
      </c>
      <c r="F6051" s="38" t="n">
        <f aca="false">Sens!$F$6012</f>
        <v>71.7692997942464</v>
      </c>
      <c r="G6051" s="38" t="n">
        <f aca="false">Sens!$G$6012</f>
        <v>143.077946818676</v>
      </c>
      <c r="H6051" s="38" t="n">
        <f aca="false">Sens!$H$6012</f>
        <v>161.017077079203</v>
      </c>
      <c r="I6051" s="38" t="n">
        <f aca="false">Sens!$I$6012</f>
        <v>178.769759521457</v>
      </c>
      <c r="J6051" s="38" t="n">
        <f aca="false">Sens!$J$6012</f>
        <v>195.775538045907</v>
      </c>
      <c r="K6051" s="38" t="n">
        <f aca="false">Sens!$K$6012</f>
        <v>211.43758108958</v>
      </c>
      <c r="L6051" s="38" t="n">
        <f aca="false">Sens!$L$6012</f>
        <v>228.352587576746</v>
      </c>
      <c r="M6051" s="38" t="n">
        <f aca="false">Sens!$M$6012</f>
        <v>246.620794582886</v>
      </c>
      <c r="N6051" s="38" t="n">
        <f aca="false">Sens!$N$6012</f>
        <v>57.0936804689721</v>
      </c>
      <c r="O6051" s="38" t="n">
        <f aca="false">Sens!$O$6012</f>
        <v>62.9275494423768</v>
      </c>
      <c r="P6051" s="8" t="s">
        <v>703</v>
      </c>
    </row>
    <row r="6052" customFormat="false" ht="17.15" hidden="false" customHeight="false" outlineLevel="0" collapsed="false">
      <c r="A6052" s="1" t="s">
        <v>523</v>
      </c>
      <c r="B6052" s="8" t="s">
        <v>86</v>
      </c>
      <c r="C6052" s="38" t="n">
        <f aca="false">Q!$D$7</f>
        <v>107.556</v>
      </c>
      <c r="D6052" s="38" t="n">
        <f aca="false">Q!$E$7</f>
        <v>128.725</v>
      </c>
      <c r="E6052" s="38" t="n">
        <f aca="false">Q!$P$7</f>
        <v>79.819</v>
      </c>
      <c r="F6052" s="38" t="n">
        <f aca="false">Sens!$F$6050+Sens!$F$6051</f>
        <v>86.7327334389669</v>
      </c>
      <c r="G6052" s="38" t="n">
        <f aca="false">Sens!$G$6050+Sens!$G$6051</f>
        <v>166.551733438967</v>
      </c>
      <c r="H6052" s="38" t="n">
        <f aca="false">Sens!$H$6050+Sens!$H$6051</f>
        <v>221.182967828978</v>
      </c>
      <c r="I6052" s="38" t="n">
        <f aca="false">Sens!$I$6050+Sens!$I$6051</f>
        <v>280.27345865789</v>
      </c>
      <c r="J6052" s="38" t="n">
        <f aca="false">Sens!$J$6050+Sens!$J$6051</f>
        <v>338.800945197185</v>
      </c>
      <c r="K6052" s="38" t="n">
        <f aca="false">Sens!$K$6050+Sens!$K$6051</f>
        <v>390.17168267</v>
      </c>
      <c r="L6052" s="38" t="n">
        <f aca="false">Sens!$L$6050+Sens!$L$6051</f>
        <v>431.217780537388</v>
      </c>
      <c r="M6052" s="38" t="n">
        <f aca="false">Sens!$M$6050+Sens!$M$6051</f>
        <v>462.010668928853</v>
      </c>
      <c r="N6052" s="38" t="n">
        <f aca="false">Q!$N$7</f>
        <v>60.14</v>
      </c>
      <c r="O6052" s="38" t="n">
        <f aca="false">Q!$O$7</f>
        <v>68.585</v>
      </c>
      <c r="P6052" s="5" t="s">
        <v>705</v>
      </c>
    </row>
    <row r="6053" customFormat="false" ht="15" hidden="false" customHeight="false" outlineLevel="0" collapsed="false">
      <c r="A6053" s="3" t="s">
        <v>706</v>
      </c>
      <c r="B6053" s="8" t="s">
        <v>86</v>
      </c>
      <c r="C6053" s="38" t="n">
        <f aca="false">Q!$D$8</f>
        <v>637.959</v>
      </c>
      <c r="D6053" s="38" t="n">
        <f aca="false">Q!$E$8</f>
        <v>716.924</v>
      </c>
      <c r="E6053" s="38" t="n">
        <f aca="false">Q!$P$8</f>
        <v>382.125</v>
      </c>
      <c r="F6053" s="38" t="n">
        <f aca="false">Sens!$F$5980+Sens!$F$6052</f>
        <v>435.780975084504</v>
      </c>
      <c r="G6053" s="38" t="n">
        <f aca="false">Sens!$G$5980+Sens!$G$6052</f>
        <v>817.905975084504</v>
      </c>
      <c r="H6053" s="38" t="n">
        <f aca="false">Sens!$H$5980+Sens!$H$6052</f>
        <v>942.279857350364</v>
      </c>
      <c r="I6053" s="38" t="n">
        <f aca="false">Sens!$I$5980+Sens!$I$6052</f>
        <v>1068.80284981042</v>
      </c>
      <c r="J6053" s="38" t="n">
        <f aca="false">Sens!$J$5980+Sens!$J$6052</f>
        <v>1189.90935093863</v>
      </c>
      <c r="K6053" s="38" t="n">
        <f aca="false">Sens!$K$5980+Sens!$K$6052</f>
        <v>1296.34813810109</v>
      </c>
      <c r="L6053" s="38" t="n">
        <f aca="false">Sens!$L$5980+Sens!$L$6052</f>
        <v>1396.31088701298</v>
      </c>
      <c r="M6053" s="38" t="n">
        <f aca="false">Sens!$M$5980+Sens!$M$6052</f>
        <v>1490.15857687574</v>
      </c>
      <c r="N6053" s="38" t="n">
        <f aca="false">Q!$N$8</f>
        <v>323.369</v>
      </c>
      <c r="O6053" s="38" t="n">
        <f aca="false">Q!$O$8</f>
        <v>393.555</v>
      </c>
    </row>
    <row r="6054" customFormat="false" ht="17.15" hidden="false" customHeight="false" outlineLevel="0" collapsed="false">
      <c r="A6054" s="24" t="s">
        <v>714</v>
      </c>
      <c r="B6054" s="25" t="s">
        <v>86</v>
      </c>
      <c r="C6054" s="41" t="n">
        <f aca="false">Sens!$C$5980-(Sens!$C$5982+Sens!$C$5983)</f>
        <v>0</v>
      </c>
      <c r="D6054" s="41" t="n">
        <f aca="false">Sens!$D$5980-(Sens!$D$5982+Sens!$D$5983)</f>
        <v>0</v>
      </c>
      <c r="E6054" s="41" t="n">
        <f aca="false">Sens!$E$5980-(Sens!$E$5982+Sens!$E$5983)</f>
        <v>0</v>
      </c>
      <c r="F6054" s="41" t="n">
        <f aca="false">Sens!$F$5980-(Sens!$F$5982+Sens!$F$5983)</f>
        <v>0</v>
      </c>
      <c r="G6054" s="41" t="n">
        <f aca="false">Sens!$G$5980-(Sens!$G$5982+Sens!$G$5983)</f>
        <v>0</v>
      </c>
      <c r="H6054" s="41" t="n">
        <f aca="false">Sens!$H$5980-(Sens!$H$5982+Sens!$H$5983)</f>
        <v>0</v>
      </c>
      <c r="I6054" s="41" t="n">
        <f aca="false">Sens!$I$5980-(Sens!$I$5982+Sens!$I$5983)</f>
        <v>0</v>
      </c>
      <c r="J6054" s="41" t="n">
        <f aca="false">Sens!$J$5980-(Sens!$J$5982+Sens!$J$5983)</f>
        <v>0</v>
      </c>
      <c r="K6054" s="41" t="n">
        <f aca="false">Sens!$K$5980-(Sens!$K$5982+Sens!$K$5983)</f>
        <v>0</v>
      </c>
      <c r="L6054" s="41" t="n">
        <f aca="false">Sens!$L$5980-(Sens!$L$5982+Sens!$L$5983)</f>
        <v>0</v>
      </c>
      <c r="M6054" s="41" t="n">
        <f aca="false">Sens!$M$5980-(Sens!$M$5982+Sens!$M$5983)</f>
        <v>0</v>
      </c>
      <c r="N6054" s="41" t="n">
        <f aca="false">Sens!$N$5980-(Sens!$N$5982+Sens!$N$5983)</f>
        <v>0</v>
      </c>
      <c r="O6054" s="41" t="n">
        <f aca="false">Sens!$O$5980-(Sens!$O$5982+Sens!$O$5983)</f>
        <v>0</v>
      </c>
    </row>
    <row r="6055" customFormat="false" ht="17.15" hidden="false" customHeight="false" outlineLevel="0" collapsed="false">
      <c r="A6055" s="24" t="s">
        <v>715</v>
      </c>
      <c r="B6055" s="25" t="s">
        <v>86</v>
      </c>
      <c r="C6055" s="41" t="n">
        <f aca="false">Sens!$C$6050+Sens!$C$6051-Sens!$C$6052</f>
        <v>0</v>
      </c>
      <c r="D6055" s="41" t="n">
        <f aca="false">Sens!$D$6050+Sens!$D$6051-Sens!$D$6052</f>
        <v>0</v>
      </c>
      <c r="E6055" s="41" t="n">
        <f aca="false">Sens!$E$6050+Sens!$E$6051-Sens!$E$6052</f>
        <v>0</v>
      </c>
      <c r="F6055" s="41" t="n">
        <f aca="false">Sens!$F$6050+Sens!$F$6051-Sens!$F$6052</f>
        <v>0</v>
      </c>
      <c r="G6055" s="41" t="n">
        <f aca="false">Sens!$G$6050+Sens!$G$6051-Sens!$G$6052</f>
        <v>0</v>
      </c>
      <c r="H6055" s="41" t="n">
        <f aca="false">Sens!$H$6050+Sens!$H$6051-Sens!$H$6052</f>
        <v>0</v>
      </c>
      <c r="I6055" s="41" t="n">
        <f aca="false">Sens!$I$6050+Sens!$I$6051-Sens!$I$6052</f>
        <v>0</v>
      </c>
      <c r="J6055" s="41" t="n">
        <f aca="false">Sens!$J$6050+Sens!$J$6051-Sens!$J$6052</f>
        <v>0</v>
      </c>
      <c r="K6055" s="41" t="n">
        <f aca="false">Sens!$K$6050+Sens!$K$6051-Sens!$K$6052</f>
        <v>0</v>
      </c>
      <c r="L6055" s="41" t="n">
        <f aca="false">Sens!$L$6050+Sens!$L$6051-Sens!$L$6052</f>
        <v>0</v>
      </c>
      <c r="M6055" s="41" t="n">
        <f aca="false">Sens!$M$6050+Sens!$M$6051-Sens!$M$6052</f>
        <v>0</v>
      </c>
      <c r="N6055" s="41" t="n">
        <f aca="false">Sens!$N$6050+Sens!$N$6051-Sens!$N$6052</f>
        <v>0</v>
      </c>
      <c r="O6055" s="41" t="n">
        <f aca="false">Sens!$O$6050+Sens!$O$6051-Sens!$O$6052</f>
        <v>0</v>
      </c>
    </row>
    <row r="6056" customFormat="false" ht="17.15" hidden="false" customHeight="false" outlineLevel="0" collapsed="false">
      <c r="A6056" s="24" t="s">
        <v>716</v>
      </c>
      <c r="B6056" s="25" t="s">
        <v>86</v>
      </c>
      <c r="C6056" s="41" t="n">
        <f aca="false">Sens!$C$5982+Sens!$C$5983+Sens!$C$6052-Sens!$C$6053</f>
        <v>0</v>
      </c>
      <c r="D6056" s="41" t="n">
        <f aca="false">Sens!$D$5982+Sens!$D$5983+Sens!$D$6052-Sens!$D$6053</f>
        <v>0</v>
      </c>
      <c r="E6056" s="41" t="n">
        <f aca="false">Sens!$E$5982+Sens!$E$5983+Sens!$E$6052-Sens!$E$6053</f>
        <v>0</v>
      </c>
      <c r="F6056" s="41" t="n">
        <f aca="false">Sens!$F$5982+Sens!$F$5983+Sens!$F$6052-Sens!$F$6053</f>
        <v>0</v>
      </c>
      <c r="G6056" s="41" t="n">
        <f aca="false">Sens!$G$5982+Sens!$G$5983+Sens!$G$6052-Sens!$G$6053</f>
        <v>0</v>
      </c>
      <c r="H6056" s="41" t="n">
        <f aca="false">Sens!$H$5982+Sens!$H$5983+Sens!$H$6052-Sens!$H$6053</f>
        <v>0</v>
      </c>
      <c r="I6056" s="41" t="n">
        <f aca="false">Sens!$I$5982+Sens!$I$5983+Sens!$I$6052-Sens!$I$6053</f>
        <v>0</v>
      </c>
      <c r="J6056" s="41" t="n">
        <f aca="false">Sens!$J$5982+Sens!$J$5983+Sens!$J$6052-Sens!$J$6053</f>
        <v>0</v>
      </c>
      <c r="K6056" s="41" t="n">
        <f aca="false">Sens!$K$5982+Sens!$K$5983+Sens!$K$6052-Sens!$K$6053</f>
        <v>0</v>
      </c>
      <c r="L6056" s="41" t="n">
        <f aca="false">Sens!$L$5982+Sens!$L$5983+Sens!$L$6052-Sens!$L$6053</f>
        <v>0</v>
      </c>
      <c r="M6056" s="41" t="n">
        <f aca="false">Sens!$M$5982+Sens!$M$5983+Sens!$M$6052-Sens!$M$6053</f>
        <v>0</v>
      </c>
      <c r="N6056" s="41" t="n">
        <f aca="false">Sens!$N$5982+Sens!$N$5983+Sens!$N$6052-Sens!$N$6053</f>
        <v>0</v>
      </c>
      <c r="O6056" s="41" t="n">
        <f aca="false">Sens!$O$5982+Sens!$O$5983+Sens!$O$6052-Sens!$O$6053</f>
        <v>0</v>
      </c>
    </row>
    <row r="6057" customFormat="false" ht="15" hidden="false" customHeight="false" outlineLevel="0" collapsed="false">
      <c r="A6057" s="5" t="s">
        <v>710</v>
      </c>
      <c r="B6057" s="0" t="s">
        <v>52</v>
      </c>
      <c r="G6057" s="13" t="n">
        <f aca="false">Sens!$G$6053/Sens!$D$6053-1</f>
        <v>0.140854504918937</v>
      </c>
      <c r="H6057" s="13" t="n">
        <f aca="false">Sens!$H$6053/Sens!$G$6053-1</f>
        <v>0.152063789793209</v>
      </c>
      <c r="I6057" s="13" t="n">
        <f aca="false">Sens!$I$6053/Sens!$H$6053-1</f>
        <v>0.134273264437417</v>
      </c>
      <c r="J6057" s="13" t="n">
        <f aca="false">Sens!$J$6053/Sens!$I$6053-1</f>
        <v>0.113310421234083</v>
      </c>
      <c r="K6057" s="13" t="n">
        <f aca="false">Sens!$K$6053/Sens!$J$6053-1</f>
        <v>0.0894511729641407</v>
      </c>
      <c r="L6057" s="13" t="n">
        <f aca="false">Sens!$L$6053/Sens!$K$6053-1</f>
        <v>0.077111036745358</v>
      </c>
      <c r="M6057" s="13" t="n">
        <f aca="false">Sens!$M$6053/Sens!$L$6053-1</f>
        <v>0.067211171047677</v>
      </c>
    </row>
    <row r="6058" customFormat="false" ht="17.15" hidden="false" customHeight="false" outlineLevel="0" collapsed="false">
      <c r="A6058" s="0" t="s">
        <v>711</v>
      </c>
      <c r="B6058" s="0" t="s">
        <v>52</v>
      </c>
      <c r="C6058" s="13" t="n">
        <f aca="false">Sens!$C$6052/Sens!$C$6053</f>
        <v>0.168593906504964</v>
      </c>
      <c r="D6058" s="13" t="n">
        <f aca="false">Sens!$D$6052/Sens!$D$6053</f>
        <v>0.179551807444025</v>
      </c>
      <c r="E6058" s="13" t="n">
        <f aca="false">Sens!$E$6052/Sens!$E$6053</f>
        <v>0.208881910369643</v>
      </c>
      <c r="F6058" s="13" t="n">
        <f aca="false">Sens!$F$6052/Sens!$F$6053</f>
        <v>0.199028269699356</v>
      </c>
      <c r="G6058" s="13" t="n">
        <f aca="false">Sens!$G$6052/Sens!$G$6053</f>
        <v>0.203631882529968</v>
      </c>
      <c r="H6058" s="13" t="n">
        <f aca="false">Sens!$H$6052/Sens!$H$6053</f>
        <v>0.234731715958496</v>
      </c>
      <c r="I6058" s="13" t="n">
        <f aca="false">Sens!$I$6052/Sens!$I$6053</f>
        <v>0.262231204480418</v>
      </c>
      <c r="J6058" s="13" t="n">
        <f aca="false">Sens!$J$6052/Sens!$J$6053</f>
        <v>0.284728366013706</v>
      </c>
      <c r="K6058" s="13" t="n">
        <f aca="false">Sens!$K$6052/Sens!$K$6053</f>
        <v>0.300977547004873</v>
      </c>
      <c r="L6058" s="13" t="n">
        <f aca="false">Sens!$L$6052/Sens!$L$6053</f>
        <v>0.308826483090639</v>
      </c>
      <c r="M6058" s="13" t="n">
        <f aca="false">Sens!$M$6052/Sens!$M$6053</f>
        <v>0.310041277551482</v>
      </c>
      <c r="N6058" s="13" t="n">
        <f aca="false">Sens!$N$6052/Sens!$N$6053</f>
        <v>0.185979484737251</v>
      </c>
      <c r="O6058" s="13" t="n">
        <f aca="false">Sens!$O$6052/Sens!$O$6053</f>
        <v>0.174270432341096</v>
      </c>
    </row>
    <row r="6059" customFormat="false" ht="17.15" hidden="false" customHeight="false" outlineLevel="0" collapsed="false">
      <c r="A6059" s="0" t="s">
        <v>712</v>
      </c>
      <c r="B6059" s="0" t="s">
        <v>52</v>
      </c>
      <c r="C6059" s="13" t="n">
        <f aca="false">Sens!$C$6050/Sens!$C$6052</f>
        <v>0.0215795060896058</v>
      </c>
      <c r="D6059" s="13" t="n">
        <f aca="false">Sens!$D$6050/Sens!$D$6052</f>
        <v>0.0676152269462122</v>
      </c>
      <c r="E6059" s="13" t="n">
        <f aca="false">Sens!$E$6050/Sens!$E$6052</f>
        <v>0.106620641395783</v>
      </c>
      <c r="F6059" s="13" t="n">
        <f aca="false">Sens!$F$6050/Sens!$F$6052</f>
        <v>0.172523487401099</v>
      </c>
      <c r="G6059" s="13" t="n">
        <f aca="false">Sens!$G$6050/Sens!$G$6052</f>
        <v>0.140939911795589</v>
      </c>
      <c r="H6059" s="13" t="n">
        <f aca="false">Sens!$H$6050/Sens!$H$6052</f>
        <v>0.272018642937714</v>
      </c>
      <c r="I6059" s="13" t="n">
        <f aca="false">Sens!$I$6050/Sens!$I$6052</f>
        <v>0.362159512436497</v>
      </c>
      <c r="J6059" s="13" t="n">
        <f aca="false">Sens!$J$6050/Sens!$J$6052</f>
        <v>0.422151735934609</v>
      </c>
      <c r="K6059" s="13" t="n">
        <f aca="false">Sens!$K$6050/Sens!$K$6052</f>
        <v>0.458090911050534</v>
      </c>
      <c r="L6059" s="13" t="n">
        <f aca="false">Sens!$L$6050/Sens!$L$6052</f>
        <v>0.470447189602963</v>
      </c>
      <c r="M6059" s="13" t="n">
        <f aca="false">Sens!$M$6050/Sens!$M$6052</f>
        <v>0.466201083289563</v>
      </c>
      <c r="N6059" s="13" t="n">
        <f aca="false">Sens!$N$6050/Sens!$N$6052</f>
        <v>0.0506537999838362</v>
      </c>
      <c r="O6059" s="13" t="n">
        <f aca="false">Sens!$O$6050/Sens!$O$6052</f>
        <v>0.0824881615167056</v>
      </c>
    </row>
    <row r="6062" customFormat="false" ht="19.4" hidden="false" customHeight="false" outlineLevel="0" collapsed="false">
      <c r="A6062" s="31" t="s">
        <v>1274</v>
      </c>
    </row>
    <row r="6063" customFormat="false" ht="17.15" hidden="false" customHeight="false" outlineLevel="0" collapsed="false">
      <c r="A6063" s="6" t="s">
        <v>16</v>
      </c>
      <c r="B6063" s="6" t="s">
        <v>17</v>
      </c>
      <c r="C6063" s="20" t="s">
        <v>504</v>
      </c>
      <c r="D6063" s="20" t="s">
        <v>505</v>
      </c>
      <c r="E6063" s="20" t="s">
        <v>587</v>
      </c>
      <c r="F6063" s="20" t="s">
        <v>588</v>
      </c>
      <c r="G6063" s="20" t="s">
        <v>589</v>
      </c>
      <c r="H6063" s="20" t="s">
        <v>590</v>
      </c>
      <c r="I6063" s="20" t="s">
        <v>591</v>
      </c>
      <c r="J6063" s="20" t="s">
        <v>592</v>
      </c>
      <c r="K6063" s="20" t="s">
        <v>593</v>
      </c>
      <c r="L6063" s="20" t="s">
        <v>594</v>
      </c>
      <c r="M6063" s="20" t="s">
        <v>595</v>
      </c>
      <c r="N6063" s="20" t="s">
        <v>596</v>
      </c>
      <c r="O6063" s="20" t="s">
        <v>597</v>
      </c>
      <c r="P6063" s="6" t="s">
        <v>23</v>
      </c>
      <c r="R6063" s="20" t="n">
        <v>2023</v>
      </c>
      <c r="S6063" s="20" t="n">
        <v>2024</v>
      </c>
      <c r="T6063" s="20" t="n">
        <v>2025</v>
      </c>
      <c r="U6063" s="20" t="n">
        <v>2026</v>
      </c>
      <c r="V6063" s="20" t="n">
        <v>2027</v>
      </c>
      <c r="W6063" s="20" t="n">
        <v>2028</v>
      </c>
      <c r="X6063" s="20" t="n">
        <v>2029</v>
      </c>
      <c r="Y6063" s="20" t="n">
        <v>2030</v>
      </c>
      <c r="Z6063" s="20" t="n">
        <v>2031</v>
      </c>
      <c r="AA6063" s="20" t="n">
        <v>2032</v>
      </c>
    </row>
    <row r="6064" customFormat="false" ht="17.15" hidden="false" customHeight="false" outlineLevel="0" collapsed="false">
      <c r="A6064" s="1" t="s">
        <v>727</v>
      </c>
    </row>
    <row r="6065" customFormat="false" ht="15" hidden="false" customHeight="false" outlineLevel="0" collapsed="false">
      <c r="A6065" s="0" t="s">
        <v>526</v>
      </c>
      <c r="B6065" s="0" t="s">
        <v>86</v>
      </c>
      <c r="C6065" s="38" t="n">
        <f aca="false">Sens!$C$5967</f>
        <v>247.029</v>
      </c>
      <c r="D6065" s="38" t="n">
        <f aca="false">Sens!$D$5967</f>
        <v>269.287</v>
      </c>
      <c r="E6065" s="38" t="n">
        <f aca="false">Sens!$E$5967</f>
        <v>134.686</v>
      </c>
      <c r="F6065" s="38" t="n">
        <f aca="false">Sens!$F$5967</f>
        <v>158.293876822267</v>
      </c>
      <c r="G6065" s="38" t="n">
        <f aca="false">Sens!$G$5967</f>
        <v>292.979876822267</v>
      </c>
      <c r="H6065" s="38" t="n">
        <f aca="false">Sens!$H$5967</f>
        <v>318.184543087396</v>
      </c>
      <c r="I6065" s="38" t="n">
        <f aca="false">Sens!$I$5967</f>
        <v>341.736278761793</v>
      </c>
      <c r="J6065" s="38" t="n">
        <f aca="false">Sens!$J$5967</f>
        <v>362.927192787048</v>
      </c>
      <c r="K6065" s="38" t="n">
        <f aca="false">Sens!$K$5967</f>
        <v>381.0735524264</v>
      </c>
      <c r="L6065" s="38" t="n">
        <f aca="false">Sens!$L$5967</f>
        <v>400.12723004772</v>
      </c>
      <c r="M6065" s="38" t="n">
        <f aca="false">Sens!$M$5967</f>
        <v>420.133591550106</v>
      </c>
      <c r="N6065" s="38" t="n">
        <f aca="false">Sens!$N$5967</f>
        <v>118.892</v>
      </c>
      <c r="O6065" s="38" t="n">
        <f aca="false">Sens!$O$5967</f>
        <v>150.395</v>
      </c>
    </row>
    <row r="6066" customFormat="false" ht="15" hidden="false" customHeight="false" outlineLevel="0" collapsed="false">
      <c r="A6066" s="0" t="s">
        <v>527</v>
      </c>
      <c r="B6066" s="0" t="s">
        <v>86</v>
      </c>
      <c r="C6066" s="38" t="n">
        <f aca="false">Sens!$C$5969</f>
        <v>21.215</v>
      </c>
      <c r="D6066" s="38" t="n">
        <f aca="false">Sens!$D$5969</f>
        <v>22.561</v>
      </c>
      <c r="E6066" s="38" t="n">
        <f aca="false">Sens!$E$5969</f>
        <v>11.579</v>
      </c>
      <c r="F6066" s="38" t="n">
        <f aca="false">Sens!$F$5969</f>
        <v>11.5938724610325</v>
      </c>
      <c r="G6066" s="38" t="n">
        <f aca="false">Sens!$G$5969</f>
        <v>23.1728724610325</v>
      </c>
      <c r="H6066" s="38" t="n">
        <f aca="false">Sens!$H$5969</f>
        <v>24.353392759506</v>
      </c>
      <c r="I6066" s="38" t="n">
        <f aca="false">Sens!$I$5969</f>
        <v>25.4240338872015</v>
      </c>
      <c r="J6066" s="38" t="n">
        <f aca="false">Sens!$J$5969</f>
        <v>26.3642491017174</v>
      </c>
      <c r="K6066" s="38" t="n">
        <f aca="false">Sens!$K$5969</f>
        <v>27.155176574769</v>
      </c>
      <c r="L6066" s="38" t="n">
        <f aca="false">Sens!$L$5969</f>
        <v>27.969831872012</v>
      </c>
      <c r="M6066" s="38" t="n">
        <f aca="false">Sens!$M$5969</f>
        <v>28.8089268281724</v>
      </c>
      <c r="N6066" s="38" t="n">
        <f aca="false">Sens!$N$5969</f>
        <v>11.128</v>
      </c>
      <c r="O6066" s="38" t="n">
        <f aca="false">Sens!$O$5969</f>
        <v>11.433</v>
      </c>
    </row>
    <row r="6067" customFormat="false" ht="15" hidden="false" customHeight="false" outlineLevel="0" collapsed="false">
      <c r="A6067" s="0" t="s">
        <v>528</v>
      </c>
      <c r="B6067" s="0" t="s">
        <v>86</v>
      </c>
      <c r="C6067" s="38" t="n">
        <f aca="false">Sens!$C$5971</f>
        <v>156.146</v>
      </c>
      <c r="D6067" s="38" t="n">
        <f aca="false">Sens!$D$5971</f>
        <v>172.162</v>
      </c>
      <c r="E6067" s="38" t="n">
        <f aca="false">Sens!$E$5971</f>
        <v>88.358</v>
      </c>
      <c r="F6067" s="38" t="n">
        <f aca="false">Sens!$F$5971</f>
        <v>102.004388260171</v>
      </c>
      <c r="G6067" s="38" t="n">
        <f aca="false">Sens!$G$5971</f>
        <v>190.362388260171</v>
      </c>
      <c r="H6067" s="38" t="n">
        <f aca="false">Sens!$H$5971</f>
        <v>210.343106588311</v>
      </c>
      <c r="I6067" s="38" t="n">
        <f aca="false">Sens!$I$5971</f>
        <v>229.969728494648</v>
      </c>
      <c r="J6067" s="38" t="n">
        <f aca="false">Sens!$J$5971</f>
        <v>248.747636972598</v>
      </c>
      <c r="K6067" s="38" t="n">
        <f aca="false">Sens!$K$5971</f>
        <v>266.15997156068</v>
      </c>
      <c r="L6067" s="38" t="n">
        <f aca="false">Sens!$L$5971</f>
        <v>284.791169569927</v>
      </c>
      <c r="M6067" s="38" t="n">
        <f aca="false">Sens!$M$5971</f>
        <v>304.726551439822</v>
      </c>
      <c r="N6067" s="38" t="n">
        <f aca="false">Sens!$N$5971</f>
        <v>76.86</v>
      </c>
      <c r="O6067" s="38" t="n">
        <f aca="false">Sens!$O$5971</f>
        <v>95.302</v>
      </c>
    </row>
    <row r="6068" customFormat="false" ht="15" hidden="false" customHeight="false" outlineLevel="0" collapsed="false">
      <c r="A6068" s="0" t="s">
        <v>529</v>
      </c>
      <c r="B6068" s="0" t="s">
        <v>86</v>
      </c>
      <c r="C6068" s="38" t="n">
        <f aca="false">Sens!$C$5973</f>
        <v>56.214</v>
      </c>
      <c r="D6068" s="38" t="n">
        <f aca="false">Sens!$D$5973</f>
        <v>68.635</v>
      </c>
      <c r="E6068" s="38" t="n">
        <f aca="false">Sens!$E$5973</f>
        <v>37.052</v>
      </c>
      <c r="F6068" s="38" t="n">
        <f aca="false">Sens!$F$5973</f>
        <v>46.1572219944148</v>
      </c>
      <c r="G6068" s="38" t="n">
        <f aca="false">Sens!$G$5973</f>
        <v>83.2092219944148</v>
      </c>
      <c r="H6068" s="38" t="n">
        <f aca="false">Sens!$H$5973</f>
        <v>99.8969223878976</v>
      </c>
      <c r="I6068" s="38" t="n">
        <f aca="false">Sens!$I$5973</f>
        <v>116.583111095496</v>
      </c>
      <c r="J6068" s="38" t="n">
        <f aca="false">Sens!$J$5973</f>
        <v>132.148941941952</v>
      </c>
      <c r="K6068" s="38" t="n">
        <f aca="false">Sens!$K$5973</f>
        <v>145.363836136147</v>
      </c>
      <c r="L6068" s="38" t="n">
        <f aca="false">Sens!$L$5973</f>
        <v>159.900219749762</v>
      </c>
      <c r="M6068" s="38" t="n">
        <f aca="false">Sens!$M$5973</f>
        <v>175.890241724738</v>
      </c>
      <c r="N6068" s="38" t="n">
        <f aca="false">Sens!$N$5973</f>
        <v>29.615</v>
      </c>
      <c r="O6068" s="38" t="n">
        <f aca="false">Sens!$O$5973</f>
        <v>39.02</v>
      </c>
    </row>
    <row r="6069" customFormat="false" ht="15" hidden="false" customHeight="false" outlineLevel="0" collapsed="false">
      <c r="A6069" s="0" t="s">
        <v>530</v>
      </c>
      <c r="B6069" s="0" t="s">
        <v>86</v>
      </c>
      <c r="C6069" s="38" t="n">
        <f aca="false">Sens!$C$5975</f>
        <v>44.374</v>
      </c>
      <c r="D6069" s="38" t="n">
        <f aca="false">Sens!$D$5975</f>
        <v>49.619</v>
      </c>
      <c r="E6069" s="38" t="n">
        <f aca="false">Sens!$E$5975</f>
        <v>27.157</v>
      </c>
      <c r="F6069" s="38" t="n">
        <f aca="false">Sens!$F$5975</f>
        <v>27.7764165988154</v>
      </c>
      <c r="G6069" s="38" t="n">
        <f aca="false">Sens!$G$5975</f>
        <v>54.9334165988154</v>
      </c>
      <c r="H6069" s="38" t="n">
        <f aca="false">Sens!$H$5975</f>
        <v>61.1564112561829</v>
      </c>
      <c r="I6069" s="38" t="n">
        <f aca="false">Sens!$I$5975</f>
        <v>67.2020282103945</v>
      </c>
      <c r="J6069" s="38" t="n">
        <f aca="false">Sens!$J$5975</f>
        <v>72.8757274028885</v>
      </c>
      <c r="K6069" s="38" t="n">
        <f aca="false">Sens!$K$5975</f>
        <v>77.9770283210907</v>
      </c>
      <c r="L6069" s="38" t="n">
        <f aca="false">Sens!$L$5975</f>
        <v>83.4354203035671</v>
      </c>
      <c r="M6069" s="38" t="n">
        <f aca="false">Sens!$M$5975</f>
        <v>89.2758997248168</v>
      </c>
      <c r="N6069" s="38" t="n">
        <f aca="false">Sens!$N$5975</f>
        <v>23.923</v>
      </c>
      <c r="O6069" s="38" t="n">
        <f aca="false">Sens!$O$5975</f>
        <v>25.696</v>
      </c>
    </row>
    <row r="6070" customFormat="false" ht="15" hidden="false" customHeight="false" outlineLevel="0" collapsed="false">
      <c r="A6070" s="0" t="s">
        <v>531</v>
      </c>
      <c r="B6070" s="0" t="s">
        <v>86</v>
      </c>
      <c r="C6070" s="38" t="n">
        <f aca="false">Sens!$C$5977</f>
        <v>5.425</v>
      </c>
      <c r="D6070" s="38" t="n">
        <f aca="false">Sens!$D$5977</f>
        <v>5.935</v>
      </c>
      <c r="E6070" s="38" t="n">
        <f aca="false">Sens!$E$5977</f>
        <v>3.474</v>
      </c>
      <c r="F6070" s="38" t="n">
        <f aca="false">Sens!$F$5977</f>
        <v>3.22246550883619</v>
      </c>
      <c r="G6070" s="38" t="n">
        <f aca="false">Sens!$G$5977</f>
        <v>6.69646550883619</v>
      </c>
      <c r="H6070" s="38" t="n">
        <f aca="false">Sens!$H$5977</f>
        <v>7.16251344209196</v>
      </c>
      <c r="I6070" s="38" t="n">
        <f aca="false">Sens!$I$5977</f>
        <v>7.61421070299826</v>
      </c>
      <c r="J6070" s="38" t="n">
        <f aca="false">Sens!$J$5977</f>
        <v>8.04465753523932</v>
      </c>
      <c r="K6070" s="38" t="n">
        <f aca="false">Sens!$K$5977</f>
        <v>8.44689041200128</v>
      </c>
      <c r="L6070" s="38" t="n">
        <f aca="false">Sens!$L$5977</f>
        <v>8.86923493260135</v>
      </c>
      <c r="M6070" s="38" t="n">
        <f aca="false">Sens!$M$5977</f>
        <v>9.31269667923142</v>
      </c>
      <c r="N6070" s="38" t="n">
        <f aca="false">Sens!$N$5977</f>
        <v>2.811</v>
      </c>
      <c r="O6070" s="38" t="n">
        <f aca="false">Sens!$O$5977</f>
        <v>3.124</v>
      </c>
    </row>
    <row r="6071" customFormat="false" ht="17.15" hidden="false" customHeight="false" outlineLevel="0" collapsed="false">
      <c r="A6071" s="0" t="s">
        <v>728</v>
      </c>
      <c r="B6071" s="0" t="s">
        <v>86</v>
      </c>
      <c r="C6071" s="38" t="n">
        <f aca="false">Sens!$C$6052</f>
        <v>107.556</v>
      </c>
      <c r="D6071" s="38" t="n">
        <f aca="false">Sens!$D$6052</f>
        <v>128.725</v>
      </c>
      <c r="E6071" s="38" t="n">
        <f aca="false">Sens!$E$6052</f>
        <v>79.819</v>
      </c>
      <c r="F6071" s="38" t="n">
        <f aca="false">Sens!$F$6052</f>
        <v>86.7327334389669</v>
      </c>
      <c r="G6071" s="38" t="n">
        <f aca="false">Sens!$G$6052</f>
        <v>166.551733438967</v>
      </c>
      <c r="H6071" s="38" t="n">
        <f aca="false">Sens!$H$6052</f>
        <v>221.182967828978</v>
      </c>
      <c r="I6071" s="38" t="n">
        <f aca="false">Sens!$I$6052</f>
        <v>280.27345865789</v>
      </c>
      <c r="J6071" s="38" t="n">
        <f aca="false">Sens!$J$6052</f>
        <v>338.800945197185</v>
      </c>
      <c r="K6071" s="38" t="n">
        <f aca="false">Sens!$K$6052</f>
        <v>390.17168267</v>
      </c>
      <c r="L6071" s="38" t="n">
        <f aca="false">Sens!$L$6052</f>
        <v>431.217780537388</v>
      </c>
      <c r="M6071" s="38" t="n">
        <f aca="false">Sens!$M$6052</f>
        <v>462.010668928853</v>
      </c>
      <c r="N6071" s="38" t="n">
        <f aca="false">Sens!$N$6052</f>
        <v>60.14</v>
      </c>
      <c r="O6071" s="38" t="n">
        <f aca="false">Sens!$O$6052</f>
        <v>68.585</v>
      </c>
    </row>
    <row r="6072" customFormat="false" ht="15" hidden="false" customHeight="false" outlineLevel="0" collapsed="false">
      <c r="A6072" s="1" t="s">
        <v>519</v>
      </c>
      <c r="B6072" s="8" t="s">
        <v>86</v>
      </c>
      <c r="C6072" s="38" t="n">
        <f aca="false">Sens!$C$5982</f>
        <v>387.497</v>
      </c>
      <c r="D6072" s="38" t="n">
        <f aca="false">Sens!$D$5982</f>
        <v>426.305</v>
      </c>
      <c r="E6072" s="38" t="n">
        <f aca="false">Sens!$E$5982</f>
        <v>220.32</v>
      </c>
      <c r="F6072" s="38" t="n">
        <f aca="false">Sens!$F$5982</f>
        <v>250.639773480586</v>
      </c>
      <c r="G6072" s="38" t="n">
        <f aca="false">Sens!$G$5982</f>
        <v>470.959773480586</v>
      </c>
      <c r="H6072" s="38" t="n">
        <f aca="false">Sens!$H$5982</f>
        <v>521.386990416437</v>
      </c>
      <c r="I6072" s="38" t="n">
        <f aca="false">Sens!$I$5982</f>
        <v>570.143862887555</v>
      </c>
      <c r="J6072" s="38" t="n">
        <f aca="false">Sens!$J$5982</f>
        <v>615.391435791933</v>
      </c>
      <c r="K6072" s="38" t="n">
        <f aca="false">Sens!$K$5982</f>
        <v>655.208227561543</v>
      </c>
      <c r="L6072" s="38" t="n">
        <f aca="false">Sens!$L$5982</f>
        <v>697.807739249767</v>
      </c>
      <c r="M6072" s="38" t="n">
        <f aca="false">Sens!$M$5982</f>
        <v>743.399328463592</v>
      </c>
      <c r="N6072" s="38" t="n">
        <f aca="false">Sens!$N$5982</f>
        <v>192.955</v>
      </c>
      <c r="O6072" s="38" t="n">
        <f aca="false">Sens!$O$5982</f>
        <v>233.35</v>
      </c>
    </row>
    <row r="6073" customFormat="false" ht="15" hidden="false" customHeight="false" outlineLevel="0" collapsed="false">
      <c r="A6073" s="1" t="s">
        <v>522</v>
      </c>
      <c r="B6073" s="8" t="s">
        <v>86</v>
      </c>
      <c r="C6073" s="38" t="n">
        <f aca="false">Sens!$C$5983</f>
        <v>142.906</v>
      </c>
      <c r="D6073" s="38" t="n">
        <f aca="false">Sens!$D$5983</f>
        <v>161.894</v>
      </c>
      <c r="E6073" s="38" t="n">
        <f aca="false">Sens!$E$5983</f>
        <v>81.986</v>
      </c>
      <c r="F6073" s="38" t="n">
        <f aca="false">Sens!$F$5983</f>
        <v>98.408468164951</v>
      </c>
      <c r="G6073" s="38" t="n">
        <f aca="false">Sens!$G$5983</f>
        <v>180.394468164951</v>
      </c>
      <c r="H6073" s="38" t="n">
        <f aca="false">Sens!$H$5983</f>
        <v>199.709899104949</v>
      </c>
      <c r="I6073" s="38" t="n">
        <f aca="false">Sens!$I$5983</f>
        <v>218.385528264976</v>
      </c>
      <c r="J6073" s="38" t="n">
        <f aca="false">Sens!$J$5983</f>
        <v>235.71696994951</v>
      </c>
      <c r="K6073" s="38" t="n">
        <f aca="false">Sens!$K$5983</f>
        <v>250.968227869545</v>
      </c>
      <c r="L6073" s="38" t="n">
        <f aca="false">Sens!$L$5983</f>
        <v>267.285367225822</v>
      </c>
      <c r="M6073" s="38" t="n">
        <f aca="false">Sens!$M$5983</f>
        <v>284.748579483295</v>
      </c>
      <c r="N6073" s="38" t="n">
        <f aca="false">Sens!$N$5983</f>
        <v>70.274</v>
      </c>
      <c r="O6073" s="38" t="n">
        <f aca="false">Sens!$O$5983</f>
        <v>91.62</v>
      </c>
    </row>
    <row r="6074" customFormat="false" ht="15" hidden="false" customHeight="false" outlineLevel="0" collapsed="false">
      <c r="A6074" s="1" t="s">
        <v>523</v>
      </c>
      <c r="B6074" s="8" t="s">
        <v>86</v>
      </c>
      <c r="C6074" s="38" t="n">
        <f aca="false">Sens!$C$6052</f>
        <v>107.556</v>
      </c>
      <c r="D6074" s="38" t="n">
        <f aca="false">Sens!$D$6052</f>
        <v>128.725</v>
      </c>
      <c r="E6074" s="38" t="n">
        <f aca="false">Sens!$E$6052</f>
        <v>79.819</v>
      </c>
      <c r="F6074" s="38" t="n">
        <f aca="false">Sens!$F$6052</f>
        <v>86.7327334389669</v>
      </c>
      <c r="G6074" s="38" t="n">
        <f aca="false">Sens!$G$6052</f>
        <v>166.551733438967</v>
      </c>
      <c r="H6074" s="38" t="n">
        <f aca="false">Sens!$H$6052</f>
        <v>221.182967828978</v>
      </c>
      <c r="I6074" s="38" t="n">
        <f aca="false">Sens!$I$6052</f>
        <v>280.27345865789</v>
      </c>
      <c r="J6074" s="38" t="n">
        <f aca="false">Sens!$J$6052</f>
        <v>338.800945197185</v>
      </c>
      <c r="K6074" s="38" t="n">
        <f aca="false">Sens!$K$6052</f>
        <v>390.17168267</v>
      </c>
      <c r="L6074" s="38" t="n">
        <f aca="false">Sens!$L$6052</f>
        <v>431.217780537388</v>
      </c>
      <c r="M6074" s="38" t="n">
        <f aca="false">Sens!$M$6052</f>
        <v>462.010668928853</v>
      </c>
      <c r="N6074" s="38" t="n">
        <f aca="false">Sens!$N$6052</f>
        <v>60.14</v>
      </c>
      <c r="O6074" s="38" t="n">
        <f aca="false">Sens!$O$6052</f>
        <v>68.585</v>
      </c>
    </row>
    <row r="6075" customFormat="false" ht="17.15" hidden="false" customHeight="false" outlineLevel="0" collapsed="false">
      <c r="A6075" s="0" t="s">
        <v>702</v>
      </c>
      <c r="B6075" s="0" t="s">
        <v>86</v>
      </c>
      <c r="C6075" s="38" t="n">
        <f aca="false">Sens!$C$6050</f>
        <v>2.32100535697364</v>
      </c>
      <c r="D6075" s="38" t="n">
        <f aca="false">Sens!$D$6050</f>
        <v>8.70377008865116</v>
      </c>
      <c r="E6075" s="38" t="n">
        <f aca="false">Sens!$E$6050</f>
        <v>8.51035297557002</v>
      </c>
      <c r="F6075" s="38" t="n">
        <f aca="false">Sens!$F$6050</f>
        <v>14.9634336447205</v>
      </c>
      <c r="G6075" s="38" t="n">
        <f aca="false">Sens!$G$6050</f>
        <v>23.4737866202905</v>
      </c>
      <c r="H6075" s="38" t="n">
        <f aca="false">Sens!$H$6050</f>
        <v>60.1658907497746</v>
      </c>
      <c r="I6075" s="38" t="n">
        <f aca="false">Sens!$I$6050</f>
        <v>101.503699136432</v>
      </c>
      <c r="J6075" s="38" t="n">
        <f aca="false">Sens!$J$6050</f>
        <v>143.025407151278</v>
      </c>
      <c r="K6075" s="38" t="n">
        <f aca="false">Sens!$K$6050</f>
        <v>178.73410158042</v>
      </c>
      <c r="L6075" s="38" t="n">
        <f aca="false">Sens!$L$6050</f>
        <v>202.865192960641</v>
      </c>
      <c r="M6075" s="38" t="n">
        <f aca="false">Sens!$M$6050</f>
        <v>215.389874345967</v>
      </c>
      <c r="N6075" s="38" t="n">
        <f aca="false">Sens!$N$6050</f>
        <v>3.04631953102791</v>
      </c>
      <c r="O6075" s="38" t="n">
        <f aca="false">Sens!$O$6050</f>
        <v>5.65745055762326</v>
      </c>
    </row>
    <row r="6076" customFormat="false" ht="17.15" hidden="false" customHeight="false" outlineLevel="0" collapsed="false">
      <c r="A6076" s="0" t="s">
        <v>704</v>
      </c>
      <c r="B6076" s="0" t="s">
        <v>86</v>
      </c>
      <c r="C6076" s="38" t="n">
        <f aca="false">Sens!$C$6051</f>
        <v>105.234994643026</v>
      </c>
      <c r="D6076" s="38" t="n">
        <f aca="false">Sens!$D$6051</f>
        <v>120.021229911349</v>
      </c>
      <c r="E6076" s="38" t="n">
        <f aca="false">Sens!$E$6051</f>
        <v>71.30864702443</v>
      </c>
      <c r="F6076" s="38" t="n">
        <f aca="false">Sens!$F$6051</f>
        <v>71.7692997942464</v>
      </c>
      <c r="G6076" s="38" t="n">
        <f aca="false">Sens!$G$6051</f>
        <v>143.077946818676</v>
      </c>
      <c r="H6076" s="38" t="n">
        <f aca="false">Sens!$H$6051</f>
        <v>161.017077079203</v>
      </c>
      <c r="I6076" s="38" t="n">
        <f aca="false">Sens!$I$6051</f>
        <v>178.769759521457</v>
      </c>
      <c r="J6076" s="38" t="n">
        <f aca="false">Sens!$J$6051</f>
        <v>195.775538045907</v>
      </c>
      <c r="K6076" s="38" t="n">
        <f aca="false">Sens!$K$6051</f>
        <v>211.43758108958</v>
      </c>
      <c r="L6076" s="38" t="n">
        <f aca="false">Sens!$L$6051</f>
        <v>228.352587576746</v>
      </c>
      <c r="M6076" s="38" t="n">
        <f aca="false">Sens!$M$6051</f>
        <v>246.620794582886</v>
      </c>
      <c r="N6076" s="38" t="n">
        <f aca="false">Sens!$N$6051</f>
        <v>57.0936804689721</v>
      </c>
      <c r="O6076" s="38" t="n">
        <f aca="false">Sens!$O$6051</f>
        <v>62.9275494423768</v>
      </c>
    </row>
    <row r="6077" customFormat="false" ht="15" hidden="false" customHeight="false" outlineLevel="0" collapsed="false">
      <c r="A6077" s="3" t="s">
        <v>524</v>
      </c>
      <c r="B6077" s="8" t="s">
        <v>86</v>
      </c>
      <c r="C6077" s="38" t="n">
        <f aca="false">Sens!$C$6053</f>
        <v>637.959</v>
      </c>
      <c r="D6077" s="38" t="n">
        <f aca="false">Sens!$D$6053</f>
        <v>716.924</v>
      </c>
      <c r="E6077" s="38" t="n">
        <f aca="false">Sens!$E$6053</f>
        <v>382.125</v>
      </c>
      <c r="F6077" s="38" t="n">
        <f aca="false">Sens!$F$6053</f>
        <v>435.780975084504</v>
      </c>
      <c r="G6077" s="38" t="n">
        <f aca="false">Sens!$G$6053</f>
        <v>817.905975084504</v>
      </c>
      <c r="H6077" s="38" t="n">
        <f aca="false">Sens!$H$6053</f>
        <v>942.279857350364</v>
      </c>
      <c r="I6077" s="38" t="n">
        <f aca="false">Sens!$I$6053</f>
        <v>1068.80284981042</v>
      </c>
      <c r="J6077" s="38" t="n">
        <f aca="false">Sens!$J$6053</f>
        <v>1189.90935093863</v>
      </c>
      <c r="K6077" s="38" t="n">
        <f aca="false">Sens!$K$6053</f>
        <v>1296.34813810109</v>
      </c>
      <c r="L6077" s="38" t="n">
        <f aca="false">Sens!$L$6053</f>
        <v>1396.31088701298</v>
      </c>
      <c r="M6077" s="38" t="n">
        <f aca="false">Sens!$M$6053</f>
        <v>1490.15857687574</v>
      </c>
      <c r="N6077" s="38" t="n">
        <f aca="false">Sens!$N$6053</f>
        <v>323.369</v>
      </c>
      <c r="O6077" s="38" t="n">
        <f aca="false">Sens!$O$6053</f>
        <v>393.555</v>
      </c>
    </row>
    <row r="6078" customFormat="false" ht="17.15" hidden="false" customHeight="false" outlineLevel="0" collapsed="false">
      <c r="A6078" s="24" t="s">
        <v>714</v>
      </c>
      <c r="B6078" s="25" t="s">
        <v>86</v>
      </c>
      <c r="C6078" s="41" t="n">
        <f aca="false">Sens!$C$6065+Sens!$C$6066+Sens!$C$6067+Sens!$C$6068+Sens!$C$6069+Sens!$C$6070-(Sens!$C$6072+Sens!$C$6073)</f>
        <v>0</v>
      </c>
      <c r="D6078" s="41" t="n">
        <f aca="false">Sens!$D$6065+Sens!$D$6066+Sens!$D$6067+Sens!$D$6068+Sens!$D$6069+Sens!$D$6070-(Sens!$D$6072+Sens!$D$6073)</f>
        <v>0</v>
      </c>
      <c r="E6078" s="41" t="n">
        <f aca="false">Sens!$E$6065+Sens!$E$6066+Sens!$E$6067+Sens!$E$6068+Sens!$E$6069+Sens!$E$6070-(Sens!$E$6072+Sens!$E$6073)</f>
        <v>0</v>
      </c>
      <c r="F6078" s="41" t="n">
        <f aca="false">Sens!$F$6065+Sens!$F$6066+Sens!$F$6067+Sens!$F$6068+Sens!$F$6069+Sens!$F$6070-(Sens!$F$6072+Sens!$F$6073)</f>
        <v>0</v>
      </c>
      <c r="G6078" s="41" t="n">
        <f aca="false">Sens!$G$6065+Sens!$G$6066+Sens!$G$6067+Sens!$G$6068+Sens!$G$6069+Sens!$G$6070-(Sens!$G$6072+Sens!$G$6073)</f>
        <v>0</v>
      </c>
      <c r="H6078" s="41" t="n">
        <f aca="false">Sens!$H$6065+Sens!$H$6066+Sens!$H$6067+Sens!$H$6068+Sens!$H$6069+Sens!$H$6070-(Sens!$H$6072+Sens!$H$6073)</f>
        <v>0</v>
      </c>
      <c r="I6078" s="41" t="n">
        <f aca="false">Sens!$I$6065+Sens!$I$6066+Sens!$I$6067+Sens!$I$6068+Sens!$I$6069+Sens!$I$6070-(Sens!$I$6072+Sens!$I$6073)</f>
        <v>0</v>
      </c>
      <c r="J6078" s="41" t="n">
        <f aca="false">Sens!$J$6065+Sens!$J$6066+Sens!$J$6067+Sens!$J$6068+Sens!$J$6069+Sens!$J$6070-(Sens!$J$6072+Sens!$J$6073)</f>
        <v>0</v>
      </c>
      <c r="K6078" s="41" t="n">
        <f aca="false">Sens!$K$6065+Sens!$K$6066+Sens!$K$6067+Sens!$K$6068+Sens!$K$6069+Sens!$K$6070-(Sens!$K$6072+Sens!$K$6073)</f>
        <v>0</v>
      </c>
      <c r="L6078" s="41" t="n">
        <f aca="false">Sens!$L$6065+Sens!$L$6066+Sens!$L$6067+Sens!$L$6068+Sens!$L$6069+Sens!$L$6070-(Sens!$L$6072+Sens!$L$6073)</f>
        <v>0</v>
      </c>
      <c r="M6078" s="41" t="n">
        <f aca="false">Sens!$M$6065+Sens!$M$6066+Sens!$M$6067+Sens!$M$6068+Sens!$M$6069+Sens!$M$6070-(Sens!$M$6072+Sens!$M$6073)</f>
        <v>0</v>
      </c>
      <c r="N6078" s="41" t="n">
        <f aca="false">Sens!$N$6065+Sens!$N$6066+Sens!$N$6067+Sens!$N$6068+Sens!$N$6069+Sens!$N$6070-(Sens!$N$6072+Sens!$N$6073)</f>
        <v>0</v>
      </c>
      <c r="O6078" s="41" t="n">
        <f aca="false">Sens!$O$6065+Sens!$O$6066+Sens!$O$6067+Sens!$O$6068+Sens!$O$6069+Sens!$O$6070-(Sens!$O$6072+Sens!$O$6073)</f>
        <v>0</v>
      </c>
    </row>
    <row r="6079" customFormat="false" ht="17.15" hidden="false" customHeight="false" outlineLevel="0" collapsed="false">
      <c r="A6079" s="24" t="s">
        <v>715</v>
      </c>
      <c r="B6079" s="25" t="s">
        <v>86</v>
      </c>
      <c r="C6079" s="41" t="n">
        <f aca="false">Sens!$C$6075+Sens!$C$6076-Sens!$C$6074</f>
        <v>0</v>
      </c>
      <c r="D6079" s="41" t="n">
        <f aca="false">Sens!$D$6075+Sens!$D$6076-Sens!$D$6074</f>
        <v>0</v>
      </c>
      <c r="E6079" s="41" t="n">
        <f aca="false">Sens!$E$6075+Sens!$E$6076-Sens!$E$6074</f>
        <v>0</v>
      </c>
      <c r="F6079" s="41" t="n">
        <f aca="false">Sens!$F$6075+Sens!$F$6076-Sens!$F$6074</f>
        <v>0</v>
      </c>
      <c r="G6079" s="41" t="n">
        <f aca="false">Sens!$G$6075+Sens!$G$6076-Sens!$G$6074</f>
        <v>0</v>
      </c>
      <c r="H6079" s="41" t="n">
        <f aca="false">Sens!$H$6075+Sens!$H$6076-Sens!$H$6074</f>
        <v>0</v>
      </c>
      <c r="I6079" s="41" t="n">
        <f aca="false">Sens!$I$6075+Sens!$I$6076-Sens!$I$6074</f>
        <v>0</v>
      </c>
      <c r="J6079" s="41" t="n">
        <f aca="false">Sens!$J$6075+Sens!$J$6076-Sens!$J$6074</f>
        <v>0</v>
      </c>
      <c r="K6079" s="41" t="n">
        <f aca="false">Sens!$K$6075+Sens!$K$6076-Sens!$K$6074</f>
        <v>0</v>
      </c>
      <c r="L6079" s="41" t="n">
        <f aca="false">Sens!$L$6075+Sens!$L$6076-Sens!$L$6074</f>
        <v>0</v>
      </c>
      <c r="M6079" s="41" t="n">
        <f aca="false">Sens!$M$6075+Sens!$M$6076-Sens!$M$6074</f>
        <v>0</v>
      </c>
      <c r="N6079" s="41" t="n">
        <f aca="false">Sens!$N$6075+Sens!$N$6076-Sens!$N$6074</f>
        <v>0</v>
      </c>
      <c r="O6079" s="41" t="n">
        <f aca="false">Sens!$O$6075+Sens!$O$6076-Sens!$O$6074</f>
        <v>0</v>
      </c>
    </row>
    <row r="6080" customFormat="false" ht="17.15" hidden="false" customHeight="false" outlineLevel="0" collapsed="false">
      <c r="A6080" s="24" t="s">
        <v>774</v>
      </c>
      <c r="B6080" s="25" t="s">
        <v>86</v>
      </c>
      <c r="C6080" s="41" t="n">
        <f aca="false">Sens!$C$6065+Sens!$C$6066+Sens!$C$6067+Sens!$C$6068+Sens!$C$6069+Sens!$C$6070+Sens!$C$6071-Sens!$C$6077</f>
        <v>0</v>
      </c>
      <c r="D6080" s="41" t="n">
        <f aca="false">Sens!$D$6065+Sens!$D$6066+Sens!$D$6067+Sens!$D$6068+Sens!$D$6069+Sens!$D$6070+Sens!$D$6071-Sens!$D$6077</f>
        <v>0</v>
      </c>
      <c r="E6080" s="41" t="n">
        <f aca="false">Sens!$E$6065+Sens!$E$6066+Sens!$E$6067+Sens!$E$6068+Sens!$E$6069+Sens!$E$6070+Sens!$E$6071-Sens!$E$6077</f>
        <v>0</v>
      </c>
      <c r="F6080" s="41" t="n">
        <f aca="false">Sens!$F$6065+Sens!$F$6066+Sens!$F$6067+Sens!$F$6068+Sens!$F$6069+Sens!$F$6070+Sens!$F$6071-Sens!$F$6077</f>
        <v>0</v>
      </c>
      <c r="G6080" s="41" t="n">
        <f aca="false">Sens!$G$6065+Sens!$G$6066+Sens!$G$6067+Sens!$G$6068+Sens!$G$6069+Sens!$G$6070+Sens!$G$6071-Sens!$G$6077</f>
        <v>0</v>
      </c>
      <c r="H6080" s="41" t="n">
        <f aca="false">Sens!$H$6065+Sens!$H$6066+Sens!$H$6067+Sens!$H$6068+Sens!$H$6069+Sens!$H$6070+Sens!$H$6071-Sens!$H$6077</f>
        <v>0</v>
      </c>
      <c r="I6080" s="41" t="n">
        <f aca="false">Sens!$I$6065+Sens!$I$6066+Sens!$I$6067+Sens!$I$6068+Sens!$I$6069+Sens!$I$6070+Sens!$I$6071-Sens!$I$6077</f>
        <v>0</v>
      </c>
      <c r="J6080" s="41" t="n">
        <f aca="false">Sens!$J$6065+Sens!$J$6066+Sens!$J$6067+Sens!$J$6068+Sens!$J$6069+Sens!$J$6070+Sens!$J$6071-Sens!$J$6077</f>
        <v>0</v>
      </c>
      <c r="K6080" s="41" t="n">
        <f aca="false">Sens!$K$6065+Sens!$K$6066+Sens!$K$6067+Sens!$K$6068+Sens!$K$6069+Sens!$K$6070+Sens!$K$6071-Sens!$K$6077</f>
        <v>0</v>
      </c>
      <c r="L6080" s="41" t="n">
        <f aca="false">Sens!$L$6065+Sens!$L$6066+Sens!$L$6067+Sens!$L$6068+Sens!$L$6069+Sens!$L$6070+Sens!$L$6071-Sens!$L$6077</f>
        <v>0</v>
      </c>
      <c r="M6080" s="41" t="n">
        <f aca="false">Sens!$M$6065+Sens!$M$6066+Sens!$M$6067+Sens!$M$6068+Sens!$M$6069+Sens!$M$6070+Sens!$M$6071-Sens!$M$6077</f>
        <v>0</v>
      </c>
      <c r="N6080" s="41" t="n">
        <f aca="false">Sens!$N$6065+Sens!$N$6066+Sens!$N$6067+Sens!$N$6068+Sens!$N$6069+Sens!$N$6070+Sens!$N$6071-Sens!$N$6077</f>
        <v>0</v>
      </c>
      <c r="O6080" s="41" t="n">
        <f aca="false">Sens!$O$6065+Sens!$O$6066+Sens!$O$6067+Sens!$O$6068+Sens!$O$6069+Sens!$O$6070+Sens!$O$6071-Sens!$O$6077</f>
        <v>0</v>
      </c>
    </row>
    <row r="6081" customFormat="false" ht="17.15" hidden="false" customHeight="false" outlineLevel="0" collapsed="false">
      <c r="A6081" s="24" t="s">
        <v>716</v>
      </c>
      <c r="B6081" s="25" t="s">
        <v>86</v>
      </c>
      <c r="C6081" s="41" t="n">
        <f aca="false">Sens!$C$6072+Sens!$C$6073+Sens!$C$6074-Sens!$C$6077</f>
        <v>0</v>
      </c>
      <c r="D6081" s="41" t="n">
        <f aca="false">Sens!$D$6072+Sens!$D$6073+Sens!$D$6074-Sens!$D$6077</f>
        <v>0</v>
      </c>
      <c r="E6081" s="41" t="n">
        <f aca="false">Sens!$E$6072+Sens!$E$6073+Sens!$E$6074-Sens!$E$6077</f>
        <v>0</v>
      </c>
      <c r="F6081" s="41" t="n">
        <f aca="false">Sens!$F$6072+Sens!$F$6073+Sens!$F$6074-Sens!$F$6077</f>
        <v>0</v>
      </c>
      <c r="G6081" s="41" t="n">
        <f aca="false">Sens!$G$6072+Sens!$G$6073+Sens!$G$6074-Sens!$G$6077</f>
        <v>0</v>
      </c>
      <c r="H6081" s="41" t="n">
        <f aca="false">Sens!$H$6072+Sens!$H$6073+Sens!$H$6074-Sens!$H$6077</f>
        <v>0</v>
      </c>
      <c r="I6081" s="41" t="n">
        <f aca="false">Sens!$I$6072+Sens!$I$6073+Sens!$I$6074-Sens!$I$6077</f>
        <v>0</v>
      </c>
      <c r="J6081" s="41" t="n">
        <f aca="false">Sens!$J$6072+Sens!$J$6073+Sens!$J$6074-Sens!$J$6077</f>
        <v>0</v>
      </c>
      <c r="K6081" s="41" t="n">
        <f aca="false">Sens!$K$6072+Sens!$K$6073+Sens!$K$6074-Sens!$K$6077</f>
        <v>0</v>
      </c>
      <c r="L6081" s="41" t="n">
        <f aca="false">Sens!$L$6072+Sens!$L$6073+Sens!$L$6074-Sens!$L$6077</f>
        <v>0</v>
      </c>
      <c r="M6081" s="41" t="n">
        <f aca="false">Sens!$M$6072+Sens!$M$6073+Sens!$M$6074-Sens!$M$6077</f>
        <v>0</v>
      </c>
      <c r="N6081" s="41" t="n">
        <f aca="false">Sens!$N$6072+Sens!$N$6073+Sens!$N$6074-Sens!$N$6077</f>
        <v>0</v>
      </c>
      <c r="O6081" s="41" t="n">
        <f aca="false">Sens!$O$6072+Sens!$O$6073+Sens!$O$6074-Sens!$O$6077</f>
        <v>0</v>
      </c>
    </row>
    <row r="6082" customFormat="false" ht="17.15" hidden="false" customHeight="false" outlineLevel="0" collapsed="false">
      <c r="A6082" s="1" t="s">
        <v>730</v>
      </c>
    </row>
    <row r="6083" customFormat="false" ht="17.15" hidden="false" customHeight="false" outlineLevel="0" collapsed="false">
      <c r="A6083" s="0" t="s">
        <v>731</v>
      </c>
      <c r="B6083" s="0" t="s">
        <v>86</v>
      </c>
      <c r="C6083" s="38" t="n">
        <f aca="false">Sens!$C$5984*m_ad</f>
        <v>20.5341564414228</v>
      </c>
      <c r="D6083" s="38" t="n">
        <f aca="false">Sens!$D$5984*m_ad</f>
        <v>24.8720617299587</v>
      </c>
      <c r="E6083" s="38" t="n">
        <f aca="false">Sens!$E$5984*m_ad</f>
        <v>13.5017112462207</v>
      </c>
      <c r="F6083" s="38" t="n">
        <f aca="false">Sens!$F$5984*m_ad</f>
        <v>16.5719724165257</v>
      </c>
      <c r="G6083" s="38" t="n">
        <f aca="false">Sens!$G$5984*m_ad</f>
        <v>30.0820919220415</v>
      </c>
      <c r="H6083" s="38" t="n">
        <f aca="false">Sens!$H$5984*m_ad</f>
        <v>36.1150883276314</v>
      </c>
      <c r="I6083" s="38" t="n">
        <f aca="false">Sens!$I$5984*m_ad</f>
        <v>42.1475382231996</v>
      </c>
      <c r="J6083" s="38" t="n">
        <f aca="false">Sens!$J$5984*m_ad</f>
        <v>47.7749523864693</v>
      </c>
      <c r="K6083" s="38" t="n">
        <f aca="false">Sens!$K$5984*m_ad</f>
        <v>52.5524476251162</v>
      </c>
      <c r="L6083" s="38" t="n">
        <f aca="false">Sens!$L$5984*m_ad</f>
        <v>57.8076923876279</v>
      </c>
      <c r="M6083" s="38" t="n">
        <f aca="false">Sens!$M$5984*m_ad</f>
        <v>63.5884616263907</v>
      </c>
      <c r="N6083" s="38" t="n">
        <f aca="false">Sens!$N$5984*m_ad</f>
        <v>10.8543555706248</v>
      </c>
      <c r="O6083" s="38" t="n">
        <f aca="false">Sens!$O$5984*m_ad</f>
        <v>14.0094731821399</v>
      </c>
    </row>
    <row r="6084" customFormat="false" ht="17.15" hidden="false" customHeight="false" outlineLevel="0" collapsed="false">
      <c r="A6084" s="0" t="s">
        <v>732</v>
      </c>
      <c r="B6084" s="0" t="s">
        <v>86</v>
      </c>
      <c r="C6084" s="38" t="n">
        <f aca="false">Sens!$C$5982-Sens!$C$5984</f>
        <v>346.428687117154</v>
      </c>
      <c r="D6084" s="38" t="n">
        <f aca="false">Sens!$D$5982-Sens!$D$5984</f>
        <v>376.560876540083</v>
      </c>
      <c r="E6084" s="38" t="n">
        <f aca="false">Sens!$E$5982-Sens!$E$5984</f>
        <v>193.316577507559</v>
      </c>
      <c r="F6084" s="38" t="n">
        <f aca="false">Sens!$F$5982-Sens!$F$5984</f>
        <v>217.495828647535</v>
      </c>
      <c r="G6084" s="38" t="n">
        <f aca="false">Sens!$G$5982-Sens!$G$5984</f>
        <v>410.795589636503</v>
      </c>
      <c r="H6084" s="38" t="n">
        <f aca="false">Sens!$H$5982-Sens!$H$5984</f>
        <v>449.156813761174</v>
      </c>
      <c r="I6084" s="38" t="n">
        <f aca="false">Sens!$I$5982-Sens!$I$5984</f>
        <v>485.848786441156</v>
      </c>
      <c r="J6084" s="38" t="n">
        <f aca="false">Sens!$J$5982-Sens!$J$5984</f>
        <v>519.841531018994</v>
      </c>
      <c r="K6084" s="38" t="n">
        <f aca="false">Sens!$K$5982-Sens!$K$5984</f>
        <v>550.103332311311</v>
      </c>
      <c r="L6084" s="38" t="n">
        <f aca="false">Sens!$L$5982-Sens!$L$5984</f>
        <v>582.192354474511</v>
      </c>
      <c r="M6084" s="38" t="n">
        <f aca="false">Sens!$M$5982-Sens!$M$5984</f>
        <v>616.22240521081</v>
      </c>
      <c r="N6084" s="38" t="n">
        <f aca="false">Sens!$N$5982-Sens!$N$5984</f>
        <v>171.24628885875</v>
      </c>
      <c r="O6084" s="38" t="n">
        <f aca="false">Sens!$O$5982-Sens!$O$5984</f>
        <v>205.33105363572</v>
      </c>
    </row>
    <row r="6085" customFormat="false" ht="17.15" hidden="false" customHeight="false" outlineLevel="0" collapsed="false">
      <c r="A6085" s="0" t="s">
        <v>733</v>
      </c>
      <c r="B6085" s="0" t="s">
        <v>86</v>
      </c>
      <c r="C6085" s="38" t="n">
        <f aca="false">Sens!$C$6036*Sens!$C$5981</f>
        <v>0.123617442257179</v>
      </c>
      <c r="D6085" s="38" t="n">
        <f aca="false">Sens!$D$6036*Sens!$D$5981</f>
        <v>0.600198046024689</v>
      </c>
      <c r="E6085" s="38" t="n">
        <f aca="false">Sens!$E$6036*Sens!$E$5981</f>
        <v>1.10840000750276</v>
      </c>
      <c r="F6085" s="38" t="n">
        <f aca="false">Sens!$F$6036*Sens!$F$5981</f>
        <v>1.33595298721025</v>
      </c>
      <c r="G6085" s="38" t="n">
        <f aca="false">Sens!$G$6036*Sens!$G$5981</f>
        <v>2.44487335052545</v>
      </c>
      <c r="H6085" s="38" t="n">
        <f aca="false">Sens!$H$6036*Sens!$H$5981</f>
        <v>6.63132711939388</v>
      </c>
      <c r="I6085" s="38" t="n">
        <f aca="false">Sens!$I$6036*Sens!$I$5981</f>
        <v>12.7486799258504</v>
      </c>
      <c r="J6085" s="38" t="n">
        <f aca="false">Sens!$J$6036*Sens!$J$5981</f>
        <v>18.4074045299415</v>
      </c>
      <c r="K6085" s="38" t="n">
        <f aca="false">Sens!$K$6036*Sens!$K$5981</f>
        <v>23.9558131410482</v>
      </c>
      <c r="L6085" s="38" t="n">
        <f aca="false">Sens!$L$6036*Sens!$L$5981</f>
        <v>27.8791598233416</v>
      </c>
      <c r="M6085" s="38" t="n">
        <f aca="false">Sens!$M$6036*Sens!$M$5981</f>
        <v>30.1642264398241</v>
      </c>
      <c r="N6085" s="38" t="n">
        <f aca="false">Sens!$N$6036*Sens!$N$5981</f>
        <v>0.25053229484398</v>
      </c>
      <c r="O6085" s="38" t="n">
        <f aca="false">Sens!$O$6036*Sens!$O$5981</f>
        <v>0.349234376756897</v>
      </c>
    </row>
    <row r="6086" customFormat="false" ht="17.15" hidden="false" customHeight="false" outlineLevel="0" collapsed="false">
      <c r="A6086" s="0" t="s">
        <v>734</v>
      </c>
      <c r="B6086" s="0" t="s">
        <v>52</v>
      </c>
      <c r="C6086" s="28" t="n">
        <f aca="false">(Sens!$C$6087-Sens!$C$6083+Sens!$C$6085)/Sens!$C$6084</f>
        <v>0.0131526665379575</v>
      </c>
      <c r="D6086" s="28" t="n">
        <f aca="false">(Sens!$D$6087-Sens!$D$6083+Sens!$D$6085)/Sens!$D$6084</f>
        <v>0.0141999252954702</v>
      </c>
      <c r="E6086" s="28" t="n">
        <f aca="false">(Sens!$E$6087-Sens!$E$6083+Sens!$E$6085)/Sens!$E$6084</f>
        <v>0.0258471819939326</v>
      </c>
      <c r="F6086" s="28" t="n">
        <f aca="false">Sens!$O$6086+(Sens!$E$6086-Sens!$N$6086)</f>
        <v>0.0224302350712874</v>
      </c>
      <c r="G6086" s="28" t="n">
        <f aca="false">(Sens!$G$6087-Sens!$G$6083+Sens!$G$6085)/Sens!$G$6084</f>
        <v>0.0240199351461372</v>
      </c>
      <c r="H6086" s="28" t="n">
        <f aca="false">Sens!$G$6086+step_na</f>
        <v>0.0270199351461372</v>
      </c>
      <c r="I6086" s="28" t="n">
        <f aca="false">Sens!$H$6086+step_na</f>
        <v>0.0300199351461372</v>
      </c>
      <c r="J6086" s="28" t="n">
        <f aca="false">Sens!$I$6086+step_na</f>
        <v>0.0330199351461372</v>
      </c>
      <c r="K6086" s="28" t="n">
        <f aca="false">Sens!$J$6086+step_na</f>
        <v>0.0360199351461372</v>
      </c>
      <c r="L6086" s="28" t="n">
        <f aca="false">Sens!$K$6086</f>
        <v>0.0360199351461372</v>
      </c>
      <c r="M6086" s="28" t="n">
        <f aca="false">Sens!$L$6086</f>
        <v>0.0360199351461372</v>
      </c>
      <c r="N6086" s="28" t="n">
        <f aca="false">(Sens!$N$6087-Sens!$N$6083+Sens!$N$6085)/Sens!$N$6084</f>
        <v>0.0160831323269779</v>
      </c>
      <c r="O6086" s="28" t="n">
        <f aca="false">(Sens!$O$6087-Sens!$O$6083+Sens!$O$6085)/Sens!$O$6084</f>
        <v>0.0126661854043327</v>
      </c>
      <c r="P6086" s="8" t="s">
        <v>735</v>
      </c>
    </row>
    <row r="6087" customFormat="false" ht="17.15" hidden="false" customHeight="false" outlineLevel="0" collapsed="false">
      <c r="A6087" s="1" t="s">
        <v>736</v>
      </c>
      <c r="B6087" s="8" t="s">
        <v>86</v>
      </c>
      <c r="C6087" s="38" t="n">
        <f aca="false">Q!$D$22</f>
        <v>24.967</v>
      </c>
      <c r="D6087" s="38" t="n">
        <f aca="false">Q!$E$22</f>
        <v>29.619</v>
      </c>
      <c r="E6087" s="38" t="n">
        <f aca="false">Q!$P$22</f>
        <v>17.39</v>
      </c>
      <c r="F6087" s="38" t="n">
        <f aca="false">Sens!$F$6083+Sens!$F$6084*Sens!$F$6086-Sens!$F$6085</f>
        <v>20.1145019929041</v>
      </c>
      <c r="G6087" s="38" t="n">
        <f aca="false">Sens!$E$6087+Sens!$F$6087</f>
        <v>37.5045019929041</v>
      </c>
      <c r="H6087" s="38" t="n">
        <f aca="false">Sens!$H$6083+Sens!$H$6084*Sens!$H$6086-Sens!$H$6085</f>
        <v>41.6199491865101</v>
      </c>
      <c r="I6087" s="38" t="n">
        <f aca="false">Sens!$I$6083+Sens!$I$6084*Sens!$I$6086-Sens!$I$6085</f>
        <v>43.9840073571422</v>
      </c>
      <c r="J6087" s="38" t="n">
        <f aca="false">Sens!$J$6083+Sens!$J$6084*Sens!$J$6086-Sens!$J$6085</f>
        <v>46.5326814970436</v>
      </c>
      <c r="K6087" s="38" t="n">
        <f aca="false">Sens!$K$6083+Sens!$K$6084*Sens!$K$6086-Sens!$K$6085</f>
        <v>48.4113208375954</v>
      </c>
      <c r="L6087" s="38" t="n">
        <f aca="false">Sens!$L$6083+Sens!$L$6084*Sens!$L$6086-Sens!$L$6085</f>
        <v>50.8990634150351</v>
      </c>
      <c r="M6087" s="38" t="n">
        <f aca="false">Sens!$M$6083+Sens!$M$6084*Sens!$M$6086-Sens!$M$6085</f>
        <v>55.6205262578566</v>
      </c>
      <c r="N6087" s="38" t="n">
        <f aca="false">Q!$N$22</f>
        <v>13.358</v>
      </c>
      <c r="O6087" s="38" t="n">
        <f aca="false">Q!$O$22</f>
        <v>16.261</v>
      </c>
    </row>
    <row r="6088" customFormat="false" ht="17.15" hidden="false" customHeight="false" outlineLevel="0" collapsed="false">
      <c r="A6088" s="0" t="s">
        <v>737</v>
      </c>
      <c r="B6088" s="0" t="s">
        <v>86</v>
      </c>
      <c r="C6088" s="38" t="n">
        <f aca="false">Sens!$C$5985*m_ad</f>
        <v>7.57284355857716</v>
      </c>
      <c r="D6088" s="38" t="n">
        <f aca="false">Sens!$D$5985*m_ad</f>
        <v>9.44543827004127</v>
      </c>
      <c r="E6088" s="38" t="n">
        <f aca="false">Sens!$E$5985*m_ad</f>
        <v>5.02428875377928</v>
      </c>
      <c r="F6088" s="38" t="n">
        <f aca="false">Sens!$F$5985*m_ad</f>
        <v>6.50663858068173</v>
      </c>
      <c r="G6088" s="38" t="n">
        <f aca="false">Sens!$G$5985*m_ad</f>
        <v>11.5225190751659</v>
      </c>
      <c r="H6088" s="38" t="n">
        <f aca="false">Sens!$H$5985*m_ad</f>
        <v>13.8333728663174</v>
      </c>
      <c r="I6088" s="38" t="n">
        <f aca="false">Sens!$I$5985*m_ad</f>
        <v>16.1440173245485</v>
      </c>
      <c r="J6088" s="38" t="n">
        <f aca="false">Sens!$J$5985*m_ad</f>
        <v>18.2995185845066</v>
      </c>
      <c r="K6088" s="38" t="n">
        <f aca="false">Sens!$K$5985*m_ad</f>
        <v>20.1294704429572</v>
      </c>
      <c r="L6088" s="38" t="n">
        <f aca="false">Sens!$L$5985*m_ad</f>
        <v>22.142417487253</v>
      </c>
      <c r="M6088" s="38" t="n">
        <f aca="false">Sens!$M$5985*m_ad</f>
        <v>24.3566592359783</v>
      </c>
      <c r="N6088" s="38" t="n">
        <f aca="false">Sens!$N$5985*m_ad</f>
        <v>3.95314442937518</v>
      </c>
      <c r="O6088" s="38" t="n">
        <f aca="false">Sens!$O$5985*m_ad</f>
        <v>5.50052681786011</v>
      </c>
    </row>
    <row r="6089" customFormat="false" ht="17.15" hidden="false" customHeight="false" outlineLevel="0" collapsed="false">
      <c r="A6089" s="0" t="s">
        <v>738</v>
      </c>
      <c r="B6089" s="0" t="s">
        <v>86</v>
      </c>
      <c r="C6089" s="38" t="n">
        <f aca="false">Sens!$C$5983-Sens!$C$5985</f>
        <v>127.760312882846</v>
      </c>
      <c r="D6089" s="38" t="n">
        <f aca="false">Sens!$D$5983-Sens!$D$5985</f>
        <v>143.003123459917</v>
      </c>
      <c r="E6089" s="38" t="n">
        <f aca="false">Sens!$E$5983-Sens!$E$5985</f>
        <v>71.9374224924414</v>
      </c>
      <c r="F6089" s="38" t="n">
        <f aca="false">Sens!$F$5983-Sens!$F$5985</f>
        <v>85.3951910035875</v>
      </c>
      <c r="G6089" s="38" t="n">
        <f aca="false">Sens!$G$5983-Sens!$G$5985</f>
        <v>157.349430014619</v>
      </c>
      <c r="H6089" s="38" t="n">
        <f aca="false">Sens!$H$5983-Sens!$H$5985</f>
        <v>172.043153372315</v>
      </c>
      <c r="I6089" s="38" t="n">
        <f aca="false">Sens!$I$5983-Sens!$I$5985</f>
        <v>186.097493615879</v>
      </c>
      <c r="J6089" s="38" t="n">
        <f aca="false">Sens!$J$5983-Sens!$J$5985</f>
        <v>199.117932780497</v>
      </c>
      <c r="K6089" s="38" t="n">
        <f aca="false">Sens!$K$5983-Sens!$K$5985</f>
        <v>210.70928698363</v>
      </c>
      <c r="L6089" s="38" t="n">
        <f aca="false">Sens!$L$5983-Sens!$L$5985</f>
        <v>223.000532251316</v>
      </c>
      <c r="M6089" s="38" t="n">
        <f aca="false">Sens!$M$5983-Sens!$M$5985</f>
        <v>236.035261011339</v>
      </c>
      <c r="N6089" s="38" t="n">
        <f aca="false">Sens!$N$5983-Sens!$N$5985</f>
        <v>62.3677111412496</v>
      </c>
      <c r="O6089" s="38" t="n">
        <f aca="false">Sens!$O$5983-Sens!$O$5985</f>
        <v>80.6189463642798</v>
      </c>
    </row>
    <row r="6090" customFormat="false" ht="17.15" hidden="false" customHeight="false" outlineLevel="0" collapsed="false">
      <c r="A6090" s="0" t="s">
        <v>739</v>
      </c>
      <c r="B6090" s="0" t="s">
        <v>86</v>
      </c>
      <c r="C6090" s="38" t="n">
        <f aca="false">Sens!$C$6036*(1-Sens!$C$5981)</f>
        <v>0.0455891896019953</v>
      </c>
      <c r="D6090" s="38" t="n">
        <f aca="false">Sens!$D$6036*(1-Sens!$D$5981)</f>
        <v>0.227931791705753</v>
      </c>
      <c r="E6090" s="38" t="n">
        <f aca="false">Sens!$E$6036*(1-Sens!$E$5981)</f>
        <v>0.412460434890711</v>
      </c>
      <c r="F6090" s="38" t="n">
        <f aca="false">Sens!$F$6036*(1-Sens!$F$5981)</f>
        <v>0.524534016233997</v>
      </c>
      <c r="G6090" s="38" t="n">
        <f aca="false">Sens!$G$6036*(1-Sens!$G$5981)</f>
        <v>0.936474095312266</v>
      </c>
      <c r="H6090" s="38" t="n">
        <f aca="false">Sens!$H$6036*(1-Sens!$H$5981)</f>
        <v>2.54003589327823</v>
      </c>
      <c r="I6090" s="38" t="n">
        <f aca="false">Sens!$I$6036*(1-Sens!$I$5981)</f>
        <v>4.88320120852905</v>
      </c>
      <c r="J6090" s="38" t="n">
        <f aca="false">Sens!$J$6036*(1-Sens!$J$5981)</f>
        <v>7.05069548920359</v>
      </c>
      <c r="K6090" s="38" t="n">
        <f aca="false">Sens!$K$6036*(1-Sens!$K$5981)</f>
        <v>9.17593479184157</v>
      </c>
      <c r="L6090" s="38" t="n">
        <f aca="false">Sens!$L$6036*(1-Sens!$L$5981)</f>
        <v>10.6787171482804</v>
      </c>
      <c r="M6090" s="38" t="n">
        <f aca="false">Sens!$M$6036*(1-Sens!$M$5981)</f>
        <v>11.5539795384319</v>
      </c>
      <c r="N6090" s="38" t="n">
        <f aca="false">Sens!$N$6036*(1-Sens!$N$5981)</f>
        <v>0.0912435878202994</v>
      </c>
      <c r="O6090" s="38" t="n">
        <f aca="false">Sens!$O$6036*(1-Sens!$O$5981)</f>
        <v>0.137119578309265</v>
      </c>
    </row>
    <row r="6091" customFormat="false" ht="17.15" hidden="false" customHeight="false" outlineLevel="0" collapsed="false">
      <c r="A6091" s="0" t="s">
        <v>740</v>
      </c>
      <c r="B6091" s="0" t="s">
        <v>52</v>
      </c>
      <c r="C6091" s="28" t="n">
        <f aca="false">(Sens!$C$6092-Sens!$C$6088+Sens!$C$6090)/Sens!$C$6089</f>
        <v>-0.0292364215826579</v>
      </c>
      <c r="D6091" s="28" t="n">
        <f aca="false">(Sens!$D$6092-Sens!$D$6088+Sens!$D$6090)/Sens!$D$6089</f>
        <v>-0.0312406216748665</v>
      </c>
      <c r="E6091" s="28" t="n">
        <f aca="false">(Sens!$E$6092-Sens!$E$6088+Sens!$E$6090)/Sens!$E$6089</f>
        <v>-0.0204459413185552</v>
      </c>
      <c r="F6091" s="28" t="n">
        <f aca="false">Sens!$O$6091+(Sens!$E$6091-Sens!$N$6091)</f>
        <v>-0.0375409290246314</v>
      </c>
      <c r="G6091" s="28" t="n">
        <f aca="false">(Sens!$G$6092-Sens!$G$6088+Sens!$G$6090)/Sens!$G$6089</f>
        <v>-0.0296712560031684</v>
      </c>
      <c r="H6091" s="28" t="n">
        <f aca="false">Sens!$G$6091+step_in</f>
        <v>-0.0296712560031684</v>
      </c>
      <c r="I6091" s="28" t="n">
        <f aca="false">Sens!$H$6091+step_in</f>
        <v>-0.0296712560031684</v>
      </c>
      <c r="J6091" s="28" t="n">
        <f aca="false">Sens!$I$6091+step_in</f>
        <v>-0.0296712560031684</v>
      </c>
      <c r="K6091" s="28" t="n">
        <f aca="false">Sens!$J$6091+step_in</f>
        <v>-0.0296712560031684</v>
      </c>
      <c r="L6091" s="28" t="n">
        <f aca="false">Sens!$K$6091</f>
        <v>-0.0296712560031684</v>
      </c>
      <c r="M6091" s="28" t="n">
        <f aca="false">Sens!$L$6091</f>
        <v>-0.0296712560031684</v>
      </c>
      <c r="N6091" s="28" t="n">
        <f aca="false">(Sens!$N$6092-Sens!$N$6088+Sens!$N$6090)/Sens!$N$6089</f>
        <v>-0.0216602600421776</v>
      </c>
      <c r="O6091" s="28" t="n">
        <f aca="false">(Sens!$O$6092-Sens!$O$6088+Sens!$O$6090)/Sens!$O$6089</f>
        <v>-0.0387552477482538</v>
      </c>
      <c r="P6091" s="8" t="s">
        <v>735</v>
      </c>
    </row>
    <row r="6092" customFormat="false" ht="17.15" hidden="false" customHeight="false" outlineLevel="0" collapsed="false">
      <c r="A6092" s="1" t="s">
        <v>741</v>
      </c>
      <c r="B6092" s="8" t="s">
        <v>86</v>
      </c>
      <c r="C6092" s="38" t="n">
        <f aca="false">Q!$D$23</f>
        <v>3.792</v>
      </c>
      <c r="D6092" s="38" t="n">
        <f aca="false">Q!$E$23</f>
        <v>4.75</v>
      </c>
      <c r="E6092" s="38" t="n">
        <f aca="false">Q!$P$23</f>
        <v>3.141</v>
      </c>
      <c r="F6092" s="38" t="n">
        <f aca="false">Sens!$F$6088+Sens!$F$6089*Sens!$F$6091-Sens!$F$6090</f>
        <v>2.77628975993721</v>
      </c>
      <c r="G6092" s="38" t="n">
        <f aca="false">Sens!$E$6092+Sens!$F$6092</f>
        <v>5.91728975993721</v>
      </c>
      <c r="H6092" s="38" t="n">
        <f aca="false">Sens!$H$6088+Sens!$H$6089*Sens!$H$6091-Sens!$H$6090</f>
        <v>6.18860052573681</v>
      </c>
      <c r="I6092" s="38" t="n">
        <f aca="false">Sens!$I$6088+Sens!$I$6089*Sens!$I$6091-Sens!$I$6090</f>
        <v>5.73906974139474</v>
      </c>
      <c r="J6092" s="38" t="n">
        <f aca="false">Sens!$J$6088+Sens!$J$6089*Sens!$J$6091-Sens!$J$6090</f>
        <v>5.34074393695119</v>
      </c>
      <c r="K6092" s="38" t="n">
        <f aca="false">Sens!$K$6088+Sens!$K$6089*Sens!$K$6091-Sens!$K$6090</f>
        <v>4.7015264547793</v>
      </c>
      <c r="L6092" s="38" t="n">
        <f aca="false">Sens!$L$6088+Sens!$L$6089*Sens!$L$6091-Sens!$L$6090</f>
        <v>4.84699445770095</v>
      </c>
      <c r="M6092" s="38" t="n">
        <f aca="false">Sens!$M$6088+Sens!$M$6089*Sens!$M$6091-Sens!$M$6090</f>
        <v>5.79921704230423</v>
      </c>
      <c r="N6092" s="38" t="n">
        <f aca="false">Q!$N$23</f>
        <v>2.511</v>
      </c>
      <c r="O6092" s="38" t="n">
        <f aca="false">Q!$O$23</f>
        <v>2.239</v>
      </c>
    </row>
    <row r="6093" customFormat="false" ht="17.15" hidden="false" customHeight="false" outlineLevel="0" collapsed="false">
      <c r="A6093" s="0" t="s">
        <v>742</v>
      </c>
      <c r="B6093" s="0" t="s">
        <v>86</v>
      </c>
      <c r="C6093" s="38" t="n">
        <f aca="false">Sens!$C$6033</f>
        <v>1.64417882953695</v>
      </c>
      <c r="D6093" s="38" t="n">
        <f aca="false">Sens!$D$6033</f>
        <v>5.39125073772939</v>
      </c>
      <c r="E6093" s="38" t="n">
        <f aca="false">Sens!$E$6033</f>
        <v>2.42691120599613</v>
      </c>
      <c r="F6093" s="38" t="n">
        <f aca="false">Sens!$F$6033</f>
        <v>7.52148563094346</v>
      </c>
      <c r="G6093" s="38" t="n">
        <f aca="false">Sens!$G$6033</f>
        <v>9.94839683693959</v>
      </c>
      <c r="H6093" s="38" t="n">
        <f aca="false">Sens!$H$6033</f>
        <v>23.4804386990861</v>
      </c>
      <c r="I6093" s="38" t="n">
        <f aca="false">Sens!$I$6033</f>
        <v>30.9761745989143</v>
      </c>
      <c r="J6093" s="38" t="n">
        <f aca="false">Sens!$J$6033</f>
        <v>41.1930070746977</v>
      </c>
      <c r="K6093" s="38" t="n">
        <f aca="false">Sens!$K$6033</f>
        <v>46.207109848861</v>
      </c>
      <c r="L6093" s="38" t="n">
        <f aca="false">Sens!$L$6033</f>
        <v>48.6336850741534</v>
      </c>
      <c r="M6093" s="38" t="n">
        <f aca="false">Sens!$M$6033</f>
        <v>48.5170504329428</v>
      </c>
      <c r="N6093" s="38" t="n">
        <f aca="false">Sens!$N$6033</f>
        <v>1.67921600037079</v>
      </c>
      <c r="O6093" s="38" t="n">
        <f aca="false">Sens!$O$6033</f>
        <v>3.71203473735861</v>
      </c>
    </row>
    <row r="6094" customFormat="false" ht="17.15" hidden="false" customHeight="false" outlineLevel="0" collapsed="false">
      <c r="A6094" s="0" t="s">
        <v>660</v>
      </c>
      <c r="B6094" s="0" t="s">
        <v>86</v>
      </c>
      <c r="C6094" s="38" t="n">
        <f aca="false">Sens!$C$6038</f>
        <v>38.1898211704631</v>
      </c>
      <c r="D6094" s="38" t="n">
        <f aca="false">Sens!$D$6038</f>
        <v>40.2147492622706</v>
      </c>
      <c r="E6094" s="38" t="n">
        <f aca="false">Sens!$E$6038</f>
        <v>28.3550887940039</v>
      </c>
      <c r="F6094" s="38" t="n">
        <f aca="false">Sens!$F$6038</f>
        <v>25.9529793149447</v>
      </c>
      <c r="G6094" s="38" t="n">
        <f aca="false">Sens!$G$6038</f>
        <v>54.3080681089486</v>
      </c>
      <c r="H6094" s="38" t="n">
        <f aca="false">Sens!$H$6038</f>
        <v>58.2264684589333</v>
      </c>
      <c r="I6094" s="38" t="n">
        <f aca="false">Sens!$I$6038</f>
        <v>64.6461353851744</v>
      </c>
      <c r="J6094" s="38" t="n">
        <f aca="false">Sens!$J$6038</f>
        <v>70.7957093610231</v>
      </c>
      <c r="K6094" s="38" t="n">
        <f aca="false">Sens!$K$6038</f>
        <v>76.4593661099049</v>
      </c>
      <c r="L6094" s="38" t="n">
        <f aca="false">Sens!$L$6038</f>
        <v>82.5761153986973</v>
      </c>
      <c r="M6094" s="38" t="n">
        <f aca="false">Sens!$M$6038</f>
        <v>89.1822046305931</v>
      </c>
      <c r="N6094" s="38" t="n">
        <f aca="false">Sens!$N$6038</f>
        <v>20.0277839996292</v>
      </c>
      <c r="O6094" s="38" t="n">
        <f aca="false">Sens!$O$6038</f>
        <v>20.1869652626414</v>
      </c>
    </row>
    <row r="6095" customFormat="false" ht="17.15" hidden="false" customHeight="false" outlineLevel="0" collapsed="false">
      <c r="A6095" s="1" t="s">
        <v>743</v>
      </c>
      <c r="B6095" s="8" t="s">
        <v>86</v>
      </c>
      <c r="C6095" s="38" t="n">
        <f aca="false">Q!$D$24</f>
        <v>39.834</v>
      </c>
      <c r="D6095" s="38" t="n">
        <f aca="false">Q!$E$24</f>
        <v>45.606</v>
      </c>
      <c r="E6095" s="38" t="n">
        <f aca="false">Q!$P$24</f>
        <v>30.782</v>
      </c>
      <c r="F6095" s="38" t="n">
        <f aca="false">Sens!$F$6093+Sens!$F$6094</f>
        <v>33.4744649458882</v>
      </c>
      <c r="G6095" s="38" t="n">
        <f aca="false">Sens!$G$6093+Sens!$G$6094</f>
        <v>64.2564649458882</v>
      </c>
      <c r="H6095" s="38" t="n">
        <f aca="false">Sens!$H$6093+Sens!$H$6094</f>
        <v>81.7069071580194</v>
      </c>
      <c r="I6095" s="38" t="n">
        <f aca="false">Sens!$I$6093+Sens!$I$6094</f>
        <v>95.6223099840887</v>
      </c>
      <c r="J6095" s="38" t="n">
        <f aca="false">Sens!$J$6093+Sens!$J$6094</f>
        <v>111.988716435721</v>
      </c>
      <c r="K6095" s="38" t="n">
        <f aca="false">Sens!$K$6093+Sens!$K$6094</f>
        <v>122.666475958766</v>
      </c>
      <c r="L6095" s="38" t="n">
        <f aca="false">Sens!$L$6093+Sens!$L$6094</f>
        <v>131.209800472851</v>
      </c>
      <c r="M6095" s="38" t="n">
        <f aca="false">Sens!$M$6093+Sens!$M$6094</f>
        <v>137.699255063536</v>
      </c>
      <c r="N6095" s="38" t="n">
        <f aca="false">Q!$N$24</f>
        <v>21.707</v>
      </c>
      <c r="O6095" s="38" t="n">
        <f aca="false">Q!$O$24</f>
        <v>23.899</v>
      </c>
    </row>
    <row r="6096" customFormat="false" ht="17.15" hidden="false" customHeight="false" outlineLevel="0" collapsed="false">
      <c r="A6096" s="5" t="s">
        <v>744</v>
      </c>
      <c r="B6096" s="0" t="s">
        <v>86</v>
      </c>
      <c r="C6096" s="38" t="n">
        <f aca="false">Q!$D$26</f>
        <v>0</v>
      </c>
      <c r="D6096" s="38" t="n">
        <f aca="false">Q!$E$26</f>
        <v>0</v>
      </c>
      <c r="E6096" s="38" t="n">
        <f aca="false">Q!$P$26</f>
        <v>0</v>
      </c>
      <c r="F6096" s="39" t="n">
        <v>0</v>
      </c>
      <c r="G6096" s="38" t="n">
        <f aca="false">Sens!$E$6096+Sens!$F$6096</f>
        <v>0</v>
      </c>
      <c r="H6096" s="39" t="n">
        <v>0</v>
      </c>
      <c r="I6096" s="39" t="n">
        <v>0</v>
      </c>
      <c r="J6096" s="39" t="n">
        <v>0</v>
      </c>
      <c r="K6096" s="39" t="n">
        <v>0</v>
      </c>
      <c r="L6096" s="39" t="n">
        <v>0</v>
      </c>
      <c r="M6096" s="39" t="n">
        <v>0</v>
      </c>
      <c r="N6096" s="38" t="n">
        <f aca="false">Q!$N$26</f>
        <v>0</v>
      </c>
      <c r="O6096" s="38" t="n">
        <f aca="false">Q!$O$26</f>
        <v>0</v>
      </c>
    </row>
    <row r="6097" customFormat="false" ht="15" hidden="false" customHeight="false" outlineLevel="0" collapsed="false">
      <c r="A6097" s="3" t="s">
        <v>541</v>
      </c>
      <c r="B6097" s="8" t="s">
        <v>86</v>
      </c>
      <c r="C6097" s="38" t="n">
        <f aca="false">Q!$D$25</f>
        <v>68.593</v>
      </c>
      <c r="D6097" s="38" t="n">
        <f aca="false">Q!$E$25</f>
        <v>79.975</v>
      </c>
      <c r="E6097" s="38" t="n">
        <f aca="false">Q!$P$25</f>
        <v>51.313</v>
      </c>
      <c r="F6097" s="38" t="n">
        <f aca="false">Sens!$F$6087+Sens!$F$6092+Sens!$F$6095+Sens!$F$6096</f>
        <v>56.3652566987294</v>
      </c>
      <c r="G6097" s="38" t="n">
        <f aca="false">Sens!$G$6087+Sens!$G$6092+Sens!$G$6095+Sens!$G$6096</f>
        <v>107.678256698729</v>
      </c>
      <c r="H6097" s="38" t="n">
        <f aca="false">Sens!$H$6087+Sens!$H$6092+Sens!$H$6095+Sens!$H$6096</f>
        <v>129.515456870266</v>
      </c>
      <c r="I6097" s="38" t="n">
        <f aca="false">Sens!$I$6087+Sens!$I$6092+Sens!$I$6095+Sens!$I$6096</f>
        <v>145.345387082626</v>
      </c>
      <c r="J6097" s="38" t="n">
        <f aca="false">Sens!$J$6087+Sens!$J$6092+Sens!$J$6095+Sens!$J$6096</f>
        <v>163.862141869716</v>
      </c>
      <c r="K6097" s="38" t="n">
        <f aca="false">Sens!$K$6087+Sens!$K$6092+Sens!$K$6095+Sens!$K$6096</f>
        <v>175.779323251141</v>
      </c>
      <c r="L6097" s="38" t="n">
        <f aca="false">Sens!$L$6087+Sens!$L$6092+Sens!$L$6095+Sens!$L$6096</f>
        <v>186.955858345587</v>
      </c>
      <c r="M6097" s="38" t="n">
        <f aca="false">Sens!$M$6087+Sens!$M$6092+Sens!$M$6095+Sens!$M$6096</f>
        <v>199.118998363697</v>
      </c>
      <c r="N6097" s="38" t="n">
        <f aca="false">Q!$N$25</f>
        <v>37.576</v>
      </c>
      <c r="O6097" s="38" t="n">
        <f aca="false">Q!$O$25</f>
        <v>42.399</v>
      </c>
    </row>
    <row r="6098" customFormat="false" ht="17.15" hidden="false" customHeight="false" outlineLevel="0" collapsed="false">
      <c r="A6098" s="24" t="s">
        <v>775</v>
      </c>
      <c r="B6098" s="25" t="s">
        <v>86</v>
      </c>
      <c r="C6098" s="41" t="n">
        <f aca="false">Sens!$C$6087+Sens!$C$6092+Sens!$C$6095+Sens!$C$6096-Sens!$C$6097</f>
        <v>0</v>
      </c>
      <c r="D6098" s="41" t="n">
        <f aca="false">Sens!$D$6087+Sens!$D$6092+Sens!$D$6095+Sens!$D$6096-Sens!$D$6097</f>
        <v>0</v>
      </c>
      <c r="E6098" s="41" t="n">
        <f aca="false">Sens!$E$6087+Sens!$E$6092+Sens!$E$6095+Sens!$E$6096-Sens!$E$6097</f>
        <v>0</v>
      </c>
      <c r="F6098" s="41" t="n">
        <f aca="false">Sens!$F$6087+Sens!$F$6092+Sens!$F$6095+Sens!$F$6096-Sens!$F$6097</f>
        <v>0</v>
      </c>
      <c r="G6098" s="41" t="n">
        <f aca="false">Sens!$G$6087+Sens!$G$6092+Sens!$G$6095+Sens!$G$6096-Sens!$G$6097</f>
        <v>0</v>
      </c>
      <c r="H6098" s="41" t="n">
        <f aca="false">Sens!$H$6087+Sens!$H$6092+Sens!$H$6095+Sens!$H$6096-Sens!$H$6097</f>
        <v>0</v>
      </c>
      <c r="I6098" s="41" t="n">
        <f aca="false">Sens!$I$6087+Sens!$I$6092+Sens!$I$6095+Sens!$I$6096-Sens!$I$6097</f>
        <v>0</v>
      </c>
      <c r="J6098" s="41" t="n">
        <f aca="false">Sens!$J$6087+Sens!$J$6092+Sens!$J$6095+Sens!$J$6096-Sens!$J$6097</f>
        <v>0</v>
      </c>
      <c r="K6098" s="41" t="n">
        <f aca="false">Sens!$K$6087+Sens!$K$6092+Sens!$K$6095+Sens!$K$6096-Sens!$K$6097</f>
        <v>0</v>
      </c>
      <c r="L6098" s="41" t="n">
        <f aca="false">Sens!$L$6087+Sens!$L$6092+Sens!$L$6095+Sens!$L$6096-Sens!$L$6097</f>
        <v>0</v>
      </c>
      <c r="M6098" s="41" t="n">
        <f aca="false">Sens!$M$6087+Sens!$M$6092+Sens!$M$6095+Sens!$M$6096-Sens!$M$6097</f>
        <v>0</v>
      </c>
      <c r="N6098" s="41" t="n">
        <f aca="false">Sens!$N$6087+Sens!$N$6092+Sens!$N$6095+Sens!$N$6096-Sens!$N$6097</f>
        <v>0</v>
      </c>
      <c r="O6098" s="41" t="n">
        <f aca="false">Sens!$O$6087+Sens!$O$6092+Sens!$O$6095+Sens!$O$6096-Sens!$O$6097</f>
        <v>0</v>
      </c>
    </row>
    <row r="6099" customFormat="false" ht="17.15" hidden="false" customHeight="false" outlineLevel="0" collapsed="false">
      <c r="A6099" s="5" t="s">
        <v>746</v>
      </c>
      <c r="B6099" s="0" t="s">
        <v>86</v>
      </c>
      <c r="C6099" s="38" t="n">
        <f aca="false">Sens!$C$6035</f>
        <v>0</v>
      </c>
      <c r="D6099" s="38" t="n">
        <f aca="false">Sens!$D$6035</f>
        <v>0</v>
      </c>
      <c r="E6099" s="38" t="n">
        <f aca="false">Sens!$E$6035</f>
        <v>0</v>
      </c>
      <c r="F6099" s="38" t="n">
        <f aca="false">Sens!$F$6035</f>
        <v>3.77122048175818</v>
      </c>
      <c r="G6099" s="38" t="n">
        <f aca="false">Sens!$G$6035</f>
        <v>3.77122048175818</v>
      </c>
      <c r="H6099" s="38" t="n">
        <f aca="false">Sens!$H$6035</f>
        <v>15.1635543609893</v>
      </c>
      <c r="I6099" s="38" t="n">
        <f aca="false">Sens!$I$6035</f>
        <v>25.5818843619889</v>
      </c>
      <c r="J6099" s="38" t="n">
        <f aca="false">Sens!$J$6035</f>
        <v>36.0465624179122</v>
      </c>
      <c r="K6099" s="38" t="n">
        <f aca="false">Sens!$K$6035</f>
        <v>45.0461919819152</v>
      </c>
      <c r="L6099" s="38" t="n">
        <f aca="false">Sens!$L$6035</f>
        <v>51.1279288493339</v>
      </c>
      <c r="M6099" s="38" t="n">
        <f aca="false">Sens!$M$6035</f>
        <v>54.2845128319481</v>
      </c>
      <c r="N6099" s="38" t="n">
        <f aca="false">Sens!$N$6035</f>
        <v>0</v>
      </c>
      <c r="O6099" s="38" t="n">
        <f aca="false">Sens!$O$6035</f>
        <v>0</v>
      </c>
      <c r="P6099" s="5" t="s">
        <v>747</v>
      </c>
    </row>
    <row r="6100" customFormat="false" ht="17.15" hidden="false" customHeight="false" outlineLevel="0" collapsed="false">
      <c r="A6100" s="5" t="s">
        <v>748</v>
      </c>
      <c r="B6100" s="0" t="s">
        <v>86</v>
      </c>
      <c r="C6100" s="38" t="n">
        <f aca="false">Sens!$C$6097+Sens!$C$6099</f>
        <v>68.593</v>
      </c>
      <c r="D6100" s="38" t="n">
        <f aca="false">Sens!$D$6097+Sens!$D$6099</f>
        <v>79.975</v>
      </c>
      <c r="E6100" s="38" t="n">
        <f aca="false">Sens!$E$6097+Sens!$E$6099</f>
        <v>51.313</v>
      </c>
      <c r="F6100" s="38" t="n">
        <f aca="false">Sens!$F$6097+Sens!$F$6099</f>
        <v>60.1364771804876</v>
      </c>
      <c r="G6100" s="38" t="n">
        <f aca="false">Sens!$G$6097+Sens!$G$6099</f>
        <v>111.449477180488</v>
      </c>
      <c r="H6100" s="38" t="n">
        <f aca="false">Sens!$H$6097+Sens!$H$6099</f>
        <v>144.679011231256</v>
      </c>
      <c r="I6100" s="38" t="n">
        <f aca="false">Sens!$I$6097+Sens!$I$6099</f>
        <v>170.927271444615</v>
      </c>
      <c r="J6100" s="38" t="n">
        <f aca="false">Sens!$J$6097+Sens!$J$6099</f>
        <v>199.908704287628</v>
      </c>
      <c r="K6100" s="38" t="n">
        <f aca="false">Sens!$K$6097+Sens!$K$6099</f>
        <v>220.825515233056</v>
      </c>
      <c r="L6100" s="38" t="n">
        <f aca="false">Sens!$L$6097+Sens!$L$6099</f>
        <v>238.083787194921</v>
      </c>
      <c r="M6100" s="38" t="n">
        <f aca="false">Sens!$M$6097+Sens!$M$6099</f>
        <v>253.403511195645</v>
      </c>
      <c r="N6100" s="38" t="n">
        <f aca="false">Sens!$N$6097+Sens!$N$6099</f>
        <v>37.576</v>
      </c>
      <c r="O6100" s="38" t="n">
        <f aca="false">Sens!$O$6097+Sens!$O$6099</f>
        <v>42.399</v>
      </c>
    </row>
    <row r="6101" customFormat="false" ht="17.15" hidden="false" customHeight="false" outlineLevel="0" collapsed="false">
      <c r="A6101" s="0" t="s">
        <v>749</v>
      </c>
      <c r="B6101" s="0" t="s">
        <v>52</v>
      </c>
      <c r="C6101" s="13" t="n">
        <f aca="false">Sens!$C$6087/Sens!$C$6072</f>
        <v>0.0644314665661928</v>
      </c>
      <c r="D6101" s="13" t="n">
        <f aca="false">Sens!$D$6087/Sens!$D$6072</f>
        <v>0.0694784250712518</v>
      </c>
      <c r="E6101" s="13" t="n">
        <f aca="false">Sens!$E$6087/Sens!$E$6072</f>
        <v>0.0789306463326071</v>
      </c>
      <c r="F6101" s="13" t="n">
        <f aca="false">Sens!$F$6087/Sens!$F$6072</f>
        <v>0.0802526339438384</v>
      </c>
      <c r="G6101" s="13" t="n">
        <f aca="false">Sens!$G$6087/Sens!$G$6072</f>
        <v>0.0796341940538369</v>
      </c>
      <c r="H6101" s="13" t="n">
        <f aca="false">Sens!$H$6087/Sens!$H$6072</f>
        <v>0.0798254462645258</v>
      </c>
      <c r="I6101" s="13" t="n">
        <f aca="false">Sens!$I$6087/Sens!$I$6072</f>
        <v>0.0771454543672196</v>
      </c>
      <c r="J6101" s="13" t="n">
        <f aca="false">Sens!$J$6087/Sens!$J$6072</f>
        <v>0.0756147693819656</v>
      </c>
      <c r="K6101" s="13" t="n">
        <f aca="false">Sens!$K$6087/Sens!$K$6072</f>
        <v>0.0738869244938598</v>
      </c>
      <c r="L6101" s="13" t="n">
        <f aca="false">Sens!$L$6087/Sens!$L$6072</f>
        <v>0.0729413856455048</v>
      </c>
      <c r="M6101" s="13" t="n">
        <f aca="false">Sens!$M$6087/Sens!$M$6072</f>
        <v>0.0748191774302641</v>
      </c>
      <c r="N6101" s="13" t="n">
        <f aca="false">Sens!$N$6087/Sens!$N$6072</f>
        <v>0.069228576611127</v>
      </c>
      <c r="O6101" s="13" t="n">
        <f aca="false">Sens!$O$6087/Sens!$O$6072</f>
        <v>0.069685022498393</v>
      </c>
    </row>
    <row r="6102" customFormat="false" ht="17.15" hidden="false" customHeight="false" outlineLevel="0" collapsed="false">
      <c r="A6102" s="0" t="s">
        <v>750</v>
      </c>
      <c r="B6102" s="0" t="s">
        <v>52</v>
      </c>
      <c r="C6102" s="13" t="n">
        <f aca="false">Sens!$C$6092/Sens!$C$6073</f>
        <v>0.026534925055631</v>
      </c>
      <c r="D6102" s="13" t="n">
        <f aca="false">Sens!$D$6092/Sens!$D$6073</f>
        <v>0.0293401855535103</v>
      </c>
      <c r="E6102" s="13" t="n">
        <f aca="false">Sens!$E$6092/Sens!$E$6073</f>
        <v>0.03831141902276</v>
      </c>
      <c r="F6102" s="13" t="n">
        <f aca="false">Sens!$F$6092/Sens!$F$6073</f>
        <v>0.0282118989524726</v>
      </c>
      <c r="G6102" s="13" t="n">
        <f aca="false">Sens!$G$6092/Sens!$G$6073</f>
        <v>0.0328019468674976</v>
      </c>
      <c r="H6102" s="13" t="n">
        <f aca="false">Sens!$H$6092/Sens!$H$6073</f>
        <v>0.0309879507899839</v>
      </c>
      <c r="I6102" s="13" t="n">
        <f aca="false">Sens!$I$6092/Sens!$I$6073</f>
        <v>0.0262795332043765</v>
      </c>
      <c r="J6102" s="13" t="n">
        <f aca="false">Sens!$J$6092/Sens!$J$6073</f>
        <v>0.0226574435353346</v>
      </c>
      <c r="K6102" s="13" t="n">
        <f aca="false">Sens!$K$6092/Sens!$K$6073</f>
        <v>0.0187335524288883</v>
      </c>
      <c r="L6102" s="13" t="n">
        <f aca="false">Sens!$L$6092/Sens!$L$6073</f>
        <v>0.0181341556704294</v>
      </c>
      <c r="M6102" s="13" t="n">
        <f aca="false">Sens!$M$6092/Sens!$M$6073</f>
        <v>0.0203660964800158</v>
      </c>
      <c r="N6102" s="13" t="n">
        <f aca="false">Sens!$N$6092/Sens!$N$6073</f>
        <v>0.0357315650169337</v>
      </c>
      <c r="O6102" s="13" t="n">
        <f aca="false">Sens!$O$6092/Sens!$O$6073</f>
        <v>0.0244378956559703</v>
      </c>
    </row>
    <row r="6103" customFormat="false" ht="17.15" hidden="false" customHeight="false" outlineLevel="0" collapsed="false">
      <c r="A6103" s="14" t="s">
        <v>751</v>
      </c>
      <c r="B6103" s="14" t="s">
        <v>52</v>
      </c>
      <c r="C6103" s="17" t="n">
        <f aca="false">Sens!$C$6095/Sens!$C$6074</f>
        <v>0.370355907620217</v>
      </c>
      <c r="D6103" s="17" t="n">
        <f aca="false">Sens!$D$6095/Sens!$D$6074</f>
        <v>0.35429015342785</v>
      </c>
      <c r="E6103" s="17" t="n">
        <f aca="false">Sens!$E$6095/Sens!$E$6074</f>
        <v>0.385647527531039</v>
      </c>
      <c r="F6103" s="17" t="n">
        <f aca="false">Sens!$F$6095/Sens!$F$6074</f>
        <v>0.385949613469105</v>
      </c>
      <c r="G6103" s="17" t="n">
        <f aca="false">Sens!$G$6095/Sens!$G$6074</f>
        <v>0.385804840448779</v>
      </c>
      <c r="H6103" s="17" t="n">
        <f aca="false">Sens!$H$6095/Sens!$H$6074</f>
        <v>0.369408675360557</v>
      </c>
      <c r="I6103" s="17" t="n">
        <f aca="false">Sens!$I$6095/Sens!$I$6074</f>
        <v>0.34117504540738</v>
      </c>
      <c r="J6103" s="17" t="n">
        <f aca="false">Sens!$J$6095/Sens!$J$6074</f>
        <v>0.330544285732563</v>
      </c>
      <c r="K6103" s="17" t="n">
        <f aca="false">Sens!$K$6095/Sens!$K$6074</f>
        <v>0.314391026840651</v>
      </c>
      <c r="L6103" s="17" t="n">
        <f aca="false">Sens!$L$6095/Sens!$L$6074</f>
        <v>0.304277342899302</v>
      </c>
      <c r="M6103" s="17" t="n">
        <f aca="false">Sens!$M$6095/Sens!$M$6074</f>
        <v>0.298043452941865</v>
      </c>
      <c r="N6103" s="17" t="n">
        <f aca="false">Sens!$N$6095/Sens!$N$6074</f>
        <v>0.360941137346192</v>
      </c>
      <c r="O6103" s="17" t="n">
        <f aca="false">Sens!$O$6095/Sens!$O$6074</f>
        <v>0.348458117664212</v>
      </c>
    </row>
    <row r="6104" customFormat="false" ht="17.15" hidden="false" customHeight="false" outlineLevel="0" collapsed="false">
      <c r="A6104" s="0" t="s">
        <v>752</v>
      </c>
      <c r="B6104" s="0" t="s">
        <v>52</v>
      </c>
      <c r="C6104" s="13" t="n">
        <f aca="false">Sens!$C$6093/Sens!$C$6075</f>
        <v>0.708390794789371</v>
      </c>
      <c r="D6104" s="13" t="n">
        <f aca="false">Sens!$D$6093/Sens!$D$6075</f>
        <v>0.619415573115729</v>
      </c>
      <c r="E6104" s="13" t="n">
        <f aca="false">Sens!$E$6093/Sens!$E$6075</f>
        <v>0.285171627189009</v>
      </c>
      <c r="F6104" s="13" t="n">
        <f aca="false">Sens!$F$6093/Sens!$F$6075</f>
        <v>0.502657732812366</v>
      </c>
      <c r="G6104" s="13" t="n">
        <f aca="false">Sens!$G$6093/Sens!$G$6075</f>
        <v>0.423808778611812</v>
      </c>
      <c r="H6104" s="13" t="n">
        <f aca="false">Sens!$H$6093/Sens!$H$6075</f>
        <v>0.390261631739809</v>
      </c>
      <c r="I6104" s="13" t="n">
        <f aca="false">Sens!$I$6093/Sens!$I$6075</f>
        <v>0.305172864264572</v>
      </c>
      <c r="J6104" s="13" t="n">
        <f aca="false">Sens!$J$6093/Sens!$J$6075</f>
        <v>0.288011814789856</v>
      </c>
      <c r="K6104" s="13" t="n">
        <f aca="false">Sens!$K$6093/Sens!$K$6075</f>
        <v>0.258524307562373</v>
      </c>
      <c r="L6104" s="13" t="n">
        <f aca="false">Sens!$L$6093/Sens!$L$6075</f>
        <v>0.23973400446073</v>
      </c>
      <c r="M6104" s="13" t="n">
        <f aca="false">Sens!$M$6093/Sens!$M$6075</f>
        <v>0.225252234257832</v>
      </c>
      <c r="N6104" s="13" t="n">
        <f aca="false">Sens!$N$6093/Sens!$N$6075</f>
        <v>0.551227795793364</v>
      </c>
      <c r="O6104" s="13" t="n">
        <f aca="false">Sens!$O$6093/Sens!$O$6075</f>
        <v>0.656132068597002</v>
      </c>
    </row>
    <row r="6105" customFormat="false" ht="15" hidden="false" customHeight="false" outlineLevel="0" collapsed="false">
      <c r="A6105" s="5" t="s">
        <v>753</v>
      </c>
      <c r="B6105" s="0" t="s">
        <v>52</v>
      </c>
      <c r="C6105" s="13" t="n">
        <f aca="false">Sens!$C$6097/Sens!$C$6077</f>
        <v>0.107519448742004</v>
      </c>
      <c r="D6105" s="13" t="n">
        <f aca="false">Sens!$D$6097/Sens!$D$6077</f>
        <v>0.111552967957552</v>
      </c>
      <c r="E6105" s="13" t="n">
        <f aca="false">Sens!$E$6097/Sens!$E$6077</f>
        <v>0.13428328426562</v>
      </c>
      <c r="F6105" s="13" t="n">
        <f aca="false">Sens!$F$6097/Sens!$F$6077</f>
        <v>0.129343087287827</v>
      </c>
      <c r="G6105" s="13" t="n">
        <f aca="false">Sens!$G$6097/Sens!$G$6077</f>
        <v>0.131651143259596</v>
      </c>
      <c r="H6105" s="13" t="n">
        <f aca="false">Sens!$H$6097/Sens!$H$6077</f>
        <v>0.137449034763893</v>
      </c>
      <c r="I6105" s="13" t="n">
        <f aca="false">Sens!$I$6097/Sens!$I$6077</f>
        <v>0.13598895915033</v>
      </c>
      <c r="J6105" s="13" t="n">
        <f aca="false">Sens!$J$6097/Sens!$J$6077</f>
        <v>0.137709769017663</v>
      </c>
      <c r="K6105" s="13" t="n">
        <f aca="false">Sens!$K$6097/Sens!$K$6077</f>
        <v>0.135595769442478</v>
      </c>
      <c r="L6105" s="13" t="n">
        <f aca="false">Sens!$L$6097/Sens!$L$6077</f>
        <v>0.133892716933209</v>
      </c>
      <c r="M6105" s="13" t="n">
        <f aca="false">Sens!$M$6097/Sens!$M$6077</f>
        <v>0.133622690533493</v>
      </c>
      <c r="N6105" s="13" t="n">
        <f aca="false">Sens!$N$6097/Sens!$N$6077</f>
        <v>0.116201614873411</v>
      </c>
      <c r="O6105" s="13" t="n">
        <f aca="false">Sens!$O$6097/Sens!$O$6077</f>
        <v>0.107733353660861</v>
      </c>
    </row>
    <row r="6106" customFormat="false" ht="17.15" hidden="false" customHeight="false" outlineLevel="0" collapsed="false">
      <c r="A6106" s="1" t="s">
        <v>754</v>
      </c>
    </row>
    <row r="6107" customFormat="false" ht="17.15" hidden="false" customHeight="false" outlineLevel="0" collapsed="false">
      <c r="A6107" s="5" t="s">
        <v>755</v>
      </c>
      <c r="B6107" s="0" t="s">
        <v>52</v>
      </c>
      <c r="D6107" s="28" t="n">
        <f aca="false">(Q!$E$29+Q!$E$30-(1-ext_sh)*Sens!$D$6029)/Sens!$D$5980</f>
        <v>0.0341105596409988</v>
      </c>
    </row>
    <row r="6108" customFormat="false" ht="17.15" hidden="false" customHeight="false" outlineLevel="0" collapsed="false">
      <c r="A6108" s="0" t="s">
        <v>545</v>
      </c>
      <c r="B6108" s="0" t="s">
        <v>86</v>
      </c>
      <c r="C6108" s="38" t="n">
        <f aca="false">Q!$D$29</f>
        <v>14.285</v>
      </c>
      <c r="D6108" s="38" t="n">
        <f aca="false">Q!$E$29</f>
        <v>15.503</v>
      </c>
      <c r="E6108" s="38" t="n">
        <f aca="false">Q!$P$29</f>
        <v>8.78</v>
      </c>
      <c r="F6108" s="38" t="n">
        <f aca="false">(Sens!$D$6107*Sens!$F$5980+(1-ext_sh)*Sens!$F$6029)*Sens!$F$5981</f>
        <v>9.30317620449232</v>
      </c>
      <c r="G6108" s="38" t="n">
        <f aca="false">Sens!$E$6108+Sens!$F$6108</f>
        <v>18.0831762044923</v>
      </c>
      <c r="H6108" s="38" t="n">
        <f aca="false">(Sens!$D$6107*Sens!$H$5980+(1-ext_sh)*Sens!$H$6029)*Sens!$H$5981</f>
        <v>22.1297245338482</v>
      </c>
      <c r="I6108" s="38" t="n">
        <f aca="false">(Sens!$D$6107*Sens!$I$5980+(1-ext_sh)*Sens!$I$6029)*Sens!$I$5981</f>
        <v>28.409695984391</v>
      </c>
      <c r="J6108" s="38" t="n">
        <f aca="false">(Sens!$D$6107*Sens!$J$5980+(1-ext_sh)*Sens!$J$6029)*Sens!$J$5981</f>
        <v>34.1085606174579</v>
      </c>
      <c r="K6108" s="38" t="n">
        <f aca="false">(Sens!$D$6107*Sens!$K$5980+(1-ext_sh)*Sens!$K$6029)*Sens!$K$5981</f>
        <v>39.7218983009068</v>
      </c>
      <c r="L6108" s="38" t="n">
        <f aca="false">(Sens!$D$6107*Sens!$L$5980+(1-ext_sh)*Sens!$L$6029)*Sens!$L$5981</f>
        <v>44.2244356822401</v>
      </c>
      <c r="M6108" s="38" t="n">
        <f aca="false">(Sens!$D$6107*Sens!$M$5980+(1-ext_sh)*Sens!$M$6029)*Sens!$M$5981</f>
        <v>47.610530532044</v>
      </c>
      <c r="N6108" s="38" t="n">
        <f aca="false">Q!$N$29</f>
        <v>7.272</v>
      </c>
      <c r="O6108" s="38" t="n">
        <f aca="false">Q!$O$29</f>
        <v>8.231</v>
      </c>
    </row>
    <row r="6109" customFormat="false" ht="17.15" hidden="false" customHeight="false" outlineLevel="0" collapsed="false">
      <c r="A6109" s="0" t="s">
        <v>547</v>
      </c>
      <c r="B6109" s="0" t="s">
        <v>86</v>
      </c>
      <c r="C6109" s="38" t="n">
        <f aca="false">Q!$D$30</f>
        <v>4.462</v>
      </c>
      <c r="D6109" s="38" t="n">
        <f aca="false">Q!$E$30</f>
        <v>4.907</v>
      </c>
      <c r="E6109" s="38" t="n">
        <f aca="false">Q!$P$30</f>
        <v>2.57</v>
      </c>
      <c r="F6109" s="38" t="n">
        <f aca="false">(Sens!$D$6107*Sens!$F$5980+(1-ext_sh)*Sens!$F$6029)*(1-Sens!$F$5981)</f>
        <v>3.6526976809753</v>
      </c>
      <c r="G6109" s="38" t="n">
        <f aca="false">Sens!$E$6109+Sens!$F$6109</f>
        <v>6.2226976809753</v>
      </c>
      <c r="H6109" s="38" t="n">
        <f aca="false">(Sens!$D$6107*Sens!$H$5980+(1-ext_sh)*Sens!$H$6029)*(1-Sens!$H$5981)</f>
        <v>8.4764774248495</v>
      </c>
      <c r="I6109" s="38" t="n">
        <f aca="false">(Sens!$D$6107*Sens!$I$5980+(1-ext_sh)*Sens!$I$6029)*(1-Sens!$I$5981)</f>
        <v>10.881931507561</v>
      </c>
      <c r="J6109" s="38" t="n">
        <f aca="false">(Sens!$D$6107*Sens!$J$5980+(1-ext_sh)*Sens!$J$6029)*(1-Sens!$J$5981)</f>
        <v>13.0648008575874</v>
      </c>
      <c r="K6109" s="38" t="n">
        <f aca="false">(Sens!$D$6107*Sens!$K$5980+(1-ext_sh)*Sens!$K$6029)*(1-Sens!$K$5981)</f>
        <v>15.2149103214008</v>
      </c>
      <c r="L6109" s="38" t="n">
        <f aca="false">(Sens!$D$6107*Sens!$L$5980+(1-ext_sh)*Sens!$L$6029)*(1-Sens!$L$5981)</f>
        <v>16.9395434685074</v>
      </c>
      <c r="M6109" s="38" t="n">
        <f aca="false">(Sens!$D$6107*Sens!$M$5980+(1-ext_sh)*Sens!$M$6029)*(1-Sens!$M$5981)</f>
        <v>18.2365391228754</v>
      </c>
      <c r="N6109" s="38" t="n">
        <f aca="false">Q!$N$30</f>
        <v>2.316</v>
      </c>
      <c r="O6109" s="38" t="n">
        <f aca="false">Q!$O$30</f>
        <v>2.591</v>
      </c>
    </row>
    <row r="6110" customFormat="false" ht="17.15" hidden="false" customHeight="false" outlineLevel="0" collapsed="false">
      <c r="A6110" s="0" t="s">
        <v>548</v>
      </c>
      <c r="B6110" s="0" t="s">
        <v>86</v>
      </c>
      <c r="C6110" s="38" t="n">
        <f aca="false">Sens!$C$6041</f>
        <v>13.32</v>
      </c>
      <c r="D6110" s="38" t="n">
        <f aca="false">Sens!$D$6041</f>
        <v>21.45</v>
      </c>
      <c r="E6110" s="38" t="n">
        <f aca="false">Sens!$E$6041</f>
        <v>15.353</v>
      </c>
      <c r="F6110" s="38" t="n">
        <f aca="false">Sens!$F$6041</f>
        <v>16.1969869840094</v>
      </c>
      <c r="G6110" s="38" t="n">
        <f aca="false">Sens!$G$6041</f>
        <v>31.5499869840094</v>
      </c>
      <c r="H6110" s="38" t="n">
        <f aca="false">Sens!$H$6041</f>
        <v>50.9556213609176</v>
      </c>
      <c r="I6110" s="38" t="n">
        <f aca="false">Sens!$I$6041</f>
        <v>79.464581248252</v>
      </c>
      <c r="J6110" s="38" t="n">
        <f aca="false">Sens!$J$6041</f>
        <v>105.296127931746</v>
      </c>
      <c r="K6110" s="38" t="n">
        <f aca="false">Sens!$K$6041</f>
        <v>131.454694001511</v>
      </c>
      <c r="L6110" s="38" t="n">
        <f aca="false">Sens!$L$6041</f>
        <v>151.152512648088</v>
      </c>
      <c r="M6110" s="38" t="n">
        <f aca="false">Sens!$M$6041</f>
        <v>164.335621193048</v>
      </c>
      <c r="N6110" s="38" t="n">
        <f aca="false">Sens!$N$6041</f>
        <v>9.234</v>
      </c>
      <c r="O6110" s="38" t="n">
        <f aca="false">Sens!$O$6041</f>
        <v>12.216</v>
      </c>
    </row>
    <row r="6111" customFormat="false" ht="17.15" hidden="false" customHeight="false" outlineLevel="0" collapsed="false">
      <c r="A6111" s="5" t="s">
        <v>756</v>
      </c>
      <c r="B6111" s="0" t="s">
        <v>86</v>
      </c>
      <c r="C6111" s="38" t="n">
        <f aca="false">Sens!$C$6108+Sens!$C$6109+Sens!$C$6110</f>
        <v>32.067</v>
      </c>
      <c r="D6111" s="38" t="n">
        <f aca="false">Sens!$D$6108+Sens!$D$6109+Sens!$D$6110</f>
        <v>41.86</v>
      </c>
      <c r="E6111" s="38" t="n">
        <f aca="false">Sens!$E$6108+Sens!$E$6109+Sens!$E$6110</f>
        <v>26.703</v>
      </c>
      <c r="F6111" s="38" t="n">
        <f aca="false">Sens!$F$6108+Sens!$F$6109+Sens!$F$6110</f>
        <v>29.152860869477</v>
      </c>
      <c r="G6111" s="38" t="n">
        <f aca="false">Sens!$G$6108+Sens!$G$6109+Sens!$G$6110</f>
        <v>55.855860869477</v>
      </c>
      <c r="H6111" s="38" t="n">
        <f aca="false">Sens!$H$6108+Sens!$H$6109+Sens!$H$6110</f>
        <v>81.5618233196153</v>
      </c>
      <c r="I6111" s="38" t="n">
        <f aca="false">Sens!$I$6108+Sens!$I$6109+Sens!$I$6110</f>
        <v>118.756208740204</v>
      </c>
      <c r="J6111" s="38" t="n">
        <f aca="false">Sens!$J$6108+Sens!$J$6109+Sens!$J$6110</f>
        <v>152.469489406791</v>
      </c>
      <c r="K6111" s="38" t="n">
        <f aca="false">Sens!$K$6108+Sens!$K$6109+Sens!$K$6110</f>
        <v>186.391502623819</v>
      </c>
      <c r="L6111" s="38" t="n">
        <f aca="false">Sens!$L$6108+Sens!$L$6109+Sens!$L$6110</f>
        <v>212.316491798836</v>
      </c>
      <c r="M6111" s="38" t="n">
        <f aca="false">Sens!$M$6108+Sens!$M$6109+Sens!$M$6110</f>
        <v>230.182690847967</v>
      </c>
      <c r="N6111" s="38" t="n">
        <f aca="false">Sens!$N$6108+Sens!$N$6109+Sens!$N$6110</f>
        <v>18.822</v>
      </c>
      <c r="O6111" s="38" t="n">
        <f aca="false">Sens!$O$6108+Sens!$O$6109+Sens!$O$6110</f>
        <v>23.038</v>
      </c>
    </row>
    <row r="6112" customFormat="false" ht="17.15" hidden="false" customHeight="false" outlineLevel="0" collapsed="false">
      <c r="A6112" s="0" t="s">
        <v>757</v>
      </c>
      <c r="B6112" s="0" t="s">
        <v>86</v>
      </c>
      <c r="C6112" s="38" t="n">
        <f aca="false">Sens!$C$6083+Sens!$C$6088</f>
        <v>28.107</v>
      </c>
      <c r="D6112" s="38" t="n">
        <f aca="false">Sens!$D$6083+Sens!$D$6088</f>
        <v>34.3175</v>
      </c>
      <c r="E6112" s="38" t="n">
        <f aca="false">Sens!$E$6083+Sens!$E$6088</f>
        <v>18.526</v>
      </c>
      <c r="F6112" s="38" t="n">
        <f aca="false">Sens!$F$6083+Sens!$F$6088</f>
        <v>23.0786109972074</v>
      </c>
      <c r="G6112" s="38" t="n">
        <f aca="false">Sens!$G$6083+Sens!$G$6088</f>
        <v>41.6046109972074</v>
      </c>
      <c r="H6112" s="38" t="n">
        <f aca="false">Sens!$H$6083+Sens!$H$6088</f>
        <v>49.9484611939488</v>
      </c>
      <c r="I6112" s="38" t="n">
        <f aca="false">Sens!$I$6083+Sens!$I$6088</f>
        <v>58.2915555477481</v>
      </c>
      <c r="J6112" s="38" t="n">
        <f aca="false">Sens!$J$6083+Sens!$J$6088</f>
        <v>66.0744709709759</v>
      </c>
      <c r="K6112" s="38" t="n">
        <f aca="false">Sens!$K$6083+Sens!$K$6088</f>
        <v>72.6819180680735</v>
      </c>
      <c r="L6112" s="38" t="n">
        <f aca="false">Sens!$L$6083+Sens!$L$6088</f>
        <v>79.9501098748808</v>
      </c>
      <c r="M6112" s="38" t="n">
        <f aca="false">Sens!$M$6083+Sens!$M$6088</f>
        <v>87.9451208623689</v>
      </c>
      <c r="N6112" s="38" t="n">
        <f aca="false">Sens!$N$6083+Sens!$N$6088</f>
        <v>14.8075</v>
      </c>
      <c r="O6112" s="38" t="n">
        <f aca="false">Sens!$O$6083+Sens!$O$6088</f>
        <v>19.51</v>
      </c>
    </row>
    <row r="6113" customFormat="false" ht="17.15" hidden="false" customHeight="false" outlineLevel="0" collapsed="false">
      <c r="A6113" s="0" t="s">
        <v>758</v>
      </c>
      <c r="B6113" s="0" t="s">
        <v>86</v>
      </c>
      <c r="C6113" s="38" t="n">
        <f aca="false">Sens!$C$6087+Sens!$C$6092+Sens!$C$6108+Sens!$C$6109-Sens!$C$6112</f>
        <v>19.399</v>
      </c>
      <c r="D6113" s="38" t="n">
        <f aca="false">Sens!$D$6087+Sens!$D$6092+Sens!$D$6108+Sens!$D$6109-Sens!$D$6112</f>
        <v>20.4615</v>
      </c>
      <c r="E6113" s="38" t="n">
        <f aca="false">Sens!$E$6087+Sens!$E$6092+Sens!$E$6108+Sens!$E$6109-Sens!$E$6112</f>
        <v>13.355</v>
      </c>
      <c r="F6113" s="38" t="n">
        <f aca="false">Sens!$F$6087+Sens!$F$6092+Sens!$F$6108+Sens!$F$6109-Sens!$F$6112</f>
        <v>12.7680546411015</v>
      </c>
      <c r="G6113" s="38" t="n">
        <f aca="false">Sens!$G$6087+Sens!$G$6092+Sens!$G$6108+Sens!$G$6109-Sens!$G$6112</f>
        <v>26.1230546411015</v>
      </c>
      <c r="H6113" s="38" t="n">
        <f aca="false">Sens!$H$6087+Sens!$H$6092+Sens!$H$6108+Sens!$H$6109-Sens!$H$6112</f>
        <v>28.4662904769959</v>
      </c>
      <c r="I6113" s="38" t="n">
        <f aca="false">Sens!$I$6087+Sens!$I$6092+Sens!$I$6108+Sens!$I$6109-Sens!$I$6112</f>
        <v>30.7231490427408</v>
      </c>
      <c r="J6113" s="38" t="n">
        <f aca="false">Sens!$J$6087+Sens!$J$6092+Sens!$J$6108+Sens!$J$6109-Sens!$J$6112</f>
        <v>32.9723159380642</v>
      </c>
      <c r="K6113" s="38" t="n">
        <f aca="false">Sens!$K$6087+Sens!$K$6092+Sens!$K$6108+Sens!$K$6109-Sens!$K$6112</f>
        <v>35.3677378466089</v>
      </c>
      <c r="L6113" s="38" t="n">
        <f aca="false">Sens!$L$6087+Sens!$L$6092+Sens!$L$6108+Sens!$L$6109-Sens!$L$6112</f>
        <v>36.9599271486027</v>
      </c>
      <c r="M6113" s="38" t="n">
        <f aca="false">Sens!$M$6087+Sens!$M$6092+Sens!$M$6108+Sens!$M$6109-Sens!$M$6112</f>
        <v>39.3216920927112</v>
      </c>
      <c r="N6113" s="38" t="n">
        <f aca="false">Sens!$N$6087+Sens!$N$6092+Sens!$N$6108+Sens!$N$6109-Sens!$N$6112</f>
        <v>10.6495</v>
      </c>
      <c r="O6113" s="38" t="n">
        <f aca="false">Sens!$O$6087+Sens!$O$6092+Sens!$O$6108+Sens!$O$6109-Sens!$O$6112</f>
        <v>9.81200000000001</v>
      </c>
    </row>
    <row r="6114" customFormat="false" ht="17.15" hidden="false" customHeight="false" outlineLevel="0" collapsed="false">
      <c r="A6114" s="0" t="s">
        <v>759</v>
      </c>
      <c r="B6114" s="0" t="s">
        <v>86</v>
      </c>
      <c r="C6114" s="38" t="n">
        <f aca="false">Sens!$C$6094+Sens!$C$6110-ext_sh*Sens!$C$6029</f>
        <v>51.3470500115664</v>
      </c>
      <c r="D6114" s="38" t="n">
        <f aca="false">Sens!$D$6094+Sens!$D$6110-ext_sh*Sens!$D$6029</f>
        <v>60.2799375433739</v>
      </c>
      <c r="E6114" s="38" t="n">
        <f aca="false">Sens!$E$6094+Sens!$E$6110-ext_sh*Sens!$E$6029</f>
        <v>39.5095167090767</v>
      </c>
      <c r="F6114" s="38" t="n">
        <f aca="false">Sens!$F$6094+Sens!$F$6110-ext_sh*Sens!$F$6029</f>
        <v>37.951394214027</v>
      </c>
      <c r="G6114" s="38" t="n">
        <f aca="false">Sens!$G$6094+Sens!$G$6110-ext_sh*Sens!$G$6029</f>
        <v>77.4609109231037</v>
      </c>
      <c r="H6114" s="38" t="n">
        <f aca="false">Sens!$H$6094+Sens!$H$6110-ext_sh*Sens!$H$6029</f>
        <v>85.1453558128916</v>
      </c>
      <c r="I6114" s="38" t="n">
        <f aca="false">Sens!$I$6094+Sens!$I$6110-ext_sh*Sens!$I$6029</f>
        <v>94.532921967974</v>
      </c>
      <c r="J6114" s="38" t="n">
        <f aca="false">Sens!$J$6094+Sens!$J$6110-ext_sh*Sens!$J$6029</f>
        <v>103.525527532583</v>
      </c>
      <c r="K6114" s="38" t="n">
        <f aca="false">Sens!$K$6094+Sens!$K$6110-ext_sh*Sens!$K$6029</f>
        <v>111.80756973519</v>
      </c>
      <c r="L6114" s="38" t="n">
        <f aca="false">Sens!$L$6094+Sens!$L$6110-ext_sh*Sens!$L$6029</f>
        <v>120.752175314005</v>
      </c>
      <c r="M6114" s="38" t="n">
        <f aca="false">Sens!$M$6094+Sens!$M$6110-ext_sh*Sens!$M$6029</f>
        <v>130.412349339125</v>
      </c>
      <c r="N6114" s="38" t="n">
        <f aca="false">Sens!$N$6094+Sens!$N$6110-ext_sh*Sens!$N$6029</f>
        <v>28.5693781401809</v>
      </c>
      <c r="O6114" s="38" t="n">
        <f aca="false">Sens!$O$6094+Sens!$O$6110-ext_sh*Sens!$O$6029</f>
        <v>31.7105594031931</v>
      </c>
    </row>
    <row r="6115" customFormat="false" ht="17.15" hidden="false" customHeight="false" outlineLevel="0" collapsed="false">
      <c r="A6115" s="0" t="s">
        <v>760</v>
      </c>
      <c r="B6115" s="0" t="s">
        <v>86</v>
      </c>
      <c r="C6115" s="38" t="n">
        <f aca="false">Sens!$C$6032</f>
        <v>1.80694998843362</v>
      </c>
      <c r="D6115" s="38" t="n">
        <f aca="false">Sens!$D$6032</f>
        <v>6.77606245662607</v>
      </c>
      <c r="E6115" s="38" t="n">
        <f aca="false">Sens!$E$6032</f>
        <v>6.62548329092326</v>
      </c>
      <c r="F6115" s="38" t="n">
        <f aca="false">Sens!$F$6032</f>
        <v>11.7200577158706</v>
      </c>
      <c r="G6115" s="38" t="n">
        <f aca="false">Sens!$G$6032</f>
        <v>18.3455410067939</v>
      </c>
      <c r="H6115" s="38" t="n">
        <f aca="false">Sens!$H$6032</f>
        <v>47.5171727060453</v>
      </c>
      <c r="I6115" s="38" t="n">
        <f aca="false">Sens!$I$6032</f>
        <v>80.5539692643667</v>
      </c>
      <c r="J6115" s="38" t="n">
        <f aca="false">Sens!$J$6032</f>
        <v>113.759316834883</v>
      </c>
      <c r="K6115" s="38" t="n">
        <f aca="false">Sens!$K$6032</f>
        <v>142.313600225088</v>
      </c>
      <c r="L6115" s="38" t="n">
        <f aca="false">Sens!$L$6032</f>
        <v>161.610137806934</v>
      </c>
      <c r="M6115" s="38" t="n">
        <f aca="false">Sens!$M$6032</f>
        <v>171.622526917459</v>
      </c>
      <c r="N6115" s="38" t="n">
        <f aca="false">Sens!$N$6032</f>
        <v>2.37162185981912</v>
      </c>
      <c r="O6115" s="38" t="n">
        <f aca="false">Sens!$O$6032</f>
        <v>4.40444059680694</v>
      </c>
    </row>
    <row r="6116" customFormat="false" ht="17.15" hidden="false" customHeight="false" outlineLevel="0" collapsed="false">
      <c r="A6116" s="0" t="s">
        <v>761</v>
      </c>
      <c r="B6116" s="0" t="s">
        <v>86</v>
      </c>
      <c r="C6116" s="38" t="n">
        <f aca="false">Sens!$C$6097+Sens!$C$6111</f>
        <v>100.66</v>
      </c>
      <c r="D6116" s="38" t="n">
        <f aca="false">Sens!$D$6097+Sens!$D$6111</f>
        <v>121.835</v>
      </c>
      <c r="E6116" s="38" t="n">
        <f aca="false">Sens!$E$6097+Sens!$E$6111</f>
        <v>78.016</v>
      </c>
      <c r="F6116" s="38" t="n">
        <f aca="false">Sens!$F$6097+Sens!$F$6111</f>
        <v>85.5181175682064</v>
      </c>
      <c r="G6116" s="38" t="n">
        <f aca="false">Sens!$G$6097+Sens!$G$6111</f>
        <v>163.534117568206</v>
      </c>
      <c r="H6116" s="38" t="n">
        <f aca="false">Sens!$H$6097+Sens!$H$6111</f>
        <v>211.077280189882</v>
      </c>
      <c r="I6116" s="38" t="n">
        <f aca="false">Sens!$I$6097+Sens!$I$6111</f>
        <v>264.10159582283</v>
      </c>
      <c r="J6116" s="38" t="n">
        <f aca="false">Sens!$J$6097+Sens!$J$6111</f>
        <v>316.331631276507</v>
      </c>
      <c r="K6116" s="38" t="n">
        <f aca="false">Sens!$K$6097+Sens!$K$6111</f>
        <v>362.17082587496</v>
      </c>
      <c r="L6116" s="38" t="n">
        <f aca="false">Sens!$L$6097+Sens!$L$6111</f>
        <v>399.272350144423</v>
      </c>
      <c r="M6116" s="38" t="n">
        <f aca="false">Sens!$M$6097+Sens!$M$6111</f>
        <v>429.301689211664</v>
      </c>
      <c r="N6116" s="38" t="n">
        <f aca="false">Sens!$N$6097+Sens!$N$6111</f>
        <v>56.398</v>
      </c>
      <c r="O6116" s="38" t="n">
        <f aca="false">Sens!$O$6097+Sens!$O$6111</f>
        <v>65.437</v>
      </c>
    </row>
    <row r="6117" customFormat="false" ht="17.15" hidden="false" customHeight="false" outlineLevel="0" collapsed="false">
      <c r="A6117" s="1" t="s">
        <v>762</v>
      </c>
    </row>
    <row r="6118" customFormat="false" ht="15" hidden="false" customHeight="false" outlineLevel="0" collapsed="false">
      <c r="A6118" s="5" t="s">
        <v>551</v>
      </c>
      <c r="B6118" s="0" t="s">
        <v>86</v>
      </c>
      <c r="C6118" s="38" t="n">
        <f aca="false">Q!$D$34</f>
        <v>2.406</v>
      </c>
      <c r="D6118" s="38" t="n">
        <f aca="false">Q!$E$34</f>
        <v>2.274</v>
      </c>
      <c r="E6118" s="38" t="n">
        <f aca="false">Q!$P$34</f>
        <v>2.114</v>
      </c>
      <c r="F6118" s="38" t="n">
        <f aca="false">Sens!$F$6156</f>
        <v>3.24888962733561</v>
      </c>
      <c r="G6118" s="38" t="n">
        <f aca="false">Sens!$E$6118+Sens!$F$6118</f>
        <v>5.36288962733561</v>
      </c>
      <c r="H6118" s="38" t="n">
        <f aca="false">Sens!$H$6156</f>
        <v>7.42354172302123</v>
      </c>
      <c r="I6118" s="38" t="n">
        <f aca="false">Sens!$I$6156</f>
        <v>7.84418947693382</v>
      </c>
      <c r="J6118" s="38" t="n">
        <f aca="false">Sens!$J$6156</f>
        <v>8.79561318891235</v>
      </c>
      <c r="K6118" s="38" t="n">
        <f aca="false">Sens!$K$6156</f>
        <v>8.79561318891235</v>
      </c>
      <c r="L6118" s="38" t="n">
        <f aca="false">Sens!$L$6156</f>
        <v>8.79561318891235</v>
      </c>
      <c r="M6118" s="38" t="n">
        <f aca="false">Sens!$M$6156</f>
        <v>8.79561318891235</v>
      </c>
      <c r="N6118" s="38" t="n">
        <f aca="false">Q!$N$34</f>
        <v>1.057</v>
      </c>
      <c r="O6118" s="38" t="n">
        <f aca="false">Q!$O$34</f>
        <v>1.217</v>
      </c>
    </row>
    <row r="6119" customFormat="false" ht="15" hidden="false" customHeight="false" outlineLevel="0" collapsed="false">
      <c r="A6119" s="5" t="s">
        <v>763</v>
      </c>
      <c r="B6119" s="0" t="s">
        <v>86</v>
      </c>
      <c r="F6119" s="38" t="n">
        <f aca="false">Sens!$F$6157</f>
        <v>2.59</v>
      </c>
      <c r="H6119" s="38" t="n">
        <f aca="false">Sens!$H$6157</f>
        <v>4.1153774832261</v>
      </c>
      <c r="I6119" s="38" t="n">
        <f aca="false">Sens!$I$6157</f>
        <v>2.10589651022864</v>
      </c>
      <c r="J6119" s="38" t="n">
        <f aca="false">Sens!$J$6157</f>
        <v>2.10589651022864</v>
      </c>
      <c r="K6119" s="38" t="n">
        <f aca="false">Sens!$K$6157</f>
        <v>3.172800358404</v>
      </c>
      <c r="L6119" s="38" t="n">
        <f aca="false">Sens!$L$6157</f>
        <v>8.20129838047933</v>
      </c>
      <c r="M6119" s="38" t="n">
        <f aca="false">Sens!$M$6157</f>
        <v>15.6131222909464</v>
      </c>
    </row>
    <row r="6120" customFormat="false" ht="17.15" hidden="false" customHeight="false" outlineLevel="0" collapsed="false">
      <c r="A6120" s="5" t="s">
        <v>764</v>
      </c>
      <c r="B6120" s="0" t="s">
        <v>86</v>
      </c>
      <c r="C6120" s="38" t="n">
        <f aca="false">Q!$D$39</f>
        <v>2.427</v>
      </c>
      <c r="D6120" s="38" t="n">
        <f aca="false">Q!$E$39</f>
        <v>19.61</v>
      </c>
      <c r="E6120" s="38" t="n">
        <f aca="false">Q!$P$39</f>
        <v>71.492</v>
      </c>
      <c r="F6120" s="39" t="n">
        <v>0</v>
      </c>
      <c r="G6120" s="38" t="n">
        <f aca="false">Sens!$E$6120+Sens!$F$6120</f>
        <v>71.492</v>
      </c>
      <c r="H6120" s="39" t="n">
        <v>0</v>
      </c>
      <c r="I6120" s="39" t="n">
        <v>0</v>
      </c>
      <c r="J6120" s="39" t="n">
        <v>0</v>
      </c>
      <c r="K6120" s="39" t="n">
        <v>0</v>
      </c>
      <c r="L6120" s="39" t="n">
        <v>0</v>
      </c>
      <c r="M6120" s="39" t="n">
        <v>0</v>
      </c>
      <c r="N6120" s="38" t="n">
        <f aca="false">Q!$N$39</f>
        <v>6.017</v>
      </c>
      <c r="O6120" s="38" t="n">
        <f aca="false">Q!$O$39</f>
        <v>13.593</v>
      </c>
      <c r="P6120" s="5" t="s">
        <v>765</v>
      </c>
    </row>
    <row r="6121" customFormat="false" ht="15" hidden="false" customHeight="false" outlineLevel="0" collapsed="false">
      <c r="A6121" s="5" t="s">
        <v>554</v>
      </c>
      <c r="B6121" s="0" t="s">
        <v>86</v>
      </c>
      <c r="C6121" s="38" t="n">
        <f aca="false">Q!$D$36</f>
        <v>68.614</v>
      </c>
      <c r="D6121" s="38" t="n">
        <f aca="false">Q!$E$36</f>
        <v>97.311</v>
      </c>
      <c r="E6121" s="38" t="n">
        <f aca="false">Q!$P$36</f>
        <v>120.691</v>
      </c>
      <c r="F6121" s="38" t="n">
        <f aca="false">Sens!$F$6097-Sens!$F$6118+Sens!$F$6119+Sens!$F$6120</f>
        <v>55.7063670713938</v>
      </c>
      <c r="G6121" s="38" t="n">
        <f aca="false">Sens!$E$6121+Sens!$F$6121</f>
        <v>176.397367071394</v>
      </c>
      <c r="H6121" s="38" t="n">
        <f aca="false">Sens!$H$6097-Sens!$H$6118+Sens!$H$6119+Sens!$H$6120</f>
        <v>126.207292630471</v>
      </c>
      <c r="I6121" s="38" t="n">
        <f aca="false">Sens!$I$6097-Sens!$I$6118+Sens!$I$6119+Sens!$I$6120</f>
        <v>139.60709411592</v>
      </c>
      <c r="J6121" s="38" t="n">
        <f aca="false">Sens!$J$6097-Sens!$J$6118+Sens!$J$6119+Sens!$J$6120</f>
        <v>157.172425191032</v>
      </c>
      <c r="K6121" s="38" t="n">
        <f aca="false">Sens!$K$6097-Sens!$K$6118+Sens!$K$6119+Sens!$K$6120</f>
        <v>170.156510420632</v>
      </c>
      <c r="L6121" s="38" t="n">
        <f aca="false">Sens!$L$6097-Sens!$L$6118+Sens!$L$6119+Sens!$L$6120</f>
        <v>186.361543537154</v>
      </c>
      <c r="M6121" s="38" t="n">
        <f aca="false">Sens!$M$6097-Sens!$M$6118+Sens!$M$6119+Sens!$M$6120</f>
        <v>205.936507465731</v>
      </c>
      <c r="N6121" s="38" t="n">
        <f aca="false">Q!$N$36</f>
        <v>42.536</v>
      </c>
      <c r="O6121" s="38" t="n">
        <f aca="false">Q!$O$36</f>
        <v>54.775</v>
      </c>
    </row>
    <row r="6122" customFormat="false" ht="15" hidden="false" customHeight="false" outlineLevel="0" collapsed="false">
      <c r="A6122" s="5" t="s">
        <v>555</v>
      </c>
      <c r="B6122" s="0" t="s">
        <v>86</v>
      </c>
      <c r="C6122" s="38" t="n">
        <f aca="false">Q!$D$37</f>
        <v>9.265</v>
      </c>
      <c r="D6122" s="38" t="n">
        <f aca="false">Q!$E$37</f>
        <v>19.087</v>
      </c>
      <c r="E6122" s="38" t="n">
        <f aca="false">Q!$P$37</f>
        <v>27.759</v>
      </c>
      <c r="F6122" s="38" t="n">
        <f aca="false">Sens!$F$6121*tax</f>
        <v>9.669763357865</v>
      </c>
      <c r="G6122" s="38" t="n">
        <f aca="false">Sens!$E$6122+Sens!$F$6122</f>
        <v>37.428763357865</v>
      </c>
      <c r="H6122" s="38" t="n">
        <f aca="false">Sens!$H$6121*tax</f>
        <v>21.9076331473816</v>
      </c>
      <c r="I6122" s="38" t="n">
        <f aca="false">Sens!$I$6121*tax</f>
        <v>24.2336313450491</v>
      </c>
      <c r="J6122" s="38" t="n">
        <f aca="false">Sens!$J$6121*tax</f>
        <v>27.2827010246639</v>
      </c>
      <c r="K6122" s="38" t="n">
        <f aca="false">Sens!$K$6121*tax</f>
        <v>29.5365373128511</v>
      </c>
      <c r="L6122" s="38" t="n">
        <f aca="false">Sens!$L$6121*tax</f>
        <v>32.3494803152605</v>
      </c>
      <c r="M6122" s="38" t="n">
        <f aca="false">Sens!$M$6121*tax</f>
        <v>35.7473911624262</v>
      </c>
      <c r="N6122" s="38" t="n">
        <f aca="false">Q!$N$37</f>
        <v>7.231</v>
      </c>
      <c r="O6122" s="38" t="n">
        <f aca="false">Q!$O$37</f>
        <v>11.856</v>
      </c>
    </row>
    <row r="6123" customFormat="false" ht="15" hidden="false" customHeight="false" outlineLevel="0" collapsed="false">
      <c r="A6123" s="3" t="s">
        <v>556</v>
      </c>
      <c r="B6123" s="8" t="s">
        <v>86</v>
      </c>
      <c r="C6123" s="38" t="n">
        <f aca="false">Q!$D$38</f>
        <v>59.248</v>
      </c>
      <c r="D6123" s="38" t="n">
        <f aca="false">Q!$E$38</f>
        <v>77.67</v>
      </c>
      <c r="E6123" s="38" t="n">
        <f aca="false">Q!$P$38</f>
        <v>92.902</v>
      </c>
      <c r="F6123" s="38" t="n">
        <f aca="false">Sens!$F$6121-Sens!$F$6122</f>
        <v>46.0366037135288</v>
      </c>
      <c r="G6123" s="38" t="n">
        <f aca="false">Sens!$E$6123+Sens!$F$6123</f>
        <v>138.938603713529</v>
      </c>
      <c r="H6123" s="38" t="n">
        <f aca="false">Sens!$H$6121-Sens!$H$6122</f>
        <v>104.29965948309</v>
      </c>
      <c r="I6123" s="38" t="n">
        <f aca="false">Sens!$I$6121-Sens!$I$6122</f>
        <v>115.373462770871</v>
      </c>
      <c r="J6123" s="38" t="n">
        <f aca="false">Sens!$J$6121-Sens!$J$6122</f>
        <v>129.889724166368</v>
      </c>
      <c r="K6123" s="38" t="n">
        <f aca="false">Sens!$K$6121-Sens!$K$6122</f>
        <v>140.619973107781</v>
      </c>
      <c r="L6123" s="38" t="n">
        <f aca="false">Sens!$L$6121-Sens!$L$6122</f>
        <v>154.012063221893</v>
      </c>
      <c r="M6123" s="38" t="n">
        <f aca="false">Sens!$M$6121-Sens!$M$6122</f>
        <v>170.189116303305</v>
      </c>
      <c r="N6123" s="38" t="n">
        <f aca="false">Q!$N$38</f>
        <v>35.291</v>
      </c>
      <c r="O6123" s="38" t="n">
        <f aca="false">Q!$O$38</f>
        <v>42.379</v>
      </c>
    </row>
    <row r="6124" customFormat="false" ht="17.15" hidden="false" customHeight="false" outlineLevel="0" collapsed="false">
      <c r="A6124" s="5" t="s">
        <v>559</v>
      </c>
      <c r="B6124" s="5" t="s">
        <v>33</v>
      </c>
      <c r="C6124" s="22" t="n">
        <f aca="false">Q!$D$41</f>
        <v>10.721</v>
      </c>
      <c r="D6124" s="22" t="n">
        <f aca="false">Q!$E$41</f>
        <v>10.827</v>
      </c>
      <c r="E6124" s="22" t="n">
        <f aca="false">(Q!$L$41+Q!$M$41)/2</f>
        <v>10.8885</v>
      </c>
      <c r="F6124" s="22" t="n">
        <f aca="false">Sens!$G$6124</f>
        <v>10.924806</v>
      </c>
      <c r="G6124" s="22" t="n">
        <f aca="false">Q!$M$41*(1+sh_g*0.25)</f>
        <v>10.924806</v>
      </c>
      <c r="H6124" s="22" t="n">
        <f aca="false">Sens!$G$6124*(1+sh_g)</f>
        <v>11.012204448</v>
      </c>
      <c r="I6124" s="22" t="n">
        <f aca="false">Sens!$H$6124*(1+sh_g)</f>
        <v>11.100302083584</v>
      </c>
      <c r="J6124" s="22" t="n">
        <f aca="false">Sens!$I$6124*(1+sh_g)</f>
        <v>11.1891045002527</v>
      </c>
      <c r="K6124" s="22" t="n">
        <f aca="false">Sens!$J$6124*(1+sh_g)</f>
        <v>11.2786173362547</v>
      </c>
      <c r="L6124" s="22" t="n">
        <f aca="false">Sens!$K$6124*(1+sh_g)</f>
        <v>11.3688462749447</v>
      </c>
      <c r="M6124" s="22" t="n">
        <f aca="false">Sens!$L$6124*(1+sh_g)</f>
        <v>11.4597970451443</v>
      </c>
      <c r="P6124" s="5" t="s">
        <v>766</v>
      </c>
    </row>
    <row r="6125" customFormat="false" ht="17.15" hidden="false" customHeight="false" outlineLevel="0" collapsed="false">
      <c r="A6125" s="5" t="s">
        <v>767</v>
      </c>
      <c r="B6125" s="0" t="s">
        <v>86</v>
      </c>
      <c r="C6125" s="38" t="n">
        <f aca="false">Sens!$C$6123+Sens!$C$6099*(1-tax)</f>
        <v>59.248</v>
      </c>
      <c r="D6125" s="38" t="n">
        <f aca="false">Sens!$D$6123+Sens!$D$6099*(1-tax)</f>
        <v>77.67</v>
      </c>
      <c r="E6125" s="38" t="n">
        <f aca="false">Sens!$E$6123+Sens!$E$6099*(1-tax)</f>
        <v>92.902</v>
      </c>
      <c r="F6125" s="38" t="n">
        <f aca="false">Sens!$F$6123+Sens!$F$6099*(1-tax)</f>
        <v>49.1531986731775</v>
      </c>
      <c r="G6125" s="38" t="n">
        <f aca="false">Sens!$G$6123+Sens!$G$6099*(1-tax)</f>
        <v>142.055198673178</v>
      </c>
      <c r="H6125" s="38" t="n">
        <f aca="false">Sens!$H$6123+Sens!$H$6099*(1-tax)</f>
        <v>116.831055438434</v>
      </c>
      <c r="I6125" s="38" t="n">
        <f aca="false">Sens!$I$6123+Sens!$I$6099*(1-tax)</f>
        <v>136.514727845811</v>
      </c>
      <c r="J6125" s="38" t="n">
        <f aca="false">Sens!$J$6123+Sens!$J$6099*(1-tax)</f>
        <v>159.679161110652</v>
      </c>
      <c r="K6125" s="38" t="n">
        <f aca="false">Sens!$K$6123+Sens!$K$6099*(1-tax)</f>
        <v>177.846843178436</v>
      </c>
      <c r="L6125" s="38" t="n">
        <f aca="false">Sens!$L$6123+Sens!$L$6099*(1-tax)</f>
        <v>196.264974744802</v>
      </c>
      <c r="M6125" s="38" t="n">
        <f aca="false">Sens!$M$6123+Sens!$M$6099*(1-tax)</f>
        <v>215.050677672466</v>
      </c>
      <c r="N6125" s="38" t="n">
        <f aca="false">Sens!$N$6123+Sens!$N$6099*(1-tax)</f>
        <v>35.291</v>
      </c>
      <c r="O6125" s="38" t="n">
        <f aca="false">Sens!$O$6123+Sens!$O$6099*(1-tax)</f>
        <v>42.379</v>
      </c>
    </row>
    <row r="6126" customFormat="false" ht="17.15" hidden="false" customHeight="false" outlineLevel="0" collapsed="false">
      <c r="A6126" s="43" t="s">
        <v>768</v>
      </c>
      <c r="B6126" s="14" t="s">
        <v>27</v>
      </c>
      <c r="C6126" s="44" t="n">
        <f aca="false">Sens!$C$6125/Sens!$C$6124</f>
        <v>5.52635015390355</v>
      </c>
      <c r="D6126" s="44" t="n">
        <f aca="false">Sens!$D$6125/Sens!$D$6124</f>
        <v>7.1737323358271</v>
      </c>
      <c r="E6126" s="44" t="n">
        <f aca="false">Sens!$E$6125/Sens!$E$6124</f>
        <v>8.53212104513937</v>
      </c>
      <c r="F6126" s="14"/>
      <c r="G6126" s="44" t="n">
        <f aca="false">Sens!$G$6125/Sens!$G$6124</f>
        <v>13.0029950804781</v>
      </c>
      <c r="H6126" s="44" t="n">
        <f aca="false">Sens!$H$6125/Sens!$H$6124</f>
        <v>10.6092341447268</v>
      </c>
      <c r="I6126" s="44" t="n">
        <f aca="false">Sens!$I$6125/Sens!$I$6124</f>
        <v>12.298289435537</v>
      </c>
      <c r="J6126" s="44" t="n">
        <f aca="false">Sens!$J$6125/Sens!$J$6124</f>
        <v>14.2709509154236</v>
      </c>
      <c r="K6126" s="44" t="n">
        <f aca="false">Sens!$K$6125/Sens!$K$6124</f>
        <v>15.7684969598848</v>
      </c>
      <c r="L6126" s="44" t="n">
        <f aca="false">Sens!$L$6125/Sens!$L$6124</f>
        <v>17.2634029872795</v>
      </c>
      <c r="M6126" s="44" t="n">
        <f aca="false">Sens!$M$6125/Sens!$M$6124</f>
        <v>18.7656619768486</v>
      </c>
      <c r="N6126" s="14"/>
      <c r="O6126" s="14"/>
    </row>
    <row r="6127" customFormat="false" ht="17.15" hidden="false" customHeight="false" outlineLevel="0" collapsed="false">
      <c r="A6127" s="0" t="s">
        <v>769</v>
      </c>
      <c r="B6127" s="0" t="s">
        <v>27</v>
      </c>
      <c r="C6127" s="30" t="n">
        <f aca="false">Sens!$C$6123/Sens!$C$6124</f>
        <v>5.52635015390355</v>
      </c>
      <c r="D6127" s="30" t="n">
        <f aca="false">Sens!$D$6123/Sens!$D$6124</f>
        <v>7.1737323358271</v>
      </c>
      <c r="E6127" s="30" t="n">
        <f aca="false">Sens!$E$6123/Sens!$E$6124</f>
        <v>8.53212104513937</v>
      </c>
      <c r="G6127" s="30" t="n">
        <f aca="false">Sens!$G$6123/Sens!$G$6124</f>
        <v>12.7177181648378</v>
      </c>
      <c r="H6127" s="30" t="n">
        <f aca="false">Sens!$H$6123/Sens!$H$6124</f>
        <v>9.47127888658407</v>
      </c>
      <c r="I6127" s="30" t="n">
        <f aca="false">Sens!$I$6123/Sens!$I$6124</f>
        <v>10.3937227925981</v>
      </c>
      <c r="J6127" s="30" t="n">
        <f aca="false">Sens!$J$6123/Sens!$J$6124</f>
        <v>11.6085897815536</v>
      </c>
      <c r="K6127" s="30" t="n">
        <f aca="false">Sens!$K$6123/Sens!$K$6124</f>
        <v>12.4678379375248</v>
      </c>
      <c r="L6127" s="30" t="n">
        <f aca="false">Sens!$L$6123/Sens!$L$6124</f>
        <v>13.5468507091448</v>
      </c>
      <c r="M6127" s="30" t="n">
        <f aca="false">Sens!$M$6123/Sens!$M$6124</f>
        <v>14.8509712373498</v>
      </c>
    </row>
    <row r="6128" customFormat="false" ht="17.15" hidden="false" customHeight="false" outlineLevel="0" collapsed="false">
      <c r="A6128" s="0" t="s">
        <v>770</v>
      </c>
      <c r="B6128" s="0" t="s">
        <v>27</v>
      </c>
      <c r="C6128" s="30" t="n">
        <f aca="false">(Sens!$C$6123-Sens!$C$6120*(1-tax))/Sens!$C$6124</f>
        <v>5.33926775917445</v>
      </c>
      <c r="D6128" s="30" t="n">
        <f aca="false">(Sens!$D$6123-Sens!$D$6120*(1-tax))/Sens!$D$6124</f>
        <v>5.67691812755503</v>
      </c>
      <c r="E6128" s="30" t="n">
        <f aca="false">(Sens!$E$6123-Sens!$E$6120*(1-tax))/Sens!$E$6124</f>
        <v>3.10602057006846</v>
      </c>
      <c r="G6128" s="30" t="n">
        <f aca="false">(Sens!$G$6123-Sens!$G$6120*(1-tax))/Sens!$G$6124</f>
        <v>7.30965004694081</v>
      </c>
      <c r="H6128" s="30" t="n">
        <f aca="false">(Sens!$H$6123-Sens!$H$6120*(1-tax))/Sens!$H$6124</f>
        <v>9.47127888658407</v>
      </c>
      <c r="I6128" s="30" t="n">
        <f aca="false">(Sens!$I$6123-Sens!$I$6120*(1-tax))/Sens!$I$6124</f>
        <v>10.3937227925981</v>
      </c>
      <c r="J6128" s="30" t="n">
        <f aca="false">(Sens!$J$6123-Sens!$J$6120*(1-tax))/Sens!$J$6124</f>
        <v>11.6085897815536</v>
      </c>
      <c r="K6128" s="30" t="n">
        <f aca="false">(Sens!$K$6123-Sens!$K$6120*(1-tax))/Sens!$K$6124</f>
        <v>12.4678379375248</v>
      </c>
      <c r="L6128" s="30" t="n">
        <f aca="false">(Sens!$L$6123-Sens!$L$6120*(1-tax))/Sens!$L$6124</f>
        <v>13.5468507091448</v>
      </c>
      <c r="M6128" s="30" t="n">
        <f aca="false">(Sens!$M$6123-Sens!$M$6120*(1-tax))/Sens!$M$6124</f>
        <v>14.8509712373498</v>
      </c>
      <c r="P6128" s="5" t="s">
        <v>771</v>
      </c>
    </row>
    <row r="6129" customFormat="false" ht="17.15" hidden="false" customHeight="false" outlineLevel="0" collapsed="false">
      <c r="A6129" s="0" t="s">
        <v>772</v>
      </c>
      <c r="B6129" s="0" t="s">
        <v>52</v>
      </c>
      <c r="H6129" s="13" t="n">
        <f aca="false">Sens!$H$6126/Sens!$G$6126-1</f>
        <v>-0.184093043251635</v>
      </c>
      <c r="I6129" s="13" t="n">
        <f aca="false">Sens!$I$6126/Sens!$H$6126-1</f>
        <v>0.159206147000695</v>
      </c>
      <c r="J6129" s="13" t="n">
        <f aca="false">Sens!$J$6126/Sens!$I$6126-1</f>
        <v>0.160401289157047</v>
      </c>
      <c r="K6129" s="13" t="n">
        <f aca="false">Sens!$K$6126/Sens!$J$6126-1</f>
        <v>0.104936668434801</v>
      </c>
      <c r="L6129" s="13" t="n">
        <f aca="false">Sens!$L$6126/Sens!$K$6126-1</f>
        <v>0.0948033304123883</v>
      </c>
      <c r="M6129" s="13" t="n">
        <f aca="false">Sens!$M$6126/Sens!$L$6126-1</f>
        <v>0.0870198645467559</v>
      </c>
    </row>
    <row r="6132" customFormat="false" ht="19.4" hidden="false" customHeight="false" outlineLevel="0" collapsed="false">
      <c r="A6132" s="31" t="s">
        <v>1275</v>
      </c>
    </row>
    <row r="6133" customFormat="false" ht="17.15" hidden="false" customHeight="false" outlineLevel="0" collapsed="false">
      <c r="A6133" s="6" t="s">
        <v>16</v>
      </c>
      <c r="B6133" s="6" t="s">
        <v>17</v>
      </c>
      <c r="C6133" s="20" t="s">
        <v>504</v>
      </c>
      <c r="D6133" s="20" t="s">
        <v>505</v>
      </c>
      <c r="E6133" s="20" t="s">
        <v>587</v>
      </c>
      <c r="F6133" s="20" t="s">
        <v>588</v>
      </c>
      <c r="G6133" s="20" t="s">
        <v>589</v>
      </c>
      <c r="H6133" s="20" t="s">
        <v>590</v>
      </c>
      <c r="I6133" s="20" t="s">
        <v>591</v>
      </c>
      <c r="J6133" s="20" t="s">
        <v>592</v>
      </c>
      <c r="K6133" s="20" t="s">
        <v>593</v>
      </c>
      <c r="L6133" s="20" t="s">
        <v>594</v>
      </c>
      <c r="M6133" s="20" t="s">
        <v>595</v>
      </c>
      <c r="N6133" s="20" t="s">
        <v>596</v>
      </c>
      <c r="O6133" s="20" t="s">
        <v>597</v>
      </c>
      <c r="P6133" s="6" t="s">
        <v>23</v>
      </c>
      <c r="R6133" s="20" t="n">
        <v>2023</v>
      </c>
      <c r="S6133" s="20" t="n">
        <v>2024</v>
      </c>
      <c r="T6133" s="20" t="n">
        <v>2025</v>
      </c>
      <c r="U6133" s="20" t="n">
        <v>2026</v>
      </c>
      <c r="V6133" s="20" t="n">
        <v>2027</v>
      </c>
      <c r="W6133" s="20" t="n">
        <v>2028</v>
      </c>
      <c r="X6133" s="20" t="n">
        <v>2029</v>
      </c>
      <c r="Y6133" s="20" t="n">
        <v>2030</v>
      </c>
      <c r="Z6133" s="20" t="n">
        <v>2031</v>
      </c>
      <c r="AA6133" s="20" t="n">
        <v>2032</v>
      </c>
    </row>
    <row r="6134" customFormat="false" ht="15" hidden="false" customHeight="false" outlineLevel="0" collapsed="false">
      <c r="A6134" s="5" t="s">
        <v>556</v>
      </c>
      <c r="B6134" s="0" t="s">
        <v>86</v>
      </c>
      <c r="C6134" s="38" t="n">
        <f aca="false">Sens!$C$6123</f>
        <v>59.248</v>
      </c>
      <c r="D6134" s="38" t="n">
        <f aca="false">Sens!$D$6123</f>
        <v>77.67</v>
      </c>
      <c r="E6134" s="38" t="n">
        <f aca="false">Sens!$E$6123</f>
        <v>92.902</v>
      </c>
      <c r="F6134" s="38" t="n">
        <f aca="false">Sens!$F$6123</f>
        <v>46.0366037135288</v>
      </c>
      <c r="G6134" s="38" t="n">
        <f aca="false">Sens!$G$6123</f>
        <v>138.938603713529</v>
      </c>
      <c r="H6134" s="38" t="n">
        <f aca="false">Sens!$H$6123</f>
        <v>104.29965948309</v>
      </c>
      <c r="I6134" s="38" t="n">
        <f aca="false">Sens!$I$6123</f>
        <v>115.373462770871</v>
      </c>
      <c r="J6134" s="38" t="n">
        <f aca="false">Sens!$J$6123</f>
        <v>129.889724166368</v>
      </c>
      <c r="K6134" s="38" t="n">
        <f aca="false">Sens!$K$6123</f>
        <v>140.619973107781</v>
      </c>
      <c r="L6134" s="38" t="n">
        <f aca="false">Sens!$L$6123</f>
        <v>154.012063221893</v>
      </c>
      <c r="M6134" s="38" t="n">
        <f aca="false">Sens!$M$6123</f>
        <v>170.189116303305</v>
      </c>
    </row>
    <row r="6135" customFormat="false" ht="17.15" hidden="false" customHeight="false" outlineLevel="0" collapsed="false">
      <c r="A6135" s="5" t="s">
        <v>795</v>
      </c>
      <c r="B6135" s="0" t="s">
        <v>86</v>
      </c>
      <c r="C6135" s="38" t="n">
        <f aca="false">Sens!$C$6111</f>
        <v>32.067</v>
      </c>
      <c r="D6135" s="38" t="n">
        <f aca="false">Sens!$D$6111</f>
        <v>41.86</v>
      </c>
      <c r="E6135" s="38" t="n">
        <f aca="false">Sens!$E$6111</f>
        <v>26.703</v>
      </c>
      <c r="F6135" s="38" t="n">
        <f aca="false">Sens!$F$6111</f>
        <v>29.152860869477</v>
      </c>
      <c r="G6135" s="38" t="n">
        <f aca="false">Sens!$G$6111</f>
        <v>55.855860869477</v>
      </c>
      <c r="H6135" s="38" t="n">
        <f aca="false">Sens!$H$6111</f>
        <v>81.5618233196153</v>
      </c>
      <c r="I6135" s="38" t="n">
        <f aca="false">Sens!$I$6111</f>
        <v>118.756208740204</v>
      </c>
      <c r="J6135" s="38" t="n">
        <f aca="false">Sens!$J$6111</f>
        <v>152.469489406791</v>
      </c>
      <c r="K6135" s="38" t="n">
        <f aca="false">Sens!$K$6111</f>
        <v>186.391502623819</v>
      </c>
      <c r="L6135" s="38" t="n">
        <f aca="false">Sens!$L$6111</f>
        <v>212.316491798836</v>
      </c>
      <c r="M6135" s="38" t="n">
        <f aca="false">Sens!$M$6111</f>
        <v>230.182690847967</v>
      </c>
    </row>
    <row r="6136" customFormat="false" ht="15" hidden="false" customHeight="false" outlineLevel="0" collapsed="false">
      <c r="A6136" s="5" t="s">
        <v>796</v>
      </c>
      <c r="B6136" s="0" t="s">
        <v>86</v>
      </c>
      <c r="C6136" s="38" t="n">
        <f aca="false">Q!$D$48</f>
        <v>22.011</v>
      </c>
      <c r="D6136" s="38" t="n">
        <f aca="false">Q!$E$48</f>
        <v>19.467</v>
      </c>
      <c r="E6136" s="38" t="n">
        <f aca="false">Q!$P$48</f>
        <v>10.07</v>
      </c>
      <c r="F6136" s="38" t="n">
        <f aca="false">sbc_r*Sens!$F$6053</f>
        <v>10.8507035798037</v>
      </c>
      <c r="G6136" s="38" t="n">
        <f aca="false">Sens!$E$6136+Sens!$F$6136</f>
        <v>20.9207035798037</v>
      </c>
      <c r="H6136" s="38" t="n">
        <f aca="false">sbc_r*Sens!$H$6053</f>
        <v>23.46224366345</v>
      </c>
      <c r="I6136" s="38" t="n">
        <f aca="false">sbc_r*Sens!$I$6053</f>
        <v>26.6125957111676</v>
      </c>
      <c r="J6136" s="38" t="n">
        <f aca="false">sbc_r*Sens!$J$6053</f>
        <v>29.6280801413323</v>
      </c>
      <c r="K6136" s="38" t="n">
        <f aca="false">sbc_r*Sens!$K$6053</f>
        <v>32.2783466626501</v>
      </c>
      <c r="L6136" s="38" t="n">
        <f aca="false">sbc_r*Sens!$L$6053</f>
        <v>34.7673634382331</v>
      </c>
      <c r="M6136" s="38" t="n">
        <f aca="false">sbc_r*Sens!$M$6053</f>
        <v>37.1041186491569</v>
      </c>
    </row>
    <row r="6137" customFormat="false" ht="17.15" hidden="false" customHeight="false" outlineLevel="0" collapsed="false">
      <c r="A6137" s="5" t="s">
        <v>797</v>
      </c>
      <c r="B6137" s="0" t="s">
        <v>86</v>
      </c>
      <c r="C6137" s="38" t="n">
        <f aca="false">Q!$D$44-Sens!$C$6134-Sens!$C$6135-Sens!$C$6136</f>
        <v>2.551</v>
      </c>
      <c r="D6137" s="38" t="n">
        <f aca="false">Q!$E$44-Sens!$D$6134-Sens!$D$6135-Sens!$D$6136</f>
        <v>0.51700000000001</v>
      </c>
      <c r="E6137" s="38" t="n">
        <f aca="false">Q!$P$44-Sens!$E$6134-Sens!$E$6135-Sens!$E$6136</f>
        <v>-58.256</v>
      </c>
      <c r="F6137" s="38" t="n">
        <f aca="false">oth_r*Sens!$F$6053</f>
        <v>5.22265251035878</v>
      </c>
      <c r="G6137" s="38" t="n">
        <f aca="false">Sens!$E$6137+Sens!$F$6137</f>
        <v>-53.0333474896412</v>
      </c>
      <c r="H6137" s="38" t="n">
        <f aca="false">oth_r*Sens!$H$6053</f>
        <v>11.2928295263397</v>
      </c>
      <c r="I6137" s="38" t="n">
        <f aca="false">oth_r*Sens!$I$6053</f>
        <v>12.8091546115766</v>
      </c>
      <c r="J6137" s="38" t="n">
        <f aca="false">oth_r*Sens!$J$6053</f>
        <v>14.2605653162668</v>
      </c>
      <c r="K6137" s="38" t="n">
        <f aca="false">oth_r*Sens!$K$6053</f>
        <v>15.5361896109386</v>
      </c>
      <c r="L6137" s="38" t="n">
        <f aca="false">oth_r*Sens!$L$6053</f>
        <v>16.7342012989106</v>
      </c>
      <c r="M6137" s="38" t="n">
        <f aca="false">oth_r*Sens!$M$6053</f>
        <v>17.8589265647579</v>
      </c>
      <c r="P6137" s="8" t="s">
        <v>798</v>
      </c>
    </row>
    <row r="6138" customFormat="false" ht="15" hidden="false" customHeight="false" outlineLevel="0" collapsed="false">
      <c r="A6138" s="3" t="s">
        <v>562</v>
      </c>
      <c r="B6138" s="8" t="s">
        <v>86</v>
      </c>
      <c r="C6138" s="38" t="n">
        <f aca="false">Q!$D$44</f>
        <v>115.877</v>
      </c>
      <c r="D6138" s="38" t="n">
        <f aca="false">Q!$E$44</f>
        <v>139.514</v>
      </c>
      <c r="E6138" s="38" t="n">
        <f aca="false">Q!$P$44</f>
        <v>71.419</v>
      </c>
      <c r="F6138" s="38" t="n">
        <f aca="false">Sens!$F$6134+Sens!$F$6135+Sens!$F$6136+Sens!$F$6137</f>
        <v>91.2628206731683</v>
      </c>
      <c r="G6138" s="38" t="n">
        <f aca="false">Sens!$E$6138+Sens!$F$6138</f>
        <v>162.681820673168</v>
      </c>
      <c r="H6138" s="38" t="n">
        <f aca="false">Sens!$H$6134+Sens!$H$6135+Sens!$H$6136+Sens!$H$6137</f>
        <v>220.616555992495</v>
      </c>
      <c r="I6138" s="38" t="n">
        <f aca="false">Sens!$I$6134+Sens!$I$6135+Sens!$I$6136+Sens!$I$6137</f>
        <v>273.55142183382</v>
      </c>
      <c r="J6138" s="38" t="n">
        <f aca="false">Sens!$J$6134+Sens!$J$6135+Sens!$J$6136+Sens!$J$6137</f>
        <v>326.247859030758</v>
      </c>
      <c r="K6138" s="38" t="n">
        <f aca="false">Sens!$K$6134+Sens!$K$6135+Sens!$K$6136+Sens!$K$6137</f>
        <v>374.826012005189</v>
      </c>
      <c r="L6138" s="38" t="n">
        <f aca="false">Sens!$L$6134+Sens!$L$6135+Sens!$L$6136+Sens!$L$6137</f>
        <v>417.830119757873</v>
      </c>
      <c r="M6138" s="38" t="n">
        <f aca="false">Sens!$M$6134+Sens!$M$6135+Sens!$M$6136+Sens!$M$6137</f>
        <v>455.334852365187</v>
      </c>
    </row>
    <row r="6139" customFormat="false" ht="17.15" hidden="false" customHeight="false" outlineLevel="0" collapsed="false">
      <c r="A6139" s="5" t="s">
        <v>799</v>
      </c>
      <c r="B6139" s="0" t="s">
        <v>86</v>
      </c>
      <c r="C6139" s="38" t="n">
        <f aca="false">Sens!$C$6017</f>
        <v>25.2781053077374</v>
      </c>
      <c r="D6139" s="38" t="n">
        <f aca="false">Sens!$D$6017</f>
        <v>69.5686316310026</v>
      </c>
      <c r="E6139" s="38" t="n">
        <f aca="false">Sens!$E$6017</f>
        <v>64.1899206485108</v>
      </c>
      <c r="F6139" s="38" t="n">
        <f aca="false">Sens!$F$6017</f>
        <v>88.7165504612134</v>
      </c>
      <c r="G6139" s="38" t="n">
        <f aca="false">Sens!$G$6017</f>
        <v>152.906471109724</v>
      </c>
      <c r="H6139" s="38" t="n">
        <f aca="false">Sens!$H$6017</f>
        <v>198.57136494475</v>
      </c>
      <c r="I6139" s="38" t="n">
        <f aca="false">Sens!$I$6017</f>
        <v>204.6464699105</v>
      </c>
      <c r="J6139" s="38" t="n">
        <f aca="false">Sens!$J$6017</f>
        <v>209.8832381105</v>
      </c>
      <c r="K6139" s="38" t="n">
        <f aca="false">Sens!$K$6017</f>
        <v>158.016341586823</v>
      </c>
      <c r="L6139" s="38" t="n">
        <f aca="false">Sens!$L$6017</f>
        <v>137.570054263147</v>
      </c>
      <c r="M6139" s="38" t="n">
        <f aca="false">Sens!$M$6017</f>
        <v>140.56485059472</v>
      </c>
    </row>
    <row r="6140" customFormat="false" ht="17.15" hidden="false" customHeight="false" outlineLevel="0" collapsed="false">
      <c r="A6140" s="5" t="s">
        <v>800</v>
      </c>
      <c r="B6140" s="0" t="s">
        <v>86</v>
      </c>
      <c r="C6140" s="38" t="n">
        <f aca="false">cx_awso*Sens!$C$6051</f>
        <v>21.0469989286053</v>
      </c>
      <c r="D6140" s="38" t="n">
        <f aca="false">cx_awso*Sens!$D$6051</f>
        <v>24.0042459822698</v>
      </c>
      <c r="E6140" s="38" t="n">
        <f aca="false">cx_awso*Sens!$E$6051</f>
        <v>14.261729404886</v>
      </c>
      <c r="F6140" s="38" t="n">
        <f aca="false">cx_awso*Sens!$F$6051</f>
        <v>14.3538599588493</v>
      </c>
      <c r="G6140" s="38" t="n">
        <f aca="false">Sens!$E$6140+Sens!$F$6140</f>
        <v>28.6155893637353</v>
      </c>
      <c r="H6140" s="38" t="n">
        <f aca="false">cx_awso*Sens!$H$6051</f>
        <v>32.2034154158406</v>
      </c>
      <c r="I6140" s="38" t="n">
        <f aca="false">cx_awso*Sens!$I$6051</f>
        <v>35.7539519042915</v>
      </c>
      <c r="J6140" s="38" t="n">
        <f aca="false">cx_awso*Sens!$J$6051</f>
        <v>39.1551076091815</v>
      </c>
      <c r="K6140" s="38" t="n">
        <f aca="false">cx_awso*Sens!$K$6051</f>
        <v>42.287516217916</v>
      </c>
      <c r="L6140" s="38" t="n">
        <f aca="false">cx_awso*Sens!$L$6051</f>
        <v>45.6705175153492</v>
      </c>
      <c r="M6140" s="38" t="n">
        <f aca="false">cx_awso*Sens!$M$6051</f>
        <v>49.3241589165772</v>
      </c>
    </row>
    <row r="6141" customFormat="false" ht="17.15" hidden="false" customHeight="false" outlineLevel="0" collapsed="false">
      <c r="A6141" s="5" t="s">
        <v>801</v>
      </c>
      <c r="B6141" s="0" t="s">
        <v>86</v>
      </c>
      <c r="C6141" s="38" t="n">
        <f aca="false">Q!$D$46-Sens!$C$6139-Sens!$C$6140</f>
        <v>31.3328957636573</v>
      </c>
      <c r="D6141" s="38" t="n">
        <f aca="false">Q!$E$46-Sens!$D$6139-Sens!$D$6140</f>
        <v>34.7471223867276</v>
      </c>
      <c r="E6141" s="38" t="n">
        <f aca="false">Q!$P$46-Sens!$E$6139-Sens!$E$6140</f>
        <v>17.8583499466032</v>
      </c>
      <c r="F6141" s="38" t="n">
        <f aca="false">cx_rt*Sens!$F$5980</f>
        <v>20.6195895799373</v>
      </c>
      <c r="G6141" s="38" t="n">
        <f aca="false">Sens!$E$6141+Sens!$F$6141</f>
        <v>38.4779395265405</v>
      </c>
      <c r="H6141" s="38" t="n">
        <f aca="false">cx_rt*Sens!$H$5980</f>
        <v>42.5978994743075</v>
      </c>
      <c r="I6141" s="38" t="n">
        <f aca="false">cx_rt*Sens!$I$5980</f>
        <v>46.5813904136335</v>
      </c>
      <c r="J6141" s="38" t="n">
        <f aca="false">cx_rt*Sens!$J$5980</f>
        <v>50.2781676586844</v>
      </c>
      <c r="K6141" s="38" t="n">
        <f aca="false">cx_rt*Sens!$K$5980</f>
        <v>53.5312440191755</v>
      </c>
      <c r="L6141" s="38" t="n">
        <f aca="false">cx_rt*Sens!$L$5980</f>
        <v>57.0116717051447</v>
      </c>
      <c r="M6141" s="38" t="n">
        <f aca="false">cx_rt*Sens!$M$5980</f>
        <v>60.7365554669226</v>
      </c>
    </row>
    <row r="6142" customFormat="false" ht="15" hidden="false" customHeight="false" outlineLevel="0" collapsed="false">
      <c r="A6142" s="3" t="s">
        <v>802</v>
      </c>
      <c r="B6142" s="8" t="s">
        <v>86</v>
      </c>
      <c r="C6142" s="38" t="n">
        <f aca="false">Q!$D$46</f>
        <v>77.658</v>
      </c>
      <c r="D6142" s="38" t="n">
        <f aca="false">Q!$E$46</f>
        <v>128.32</v>
      </c>
      <c r="E6142" s="38" t="n">
        <f aca="false">Q!$P$46</f>
        <v>96.31</v>
      </c>
      <c r="F6142" s="38" t="n">
        <f aca="false">Sens!$F$6139+Sens!$F$6140+Sens!$F$6141</f>
        <v>123.69</v>
      </c>
      <c r="G6142" s="38" t="n">
        <f aca="false">Sens!$E$6142+Sens!$F$6142</f>
        <v>220</v>
      </c>
      <c r="H6142" s="38" t="n">
        <f aca="false">Sens!$H$6139+Sens!$H$6140+Sens!$H$6141</f>
        <v>273.372679834898</v>
      </c>
      <c r="I6142" s="38" t="n">
        <f aca="false">Sens!$I$6139+Sens!$I$6140+Sens!$I$6141</f>
        <v>286.981812228425</v>
      </c>
      <c r="J6142" s="38" t="n">
        <f aca="false">Sens!$J$6139+Sens!$J$6140+Sens!$J$6141</f>
        <v>299.316513378366</v>
      </c>
      <c r="K6142" s="38" t="n">
        <f aca="false">Sens!$K$6139+Sens!$K$6140+Sens!$K$6141</f>
        <v>253.835101823915</v>
      </c>
      <c r="L6142" s="38" t="n">
        <f aca="false">Sens!$L$6139+Sens!$L$6140+Sens!$L$6141</f>
        <v>240.252243483641</v>
      </c>
      <c r="M6142" s="38" t="n">
        <f aca="false">Sens!$M$6139+Sens!$M$6140+Sens!$M$6141</f>
        <v>250.62556497822</v>
      </c>
    </row>
    <row r="6143" customFormat="false" ht="17.15" hidden="false" customHeight="false" outlineLevel="0" collapsed="false">
      <c r="A6143" s="5" t="s">
        <v>570</v>
      </c>
      <c r="B6143" s="0" t="s">
        <v>86</v>
      </c>
      <c r="C6143" s="38" t="n">
        <f aca="false">Q!$D$50</f>
        <v>2.043</v>
      </c>
      <c r="D6143" s="38" t="n">
        <f aca="false">Q!$E$50</f>
        <v>1.557</v>
      </c>
      <c r="E6143" s="38" t="n">
        <f aca="false">lease_pr/2</f>
        <v>0.8</v>
      </c>
      <c r="F6143" s="38" t="n">
        <f aca="false">lease_pr/2</f>
        <v>0.8</v>
      </c>
      <c r="G6143" s="38" t="n">
        <f aca="false">Sens!$E$6143+Sens!$F$6143</f>
        <v>1.6</v>
      </c>
      <c r="H6143" s="38" t="n">
        <f aca="false">lease_pr</f>
        <v>1.6</v>
      </c>
      <c r="I6143" s="38" t="n">
        <f aca="false">lease_pr</f>
        <v>1.6</v>
      </c>
      <c r="J6143" s="38" t="n">
        <f aca="false">lease_pr</f>
        <v>1.6</v>
      </c>
      <c r="K6143" s="38" t="n">
        <f aca="false">lease_pr</f>
        <v>1.6</v>
      </c>
      <c r="L6143" s="38" t="n">
        <f aca="false">lease_pr</f>
        <v>1.6</v>
      </c>
      <c r="M6143" s="38" t="n">
        <f aca="false">lease_pr</f>
        <v>1.6</v>
      </c>
      <c r="P6143" s="8" t="s">
        <v>803</v>
      </c>
    </row>
    <row r="6144" customFormat="false" ht="15" hidden="false" customHeight="false" outlineLevel="0" collapsed="false">
      <c r="A6144" s="47" t="s">
        <v>804</v>
      </c>
      <c r="B6144" s="14" t="s">
        <v>86</v>
      </c>
      <c r="C6144" s="48" t="n">
        <f aca="false">Sens!$C$6138-Sens!$C$6142-Sens!$C$6143</f>
        <v>36.176</v>
      </c>
      <c r="D6144" s="48" t="n">
        <f aca="false">Sens!$D$6138-Sens!$D$6142-Sens!$D$6143</f>
        <v>9.63700000000002</v>
      </c>
      <c r="E6144" s="48" t="n">
        <f aca="false">Sens!$E$6138-Sens!$E$6142-Sens!$E$6143</f>
        <v>-25.691</v>
      </c>
      <c r="F6144" s="48" t="n">
        <f aca="false">Sens!$F$6138-Sens!$F$6142-Sens!$F$6143</f>
        <v>-33.2271793268317</v>
      </c>
      <c r="G6144" s="48" t="n">
        <f aca="false">Sens!$G$6138-Sens!$G$6142-Sens!$G$6143</f>
        <v>-58.9181793268317</v>
      </c>
      <c r="H6144" s="48" t="n">
        <f aca="false">Sens!$H$6138-Sens!$H$6142-Sens!$H$6143</f>
        <v>-54.3561238424036</v>
      </c>
      <c r="I6144" s="48" t="n">
        <f aca="false">Sens!$I$6138-Sens!$I$6142-Sens!$I$6143</f>
        <v>-15.0303903946055</v>
      </c>
      <c r="J6144" s="48" t="n">
        <f aca="false">Sens!$J$6138-Sens!$J$6142-Sens!$J$6143</f>
        <v>25.3313456523922</v>
      </c>
      <c r="K6144" s="48" t="n">
        <f aca="false">Sens!$K$6138-Sens!$K$6142-Sens!$K$6143</f>
        <v>119.390910181274</v>
      </c>
      <c r="L6144" s="48" t="n">
        <f aca="false">Sens!$L$6138-Sens!$L$6142-Sens!$L$6143</f>
        <v>175.977876274232</v>
      </c>
      <c r="M6144" s="48" t="n">
        <f aca="false">Sens!$M$6138-Sens!$M$6142-Sens!$M$6143</f>
        <v>203.109287386967</v>
      </c>
      <c r="N6144" s="14"/>
      <c r="O6144" s="14"/>
    </row>
    <row r="6145" customFormat="false" ht="17.15" hidden="false" customHeight="false" outlineLevel="0" collapsed="false">
      <c r="A6145" s="5" t="s">
        <v>805</v>
      </c>
      <c r="B6145" s="0" t="s">
        <v>86</v>
      </c>
      <c r="C6145" s="38" t="n">
        <f aca="false">dps*Sens!$C$6124</f>
        <v>0</v>
      </c>
      <c r="D6145" s="38" t="n">
        <f aca="false">dps*Sens!$D$6124</f>
        <v>0</v>
      </c>
      <c r="E6145" s="38" t="n">
        <f aca="false">dps*Sens!$E$6124</f>
        <v>0</v>
      </c>
      <c r="F6145" s="38" t="n">
        <f aca="false">0</f>
        <v>0</v>
      </c>
      <c r="G6145" s="38" t="n">
        <f aca="false">dps*Sens!$G$6124</f>
        <v>0</v>
      </c>
      <c r="H6145" s="38" t="n">
        <f aca="false">dps*Sens!$H$6124</f>
        <v>0</v>
      </c>
      <c r="I6145" s="38" t="n">
        <f aca="false">dps*Sens!$I$6124</f>
        <v>0</v>
      </c>
      <c r="J6145" s="38" t="n">
        <f aca="false">dps*Sens!$J$6124</f>
        <v>0</v>
      </c>
      <c r="K6145" s="38" t="n">
        <f aca="false">dps*Sens!$K$6124</f>
        <v>0</v>
      </c>
      <c r="L6145" s="38" t="n">
        <f aca="false">dps*Sens!$L$6124</f>
        <v>0</v>
      </c>
      <c r="M6145" s="38" t="n">
        <f aca="false">dps*Sens!$M$6124</f>
        <v>0</v>
      </c>
      <c r="P6145" s="8" t="s">
        <v>806</v>
      </c>
    </row>
    <row r="6146" customFormat="false" ht="17.15" hidden="false" customHeight="false" outlineLevel="0" collapsed="false">
      <c r="A6146" s="5" t="s">
        <v>807</v>
      </c>
      <c r="B6146" s="0" t="s">
        <v>86</v>
      </c>
      <c r="C6146" s="38" t="n">
        <f aca="false">0</f>
        <v>0</v>
      </c>
      <c r="D6146" s="38" t="n">
        <f aca="false">0</f>
        <v>0</v>
      </c>
      <c r="E6146" s="38" t="n">
        <f aca="false">0</f>
        <v>0</v>
      </c>
      <c r="F6146" s="38" t="n">
        <f aca="false">0</f>
        <v>0</v>
      </c>
      <c r="G6146" s="38" t="n">
        <f aca="false">0</f>
        <v>0</v>
      </c>
      <c r="H6146" s="38" t="n">
        <f aca="false">0</f>
        <v>0</v>
      </c>
      <c r="I6146" s="38" t="n">
        <f aca="false">0</f>
        <v>0</v>
      </c>
      <c r="J6146" s="38" t="n">
        <f aca="false">0</f>
        <v>0</v>
      </c>
      <c r="K6146" s="38" t="n">
        <f aca="false">0</f>
        <v>0</v>
      </c>
      <c r="L6146" s="38" t="n">
        <f aca="false">0</f>
        <v>0</v>
      </c>
      <c r="M6146" s="38" t="n">
        <f aca="false">0</f>
        <v>0</v>
      </c>
      <c r="P6146" s="8" t="s">
        <v>808</v>
      </c>
    </row>
    <row r="6147" customFormat="false" ht="15" hidden="false" customHeight="false" outlineLevel="0" collapsed="false">
      <c r="A6147" s="3" t="s">
        <v>809</v>
      </c>
      <c r="B6147" s="8" t="s">
        <v>86</v>
      </c>
      <c r="C6147" s="38" t="n">
        <f aca="false">Sens!$C$6144-Sens!$C$6145</f>
        <v>36.176</v>
      </c>
      <c r="D6147" s="38" t="n">
        <f aca="false">Sens!$D$6144-Sens!$D$6145</f>
        <v>9.63700000000002</v>
      </c>
      <c r="E6147" s="38" t="n">
        <f aca="false">Sens!$E$6144-Sens!$E$6145</f>
        <v>-25.691</v>
      </c>
      <c r="F6147" s="38" t="n">
        <f aca="false">Sens!$F$6144-Sens!$F$6145</f>
        <v>-33.2271793268317</v>
      </c>
      <c r="G6147" s="38" t="n">
        <f aca="false">Sens!$G$6144-Sens!$G$6145</f>
        <v>-58.9181793268317</v>
      </c>
      <c r="H6147" s="38" t="n">
        <f aca="false">Sens!$H$6144-Sens!$H$6145</f>
        <v>-54.3561238424036</v>
      </c>
      <c r="I6147" s="38" t="n">
        <f aca="false">Sens!$I$6144-Sens!$I$6145</f>
        <v>-15.0303903946055</v>
      </c>
      <c r="J6147" s="38" t="n">
        <f aca="false">Sens!$J$6144-Sens!$J$6145</f>
        <v>25.3313456523922</v>
      </c>
      <c r="K6147" s="38" t="n">
        <f aca="false">Sens!$K$6144-Sens!$K$6145</f>
        <v>119.390910181274</v>
      </c>
      <c r="L6147" s="38" t="n">
        <f aca="false">Sens!$L$6144-Sens!$L$6145</f>
        <v>175.977876274232</v>
      </c>
      <c r="M6147" s="38" t="n">
        <f aca="false">Sens!$M$6144-Sens!$M$6145</f>
        <v>203.109287386967</v>
      </c>
    </row>
    <row r="6148" customFormat="false" ht="17.15" hidden="false" customHeight="false" outlineLevel="0" collapsed="false">
      <c r="A6148" s="5" t="s">
        <v>810</v>
      </c>
      <c r="B6148" s="0" t="s">
        <v>86</v>
      </c>
      <c r="E6148" s="38" t="n">
        <f aca="false">Q!$P$53</f>
        <v>39.767</v>
      </c>
      <c r="F6148" s="38" t="n">
        <f aca="false">inv_2h26</f>
        <v>21.3</v>
      </c>
      <c r="G6148" s="38" t="n">
        <f aca="false">Sens!$E$6148+Sens!$F$6148</f>
        <v>61.067</v>
      </c>
      <c r="H6148" s="39" t="n">
        <v>0</v>
      </c>
      <c r="I6148" s="39" t="n">
        <v>0</v>
      </c>
      <c r="J6148" s="39" t="n">
        <v>0</v>
      </c>
      <c r="K6148" s="39" t="n">
        <v>0</v>
      </c>
      <c r="L6148" s="39" t="n">
        <v>0</v>
      </c>
      <c r="M6148" s="39" t="n">
        <v>0</v>
      </c>
    </row>
    <row r="6149" customFormat="false" ht="17.15" hidden="false" customHeight="false" outlineLevel="0" collapsed="false">
      <c r="A6149" s="5" t="s">
        <v>811</v>
      </c>
      <c r="B6149" s="0" t="s">
        <v>86</v>
      </c>
      <c r="F6149" s="38" t="n">
        <f aca="false">iss_2h26</f>
        <v>29.249999</v>
      </c>
      <c r="G6149" s="38" t="n">
        <f aca="false">Sens!$F$6149</f>
        <v>29.249999</v>
      </c>
      <c r="H6149" s="39" t="n">
        <v>0</v>
      </c>
      <c r="I6149" s="39" t="n">
        <v>0</v>
      </c>
      <c r="J6149" s="39" t="n">
        <v>0</v>
      </c>
      <c r="K6149" s="39" t="n">
        <v>0</v>
      </c>
      <c r="L6149" s="39" t="n">
        <v>0</v>
      </c>
      <c r="M6149" s="39" t="n">
        <v>0</v>
      </c>
    </row>
    <row r="6150" customFormat="false" ht="17.15" hidden="false" customHeight="false" outlineLevel="0" collapsed="false">
      <c r="A6150" s="5" t="s">
        <v>812</v>
      </c>
      <c r="B6150" s="0" t="s">
        <v>86</v>
      </c>
      <c r="F6150" s="38" t="n">
        <f aca="false">cash_q2</f>
        <v>122.988</v>
      </c>
      <c r="G6150" s="38" t="n">
        <f aca="false">cash_q2</f>
        <v>122.988</v>
      </c>
      <c r="H6150" s="38" t="n">
        <f aca="false">Sens!$G$6153</f>
        <v>97.7108196731683</v>
      </c>
      <c r="I6150" s="38" t="n">
        <f aca="false">Sens!$H$6153</f>
        <v>50</v>
      </c>
      <c r="J6150" s="38" t="n">
        <f aca="false">Sens!$I$6153</f>
        <v>50</v>
      </c>
      <c r="K6150" s="38" t="n">
        <f aca="false">Sens!$J$6153</f>
        <v>75.3313456523922</v>
      </c>
      <c r="L6150" s="38" t="n">
        <f aca="false">Sens!$K$6153</f>
        <v>194.722255833666</v>
      </c>
      <c r="M6150" s="38" t="n">
        <f aca="false">Sens!$L$6153</f>
        <v>370.700132107898</v>
      </c>
    </row>
    <row r="6151" customFormat="false" ht="15" hidden="false" customHeight="false" outlineLevel="0" collapsed="false">
      <c r="A6151" s="5" t="s">
        <v>813</v>
      </c>
      <c r="B6151" s="0" t="s">
        <v>86</v>
      </c>
      <c r="F6151" s="38" t="n">
        <f aca="false">Sens!$F$6150+Sens!$F$6147-Sens!$F$6146-Sens!$F$6148+Sens!$F$6149</f>
        <v>97.7108196731683</v>
      </c>
      <c r="H6151" s="38" t="n">
        <f aca="false">Sens!$H$6150+Sens!$H$6147-Sens!$H$6146-Sens!$H$6148+Sens!$H$6149</f>
        <v>43.3546958307647</v>
      </c>
      <c r="I6151" s="38" t="n">
        <f aca="false">Sens!$I$6150+Sens!$I$6147-Sens!$I$6146-Sens!$I$6148+Sens!$I$6149</f>
        <v>34.9696096053945</v>
      </c>
      <c r="J6151" s="38" t="n">
        <f aca="false">Sens!$J$6150+Sens!$J$6147-Sens!$J$6146-Sens!$J$6148+Sens!$J$6149</f>
        <v>75.3313456523922</v>
      </c>
      <c r="K6151" s="38" t="n">
        <f aca="false">Sens!$K$6150+Sens!$K$6147-Sens!$K$6146-Sens!$K$6148+Sens!$K$6149</f>
        <v>194.722255833666</v>
      </c>
      <c r="L6151" s="38" t="n">
        <f aca="false">Sens!$L$6150+Sens!$L$6147-Sens!$L$6146-Sens!$L$6148+Sens!$L$6149</f>
        <v>370.700132107898</v>
      </c>
      <c r="M6151" s="38" t="n">
        <f aca="false">Sens!$M$6150+Sens!$M$6147-Sens!$M$6146-Sens!$M$6148+Sens!$M$6149</f>
        <v>573.809419494865</v>
      </c>
    </row>
    <row r="6152" customFormat="false" ht="17.15" hidden="false" customHeight="false" outlineLevel="0" collapsed="false">
      <c r="A6152" s="5" t="s">
        <v>814</v>
      </c>
      <c r="B6152" s="0" t="s">
        <v>86</v>
      </c>
      <c r="F6152" s="38" t="n">
        <f aca="false">MAX(0,min_cash-Sens!$F$6151)</f>
        <v>0</v>
      </c>
      <c r="G6152" s="38" t="n">
        <f aca="false">Sens!$F$6152</f>
        <v>0</v>
      </c>
      <c r="H6152" s="38" t="n">
        <f aca="false">MAX(0,min_cash-Sens!$H$6151)</f>
        <v>6.64530416923528</v>
      </c>
      <c r="I6152" s="38" t="n">
        <f aca="false">MAX(0,min_cash-Sens!$I$6151)</f>
        <v>15.0303903946055</v>
      </c>
      <c r="J6152" s="38" t="n">
        <f aca="false">MAX(0,min_cash-Sens!$J$6151)</f>
        <v>0</v>
      </c>
      <c r="K6152" s="38" t="n">
        <f aca="false">MAX(0,min_cash-Sens!$K$6151)</f>
        <v>0</v>
      </c>
      <c r="L6152" s="38" t="n">
        <f aca="false">MAX(0,min_cash-Sens!$L$6151)</f>
        <v>0</v>
      </c>
      <c r="M6152" s="38" t="n">
        <f aca="false">MAX(0,min_cash-Sens!$M$6151)</f>
        <v>0</v>
      </c>
      <c r="P6152" s="5" t="s">
        <v>815</v>
      </c>
    </row>
    <row r="6153" customFormat="false" ht="15" hidden="false" customHeight="false" outlineLevel="0" collapsed="false">
      <c r="A6153" s="5" t="s">
        <v>816</v>
      </c>
      <c r="B6153" s="0" t="s">
        <v>86</v>
      </c>
      <c r="D6153" s="38" t="n">
        <f aca="false">Q!$E$61</f>
        <v>123.029</v>
      </c>
      <c r="E6153" s="38" t="n">
        <f aca="false">Q!$M$61</f>
        <v>122.988</v>
      </c>
      <c r="F6153" s="38" t="n">
        <f aca="false">Sens!$F$6151+Sens!$F$6152</f>
        <v>97.7108196731683</v>
      </c>
      <c r="G6153" s="38" t="n">
        <f aca="false">Sens!$F$6153</f>
        <v>97.7108196731683</v>
      </c>
      <c r="H6153" s="38" t="n">
        <f aca="false">Sens!$H$6151+Sens!$H$6152</f>
        <v>50</v>
      </c>
      <c r="I6153" s="38" t="n">
        <f aca="false">Sens!$I$6151+Sens!$I$6152</f>
        <v>50</v>
      </c>
      <c r="J6153" s="38" t="n">
        <f aca="false">Sens!$J$6151+Sens!$J$6152</f>
        <v>75.3313456523922</v>
      </c>
      <c r="K6153" s="38" t="n">
        <f aca="false">Sens!$K$6151+Sens!$K$6152</f>
        <v>194.722255833666</v>
      </c>
      <c r="L6153" s="38" t="n">
        <f aca="false">Sens!$L$6151+Sens!$L$6152</f>
        <v>370.700132107898</v>
      </c>
      <c r="M6153" s="38" t="n">
        <f aca="false">Sens!$M$6151+Sens!$M$6152</f>
        <v>573.809419494865</v>
      </c>
    </row>
    <row r="6154" customFormat="false" ht="15" hidden="false" customHeight="false" outlineLevel="0" collapsed="false">
      <c r="A6154" s="5" t="s">
        <v>817</v>
      </c>
      <c r="B6154" s="0" t="s">
        <v>86</v>
      </c>
      <c r="D6154" s="38" t="n">
        <f aca="false">Q!$E$62</f>
        <v>68.836</v>
      </c>
      <c r="E6154" s="38" t="n">
        <f aca="false">Q!$M$62</f>
        <v>132.995</v>
      </c>
      <c r="F6154" s="38" t="n">
        <f aca="false">debt_q2+Sens!$F$6149+Sens!$F$6152</f>
        <v>162.244999</v>
      </c>
      <c r="G6154" s="38" t="n">
        <f aca="false">Sens!$F$6154</f>
        <v>162.244999</v>
      </c>
      <c r="H6154" s="38" t="n">
        <f aca="false">Sens!$G$6154+Sens!$H$6152</f>
        <v>168.890303169235</v>
      </c>
      <c r="I6154" s="38" t="n">
        <f aca="false">Sens!$H$6154+Sens!$I$6152</f>
        <v>183.920693563841</v>
      </c>
      <c r="J6154" s="38" t="n">
        <f aca="false">Sens!$I$6154+Sens!$J$6152</f>
        <v>183.920693563841</v>
      </c>
      <c r="K6154" s="38" t="n">
        <f aca="false">Sens!$J$6154+Sens!$K$6152</f>
        <v>183.920693563841</v>
      </c>
      <c r="L6154" s="38" t="n">
        <f aca="false">Sens!$K$6154+Sens!$L$6152</f>
        <v>183.920693563841</v>
      </c>
      <c r="M6154" s="38" t="n">
        <f aca="false">Sens!$L$6154+Sens!$M$6152</f>
        <v>183.920693563841</v>
      </c>
    </row>
    <row r="6155" customFormat="false" ht="15" hidden="false" customHeight="false" outlineLevel="0" collapsed="false">
      <c r="A6155" s="5" t="s">
        <v>818</v>
      </c>
      <c r="B6155" s="0" t="s">
        <v>86</v>
      </c>
      <c r="D6155" s="38" t="n">
        <f aca="false">Sens!$D$6154-Sens!$D$6153</f>
        <v>-54.193</v>
      </c>
      <c r="E6155" s="38" t="n">
        <f aca="false">Sens!$E$6154-Sens!$E$6153</f>
        <v>10.007</v>
      </c>
      <c r="F6155" s="38" t="n">
        <f aca="false">Sens!$F$6154-Sens!$F$6153</f>
        <v>64.5341793268317</v>
      </c>
      <c r="G6155" s="38" t="n">
        <f aca="false">Sens!$G$6154-Sens!$G$6153</f>
        <v>64.5341793268317</v>
      </c>
      <c r="H6155" s="38" t="n">
        <f aca="false">Sens!$H$6154-Sens!$H$6153</f>
        <v>118.890303169235</v>
      </c>
      <c r="I6155" s="38" t="n">
        <f aca="false">Sens!$I$6154-Sens!$I$6153</f>
        <v>133.920693563841</v>
      </c>
      <c r="J6155" s="38" t="n">
        <f aca="false">Sens!$J$6154-Sens!$J$6153</f>
        <v>108.589347911449</v>
      </c>
      <c r="K6155" s="38" t="n">
        <f aca="false">Sens!$K$6154-Sens!$K$6153</f>
        <v>-10.8015622698255</v>
      </c>
      <c r="L6155" s="38" t="n">
        <f aca="false">Sens!$L$6154-Sens!$L$6153</f>
        <v>-186.779438544058</v>
      </c>
      <c r="M6155" s="38" t="n">
        <f aca="false">Sens!$M$6154-Sens!$M$6153</f>
        <v>-389.888725931024</v>
      </c>
    </row>
    <row r="6156" customFormat="false" ht="17.15" hidden="false" customHeight="false" outlineLevel="0" collapsed="false">
      <c r="A6156" s="5" t="s">
        <v>819</v>
      </c>
      <c r="B6156" s="0" t="s">
        <v>86</v>
      </c>
      <c r="F6156" s="38" t="n">
        <f aca="false">debt_q2*kd_book*0.5+iss_2h26*kd_new*iss_t</f>
        <v>3.24888962733561</v>
      </c>
      <c r="H6156" s="38" t="n">
        <f aca="false">debt_q2*kd_book+(Sens!$G$6154-debt_q2)*kd_new</f>
        <v>7.42354172302123</v>
      </c>
      <c r="I6156" s="38" t="n">
        <f aca="false">debt_q2*kd_book+(Sens!$H$6154-debt_q2)*kd_new</f>
        <v>7.84418947693382</v>
      </c>
      <c r="J6156" s="38" t="n">
        <f aca="false">debt_q2*kd_book+(Sens!$I$6154-debt_q2)*kd_new</f>
        <v>8.79561318891235</v>
      </c>
      <c r="K6156" s="38" t="n">
        <f aca="false">debt_q2*kd_book+(Sens!$J$6154-debt_q2)*kd_new</f>
        <v>8.79561318891235</v>
      </c>
      <c r="L6156" s="38" t="n">
        <f aca="false">debt_q2*kd_book+(Sens!$K$6154-debt_q2)*kd_new</f>
        <v>8.79561318891235</v>
      </c>
      <c r="M6156" s="38" t="n">
        <f aca="false">debt_q2*kd_book+(Sens!$L$6154-debt_q2)*kd_new</f>
        <v>8.79561318891235</v>
      </c>
    </row>
    <row r="6157" customFormat="false" ht="17.15" hidden="false" customHeight="false" outlineLevel="0" collapsed="false">
      <c r="A6157" s="5" t="s">
        <v>820</v>
      </c>
      <c r="B6157" s="0" t="s">
        <v>86</v>
      </c>
      <c r="F6157" s="38" t="n">
        <f aca="false">cash_q2*y_cash*0.5</f>
        <v>2.59</v>
      </c>
      <c r="H6157" s="38" t="n">
        <f aca="false">Sens!$G$6153*y_cash</f>
        <v>4.1153774832261</v>
      </c>
      <c r="I6157" s="38" t="n">
        <f aca="false">Sens!$H$6153*y_cash</f>
        <v>2.10589651022864</v>
      </c>
      <c r="J6157" s="38" t="n">
        <f aca="false">Sens!$I$6153*y_cash</f>
        <v>2.10589651022864</v>
      </c>
      <c r="K6157" s="38" t="n">
        <f aca="false">Sens!$J$6153*y_cash</f>
        <v>3.172800358404</v>
      </c>
      <c r="L6157" s="38" t="n">
        <f aca="false">Sens!$K$6153*y_cash</f>
        <v>8.20129838047933</v>
      </c>
      <c r="M6157" s="38" t="n">
        <f aca="false">Sens!$L$6153*y_cash</f>
        <v>15.6131222909464</v>
      </c>
    </row>
    <row r="6158" customFormat="false" ht="17.15" hidden="false" customHeight="false" outlineLevel="0" collapsed="false">
      <c r="A6158" s="47" t="s">
        <v>821</v>
      </c>
      <c r="B6158" s="14" t="s">
        <v>86</v>
      </c>
      <c r="C6158" s="14"/>
      <c r="D6158" s="14"/>
      <c r="E6158" s="14"/>
      <c r="F6158" s="14"/>
      <c r="G6158" s="48" t="n">
        <f aca="false">SUM(Sens!$G$6147:$K$6147)</f>
        <v>16.4175622698255</v>
      </c>
      <c r="H6158" s="14"/>
      <c r="I6158" s="14"/>
      <c r="J6158" s="14"/>
      <c r="K6158" s="14"/>
      <c r="L6158" s="14"/>
      <c r="M6158" s="14"/>
      <c r="N6158" s="14"/>
      <c r="O6158" s="14"/>
    </row>
    <row r="6159" customFormat="false" ht="17.15" hidden="false" customHeight="false" outlineLevel="0" collapsed="false">
      <c r="A6159" s="0" t="s">
        <v>787</v>
      </c>
      <c r="B6159" s="0" t="s">
        <v>86</v>
      </c>
      <c r="G6159" s="38" t="n">
        <f aca="false">SUM(Sens!$G$6152:$K$6152)</f>
        <v>21.6756945638408</v>
      </c>
    </row>
    <row r="6160" customFormat="false" ht="17.15" hidden="false" customHeight="false" outlineLevel="0" collapsed="false">
      <c r="A6160" s="24" t="s">
        <v>824</v>
      </c>
      <c r="B6160" s="25" t="s">
        <v>86</v>
      </c>
      <c r="C6160" s="25"/>
      <c r="D6160" s="25"/>
      <c r="E6160" s="25"/>
      <c r="F6160" s="25"/>
      <c r="G6160" s="41" t="n">
        <f aca="false">Sens!$G$6158-(Sens!$G$6147+Sens!$H$6147+Sens!$I$6147+Sens!$J$6147+Sens!$K$6147)</f>
        <v>0</v>
      </c>
      <c r="H6160" s="25"/>
      <c r="I6160" s="25"/>
      <c r="J6160" s="25"/>
      <c r="K6160" s="25"/>
      <c r="L6160" s="25"/>
      <c r="M6160" s="25"/>
      <c r="N6160" s="25"/>
      <c r="O6160" s="25"/>
    </row>
    <row r="6163" customFormat="false" ht="19.4" hidden="false" customHeight="false" outlineLevel="0" collapsed="false">
      <c r="A6163" s="31" t="s">
        <v>1276</v>
      </c>
    </row>
    <row r="6164" customFormat="false" ht="17.15" hidden="false" customHeight="false" outlineLevel="0" collapsed="false">
      <c r="A6164" s="6" t="s">
        <v>16</v>
      </c>
      <c r="B6164" s="6" t="s">
        <v>17</v>
      </c>
      <c r="C6164" s="20" t="s">
        <v>504</v>
      </c>
      <c r="D6164" s="20" t="s">
        <v>505</v>
      </c>
      <c r="E6164" s="20" t="s">
        <v>587</v>
      </c>
      <c r="F6164" s="20" t="s">
        <v>588</v>
      </c>
      <c r="G6164" s="20" t="s">
        <v>589</v>
      </c>
      <c r="H6164" s="20" t="s">
        <v>590</v>
      </c>
      <c r="I6164" s="20" t="s">
        <v>591</v>
      </c>
      <c r="J6164" s="20" t="s">
        <v>592</v>
      </c>
      <c r="K6164" s="20" t="s">
        <v>593</v>
      </c>
      <c r="L6164" s="20" t="s">
        <v>594</v>
      </c>
      <c r="M6164" s="20" t="s">
        <v>595</v>
      </c>
      <c r="N6164" s="20" t="s">
        <v>596</v>
      </c>
      <c r="O6164" s="20" t="s">
        <v>597</v>
      </c>
      <c r="P6164" s="6" t="s">
        <v>23</v>
      </c>
      <c r="R6164" s="20" t="n">
        <v>2023</v>
      </c>
      <c r="S6164" s="20" t="n">
        <v>2024</v>
      </c>
      <c r="T6164" s="20" t="n">
        <v>2025</v>
      </c>
      <c r="U6164" s="20" t="n">
        <v>2026</v>
      </c>
      <c r="V6164" s="20" t="n">
        <v>2027</v>
      </c>
      <c r="W6164" s="20" t="n">
        <v>2028</v>
      </c>
      <c r="X6164" s="20" t="n">
        <v>2029</v>
      </c>
      <c r="Y6164" s="20" t="n">
        <v>2030</v>
      </c>
      <c r="Z6164" s="20" t="n">
        <v>2031</v>
      </c>
      <c r="AA6164" s="20" t="n">
        <v>2032</v>
      </c>
    </row>
    <row r="6165" customFormat="false" ht="17.15" hidden="false" customHeight="false" outlineLevel="0" collapsed="false">
      <c r="A6165" s="1" t="s">
        <v>926</v>
      </c>
    </row>
    <row r="6166" customFormat="false" ht="17.15" hidden="false" customHeight="false" outlineLevel="0" collapsed="false">
      <c r="A6166" s="0" t="s">
        <v>927</v>
      </c>
      <c r="B6166" s="0" t="s">
        <v>86</v>
      </c>
      <c r="H6166" s="38" t="n">
        <f aca="false">Sens!$H$6100*(1-tax)</f>
        <v>119.56497355468</v>
      </c>
      <c r="I6166" s="38" t="n">
        <f aca="false">Sens!$I$6100*(1-tax)</f>
        <v>141.256941944278</v>
      </c>
      <c r="J6166" s="38" t="n">
        <f aca="false">Sens!$J$6100*(1-tax)</f>
        <v>165.207646486437</v>
      </c>
      <c r="K6166" s="38" t="n">
        <f aca="false">Sens!$K$6100*(1-tax)</f>
        <v>182.493622705482</v>
      </c>
      <c r="L6166" s="38" t="n">
        <f aca="false">Sens!$L$6100*(1-tax)</f>
        <v>196.756125698549</v>
      </c>
      <c r="M6166" s="38" t="n">
        <f aca="false">Sens!$M$6100*(1-tax)</f>
        <v>209.416582660643</v>
      </c>
    </row>
    <row r="6167" customFormat="false" ht="15" hidden="false" customHeight="false" outlineLevel="0" collapsed="false">
      <c r="A6167" s="5" t="s">
        <v>928</v>
      </c>
      <c r="B6167" s="0" t="s">
        <v>86</v>
      </c>
      <c r="H6167" s="38" t="n">
        <f aca="false">Sens!$H$6111</f>
        <v>81.5618233196153</v>
      </c>
      <c r="I6167" s="38" t="n">
        <f aca="false">Sens!$I$6111</f>
        <v>118.756208740204</v>
      </c>
      <c r="J6167" s="38" t="n">
        <f aca="false">Sens!$J$6111</f>
        <v>152.469489406791</v>
      </c>
      <c r="K6167" s="38" t="n">
        <f aca="false">Sens!$K$6111</f>
        <v>186.391502623819</v>
      </c>
      <c r="L6167" s="38" t="n">
        <f aca="false">Sens!$L$6111</f>
        <v>212.316491798836</v>
      </c>
      <c r="M6167" s="38" t="n">
        <f aca="false">Sens!$M$6111</f>
        <v>230.182690847967</v>
      </c>
    </row>
    <row r="6168" customFormat="false" ht="15" hidden="false" customHeight="false" outlineLevel="0" collapsed="false">
      <c r="A6168" s="5" t="s">
        <v>929</v>
      </c>
      <c r="B6168" s="0" t="s">
        <v>86</v>
      </c>
      <c r="H6168" s="38" t="n">
        <f aca="false">Sens!$H$6142</f>
        <v>273.372679834898</v>
      </c>
      <c r="I6168" s="38" t="n">
        <f aca="false">Sens!$I$6142</f>
        <v>286.981812228425</v>
      </c>
      <c r="J6168" s="38" t="n">
        <f aca="false">Sens!$J$6142</f>
        <v>299.316513378366</v>
      </c>
      <c r="K6168" s="38" t="n">
        <f aca="false">Sens!$K$6142</f>
        <v>253.835101823915</v>
      </c>
      <c r="L6168" s="38" t="n">
        <f aca="false">Sens!$L$6142</f>
        <v>240.252243483641</v>
      </c>
      <c r="M6168" s="38" t="n">
        <f aca="false">Sens!$M$6142</f>
        <v>250.62556497822</v>
      </c>
    </row>
    <row r="6169" customFormat="false" ht="15" hidden="false" customHeight="false" outlineLevel="0" collapsed="false">
      <c r="A6169" s="5" t="s">
        <v>930</v>
      </c>
      <c r="B6169" s="0" t="s">
        <v>86</v>
      </c>
      <c r="H6169" s="38" t="n">
        <f aca="false">Sens!$H$6143</f>
        <v>1.6</v>
      </c>
      <c r="I6169" s="38" t="n">
        <f aca="false">Sens!$I$6143</f>
        <v>1.6</v>
      </c>
      <c r="J6169" s="38" t="n">
        <f aca="false">Sens!$J$6143</f>
        <v>1.6</v>
      </c>
      <c r="K6169" s="38" t="n">
        <f aca="false">Sens!$K$6143</f>
        <v>1.6</v>
      </c>
      <c r="L6169" s="38" t="n">
        <f aca="false">Sens!$L$6143</f>
        <v>1.6</v>
      </c>
      <c r="M6169" s="38" t="n">
        <f aca="false">Sens!$M$6143</f>
        <v>1.6</v>
      </c>
    </row>
    <row r="6170" customFormat="false" ht="15" hidden="false" customHeight="false" outlineLevel="0" collapsed="false">
      <c r="A6170" s="5" t="s">
        <v>931</v>
      </c>
      <c r="B6170" s="0" t="s">
        <v>86</v>
      </c>
      <c r="H6170" s="38" t="n">
        <f aca="false">Sens!$H$6137</f>
        <v>11.2928295263397</v>
      </c>
      <c r="I6170" s="38" t="n">
        <f aca="false">Sens!$I$6137</f>
        <v>12.8091546115766</v>
      </c>
      <c r="J6170" s="38" t="n">
        <f aca="false">Sens!$J$6137</f>
        <v>14.2605653162668</v>
      </c>
      <c r="K6170" s="38" t="n">
        <f aca="false">Sens!$K$6137</f>
        <v>15.5361896109386</v>
      </c>
      <c r="L6170" s="38" t="n">
        <f aca="false">Sens!$L$6137</f>
        <v>16.7342012989106</v>
      </c>
      <c r="M6170" s="38" t="n">
        <f aca="false">Sens!$M$6137</f>
        <v>17.8589265647579</v>
      </c>
    </row>
    <row r="6171" customFormat="false" ht="17.15" hidden="false" customHeight="false" outlineLevel="0" collapsed="false">
      <c r="A6171" s="1" t="s">
        <v>932</v>
      </c>
      <c r="B6171" s="8" t="s">
        <v>86</v>
      </c>
      <c r="H6171" s="38" t="n">
        <f aca="false">Sens!$H$6166+Sens!$H$6167-Sens!$H$6168-Sens!$H$6169+Sens!$H$6170</f>
        <v>-62.5530534342631</v>
      </c>
      <c r="I6171" s="38" t="n">
        <f aca="false">Sens!$I$6166+Sens!$I$6167-Sens!$I$6168-Sens!$I$6169+Sens!$I$6170</f>
        <v>-15.7595069323669</v>
      </c>
      <c r="J6171" s="38" t="n">
        <f aca="false">Sens!$J$6166+Sens!$J$6167-Sens!$J$6168-Sens!$J$6169+Sens!$J$6170</f>
        <v>31.0211878311291</v>
      </c>
      <c r="K6171" s="38" t="n">
        <f aca="false">Sens!$K$6166+Sens!$K$6167-Sens!$K$6168-Sens!$K$6169+Sens!$K$6170</f>
        <v>128.986213116324</v>
      </c>
      <c r="L6171" s="38" t="n">
        <f aca="false">Sens!$L$6166+Sens!$L$6167-Sens!$L$6168-Sens!$L$6169+Sens!$L$6170</f>
        <v>183.954575312655</v>
      </c>
      <c r="M6171" s="38" t="n">
        <f aca="false">Sens!$M$6166+Sens!$M$6167-Sens!$M$6168-Sens!$M$6169+Sens!$M$6170</f>
        <v>205.232635095148</v>
      </c>
    </row>
    <row r="6172" customFormat="false" ht="15" hidden="false" customHeight="false" outlineLevel="0" collapsed="false">
      <c r="A6172" s="5" t="s">
        <v>933</v>
      </c>
      <c r="B6172" s="0" t="s">
        <v>57</v>
      </c>
      <c r="H6172" s="40" t="n">
        <f aca="false">1/(1+wacc)^(2027-2026-0.5)</f>
        <v>0.947751320380232</v>
      </c>
      <c r="I6172" s="40" t="n">
        <f aca="false">1/(1+wacc)^(2028-2026-0.5)</f>
        <v>0.851301099754987</v>
      </c>
      <c r="J6172" s="40" t="n">
        <f aca="false">1/(1+wacc)^(2029-2026-0.5)</f>
        <v>0.764666370660713</v>
      </c>
      <c r="K6172" s="40" t="n">
        <f aca="false">1/(1+wacc)^(2030-2026-0.5)</f>
        <v>0.686848235703811</v>
      </c>
      <c r="L6172" s="40" t="n">
        <f aca="false">1/(1+wacc)^(2031-2026-0.5)</f>
        <v>0.616949452715975</v>
      </c>
      <c r="M6172" s="40" t="n">
        <f aca="false">1/(1+wacc)^(2032-2026-0.5)</f>
        <v>0.554164089562688</v>
      </c>
    </row>
    <row r="6173" customFormat="false" ht="15" hidden="false" customHeight="false" outlineLevel="0" collapsed="false">
      <c r="A6173" s="5" t="s">
        <v>934</v>
      </c>
      <c r="B6173" s="0" t="s">
        <v>86</v>
      </c>
      <c r="H6173" s="38" t="n">
        <f aca="false">Sens!$H$6171*Sens!$H$6172</f>
        <v>-59.2847389861381</v>
      </c>
      <c r="I6173" s="38" t="n">
        <f aca="false">Sens!$I$6171*Sens!$I$6172</f>
        <v>-13.4160855831203</v>
      </c>
      <c r="J6173" s="38" t="n">
        <f aca="false">Sens!$J$6171*Sens!$J$6172</f>
        <v>23.7208591124138</v>
      </c>
      <c r="K6173" s="38" t="n">
        <f aca="false">Sens!$K$6171*Sens!$K$6172</f>
        <v>88.5939529090632</v>
      </c>
      <c r="L6173" s="38" t="n">
        <f aca="false">Sens!$L$6171*Sens!$L$6172</f>
        <v>113.490674563742</v>
      </c>
      <c r="M6173" s="38" t="n">
        <f aca="false">Sens!$M$6171*Sens!$M$6172</f>
        <v>113.732556376054</v>
      </c>
    </row>
    <row r="6174" customFormat="false" ht="15" hidden="false" customHeight="false" outlineLevel="0" collapsed="false">
      <c r="A6174" s="5" t="s">
        <v>935</v>
      </c>
      <c r="B6174" s="0" t="s">
        <v>86</v>
      </c>
      <c r="C6174" s="38" t="n">
        <f aca="false">SUM(Sens!$H$6173:$M$6173)</f>
        <v>266.837218392015</v>
      </c>
    </row>
    <row r="6175" customFormat="false" ht="17.15" hidden="false" customHeight="false" outlineLevel="0" collapsed="false">
      <c r="A6175" s="5" t="s">
        <v>936</v>
      </c>
      <c r="B6175" s="0" t="s">
        <v>86</v>
      </c>
      <c r="C6175" s="38" t="n">
        <f aca="false">Sens!$M$6166*(1+tg_hi)*(1-tg_hi/ronic)/(wacc-tg_hi)</f>
        <v>1922.31421150783</v>
      </c>
    </row>
    <row r="6176" customFormat="false" ht="15" hidden="false" customHeight="false" outlineLevel="0" collapsed="false">
      <c r="A6176" s="5" t="s">
        <v>937</v>
      </c>
      <c r="B6176" s="0" t="s">
        <v>86</v>
      </c>
      <c r="C6176" s="38" t="n">
        <f aca="false">Sens!$C$6175/(1+wacc)^6</f>
        <v>1009.61816181536</v>
      </c>
    </row>
    <row r="6177" customFormat="false" ht="17.15" hidden="false" customHeight="false" outlineLevel="0" collapsed="false">
      <c r="A6177" s="5" t="s">
        <v>938</v>
      </c>
      <c r="B6177" s="0" t="s">
        <v>86</v>
      </c>
      <c r="C6177" s="38" t="n">
        <f aca="false">Sens!$C$6174+Sens!$C$6176</f>
        <v>1276.45538020738</v>
      </c>
    </row>
    <row r="6178" customFormat="false" ht="17.15" hidden="false" customHeight="false" outlineLevel="0" collapsed="false">
      <c r="A6178" s="5" t="s">
        <v>939</v>
      </c>
      <c r="B6178" s="0" t="s">
        <v>52</v>
      </c>
      <c r="C6178" s="13" t="n">
        <f aca="false">Sens!$C$6176/Sens!$C$6177</f>
        <v>0.790954527256046</v>
      </c>
    </row>
    <row r="6179" customFormat="false" ht="17.15" hidden="false" customHeight="false" outlineLevel="0" collapsed="false">
      <c r="A6179" s="5" t="s">
        <v>940</v>
      </c>
      <c r="B6179" s="0" t="s">
        <v>86</v>
      </c>
      <c r="C6179" s="38" t="n">
        <f aca="false">Sens!$G$6155+fin_debt</f>
        <v>89.0551793268317</v>
      </c>
    </row>
    <row r="6180" customFormat="false" ht="17.15" hidden="false" customHeight="false" outlineLevel="0" collapsed="false">
      <c r="A6180" s="5" t="s">
        <v>941</v>
      </c>
      <c r="B6180" s="0" t="s">
        <v>86</v>
      </c>
      <c r="C6180" s="38" t="n">
        <f aca="false">(ant_val*ant_sh+oai_val*oai_sh)*(1-liq_disc)</f>
        <v>178.944</v>
      </c>
    </row>
    <row r="6181" customFormat="false" ht="15" hidden="false" customHeight="false" outlineLevel="0" collapsed="false">
      <c r="A6181" s="5" t="s">
        <v>942</v>
      </c>
      <c r="B6181" s="0" t="s">
        <v>86</v>
      </c>
      <c r="C6181" s="38" t="n">
        <f aca="false">Sens!$C$6177-Sens!$C$6179+Sens!$C$6180</f>
        <v>1366.34420088055</v>
      </c>
    </row>
    <row r="6182" customFormat="false" ht="17.15" hidden="false" customHeight="false" outlineLevel="0" collapsed="false">
      <c r="A6182" s="5" t="s">
        <v>943</v>
      </c>
      <c r="B6182" s="0" t="s">
        <v>27</v>
      </c>
      <c r="C6182" s="30" t="n">
        <f aca="false">Sens!$C$6181/sh_out</f>
        <v>126.673875883879</v>
      </c>
    </row>
    <row r="6183" customFormat="false" ht="17.15" hidden="false" customHeight="false" outlineLevel="0" collapsed="false">
      <c r="A6183" s="1" t="s">
        <v>944</v>
      </c>
      <c r="B6183" s="8" t="s">
        <v>27</v>
      </c>
      <c r="C6183" s="30" t="n">
        <f aca="false">Sens!$C$6182*(1+ke)^tp_yf-dps*tp_yf</f>
        <v>138.754617305396</v>
      </c>
    </row>
    <row r="6184" customFormat="false" ht="17.15" hidden="false" customHeight="false" outlineLevel="0" collapsed="false">
      <c r="A6184" s="3" t="s">
        <v>945</v>
      </c>
    </row>
    <row r="6185" customFormat="false" ht="17.15" hidden="false" customHeight="false" outlineLevel="0" collapsed="false">
      <c r="A6185" s="5" t="s">
        <v>946</v>
      </c>
      <c r="B6185" s="0" t="s">
        <v>86</v>
      </c>
      <c r="C6185" s="38" t="n">
        <f aca="false">(1-tp_yf)*(Sens!$H$6112+sbc_ab*Sens!$H$6136*Sens!$H$5973/Sens!$H$6053)+tp_yf*(Sens!$I$6112+sbc_ab*Sens!$I$6136*Sens!$I$5973/Sens!$I$6053)</f>
        <v>59.634664536349</v>
      </c>
    </row>
    <row r="6186" customFormat="false" ht="15" hidden="false" customHeight="false" outlineLevel="0" collapsed="false">
      <c r="A6186" s="5" t="s">
        <v>947</v>
      </c>
      <c r="B6186" s="0" t="s">
        <v>57</v>
      </c>
      <c r="C6186" s="30" t="n">
        <f aca="false">m_ads*m_x</f>
        <v>9.11</v>
      </c>
    </row>
    <row r="6187" customFormat="false" ht="17.15" hidden="false" customHeight="false" outlineLevel="0" collapsed="false">
      <c r="A6187" s="5" t="s">
        <v>948</v>
      </c>
      <c r="B6187" s="0" t="s">
        <v>86</v>
      </c>
      <c r="C6187" s="38" t="n">
        <f aca="false">Sens!$C$6185*Sens!$C$6186</f>
        <v>543.271793926139</v>
      </c>
    </row>
    <row r="6188" customFormat="false" ht="17.15" hidden="false" customHeight="false" outlineLevel="0" collapsed="false">
      <c r="A6188" s="5" t="s">
        <v>949</v>
      </c>
      <c r="B6188" s="0" t="s">
        <v>86</v>
      </c>
      <c r="C6188" s="38" t="n">
        <f aca="false">(1-tp_yf)*(Sens!$H$6113+sbc_ab*Sens!$H$6136*(Sens!$H$5980-Sens!$H$5973)/Sens!$H$6053+IF(internal_ai_reading=2,1,0)*(1-ext_sh)*Sens!$H$6010)+tp_yf*(Sens!$I$6113+sbc_ab*Sens!$I$6136*(Sens!$I$5980-Sens!$I$5973)/Sens!$I$6053+IF(internal_ai_reading=2,1,0)*(1-ext_sh)*Sens!$I$6010)</f>
        <v>51.6951811103438</v>
      </c>
    </row>
    <row r="6189" customFormat="false" ht="17.15" hidden="false" customHeight="false" outlineLevel="0" collapsed="false">
      <c r="A6189" s="5" t="s">
        <v>950</v>
      </c>
      <c r="B6189" s="0" t="s">
        <v>57</v>
      </c>
      <c r="C6189" s="30" t="n">
        <f aca="false">m_retail*m_x</f>
        <v>17.72</v>
      </c>
    </row>
    <row r="6190" customFormat="false" ht="17.15" hidden="false" customHeight="false" outlineLevel="0" collapsed="false">
      <c r="A6190" s="5" t="s">
        <v>951</v>
      </c>
      <c r="B6190" s="0" t="s">
        <v>86</v>
      </c>
      <c r="C6190" s="38" t="n">
        <f aca="false">Sens!$C$6188*Sens!$C$6189</f>
        <v>916.038609275292</v>
      </c>
    </row>
    <row r="6191" customFormat="false" ht="17.15" hidden="false" customHeight="false" outlineLevel="0" collapsed="false">
      <c r="A6191" s="0" t="s">
        <v>952</v>
      </c>
      <c r="B6191" s="0" t="s">
        <v>86</v>
      </c>
      <c r="C6191" s="38" t="n">
        <f aca="false">(1-tp_yf)*(Sens!$H$6114+sbc_ab*Sens!$H$6136*Sens!$H$6051/Sens!$H$6053)+tp_yf*(Sens!$I$6114+sbc_ab*Sens!$I$6136*Sens!$I$6051/Sens!$I$6053)</f>
        <v>97.2337130506861</v>
      </c>
    </row>
    <row r="6192" customFormat="false" ht="17.15" hidden="false" customHeight="false" outlineLevel="0" collapsed="false">
      <c r="A6192" s="0" t="s">
        <v>953</v>
      </c>
      <c r="B6192" s="0" t="s">
        <v>57</v>
      </c>
      <c r="C6192" s="30" t="n">
        <f aca="false">m_cloud*m_x</f>
        <v>13.82</v>
      </c>
    </row>
    <row r="6193" customFormat="false" ht="17.15" hidden="false" customHeight="false" outlineLevel="0" collapsed="false">
      <c r="A6193" s="0" t="s">
        <v>954</v>
      </c>
      <c r="B6193" s="0" t="s">
        <v>86</v>
      </c>
      <c r="C6193" s="38" t="n">
        <f aca="false">Sens!$C$6191*Sens!$C$6192</f>
        <v>1343.76991436048</v>
      </c>
    </row>
    <row r="6194" customFormat="false" ht="17.15" hidden="false" customHeight="false" outlineLevel="0" collapsed="false">
      <c r="A6194" s="0" t="s">
        <v>955</v>
      </c>
      <c r="B6194" s="0" t="s">
        <v>86</v>
      </c>
      <c r="H6194" s="38" t="n">
        <f aca="false">Sens!$H$6032-tax*Sens!$H$6033-ext_sh*Sens!$H$6017</f>
        <v>-115.41576008619</v>
      </c>
      <c r="I6194" s="38" t="n">
        <f aca="false">Sens!$I$6032-tax*Sens!$I$6033-ext_sh*Sens!$I$6017</f>
        <v>-88.5401912683161</v>
      </c>
      <c r="J6194" s="38" t="n">
        <f aca="false">Sens!$J$6032-tax*Sens!$J$6033-ext_sh*Sens!$J$6017</f>
        <v>-61.2977422866746</v>
      </c>
      <c r="K6194" s="38" t="n">
        <f aca="false">Sens!$K$6032-tax*Sens!$K$6033-ext_sh*Sens!$K$6017</f>
        <v>7.87968766598863</v>
      </c>
      <c r="L6194" s="38" t="n">
        <f aca="false">Sens!$L$6032-tax*Sens!$L$6033-ext_sh*Sens!$L$6017</f>
        <v>43.1120391949839</v>
      </c>
      <c r="M6194" s="38" t="n">
        <f aca="false">Sens!$M$6032-tax*Sens!$M$6033-ext_sh*Sens!$M$6017</f>
        <v>50.7488372092318</v>
      </c>
    </row>
    <row r="6195" customFormat="false" ht="17.15" hidden="false" customHeight="false" outlineLevel="0" collapsed="false">
      <c r="A6195" s="5" t="s">
        <v>956</v>
      </c>
      <c r="B6195" s="0" t="s">
        <v>86</v>
      </c>
      <c r="H6195" s="38" t="n">
        <f aca="false">Sens!$H$6194*Sens!$H$6172</f>
        <v>-109.385439014374</v>
      </c>
      <c r="I6195" s="38" t="n">
        <f aca="false">Sens!$I$6194*Sens!$I$6172</f>
        <v>-75.3743621992344</v>
      </c>
      <c r="J6195" s="38" t="n">
        <f aca="false">Sens!$J$6194*Sens!$J$6172</f>
        <v>-46.8723221240472</v>
      </c>
      <c r="K6195" s="38" t="n">
        <f aca="false">Sens!$K$6194*Sens!$K$6172</f>
        <v>5.41214957128137</v>
      </c>
      <c r="L6195" s="38" t="n">
        <f aca="false">Sens!$L$6194*Sens!$L$6172</f>
        <v>26.597948986815</v>
      </c>
      <c r="M6195" s="38" t="n">
        <f aca="false">Sens!$M$6194*Sens!$M$6172</f>
        <v>28.123183168419</v>
      </c>
    </row>
    <row r="6196" customFormat="false" ht="17.15" hidden="false" customHeight="false" outlineLevel="0" collapsed="false">
      <c r="A6196" s="5" t="s">
        <v>957</v>
      </c>
      <c r="B6196" s="0" t="s">
        <v>86</v>
      </c>
      <c r="C6196" s="38" t="n">
        <f aca="false">Sens!$M$6033*(1-tax)*(1+tg_hi)*(1-tg_hi/ronic)/(wacc-tg_hi)</f>
        <v>368.049420892519</v>
      </c>
    </row>
    <row r="6197" customFormat="false" ht="17.15" hidden="false" customHeight="false" outlineLevel="0" collapsed="false">
      <c r="A6197" s="0" t="s">
        <v>958</v>
      </c>
      <c r="B6197" s="0" t="s">
        <v>86</v>
      </c>
      <c r="C6197" s="38" t="n">
        <f aca="false">(SUM(Sens!$I$6195:$M$6195)+Sens!$C$6196/(1+wacc)^6)*(1+wacc)^tp_yf</f>
        <v>143.28820841293</v>
      </c>
    </row>
    <row r="6198" customFormat="false" ht="17.15" hidden="false" customHeight="false" outlineLevel="0" collapsed="false">
      <c r="A6198" s="5" t="s">
        <v>959</v>
      </c>
      <c r="B6198" s="0" t="s">
        <v>86</v>
      </c>
      <c r="C6198" s="38" t="n">
        <f aca="false">(1-tp_yf)*(Sens!$H$6115)+tp_yf*(Sens!$I$6115)</f>
        <v>74.6707041238437</v>
      </c>
    </row>
    <row r="6199" customFormat="false" ht="17.15" hidden="false" customHeight="false" outlineLevel="0" collapsed="false">
      <c r="A6199" s="5" t="s">
        <v>960</v>
      </c>
      <c r="B6199" s="0" t="s">
        <v>86</v>
      </c>
      <c r="C6199" s="38" t="n">
        <f aca="false">Sens!$C$6198*m_ai</f>
        <v>448.024224743062</v>
      </c>
    </row>
    <row r="6200" customFormat="false" ht="17.15" hidden="false" customHeight="false" outlineLevel="0" collapsed="false">
      <c r="A6200" s="0" t="s">
        <v>961</v>
      </c>
      <c r="B6200" s="0" t="s">
        <v>86</v>
      </c>
      <c r="C6200" s="38" t="n">
        <f aca="false">IF(ai_leg=1,Sens!$C$6197,Sens!$C$6199)</f>
        <v>143.28820841293</v>
      </c>
    </row>
    <row r="6201" customFormat="false" ht="17.15" hidden="false" customHeight="false" outlineLevel="0" collapsed="false">
      <c r="A6201" s="5" t="s">
        <v>962</v>
      </c>
      <c r="B6201" s="0" t="s">
        <v>86</v>
      </c>
      <c r="C6201" s="38" t="n">
        <f aca="false">Sens!$C$6187+Sens!$C$6190+Sens!$C$6193+Sens!$C$6200</f>
        <v>2946.36852597484</v>
      </c>
    </row>
    <row r="6202" customFormat="false" ht="17.15" hidden="false" customHeight="false" outlineLevel="0" collapsed="false">
      <c r="A6202" s="5" t="s">
        <v>963</v>
      </c>
      <c r="B6202" s="0" t="s">
        <v>86</v>
      </c>
      <c r="C6202" s="38" t="n">
        <f aca="false">Sens!$H$6155+fin_debt</f>
        <v>143.411303169235</v>
      </c>
    </row>
    <row r="6203" customFormat="false" ht="15" hidden="false" customHeight="false" outlineLevel="0" collapsed="false">
      <c r="A6203" s="5" t="s">
        <v>964</v>
      </c>
      <c r="B6203" s="0" t="s">
        <v>86</v>
      </c>
      <c r="C6203" s="38" t="n">
        <f aca="false">Sens!$C$6201-Sens!$C$6202+Sens!$C$6180</f>
        <v>2981.90122280561</v>
      </c>
    </row>
    <row r="6204" customFormat="false" ht="15" hidden="false" customHeight="false" outlineLevel="0" collapsed="false">
      <c r="A6204" s="3" t="s">
        <v>965</v>
      </c>
      <c r="B6204" s="8" t="s">
        <v>27</v>
      </c>
      <c r="C6204" s="30" t="n">
        <f aca="false">Sens!$C$6203/sh_val</f>
        <v>270.336929919276</v>
      </c>
    </row>
    <row r="6205" customFormat="false" ht="17.15" hidden="false" customHeight="false" outlineLevel="0" collapsed="false">
      <c r="A6205" s="47" t="s">
        <v>966</v>
      </c>
      <c r="B6205" s="14" t="s">
        <v>27</v>
      </c>
      <c r="C6205" s="44" t="n">
        <f aca="false">w_dcf*Sens!$C$6183+(1-w_dcf)*Sens!$C$6204</f>
        <v>204.545773612336</v>
      </c>
      <c r="D6205" s="14"/>
      <c r="E6205" s="14"/>
      <c r="F6205" s="14"/>
      <c r="G6205" s="14"/>
      <c r="H6205" s="14"/>
      <c r="I6205" s="14"/>
      <c r="J6205" s="14"/>
      <c r="K6205" s="14"/>
      <c r="L6205" s="14"/>
      <c r="M6205" s="14"/>
      <c r="N6205" s="14"/>
      <c r="O6205" s="14"/>
    </row>
    <row r="6206" customFormat="false" ht="17.15" hidden="false" customHeight="false" outlineLevel="0" collapsed="false">
      <c r="A6206" s="5" t="s">
        <v>967</v>
      </c>
      <c r="B6206" s="0" t="s">
        <v>27</v>
      </c>
      <c r="C6206" s="30" t="n">
        <f aca="false">v022_wdcf*Sens!$C$6183+(1-v022_wdcf)*Sens!$C$6204</f>
        <v>211.12488924303</v>
      </c>
    </row>
    <row r="6207" customFormat="false" ht="17.15" hidden="false" customHeight="false" outlineLevel="0" collapsed="false">
      <c r="A6207" s="5" t="s">
        <v>968</v>
      </c>
      <c r="B6207" s="0" t="s">
        <v>27</v>
      </c>
      <c r="C6207" s="30" t="n">
        <f aca="false">(Sens!$C$6203-Sens!$C$6200+Sens!$C$6199)/sh_val</f>
        <v>297.964068759578</v>
      </c>
    </row>
    <row r="6210" customFormat="false" ht="19.4" hidden="false" customHeight="false" outlineLevel="0" collapsed="false">
      <c r="A6210" s="31" t="s">
        <v>1277</v>
      </c>
    </row>
    <row r="6211" customFormat="false" ht="17.15" hidden="false" customHeight="false" outlineLevel="0" collapsed="false">
      <c r="A6211" s="6" t="s">
        <v>16</v>
      </c>
      <c r="B6211" s="6" t="s">
        <v>17</v>
      </c>
      <c r="C6211" s="20" t="s">
        <v>504</v>
      </c>
      <c r="D6211" s="20" t="s">
        <v>505</v>
      </c>
      <c r="E6211" s="20" t="s">
        <v>587</v>
      </c>
      <c r="F6211" s="20" t="s">
        <v>588</v>
      </c>
      <c r="G6211" s="20" t="s">
        <v>589</v>
      </c>
      <c r="H6211" s="20" t="s">
        <v>590</v>
      </c>
      <c r="I6211" s="20" t="s">
        <v>591</v>
      </c>
      <c r="J6211" s="20" t="s">
        <v>592</v>
      </c>
      <c r="K6211" s="20" t="s">
        <v>593</v>
      </c>
      <c r="L6211" s="20" t="s">
        <v>594</v>
      </c>
      <c r="M6211" s="20" t="s">
        <v>595</v>
      </c>
      <c r="N6211" s="20" t="s">
        <v>596</v>
      </c>
      <c r="O6211" s="20" t="s">
        <v>597</v>
      </c>
      <c r="P6211" s="6" t="s">
        <v>23</v>
      </c>
      <c r="R6211" s="20" t="n">
        <v>2023</v>
      </c>
      <c r="S6211" s="20" t="n">
        <v>2024</v>
      </c>
      <c r="T6211" s="20" t="n">
        <v>2025</v>
      </c>
      <c r="U6211" s="20" t="n">
        <v>2026</v>
      </c>
      <c r="V6211" s="20" t="n">
        <v>2027</v>
      </c>
      <c r="W6211" s="20" t="n">
        <v>2028</v>
      </c>
      <c r="X6211" s="20" t="n">
        <v>2029</v>
      </c>
      <c r="Y6211" s="20" t="n">
        <v>2030</v>
      </c>
      <c r="Z6211" s="20" t="n">
        <v>2031</v>
      </c>
      <c r="AA6211" s="20" t="n">
        <v>2032</v>
      </c>
    </row>
    <row r="6212" customFormat="false" ht="17.15" hidden="false" customHeight="false" outlineLevel="0" collapsed="false">
      <c r="A6212" s="1" t="s">
        <v>677</v>
      </c>
    </row>
    <row r="6213" customFormat="false" ht="17.15" hidden="false" customHeight="false" outlineLevel="0" collapsed="false">
      <c r="A6213" s="0" t="s">
        <v>526</v>
      </c>
      <c r="B6213" s="0" t="s">
        <v>86</v>
      </c>
      <c r="C6213" s="38" t="n">
        <f aca="false">Q!$D$10</f>
        <v>247.029</v>
      </c>
      <c r="D6213" s="38" t="n">
        <f aca="false">Q!$E$10</f>
        <v>269.287</v>
      </c>
      <c r="E6213" s="38" t="n">
        <f aca="false">Q!$P$10</f>
        <v>134.686</v>
      </c>
      <c r="F6213" s="38" t="n">
        <f aca="false">Sens!$O$6213*(1+Sens!$F$6214)*Sens!$F$6225</f>
        <v>158.293876822267</v>
      </c>
      <c r="G6213" s="38" t="n">
        <f aca="false">Sens!$E$6213+Sens!$F$6213</f>
        <v>292.979876822267</v>
      </c>
      <c r="H6213" s="38" t="n">
        <f aca="false">Sens!$G$6213*(1+Sens!$H$6214)</f>
        <v>318.184543087396</v>
      </c>
      <c r="I6213" s="38" t="n">
        <f aca="false">Sens!$H$6213*(1+Sens!$I$6214)</f>
        <v>341.736278761793</v>
      </c>
      <c r="J6213" s="38" t="n">
        <f aca="false">Sens!$I$6213*(1+Sens!$J$6214)</f>
        <v>362.927192787048</v>
      </c>
      <c r="K6213" s="38" t="n">
        <f aca="false">Sens!$J$6213*(1+Sens!$K$6214)</f>
        <v>381.0735524264</v>
      </c>
      <c r="L6213" s="38" t="n">
        <f aca="false">Sens!$K$6213*(1+Sens!$L$6214)</f>
        <v>400.12723004772</v>
      </c>
      <c r="M6213" s="38" t="n">
        <f aca="false">Sens!$L$6213*(1+Sens!$M$6214)</f>
        <v>420.133591550106</v>
      </c>
      <c r="N6213" s="38" t="n">
        <f aca="false">Q!$N$10</f>
        <v>118.892</v>
      </c>
      <c r="O6213" s="38" t="n">
        <f aca="false">Q!$O$10</f>
        <v>150.395</v>
      </c>
      <c r="P6213" s="8" t="s">
        <v>678</v>
      </c>
    </row>
    <row r="6214" customFormat="false" ht="17.15" hidden="false" customHeight="false" outlineLevel="0" collapsed="false">
      <c r="A6214" s="0" t="s">
        <v>679</v>
      </c>
      <c r="B6214" s="0" t="s">
        <v>52</v>
      </c>
      <c r="E6214" s="13" t="n">
        <f aca="false">Sens!$E$6213/Sens!$N$6213-1</f>
        <v>0.132843252699929</v>
      </c>
      <c r="F6214" s="13" t="n">
        <f aca="false">Sens!$O$6213/(Q!$F$10+Q!$G$10)-1</f>
        <v>0.0980382135842941</v>
      </c>
      <c r="G6214" s="13" t="n">
        <f aca="false">Sens!$G$6213/Sens!$D$6213-1</f>
        <v>0.0879837378791657</v>
      </c>
      <c r="H6214" s="13" t="n">
        <f aca="false">Sens!$F$6214+(g_os-Sens!$F$6214)*1/4</f>
        <v>0.0860286601882206</v>
      </c>
      <c r="I6214" s="13" t="n">
        <f aca="false">Sens!$F$6214+(g_os-Sens!$F$6214)*2/4</f>
        <v>0.074019106792147</v>
      </c>
      <c r="J6214" s="13" t="n">
        <f aca="false">Sens!$F$6214+(g_os-Sens!$F$6214)*3/4</f>
        <v>0.0620095533960735</v>
      </c>
      <c r="K6214" s="13" t="n">
        <f aca="false">Sens!$F$6214+(g_os-Sens!$F$6214)*4/4</f>
        <v>0.05</v>
      </c>
      <c r="L6214" s="13" t="n">
        <f aca="false">g_os</f>
        <v>0.05</v>
      </c>
      <c r="M6214" s="13" t="n">
        <f aca="false">g_os</f>
        <v>0.05</v>
      </c>
      <c r="P6214" s="8" t="s">
        <v>680</v>
      </c>
    </row>
    <row r="6215" customFormat="false" ht="17.15" hidden="false" customHeight="false" outlineLevel="0" collapsed="false">
      <c r="A6215" s="0" t="s">
        <v>527</v>
      </c>
      <c r="B6215" s="0" t="s">
        <v>86</v>
      </c>
      <c r="C6215" s="38" t="n">
        <f aca="false">Q!$D$11</f>
        <v>21.215</v>
      </c>
      <c r="D6215" s="38" t="n">
        <f aca="false">Q!$E$11</f>
        <v>22.561</v>
      </c>
      <c r="E6215" s="38" t="n">
        <f aca="false">Q!$P$11</f>
        <v>11.579</v>
      </c>
      <c r="F6215" s="38" t="n">
        <f aca="false">Sens!$O$6215*(1+Sens!$F$6216)*Sens!$F$6225</f>
        <v>11.5938724610325</v>
      </c>
      <c r="G6215" s="38" t="n">
        <f aca="false">Sens!$E$6215+Sens!$F$6215</f>
        <v>23.1728724610325</v>
      </c>
      <c r="H6215" s="38" t="n">
        <f aca="false">Sens!$G$6215*(1+Sens!$H$6216)</f>
        <v>24.353392759506</v>
      </c>
      <c r="I6215" s="38" t="n">
        <f aca="false">Sens!$H$6215*(1+Sens!$I$6216)</f>
        <v>25.4240338872015</v>
      </c>
      <c r="J6215" s="38" t="n">
        <f aca="false">Sens!$I$6215*(1+Sens!$J$6216)</f>
        <v>26.3642491017174</v>
      </c>
      <c r="K6215" s="38" t="n">
        <f aca="false">Sens!$J$6215*(1+Sens!$K$6216)</f>
        <v>27.155176574769</v>
      </c>
      <c r="L6215" s="38" t="n">
        <f aca="false">Sens!$K$6215*(1+Sens!$L$6216)</f>
        <v>27.969831872012</v>
      </c>
      <c r="M6215" s="38" t="n">
        <f aca="false">Sens!$L$6215*(1+Sens!$M$6216)</f>
        <v>28.8089268281724</v>
      </c>
      <c r="N6215" s="38" t="n">
        <f aca="false">Q!$N$11</f>
        <v>11.128</v>
      </c>
      <c r="O6215" s="38" t="n">
        <f aca="false">Q!$O$11</f>
        <v>11.433</v>
      </c>
      <c r="P6215" s="8" t="s">
        <v>678</v>
      </c>
    </row>
    <row r="6216" customFormat="false" ht="17.15" hidden="false" customHeight="false" outlineLevel="0" collapsed="false">
      <c r="A6216" s="0" t="s">
        <v>681</v>
      </c>
      <c r="B6216" s="0" t="s">
        <v>52</v>
      </c>
      <c r="E6216" s="13" t="n">
        <f aca="false">Sens!$E$6215/Sens!$N$6215-1</f>
        <v>0.0405283968368082</v>
      </c>
      <c r="F6216" s="13" t="n">
        <f aca="false">Sens!$O$6215/(Q!$F$11+Q!$G$11)-1</f>
        <v>0.0579254187100955</v>
      </c>
      <c r="G6216" s="13" t="n">
        <f aca="false">Sens!$G$6215/Sens!$D$6215-1</f>
        <v>0.0271208040881397</v>
      </c>
      <c r="H6216" s="13" t="n">
        <f aca="false">Sens!$F$6216+(g_ps-Sens!$F$6216)*1/4</f>
        <v>0.0509440640325716</v>
      </c>
      <c r="I6216" s="13" t="n">
        <f aca="false">Sens!$F$6216+(g_ps-Sens!$F$6216)*2/4</f>
        <v>0.0439627093550477</v>
      </c>
      <c r="J6216" s="13" t="n">
        <f aca="false">Sens!$F$6216+(g_ps-Sens!$F$6216)*3/4</f>
        <v>0.0369813546775239</v>
      </c>
      <c r="K6216" s="13" t="n">
        <f aca="false">Sens!$F$6216+(g_ps-Sens!$F$6216)*4/4</f>
        <v>0.03</v>
      </c>
      <c r="L6216" s="13" t="n">
        <f aca="false">g_ps</f>
        <v>0.03</v>
      </c>
      <c r="M6216" s="13" t="n">
        <f aca="false">g_ps</f>
        <v>0.03</v>
      </c>
      <c r="P6216" s="8" t="s">
        <v>682</v>
      </c>
    </row>
    <row r="6217" customFormat="false" ht="17.15" hidden="false" customHeight="false" outlineLevel="0" collapsed="false">
      <c r="A6217" s="0" t="s">
        <v>528</v>
      </c>
      <c r="B6217" s="0" t="s">
        <v>86</v>
      </c>
      <c r="C6217" s="38" t="n">
        <f aca="false">Q!$D$12</f>
        <v>156.146</v>
      </c>
      <c r="D6217" s="38" t="n">
        <f aca="false">Q!$E$12</f>
        <v>172.162</v>
      </c>
      <c r="E6217" s="38" t="n">
        <f aca="false">Q!$P$12</f>
        <v>88.358</v>
      </c>
      <c r="F6217" s="38" t="n">
        <f aca="false">Sens!$O$6217*(1+Sens!$F$6218)*Sens!$F$6225</f>
        <v>102.004388260171</v>
      </c>
      <c r="G6217" s="38" t="n">
        <f aca="false">Sens!$E$6217+Sens!$F$6217</f>
        <v>190.362388260171</v>
      </c>
      <c r="H6217" s="38" t="n">
        <f aca="false">Sens!$G$6217*(1+Sens!$H$6218)</f>
        <v>210.343106588311</v>
      </c>
      <c r="I6217" s="38" t="n">
        <f aca="false">Sens!$H$6217*(1+Sens!$I$6218)</f>
        <v>229.969728494648</v>
      </c>
      <c r="J6217" s="38" t="n">
        <f aca="false">Sens!$I$6217*(1+Sens!$J$6218)</f>
        <v>248.747636972598</v>
      </c>
      <c r="K6217" s="38" t="n">
        <f aca="false">Sens!$J$6217*(1+Sens!$K$6218)</f>
        <v>266.15997156068</v>
      </c>
      <c r="L6217" s="38" t="n">
        <f aca="false">Sens!$K$6217*(1+Sens!$L$6218)</f>
        <v>284.791169569927</v>
      </c>
      <c r="M6217" s="38" t="n">
        <f aca="false">Sens!$L$6217*(1+Sens!$M$6218)</f>
        <v>304.726551439822</v>
      </c>
      <c r="N6217" s="38" t="n">
        <f aca="false">Q!$N$12</f>
        <v>76.86</v>
      </c>
      <c r="O6217" s="38" t="n">
        <f aca="false">Q!$O$12</f>
        <v>95.302</v>
      </c>
      <c r="P6217" s="8" t="s">
        <v>678</v>
      </c>
    </row>
    <row r="6218" customFormat="false" ht="17.15" hidden="false" customHeight="false" outlineLevel="0" collapsed="false">
      <c r="A6218" s="0" t="s">
        <v>683</v>
      </c>
      <c r="B6218" s="0" t="s">
        <v>52</v>
      </c>
      <c r="E6218" s="13" t="n">
        <f aca="false">Sens!$E$6217/Sens!$N$6217-1</f>
        <v>0.1495966692688</v>
      </c>
      <c r="F6218" s="13" t="n">
        <f aca="false">Sens!$O$6217/(Q!$F$12+Q!$G$12)-1</f>
        <v>0.11661530890813</v>
      </c>
      <c r="G6218" s="13" t="n">
        <f aca="false">Sens!$G$6217/Sens!$D$6217-1</f>
        <v>0.105716640490767</v>
      </c>
      <c r="H6218" s="13" t="n">
        <f aca="false">Sens!$F$6218+(g_sp-Sens!$F$6218)*1/4</f>
        <v>0.104961481681098</v>
      </c>
      <c r="I6218" s="13" t="n">
        <f aca="false">Sens!$F$6218+(g_sp-Sens!$F$6218)*2/4</f>
        <v>0.0933076544540651</v>
      </c>
      <c r="J6218" s="13" t="n">
        <f aca="false">Sens!$F$6218+(g_sp-Sens!$F$6218)*3/4</f>
        <v>0.0816538272270325</v>
      </c>
      <c r="K6218" s="13" t="n">
        <f aca="false">Sens!$F$6218+(g_sp-Sens!$F$6218)*4/4</f>
        <v>0.07</v>
      </c>
      <c r="L6218" s="13" t="n">
        <f aca="false">g_sp</f>
        <v>0.07</v>
      </c>
      <c r="M6218" s="13" t="n">
        <f aca="false">g_sp</f>
        <v>0.07</v>
      </c>
      <c r="P6218" s="8" t="s">
        <v>684</v>
      </c>
    </row>
    <row r="6219" customFormat="false" ht="17.15" hidden="false" customHeight="false" outlineLevel="0" collapsed="false">
      <c r="A6219" s="0" t="s">
        <v>529</v>
      </c>
      <c r="B6219" s="0" t="s">
        <v>86</v>
      </c>
      <c r="C6219" s="38" t="n">
        <f aca="false">Q!$D$13</f>
        <v>56.214</v>
      </c>
      <c r="D6219" s="38" t="n">
        <f aca="false">Q!$E$13</f>
        <v>68.635</v>
      </c>
      <c r="E6219" s="38" t="n">
        <f aca="false">Q!$P$13</f>
        <v>37.052</v>
      </c>
      <c r="F6219" s="38" t="n">
        <f aca="false">Sens!$O$6219*(1+Sens!$F$6220)*Sens!$F$6225</f>
        <v>46.1572219944148</v>
      </c>
      <c r="G6219" s="38" t="n">
        <f aca="false">Sens!$E$6219+Sens!$F$6219</f>
        <v>83.2092219944148</v>
      </c>
      <c r="H6219" s="38" t="n">
        <f aca="false">Sens!$G$6219*(1+Sens!$H$6220)</f>
        <v>99.8969223878976</v>
      </c>
      <c r="I6219" s="38" t="n">
        <f aca="false">Sens!$H$6219*(1+Sens!$I$6220)</f>
        <v>116.583111095496</v>
      </c>
      <c r="J6219" s="38" t="n">
        <f aca="false">Sens!$I$6219*(1+Sens!$J$6220)</f>
        <v>132.148941941952</v>
      </c>
      <c r="K6219" s="38" t="n">
        <f aca="false">Sens!$J$6219*(1+Sens!$K$6220)</f>
        <v>145.363836136147</v>
      </c>
      <c r="L6219" s="38" t="n">
        <f aca="false">Sens!$K$6219*(1+Sens!$L$6220)</f>
        <v>159.900219749762</v>
      </c>
      <c r="M6219" s="38" t="n">
        <f aca="false">Sens!$L$6219*(1+Sens!$M$6220)</f>
        <v>175.890241724738</v>
      </c>
      <c r="N6219" s="38" t="n">
        <f aca="false">Q!$N$13</f>
        <v>29.615</v>
      </c>
      <c r="O6219" s="38" t="n">
        <f aca="false">Q!$O$13</f>
        <v>39.02</v>
      </c>
      <c r="P6219" s="8" t="s">
        <v>678</v>
      </c>
    </row>
    <row r="6220" customFormat="false" ht="17.15" hidden="false" customHeight="false" outlineLevel="0" collapsed="false">
      <c r="A6220" s="0" t="s">
        <v>685</v>
      </c>
      <c r="B6220" s="0" t="s">
        <v>52</v>
      </c>
      <c r="E6220" s="13" t="n">
        <f aca="false">Sens!$E$6219/Sens!$N$6219-1</f>
        <v>0.25112274185379</v>
      </c>
      <c r="F6220" s="13" t="n">
        <f aca="false">Sens!$O$6219/(Q!$F$13+Q!$G$13)-1</f>
        <v>0.234068123596572</v>
      </c>
      <c r="G6220" s="13" t="n">
        <f aca="false">Sens!$G$6219/Sens!$D$6219-1</f>
        <v>0.212343876949294</v>
      </c>
      <c r="H6220" s="13" t="n">
        <f aca="false">Sens!$F$6220+(g_ad-Sens!$F$6220)*1/4</f>
        <v>0.200551092697429</v>
      </c>
      <c r="I6220" s="13" t="n">
        <f aca="false">Sens!$F$6220+(g_ad-Sens!$F$6220)*2/4</f>
        <v>0.167034061798286</v>
      </c>
      <c r="J6220" s="13" t="n">
        <f aca="false">Sens!$F$6220+(g_ad-Sens!$F$6220)*3/4</f>
        <v>0.133517030899143</v>
      </c>
      <c r="K6220" s="13" t="n">
        <f aca="false">Sens!$F$6220+(g_ad-Sens!$F$6220)*4/4</f>
        <v>0.1</v>
      </c>
      <c r="L6220" s="13" t="n">
        <f aca="false">g_ad</f>
        <v>0.1</v>
      </c>
      <c r="M6220" s="13" t="n">
        <f aca="false">g_ad</f>
        <v>0.1</v>
      </c>
      <c r="P6220" s="8" t="s">
        <v>686</v>
      </c>
    </row>
    <row r="6221" customFormat="false" ht="17.15" hidden="false" customHeight="false" outlineLevel="0" collapsed="false">
      <c r="A6221" s="0" t="s">
        <v>530</v>
      </c>
      <c r="B6221" s="0" t="s">
        <v>86</v>
      </c>
      <c r="C6221" s="38" t="n">
        <f aca="false">Q!$D$14</f>
        <v>44.374</v>
      </c>
      <c r="D6221" s="38" t="n">
        <f aca="false">Q!$E$14</f>
        <v>49.619</v>
      </c>
      <c r="E6221" s="38" t="n">
        <f aca="false">Q!$P$14</f>
        <v>27.157</v>
      </c>
      <c r="F6221" s="38" t="n">
        <f aca="false">Sens!$O$6221*(1+Sens!$F$6222)*Sens!$F$6225</f>
        <v>27.7764165988154</v>
      </c>
      <c r="G6221" s="38" t="n">
        <f aca="false">Sens!$E$6221+Sens!$F$6221</f>
        <v>54.9334165988154</v>
      </c>
      <c r="H6221" s="38" t="n">
        <f aca="false">Sens!$G$6221*(1+Sens!$H$6222)</f>
        <v>61.1564112561829</v>
      </c>
      <c r="I6221" s="38" t="n">
        <f aca="false">Sens!$H$6221*(1+Sens!$I$6222)</f>
        <v>67.2020282103945</v>
      </c>
      <c r="J6221" s="38" t="n">
        <f aca="false">Sens!$I$6221*(1+Sens!$J$6222)</f>
        <v>72.8757274028885</v>
      </c>
      <c r="K6221" s="38" t="n">
        <f aca="false">Sens!$J$6221*(1+Sens!$K$6222)</f>
        <v>77.9770283210907</v>
      </c>
      <c r="L6221" s="38" t="n">
        <f aca="false">Sens!$K$6221*(1+Sens!$L$6222)</f>
        <v>83.4354203035671</v>
      </c>
      <c r="M6221" s="38" t="n">
        <f aca="false">Sens!$L$6221*(1+Sens!$M$6222)</f>
        <v>89.2758997248168</v>
      </c>
      <c r="N6221" s="38" t="n">
        <f aca="false">Q!$N$14</f>
        <v>23.923</v>
      </c>
      <c r="O6221" s="38" t="n">
        <f aca="false">Q!$O$14</f>
        <v>25.696</v>
      </c>
      <c r="P6221" s="8" t="s">
        <v>678</v>
      </c>
    </row>
    <row r="6222" customFormat="false" ht="17.15" hidden="false" customHeight="false" outlineLevel="0" collapsed="false">
      <c r="A6222" s="0" t="s">
        <v>687</v>
      </c>
      <c r="B6222" s="0" t="s">
        <v>52</v>
      </c>
      <c r="E6222" s="13" t="n">
        <f aca="false">Sens!$E$6221/Sens!$N$6221-1</f>
        <v>0.135183714417088</v>
      </c>
      <c r="F6222" s="13" t="n">
        <f aca="false">Sens!$O$6221/(Q!$F$14+Q!$G$14)-1</f>
        <v>0.127709997366804</v>
      </c>
      <c r="G6222" s="13" t="n">
        <f aca="false">Sens!$G$6221/Sens!$D$6221-1</f>
        <v>0.107104468022641</v>
      </c>
      <c r="H6222" s="13" t="n">
        <f aca="false">Sens!$F$6222+(g_sub-Sens!$F$6222)*1/4</f>
        <v>0.113282498025103</v>
      </c>
      <c r="I6222" s="13" t="n">
        <f aca="false">Sens!$F$6222+(g_sub-Sens!$F$6222)*2/4</f>
        <v>0.0988549986834021</v>
      </c>
      <c r="J6222" s="13" t="n">
        <f aca="false">Sens!$F$6222+(g_sub-Sens!$F$6222)*3/4</f>
        <v>0.084427499341701</v>
      </c>
      <c r="K6222" s="13" t="n">
        <f aca="false">Sens!$F$6222+(g_sub-Sens!$F$6222)*4/4</f>
        <v>0.07</v>
      </c>
      <c r="L6222" s="13" t="n">
        <f aca="false">g_sub</f>
        <v>0.07</v>
      </c>
      <c r="M6222" s="13" t="n">
        <f aca="false">g_sub</f>
        <v>0.07</v>
      </c>
      <c r="P6222" s="8" t="s">
        <v>688</v>
      </c>
    </row>
    <row r="6223" customFormat="false" ht="17.15" hidden="false" customHeight="false" outlineLevel="0" collapsed="false">
      <c r="A6223" s="0" t="s">
        <v>531</v>
      </c>
      <c r="B6223" s="0" t="s">
        <v>86</v>
      </c>
      <c r="C6223" s="38" t="n">
        <f aca="false">Q!$D$15</f>
        <v>5.425</v>
      </c>
      <c r="D6223" s="38" t="n">
        <f aca="false">Q!$E$15</f>
        <v>5.935</v>
      </c>
      <c r="E6223" s="38" t="n">
        <f aca="false">Q!$P$15</f>
        <v>3.474</v>
      </c>
      <c r="F6223" s="38" t="n">
        <f aca="false">Sens!$O$6223*(1+Sens!$F$6224)*Sens!$F$6225</f>
        <v>3.22246550883619</v>
      </c>
      <c r="G6223" s="38" t="n">
        <f aca="false">Sens!$E$6223+Sens!$F$6223</f>
        <v>6.69646550883619</v>
      </c>
      <c r="H6223" s="38" t="n">
        <f aca="false">Sens!$G$6223*(1+Sens!$H$6224)</f>
        <v>7.16251344209196</v>
      </c>
      <c r="I6223" s="38" t="n">
        <f aca="false">Sens!$H$6223*(1+Sens!$I$6224)</f>
        <v>7.61421070299826</v>
      </c>
      <c r="J6223" s="38" t="n">
        <f aca="false">Sens!$I$6223*(1+Sens!$J$6224)</f>
        <v>8.04465753523932</v>
      </c>
      <c r="K6223" s="38" t="n">
        <f aca="false">Sens!$J$6223*(1+Sens!$K$6224)</f>
        <v>8.44689041200128</v>
      </c>
      <c r="L6223" s="38" t="n">
        <f aca="false">Sens!$K$6223*(1+Sens!$L$6224)</f>
        <v>8.86923493260135</v>
      </c>
      <c r="M6223" s="38" t="n">
        <f aca="false">Sens!$L$6223*(1+Sens!$M$6224)</f>
        <v>9.31269667923142</v>
      </c>
      <c r="N6223" s="38" t="n">
        <f aca="false">Q!$N$15</f>
        <v>2.811</v>
      </c>
      <c r="O6223" s="38" t="n">
        <f aca="false">Q!$O$15</f>
        <v>3.124</v>
      </c>
      <c r="P6223" s="8" t="s">
        <v>678</v>
      </c>
    </row>
    <row r="6224" customFormat="false" ht="17.15" hidden="false" customHeight="false" outlineLevel="0" collapsed="false">
      <c r="A6224" s="0" t="s">
        <v>689</v>
      </c>
      <c r="B6224" s="0" t="s">
        <v>52</v>
      </c>
      <c r="E6224" s="13" t="n">
        <f aca="false">Sens!$E$6223/Sens!$N$6223-1</f>
        <v>0.235859124866596</v>
      </c>
      <c r="F6224" s="13" t="n">
        <f aca="false">Sens!$O$6223/(Q!$F$15+Q!$G$15)-1</f>
        <v>0.0761281433000345</v>
      </c>
      <c r="G6224" s="13" t="n">
        <f aca="false">Sens!$G$6223/Sens!$D$6223-1</f>
        <v>0.128300843948811</v>
      </c>
      <c r="H6224" s="13" t="n">
        <f aca="false">Sens!$F$6224+(g_ot-Sens!$F$6224)*1/4</f>
        <v>0.0695961074750259</v>
      </c>
      <c r="I6224" s="13" t="n">
        <f aca="false">Sens!$F$6224+(g_ot-Sens!$F$6224)*2/4</f>
        <v>0.0630640716500172</v>
      </c>
      <c r="J6224" s="13" t="n">
        <f aca="false">Sens!$F$6224+(g_ot-Sens!$F$6224)*3/4</f>
        <v>0.0565320358250086</v>
      </c>
      <c r="K6224" s="13" t="n">
        <f aca="false">Sens!$F$6224+(g_ot-Sens!$F$6224)*4/4</f>
        <v>0.05</v>
      </c>
      <c r="L6224" s="13" t="n">
        <f aca="false">g_ot</f>
        <v>0.05</v>
      </c>
      <c r="M6224" s="13" t="n">
        <f aca="false">g_ot</f>
        <v>0.05</v>
      </c>
      <c r="P6224" s="8" t="s">
        <v>690</v>
      </c>
    </row>
    <row r="6225" customFormat="false" ht="17.15" hidden="false" customHeight="false" outlineLevel="0" collapsed="false">
      <c r="A6225" s="0" t="s">
        <v>691</v>
      </c>
      <c r="B6225" s="0" t="s">
        <v>57</v>
      </c>
      <c r="F6225" s="40" t="n">
        <f aca="false">(g26q3_mid*Q!$O$8/Q!$J$8-Thesis!$F$89-Thesis!$F$93)/(Sens!$O$6213*(1+Sens!$F$6214)+Sens!$O$6215*(1+Sens!$F$6216)+Sens!$O$6217*(1+Sens!$F$6218)+Sens!$O$6219*(1+Sens!$F$6220)+Sens!$O$6221*(1+Sens!$F$6222)+Sens!$O$6223*(1+Sens!$F$6224))</f>
        <v>0.958546670622329</v>
      </c>
      <c r="P6225" s="8" t="s">
        <v>692</v>
      </c>
    </row>
    <row r="6226" customFormat="false" ht="17.15" hidden="false" customHeight="false" outlineLevel="0" collapsed="false">
      <c r="A6226" s="3" t="s">
        <v>693</v>
      </c>
      <c r="B6226" s="8" t="s">
        <v>86</v>
      </c>
      <c r="C6226" s="38" t="n">
        <f aca="false">Sens!$C$6213+Sens!$C$6215+Sens!$C$6217+Sens!$C$6219+Sens!$C$6221+Sens!$C$6223</f>
        <v>530.403</v>
      </c>
      <c r="D6226" s="38" t="n">
        <f aca="false">Sens!$D$6213+Sens!$D$6215+Sens!$D$6217+Sens!$D$6219+Sens!$D$6221+Sens!$D$6223</f>
        <v>588.199</v>
      </c>
      <c r="E6226" s="38" t="n">
        <f aca="false">Sens!$E$6213+Sens!$E$6215+Sens!$E$6217+Sens!$E$6219+Sens!$E$6221+Sens!$E$6223</f>
        <v>302.306</v>
      </c>
      <c r="F6226" s="38" t="n">
        <f aca="false">Sens!$F$6213+Sens!$F$6215+Sens!$F$6217+Sens!$F$6219+Sens!$F$6221+Sens!$F$6223</f>
        <v>349.048241645537</v>
      </c>
      <c r="G6226" s="38" t="n">
        <f aca="false">Sens!$G$6213+Sens!$G$6215+Sens!$G$6217+Sens!$G$6219+Sens!$G$6221+Sens!$G$6223</f>
        <v>651.354241645537</v>
      </c>
      <c r="H6226" s="38" t="n">
        <f aca="false">Sens!$H$6213+Sens!$H$6215+Sens!$H$6217+Sens!$H$6219+Sens!$H$6221+Sens!$H$6223</f>
        <v>721.096889521386</v>
      </c>
      <c r="I6226" s="38" t="n">
        <f aca="false">Sens!$I$6213+Sens!$I$6215+Sens!$I$6217+Sens!$I$6219+Sens!$I$6221+Sens!$I$6223</f>
        <v>788.529391152531</v>
      </c>
      <c r="J6226" s="38" t="n">
        <f aca="false">Sens!$J$6213+Sens!$J$6215+Sens!$J$6217+Sens!$J$6219+Sens!$J$6221+Sens!$J$6223</f>
        <v>851.108405741443</v>
      </c>
      <c r="K6226" s="38" t="n">
        <f aca="false">Sens!$K$6213+Sens!$K$6215+Sens!$K$6217+Sens!$K$6219+Sens!$K$6221+Sens!$K$6223</f>
        <v>906.176455431088</v>
      </c>
      <c r="L6226" s="38" t="n">
        <f aca="false">Sens!$L$6213+Sens!$L$6215+Sens!$L$6217+Sens!$L$6219+Sens!$L$6221+Sens!$L$6223</f>
        <v>965.093106475589</v>
      </c>
      <c r="M6226" s="38" t="n">
        <f aca="false">Sens!$M$6213+Sens!$M$6215+Sens!$M$6217+Sens!$M$6219+Sens!$M$6221+Sens!$M$6223</f>
        <v>1028.14790794689</v>
      </c>
      <c r="N6226" s="38" t="n">
        <f aca="false">Sens!$N$6213+Sens!$N$6215+Sens!$N$6217+Sens!$N$6219+Sens!$N$6221+Sens!$N$6223</f>
        <v>263.229</v>
      </c>
      <c r="O6226" s="38" t="n">
        <f aca="false">Sens!$O$6213+Sens!$O$6215+Sens!$O$6217+Sens!$O$6219+Sens!$O$6221+Sens!$O$6223</f>
        <v>324.97</v>
      </c>
    </row>
    <row r="6227" customFormat="false" ht="17.15" hidden="false" customHeight="false" outlineLevel="0" collapsed="false">
      <c r="A6227" s="5" t="s">
        <v>694</v>
      </c>
      <c r="B6227" s="0" t="s">
        <v>52</v>
      </c>
      <c r="C6227" s="13" t="n">
        <f aca="false">Q!$D$5/(Q!$D$5+Q!$D$6)</f>
        <v>0.730570905519011</v>
      </c>
      <c r="D6227" s="13" t="n">
        <f aca="false">Q!$E$5/(Q!$E$5+Q!$E$6)</f>
        <v>0.724763217890544</v>
      </c>
      <c r="E6227" s="13" t="n">
        <f aca="false">Q!$P$5/(Q!$P$5+Q!$P$6)</f>
        <v>0.728797972914861</v>
      </c>
      <c r="F6227" s="13" t="n">
        <f aca="false">Sens!$O$6227</f>
        <v>0.718066283041511</v>
      </c>
      <c r="G6227" s="13" t="n">
        <f aca="false">Sens!$G$6228/Sens!$G$6226</f>
        <v>0.723047066202847</v>
      </c>
      <c r="H6227" s="13" t="n">
        <f aca="false">Sens!$G$6227</f>
        <v>0.723047066202847</v>
      </c>
      <c r="I6227" s="13" t="n">
        <f aca="false">Sens!$G$6227</f>
        <v>0.723047066202847</v>
      </c>
      <c r="J6227" s="13" t="n">
        <f aca="false">Sens!$G$6227</f>
        <v>0.723047066202847</v>
      </c>
      <c r="K6227" s="13" t="n">
        <f aca="false">Sens!$G$6227</f>
        <v>0.723047066202847</v>
      </c>
      <c r="L6227" s="13" t="n">
        <f aca="false">Sens!$G$6227</f>
        <v>0.723047066202847</v>
      </c>
      <c r="M6227" s="13" t="n">
        <f aca="false">Sens!$G$6227</f>
        <v>0.723047066202847</v>
      </c>
      <c r="N6227" s="13" t="n">
        <f aca="false">Q!$N$5/(Q!$N$5+Q!$N$6)</f>
        <v>0.733030935041352</v>
      </c>
      <c r="O6227" s="13" t="n">
        <f aca="false">Q!$O$5/(Q!$O$5+Q!$O$6)</f>
        <v>0.718066283041511</v>
      </c>
      <c r="P6227" s="8" t="s">
        <v>695</v>
      </c>
    </row>
    <row r="6228" customFormat="false" ht="17.15" hidden="false" customHeight="false" outlineLevel="0" collapsed="false">
      <c r="A6228" s="1" t="s">
        <v>519</v>
      </c>
      <c r="B6228" s="8" t="s">
        <v>86</v>
      </c>
      <c r="C6228" s="38" t="n">
        <f aca="false">Q!$D$5</f>
        <v>387.497</v>
      </c>
      <c r="D6228" s="38" t="n">
        <f aca="false">Q!$E$5</f>
        <v>426.305</v>
      </c>
      <c r="E6228" s="38" t="n">
        <f aca="false">Q!$P$5</f>
        <v>220.32</v>
      </c>
      <c r="F6228" s="38" t="n">
        <f aca="false">Sens!$F$6226*Sens!$F$6227</f>
        <v>250.639773480586</v>
      </c>
      <c r="G6228" s="38" t="n">
        <f aca="false">Sens!$E$6228+Sens!$F$6228</f>
        <v>470.959773480586</v>
      </c>
      <c r="H6228" s="38" t="n">
        <f aca="false">Sens!$H$6226*Sens!$H$6227</f>
        <v>521.386990416437</v>
      </c>
      <c r="I6228" s="38" t="n">
        <f aca="false">Sens!$I$6226*Sens!$I$6227</f>
        <v>570.143862887555</v>
      </c>
      <c r="J6228" s="38" t="n">
        <f aca="false">Sens!$J$6226*Sens!$J$6227</f>
        <v>615.391435791933</v>
      </c>
      <c r="K6228" s="38" t="n">
        <f aca="false">Sens!$K$6226*Sens!$K$6227</f>
        <v>655.208227561543</v>
      </c>
      <c r="L6228" s="38" t="n">
        <f aca="false">Sens!$L$6226*Sens!$L$6227</f>
        <v>697.807739249767</v>
      </c>
      <c r="M6228" s="38" t="n">
        <f aca="false">Sens!$M$6226*Sens!$M$6227</f>
        <v>743.399328463592</v>
      </c>
      <c r="N6228" s="38" t="n">
        <f aca="false">Q!$N$5</f>
        <v>192.955</v>
      </c>
      <c r="O6228" s="38" t="n">
        <f aca="false">Q!$O$5</f>
        <v>233.35</v>
      </c>
      <c r="P6228" s="5" t="s">
        <v>696</v>
      </c>
    </row>
    <row r="6229" customFormat="false" ht="17.15" hidden="false" customHeight="false" outlineLevel="0" collapsed="false">
      <c r="A6229" s="1" t="s">
        <v>522</v>
      </c>
      <c r="B6229" s="8" t="s">
        <v>86</v>
      </c>
      <c r="C6229" s="38" t="n">
        <f aca="false">Q!$D$6</f>
        <v>142.906</v>
      </c>
      <c r="D6229" s="38" t="n">
        <f aca="false">Q!$E$6</f>
        <v>161.894</v>
      </c>
      <c r="E6229" s="38" t="n">
        <f aca="false">Q!$P$6</f>
        <v>81.986</v>
      </c>
      <c r="F6229" s="38" t="n">
        <f aca="false">Sens!$F$6226*(1-Sens!$F$6227)</f>
        <v>98.408468164951</v>
      </c>
      <c r="G6229" s="38" t="n">
        <f aca="false">Sens!$E$6229+Sens!$F$6229</f>
        <v>180.394468164951</v>
      </c>
      <c r="H6229" s="38" t="n">
        <f aca="false">Sens!$H$6226*(1-Sens!$H$6227)</f>
        <v>199.709899104949</v>
      </c>
      <c r="I6229" s="38" t="n">
        <f aca="false">Sens!$I$6226*(1-Sens!$I$6227)</f>
        <v>218.385528264976</v>
      </c>
      <c r="J6229" s="38" t="n">
        <f aca="false">Sens!$J$6226*(1-Sens!$J$6227)</f>
        <v>235.71696994951</v>
      </c>
      <c r="K6229" s="38" t="n">
        <f aca="false">Sens!$K$6226*(1-Sens!$K$6227)</f>
        <v>250.968227869545</v>
      </c>
      <c r="L6229" s="38" t="n">
        <f aca="false">Sens!$L$6226*(1-Sens!$L$6227)</f>
        <v>267.285367225822</v>
      </c>
      <c r="M6229" s="38" t="n">
        <f aca="false">Sens!$M$6226*(1-Sens!$M$6227)</f>
        <v>284.748579483295</v>
      </c>
      <c r="N6229" s="38" t="n">
        <f aca="false">Q!$N$6</f>
        <v>70.274</v>
      </c>
      <c r="O6229" s="38" t="n">
        <f aca="false">Q!$O$6</f>
        <v>91.62</v>
      </c>
      <c r="P6229" s="5" t="s">
        <v>697</v>
      </c>
    </row>
    <row r="6230" customFormat="false" ht="17.15" hidden="false" customHeight="false" outlineLevel="0" collapsed="false">
      <c r="A6230" s="5" t="s">
        <v>698</v>
      </c>
      <c r="B6230" s="0" t="s">
        <v>86</v>
      </c>
      <c r="C6230" s="38" t="n">
        <f aca="false">Sens!$C$6219*Sens!$C$6227</f>
        <v>41.0683128828457</v>
      </c>
      <c r="D6230" s="38" t="n">
        <f aca="false">Sens!$D$6219*Sens!$D$6227</f>
        <v>49.7441234599175</v>
      </c>
      <c r="E6230" s="38" t="n">
        <f aca="false">Sens!$E$6219*Sens!$E$6227</f>
        <v>27.0034224924414</v>
      </c>
      <c r="F6230" s="38" t="n">
        <f aca="false">Sens!$F$6219*Sens!$F$6227</f>
        <v>33.1439448330513</v>
      </c>
      <c r="G6230" s="38" t="n">
        <f aca="false">Sens!$G$6219*Sens!$G$6227</f>
        <v>60.164183844083</v>
      </c>
      <c r="H6230" s="38" t="n">
        <f aca="false">Sens!$H$6219*Sens!$H$6227</f>
        <v>72.2301766552629</v>
      </c>
      <c r="I6230" s="38" t="n">
        <f aca="false">Sens!$I$6219*Sens!$I$6227</f>
        <v>84.2950764463991</v>
      </c>
      <c r="J6230" s="38" t="n">
        <f aca="false">Sens!$J$6219*Sens!$J$6227</f>
        <v>95.5499047729386</v>
      </c>
      <c r="K6230" s="38" t="n">
        <f aca="false">Sens!$K$6219*Sens!$K$6227</f>
        <v>105.104895250232</v>
      </c>
      <c r="L6230" s="38" t="n">
        <f aca="false">Sens!$L$6219*Sens!$L$6227</f>
        <v>115.615384775256</v>
      </c>
      <c r="M6230" s="38" t="n">
        <f aca="false">Sens!$M$6219*Sens!$M$6227</f>
        <v>127.176923252781</v>
      </c>
      <c r="N6230" s="38" t="n">
        <f aca="false">Sens!$N$6219*Sens!$N$6227</f>
        <v>21.7087111412496</v>
      </c>
      <c r="O6230" s="38" t="n">
        <f aca="false">Sens!$O$6219*Sens!$O$6227</f>
        <v>28.0189463642798</v>
      </c>
      <c r="P6230" s="5" t="s">
        <v>699</v>
      </c>
    </row>
    <row r="6231" customFormat="false" ht="15" hidden="false" customHeight="false" outlineLevel="0" collapsed="false">
      <c r="A6231" s="5" t="s">
        <v>700</v>
      </c>
      <c r="B6231" s="0" t="s">
        <v>86</v>
      </c>
      <c r="C6231" s="38" t="n">
        <f aca="false">Sens!$C$6219-Sens!$C$6230</f>
        <v>15.1456871171543</v>
      </c>
      <c r="D6231" s="38" t="n">
        <f aca="false">Sens!$D$6219-Sens!$D$6230</f>
        <v>18.8908765400825</v>
      </c>
      <c r="E6231" s="38" t="n">
        <f aca="false">Sens!$E$6219-Sens!$E$6230</f>
        <v>10.0485775075586</v>
      </c>
      <c r="F6231" s="38" t="n">
        <f aca="false">Sens!$F$6219-Sens!$F$6230</f>
        <v>13.0132771613635</v>
      </c>
      <c r="G6231" s="38" t="n">
        <f aca="false">Sens!$G$6219-Sens!$G$6230</f>
        <v>23.0450381503318</v>
      </c>
      <c r="H6231" s="38" t="n">
        <f aca="false">Sens!$H$6219-Sens!$H$6230</f>
        <v>27.6667457326347</v>
      </c>
      <c r="I6231" s="38" t="n">
        <f aca="false">Sens!$I$6219-Sens!$I$6230</f>
        <v>32.2880346490971</v>
      </c>
      <c r="J6231" s="38" t="n">
        <f aca="false">Sens!$J$6219-Sens!$J$6230</f>
        <v>36.5990371690132</v>
      </c>
      <c r="K6231" s="38" t="n">
        <f aca="false">Sens!$K$6219-Sens!$K$6230</f>
        <v>40.2589408859145</v>
      </c>
      <c r="L6231" s="38" t="n">
        <f aca="false">Sens!$L$6219-Sens!$L$6230</f>
        <v>44.2848349745059</v>
      </c>
      <c r="M6231" s="38" t="n">
        <f aca="false">Sens!$M$6219-Sens!$M$6230</f>
        <v>48.7133184719565</v>
      </c>
      <c r="N6231" s="38" t="n">
        <f aca="false">Sens!$N$6219-Sens!$N$6230</f>
        <v>7.90628885875037</v>
      </c>
      <c r="O6231" s="38" t="n">
        <f aca="false">Sens!$O$6219-Sens!$O$6230</f>
        <v>11.0010536357202</v>
      </c>
    </row>
    <row r="6232" customFormat="false" ht="19.4" hidden="false" customHeight="false" outlineLevel="0" collapsed="false">
      <c r="A6232" s="31" t="s">
        <v>1278</v>
      </c>
    </row>
    <row r="6233" customFormat="false" ht="17.15" hidden="false" customHeight="false" outlineLevel="0" collapsed="false">
      <c r="A6233" s="6" t="s">
        <v>16</v>
      </c>
      <c r="B6233" s="6" t="s">
        <v>17</v>
      </c>
      <c r="C6233" s="20" t="s">
        <v>504</v>
      </c>
      <c r="D6233" s="20" t="s">
        <v>505</v>
      </c>
      <c r="E6233" s="20" t="s">
        <v>587</v>
      </c>
      <c r="F6233" s="20" t="s">
        <v>588</v>
      </c>
      <c r="G6233" s="20" t="s">
        <v>589</v>
      </c>
      <c r="H6233" s="20" t="s">
        <v>590</v>
      </c>
      <c r="I6233" s="20" t="s">
        <v>591</v>
      </c>
      <c r="J6233" s="20" t="s">
        <v>592</v>
      </c>
      <c r="K6233" s="20" t="s">
        <v>593</v>
      </c>
      <c r="L6233" s="20" t="s">
        <v>594</v>
      </c>
      <c r="M6233" s="20" t="s">
        <v>595</v>
      </c>
      <c r="N6233" s="20" t="s">
        <v>596</v>
      </c>
      <c r="O6233" s="20" t="s">
        <v>597</v>
      </c>
      <c r="P6233" s="6" t="s">
        <v>23</v>
      </c>
      <c r="R6233" s="20" t="n">
        <v>2023</v>
      </c>
      <c r="S6233" s="20" t="n">
        <v>2024</v>
      </c>
      <c r="T6233" s="20" t="n">
        <v>2025</v>
      </c>
      <c r="U6233" s="20" t="n">
        <v>2026</v>
      </c>
      <c r="V6233" s="20" t="n">
        <v>2027</v>
      </c>
      <c r="W6233" s="20" t="n">
        <v>2028</v>
      </c>
      <c r="X6233" s="20" t="n">
        <v>2029</v>
      </c>
      <c r="Y6233" s="20" t="n">
        <v>2030</v>
      </c>
      <c r="Z6233" s="20" t="n">
        <v>2031</v>
      </c>
      <c r="AA6233" s="20" t="n">
        <v>2032</v>
      </c>
    </row>
    <row r="6234" customFormat="false" ht="17.15" hidden="false" customHeight="false" outlineLevel="0" collapsed="false">
      <c r="A6234" s="1" t="s">
        <v>598</v>
      </c>
    </row>
    <row r="6235" customFormat="false" ht="17.15" hidden="false" customHeight="false" outlineLevel="0" collapsed="false">
      <c r="A6235" s="5" t="s">
        <v>599</v>
      </c>
      <c r="B6235" s="0" t="s">
        <v>144</v>
      </c>
      <c r="H6235" s="32" t="n">
        <f aca="false">pace_B</f>
        <v>3634.3</v>
      </c>
      <c r="I6235" s="32" t="n">
        <f aca="false">pace_B</f>
        <v>3634.3</v>
      </c>
      <c r="J6235" s="32" t="n">
        <f aca="false">pace_B</f>
        <v>3634.3</v>
      </c>
      <c r="K6235" s="32" t="n">
        <f aca="false">pace_B+(Sens!$J$6236*tg-pace_B)*1/3</f>
        <v>2570.86716666667</v>
      </c>
      <c r="L6235" s="32" t="n">
        <f aca="false">pace_B+(Sens!$J$6236*tg-pace_B)*2/3</f>
        <v>1507.43433333333</v>
      </c>
      <c r="M6235" s="32" t="n">
        <f aca="false">pace_B+(Sens!$J$6236*tg-pace_B)*3/3</f>
        <v>444.0015</v>
      </c>
      <c r="P6235" s="5" t="s">
        <v>600</v>
      </c>
    </row>
    <row r="6236" customFormat="false" ht="17.15" hidden="false" customHeight="false" outlineLevel="0" collapsed="false">
      <c r="A6236" s="15" t="s">
        <v>601</v>
      </c>
      <c r="B6236" s="14" t="s">
        <v>129</v>
      </c>
      <c r="C6236" s="33" t="n">
        <f aca="false">mw_ye24</f>
        <v>360</v>
      </c>
      <c r="D6236" s="33" t="n">
        <f aca="false">mw_ye25</f>
        <v>1440</v>
      </c>
      <c r="E6236" s="33" t="n">
        <f aca="false">mw_open</f>
        <v>2080</v>
      </c>
      <c r="F6236" s="33" t="n">
        <f aca="false">Sens!$E$6236+pace_B*0.5</f>
        <v>3897.15</v>
      </c>
      <c r="G6236" s="33" t="n">
        <f aca="false">Sens!$F$6236</f>
        <v>3897.15</v>
      </c>
      <c r="H6236" s="33" t="n">
        <f aca="false">Sens!$G$6236+Sens!$H$6235</f>
        <v>7531.45</v>
      </c>
      <c r="I6236" s="33" t="n">
        <f aca="false">Sens!$H$6236+Sens!$I$6235</f>
        <v>11165.75</v>
      </c>
      <c r="J6236" s="33" t="n">
        <f aca="false">Sens!$I$6236+Sens!$J$6235</f>
        <v>14800.05</v>
      </c>
      <c r="K6236" s="33" t="n">
        <f aca="false">Sens!$J$6236+Sens!$K$6235</f>
        <v>17370.9171666667</v>
      </c>
      <c r="L6236" s="33" t="n">
        <f aca="false">Sens!$K$6236+Sens!$L$6235</f>
        <v>18878.3515</v>
      </c>
      <c r="M6236" s="33" t="n">
        <f aca="false">Sens!$L$6236+Sens!$M$6235</f>
        <v>19322.353</v>
      </c>
      <c r="N6236" s="33" t="n">
        <f aca="false">(mw_ye24+mw_ye25)/2</f>
        <v>900</v>
      </c>
      <c r="O6236" s="33" t="n">
        <f aca="false">mw_ye25</f>
        <v>1440</v>
      </c>
      <c r="P6236" s="5" t="s">
        <v>602</v>
      </c>
    </row>
    <row r="6237" customFormat="false" ht="17.15" hidden="false" customHeight="false" outlineLevel="0" collapsed="false">
      <c r="A6237" s="5" t="s">
        <v>603</v>
      </c>
      <c r="B6237" s="0" t="s">
        <v>129</v>
      </c>
      <c r="C6237" s="32" t="n">
        <f aca="false">(mw_ye23+mw_ye24)/2</f>
        <v>240</v>
      </c>
      <c r="D6237" s="32" t="n">
        <f aca="false">(Sens!$C$6236+Sens!$D$6236)/2</f>
        <v>900</v>
      </c>
      <c r="E6237" s="32" t="n">
        <f aca="false">(Sens!$D$6236+Sens!$E$6236)/2</f>
        <v>1760</v>
      </c>
      <c r="F6237" s="32" t="n">
        <f aca="false">(Sens!$E$6236+Sens!$F$6236)/2</f>
        <v>2988.575</v>
      </c>
      <c r="G6237" s="32" t="n">
        <f aca="false">(Sens!$E$6237+Sens!$F$6237)/2</f>
        <v>2374.2875</v>
      </c>
      <c r="H6237" s="32" t="n">
        <f aca="false">(Sens!$G$6236+Sens!$H$6236)/2</f>
        <v>5714.3</v>
      </c>
      <c r="I6237" s="32" t="n">
        <f aca="false">(Sens!$H$6236+Sens!$I$6236)/2</f>
        <v>9348.6</v>
      </c>
      <c r="J6237" s="32" t="n">
        <f aca="false">(Sens!$I$6236+Sens!$J$6236)/2</f>
        <v>12982.9</v>
      </c>
      <c r="K6237" s="32" t="n">
        <f aca="false">(Sens!$J$6236+Sens!$K$6236)/2</f>
        <v>16085.4835833333</v>
      </c>
      <c r="L6237" s="32" t="n">
        <f aca="false">(Sens!$K$6236+Sens!$L$6236)/2</f>
        <v>18124.6343333333</v>
      </c>
      <c r="M6237" s="32" t="n">
        <f aca="false">(Sens!$L$6236+Sens!$M$6236)/2</f>
        <v>19100.35225</v>
      </c>
      <c r="N6237" s="32" t="n">
        <f aca="false">(Sens!$C$6236+Sens!$N$6236)/2</f>
        <v>630</v>
      </c>
      <c r="O6237" s="32" t="n">
        <f aca="false">(Sens!$N$6236+Sens!$O$6236)/2</f>
        <v>1170</v>
      </c>
    </row>
    <row r="6238" customFormat="false" ht="15" hidden="false" customHeight="false" outlineLevel="0" collapsed="false">
      <c r="A6238" s="5" t="s">
        <v>604</v>
      </c>
      <c r="B6238" s="5" t="s">
        <v>123</v>
      </c>
      <c r="C6238" s="34" t="n">
        <v>1</v>
      </c>
      <c r="D6238" s="34" t="n">
        <v>1</v>
      </c>
      <c r="E6238" s="34" t="n">
        <v>0.5</v>
      </c>
      <c r="F6238" s="34" t="n">
        <v>0.5</v>
      </c>
      <c r="G6238" s="34" t="n">
        <v>1</v>
      </c>
      <c r="H6238" s="34" t="n">
        <v>1</v>
      </c>
      <c r="I6238" s="34" t="n">
        <v>1</v>
      </c>
      <c r="J6238" s="34" t="n">
        <v>1</v>
      </c>
      <c r="K6238" s="34" t="n">
        <v>1</v>
      </c>
      <c r="L6238" s="34" t="n">
        <v>1</v>
      </c>
      <c r="M6238" s="34" t="n">
        <v>1</v>
      </c>
      <c r="N6238" s="34" t="n">
        <v>0.5</v>
      </c>
      <c r="O6238" s="34" t="n">
        <v>0.5</v>
      </c>
    </row>
    <row r="6239" customFormat="false" ht="17.15" hidden="false" customHeight="false" outlineLevel="0" collapsed="false">
      <c r="A6239" s="5" t="s">
        <v>605</v>
      </c>
      <c r="B6239" s="0" t="s">
        <v>129</v>
      </c>
      <c r="C6239" s="32" t="n">
        <f aca="false">Sens!$C$6236-mw_ye23</f>
        <v>240</v>
      </c>
      <c r="D6239" s="32" t="n">
        <f aca="false">Sens!$D$6236-Sens!$C$6236</f>
        <v>1080</v>
      </c>
      <c r="E6239" s="32" t="n">
        <f aca="false">Sens!$E$6236-Sens!$D$6236</f>
        <v>640</v>
      </c>
      <c r="F6239" s="32" t="n">
        <f aca="false">Sens!$F$6236-Sens!$E$6236</f>
        <v>1817.15</v>
      </c>
      <c r="G6239" s="32" t="n">
        <f aca="false">Sens!$E$6239+Sens!$F$6239</f>
        <v>2457.15</v>
      </c>
      <c r="H6239" s="32" t="n">
        <f aca="false">Sens!$H$6236-Sens!$G$6236</f>
        <v>3634.3</v>
      </c>
      <c r="I6239" s="32" t="n">
        <f aca="false">Sens!$I$6236-Sens!$H$6236</f>
        <v>3634.3</v>
      </c>
      <c r="J6239" s="32" t="n">
        <f aca="false">Sens!$J$6236-Sens!$I$6236</f>
        <v>3634.3</v>
      </c>
      <c r="K6239" s="32" t="n">
        <f aca="false">Sens!$K$6236-Sens!$J$6236</f>
        <v>2570.86716666667</v>
      </c>
      <c r="L6239" s="32" t="n">
        <f aca="false">Sens!$L$6236-Sens!$K$6236</f>
        <v>1507.43433333333</v>
      </c>
      <c r="M6239" s="32" t="n">
        <f aca="false">Sens!$M$6236-Sens!$L$6236</f>
        <v>444.001499999999</v>
      </c>
      <c r="N6239" s="32" t="n">
        <f aca="false">Sens!$N$6236-Sens!$C$6236</f>
        <v>540</v>
      </c>
      <c r="O6239" s="32" t="n">
        <f aca="false">Sens!$O$6236-Sens!$N$6236</f>
        <v>540</v>
      </c>
    </row>
    <row r="6240" customFormat="false" ht="17.15" hidden="false" customHeight="false" outlineLevel="0" collapsed="false">
      <c r="A6240" s="5" t="s">
        <v>606</v>
      </c>
      <c r="B6240" s="0" t="s">
        <v>129</v>
      </c>
      <c r="C6240" s="32" t="n">
        <f aca="false">Sens!$C$6239/ext_sh</f>
        <v>300</v>
      </c>
      <c r="D6240" s="32" t="n">
        <f aca="false">Sens!$D$6239/ext_sh</f>
        <v>1350</v>
      </c>
      <c r="E6240" s="32" t="n">
        <f aca="false">Sens!$E$6239/ext_sh</f>
        <v>800</v>
      </c>
      <c r="F6240" s="32" t="n">
        <f aca="false">Sens!$F$6239/ext_sh</f>
        <v>2271.4375</v>
      </c>
      <c r="G6240" s="32" t="n">
        <f aca="false">Sens!$G$6239/ext_sh</f>
        <v>3071.4375</v>
      </c>
      <c r="H6240" s="32" t="n">
        <f aca="false">Sens!$H$6239/ext_sh</f>
        <v>4542.875</v>
      </c>
      <c r="I6240" s="32" t="n">
        <f aca="false">Sens!$I$6239/ext_sh</f>
        <v>4542.875</v>
      </c>
      <c r="J6240" s="32" t="n">
        <f aca="false">Sens!$J$6239/ext_sh</f>
        <v>4542.875</v>
      </c>
      <c r="K6240" s="32" t="n">
        <f aca="false">Sens!$K$6239/ext_sh</f>
        <v>3213.58395833333</v>
      </c>
      <c r="L6240" s="32" t="n">
        <f aca="false">Sens!$L$6239/ext_sh</f>
        <v>1884.29291666667</v>
      </c>
      <c r="M6240" s="32" t="n">
        <f aca="false">Sens!$M$6239/ext_sh</f>
        <v>555.001874999998</v>
      </c>
      <c r="N6240" s="32" t="n">
        <f aca="false">Sens!$N$6239/ext_sh</f>
        <v>675</v>
      </c>
      <c r="O6240" s="32" t="n">
        <f aca="false">Sens!$O$6239/ext_sh</f>
        <v>675</v>
      </c>
      <c r="P6240" s="8" t="s">
        <v>607</v>
      </c>
      <c r="R6240" s="32" t="n">
        <f aca="false">mw_ye23/ext_sh</f>
        <v>150</v>
      </c>
      <c r="S6240" s="32" t="n">
        <f aca="false">Sens!$C$6240</f>
        <v>300</v>
      </c>
      <c r="T6240" s="32" t="n">
        <f aca="false">Sens!$D$6240</f>
        <v>1350</v>
      </c>
      <c r="U6240" s="32" t="n">
        <f aca="false">Sens!$G$6240</f>
        <v>3071.4375</v>
      </c>
      <c r="V6240" s="32" t="n">
        <f aca="false">Sens!$H$6240</f>
        <v>4542.875</v>
      </c>
      <c r="W6240" s="32" t="n">
        <f aca="false">Sens!$I$6240</f>
        <v>4542.875</v>
      </c>
      <c r="X6240" s="32" t="n">
        <f aca="false">Sens!$J$6240</f>
        <v>4542.875</v>
      </c>
      <c r="Y6240" s="32" t="n">
        <f aca="false">Sens!$K$6240</f>
        <v>3213.58395833333</v>
      </c>
      <c r="Z6240" s="32" t="n">
        <f aca="false">Sens!$L$6240</f>
        <v>1884.29291666667</v>
      </c>
      <c r="AA6240" s="32" t="n">
        <f aca="false">Sens!$M$6240</f>
        <v>555.001874999998</v>
      </c>
    </row>
    <row r="6241" customFormat="false" ht="17.15" hidden="false" customHeight="false" outlineLevel="0" collapsed="false">
      <c r="A6241" s="1" t="s">
        <v>608</v>
      </c>
    </row>
    <row r="6242" customFormat="false" ht="17.15" hidden="false" customHeight="false" outlineLevel="0" collapsed="false">
      <c r="A6242" s="0" t="s">
        <v>609</v>
      </c>
      <c r="B6242" s="0" t="s">
        <v>52</v>
      </c>
      <c r="F6242" s="35" t="n">
        <f aca="false">na_vr26</f>
        <v>0</v>
      </c>
      <c r="G6242" s="35" t="n">
        <f aca="false">na_vr26</f>
        <v>0</v>
      </c>
      <c r="H6242" s="35" t="n">
        <f aca="false">na_vr27</f>
        <v>0.5</v>
      </c>
      <c r="I6242" s="35" t="n">
        <f aca="false">na_vr28</f>
        <v>1</v>
      </c>
      <c r="J6242" s="35" t="n">
        <f aca="false">na_vr28</f>
        <v>1</v>
      </c>
      <c r="K6242" s="35" t="n">
        <f aca="false">na_vr28</f>
        <v>1</v>
      </c>
      <c r="L6242" s="35" t="n">
        <f aca="false">na_vr28</f>
        <v>1</v>
      </c>
      <c r="M6242" s="35" t="n">
        <f aca="false">na_vr28</f>
        <v>1</v>
      </c>
    </row>
    <row r="6243" customFormat="false" ht="17.15" hidden="false" customHeight="false" outlineLevel="0" collapsed="false">
      <c r="A6243" s="5" t="s">
        <v>610</v>
      </c>
      <c r="B6243" s="0" t="s">
        <v>173</v>
      </c>
      <c r="F6243" s="36" t="n">
        <f aca="false">cust_sh*tk_he_gb300*cf_chip+(1-cust_sh)*((1-Sens!$F$6242)*tk_he_gb300+Sens!$F$6242*tk_he_vr200)</f>
        <v>10.8864110021101</v>
      </c>
      <c r="G6243" s="36" t="n">
        <f aca="false">cust_sh*tk_he_gb300*cf_chip+(1-cust_sh)*((1-Sens!$G$6242)*tk_he_gb300+Sens!$G$6242*tk_he_vr200)</f>
        <v>10.8864110021101</v>
      </c>
      <c r="H6243" s="36" t="n">
        <f aca="false">cust_sh*tk_he_gb300*cf_chip+(1-cust_sh)*((1-Sens!$H$6242)*tk_he_gb300+Sens!$H$6242*tk_he_vr200)</f>
        <v>11.2211760027286</v>
      </c>
      <c r="I6243" s="36" t="n">
        <f aca="false">cust_sh*tk_he_gb300*cf_chip+(1-cust_sh)*((1-Sens!$I$6242)*tk_he_gb300+Sens!$I$6242*tk_he_vr200)</f>
        <v>11.5559410033471</v>
      </c>
      <c r="J6243" s="36" t="n">
        <f aca="false">cust_sh*tk_he_gb300*cf_chip+(1-cust_sh)*((1-Sens!$J$6242)*tk_he_gb300+Sens!$J$6242*tk_he_vr200)</f>
        <v>11.5559410033471</v>
      </c>
      <c r="K6243" s="36" t="n">
        <f aca="false">cust_sh*tk_he_gb300*cf_chip+(1-cust_sh)*((1-Sens!$K$6242)*tk_he_gb300+Sens!$K$6242*tk_he_vr200)</f>
        <v>11.5559410033471</v>
      </c>
      <c r="L6243" s="36" t="n">
        <f aca="false">cust_sh*tk_he_gb300*cf_chip+(1-cust_sh)*((1-Sens!$L$6242)*tk_he_gb300+Sens!$L$6242*tk_he_vr200)</f>
        <v>11.5559410033471</v>
      </c>
      <c r="M6243" s="36" t="n">
        <f aca="false">cust_sh*tk_he_gb300*cf_chip+(1-cust_sh)*((1-Sens!$M$6242)*tk_he_gb300+Sens!$M$6242*tk_he_vr200)</f>
        <v>11.5559410033471</v>
      </c>
    </row>
    <row r="6244" customFormat="false" ht="17.15" hidden="false" customHeight="false" outlineLevel="0" collapsed="false">
      <c r="A6244" s="5" t="s">
        <v>611</v>
      </c>
      <c r="B6244" s="0" t="s">
        <v>173</v>
      </c>
      <c r="F6244" s="36" t="n">
        <f aca="false">cust_sh*tk_ox_gb300+(1-cust_sh)*((1-Sens!$F$6242)*tk_ox_gb300+Sens!$F$6242*tk_ox_vr200)</f>
        <v>1.98263481314457</v>
      </c>
      <c r="G6244" s="36" t="n">
        <f aca="false">cust_sh*tk_ox_gb300+(1-cust_sh)*((1-Sens!$G$6242)*tk_ox_gb300+Sens!$G$6242*tk_ox_vr200)</f>
        <v>1.98263481314457</v>
      </c>
      <c r="H6244" s="36" t="n">
        <f aca="false">cust_sh*tk_ox_gb300+(1-cust_sh)*((1-Sens!$H$6242)*tk_ox_gb300+Sens!$H$6242*tk_ox_vr200)</f>
        <v>2.01034999693694</v>
      </c>
      <c r="I6244" s="36" t="n">
        <f aca="false">cust_sh*tk_ox_gb300+(1-cust_sh)*((1-Sens!$I$6242)*tk_ox_gb300+Sens!$I$6242*tk_ox_vr200)</f>
        <v>2.0380651807293</v>
      </c>
      <c r="J6244" s="36" t="n">
        <f aca="false">cust_sh*tk_ox_gb300+(1-cust_sh)*((1-Sens!$J$6242)*tk_ox_gb300+Sens!$J$6242*tk_ox_vr200)</f>
        <v>2.0380651807293</v>
      </c>
      <c r="K6244" s="36" t="n">
        <f aca="false">cust_sh*tk_ox_gb300+(1-cust_sh)*((1-Sens!$K$6242)*tk_ox_gb300+Sens!$K$6242*tk_ox_vr200)</f>
        <v>2.0380651807293</v>
      </c>
      <c r="L6244" s="36" t="n">
        <f aca="false">cust_sh*tk_ox_gb300+(1-cust_sh)*((1-Sens!$L$6242)*tk_ox_gb300+Sens!$L$6242*tk_ox_vr200)</f>
        <v>2.0380651807293</v>
      </c>
      <c r="M6244" s="36" t="n">
        <f aca="false">cust_sh*tk_ox_gb300+(1-cust_sh)*((1-Sens!$M$6242)*tk_ox_gb300+Sens!$M$6242*tk_ox_vr200)</f>
        <v>2.0380651807293</v>
      </c>
    </row>
    <row r="6245" customFormat="false" ht="17.15" hidden="false" customHeight="false" outlineLevel="0" collapsed="false">
      <c r="A6245" s="5" t="s">
        <v>612</v>
      </c>
      <c r="B6245" s="0" t="s">
        <v>192</v>
      </c>
      <c r="F6245" s="36" t="n">
        <f aca="false">cust_sh*tk_cx_gb300*cf_cx+(1-cust_sh)*((1-Sens!$F$6242)*tk_cx_gb300+Sens!$F$6242*tk_cx_vr200)</f>
        <v>32.237224</v>
      </c>
      <c r="G6245" s="36" t="n">
        <f aca="false">cust_sh*tk_cx_gb300*cf_cx+(1-cust_sh)*((1-Sens!$G$6242)*tk_cx_gb300+Sens!$G$6242*tk_cx_vr200)</f>
        <v>32.237224</v>
      </c>
      <c r="H6245" s="36" t="n">
        <f aca="false">cust_sh*tk_cx_gb300*cf_cx+(1-cust_sh)*((1-Sens!$H$6242)*tk_cx_gb300+Sens!$H$6242*tk_cx_vr200)</f>
        <v>33.574506</v>
      </c>
      <c r="I6245" s="36" t="n">
        <f aca="false">cust_sh*tk_cx_gb300*cf_cx+(1-cust_sh)*((1-Sens!$I$6242)*tk_cx_gb300+Sens!$I$6242*tk_cx_vr200)</f>
        <v>34.911788</v>
      </c>
      <c r="J6245" s="36" t="n">
        <f aca="false">cust_sh*tk_cx_gb300*cf_cx+(1-cust_sh)*((1-Sens!$J$6242)*tk_cx_gb300+Sens!$J$6242*tk_cx_vr200)</f>
        <v>34.911788</v>
      </c>
      <c r="K6245" s="36" t="n">
        <f aca="false">cust_sh*tk_cx_gb300*cf_cx+(1-cust_sh)*((1-Sens!$K$6242)*tk_cx_gb300+Sens!$K$6242*tk_cx_vr200)</f>
        <v>34.911788</v>
      </c>
      <c r="L6245" s="36" t="n">
        <f aca="false">cust_sh*tk_cx_gb300*cf_cx+(1-cust_sh)*((1-Sens!$L$6242)*tk_cx_gb300+Sens!$L$6242*tk_cx_vr200)</f>
        <v>34.911788</v>
      </c>
      <c r="M6245" s="36" t="n">
        <f aca="false">cust_sh*tk_cx_gb300*cf_cx+(1-cust_sh)*((1-Sens!$M$6242)*tk_cx_gb300+Sens!$M$6242*tk_cx_vr200)</f>
        <v>34.911788</v>
      </c>
    </row>
    <row r="6246" customFormat="false" ht="17.15" hidden="false" customHeight="false" outlineLevel="0" collapsed="false">
      <c r="A6246" s="5" t="s">
        <v>613</v>
      </c>
      <c r="B6246" s="0" t="s">
        <v>129</v>
      </c>
      <c r="F6246" s="32" t="n">
        <f aca="false">Sens!$F$6236-mw_open</f>
        <v>1817.15</v>
      </c>
      <c r="G6246" s="32" t="n">
        <f aca="false">Sens!$F$6246</f>
        <v>1817.15</v>
      </c>
      <c r="H6246" s="32" t="n">
        <f aca="false">Sens!$H$6236-mw_open</f>
        <v>5451.45</v>
      </c>
      <c r="I6246" s="32" t="n">
        <f aca="false">Sens!$I$6236-mw_open</f>
        <v>9085.75</v>
      </c>
      <c r="J6246" s="32" t="n">
        <f aca="false">Sens!$J$6236-mw_open</f>
        <v>12720.05</v>
      </c>
      <c r="K6246" s="32" t="n">
        <f aca="false">Sens!$K$6236-mw_open</f>
        <v>15290.9171666667</v>
      </c>
      <c r="L6246" s="32" t="n">
        <f aca="false">Sens!$L$6236-mw_open</f>
        <v>16798.3515</v>
      </c>
      <c r="M6246" s="32" t="n">
        <f aca="false">Sens!$M$6236-mw_open</f>
        <v>17242.353</v>
      </c>
    </row>
    <row r="6247" customFormat="false" ht="17.15" hidden="false" customHeight="false" outlineLevel="0" collapsed="false">
      <c r="A6247" s="0" t="s">
        <v>614</v>
      </c>
      <c r="B6247" s="0" t="s">
        <v>615</v>
      </c>
      <c r="F6247" s="32" t="n">
        <f aca="false">Sens!$F$6239*Sens!$F$6243</f>
        <v>19782.2417524844</v>
      </c>
      <c r="G6247" s="32" t="n">
        <f aca="false">Sens!$F$6247</f>
        <v>19782.2417524844</v>
      </c>
      <c r="H6247" s="32" t="n">
        <f aca="false">Sens!$G$6247+Sens!$H$6239*Sens!$H$6243</f>
        <v>60563.3616992009</v>
      </c>
      <c r="I6247" s="32" t="n">
        <f aca="false">Sens!$H$6247+Sens!$I$6239*Sens!$I$6243</f>
        <v>102561.118087665</v>
      </c>
      <c r="J6247" s="32" t="n">
        <f aca="false">Sens!$I$6247+Sens!$J$6239*Sens!$J$6243</f>
        <v>144558.87447613</v>
      </c>
      <c r="K6247" s="32" t="n">
        <f aca="false">Sens!$J$6247+Sens!$K$6239*Sens!$K$6243</f>
        <v>174267.663781572</v>
      </c>
      <c r="L6247" s="32" t="n">
        <f aca="false">Sens!$K$6247+Sens!$L$6239*Sens!$L$6243</f>
        <v>191687.486003992</v>
      </c>
      <c r="M6247" s="32" t="n">
        <f aca="false">Sens!$L$6247+Sens!$M$6239*Sens!$M$6243</f>
        <v>196818.341143389</v>
      </c>
    </row>
    <row r="6248" customFormat="false" ht="17.15" hidden="false" customHeight="false" outlineLevel="0" collapsed="false">
      <c r="A6248" s="0" t="s">
        <v>616</v>
      </c>
      <c r="B6248" s="0" t="s">
        <v>615</v>
      </c>
      <c r="F6248" s="32" t="n">
        <f aca="false">Sens!$F$6239*Sens!$F$6244</f>
        <v>3602.74485070566</v>
      </c>
      <c r="G6248" s="32" t="n">
        <f aca="false">Sens!$F$6248</f>
        <v>3602.74485070566</v>
      </c>
      <c r="H6248" s="32" t="n">
        <f aca="false">Sens!$G$6248+Sens!$H$6239*Sens!$H$6244</f>
        <v>10908.9598445736</v>
      </c>
      <c r="I6248" s="32" t="n">
        <f aca="false">Sens!$H$6248+Sens!$I$6239*Sens!$I$6244</f>
        <v>18315.9001308981</v>
      </c>
      <c r="J6248" s="32" t="n">
        <f aca="false">Sens!$I$6248+Sens!$J$6239*Sens!$J$6244</f>
        <v>25722.8404172225</v>
      </c>
      <c r="K6248" s="32" t="n">
        <f aca="false">Sens!$J$6248+Sens!$K$6239*Sens!$K$6244</f>
        <v>30962.4352738861</v>
      </c>
      <c r="L6248" s="32" t="n">
        <f aca="false">Sens!$K$6248+Sens!$L$6239*Sens!$L$6244</f>
        <v>34034.6847008886</v>
      </c>
      <c r="M6248" s="32" t="n">
        <f aca="false">Sens!$L$6248+Sens!$M$6239*Sens!$M$6244</f>
        <v>34939.5886982302</v>
      </c>
    </row>
    <row r="6249" customFormat="false" ht="17.15" hidden="false" customHeight="false" outlineLevel="0" collapsed="false">
      <c r="A6249" s="5" t="s">
        <v>617</v>
      </c>
      <c r="B6249" s="0" t="s">
        <v>173</v>
      </c>
      <c r="F6249" s="36" t="n">
        <f aca="false">IF(Sens!$F$6246&gt;0,Sens!$F$6247/Sens!$F$6246,Sens!$F$6243)</f>
        <v>10.8864110021101</v>
      </c>
      <c r="G6249" s="36" t="n">
        <f aca="false">IF(Sens!$G$6246&gt;0,Sens!$G$6247/Sens!$G$6246,Sens!$G$6243)</f>
        <v>10.8864110021101</v>
      </c>
      <c r="H6249" s="36" t="n">
        <f aca="false">IF(Sens!$H$6246&gt;0,Sens!$H$6247/Sens!$H$6246,Sens!$H$6243)</f>
        <v>11.1095876691891</v>
      </c>
      <c r="I6249" s="36" t="n">
        <f aca="false">IF(Sens!$I$6246&gt;0,Sens!$I$6247/Sens!$I$6246,Sens!$I$6243)</f>
        <v>11.2881290028523</v>
      </c>
      <c r="J6249" s="36" t="n">
        <f aca="false">IF(Sens!$J$6246&gt;0,Sens!$J$6247/Sens!$J$6246,Sens!$J$6243)</f>
        <v>11.3646467172794</v>
      </c>
      <c r="K6249" s="36" t="n">
        <f aca="false">IF(Sens!$K$6246&gt;0,Sens!$K$6247/Sens!$K$6246,Sens!$K$6243)</f>
        <v>11.3968090914432</v>
      </c>
      <c r="L6249" s="36" t="n">
        <f aca="false">IF(Sens!$L$6246&gt;0,Sens!$L$6247/Sens!$L$6246,Sens!$L$6243)</f>
        <v>11.4110891181192</v>
      </c>
      <c r="M6249" s="36" t="n">
        <f aca="false">IF(Sens!$M$6246&gt;0,Sens!$M$6247/Sens!$M$6246,Sens!$M$6243)</f>
        <v>11.4148191458201</v>
      </c>
    </row>
    <row r="6250" customFormat="false" ht="17.15" hidden="false" customHeight="false" outlineLevel="0" collapsed="false">
      <c r="A6250" s="5" t="s">
        <v>618</v>
      </c>
      <c r="B6250" s="0" t="s">
        <v>173</v>
      </c>
      <c r="F6250" s="36" t="n">
        <f aca="false">IF(Sens!$F$6246&gt;0,Sens!$F$6248/Sens!$F$6246,Sens!$F$6244)</f>
        <v>1.98263481314457</v>
      </c>
      <c r="G6250" s="36" t="n">
        <f aca="false">IF(Sens!$G$6246&gt;0,Sens!$G$6248/Sens!$G$6246,Sens!$G$6244)</f>
        <v>1.98263481314457</v>
      </c>
      <c r="H6250" s="36" t="n">
        <f aca="false">IF(Sens!$H$6246&gt;0,Sens!$H$6248/Sens!$H$6246,Sens!$H$6244)</f>
        <v>2.00111160233948</v>
      </c>
      <c r="I6250" s="36" t="n">
        <f aca="false">IF(Sens!$I$6246&gt;0,Sens!$I$6248/Sens!$I$6246,Sens!$I$6244)</f>
        <v>2.01589303369541</v>
      </c>
      <c r="J6250" s="36" t="n">
        <f aca="false">IF(Sens!$J$6246&gt;0,Sens!$J$6248/Sens!$J$6246,Sens!$J$6244)</f>
        <v>2.02222793284795</v>
      </c>
      <c r="K6250" s="36" t="n">
        <f aca="false">IF(Sens!$K$6246&gt;0,Sens!$K$6248/Sens!$K$6246,Sens!$K$6244)</f>
        <v>2.02489065478573</v>
      </c>
      <c r="L6250" s="36" t="n">
        <f aca="false">IF(Sens!$L$6246&gt;0,Sens!$L$6248/Sens!$L$6246,Sens!$L$6244)</f>
        <v>2.0260728977417</v>
      </c>
      <c r="M6250" s="36" t="n">
        <f aca="false">IF(Sens!$M$6246&gt;0,Sens!$M$6248/Sens!$M$6246,Sens!$M$6244)</f>
        <v>2.02638170661685</v>
      </c>
    </row>
    <row r="6251" customFormat="false" ht="17.15" hidden="false" customHeight="false" outlineLevel="0" collapsed="false">
      <c r="A6251" s="15" t="s">
        <v>619</v>
      </c>
      <c r="B6251" s="14" t="s">
        <v>173</v>
      </c>
      <c r="C6251" s="14"/>
      <c r="D6251" s="14"/>
      <c r="E6251" s="14"/>
      <c r="F6251" s="37" t="n">
        <f aca="false">Sens!$F$6249*k_B</f>
        <v>10.7987645808025</v>
      </c>
      <c r="G6251" s="37" t="n">
        <f aca="false">Sens!$G$6249*k_B</f>
        <v>10.7987645808025</v>
      </c>
      <c r="H6251" s="37" t="n">
        <f aca="false">Sens!$H$6249*k_B</f>
        <v>11.0201444540452</v>
      </c>
      <c r="I6251" s="37" t="n">
        <f aca="false">Sens!$I$6249*k_B</f>
        <v>11.1972483526393</v>
      </c>
      <c r="J6251" s="37" t="n">
        <f aca="false">Sens!$J$6249*k_B</f>
        <v>11.2731500234653</v>
      </c>
      <c r="K6251" s="37" t="n">
        <f aca="false">Sens!$K$6249*k_B</f>
        <v>11.3050534585724</v>
      </c>
      <c r="L6251" s="37" t="n">
        <f aca="false">Sens!$L$6249*k_B</f>
        <v>11.3192185168503</v>
      </c>
      <c r="M6251" s="37" t="n">
        <f aca="false">Sens!$M$6249*k_B</f>
        <v>11.3229185141234</v>
      </c>
      <c r="N6251" s="14"/>
      <c r="O6251" s="14"/>
      <c r="P6251" s="5" t="s">
        <v>620</v>
      </c>
    </row>
    <row r="6252" customFormat="false" ht="17.15" hidden="false" customHeight="false" outlineLevel="0" collapsed="false">
      <c r="A6252" s="5" t="s">
        <v>621</v>
      </c>
      <c r="B6252" s="0" t="s">
        <v>129</v>
      </c>
      <c r="F6252" s="32" t="n">
        <f aca="false">Sens!$F$6246/2</f>
        <v>908.575</v>
      </c>
      <c r="H6252" s="32" t="n">
        <f aca="false">(Sens!$G$6246+Sens!$H$6246)/2</f>
        <v>3634.3</v>
      </c>
      <c r="I6252" s="32" t="n">
        <f aca="false">(Sens!$H$6246+Sens!$I$6246)/2</f>
        <v>7268.6</v>
      </c>
      <c r="J6252" s="32" t="n">
        <f aca="false">(Sens!$I$6246+Sens!$J$6246)/2</f>
        <v>10902.9</v>
      </c>
      <c r="K6252" s="32" t="n">
        <f aca="false">(Sens!$J$6246+Sens!$K$6246)/2</f>
        <v>14005.4835833333</v>
      </c>
      <c r="L6252" s="32" t="n">
        <f aca="false">(Sens!$K$6246+Sens!$L$6246)/2</f>
        <v>16044.6343333333</v>
      </c>
      <c r="M6252" s="32" t="n">
        <f aca="false">(Sens!$L$6246+Sens!$M$6246)/2</f>
        <v>17020.35225</v>
      </c>
    </row>
    <row r="6253" customFormat="false" ht="17.15" hidden="false" customHeight="false" outlineLevel="0" collapsed="false">
      <c r="A6253" s="1" t="s">
        <v>622</v>
      </c>
    </row>
    <row r="6254" customFormat="false" ht="17.15" hidden="false" customHeight="false" outlineLevel="0" collapsed="false">
      <c r="A6254" s="1" t="s">
        <v>623</v>
      </c>
      <c r="B6254" s="8" t="s">
        <v>86</v>
      </c>
      <c r="C6254" s="38" t="n">
        <f aca="false">Sens!$C$6237*rpm_open*Sens!$C$6238/1000</f>
        <v>2.32100535697364</v>
      </c>
      <c r="D6254" s="38" t="n">
        <f aca="false">Sens!$D$6237*rpm_open*Sens!$D$6238/1000</f>
        <v>8.70377008865116</v>
      </c>
      <c r="E6254" s="38" t="n">
        <f aca="false">Sens!$E$6237*rpm_open*Sens!$E$6238/1000</f>
        <v>8.51035297557002</v>
      </c>
      <c r="F6254" s="38" t="n">
        <f aca="false">(mw_open*rpm_open+Sens!$F$6252*Sens!$F$6251)*Sens!$F$6238/1000</f>
        <v>14.9634336447205</v>
      </c>
      <c r="G6254" s="38" t="n">
        <f aca="false">Sens!$E$6254+Sens!$F$6254</f>
        <v>23.4737866202905</v>
      </c>
      <c r="H6254" s="38" t="n">
        <f aca="false">(mw_open*rpm_open+Sens!$H$6252*Sens!$H$6251)/1000</f>
        <v>60.1658907497746</v>
      </c>
      <c r="I6254" s="38" t="n">
        <f aca="false">(mw_open*rpm_open+Sens!$I$6252*Sens!$I$6251)/1000</f>
        <v>101.503699136432</v>
      </c>
      <c r="J6254" s="38" t="n">
        <f aca="false">(mw_open*rpm_open+Sens!$J$6252*Sens!$J$6251)/1000</f>
        <v>143.025407151278</v>
      </c>
      <c r="K6254" s="38" t="n">
        <f aca="false">(mw_open*rpm_open+Sens!$K$6252*Sens!$K$6251)/1000</f>
        <v>178.44812038318</v>
      </c>
      <c r="L6254" s="38" t="n">
        <f aca="false">(mw_open*rpm_open+Sens!$L$6252*Sens!$L$6251)/1000</f>
        <v>201.728101802396</v>
      </c>
      <c r="M6254" s="38" t="n">
        <f aca="false">(mw_open*rpm_open+Sens!$M$6252*Sens!$M$6251)/1000</f>
        <v>212.835441368865</v>
      </c>
      <c r="N6254" s="38" t="n">
        <f aca="false">Sens!$N$6237*rpm_open*Sens!$N$6238/1000</f>
        <v>3.04631953102791</v>
      </c>
      <c r="O6254" s="38" t="n">
        <f aca="false">Sens!$O$6237*rpm_open*Sens!$O$6238/1000</f>
        <v>5.65745055762326</v>
      </c>
      <c r="P6254" s="5" t="s">
        <v>624</v>
      </c>
    </row>
    <row r="6255" customFormat="false" ht="17.15" hidden="false" customHeight="false" outlineLevel="0" collapsed="false">
      <c r="A6255" s="5" t="s">
        <v>625</v>
      </c>
      <c r="B6255" s="0" t="s">
        <v>173</v>
      </c>
      <c r="C6255" s="36" t="n">
        <f aca="false">Sens!$C$6254*1000/(Sens!$C$6237*Sens!$C$6238)</f>
        <v>9.67085565405685</v>
      </c>
      <c r="D6255" s="36" t="n">
        <f aca="false">Sens!$D$6254*1000/(Sens!$D$6237*Sens!$D$6238)</f>
        <v>9.67085565405685</v>
      </c>
      <c r="E6255" s="36" t="n">
        <f aca="false">Sens!$E$6254*1000/(Sens!$E$6237*Sens!$E$6238)</f>
        <v>9.67085565405685</v>
      </c>
      <c r="F6255" s="36" t="n">
        <f aca="false">Sens!$F$6254*1000/(Sens!$F$6237*Sens!$F$6238)</f>
        <v>10.0137581588017</v>
      </c>
      <c r="G6255" s="36" t="n">
        <f aca="false">Sens!$G$6254*1000/(Sens!$G$6237*Sens!$G$6238)</f>
        <v>9.88666562928478</v>
      </c>
      <c r="H6255" s="36" t="n">
        <f aca="false">Sens!$H$6254*1000/(Sens!$H$6237*Sens!$H$6238)</f>
        <v>10.5290045586992</v>
      </c>
      <c r="I6255" s="36" t="n">
        <f aca="false">Sens!$I$6254*1000/(Sens!$I$6237*Sens!$I$6238)</f>
        <v>10.8576363451674</v>
      </c>
      <c r="J6255" s="36" t="n">
        <f aca="false">Sens!$J$6254*1000/(Sens!$J$6237*Sens!$J$6238)</f>
        <v>11.0164452588619</v>
      </c>
      <c r="K6255" s="36" t="n">
        <f aca="false">Sens!$K$6254*1000/(Sens!$K$6237*Sens!$K$6238)</f>
        <v>11.0937367508227</v>
      </c>
      <c r="L6255" s="36" t="n">
        <f aca="false">Sens!$L$6254*1000/(Sens!$L$6237*Sens!$L$6238)</f>
        <v>11.1300508519168</v>
      </c>
      <c r="M6255" s="36" t="n">
        <f aca="false">Sens!$M$6254*1000/(Sens!$M$6237*Sens!$M$6238)</f>
        <v>11.1430113216297</v>
      </c>
      <c r="N6255" s="36" t="n">
        <f aca="false">Sens!$N$6254*1000/(Sens!$N$6237*Sens!$N$6238)</f>
        <v>9.67085565405685</v>
      </c>
      <c r="O6255" s="36" t="n">
        <f aca="false">Sens!$O$6254*1000/(Sens!$O$6237*Sens!$O$6238)</f>
        <v>9.67085565405685</v>
      </c>
    </row>
    <row r="6256" customFormat="false" ht="17.15" hidden="false" customHeight="false" outlineLevel="0" collapsed="false">
      <c r="A6256" s="0" t="s">
        <v>626</v>
      </c>
      <c r="B6256" s="0" t="s">
        <v>86</v>
      </c>
      <c r="C6256" s="38" t="n">
        <f aca="false">Sens!$C$6237/ext_sh*(ox_open+rent_mw)*Sens!$C$6238/1000</f>
        <v>0.642569210675032</v>
      </c>
      <c r="D6256" s="38" t="n">
        <f aca="false">Sens!$D$6237/ext_sh*(ox_open+rent_mw)*Sens!$D$6238/1000</f>
        <v>2.40963454003137</v>
      </c>
      <c r="E6256" s="38" t="n">
        <f aca="false">Sens!$E$6237/ext_sh*(ox_open+rent_mw)*Sens!$E$6238/1000</f>
        <v>2.35608710580845</v>
      </c>
      <c r="F6256" s="38" t="n">
        <f aca="false">((mw_open*ox_open+Sens!$F$6252*Sens!$F$6250)/ext_sh+Sens!$F$6237/ext_sh*rent_mw)*Sens!$F$6238/1000</f>
        <v>4.05421991106232</v>
      </c>
      <c r="G6256" s="38" t="n">
        <f aca="false">Sens!$E$6256+Sens!$F$6256</f>
        <v>6.41030701687077</v>
      </c>
      <c r="H6256" s="38" t="n">
        <f aca="false">((mw_open*ox_open+Sens!$H$6252*Sens!$H$6250)/ext_sh+Sens!$H$6237/ext_sh*rent_mw)*Sens!$H$6238/1000</f>
        <v>15.8108975546616</v>
      </c>
      <c r="I6256" s="38" t="n">
        <f aca="false">((mw_open*ox_open+Sens!$I$6252*Sens!$I$6250)/ext_sh+Sens!$I$6237/ext_sh*rent_mw)*Sens!$I$6238/1000</f>
        <v>26.1871623400817</v>
      </c>
      <c r="J6256" s="38" t="n">
        <f aca="false">((mw_open*ox_open+Sens!$J$6252*Sens!$J$6250)/ext_sh+Sens!$J$6237/ext_sh*rent_mw)*Sens!$J$6238/1000</f>
        <v>36.5826128954935</v>
      </c>
      <c r="K6256" s="38" t="n">
        <f aca="false">((mw_open*ox_open+Sens!$K$6252*Sens!$K$6250)/ext_sh+Sens!$K$6237/ext_sh*rent_mw)*Sens!$K$6238/1000</f>
        <v>45.4546361137628</v>
      </c>
      <c r="L6256" s="38" t="n">
        <f aca="false">((mw_open*ox_open+Sens!$L$6252*Sens!$L$6250)/ext_sh+Sens!$L$6237/ext_sh*rent_mw)*Sens!$L$6238/1000</f>
        <v>51.2855695554452</v>
      </c>
      <c r="M6256" s="38" t="n">
        <f aca="false">((mw_open*ox_open+Sens!$M$6252*Sens!$M$6250)/ext_sh+Sens!$M$6237/ext_sh*rent_mw)*Sens!$M$6238/1000</f>
        <v>54.0722927838398</v>
      </c>
      <c r="N6256" s="38" t="n">
        <f aca="false">Sens!$N$6237/ext_sh*(ox_open+rent_mw)*Sens!$N$6238/1000</f>
        <v>0.84337208901098</v>
      </c>
      <c r="O6256" s="38" t="n">
        <f aca="false">Sens!$O$6237/ext_sh*(ox_open+rent_mw)*Sens!$O$6238/1000</f>
        <v>1.56626245102039</v>
      </c>
    </row>
    <row r="6257" customFormat="false" ht="17.15" hidden="false" customHeight="false" outlineLevel="0" collapsed="false">
      <c r="A6257" s="0" t="s">
        <v>627</v>
      </c>
      <c r="B6257" s="0" t="s">
        <v>86</v>
      </c>
      <c r="C6257" s="38" t="n">
        <f aca="false">Q!$D$7</f>
        <v>107.556</v>
      </c>
      <c r="D6257" s="38" t="n">
        <f aca="false">Q!$E$7</f>
        <v>128.725</v>
      </c>
      <c r="E6257" s="38" t="n">
        <f aca="false">Q!$P$7</f>
        <v>79.819</v>
      </c>
      <c r="N6257" s="38" t="n">
        <f aca="false">Q!$N$7</f>
        <v>60.14</v>
      </c>
      <c r="O6257" s="38" t="n">
        <f aca="false">Q!$O$7</f>
        <v>68.585</v>
      </c>
    </row>
    <row r="6258" customFormat="false" ht="17.15" hidden="false" customHeight="false" outlineLevel="0" collapsed="false">
      <c r="A6258" s="1" t="s">
        <v>628</v>
      </c>
      <c r="B6258" s="8" t="s">
        <v>86</v>
      </c>
      <c r="C6258" s="38" t="n">
        <f aca="false">Sens!$C$6257-Sens!$C$6254</f>
        <v>105.234994643026</v>
      </c>
      <c r="D6258" s="38" t="n">
        <f aca="false">Sens!$D$6257-Sens!$D$6254</f>
        <v>120.021229911349</v>
      </c>
      <c r="E6258" s="38" t="n">
        <f aca="false">Sens!$E$6257-Sens!$E$6254</f>
        <v>71.30864702443</v>
      </c>
      <c r="F6258" s="38" t="n">
        <f aca="false">Sens!$O$6258*(1+Sens!$F$6259)</f>
        <v>71.7692997942464</v>
      </c>
      <c r="G6258" s="38" t="n">
        <f aca="false">Sens!$E$6258+Sens!$F$6258</f>
        <v>143.077946818676</v>
      </c>
      <c r="H6258" s="38" t="n">
        <f aca="false">Sens!$G$6258*(1+Sens!$H$6259)</f>
        <v>161.017077079203</v>
      </c>
      <c r="I6258" s="38" t="n">
        <f aca="false">Sens!$H$6258*(1+Sens!$I$6259)</f>
        <v>178.769759521457</v>
      </c>
      <c r="J6258" s="38" t="n">
        <f aca="false">Sens!$I$6258*(1+Sens!$J$6259)</f>
        <v>195.775538045907</v>
      </c>
      <c r="K6258" s="38" t="n">
        <f aca="false">Sens!$J$6258*(1+Sens!$K$6259)</f>
        <v>211.43758108958</v>
      </c>
      <c r="L6258" s="38" t="n">
        <f aca="false">Sens!$K$6258*(1+Sens!$L$6259)</f>
        <v>228.352587576746</v>
      </c>
      <c r="M6258" s="38" t="n">
        <f aca="false">Sens!$L$6258*(1+Sens!$M$6259)</f>
        <v>246.620794582886</v>
      </c>
      <c r="N6258" s="38" t="n">
        <f aca="false">Sens!$N$6257-Sens!$N$6254</f>
        <v>57.0936804689721</v>
      </c>
      <c r="O6258" s="38" t="n">
        <f aca="false">Sens!$O$6257-Sens!$O$6254</f>
        <v>62.9275494423768</v>
      </c>
      <c r="P6258" s="5" t="s">
        <v>629</v>
      </c>
    </row>
    <row r="6259" customFormat="false" ht="17.15" hidden="false" customHeight="false" outlineLevel="0" collapsed="false">
      <c r="A6259" s="0" t="s">
        <v>630</v>
      </c>
      <c r="B6259" s="0" t="s">
        <v>52</v>
      </c>
      <c r="D6259" s="13" t="n">
        <f aca="false">Sens!$D$6258/Sens!$C$6258-1</f>
        <v>0.140506827776062</v>
      </c>
      <c r="E6259" s="13" t="n">
        <f aca="false">Sens!$E$6258/Sens!$N$6258-1</f>
        <v>0.248976181579029</v>
      </c>
      <c r="F6259" s="13" t="n">
        <f aca="false">Sens!$D$6259</f>
        <v>0.140506827776062</v>
      </c>
      <c r="G6259" s="13" t="n">
        <f aca="false">Sens!$G$6258/Sens!$D$6258-1</f>
        <v>0.19210532106993</v>
      </c>
      <c r="H6259" s="13" t="n">
        <f aca="false">Sens!$F$6259+(g_awso_lt-Sens!$F$6259)*1/4</f>
        <v>0.125380120832046</v>
      </c>
      <c r="I6259" s="13" t="n">
        <f aca="false">Sens!$F$6259+(g_awso_lt-Sens!$F$6259)*2/4</f>
        <v>0.110253413888031</v>
      </c>
      <c r="J6259" s="13" t="n">
        <f aca="false">Sens!$F$6259+(g_awso_lt-Sens!$F$6259)*3/4</f>
        <v>0.0951267069440154</v>
      </c>
      <c r="K6259" s="13" t="n">
        <f aca="false">Sens!$F$6259+(g_awso_lt-Sens!$F$6259)*4/4</f>
        <v>0.08</v>
      </c>
      <c r="L6259" s="13" t="n">
        <f aca="false">g_awso_lt</f>
        <v>0.08</v>
      </c>
      <c r="M6259" s="13" t="n">
        <f aca="false">g_awso_lt</f>
        <v>0.08</v>
      </c>
      <c r="P6259" s="5" t="s">
        <v>631</v>
      </c>
    </row>
    <row r="6260" customFormat="false" ht="17.15" hidden="false" customHeight="false" outlineLevel="0" collapsed="false">
      <c r="A6260" s="1" t="s">
        <v>632</v>
      </c>
    </row>
    <row r="6261" customFormat="false" ht="17.15" hidden="false" customHeight="false" outlineLevel="0" collapsed="false">
      <c r="A6261" s="0" t="s">
        <v>633</v>
      </c>
      <c r="B6261" s="0" t="s">
        <v>86</v>
      </c>
      <c r="F6261" s="38" t="n">
        <f aca="false">cx_rt*Sens!$F$6226+cx_awso*Sens!$F$6258</f>
        <v>34.9734495387866</v>
      </c>
    </row>
    <row r="6262" customFormat="false" ht="17.15" hidden="false" customHeight="false" outlineLevel="0" collapsed="false">
      <c r="A6262" s="0" t="s">
        <v>634</v>
      </c>
      <c r="B6262" s="0" t="s">
        <v>52</v>
      </c>
      <c r="C6262" s="13" t="n">
        <f aca="false">tk_cx_h100/(tk_cx_h100+tk_fac*(1-colo_sh))</f>
        <v>0.730756458006641</v>
      </c>
      <c r="D6262" s="13" t="n">
        <f aca="false">tk_cx_h100/(tk_cx_h100+tk_fac*(1-colo_sh))</f>
        <v>0.730756458006641</v>
      </c>
      <c r="E6262" s="13" t="n">
        <f aca="false">Sens!$F$6262</f>
        <v>0.760792334328868</v>
      </c>
      <c r="F6262" s="13" t="n">
        <f aca="false">Sens!$F$6245/(Sens!$F$6245+tk_fac*(1-colo_sh))</f>
        <v>0.760792334328868</v>
      </c>
      <c r="G6262" s="13" t="n">
        <f aca="false">Sens!$G$6245/(Sens!$G$6245+tk_fac*(1-colo_sh))</f>
        <v>0.760792334328868</v>
      </c>
      <c r="H6262" s="13" t="n">
        <f aca="false">Sens!$H$6245/(Sens!$H$6245+tk_fac*(1-colo_sh))</f>
        <v>0.768110668862996</v>
      </c>
      <c r="I6262" s="13" t="n">
        <f aca="false">Sens!$I$6245/(Sens!$I$6245+tk_fac*(1-colo_sh))</f>
        <v>0.77499450139483</v>
      </c>
      <c r="J6262" s="13" t="n">
        <f aca="false">Sens!$J$6245/(Sens!$J$6245+tk_fac*(1-colo_sh))</f>
        <v>0.77499450139483</v>
      </c>
      <c r="K6262" s="13" t="n">
        <f aca="false">Sens!$K$6245/(Sens!$K$6245+tk_fac*(1-colo_sh))</f>
        <v>0.77499450139483</v>
      </c>
      <c r="L6262" s="13" t="n">
        <f aca="false">Sens!$L$6245/(Sens!$L$6245+tk_fac*(1-colo_sh))</f>
        <v>0.77499450139483</v>
      </c>
      <c r="M6262" s="13" t="n">
        <f aca="false">Sens!$M$6245/(Sens!$M$6245+tk_fac*(1-colo_sh))</f>
        <v>0.77499450139483</v>
      </c>
    </row>
    <row r="6263" customFormat="false" ht="17.15" hidden="false" customHeight="false" outlineLevel="0" collapsed="false">
      <c r="A6263" s="1" t="s">
        <v>635</v>
      </c>
      <c r="B6263" s="8" t="s">
        <v>86</v>
      </c>
      <c r="C6263" s="38" t="n">
        <f aca="false">Q!$D$46-cx_rt*Q!$D$16-cx_awso*Sens!$C$6258</f>
        <v>25.2781053077374</v>
      </c>
      <c r="D6263" s="38" t="n">
        <f aca="false">Q!$E$46-cx_rt*Q!$E$16-cx_awso*Sens!$D$6258</f>
        <v>69.5686316310026</v>
      </c>
      <c r="E6263" s="38" t="n">
        <f aca="false">Q!$P$46-cx_rt*Q!$P$16-cx_awso*Sens!$E$6258</f>
        <v>64.1899206485108</v>
      </c>
      <c r="F6263" s="38" t="n">
        <f aca="false">capex_g26-Q!$P$46-Sens!$F$6261</f>
        <v>88.7165504612134</v>
      </c>
      <c r="G6263" s="38" t="n">
        <f aca="false">Sens!$E$6263+Sens!$F$6263</f>
        <v>152.906471109724</v>
      </c>
      <c r="H6263" s="38" t="n">
        <f aca="false">Sens!$H$6240*(Sens!$H$6245+tk_fac*(1-colo_sh))/1000+Sens!$H$6264</f>
        <v>198.57136494475</v>
      </c>
      <c r="I6263" s="38" t="n">
        <f aca="false">Sens!$I$6240*(Sens!$I$6245+tk_fac*(1-colo_sh))/1000+Sens!$I$6264</f>
        <v>204.6464699105</v>
      </c>
      <c r="J6263" s="38" t="n">
        <f aca="false">Sens!$J$6240*(Sens!$J$6245+tk_fac*(1-colo_sh))/1000+Sens!$J$6264</f>
        <v>209.8832381105</v>
      </c>
      <c r="K6263" s="38" t="n">
        <f aca="false">Sens!$K$6240*(Sens!$K$6245+tk_fac*(1-colo_sh))/1000+Sens!$K$6264</f>
        <v>155.238385275201</v>
      </c>
      <c r="L6263" s="38" t="n">
        <f aca="false">Sens!$L$6240*(Sens!$L$6245+tk_fac*(1-colo_sh))/1000+Sens!$L$6264</f>
        <v>132.014141639902</v>
      </c>
      <c r="M6263" s="38" t="n">
        <f aca="false">Sens!$M$6240*(Sens!$M$6245+tk_fac*(1-colo_sh))/1000+Sens!$M$6264</f>
        <v>132.230981659852</v>
      </c>
      <c r="P6263" s="5" t="s">
        <v>636</v>
      </c>
      <c r="R6263" s="38" t="n">
        <f aca="false">Q!$C$46-cx_rt*Q!$C$16-cx_awso*(Q!$C$7-mw_ye23/2*rpm_open/1000)</f>
        <v>1.50429979529945</v>
      </c>
      <c r="S6263" s="38" t="n">
        <f aca="false">Sens!$C$6263</f>
        <v>25.2781053077374</v>
      </c>
      <c r="T6263" s="38" t="n">
        <f aca="false">Sens!$D$6263</f>
        <v>69.5686316310026</v>
      </c>
      <c r="U6263" s="38" t="n">
        <f aca="false">Sens!$G$6263</f>
        <v>152.906471109724</v>
      </c>
      <c r="V6263" s="38" t="n">
        <f aca="false">Sens!$H$6263</f>
        <v>198.57136494475</v>
      </c>
      <c r="W6263" s="38" t="n">
        <f aca="false">Sens!$I$6263</f>
        <v>204.6464699105</v>
      </c>
      <c r="X6263" s="38" t="n">
        <f aca="false">Sens!$J$6263</f>
        <v>209.8832381105</v>
      </c>
      <c r="Y6263" s="38" t="n">
        <f aca="false">Sens!$K$6263</f>
        <v>155.238385275201</v>
      </c>
      <c r="Z6263" s="38" t="n">
        <f aca="false">Sens!$L$6263</f>
        <v>132.014141639902</v>
      </c>
      <c r="AA6263" s="38" t="n">
        <f aca="false">Sens!$M$6263</f>
        <v>132.230981659852</v>
      </c>
    </row>
    <row r="6264" customFormat="false" ht="17.15" hidden="false" customHeight="false" outlineLevel="0" collapsed="false">
      <c r="A6264" s="0" t="s">
        <v>637</v>
      </c>
      <c r="B6264" s="0" t="s">
        <v>86</v>
      </c>
      <c r="H6264" s="38" t="n">
        <f aca="false">SUMPRODUCT(--(Sens!$R$6233:$AA$6233=2027-tk_life),Sens!$R$6240:$AA$6240)*Sens!$H$6245/1000</f>
        <v>0</v>
      </c>
      <c r="I6264" s="38" t="n">
        <f aca="false">SUMPRODUCT(--(Sens!$R$6233:$AA$6233=2028-tk_life),Sens!$R$6240:$AA$6240)*Sens!$I$6245/1000</f>
        <v>0</v>
      </c>
      <c r="J6264" s="38" t="n">
        <f aca="false">SUMPRODUCT(--(Sens!$R$6233:$AA$6233=2029-tk_life),Sens!$R$6240:$AA$6240)*Sens!$J$6245/1000</f>
        <v>5.2367682</v>
      </c>
      <c r="K6264" s="38" t="n">
        <f aca="false">SUMPRODUCT(--(Sens!$R$6233:$AA$6233=2030-tk_life),Sens!$R$6240:$AA$6240)*Sens!$K$6245/1000</f>
        <v>10.4735364</v>
      </c>
      <c r="L6264" s="38" t="n">
        <f aca="false">SUMPRODUCT(--(Sens!$R$6233:$AA$6233=2031-tk_life),Sens!$R$6240:$AA$6240)*Sens!$L$6245/1000</f>
        <v>47.1309138</v>
      </c>
      <c r="M6264" s="38" t="n">
        <f aca="false">SUMPRODUCT(--(Sens!$R$6233:$AA$6233=2032-tk_life),Sens!$R$6240:$AA$6240)*Sens!$M$6245/1000</f>
        <v>107.22937485525</v>
      </c>
    </row>
    <row r="6265" customFormat="false" ht="17.15" hidden="false" customHeight="false" outlineLevel="0" collapsed="false">
      <c r="A6265" s="0" t="s">
        <v>638</v>
      </c>
      <c r="B6265" s="0" t="s">
        <v>86</v>
      </c>
      <c r="C6265" s="38" t="n">
        <f aca="false">MIN(Sens!$C$6263,Sens!$C$6240*(tk_cx_h100+tk_fac*(1-colo_sh))/1000)</f>
        <v>11.2938642</v>
      </c>
      <c r="D6265" s="38" t="n">
        <f aca="false">MIN(Sens!$D$6263,Sens!$D$6240*(tk_cx_h100+tk_fac*(1-colo_sh))/1000)</f>
        <v>50.8223889</v>
      </c>
      <c r="E6265" s="38" t="n">
        <f aca="false">MIN(Sens!$E$6263,Sens!$E$6240*(Sens!$F$6245+tk_fac*(1-colo_sh))/1000)</f>
        <v>33.8985792</v>
      </c>
      <c r="F6265" s="38" t="n">
        <f aca="false">Sens!$F$6263</f>
        <v>88.7165504612134</v>
      </c>
      <c r="G6265" s="38" t="n">
        <f aca="false">Sens!$E$6265+Sens!$F$6265</f>
        <v>122.615129661213</v>
      </c>
      <c r="H6265" s="38" t="n">
        <f aca="false">Sens!$H$6263</f>
        <v>198.57136494475</v>
      </c>
      <c r="I6265" s="38" t="n">
        <f aca="false">Sens!$I$6263</f>
        <v>204.6464699105</v>
      </c>
      <c r="J6265" s="38" t="n">
        <f aca="false">Sens!$J$6263</f>
        <v>209.8832381105</v>
      </c>
      <c r="K6265" s="38" t="n">
        <f aca="false">Sens!$K$6263</f>
        <v>155.238385275201</v>
      </c>
      <c r="L6265" s="38" t="n">
        <f aca="false">Sens!$L$6263</f>
        <v>132.014141639902</v>
      </c>
      <c r="M6265" s="38" t="n">
        <f aca="false">Sens!$M$6263</f>
        <v>132.230981659852</v>
      </c>
      <c r="P6265" s="5" t="s">
        <v>639</v>
      </c>
      <c r="R6265" s="38" t="n">
        <f aca="false">MIN(Sens!$R$6263,Sens!$R$6240*(tk_cx_h100+tk_fac*(1-colo_sh))/1000)</f>
        <v>1.50429979529945</v>
      </c>
      <c r="S6265" s="38" t="n">
        <f aca="false">Sens!$C$6265</f>
        <v>11.2938642</v>
      </c>
      <c r="T6265" s="38" t="n">
        <f aca="false">Sens!$D$6265</f>
        <v>50.8223889</v>
      </c>
      <c r="U6265" s="38" t="n">
        <f aca="false">Sens!$G$6265</f>
        <v>122.615129661213</v>
      </c>
      <c r="V6265" s="38" t="n">
        <f aca="false">Sens!$H$6265</f>
        <v>198.57136494475</v>
      </c>
      <c r="W6265" s="38" t="n">
        <f aca="false">Sens!$I$6265</f>
        <v>204.6464699105</v>
      </c>
      <c r="X6265" s="38" t="n">
        <f aca="false">Sens!$J$6265</f>
        <v>209.8832381105</v>
      </c>
      <c r="Y6265" s="38" t="n">
        <f aca="false">Sens!$K$6265</f>
        <v>155.238385275201</v>
      </c>
      <c r="Z6265" s="38" t="n">
        <f aca="false">Sens!$L$6265</f>
        <v>132.014141639902</v>
      </c>
      <c r="AA6265" s="38" t="n">
        <f aca="false">Sens!$M$6265</f>
        <v>132.230981659852</v>
      </c>
    </row>
    <row r="6266" customFormat="false" ht="17.15" hidden="false" customHeight="false" outlineLevel="0" collapsed="false">
      <c r="A6266" s="5" t="s">
        <v>640</v>
      </c>
      <c r="B6266" s="0" t="s">
        <v>86</v>
      </c>
      <c r="C6266" s="38" t="n">
        <f aca="false">Sens!$C$6263-Sens!$C$6265</f>
        <v>13.9842411077374</v>
      </c>
      <c r="D6266" s="38" t="n">
        <f aca="false">Sens!$D$6263-Sens!$D$6265</f>
        <v>18.7462427310026</v>
      </c>
      <c r="E6266" s="38" t="n">
        <f aca="false">Sens!$E$6263-Sens!$E$6265</f>
        <v>30.2913414485108</v>
      </c>
      <c r="F6266" s="38" t="n">
        <f aca="false">Sens!$F$6263-Sens!$F$6265</f>
        <v>0</v>
      </c>
      <c r="G6266" s="38" t="n">
        <f aca="false">Sens!$G$6263-Sens!$G$6265</f>
        <v>30.2913414485108</v>
      </c>
      <c r="H6266" s="38" t="n">
        <f aca="false">Sens!$H$6263-Sens!$H$6265</f>
        <v>0</v>
      </c>
      <c r="I6266" s="38" t="n">
        <f aca="false">Sens!$I$6263-Sens!$I$6265</f>
        <v>0</v>
      </c>
      <c r="J6266" s="38" t="n">
        <f aca="false">Sens!$J$6263-Sens!$J$6265</f>
        <v>0</v>
      </c>
      <c r="K6266" s="38" t="n">
        <f aca="false">Sens!$K$6263-Sens!$K$6265</f>
        <v>0</v>
      </c>
      <c r="L6266" s="38" t="n">
        <f aca="false">Sens!$L$6263-Sens!$L$6265</f>
        <v>0</v>
      </c>
      <c r="M6266" s="38" t="n">
        <f aca="false">Sens!$M$6263-Sens!$M$6265</f>
        <v>0</v>
      </c>
      <c r="P6266" s="5" t="s">
        <v>641</v>
      </c>
      <c r="R6266" s="38" t="n">
        <f aca="false">Sens!$R$6263-Sens!$R$6265</f>
        <v>0</v>
      </c>
      <c r="S6266" s="38" t="n">
        <f aca="false">Sens!$S$6263-Sens!$S$6265</f>
        <v>13.9842411077374</v>
      </c>
      <c r="T6266" s="38" t="n">
        <f aca="false">Sens!$T$6263-Sens!$T$6265</f>
        <v>18.7462427310026</v>
      </c>
      <c r="U6266" s="38" t="n">
        <f aca="false">Sens!$U$6263-Sens!$U$6265</f>
        <v>30.2913414485108</v>
      </c>
      <c r="V6266" s="38" t="n">
        <f aca="false">Sens!$V$6263-Sens!$V$6265</f>
        <v>0</v>
      </c>
      <c r="W6266" s="38" t="n">
        <f aca="false">Sens!$W$6263-Sens!$W$6265</f>
        <v>0</v>
      </c>
      <c r="X6266" s="38" t="n">
        <f aca="false">Sens!$X$6263-Sens!$X$6265</f>
        <v>0</v>
      </c>
      <c r="Y6266" s="38" t="n">
        <f aca="false">Sens!$Y$6263-Sens!$Y$6265</f>
        <v>0</v>
      </c>
      <c r="Z6266" s="38" t="n">
        <f aca="false">Sens!$Z$6263-Sens!$Z$6265</f>
        <v>0</v>
      </c>
      <c r="AA6266" s="38" t="n">
        <f aca="false">Sens!$AA$6263-Sens!$AA$6265</f>
        <v>0</v>
      </c>
    </row>
    <row r="6267" customFormat="false" ht="17.15" hidden="false" customHeight="false" outlineLevel="0" collapsed="false">
      <c r="A6267" s="5" t="s">
        <v>642</v>
      </c>
      <c r="B6267" s="0" t="s">
        <v>86</v>
      </c>
      <c r="R6267" s="38" t="n">
        <f aca="false">Sens!$R$6266*Sens!$C$6262</f>
        <v>0</v>
      </c>
      <c r="S6267" s="38" t="n">
        <f aca="false">Sens!$S$6266*Sens!$C$6262</f>
        <v>10.219074499801</v>
      </c>
      <c r="T6267" s="38" t="n">
        <f aca="false">Sens!$T$6266*Sens!$C$6262</f>
        <v>13.6989379390402</v>
      </c>
      <c r="U6267" s="38" t="n">
        <f aca="false">Sens!$U$6266*Sens!$E$6262</f>
        <v>23.0454203705653</v>
      </c>
      <c r="V6267" s="38" t="n">
        <f aca="false">Sens!$V$6266*Sens!$E$6262</f>
        <v>0</v>
      </c>
      <c r="W6267" s="38" t="n">
        <f aca="false">Sens!$W$6266*Sens!$E$6262</f>
        <v>0</v>
      </c>
      <c r="X6267" s="38" t="n">
        <f aca="false">Sens!$X$6266*Sens!$E$6262</f>
        <v>0</v>
      </c>
      <c r="Y6267" s="38" t="n">
        <f aca="false">Sens!$Y$6266*Sens!$E$6262</f>
        <v>0</v>
      </c>
      <c r="Z6267" s="38" t="n">
        <f aca="false">Sens!$Z$6266*Sens!$E$6262</f>
        <v>0</v>
      </c>
      <c r="AA6267" s="38" t="n">
        <f aca="false">Sens!$AA$6266*Sens!$E$6262</f>
        <v>0</v>
      </c>
    </row>
    <row r="6268" customFormat="false" ht="17.15" hidden="false" customHeight="false" outlineLevel="0" collapsed="false">
      <c r="A6268" s="5" t="s">
        <v>643</v>
      </c>
      <c r="B6268" s="0" t="s">
        <v>86</v>
      </c>
      <c r="R6268" s="38" t="n">
        <f aca="false">SUMPRODUCT(--(Sens!$R$6233:$AA$6233=2023-cip_lag),Sens!$R$6267:$AA$6267)</f>
        <v>0</v>
      </c>
      <c r="S6268" s="38" t="n">
        <f aca="false">SUMPRODUCT(--(Sens!$R$6233:$AA$6233=2024-cip_lag),Sens!$R$6267:$AA$6267)</f>
        <v>0</v>
      </c>
      <c r="T6268" s="38" t="n">
        <f aca="false">SUMPRODUCT(--(Sens!$R$6233:$AA$6233=2025-cip_lag),Sens!$R$6267:$AA$6267)</f>
        <v>10.219074499801</v>
      </c>
      <c r="U6268" s="38" t="n">
        <f aca="false">SUMPRODUCT(--(Sens!$R$6233:$AA$6233=2026-cip_lag),Sens!$R$6267:$AA$6267)</f>
        <v>13.6989379390402</v>
      </c>
      <c r="V6268" s="38" t="n">
        <f aca="false">SUMPRODUCT(--(Sens!$R$6233:$AA$6233=2027-cip_lag),Sens!$R$6267:$AA$6267)</f>
        <v>23.0454203705653</v>
      </c>
      <c r="W6268" s="38" t="n">
        <f aca="false">SUMPRODUCT(--(Sens!$R$6233:$AA$6233=2028-cip_lag),Sens!$R$6267:$AA$6267)</f>
        <v>0</v>
      </c>
      <c r="X6268" s="38" t="n">
        <f aca="false">SUMPRODUCT(--(Sens!$R$6233:$AA$6233=2029-cip_lag),Sens!$R$6267:$AA$6267)</f>
        <v>0</v>
      </c>
      <c r="Y6268" s="38" t="n">
        <f aca="false">SUMPRODUCT(--(Sens!$R$6233:$AA$6233=2030-cip_lag),Sens!$R$6267:$AA$6267)</f>
        <v>0</v>
      </c>
      <c r="Z6268" s="38" t="n">
        <f aca="false">SUMPRODUCT(--(Sens!$R$6233:$AA$6233=2031-cip_lag),Sens!$R$6267:$AA$6267)</f>
        <v>0</v>
      </c>
      <c r="AA6268" s="38" t="n">
        <f aca="false">SUMPRODUCT(--(Sens!$R$6233:$AA$6233=2032-cip_lag),Sens!$R$6267:$AA$6267)</f>
        <v>0</v>
      </c>
    </row>
    <row r="6269" customFormat="false" ht="15" hidden="false" customHeight="false" outlineLevel="0" collapsed="false">
      <c r="A6269" s="5" t="s">
        <v>644</v>
      </c>
      <c r="B6269" s="0" t="s">
        <v>86</v>
      </c>
      <c r="R6269" s="38" t="n">
        <f aca="false">SUMPRODUCT(--(Sens!$R$6233:$AA$6233=2023-cip_lag),Sens!$R$6266:$AA$6266)-Sens!$R$6268</f>
        <v>0</v>
      </c>
      <c r="S6269" s="38" t="n">
        <f aca="false">SUMPRODUCT(--(Sens!$R$6233:$AA$6233=2024-cip_lag),Sens!$R$6266:$AA$6266)-Sens!$S$6268</f>
        <v>0</v>
      </c>
      <c r="T6269" s="38" t="n">
        <f aca="false">SUMPRODUCT(--(Sens!$R$6233:$AA$6233=2025-cip_lag),Sens!$R$6266:$AA$6266)-Sens!$T$6268</f>
        <v>3.76516660793636</v>
      </c>
      <c r="U6269" s="38" t="n">
        <f aca="false">SUMPRODUCT(--(Sens!$R$6233:$AA$6233=2026-cip_lag),Sens!$R$6266:$AA$6266)-Sens!$U$6268</f>
        <v>5.04730479196242</v>
      </c>
      <c r="V6269" s="38" t="n">
        <f aca="false">SUMPRODUCT(--(Sens!$R$6233:$AA$6233=2027-cip_lag),Sens!$R$6266:$AA$6266)-Sens!$V$6268</f>
        <v>7.24592107794548</v>
      </c>
      <c r="W6269" s="38" t="n">
        <f aca="false">SUMPRODUCT(--(Sens!$R$6233:$AA$6233=2028-cip_lag),Sens!$R$6266:$AA$6266)-Sens!$W$6268</f>
        <v>0</v>
      </c>
      <c r="X6269" s="38" t="n">
        <f aca="false">SUMPRODUCT(--(Sens!$R$6233:$AA$6233=2029-cip_lag),Sens!$R$6266:$AA$6266)-Sens!$X$6268</f>
        <v>0</v>
      </c>
      <c r="Y6269" s="38" t="n">
        <f aca="false">SUMPRODUCT(--(Sens!$R$6233:$AA$6233=2030-cip_lag),Sens!$R$6266:$AA$6266)-Sens!$Y$6268</f>
        <v>0</v>
      </c>
      <c r="Z6269" s="38" t="n">
        <f aca="false">SUMPRODUCT(--(Sens!$R$6233:$AA$6233=2031-cip_lag),Sens!$R$6266:$AA$6266)-Sens!$Z$6268</f>
        <v>0</v>
      </c>
      <c r="AA6269" s="38" t="n">
        <f aca="false">SUMPRODUCT(--(Sens!$R$6233:$AA$6233=2032-cip_lag),Sens!$R$6266:$AA$6266)-Sens!$AA$6268</f>
        <v>0</v>
      </c>
    </row>
    <row r="6270" customFormat="false" ht="17.15" hidden="false" customHeight="false" outlineLevel="0" collapsed="false">
      <c r="A6270" s="5" t="s">
        <v>645</v>
      </c>
      <c r="B6270" s="0" t="s">
        <v>86</v>
      </c>
      <c r="C6270" s="38" t="n">
        <f aca="false">Sens!$C$6265*Sens!$C$6262</f>
        <v>8.2530642</v>
      </c>
      <c r="D6270" s="38" t="n">
        <f aca="false">Sens!$D$6265*Sens!$D$6262</f>
        <v>37.1387889</v>
      </c>
      <c r="E6270" s="38" t="n">
        <f aca="false">Sens!$E$6265*Sens!$E$6262</f>
        <v>25.7897792</v>
      </c>
      <c r="F6270" s="38" t="n">
        <f aca="false">Sens!$F$6265*Sens!$F$6262</f>
        <v>67.4948715189913</v>
      </c>
      <c r="G6270" s="38" t="n">
        <f aca="false">Sens!$E$6270+Sens!$F$6270</f>
        <v>93.2846507189913</v>
      </c>
      <c r="H6270" s="38" t="n">
        <f aca="false">(Sens!$H$6265-Sens!$H$6264)*Sens!$H$6262+Sens!$H$6264</f>
        <v>152.52478394475</v>
      </c>
      <c r="I6270" s="38" t="n">
        <f aca="false">(Sens!$I$6265-Sens!$I$6264)*Sens!$I$6262+Sens!$I$6264</f>
        <v>158.5998889105</v>
      </c>
      <c r="J6270" s="38" t="n">
        <f aca="false">(Sens!$J$6265-Sens!$J$6264)*Sens!$J$6262+Sens!$J$6264</f>
        <v>163.8366571105</v>
      </c>
      <c r="K6270" s="38" t="n">
        <f aca="false">(Sens!$K$6265-Sens!$K$6264)*Sens!$K$6262+Sens!$K$6264</f>
        <v>122.665498273534</v>
      </c>
      <c r="L6270" s="38" t="n">
        <f aca="false">(Sens!$L$6265-Sens!$L$6264)*Sens!$L$6262+Sens!$L$6264</f>
        <v>112.914948636568</v>
      </c>
      <c r="M6270" s="38" t="n">
        <f aca="false">(Sens!$M$6265-Sens!$M$6264)*Sens!$M$6262+Sens!$M$6264</f>
        <v>126.605482654852</v>
      </c>
      <c r="R6270" s="38" t="n">
        <f aca="false">Sens!$R$6265*Sens!$C$6262</f>
        <v>1.09927679019314</v>
      </c>
      <c r="S6270" s="38" t="n">
        <f aca="false">Sens!$C$6270</f>
        <v>8.2530642</v>
      </c>
      <c r="T6270" s="38" t="n">
        <f aca="false">Sens!$D$6270</f>
        <v>37.1387889</v>
      </c>
      <c r="U6270" s="38" t="n">
        <f aca="false">Sens!$G$6270</f>
        <v>93.2846507189913</v>
      </c>
      <c r="V6270" s="38" t="n">
        <f aca="false">Sens!$H$6270</f>
        <v>152.52478394475</v>
      </c>
      <c r="W6270" s="38" t="n">
        <f aca="false">Sens!$I$6270</f>
        <v>158.5998889105</v>
      </c>
      <c r="X6270" s="38" t="n">
        <f aca="false">Sens!$J$6270</f>
        <v>163.8366571105</v>
      </c>
      <c r="Y6270" s="38" t="n">
        <f aca="false">Sens!$K$6270</f>
        <v>122.665498273534</v>
      </c>
      <c r="Z6270" s="38" t="n">
        <f aca="false">Sens!$L$6270</f>
        <v>112.914948636568</v>
      </c>
      <c r="AA6270" s="38" t="n">
        <f aca="false">Sens!$M$6270</f>
        <v>126.605482654852</v>
      </c>
    </row>
    <row r="6271" customFormat="false" ht="15" hidden="false" customHeight="false" outlineLevel="0" collapsed="false">
      <c r="A6271" s="5" t="s">
        <v>646</v>
      </c>
      <c r="B6271" s="0" t="s">
        <v>86</v>
      </c>
      <c r="C6271" s="38" t="n">
        <f aca="false">Sens!$C$6265-Sens!$C$6270</f>
        <v>3.0408</v>
      </c>
      <c r="D6271" s="38" t="n">
        <f aca="false">Sens!$D$6265-Sens!$D$6270</f>
        <v>13.6836</v>
      </c>
      <c r="E6271" s="38" t="n">
        <f aca="false">Sens!$E$6265-Sens!$E$6270</f>
        <v>8.1088</v>
      </c>
      <c r="F6271" s="38" t="n">
        <f aca="false">Sens!$F$6265-Sens!$F$6270</f>
        <v>21.2216789422221</v>
      </c>
      <c r="G6271" s="38" t="n">
        <f aca="false">Sens!$G$6265-Sens!$G$6270</f>
        <v>29.3304789422221</v>
      </c>
      <c r="H6271" s="38" t="n">
        <f aca="false">Sens!$H$6265-Sens!$H$6270</f>
        <v>46.046581</v>
      </c>
      <c r="I6271" s="38" t="n">
        <f aca="false">Sens!$I$6265-Sens!$I$6270</f>
        <v>46.046581</v>
      </c>
      <c r="J6271" s="38" t="n">
        <f aca="false">Sens!$J$6265-Sens!$J$6270</f>
        <v>46.046581</v>
      </c>
      <c r="K6271" s="38" t="n">
        <f aca="false">Sens!$K$6265-Sens!$K$6270</f>
        <v>32.5728870016667</v>
      </c>
      <c r="L6271" s="38" t="n">
        <f aca="false">Sens!$L$6265-Sens!$L$6270</f>
        <v>19.0991930033334</v>
      </c>
      <c r="M6271" s="38" t="n">
        <f aca="false">Sens!$M$6265-Sens!$M$6270</f>
        <v>5.62549900499998</v>
      </c>
      <c r="R6271" s="38" t="n">
        <f aca="false">Sens!$R$6265-Sens!$R$6270</f>
        <v>0.405023005106309</v>
      </c>
      <c r="S6271" s="38" t="n">
        <f aca="false">Sens!$S$6265-Sens!$S$6270</f>
        <v>3.0408</v>
      </c>
      <c r="T6271" s="38" t="n">
        <f aca="false">Sens!$T$6265-Sens!$T$6270</f>
        <v>13.6836</v>
      </c>
      <c r="U6271" s="38" t="n">
        <f aca="false">Sens!$U$6265-Sens!$U$6270</f>
        <v>29.3304789422221</v>
      </c>
      <c r="V6271" s="38" t="n">
        <f aca="false">Sens!$V$6265-Sens!$V$6270</f>
        <v>46.046581</v>
      </c>
      <c r="W6271" s="38" t="n">
        <f aca="false">Sens!$W$6265-Sens!$W$6270</f>
        <v>46.046581</v>
      </c>
      <c r="X6271" s="38" t="n">
        <f aca="false">Sens!$X$6265-Sens!$X$6270</f>
        <v>46.046581</v>
      </c>
      <c r="Y6271" s="38" t="n">
        <f aca="false">Sens!$Y$6265-Sens!$Y$6270</f>
        <v>32.5728870016667</v>
      </c>
      <c r="Z6271" s="38" t="n">
        <f aca="false">Sens!$Z$6265-Sens!$Z$6270</f>
        <v>19.0991930033334</v>
      </c>
      <c r="AA6271" s="38" t="n">
        <f aca="false">Sens!$AA$6265-Sens!$AA$6270</f>
        <v>5.62549900499998</v>
      </c>
    </row>
    <row r="6272" customFormat="false" ht="17.15" hidden="false" customHeight="false" outlineLevel="0" collapsed="false">
      <c r="A6272" s="0" t="s">
        <v>647</v>
      </c>
      <c r="B6272" s="0" t="s">
        <v>52</v>
      </c>
      <c r="C6272" s="13" t="n">
        <f aca="false">Sens!$C$6263/Sens!$C$6388</f>
        <v>0.325505489553393</v>
      </c>
      <c r="D6272" s="13" t="n">
        <f aca="false">Sens!$D$6263/Sens!$D$6388</f>
        <v>0.54214956071542</v>
      </c>
      <c r="E6272" s="13" t="n">
        <f aca="false">Sens!$E$6263/Sens!$E$6388</f>
        <v>0.666492790452817</v>
      </c>
      <c r="F6272" s="13" t="n">
        <f aca="false">Sens!$F$6263/Sens!$F$6388</f>
        <v>0.71724917504417</v>
      </c>
      <c r="G6272" s="13" t="n">
        <f aca="false">Sens!$G$6263/Sens!$G$6388</f>
        <v>0.69502941413511</v>
      </c>
      <c r="H6272" s="13" t="n">
        <f aca="false">Sens!$H$6263/Sens!$H$6388</f>
        <v>0.726376041178204</v>
      </c>
      <c r="I6272" s="13" t="n">
        <f aca="false">Sens!$I$6263/Sens!$I$6388</f>
        <v>0.713099092661699</v>
      </c>
      <c r="J6272" s="13" t="n">
        <f aca="false">Sens!$J$6263/Sens!$J$6388</f>
        <v>0.701208348786245</v>
      </c>
      <c r="K6272" s="13" t="n">
        <f aca="false">Sens!$K$6263/Sens!$K$6388</f>
        <v>0.618338844562383</v>
      </c>
      <c r="L6272" s="13" t="n">
        <f aca="false">Sens!$L$6263/Sens!$L$6388</f>
        <v>0.562489158462506</v>
      </c>
      <c r="M6272" s="13" t="n">
        <f aca="false">Sens!$M$6263/Sens!$M$6388</f>
        <v>0.545751190895923</v>
      </c>
    </row>
    <row r="6273" customFormat="false" ht="17.15" hidden="false" customHeight="false" outlineLevel="0" collapsed="false">
      <c r="A6273" s="0" t="s">
        <v>648</v>
      </c>
      <c r="B6273" s="0" t="s">
        <v>86</v>
      </c>
      <c r="C6273" s="38" t="n">
        <f aca="false">Sens!$S$6273</f>
        <v>0.183212798365523</v>
      </c>
      <c r="D6273" s="38" t="n">
        <f aca="false">Sens!$T$6273</f>
        <v>1.55872349836552</v>
      </c>
      <c r="E6273" s="38" t="n">
        <f aca="false">Sens!$G$6273/2</f>
        <v>4.72585036583285</v>
      </c>
      <c r="F6273" s="38" t="n">
        <f aca="false">Sens!$G$6273/2</f>
        <v>4.72585036583285</v>
      </c>
      <c r="G6273" s="38" t="n">
        <f aca="false">Sens!$U$6273</f>
        <v>9.4517007316657</v>
      </c>
      <c r="H6273" s="38" t="n">
        <f aca="false">Sens!$V$6273</f>
        <v>27.2822988413376</v>
      </c>
      <c r="I6273" s="38" t="n">
        <f aca="false">Sens!$W$6273</f>
        <v>56.5439995605568</v>
      </c>
      <c r="J6273" s="38" t="n">
        <f aca="false">Sens!$X$6273</f>
        <v>82.9773143789735</v>
      </c>
      <c r="K6273" s="38" t="n">
        <f aca="false">Sens!$Y$6273</f>
        <v>110.100211099025</v>
      </c>
      <c r="L6273" s="38" t="n">
        <f aca="false">Sens!$Z$6273</f>
        <v>129.16895011128</v>
      </c>
      <c r="M6273" s="38" t="n">
        <f aca="false">Sens!$AA$6273</f>
        <v>140.095130984075</v>
      </c>
      <c r="N6273" s="38" t="n">
        <f aca="false">Sens!$D$6273/2</f>
        <v>0.779361749182762</v>
      </c>
      <c r="O6273" s="38" t="n">
        <f aca="false">Sens!$D$6273/2</f>
        <v>0.779361749182762</v>
      </c>
      <c r="R6273" s="38" t="n">
        <f aca="false">(SUMPRODUCT(--(Sens!$R$6233:$AA$6233&lt;Sens!R$6233),--(Sens!$R$6233:$AA$6233&gt;=Sens!R$6233-tk_life),Sens!$R$6270:$AA$6270)+SUMPRODUCT(--(Sens!$R$6233:$AA$6233&lt;Sens!R$6233),--(Sens!$R$6233:$AA$6233&gt;=Sens!R$6233-tk_life),Sens!$R$6268:$AA$6268))/tk_life</f>
        <v>0</v>
      </c>
      <c r="S6273" s="38" t="n">
        <f aca="false">(SUMPRODUCT(--(Sens!$R$6233:$AA$6233&lt;Sens!S$6233),--(Sens!$R$6233:$AA$6233&gt;=Sens!S$6233-tk_life),Sens!$R$6270:$AA$6270)+SUMPRODUCT(--(Sens!$R$6233:$AA$6233&lt;Sens!S$6233),--(Sens!$R$6233:$AA$6233&gt;=Sens!S$6233-tk_life),Sens!$R$6268:$AA$6268))/tk_life</f>
        <v>0.183212798365523</v>
      </c>
      <c r="T6273" s="38" t="n">
        <f aca="false">(SUMPRODUCT(--(Sens!$R$6233:$AA$6233&lt;Sens!T$6233),--(Sens!$R$6233:$AA$6233&gt;=Sens!T$6233-tk_life),Sens!$R$6270:$AA$6270)+SUMPRODUCT(--(Sens!$R$6233:$AA$6233&lt;Sens!T$6233),--(Sens!$R$6233:$AA$6233&gt;=Sens!T$6233-tk_life),Sens!$R$6268:$AA$6268))/tk_life</f>
        <v>1.55872349836552</v>
      </c>
      <c r="U6273" s="38" t="n">
        <f aca="false">(SUMPRODUCT(--(Sens!$R$6233:$AA$6233&lt;Sens!U$6233),--(Sens!$R$6233:$AA$6233&gt;=Sens!U$6233-tk_life),Sens!$R$6270:$AA$6270)+SUMPRODUCT(--(Sens!$R$6233:$AA$6233&lt;Sens!U$6233),--(Sens!$R$6233:$AA$6233&gt;=Sens!U$6233-tk_life),Sens!$R$6268:$AA$6268))/tk_life</f>
        <v>9.4517007316657</v>
      </c>
      <c r="V6273" s="38" t="n">
        <f aca="false">(SUMPRODUCT(--(Sens!$R$6233:$AA$6233&lt;Sens!V$6233),--(Sens!$R$6233:$AA$6233&gt;=Sens!V$6233-tk_life),Sens!$R$6270:$AA$6270)+SUMPRODUCT(--(Sens!$R$6233:$AA$6233&lt;Sens!V$6233),--(Sens!$R$6233:$AA$6233&gt;=Sens!V$6233-tk_life),Sens!$R$6268:$AA$6268))/tk_life</f>
        <v>27.2822988413376</v>
      </c>
      <c r="W6273" s="38" t="n">
        <f aca="false">(SUMPRODUCT(--(Sens!$R$6233:$AA$6233&lt;Sens!W$6233),--(Sens!$R$6233:$AA$6233&gt;=Sens!W$6233-tk_life),Sens!$R$6270:$AA$6270)+SUMPRODUCT(--(Sens!$R$6233:$AA$6233&lt;Sens!W$6233),--(Sens!$R$6233:$AA$6233&gt;=Sens!W$6233-tk_life),Sens!$R$6268:$AA$6268))/tk_life</f>
        <v>56.5439995605568</v>
      </c>
      <c r="X6273" s="38" t="n">
        <f aca="false">(SUMPRODUCT(--(Sens!$R$6233:$AA$6233&lt;Sens!X$6233),--(Sens!$R$6233:$AA$6233&gt;=Sens!X$6233-tk_life),Sens!$R$6270:$AA$6270)+SUMPRODUCT(--(Sens!$R$6233:$AA$6233&lt;Sens!X$6233),--(Sens!$R$6233:$AA$6233&gt;=Sens!X$6233-tk_life),Sens!$R$6268:$AA$6268))/tk_life</f>
        <v>82.9773143789735</v>
      </c>
      <c r="Y6273" s="38" t="n">
        <f aca="false">(SUMPRODUCT(--(Sens!$R$6233:$AA$6233&lt;Sens!Y$6233),--(Sens!$R$6233:$AA$6233&gt;=Sens!Y$6233-tk_life),Sens!$R$6270:$AA$6270)+SUMPRODUCT(--(Sens!$R$6233:$AA$6233&lt;Sens!Y$6233),--(Sens!$R$6233:$AA$6233&gt;=Sens!Y$6233-tk_life),Sens!$R$6268:$AA$6268))/tk_life</f>
        <v>110.100211099025</v>
      </c>
      <c r="Z6273" s="38" t="n">
        <f aca="false">(SUMPRODUCT(--(Sens!$R$6233:$AA$6233&lt;Sens!Z$6233),--(Sens!$R$6233:$AA$6233&gt;=Sens!Z$6233-tk_life),Sens!$R$6270:$AA$6270)+SUMPRODUCT(--(Sens!$R$6233:$AA$6233&lt;Sens!Z$6233),--(Sens!$R$6233:$AA$6233&gt;=Sens!Z$6233-tk_life),Sens!$R$6268:$AA$6268))/tk_life</f>
        <v>129.16895011128</v>
      </c>
      <c r="AA6273" s="38" t="n">
        <f aca="false">(SUMPRODUCT(--(Sens!$R$6233:$AA$6233&lt;Sens!AA$6233),--(Sens!$R$6233:$AA$6233&gt;=Sens!AA$6233-tk_life),Sens!$R$6270:$AA$6270)+SUMPRODUCT(--(Sens!$R$6233:$AA$6233&lt;Sens!AA$6233),--(Sens!$R$6233:$AA$6233&gt;=Sens!AA$6233-tk_life),Sens!$R$6268:$AA$6268))/tk_life</f>
        <v>140.095130984075</v>
      </c>
    </row>
    <row r="6274" customFormat="false" ht="17.15" hidden="false" customHeight="false" outlineLevel="0" collapsed="false">
      <c r="A6274" s="0" t="s">
        <v>649</v>
      </c>
      <c r="B6274" s="0" t="s">
        <v>86</v>
      </c>
      <c r="C6274" s="38" t="n">
        <f aca="false">Sens!$S$6274</f>
        <v>0.0202511502553155</v>
      </c>
      <c r="D6274" s="38" t="n">
        <f aca="false">Sens!$T$6274</f>
        <v>0.172291150255315</v>
      </c>
      <c r="E6274" s="38" t="n">
        <f aca="false">Sens!$G$6274/2</f>
        <v>0.522364740326067</v>
      </c>
      <c r="F6274" s="38" t="n">
        <f aca="false">Sens!$G$6274/2</f>
        <v>0.522364740326067</v>
      </c>
      <c r="G6274" s="38" t="n">
        <f aca="false">Sens!$U$6274</f>
        <v>1.04472948065213</v>
      </c>
      <c r="H6274" s="38" t="n">
        <f aca="false">Sens!$V$6274</f>
        <v>2.76361866736136</v>
      </c>
      <c r="I6274" s="38" t="n">
        <f aca="false">Sens!$W$6274</f>
        <v>5.42824377125863</v>
      </c>
      <c r="J6274" s="38" t="n">
        <f aca="false">Sens!$X$6274</f>
        <v>7.73057282125864</v>
      </c>
      <c r="K6274" s="38" t="n">
        <f aca="false">Sens!$Y$6274</f>
        <v>10.0329018712586</v>
      </c>
      <c r="L6274" s="38" t="n">
        <f aca="false">Sens!$Z$6274</f>
        <v>11.661546221342</v>
      </c>
      <c r="M6274" s="38" t="n">
        <f aca="false">Sens!$AA$6274</f>
        <v>12.6165058715086</v>
      </c>
      <c r="N6274" s="38" t="n">
        <f aca="false">Sens!$D$6274/2</f>
        <v>0.0861455751276577</v>
      </c>
      <c r="O6274" s="38" t="n">
        <f aca="false">Sens!$D$6274/2</f>
        <v>0.0861455751276577</v>
      </c>
      <c r="R6274" s="38" t="n">
        <f aca="false">(SUMPRODUCT(--(Sens!$R$6233:$AA$6233&lt;Sens!R$6233),Sens!$R$6271:$AA$6271)+SUMPRODUCT(--(Sens!$R$6233:$AA$6233&lt;Sens!R$6233),Sens!$R$6269:$AA$6269))/fac_life</f>
        <v>0</v>
      </c>
      <c r="S6274" s="38" t="n">
        <f aca="false">(SUMPRODUCT(--(Sens!$R$6233:$AA$6233&lt;Sens!S$6233),Sens!$R$6271:$AA$6271)+SUMPRODUCT(--(Sens!$R$6233:$AA$6233&lt;Sens!S$6233),Sens!$R$6269:$AA$6269))/fac_life</f>
        <v>0.0202511502553155</v>
      </c>
      <c r="T6274" s="38" t="n">
        <f aca="false">(SUMPRODUCT(--(Sens!$R$6233:$AA$6233&lt;Sens!T$6233),Sens!$R$6271:$AA$6271)+SUMPRODUCT(--(Sens!$R$6233:$AA$6233&lt;Sens!T$6233),Sens!$R$6269:$AA$6269))/fac_life</f>
        <v>0.172291150255315</v>
      </c>
      <c r="U6274" s="38" t="n">
        <f aca="false">(SUMPRODUCT(--(Sens!$R$6233:$AA$6233&lt;Sens!U$6233),Sens!$R$6271:$AA$6271)+SUMPRODUCT(--(Sens!$R$6233:$AA$6233&lt;Sens!U$6233),Sens!$R$6269:$AA$6269))/fac_life</f>
        <v>1.04472948065213</v>
      </c>
      <c r="V6274" s="38" t="n">
        <f aca="false">(SUMPRODUCT(--(Sens!$R$6233:$AA$6233&lt;Sens!V$6233),Sens!$R$6271:$AA$6271)+SUMPRODUCT(--(Sens!$R$6233:$AA$6233&lt;Sens!V$6233),Sens!$R$6269:$AA$6269))/fac_life</f>
        <v>2.76361866736136</v>
      </c>
      <c r="W6274" s="38" t="n">
        <f aca="false">(SUMPRODUCT(--(Sens!$R$6233:$AA$6233&lt;Sens!W$6233),Sens!$R$6271:$AA$6271)+SUMPRODUCT(--(Sens!$R$6233:$AA$6233&lt;Sens!W$6233),Sens!$R$6269:$AA$6269))/fac_life</f>
        <v>5.42824377125863</v>
      </c>
      <c r="X6274" s="38" t="n">
        <f aca="false">(SUMPRODUCT(--(Sens!$R$6233:$AA$6233&lt;Sens!X$6233),Sens!$R$6271:$AA$6271)+SUMPRODUCT(--(Sens!$R$6233:$AA$6233&lt;Sens!X$6233),Sens!$R$6269:$AA$6269))/fac_life</f>
        <v>7.73057282125864</v>
      </c>
      <c r="Y6274" s="38" t="n">
        <f aca="false">(SUMPRODUCT(--(Sens!$R$6233:$AA$6233&lt;Sens!Y$6233),Sens!$R$6271:$AA$6271)+SUMPRODUCT(--(Sens!$R$6233:$AA$6233&lt;Sens!Y$6233),Sens!$R$6269:$AA$6269))/fac_life</f>
        <v>10.0329018712586</v>
      </c>
      <c r="Z6274" s="38" t="n">
        <f aca="false">(SUMPRODUCT(--(Sens!$R$6233:$AA$6233&lt;Sens!Z$6233),Sens!$R$6271:$AA$6271)+SUMPRODUCT(--(Sens!$R$6233:$AA$6233&lt;Sens!Z$6233),Sens!$R$6269:$AA$6269))/fac_life</f>
        <v>11.661546221342</v>
      </c>
      <c r="AA6274" s="38" t="n">
        <f aca="false">(SUMPRODUCT(--(Sens!$R$6233:$AA$6233&lt;Sens!AA$6233),Sens!$R$6271:$AA$6271)+SUMPRODUCT(--(Sens!$R$6233:$AA$6233&lt;Sens!AA$6233),Sens!$R$6269:$AA$6269))/fac_life</f>
        <v>12.6165058715086</v>
      </c>
    </row>
    <row r="6275" customFormat="false" ht="17.15" hidden="false" customHeight="false" outlineLevel="0" collapsed="false">
      <c r="A6275" s="1" t="s">
        <v>650</v>
      </c>
      <c r="B6275" s="8" t="s">
        <v>86</v>
      </c>
      <c r="C6275" s="38" t="n">
        <f aca="false">Sens!$C$6273+Sens!$C$6274</f>
        <v>0.203463948620839</v>
      </c>
      <c r="D6275" s="38" t="n">
        <f aca="false">Sens!$D$6273+Sens!$D$6274</f>
        <v>1.73101464862084</v>
      </c>
      <c r="E6275" s="38" t="n">
        <f aca="false">Sens!$E$6273+Sens!$E$6274</f>
        <v>5.24821510615892</v>
      </c>
      <c r="F6275" s="38" t="n">
        <f aca="false">Sens!$F$6273+Sens!$F$6274</f>
        <v>5.24821510615892</v>
      </c>
      <c r="G6275" s="38" t="n">
        <f aca="false">Sens!$G$6273+Sens!$G$6274</f>
        <v>10.4964302123178</v>
      </c>
      <c r="H6275" s="38" t="n">
        <f aca="false">Sens!$H$6273+Sens!$H$6274</f>
        <v>30.045917508699</v>
      </c>
      <c r="I6275" s="38" t="n">
        <f aca="false">Sens!$I$6273+Sens!$I$6274</f>
        <v>61.9722433318155</v>
      </c>
      <c r="J6275" s="38" t="n">
        <f aca="false">Sens!$J$6273+Sens!$J$6274</f>
        <v>90.7078872002321</v>
      </c>
      <c r="K6275" s="38" t="n">
        <f aca="false">Sens!$K$6273+Sens!$K$6274</f>
        <v>120.133112970283</v>
      </c>
      <c r="L6275" s="38" t="n">
        <f aca="false">Sens!$L$6273+Sens!$L$6274</f>
        <v>140.830496332622</v>
      </c>
      <c r="M6275" s="38" t="n">
        <f aca="false">Sens!$M$6273+Sens!$M$6274</f>
        <v>152.711636855584</v>
      </c>
      <c r="N6275" s="38" t="n">
        <f aca="false">Sens!$N$6273+Sens!$N$6274</f>
        <v>0.865507324310419</v>
      </c>
      <c r="O6275" s="38" t="n">
        <f aca="false">Sens!$O$6273+Sens!$O$6274</f>
        <v>0.865507324310419</v>
      </c>
      <c r="R6275" s="38" t="n">
        <f aca="false">Sens!$R$6273+Sens!$R$6274</f>
        <v>0</v>
      </c>
      <c r="S6275" s="38" t="n">
        <f aca="false">Sens!$S$6273+Sens!$S$6274</f>
        <v>0.203463948620839</v>
      </c>
      <c r="T6275" s="38" t="n">
        <f aca="false">Sens!$T$6273+Sens!$T$6274</f>
        <v>1.73101464862084</v>
      </c>
      <c r="U6275" s="38" t="n">
        <f aca="false">Sens!$U$6273+Sens!$U$6274</f>
        <v>10.4964302123178</v>
      </c>
      <c r="V6275" s="38" t="n">
        <f aca="false">Sens!$V$6273+Sens!$V$6274</f>
        <v>30.045917508699</v>
      </c>
      <c r="W6275" s="38" t="n">
        <f aca="false">Sens!$W$6273+Sens!$W$6274</f>
        <v>61.9722433318155</v>
      </c>
      <c r="X6275" s="38" t="n">
        <f aca="false">Sens!$X$6273+Sens!$X$6274</f>
        <v>90.7078872002321</v>
      </c>
      <c r="Y6275" s="38" t="n">
        <f aca="false">Sens!$Y$6273+Sens!$Y$6274</f>
        <v>120.133112970283</v>
      </c>
      <c r="Z6275" s="38" t="n">
        <f aca="false">Sens!$Z$6273+Sens!$Z$6274</f>
        <v>140.830496332622</v>
      </c>
      <c r="AA6275" s="38" t="n">
        <f aca="false">Sens!$AA$6273+Sens!$AA$6274</f>
        <v>152.711636855584</v>
      </c>
    </row>
    <row r="6276" customFormat="false" ht="17.15" hidden="false" customHeight="false" outlineLevel="0" collapsed="false">
      <c r="A6276" s="0" t="s">
        <v>651</v>
      </c>
      <c r="B6276" s="0" t="s">
        <v>86</v>
      </c>
      <c r="C6276" s="38" t="n">
        <f aca="false">Sens!$S$6276</f>
        <v>26.578941154416</v>
      </c>
      <c r="D6276" s="38" t="n">
        <f aca="false">Sens!$T$6276</f>
        <v>94.4165581367978</v>
      </c>
      <c r="G6276" s="38" t="n">
        <f aca="false">Sens!$U$6276</f>
        <v>236.826599034204</v>
      </c>
      <c r="H6276" s="38" t="n">
        <f aca="false">Sens!$V$6276</f>
        <v>405.352046470255</v>
      </c>
      <c r="I6276" s="38" t="n">
        <f aca="false">Sens!$W$6276</f>
        <v>548.02627304894</v>
      </c>
      <c r="J6276" s="38" t="n">
        <f aca="false">Sens!$X$6276</f>
        <v>667.201623959208</v>
      </c>
      <c r="K6276" s="38" t="n">
        <f aca="false">Sens!$Y$6276</f>
        <v>702.306896264125</v>
      </c>
      <c r="L6276" s="38" t="n">
        <f aca="false">Sens!$Z$6276</f>
        <v>693.490541571405</v>
      </c>
      <c r="M6276" s="38" t="n">
        <f aca="false">Sens!$AA$6276</f>
        <v>673.009886375674</v>
      </c>
      <c r="R6276" s="38" t="n">
        <f aca="false">SUM(Sens!$R$6263:$R$6263)-SUM(Sens!$R$6275:$R$6275)</f>
        <v>1.50429979529945</v>
      </c>
      <c r="S6276" s="38" t="n">
        <f aca="false">SUM(Sens!$R$6263:$S$6263)-SUM(Sens!$R$6275:$S$6275)</f>
        <v>26.578941154416</v>
      </c>
      <c r="T6276" s="38" t="n">
        <f aca="false">SUM(Sens!$R$6263:$T$6263)-SUM(Sens!$R$6275:$T$6275)</f>
        <v>94.4165581367978</v>
      </c>
      <c r="U6276" s="38" t="n">
        <f aca="false">SUM(Sens!$R$6263:$U$6263)-SUM(Sens!$R$6275:$U$6275)</f>
        <v>236.826599034204</v>
      </c>
      <c r="V6276" s="38" t="n">
        <f aca="false">SUM(Sens!$R$6263:$V$6263)-SUM(Sens!$R$6275:$V$6275)</f>
        <v>405.352046470255</v>
      </c>
      <c r="W6276" s="38" t="n">
        <f aca="false">SUM(Sens!$R$6263:$W$6263)-SUM(Sens!$R$6275:$W$6275)</f>
        <v>548.02627304894</v>
      </c>
      <c r="X6276" s="38" t="n">
        <f aca="false">SUM(Sens!$R$6263:$X$6263)-SUM(Sens!$R$6275:$X$6275)</f>
        <v>667.201623959208</v>
      </c>
      <c r="Y6276" s="38" t="n">
        <f aca="false">SUM(Sens!$R$6263:$Y$6263)-SUM(Sens!$R$6275:$Y$6275)</f>
        <v>702.306896264125</v>
      </c>
      <c r="Z6276" s="38" t="n">
        <f aca="false">SUM(Sens!$R$6263:$Z$6263)-SUM(Sens!$R$6275:$Z$6275)</f>
        <v>693.490541571405</v>
      </c>
      <c r="AA6276" s="38" t="n">
        <f aca="false">SUM(Sens!$R$6263:$AA$6263)-SUM(Sens!$R$6275:$AA$6275)</f>
        <v>673.009886375674</v>
      </c>
    </row>
    <row r="6277" customFormat="false" ht="17.15" hidden="false" customHeight="false" outlineLevel="0" collapsed="false">
      <c r="A6277" s="1" t="s">
        <v>652</v>
      </c>
    </row>
    <row r="6278" customFormat="false" ht="17.15" hidden="false" customHeight="false" outlineLevel="0" collapsed="false">
      <c r="A6278" s="0" t="s">
        <v>653</v>
      </c>
      <c r="B6278" s="0" t="s">
        <v>86</v>
      </c>
      <c r="C6278" s="38" t="n">
        <f aca="false">Sens!$C$6254-ext_sh*Sens!$C$6256</f>
        <v>1.80694998843362</v>
      </c>
      <c r="D6278" s="38" t="n">
        <f aca="false">Sens!$D$6254-ext_sh*Sens!$D$6256</f>
        <v>6.77606245662607</v>
      </c>
      <c r="E6278" s="38" t="n">
        <f aca="false">Sens!$E$6254-ext_sh*Sens!$E$6256</f>
        <v>6.62548329092326</v>
      </c>
      <c r="F6278" s="38" t="n">
        <f aca="false">Sens!$F$6254-ext_sh*Sens!$F$6256</f>
        <v>11.7200577158706</v>
      </c>
      <c r="G6278" s="38" t="n">
        <f aca="false">Sens!$G$6254-ext_sh*Sens!$G$6256</f>
        <v>18.3455410067939</v>
      </c>
      <c r="H6278" s="38" t="n">
        <f aca="false">Sens!$H$6254-ext_sh*Sens!$H$6256</f>
        <v>47.5171727060453</v>
      </c>
      <c r="I6278" s="38" t="n">
        <f aca="false">Sens!$I$6254-ext_sh*Sens!$I$6256</f>
        <v>80.5539692643667</v>
      </c>
      <c r="J6278" s="38" t="n">
        <f aca="false">Sens!$J$6254-ext_sh*Sens!$J$6256</f>
        <v>113.759316834883</v>
      </c>
      <c r="K6278" s="38" t="n">
        <f aca="false">Sens!$K$6254-ext_sh*Sens!$K$6256</f>
        <v>142.084411492169</v>
      </c>
      <c r="L6278" s="38" t="n">
        <f aca="false">Sens!$L$6254-ext_sh*Sens!$L$6256</f>
        <v>160.69964615804</v>
      </c>
      <c r="M6278" s="38" t="n">
        <f aca="false">Sens!$M$6254-ext_sh*Sens!$M$6256</f>
        <v>169.577607141793</v>
      </c>
      <c r="N6278" s="38" t="n">
        <f aca="false">Sens!$N$6254-ext_sh*Sens!$N$6256</f>
        <v>2.37162185981912</v>
      </c>
      <c r="O6278" s="38" t="n">
        <f aca="false">Sens!$O$6254-ext_sh*Sens!$O$6256</f>
        <v>4.40444059680694</v>
      </c>
    </row>
    <row r="6279" customFormat="false" ht="17.15" hidden="false" customHeight="false" outlineLevel="0" collapsed="false">
      <c r="A6279" s="1" t="s">
        <v>654</v>
      </c>
      <c r="B6279" s="8" t="s">
        <v>86</v>
      </c>
      <c r="C6279" s="38" t="n">
        <f aca="false">Sens!$C$6278-ext_sh*Sens!$C$6275</f>
        <v>1.64417882953695</v>
      </c>
      <c r="D6279" s="38" t="n">
        <f aca="false">Sens!$D$6278-ext_sh*Sens!$D$6275</f>
        <v>5.39125073772939</v>
      </c>
      <c r="E6279" s="38" t="n">
        <f aca="false">Sens!$E$6278-ext_sh*Sens!$E$6275</f>
        <v>2.42691120599613</v>
      </c>
      <c r="F6279" s="38" t="n">
        <f aca="false">Sens!$F$6278-ext_sh*Sens!$F$6275</f>
        <v>7.52148563094346</v>
      </c>
      <c r="G6279" s="38" t="n">
        <f aca="false">Sens!$G$6278-ext_sh*Sens!$G$6275</f>
        <v>9.94839683693959</v>
      </c>
      <c r="H6279" s="38" t="n">
        <f aca="false">Sens!$H$6278-ext_sh*Sens!$H$6275</f>
        <v>23.4804386990861</v>
      </c>
      <c r="I6279" s="38" t="n">
        <f aca="false">Sens!$I$6278-ext_sh*Sens!$I$6275</f>
        <v>30.9761745989143</v>
      </c>
      <c r="J6279" s="38" t="n">
        <f aca="false">Sens!$J$6278-ext_sh*Sens!$J$6275</f>
        <v>41.1930070746977</v>
      </c>
      <c r="K6279" s="38" t="n">
        <f aca="false">Sens!$K$6278-ext_sh*Sens!$K$6275</f>
        <v>45.9779211159428</v>
      </c>
      <c r="L6279" s="38" t="n">
        <f aca="false">Sens!$L$6278-ext_sh*Sens!$L$6275</f>
        <v>48.0352490919424</v>
      </c>
      <c r="M6279" s="38" t="n">
        <f aca="false">Sens!$M$6278-ext_sh*Sens!$M$6275</f>
        <v>47.4082976573265</v>
      </c>
      <c r="N6279" s="38" t="n">
        <f aca="false">Sens!$N$6278-ext_sh*Sens!$N$6275</f>
        <v>1.67921600037079</v>
      </c>
      <c r="O6279" s="38" t="n">
        <f aca="false">Sens!$O$6278-ext_sh*Sens!$O$6275</f>
        <v>3.71203473735861</v>
      </c>
    </row>
    <row r="6280" customFormat="false" ht="17.15" hidden="false" customHeight="false" outlineLevel="0" collapsed="false">
      <c r="A6280" s="0" t="s">
        <v>655</v>
      </c>
      <c r="B6280" s="0" t="s">
        <v>52</v>
      </c>
      <c r="C6280" s="13" t="n">
        <f aca="false">Sens!$C$6279/Sens!$C$6254</f>
        <v>0.708390794789371</v>
      </c>
      <c r="D6280" s="13" t="n">
        <f aca="false">Sens!$D$6279/Sens!$D$6254</f>
        <v>0.619415573115729</v>
      </c>
      <c r="E6280" s="13" t="n">
        <f aca="false">Sens!$E$6279/Sens!$E$6254</f>
        <v>0.285171627189009</v>
      </c>
      <c r="F6280" s="13" t="n">
        <f aca="false">Sens!$F$6279/Sens!$F$6254</f>
        <v>0.502657732812366</v>
      </c>
      <c r="G6280" s="13" t="n">
        <f aca="false">Sens!$G$6279/Sens!$G$6254</f>
        <v>0.423808778611812</v>
      </c>
      <c r="H6280" s="13" t="n">
        <f aca="false">Sens!$H$6279/Sens!$H$6254</f>
        <v>0.390261631739809</v>
      </c>
      <c r="I6280" s="13" t="n">
        <f aca="false">Sens!$I$6279/Sens!$I$6254</f>
        <v>0.305172864264572</v>
      </c>
      <c r="J6280" s="13" t="n">
        <f aca="false">Sens!$J$6279/Sens!$J$6254</f>
        <v>0.288011814789856</v>
      </c>
      <c r="K6280" s="13" t="n">
        <f aca="false">Sens!$K$6279/Sens!$K$6254</f>
        <v>0.25765427518774</v>
      </c>
      <c r="L6280" s="13" t="n">
        <f aca="false">Sens!$L$6279/Sens!$L$6254</f>
        <v>0.238118778012374</v>
      </c>
      <c r="M6280" s="13" t="n">
        <f aca="false">Sens!$M$6279/Sens!$M$6254</f>
        <v>0.222746255757109</v>
      </c>
      <c r="N6280" s="13" t="n">
        <f aca="false">Sens!$N$6279/Sens!$N$6254</f>
        <v>0.551227795793364</v>
      </c>
      <c r="O6280" s="13" t="n">
        <f aca="false">Sens!$O$6279/Sens!$O$6254</f>
        <v>0.656132068597002</v>
      </c>
    </row>
    <row r="6281" customFormat="false" ht="17.15" hidden="false" customHeight="false" outlineLevel="0" collapsed="false">
      <c r="A6281" s="5" t="s">
        <v>656</v>
      </c>
      <c r="B6281" s="0" t="s">
        <v>86</v>
      </c>
      <c r="C6281" s="39" t="n">
        <v>0</v>
      </c>
      <c r="D6281" s="39" t="n">
        <v>0</v>
      </c>
      <c r="E6281" s="39" t="n">
        <v>0</v>
      </c>
      <c r="F6281" s="38" t="n">
        <f aca="false">IF(internal_ai_reading=2,1,0)*(1-ext_sh)/ext_sh*(mw_open*he_open+Sens!$F$6252*Sens!$F$6249)*Sens!$F$6238/1000</f>
        <v>3.77122048175818</v>
      </c>
      <c r="G6281" s="38" t="n">
        <f aca="false">Sens!$E$6281+Sens!$F$6281</f>
        <v>3.77122048175818</v>
      </c>
      <c r="H6281" s="38" t="n">
        <f aca="false">IF(internal_ai_reading=2,1,0)*(1-ext_sh)/ext_sh*(mw_open*he_open+Sens!$H$6252*Sens!$H$6249)*Sens!$H$6238/1000</f>
        <v>15.1635543609893</v>
      </c>
      <c r="I6281" s="38" t="n">
        <f aca="false">IF(internal_ai_reading=2,1,0)*(1-ext_sh)/ext_sh*(mw_open*he_open+Sens!$I$6252*Sens!$I$6249)*Sens!$I$6238/1000</f>
        <v>25.5818843619889</v>
      </c>
      <c r="J6281" s="38" t="n">
        <f aca="false">IF(internal_ai_reading=2,1,0)*(1-ext_sh)/ext_sh*(mw_open*he_open+Sens!$J$6252*Sens!$J$6249)*Sens!$J$6238/1000</f>
        <v>36.0465624179122</v>
      </c>
      <c r="K6281" s="38" t="n">
        <f aca="false">IF(internal_ai_reading=2,1,0)*(1-ext_sh)/ext_sh*(mw_open*he_open+Sens!$K$6252*Sens!$K$6249)*Sens!$K$6238/1000</f>
        <v>44.9741164026038</v>
      </c>
      <c r="L6281" s="38" t="n">
        <f aca="false">IF(internal_ai_reading=2,1,0)*(1-ext_sh)/ext_sh*(mw_open*he_open+Sens!$L$6252*Sens!$L$6249)*Sens!$L$6238/1000</f>
        <v>50.8413488057813</v>
      </c>
      <c r="M6281" s="38" t="n">
        <f aca="false">IF(internal_ai_reading=2,1,0)*(1-ext_sh)/ext_sh*(mw_open*he_open+Sens!$M$6252*Sens!$M$6249)*Sens!$M$6238/1000</f>
        <v>53.6407214274315</v>
      </c>
      <c r="N6281" s="39" t="n">
        <v>0</v>
      </c>
      <c r="O6281" s="39" t="n">
        <v>0</v>
      </c>
      <c r="P6281" s="8" t="s">
        <v>657</v>
      </c>
    </row>
    <row r="6282" customFormat="false" ht="17.15" hidden="false" customHeight="false" outlineLevel="0" collapsed="false">
      <c r="A6282" s="5" t="s">
        <v>658</v>
      </c>
      <c r="B6282" s="0" t="s">
        <v>86</v>
      </c>
      <c r="C6282" s="38" t="n">
        <f aca="false">(1-ext_sh)*(Sens!$C$6256+Sens!$C$6275)</f>
        <v>0.169206631859174</v>
      </c>
      <c r="D6282" s="38" t="n">
        <f aca="false">(1-ext_sh)*(Sens!$D$6256+Sens!$D$6275)</f>
        <v>0.828129837730442</v>
      </c>
      <c r="E6282" s="38" t="n">
        <f aca="false">(1-ext_sh)*(Sens!$E$6256+Sens!$E$6275)</f>
        <v>1.52086044239347</v>
      </c>
      <c r="F6282" s="38" t="n">
        <f aca="false">(1-ext_sh)*(Sens!$F$6256+Sens!$F$6275)</f>
        <v>1.86048700344425</v>
      </c>
      <c r="G6282" s="38" t="n">
        <f aca="false">(1-ext_sh)*(Sens!$G$6256+Sens!$G$6275)</f>
        <v>3.38134744583772</v>
      </c>
      <c r="H6282" s="38" t="n">
        <f aca="false">(1-ext_sh)*(Sens!$H$6256+Sens!$H$6275)</f>
        <v>9.17136301267211</v>
      </c>
      <c r="I6282" s="38" t="n">
        <f aca="false">(1-ext_sh)*(Sens!$I$6256+Sens!$I$6275)</f>
        <v>17.6318811343794</v>
      </c>
      <c r="J6282" s="38" t="n">
        <f aca="false">(1-ext_sh)*(Sens!$J$6256+Sens!$J$6275)</f>
        <v>25.4581000191451</v>
      </c>
      <c r="K6282" s="38" t="n">
        <f aca="false">(1-ext_sh)*(Sens!$K$6256+Sens!$K$6275)</f>
        <v>33.1175498168092</v>
      </c>
      <c r="L6282" s="38" t="n">
        <f aca="false">(1-ext_sh)*(Sens!$L$6256+Sens!$L$6275)</f>
        <v>38.4232131776135</v>
      </c>
      <c r="M6282" s="38" t="n">
        <f aca="false">(1-ext_sh)*(Sens!$M$6256+Sens!$M$6275)</f>
        <v>41.3567859278847</v>
      </c>
      <c r="N6282" s="38" t="n">
        <f aca="false">(1-ext_sh)*(Sens!$N$6256+Sens!$N$6275)</f>
        <v>0.34177588266428</v>
      </c>
      <c r="O6282" s="38" t="n">
        <f aca="false">(1-ext_sh)*(Sens!$O$6256+Sens!$O$6275)</f>
        <v>0.486353955066162</v>
      </c>
    </row>
    <row r="6283" customFormat="false" ht="17.15" hidden="false" customHeight="false" outlineLevel="0" collapsed="false">
      <c r="A6283" s="0" t="s">
        <v>659</v>
      </c>
      <c r="B6283" s="0" t="s">
        <v>86</v>
      </c>
      <c r="C6283" s="38" t="n">
        <f aca="false">Q!$D$24</f>
        <v>39.834</v>
      </c>
      <c r="D6283" s="38" t="n">
        <f aca="false">Q!$E$24</f>
        <v>45.606</v>
      </c>
      <c r="E6283" s="38" t="n">
        <f aca="false">Q!$P$24</f>
        <v>30.782</v>
      </c>
      <c r="N6283" s="38" t="n">
        <f aca="false">Q!$N$24</f>
        <v>21.707</v>
      </c>
      <c r="O6283" s="38" t="n">
        <f aca="false">Q!$O$24</f>
        <v>23.899</v>
      </c>
    </row>
    <row r="6284" customFormat="false" ht="17.15" hidden="false" customHeight="false" outlineLevel="0" collapsed="false">
      <c r="A6284" s="0" t="s">
        <v>660</v>
      </c>
      <c r="B6284" s="0" t="s">
        <v>86</v>
      </c>
      <c r="C6284" s="38" t="n">
        <f aca="false">Sens!$C$6283-Sens!$C$6279</f>
        <v>38.1898211704631</v>
      </c>
      <c r="D6284" s="38" t="n">
        <f aca="false">Sens!$D$6283-Sens!$D$6279</f>
        <v>40.2147492622706</v>
      </c>
      <c r="E6284" s="38" t="n">
        <f aca="false">Sens!$E$6283-Sens!$E$6279</f>
        <v>28.3550887940039</v>
      </c>
      <c r="F6284" s="38" t="n">
        <f aca="false">Sens!$F$6258*Sens!$F$6285</f>
        <v>25.9529793149447</v>
      </c>
      <c r="G6284" s="38" t="n">
        <f aca="false">Sens!$E$6284+Sens!$F$6284</f>
        <v>54.3080681089486</v>
      </c>
      <c r="H6284" s="38" t="n">
        <f aca="false">Sens!$H$6258*Sens!$H$6285</f>
        <v>58.2264684589333</v>
      </c>
      <c r="I6284" s="38" t="n">
        <f aca="false">Sens!$I$6258*Sens!$I$6285</f>
        <v>64.6461353851744</v>
      </c>
      <c r="J6284" s="38" t="n">
        <f aca="false">Sens!$J$6258*Sens!$J$6285</f>
        <v>70.7957093610231</v>
      </c>
      <c r="K6284" s="38" t="n">
        <f aca="false">Sens!$K$6258*Sens!$K$6285</f>
        <v>76.4593661099049</v>
      </c>
      <c r="L6284" s="38" t="n">
        <f aca="false">Sens!$L$6258*Sens!$L$6285</f>
        <v>82.5761153986973</v>
      </c>
      <c r="M6284" s="38" t="n">
        <f aca="false">Sens!$M$6258*Sens!$M$6285</f>
        <v>89.1822046305931</v>
      </c>
      <c r="N6284" s="38" t="n">
        <f aca="false">Sens!$N$6283-Sens!$N$6279</f>
        <v>20.0277839996292</v>
      </c>
      <c r="O6284" s="38" t="n">
        <f aca="false">Sens!$O$6283-Sens!$O$6279</f>
        <v>20.1869652626414</v>
      </c>
      <c r="P6284" s="5" t="s">
        <v>661</v>
      </c>
    </row>
    <row r="6285" customFormat="false" ht="17.15" hidden="false" customHeight="false" outlineLevel="0" collapsed="false">
      <c r="A6285" s="0" t="s">
        <v>662</v>
      </c>
      <c r="B6285" s="0" t="s">
        <v>52</v>
      </c>
      <c r="C6285" s="13" t="n">
        <f aca="false">Sens!$C$6284/Sens!$C$6258</f>
        <v>0.362900395443635</v>
      </c>
      <c r="D6285" s="13" t="n">
        <f aca="false">Sens!$D$6284/Sens!$D$6258</f>
        <v>0.335063632425483</v>
      </c>
      <c r="E6285" s="13" t="n">
        <f aca="false">Sens!$E$6284/Sens!$E$6258</f>
        <v>0.397638855555478</v>
      </c>
      <c r="F6285" s="13" t="n">
        <f aca="false">(Sens!$O$6284+Sens!$E$6284)/(Sens!$O$6258+Sens!$E$6258)</f>
        <v>0.361616727338133</v>
      </c>
      <c r="G6285" s="13" t="n">
        <f aca="false">Sens!$G$6284/Sens!$G$6258</f>
        <v>0.379569803149143</v>
      </c>
      <c r="H6285" s="13" t="n">
        <f aca="false">Sens!$F$6285</f>
        <v>0.361616727338133</v>
      </c>
      <c r="I6285" s="13" t="n">
        <f aca="false">Sens!$F$6285</f>
        <v>0.361616727338133</v>
      </c>
      <c r="J6285" s="13" t="n">
        <f aca="false">Sens!$F$6285</f>
        <v>0.361616727338133</v>
      </c>
      <c r="K6285" s="13" t="n">
        <f aca="false">Sens!$F$6285</f>
        <v>0.361616727338133</v>
      </c>
      <c r="L6285" s="13" t="n">
        <f aca="false">Sens!$F$6285</f>
        <v>0.361616727338133</v>
      </c>
      <c r="M6285" s="13" t="n">
        <f aca="false">Sens!$F$6285</f>
        <v>0.361616727338133</v>
      </c>
      <c r="N6285" s="13" t="n">
        <f aca="false">Sens!$N$6284/Sens!$N$6258</f>
        <v>0.35078810535806</v>
      </c>
      <c r="O6285" s="13" t="n">
        <f aca="false">Sens!$O$6284/Sens!$O$6258</f>
        <v>0.320796939361619</v>
      </c>
      <c r="P6285" s="8" t="s">
        <v>663</v>
      </c>
    </row>
    <row r="6286" customFormat="false" ht="17.15" hidden="false" customHeight="false" outlineLevel="0" collapsed="false">
      <c r="A6286" s="0" t="s">
        <v>664</v>
      </c>
      <c r="B6286" s="0" t="s">
        <v>52</v>
      </c>
      <c r="D6286" s="13" t="n">
        <f aca="false">(Q!$E$31-ext_sh*Sens!$D$6275)/Sens!$D$6258</f>
        <v>0.167180325480118</v>
      </c>
    </row>
    <row r="6287" customFormat="false" ht="17.15" hidden="false" customHeight="false" outlineLevel="0" collapsed="false">
      <c r="A6287" s="0" t="s">
        <v>665</v>
      </c>
      <c r="B6287" s="0" t="s">
        <v>86</v>
      </c>
      <c r="C6287" s="38" t="n">
        <f aca="false">Q!$D$31</f>
        <v>13.32</v>
      </c>
      <c r="D6287" s="38" t="n">
        <f aca="false">Q!$E$31</f>
        <v>21.45</v>
      </c>
      <c r="E6287" s="38" t="n">
        <f aca="false">Q!$P$31</f>
        <v>15.353</v>
      </c>
      <c r="F6287" s="38" t="n">
        <f aca="false">ext_sh*Sens!$F$6275+Sens!$D$6286*Sens!$F$6258</f>
        <v>16.1969869840094</v>
      </c>
      <c r="G6287" s="38" t="n">
        <f aca="false">Sens!$E$6287+Sens!$F$6287</f>
        <v>31.5499869840094</v>
      </c>
      <c r="H6287" s="38" t="n">
        <f aca="false">ext_sh*Sens!$H$6275+Sens!$D$6286*Sens!$H$6258</f>
        <v>50.9556213609176</v>
      </c>
      <c r="I6287" s="38" t="n">
        <f aca="false">ext_sh*Sens!$I$6275+Sens!$D$6286*Sens!$I$6258</f>
        <v>79.464581248252</v>
      </c>
      <c r="J6287" s="38" t="n">
        <f aca="false">ext_sh*Sens!$J$6275+Sens!$D$6286*Sens!$J$6258</f>
        <v>105.296127931746</v>
      </c>
      <c r="K6287" s="38" t="n">
        <f aca="false">ext_sh*Sens!$K$6275+Sens!$D$6286*Sens!$K$6258</f>
        <v>131.454694001511</v>
      </c>
      <c r="L6287" s="38" t="n">
        <f aca="false">ext_sh*Sens!$L$6275+Sens!$D$6286*Sens!$L$6258</f>
        <v>150.840456981405</v>
      </c>
      <c r="M6287" s="38" t="n">
        <f aca="false">ext_sh*Sens!$M$6275+Sens!$D$6286*Sens!$M$6258</f>
        <v>163.399454192999</v>
      </c>
      <c r="N6287" s="38" t="n">
        <f aca="false">Q!$N$31</f>
        <v>9.234</v>
      </c>
      <c r="O6287" s="38" t="n">
        <f aca="false">Q!$O$31</f>
        <v>12.216</v>
      </c>
    </row>
    <row r="6288" customFormat="false" ht="17.15" hidden="false" customHeight="false" outlineLevel="0" collapsed="false">
      <c r="A6288" s="1" t="s">
        <v>666</v>
      </c>
    </row>
    <row r="6289" customFormat="false" ht="17.15" hidden="false" customHeight="false" outlineLevel="0" collapsed="false">
      <c r="A6289" s="15" t="s">
        <v>667</v>
      </c>
      <c r="B6289" s="14" t="s">
        <v>52</v>
      </c>
      <c r="C6289" s="14"/>
      <c r="D6289" s="14"/>
      <c r="E6289" s="14"/>
      <c r="F6289" s="14"/>
      <c r="G6289" s="17" t="n">
        <f aca="false">Sens!$G$6279*(1-tax)/(ext_sh*(Sens!$D$6276+Sens!$G$6276)/2)</f>
        <v>0.0620504069546486</v>
      </c>
      <c r="H6289" s="17" t="n">
        <f aca="false">Sens!$H$6279*(1-tax)/(ext_sh*(Sens!$G$6276+Sens!$H$6276)/2)</f>
        <v>0.0755420551527686</v>
      </c>
      <c r="I6289" s="17" t="n">
        <f aca="false">Sens!$I$6279*(1-tax)/(ext_sh*(Sens!$H$6276+Sens!$I$6276)/2)</f>
        <v>0.067127575356291</v>
      </c>
      <c r="J6289" s="17" t="n">
        <f aca="false">Sens!$J$6279*(1-tax)/(ext_sh*(Sens!$I$6276+Sens!$J$6276)/2)</f>
        <v>0.0700332392906535</v>
      </c>
      <c r="K6289" s="17" t="n">
        <f aca="false">Sens!$K$6279*(1-tax)/(ext_sh*(Sens!$J$6276+Sens!$K$6276)/2)</f>
        <v>0.0693622290093833</v>
      </c>
      <c r="L6289" s="17" t="n">
        <f aca="false">Sens!$L$6279*(1-tax)/(ext_sh*(Sens!$K$6276+Sens!$L$6276)/2)</f>
        <v>0.0711010638813626</v>
      </c>
      <c r="M6289" s="17" t="n">
        <f aca="false">Sens!$M$6279*(1-tax)/(ext_sh*(Sens!$L$6276+Sens!$M$6276)/2)</f>
        <v>0.071677531066401</v>
      </c>
      <c r="N6289" s="14"/>
      <c r="O6289" s="14"/>
      <c r="P6289" s="8" t="s">
        <v>668</v>
      </c>
    </row>
    <row r="6290" customFormat="false" ht="17.15" hidden="false" customHeight="false" outlineLevel="0" collapsed="false">
      <c r="A6290" s="5" t="s">
        <v>669</v>
      </c>
      <c r="B6290" s="0" t="s">
        <v>57</v>
      </c>
      <c r="H6290" s="36" t="n">
        <f aca="false">Sens!$H$6254*1000/(mw_open*he_open+Sens!$H$6252*Sens!$H$6249)</f>
        <v>0.991949006767191</v>
      </c>
      <c r="I6290" s="36" t="n">
        <f aca="false">Sens!$I$6254*1000/(mw_open*he_open+Sens!$I$6252*Sens!$I$6249)</f>
        <v>0.991949006767191</v>
      </c>
      <c r="J6290" s="36" t="n">
        <f aca="false">Sens!$J$6254*1000/(mw_open*he_open+Sens!$J$6252*Sens!$J$6249)</f>
        <v>0.991949006767191</v>
      </c>
      <c r="K6290" s="36" t="n">
        <f aca="false">Sens!$K$6254*1000/(mw_open*he_open+Sens!$K$6252*Sens!$K$6249)</f>
        <v>0.991949006767191</v>
      </c>
      <c r="L6290" s="36" t="n">
        <f aca="false">Sens!$L$6254*1000/(mw_open*he_open+Sens!$L$6252*Sens!$L$6249)</f>
        <v>0.991949006767191</v>
      </c>
      <c r="M6290" s="36" t="n">
        <f aca="false">Sens!$M$6254*1000/(mw_open*he_open+Sens!$M$6252*Sens!$M$6249)</f>
        <v>0.991949006767191</v>
      </c>
    </row>
    <row r="6291" customFormat="false" ht="17.15" hidden="false" customHeight="false" outlineLevel="0" collapsed="false">
      <c r="A6291" s="5" t="s">
        <v>670</v>
      </c>
      <c r="B6291" s="0" t="s">
        <v>57</v>
      </c>
      <c r="H6291" s="36" t="n">
        <f aca="false">Sens!$H$6290*(Sens!$H$6254+wacc*ext_sh*(Sens!$G$6276+Sens!$H$6276)/2/(1-tax)-Sens!$H$6279)/Sens!$H$6254</f>
        <v>1.18542857552197</v>
      </c>
      <c r="I6291" s="36" t="n">
        <f aca="false">Sens!$I$6290*(Sens!$I$6254+wacc*ext_sh*(Sens!$H$6276+Sens!$I$6276)/2/(1-tax)-Sens!$I$6279)/Sens!$I$6254</f>
        <v>1.20015476648903</v>
      </c>
      <c r="J6291" s="36" t="n">
        <f aca="false">Sens!$J$6290*(Sens!$J$6254+wacc*ext_sh*(Sens!$I$6276+Sens!$J$6276)/2/(1-tax)-Sens!$J$6279)/Sens!$J$6254</f>
        <v>1.16844056931249</v>
      </c>
      <c r="K6291" s="36" t="n">
        <f aca="false">Sens!$K$6290*(Sens!$K$6254+wacc*ext_sh*(Sens!$J$6276+Sens!$K$6276)/2/(1-tax)-Sens!$K$6279)/Sens!$K$6254</f>
        <v>1.15383758356873</v>
      </c>
      <c r="L6291" s="36" t="n">
        <f aca="false">Sens!$L$6290*(Sens!$L$6254+wacc*ext_sh*(Sens!$K$6276+Sens!$L$6276)/2/(1-tax)-Sens!$L$6279)/Sens!$L$6254</f>
        <v>1.13212765595665</v>
      </c>
      <c r="M6291" s="36" t="n">
        <f aca="false">Sens!$M$6290*(Sens!$M$6254+wacc*ext_sh*(Sens!$L$6276+Sens!$M$6276)/2/(1-tax)-Sens!$M$6279)/Sens!$M$6254</f>
        <v>1.12024635139935</v>
      </c>
    </row>
    <row r="6292" customFormat="false" ht="17.15" hidden="false" customHeight="false" outlineLevel="0" collapsed="false">
      <c r="A6292" s="5" t="s">
        <v>671</v>
      </c>
      <c r="B6292" s="0" t="s">
        <v>52</v>
      </c>
      <c r="C6292" s="13" t="n">
        <f aca="false">Sens!$C$6255/tk_pq</f>
        <v>0.195316432429398</v>
      </c>
      <c r="D6292" s="13" t="n">
        <f aca="false">Sens!$D$6255/tk_pq</f>
        <v>0.195316432429398</v>
      </c>
      <c r="E6292" s="13" t="n">
        <f aca="false">Sens!$E$6255/tk_pq</f>
        <v>0.195316432429398</v>
      </c>
      <c r="F6292" s="13" t="n">
        <f aca="false">Sens!$F$6255/tk_pq</f>
        <v>0.202241827274866</v>
      </c>
      <c r="G6292" s="13" t="n">
        <f aca="false">Sens!$G$6255/tk_pq</f>
        <v>0.199675016194063</v>
      </c>
      <c r="H6292" s="13" t="n">
        <f aca="false">Sens!$H$6255/tk_pq</f>
        <v>0.212647947710325</v>
      </c>
      <c r="I6292" s="13" t="n">
        <f aca="false">Sens!$I$6255/tk_pq</f>
        <v>0.219285125475351</v>
      </c>
      <c r="J6292" s="13" t="n">
        <f aca="false">Sens!$J$6255/tk_pq</f>
        <v>0.222492493217189</v>
      </c>
      <c r="K6292" s="13" t="n">
        <f aca="false">Sens!$K$6255/tk_pq</f>
        <v>0.224053502812094</v>
      </c>
      <c r="L6292" s="13" t="n">
        <f aca="false">Sens!$L$6255/tk_pq</f>
        <v>0.224786916785614</v>
      </c>
      <c r="M6292" s="13" t="n">
        <f aca="false">Sens!$M$6255/tk_pq</f>
        <v>0.225048671566937</v>
      </c>
      <c r="N6292" s="13" t="n">
        <f aca="false">Sens!$N$6255/tk_pq</f>
        <v>0.195316432429398</v>
      </c>
      <c r="O6292" s="13" t="n">
        <f aca="false">Sens!$O$6255/tk_pq</f>
        <v>0.195316432429398</v>
      </c>
      <c r="P6292" s="5" t="s">
        <v>672</v>
      </c>
    </row>
    <row r="6295" customFormat="false" ht="17.15" hidden="false" customHeight="false" outlineLevel="0" collapsed="false">
      <c r="A6295" s="1" t="s">
        <v>701</v>
      </c>
    </row>
    <row r="6296" customFormat="false" ht="17.15" hidden="false" customHeight="false" outlineLevel="0" collapsed="false">
      <c r="A6296" s="0" t="s">
        <v>702</v>
      </c>
      <c r="B6296" s="0" t="s">
        <v>86</v>
      </c>
      <c r="C6296" s="38" t="n">
        <f aca="false">Sens!$C$6254</f>
        <v>2.32100535697364</v>
      </c>
      <c r="D6296" s="38" t="n">
        <f aca="false">Sens!$D$6254</f>
        <v>8.70377008865116</v>
      </c>
      <c r="E6296" s="38" t="n">
        <f aca="false">Sens!$E$6254</f>
        <v>8.51035297557002</v>
      </c>
      <c r="F6296" s="38" t="n">
        <f aca="false">Sens!$F$6254</f>
        <v>14.9634336447205</v>
      </c>
      <c r="G6296" s="38" t="n">
        <f aca="false">Sens!$G$6254</f>
        <v>23.4737866202905</v>
      </c>
      <c r="H6296" s="38" t="n">
        <f aca="false">Sens!$H$6254</f>
        <v>60.1658907497746</v>
      </c>
      <c r="I6296" s="38" t="n">
        <f aca="false">Sens!$I$6254</f>
        <v>101.503699136432</v>
      </c>
      <c r="J6296" s="38" t="n">
        <f aca="false">Sens!$J$6254</f>
        <v>143.025407151278</v>
      </c>
      <c r="K6296" s="38" t="n">
        <f aca="false">Sens!$K$6254</f>
        <v>178.44812038318</v>
      </c>
      <c r="L6296" s="38" t="n">
        <f aca="false">Sens!$L$6254</f>
        <v>201.728101802396</v>
      </c>
      <c r="M6296" s="38" t="n">
        <f aca="false">Sens!$M$6254</f>
        <v>212.835441368865</v>
      </c>
      <c r="N6296" s="38" t="n">
        <f aca="false">Sens!$N$6254</f>
        <v>3.04631953102791</v>
      </c>
      <c r="O6296" s="38" t="n">
        <f aca="false">Sens!$O$6254</f>
        <v>5.65745055762326</v>
      </c>
      <c r="P6296" s="8" t="s">
        <v>703</v>
      </c>
    </row>
    <row r="6297" customFormat="false" ht="17.15" hidden="false" customHeight="false" outlineLevel="0" collapsed="false">
      <c r="A6297" s="0" t="s">
        <v>704</v>
      </c>
      <c r="B6297" s="0" t="s">
        <v>86</v>
      </c>
      <c r="C6297" s="38" t="n">
        <f aca="false">Sens!$C$6258</f>
        <v>105.234994643026</v>
      </c>
      <c r="D6297" s="38" t="n">
        <f aca="false">Sens!$D$6258</f>
        <v>120.021229911349</v>
      </c>
      <c r="E6297" s="38" t="n">
        <f aca="false">Sens!$E$6258</f>
        <v>71.30864702443</v>
      </c>
      <c r="F6297" s="38" t="n">
        <f aca="false">Sens!$F$6258</f>
        <v>71.7692997942464</v>
      </c>
      <c r="G6297" s="38" t="n">
        <f aca="false">Sens!$G$6258</f>
        <v>143.077946818676</v>
      </c>
      <c r="H6297" s="38" t="n">
        <f aca="false">Sens!$H$6258</f>
        <v>161.017077079203</v>
      </c>
      <c r="I6297" s="38" t="n">
        <f aca="false">Sens!$I$6258</f>
        <v>178.769759521457</v>
      </c>
      <c r="J6297" s="38" t="n">
        <f aca="false">Sens!$J$6258</f>
        <v>195.775538045907</v>
      </c>
      <c r="K6297" s="38" t="n">
        <f aca="false">Sens!$K$6258</f>
        <v>211.43758108958</v>
      </c>
      <c r="L6297" s="38" t="n">
        <f aca="false">Sens!$L$6258</f>
        <v>228.352587576746</v>
      </c>
      <c r="M6297" s="38" t="n">
        <f aca="false">Sens!$M$6258</f>
        <v>246.620794582886</v>
      </c>
      <c r="N6297" s="38" t="n">
        <f aca="false">Sens!$N$6258</f>
        <v>57.0936804689721</v>
      </c>
      <c r="O6297" s="38" t="n">
        <f aca="false">Sens!$O$6258</f>
        <v>62.9275494423768</v>
      </c>
      <c r="P6297" s="8" t="s">
        <v>703</v>
      </c>
    </row>
    <row r="6298" customFormat="false" ht="17.15" hidden="false" customHeight="false" outlineLevel="0" collapsed="false">
      <c r="A6298" s="1" t="s">
        <v>523</v>
      </c>
      <c r="B6298" s="8" t="s">
        <v>86</v>
      </c>
      <c r="C6298" s="38" t="n">
        <f aca="false">Q!$D$7</f>
        <v>107.556</v>
      </c>
      <c r="D6298" s="38" t="n">
        <f aca="false">Q!$E$7</f>
        <v>128.725</v>
      </c>
      <c r="E6298" s="38" t="n">
        <f aca="false">Q!$P$7</f>
        <v>79.819</v>
      </c>
      <c r="F6298" s="38" t="n">
        <f aca="false">Sens!$F$6296+Sens!$F$6297</f>
        <v>86.7327334389669</v>
      </c>
      <c r="G6298" s="38" t="n">
        <f aca="false">Sens!$G$6296+Sens!$G$6297</f>
        <v>166.551733438967</v>
      </c>
      <c r="H6298" s="38" t="n">
        <f aca="false">Sens!$H$6296+Sens!$H$6297</f>
        <v>221.182967828978</v>
      </c>
      <c r="I6298" s="38" t="n">
        <f aca="false">Sens!$I$6296+Sens!$I$6297</f>
        <v>280.27345865789</v>
      </c>
      <c r="J6298" s="38" t="n">
        <f aca="false">Sens!$J$6296+Sens!$J$6297</f>
        <v>338.800945197185</v>
      </c>
      <c r="K6298" s="38" t="n">
        <f aca="false">Sens!$K$6296+Sens!$K$6297</f>
        <v>389.88570147276</v>
      </c>
      <c r="L6298" s="38" t="n">
        <f aca="false">Sens!$L$6296+Sens!$L$6297</f>
        <v>430.080689379143</v>
      </c>
      <c r="M6298" s="38" t="n">
        <f aca="false">Sens!$M$6296+Sens!$M$6297</f>
        <v>459.456235951751</v>
      </c>
      <c r="N6298" s="38" t="n">
        <f aca="false">Q!$N$7</f>
        <v>60.14</v>
      </c>
      <c r="O6298" s="38" t="n">
        <f aca="false">Q!$O$7</f>
        <v>68.585</v>
      </c>
      <c r="P6298" s="5" t="s">
        <v>705</v>
      </c>
    </row>
    <row r="6299" customFormat="false" ht="15" hidden="false" customHeight="false" outlineLevel="0" collapsed="false">
      <c r="A6299" s="3" t="s">
        <v>706</v>
      </c>
      <c r="B6299" s="8" t="s">
        <v>86</v>
      </c>
      <c r="C6299" s="38" t="n">
        <f aca="false">Q!$D$8</f>
        <v>637.959</v>
      </c>
      <c r="D6299" s="38" t="n">
        <f aca="false">Q!$E$8</f>
        <v>716.924</v>
      </c>
      <c r="E6299" s="38" t="n">
        <f aca="false">Q!$P$8</f>
        <v>382.125</v>
      </c>
      <c r="F6299" s="38" t="n">
        <f aca="false">Sens!$F$6226+Sens!$F$6298</f>
        <v>435.780975084504</v>
      </c>
      <c r="G6299" s="38" t="n">
        <f aca="false">Sens!$G$6226+Sens!$G$6298</f>
        <v>817.905975084504</v>
      </c>
      <c r="H6299" s="38" t="n">
        <f aca="false">Sens!$H$6226+Sens!$H$6298</f>
        <v>942.279857350364</v>
      </c>
      <c r="I6299" s="38" t="n">
        <f aca="false">Sens!$I$6226+Sens!$I$6298</f>
        <v>1068.80284981042</v>
      </c>
      <c r="J6299" s="38" t="n">
        <f aca="false">Sens!$J$6226+Sens!$J$6298</f>
        <v>1189.90935093863</v>
      </c>
      <c r="K6299" s="38" t="n">
        <f aca="false">Sens!$K$6226+Sens!$K$6298</f>
        <v>1296.06215690385</v>
      </c>
      <c r="L6299" s="38" t="n">
        <f aca="false">Sens!$L$6226+Sens!$L$6298</f>
        <v>1395.17379585473</v>
      </c>
      <c r="M6299" s="38" t="n">
        <f aca="false">Sens!$M$6226+Sens!$M$6298</f>
        <v>1487.60414389864</v>
      </c>
      <c r="N6299" s="38" t="n">
        <f aca="false">Q!$N$8</f>
        <v>323.369</v>
      </c>
      <c r="O6299" s="38" t="n">
        <f aca="false">Q!$O$8</f>
        <v>393.555</v>
      </c>
    </row>
    <row r="6300" customFormat="false" ht="17.15" hidden="false" customHeight="false" outlineLevel="0" collapsed="false">
      <c r="A6300" s="24" t="s">
        <v>714</v>
      </c>
      <c r="B6300" s="25" t="s">
        <v>86</v>
      </c>
      <c r="C6300" s="41" t="n">
        <f aca="false">Sens!$C$6226-(Sens!$C$6228+Sens!$C$6229)</f>
        <v>0</v>
      </c>
      <c r="D6300" s="41" t="n">
        <f aca="false">Sens!$D$6226-(Sens!$D$6228+Sens!$D$6229)</f>
        <v>0</v>
      </c>
      <c r="E6300" s="41" t="n">
        <f aca="false">Sens!$E$6226-(Sens!$E$6228+Sens!$E$6229)</f>
        <v>0</v>
      </c>
      <c r="F6300" s="41" t="n">
        <f aca="false">Sens!$F$6226-(Sens!$F$6228+Sens!$F$6229)</f>
        <v>0</v>
      </c>
      <c r="G6300" s="41" t="n">
        <f aca="false">Sens!$G$6226-(Sens!$G$6228+Sens!$G$6229)</f>
        <v>0</v>
      </c>
      <c r="H6300" s="41" t="n">
        <f aca="false">Sens!$H$6226-(Sens!$H$6228+Sens!$H$6229)</f>
        <v>0</v>
      </c>
      <c r="I6300" s="41" t="n">
        <f aca="false">Sens!$I$6226-(Sens!$I$6228+Sens!$I$6229)</f>
        <v>0</v>
      </c>
      <c r="J6300" s="41" t="n">
        <f aca="false">Sens!$J$6226-(Sens!$J$6228+Sens!$J$6229)</f>
        <v>0</v>
      </c>
      <c r="K6300" s="41" t="n">
        <f aca="false">Sens!$K$6226-(Sens!$K$6228+Sens!$K$6229)</f>
        <v>0</v>
      </c>
      <c r="L6300" s="41" t="n">
        <f aca="false">Sens!$L$6226-(Sens!$L$6228+Sens!$L$6229)</f>
        <v>0</v>
      </c>
      <c r="M6300" s="41" t="n">
        <f aca="false">Sens!$M$6226-(Sens!$M$6228+Sens!$M$6229)</f>
        <v>0</v>
      </c>
      <c r="N6300" s="41" t="n">
        <f aca="false">Sens!$N$6226-(Sens!$N$6228+Sens!$N$6229)</f>
        <v>0</v>
      </c>
      <c r="O6300" s="41" t="n">
        <f aca="false">Sens!$O$6226-(Sens!$O$6228+Sens!$O$6229)</f>
        <v>0</v>
      </c>
    </row>
    <row r="6301" customFormat="false" ht="17.15" hidden="false" customHeight="false" outlineLevel="0" collapsed="false">
      <c r="A6301" s="24" t="s">
        <v>715</v>
      </c>
      <c r="B6301" s="25" t="s">
        <v>86</v>
      </c>
      <c r="C6301" s="41" t="n">
        <f aca="false">Sens!$C$6296+Sens!$C$6297-Sens!$C$6298</f>
        <v>0</v>
      </c>
      <c r="D6301" s="41" t="n">
        <f aca="false">Sens!$D$6296+Sens!$D$6297-Sens!$D$6298</f>
        <v>0</v>
      </c>
      <c r="E6301" s="41" t="n">
        <f aca="false">Sens!$E$6296+Sens!$E$6297-Sens!$E$6298</f>
        <v>0</v>
      </c>
      <c r="F6301" s="41" t="n">
        <f aca="false">Sens!$F$6296+Sens!$F$6297-Sens!$F$6298</f>
        <v>0</v>
      </c>
      <c r="G6301" s="41" t="n">
        <f aca="false">Sens!$G$6296+Sens!$G$6297-Sens!$G$6298</f>
        <v>0</v>
      </c>
      <c r="H6301" s="41" t="n">
        <f aca="false">Sens!$H$6296+Sens!$H$6297-Sens!$H$6298</f>
        <v>0</v>
      </c>
      <c r="I6301" s="41" t="n">
        <f aca="false">Sens!$I$6296+Sens!$I$6297-Sens!$I$6298</f>
        <v>0</v>
      </c>
      <c r="J6301" s="41" t="n">
        <f aca="false">Sens!$J$6296+Sens!$J$6297-Sens!$J$6298</f>
        <v>0</v>
      </c>
      <c r="K6301" s="41" t="n">
        <f aca="false">Sens!$K$6296+Sens!$K$6297-Sens!$K$6298</f>
        <v>0</v>
      </c>
      <c r="L6301" s="41" t="n">
        <f aca="false">Sens!$L$6296+Sens!$L$6297-Sens!$L$6298</f>
        <v>0</v>
      </c>
      <c r="M6301" s="41" t="n">
        <f aca="false">Sens!$M$6296+Sens!$M$6297-Sens!$M$6298</f>
        <v>0</v>
      </c>
      <c r="N6301" s="41" t="n">
        <f aca="false">Sens!$N$6296+Sens!$N$6297-Sens!$N$6298</f>
        <v>0</v>
      </c>
      <c r="O6301" s="41" t="n">
        <f aca="false">Sens!$O$6296+Sens!$O$6297-Sens!$O$6298</f>
        <v>0</v>
      </c>
    </row>
    <row r="6302" customFormat="false" ht="17.15" hidden="false" customHeight="false" outlineLevel="0" collapsed="false">
      <c r="A6302" s="24" t="s">
        <v>716</v>
      </c>
      <c r="B6302" s="25" t="s">
        <v>86</v>
      </c>
      <c r="C6302" s="41" t="n">
        <f aca="false">Sens!$C$6228+Sens!$C$6229+Sens!$C$6298-Sens!$C$6299</f>
        <v>0</v>
      </c>
      <c r="D6302" s="41" t="n">
        <f aca="false">Sens!$D$6228+Sens!$D$6229+Sens!$D$6298-Sens!$D$6299</f>
        <v>0</v>
      </c>
      <c r="E6302" s="41" t="n">
        <f aca="false">Sens!$E$6228+Sens!$E$6229+Sens!$E$6298-Sens!$E$6299</f>
        <v>0</v>
      </c>
      <c r="F6302" s="41" t="n">
        <f aca="false">Sens!$F$6228+Sens!$F$6229+Sens!$F$6298-Sens!$F$6299</f>
        <v>0</v>
      </c>
      <c r="G6302" s="41" t="n">
        <f aca="false">Sens!$G$6228+Sens!$G$6229+Sens!$G$6298-Sens!$G$6299</f>
        <v>0</v>
      </c>
      <c r="H6302" s="41" t="n">
        <f aca="false">Sens!$H$6228+Sens!$H$6229+Sens!$H$6298-Sens!$H$6299</f>
        <v>0</v>
      </c>
      <c r="I6302" s="41" t="n">
        <f aca="false">Sens!$I$6228+Sens!$I$6229+Sens!$I$6298-Sens!$I$6299</f>
        <v>0</v>
      </c>
      <c r="J6302" s="41" t="n">
        <f aca="false">Sens!$J$6228+Sens!$J$6229+Sens!$J$6298-Sens!$J$6299</f>
        <v>0</v>
      </c>
      <c r="K6302" s="41" t="n">
        <f aca="false">Sens!$K$6228+Sens!$K$6229+Sens!$K$6298-Sens!$K$6299</f>
        <v>0</v>
      </c>
      <c r="L6302" s="41" t="n">
        <f aca="false">Sens!$L$6228+Sens!$L$6229+Sens!$L$6298-Sens!$L$6299</f>
        <v>0</v>
      </c>
      <c r="M6302" s="41" t="n">
        <f aca="false">Sens!$M$6228+Sens!$M$6229+Sens!$M$6298-Sens!$M$6299</f>
        <v>0</v>
      </c>
      <c r="N6302" s="41" t="n">
        <f aca="false">Sens!$N$6228+Sens!$N$6229+Sens!$N$6298-Sens!$N$6299</f>
        <v>0</v>
      </c>
      <c r="O6302" s="41" t="n">
        <f aca="false">Sens!$O$6228+Sens!$O$6229+Sens!$O$6298-Sens!$O$6299</f>
        <v>0</v>
      </c>
    </row>
    <row r="6303" customFormat="false" ht="15" hidden="false" customHeight="false" outlineLevel="0" collapsed="false">
      <c r="A6303" s="5" t="s">
        <v>710</v>
      </c>
      <c r="B6303" s="0" t="s">
        <v>52</v>
      </c>
      <c r="G6303" s="13" t="n">
        <f aca="false">Sens!$G$6299/Sens!$D$6299-1</f>
        <v>0.140854504918937</v>
      </c>
      <c r="H6303" s="13" t="n">
        <f aca="false">Sens!$H$6299/Sens!$G$6299-1</f>
        <v>0.152063789793209</v>
      </c>
      <c r="I6303" s="13" t="n">
        <f aca="false">Sens!$I$6299/Sens!$H$6299-1</f>
        <v>0.134273264437417</v>
      </c>
      <c r="J6303" s="13" t="n">
        <f aca="false">Sens!$J$6299/Sens!$I$6299-1</f>
        <v>0.113310421234083</v>
      </c>
      <c r="K6303" s="13" t="n">
        <f aca="false">Sens!$K$6299/Sens!$J$6299-1</f>
        <v>0.0892108343223652</v>
      </c>
      <c r="L6303" s="13" t="n">
        <f aca="false">Sens!$L$6299/Sens!$K$6299-1</f>
        <v>0.076471362444261</v>
      </c>
      <c r="M6303" s="13" t="n">
        <f aca="false">Sens!$M$6299/Sens!$L$6299-1</f>
        <v>0.066250060256672</v>
      </c>
    </row>
    <row r="6304" customFormat="false" ht="17.15" hidden="false" customHeight="false" outlineLevel="0" collapsed="false">
      <c r="A6304" s="0" t="s">
        <v>711</v>
      </c>
      <c r="B6304" s="0" t="s">
        <v>52</v>
      </c>
      <c r="C6304" s="13" t="n">
        <f aca="false">Sens!$C$6298/Sens!$C$6299</f>
        <v>0.168593906504964</v>
      </c>
      <c r="D6304" s="13" t="n">
        <f aca="false">Sens!$D$6298/Sens!$D$6299</f>
        <v>0.179551807444025</v>
      </c>
      <c r="E6304" s="13" t="n">
        <f aca="false">Sens!$E$6298/Sens!$E$6299</f>
        <v>0.208881910369643</v>
      </c>
      <c r="F6304" s="13" t="n">
        <f aca="false">Sens!$F$6298/Sens!$F$6299</f>
        <v>0.199028269699356</v>
      </c>
      <c r="G6304" s="13" t="n">
        <f aca="false">Sens!$G$6298/Sens!$G$6299</f>
        <v>0.203631882529968</v>
      </c>
      <c r="H6304" s="13" t="n">
        <f aca="false">Sens!$H$6298/Sens!$H$6299</f>
        <v>0.234731715958496</v>
      </c>
      <c r="I6304" s="13" t="n">
        <f aca="false">Sens!$I$6298/Sens!$I$6299</f>
        <v>0.262231204480418</v>
      </c>
      <c r="J6304" s="13" t="n">
        <f aca="false">Sens!$J$6298/Sens!$J$6299</f>
        <v>0.284728366013706</v>
      </c>
      <c r="K6304" s="13" t="n">
        <f aca="false">Sens!$K$6298/Sens!$K$6299</f>
        <v>0.300823304959505</v>
      </c>
      <c r="L6304" s="13" t="n">
        <f aca="false">Sens!$L$6298/Sens!$L$6299</f>
        <v>0.308263164529735</v>
      </c>
      <c r="M6304" s="13" t="n">
        <f aca="false">Sens!$M$6298/Sens!$M$6299</f>
        <v>0.308856517936036</v>
      </c>
      <c r="N6304" s="13" t="n">
        <f aca="false">Sens!$N$6298/Sens!$N$6299</f>
        <v>0.185979484737251</v>
      </c>
      <c r="O6304" s="13" t="n">
        <f aca="false">Sens!$O$6298/Sens!$O$6299</f>
        <v>0.174270432341096</v>
      </c>
    </row>
    <row r="6305" customFormat="false" ht="17.15" hidden="false" customHeight="false" outlineLevel="0" collapsed="false">
      <c r="A6305" s="0" t="s">
        <v>712</v>
      </c>
      <c r="B6305" s="0" t="s">
        <v>52</v>
      </c>
      <c r="C6305" s="13" t="n">
        <f aca="false">Sens!$C$6296/Sens!$C$6298</f>
        <v>0.0215795060896058</v>
      </c>
      <c r="D6305" s="13" t="n">
        <f aca="false">Sens!$D$6296/Sens!$D$6298</f>
        <v>0.0676152269462122</v>
      </c>
      <c r="E6305" s="13" t="n">
        <f aca="false">Sens!$E$6296/Sens!$E$6298</f>
        <v>0.106620641395783</v>
      </c>
      <c r="F6305" s="13" t="n">
        <f aca="false">Sens!$F$6296/Sens!$F$6298</f>
        <v>0.172523487401099</v>
      </c>
      <c r="G6305" s="13" t="n">
        <f aca="false">Sens!$G$6296/Sens!$G$6298</f>
        <v>0.140939911795589</v>
      </c>
      <c r="H6305" s="13" t="n">
        <f aca="false">Sens!$H$6296/Sens!$H$6298</f>
        <v>0.272018642937714</v>
      </c>
      <c r="I6305" s="13" t="n">
        <f aca="false">Sens!$I$6296/Sens!$I$6298</f>
        <v>0.362159512436497</v>
      </c>
      <c r="J6305" s="13" t="n">
        <f aca="false">Sens!$J$6296/Sens!$J$6298</f>
        <v>0.422151735934609</v>
      </c>
      <c r="K6305" s="13" t="n">
        <f aca="false">Sens!$K$6296/Sens!$K$6298</f>
        <v>0.45769342068485</v>
      </c>
      <c r="L6305" s="13" t="n">
        <f aca="false">Sens!$L$6296/Sens!$L$6298</f>
        <v>0.469047103913472</v>
      </c>
      <c r="M6305" s="13" t="n">
        <f aca="false">Sens!$M$6296/Sens!$M$6298</f>
        <v>0.463233328258093</v>
      </c>
      <c r="N6305" s="13" t="n">
        <f aca="false">Sens!$N$6296/Sens!$N$6298</f>
        <v>0.0506537999838362</v>
      </c>
      <c r="O6305" s="13" t="n">
        <f aca="false">Sens!$O$6296/Sens!$O$6298</f>
        <v>0.0824881615167056</v>
      </c>
    </row>
    <row r="6308" customFormat="false" ht="19.4" hidden="false" customHeight="false" outlineLevel="0" collapsed="false">
      <c r="A6308" s="31" t="s">
        <v>1279</v>
      </c>
    </row>
    <row r="6309" customFormat="false" ht="17.15" hidden="false" customHeight="false" outlineLevel="0" collapsed="false">
      <c r="A6309" s="6" t="s">
        <v>16</v>
      </c>
      <c r="B6309" s="6" t="s">
        <v>17</v>
      </c>
      <c r="C6309" s="20" t="s">
        <v>504</v>
      </c>
      <c r="D6309" s="20" t="s">
        <v>505</v>
      </c>
      <c r="E6309" s="20" t="s">
        <v>587</v>
      </c>
      <c r="F6309" s="20" t="s">
        <v>588</v>
      </c>
      <c r="G6309" s="20" t="s">
        <v>589</v>
      </c>
      <c r="H6309" s="20" t="s">
        <v>590</v>
      </c>
      <c r="I6309" s="20" t="s">
        <v>591</v>
      </c>
      <c r="J6309" s="20" t="s">
        <v>592</v>
      </c>
      <c r="K6309" s="20" t="s">
        <v>593</v>
      </c>
      <c r="L6309" s="20" t="s">
        <v>594</v>
      </c>
      <c r="M6309" s="20" t="s">
        <v>595</v>
      </c>
      <c r="N6309" s="20" t="s">
        <v>596</v>
      </c>
      <c r="O6309" s="20" t="s">
        <v>597</v>
      </c>
      <c r="P6309" s="6" t="s">
        <v>23</v>
      </c>
      <c r="R6309" s="20" t="n">
        <v>2023</v>
      </c>
      <c r="S6309" s="20" t="n">
        <v>2024</v>
      </c>
      <c r="T6309" s="20" t="n">
        <v>2025</v>
      </c>
      <c r="U6309" s="20" t="n">
        <v>2026</v>
      </c>
      <c r="V6309" s="20" t="n">
        <v>2027</v>
      </c>
      <c r="W6309" s="20" t="n">
        <v>2028</v>
      </c>
      <c r="X6309" s="20" t="n">
        <v>2029</v>
      </c>
      <c r="Y6309" s="20" t="n">
        <v>2030</v>
      </c>
      <c r="Z6309" s="20" t="n">
        <v>2031</v>
      </c>
      <c r="AA6309" s="20" t="n">
        <v>2032</v>
      </c>
    </row>
    <row r="6310" customFormat="false" ht="17.15" hidden="false" customHeight="false" outlineLevel="0" collapsed="false">
      <c r="A6310" s="1" t="s">
        <v>727</v>
      </c>
    </row>
    <row r="6311" customFormat="false" ht="15" hidden="false" customHeight="false" outlineLevel="0" collapsed="false">
      <c r="A6311" s="0" t="s">
        <v>526</v>
      </c>
      <c r="B6311" s="0" t="s">
        <v>86</v>
      </c>
      <c r="C6311" s="38" t="n">
        <f aca="false">Sens!$C$6213</f>
        <v>247.029</v>
      </c>
      <c r="D6311" s="38" t="n">
        <f aca="false">Sens!$D$6213</f>
        <v>269.287</v>
      </c>
      <c r="E6311" s="38" t="n">
        <f aca="false">Sens!$E$6213</f>
        <v>134.686</v>
      </c>
      <c r="F6311" s="38" t="n">
        <f aca="false">Sens!$F$6213</f>
        <v>158.293876822267</v>
      </c>
      <c r="G6311" s="38" t="n">
        <f aca="false">Sens!$G$6213</f>
        <v>292.979876822267</v>
      </c>
      <c r="H6311" s="38" t="n">
        <f aca="false">Sens!$H$6213</f>
        <v>318.184543087396</v>
      </c>
      <c r="I6311" s="38" t="n">
        <f aca="false">Sens!$I$6213</f>
        <v>341.736278761793</v>
      </c>
      <c r="J6311" s="38" t="n">
        <f aca="false">Sens!$J$6213</f>
        <v>362.927192787048</v>
      </c>
      <c r="K6311" s="38" t="n">
        <f aca="false">Sens!$K$6213</f>
        <v>381.0735524264</v>
      </c>
      <c r="L6311" s="38" t="n">
        <f aca="false">Sens!$L$6213</f>
        <v>400.12723004772</v>
      </c>
      <c r="M6311" s="38" t="n">
        <f aca="false">Sens!$M$6213</f>
        <v>420.133591550106</v>
      </c>
      <c r="N6311" s="38" t="n">
        <f aca="false">Sens!$N$6213</f>
        <v>118.892</v>
      </c>
      <c r="O6311" s="38" t="n">
        <f aca="false">Sens!$O$6213</f>
        <v>150.395</v>
      </c>
    </row>
    <row r="6312" customFormat="false" ht="15" hidden="false" customHeight="false" outlineLevel="0" collapsed="false">
      <c r="A6312" s="0" t="s">
        <v>527</v>
      </c>
      <c r="B6312" s="0" t="s">
        <v>86</v>
      </c>
      <c r="C6312" s="38" t="n">
        <f aca="false">Sens!$C$6215</f>
        <v>21.215</v>
      </c>
      <c r="D6312" s="38" t="n">
        <f aca="false">Sens!$D$6215</f>
        <v>22.561</v>
      </c>
      <c r="E6312" s="38" t="n">
        <f aca="false">Sens!$E$6215</f>
        <v>11.579</v>
      </c>
      <c r="F6312" s="38" t="n">
        <f aca="false">Sens!$F$6215</f>
        <v>11.5938724610325</v>
      </c>
      <c r="G6312" s="38" t="n">
        <f aca="false">Sens!$G$6215</f>
        <v>23.1728724610325</v>
      </c>
      <c r="H6312" s="38" t="n">
        <f aca="false">Sens!$H$6215</f>
        <v>24.353392759506</v>
      </c>
      <c r="I6312" s="38" t="n">
        <f aca="false">Sens!$I$6215</f>
        <v>25.4240338872015</v>
      </c>
      <c r="J6312" s="38" t="n">
        <f aca="false">Sens!$J$6215</f>
        <v>26.3642491017174</v>
      </c>
      <c r="K6312" s="38" t="n">
        <f aca="false">Sens!$K$6215</f>
        <v>27.155176574769</v>
      </c>
      <c r="L6312" s="38" t="n">
        <f aca="false">Sens!$L$6215</f>
        <v>27.969831872012</v>
      </c>
      <c r="M6312" s="38" t="n">
        <f aca="false">Sens!$M$6215</f>
        <v>28.8089268281724</v>
      </c>
      <c r="N6312" s="38" t="n">
        <f aca="false">Sens!$N$6215</f>
        <v>11.128</v>
      </c>
      <c r="O6312" s="38" t="n">
        <f aca="false">Sens!$O$6215</f>
        <v>11.433</v>
      </c>
    </row>
    <row r="6313" customFormat="false" ht="15" hidden="false" customHeight="false" outlineLevel="0" collapsed="false">
      <c r="A6313" s="0" t="s">
        <v>528</v>
      </c>
      <c r="B6313" s="0" t="s">
        <v>86</v>
      </c>
      <c r="C6313" s="38" t="n">
        <f aca="false">Sens!$C$6217</f>
        <v>156.146</v>
      </c>
      <c r="D6313" s="38" t="n">
        <f aca="false">Sens!$D$6217</f>
        <v>172.162</v>
      </c>
      <c r="E6313" s="38" t="n">
        <f aca="false">Sens!$E$6217</f>
        <v>88.358</v>
      </c>
      <c r="F6313" s="38" t="n">
        <f aca="false">Sens!$F$6217</f>
        <v>102.004388260171</v>
      </c>
      <c r="G6313" s="38" t="n">
        <f aca="false">Sens!$G$6217</f>
        <v>190.362388260171</v>
      </c>
      <c r="H6313" s="38" t="n">
        <f aca="false">Sens!$H$6217</f>
        <v>210.343106588311</v>
      </c>
      <c r="I6313" s="38" t="n">
        <f aca="false">Sens!$I$6217</f>
        <v>229.969728494648</v>
      </c>
      <c r="J6313" s="38" t="n">
        <f aca="false">Sens!$J$6217</f>
        <v>248.747636972598</v>
      </c>
      <c r="K6313" s="38" t="n">
        <f aca="false">Sens!$K$6217</f>
        <v>266.15997156068</v>
      </c>
      <c r="L6313" s="38" t="n">
        <f aca="false">Sens!$L$6217</f>
        <v>284.791169569927</v>
      </c>
      <c r="M6313" s="38" t="n">
        <f aca="false">Sens!$M$6217</f>
        <v>304.726551439822</v>
      </c>
      <c r="N6313" s="38" t="n">
        <f aca="false">Sens!$N$6217</f>
        <v>76.86</v>
      </c>
      <c r="O6313" s="38" t="n">
        <f aca="false">Sens!$O$6217</f>
        <v>95.302</v>
      </c>
    </row>
    <row r="6314" customFormat="false" ht="15" hidden="false" customHeight="false" outlineLevel="0" collapsed="false">
      <c r="A6314" s="0" t="s">
        <v>529</v>
      </c>
      <c r="B6314" s="0" t="s">
        <v>86</v>
      </c>
      <c r="C6314" s="38" t="n">
        <f aca="false">Sens!$C$6219</f>
        <v>56.214</v>
      </c>
      <c r="D6314" s="38" t="n">
        <f aca="false">Sens!$D$6219</f>
        <v>68.635</v>
      </c>
      <c r="E6314" s="38" t="n">
        <f aca="false">Sens!$E$6219</f>
        <v>37.052</v>
      </c>
      <c r="F6314" s="38" t="n">
        <f aca="false">Sens!$F$6219</f>
        <v>46.1572219944148</v>
      </c>
      <c r="G6314" s="38" t="n">
        <f aca="false">Sens!$G$6219</f>
        <v>83.2092219944148</v>
      </c>
      <c r="H6314" s="38" t="n">
        <f aca="false">Sens!$H$6219</f>
        <v>99.8969223878976</v>
      </c>
      <c r="I6314" s="38" t="n">
        <f aca="false">Sens!$I$6219</f>
        <v>116.583111095496</v>
      </c>
      <c r="J6314" s="38" t="n">
        <f aca="false">Sens!$J$6219</f>
        <v>132.148941941952</v>
      </c>
      <c r="K6314" s="38" t="n">
        <f aca="false">Sens!$K$6219</f>
        <v>145.363836136147</v>
      </c>
      <c r="L6314" s="38" t="n">
        <f aca="false">Sens!$L$6219</f>
        <v>159.900219749762</v>
      </c>
      <c r="M6314" s="38" t="n">
        <f aca="false">Sens!$M$6219</f>
        <v>175.890241724738</v>
      </c>
      <c r="N6314" s="38" t="n">
        <f aca="false">Sens!$N$6219</f>
        <v>29.615</v>
      </c>
      <c r="O6314" s="38" t="n">
        <f aca="false">Sens!$O$6219</f>
        <v>39.02</v>
      </c>
    </row>
    <row r="6315" customFormat="false" ht="15" hidden="false" customHeight="false" outlineLevel="0" collapsed="false">
      <c r="A6315" s="0" t="s">
        <v>530</v>
      </c>
      <c r="B6315" s="0" t="s">
        <v>86</v>
      </c>
      <c r="C6315" s="38" t="n">
        <f aca="false">Sens!$C$6221</f>
        <v>44.374</v>
      </c>
      <c r="D6315" s="38" t="n">
        <f aca="false">Sens!$D$6221</f>
        <v>49.619</v>
      </c>
      <c r="E6315" s="38" t="n">
        <f aca="false">Sens!$E$6221</f>
        <v>27.157</v>
      </c>
      <c r="F6315" s="38" t="n">
        <f aca="false">Sens!$F$6221</f>
        <v>27.7764165988154</v>
      </c>
      <c r="G6315" s="38" t="n">
        <f aca="false">Sens!$G$6221</f>
        <v>54.9334165988154</v>
      </c>
      <c r="H6315" s="38" t="n">
        <f aca="false">Sens!$H$6221</f>
        <v>61.1564112561829</v>
      </c>
      <c r="I6315" s="38" t="n">
        <f aca="false">Sens!$I$6221</f>
        <v>67.2020282103945</v>
      </c>
      <c r="J6315" s="38" t="n">
        <f aca="false">Sens!$J$6221</f>
        <v>72.8757274028885</v>
      </c>
      <c r="K6315" s="38" t="n">
        <f aca="false">Sens!$K$6221</f>
        <v>77.9770283210907</v>
      </c>
      <c r="L6315" s="38" t="n">
        <f aca="false">Sens!$L$6221</f>
        <v>83.4354203035671</v>
      </c>
      <c r="M6315" s="38" t="n">
        <f aca="false">Sens!$M$6221</f>
        <v>89.2758997248168</v>
      </c>
      <c r="N6315" s="38" t="n">
        <f aca="false">Sens!$N$6221</f>
        <v>23.923</v>
      </c>
      <c r="O6315" s="38" t="n">
        <f aca="false">Sens!$O$6221</f>
        <v>25.696</v>
      </c>
    </row>
    <row r="6316" customFormat="false" ht="15" hidden="false" customHeight="false" outlineLevel="0" collapsed="false">
      <c r="A6316" s="0" t="s">
        <v>531</v>
      </c>
      <c r="B6316" s="0" t="s">
        <v>86</v>
      </c>
      <c r="C6316" s="38" t="n">
        <f aca="false">Sens!$C$6223</f>
        <v>5.425</v>
      </c>
      <c r="D6316" s="38" t="n">
        <f aca="false">Sens!$D$6223</f>
        <v>5.935</v>
      </c>
      <c r="E6316" s="38" t="n">
        <f aca="false">Sens!$E$6223</f>
        <v>3.474</v>
      </c>
      <c r="F6316" s="38" t="n">
        <f aca="false">Sens!$F$6223</f>
        <v>3.22246550883619</v>
      </c>
      <c r="G6316" s="38" t="n">
        <f aca="false">Sens!$G$6223</f>
        <v>6.69646550883619</v>
      </c>
      <c r="H6316" s="38" t="n">
        <f aca="false">Sens!$H$6223</f>
        <v>7.16251344209196</v>
      </c>
      <c r="I6316" s="38" t="n">
        <f aca="false">Sens!$I$6223</f>
        <v>7.61421070299826</v>
      </c>
      <c r="J6316" s="38" t="n">
        <f aca="false">Sens!$J$6223</f>
        <v>8.04465753523932</v>
      </c>
      <c r="K6316" s="38" t="n">
        <f aca="false">Sens!$K$6223</f>
        <v>8.44689041200128</v>
      </c>
      <c r="L6316" s="38" t="n">
        <f aca="false">Sens!$L$6223</f>
        <v>8.86923493260135</v>
      </c>
      <c r="M6316" s="38" t="n">
        <f aca="false">Sens!$M$6223</f>
        <v>9.31269667923142</v>
      </c>
      <c r="N6316" s="38" t="n">
        <f aca="false">Sens!$N$6223</f>
        <v>2.811</v>
      </c>
      <c r="O6316" s="38" t="n">
        <f aca="false">Sens!$O$6223</f>
        <v>3.124</v>
      </c>
    </row>
    <row r="6317" customFormat="false" ht="17.15" hidden="false" customHeight="false" outlineLevel="0" collapsed="false">
      <c r="A6317" s="0" t="s">
        <v>728</v>
      </c>
      <c r="B6317" s="0" t="s">
        <v>86</v>
      </c>
      <c r="C6317" s="38" t="n">
        <f aca="false">Sens!$C$6298</f>
        <v>107.556</v>
      </c>
      <c r="D6317" s="38" t="n">
        <f aca="false">Sens!$D$6298</f>
        <v>128.725</v>
      </c>
      <c r="E6317" s="38" t="n">
        <f aca="false">Sens!$E$6298</f>
        <v>79.819</v>
      </c>
      <c r="F6317" s="38" t="n">
        <f aca="false">Sens!$F$6298</f>
        <v>86.7327334389669</v>
      </c>
      <c r="G6317" s="38" t="n">
        <f aca="false">Sens!$G$6298</f>
        <v>166.551733438967</v>
      </c>
      <c r="H6317" s="38" t="n">
        <f aca="false">Sens!$H$6298</f>
        <v>221.182967828978</v>
      </c>
      <c r="I6317" s="38" t="n">
        <f aca="false">Sens!$I$6298</f>
        <v>280.27345865789</v>
      </c>
      <c r="J6317" s="38" t="n">
        <f aca="false">Sens!$J$6298</f>
        <v>338.800945197185</v>
      </c>
      <c r="K6317" s="38" t="n">
        <f aca="false">Sens!$K$6298</f>
        <v>389.88570147276</v>
      </c>
      <c r="L6317" s="38" t="n">
        <f aca="false">Sens!$L$6298</f>
        <v>430.080689379143</v>
      </c>
      <c r="M6317" s="38" t="n">
        <f aca="false">Sens!$M$6298</f>
        <v>459.456235951751</v>
      </c>
      <c r="N6317" s="38" t="n">
        <f aca="false">Sens!$N$6298</f>
        <v>60.14</v>
      </c>
      <c r="O6317" s="38" t="n">
        <f aca="false">Sens!$O$6298</f>
        <v>68.585</v>
      </c>
    </row>
    <row r="6318" customFormat="false" ht="15" hidden="false" customHeight="false" outlineLevel="0" collapsed="false">
      <c r="A6318" s="1" t="s">
        <v>519</v>
      </c>
      <c r="B6318" s="8" t="s">
        <v>86</v>
      </c>
      <c r="C6318" s="38" t="n">
        <f aca="false">Sens!$C$6228</f>
        <v>387.497</v>
      </c>
      <c r="D6318" s="38" t="n">
        <f aca="false">Sens!$D$6228</f>
        <v>426.305</v>
      </c>
      <c r="E6318" s="38" t="n">
        <f aca="false">Sens!$E$6228</f>
        <v>220.32</v>
      </c>
      <c r="F6318" s="38" t="n">
        <f aca="false">Sens!$F$6228</f>
        <v>250.639773480586</v>
      </c>
      <c r="G6318" s="38" t="n">
        <f aca="false">Sens!$G$6228</f>
        <v>470.959773480586</v>
      </c>
      <c r="H6318" s="38" t="n">
        <f aca="false">Sens!$H$6228</f>
        <v>521.386990416437</v>
      </c>
      <c r="I6318" s="38" t="n">
        <f aca="false">Sens!$I$6228</f>
        <v>570.143862887555</v>
      </c>
      <c r="J6318" s="38" t="n">
        <f aca="false">Sens!$J$6228</f>
        <v>615.391435791933</v>
      </c>
      <c r="K6318" s="38" t="n">
        <f aca="false">Sens!$K$6228</f>
        <v>655.208227561543</v>
      </c>
      <c r="L6318" s="38" t="n">
        <f aca="false">Sens!$L$6228</f>
        <v>697.807739249767</v>
      </c>
      <c r="M6318" s="38" t="n">
        <f aca="false">Sens!$M$6228</f>
        <v>743.399328463592</v>
      </c>
      <c r="N6318" s="38" t="n">
        <f aca="false">Sens!$N$6228</f>
        <v>192.955</v>
      </c>
      <c r="O6318" s="38" t="n">
        <f aca="false">Sens!$O$6228</f>
        <v>233.35</v>
      </c>
    </row>
    <row r="6319" customFormat="false" ht="15" hidden="false" customHeight="false" outlineLevel="0" collapsed="false">
      <c r="A6319" s="1" t="s">
        <v>522</v>
      </c>
      <c r="B6319" s="8" t="s">
        <v>86</v>
      </c>
      <c r="C6319" s="38" t="n">
        <f aca="false">Sens!$C$6229</f>
        <v>142.906</v>
      </c>
      <c r="D6319" s="38" t="n">
        <f aca="false">Sens!$D$6229</f>
        <v>161.894</v>
      </c>
      <c r="E6319" s="38" t="n">
        <f aca="false">Sens!$E$6229</f>
        <v>81.986</v>
      </c>
      <c r="F6319" s="38" t="n">
        <f aca="false">Sens!$F$6229</f>
        <v>98.408468164951</v>
      </c>
      <c r="G6319" s="38" t="n">
        <f aca="false">Sens!$G$6229</f>
        <v>180.394468164951</v>
      </c>
      <c r="H6319" s="38" t="n">
        <f aca="false">Sens!$H$6229</f>
        <v>199.709899104949</v>
      </c>
      <c r="I6319" s="38" t="n">
        <f aca="false">Sens!$I$6229</f>
        <v>218.385528264976</v>
      </c>
      <c r="J6319" s="38" t="n">
        <f aca="false">Sens!$J$6229</f>
        <v>235.71696994951</v>
      </c>
      <c r="K6319" s="38" t="n">
        <f aca="false">Sens!$K$6229</f>
        <v>250.968227869545</v>
      </c>
      <c r="L6319" s="38" t="n">
        <f aca="false">Sens!$L$6229</f>
        <v>267.285367225822</v>
      </c>
      <c r="M6319" s="38" t="n">
        <f aca="false">Sens!$M$6229</f>
        <v>284.748579483295</v>
      </c>
      <c r="N6319" s="38" t="n">
        <f aca="false">Sens!$N$6229</f>
        <v>70.274</v>
      </c>
      <c r="O6319" s="38" t="n">
        <f aca="false">Sens!$O$6229</f>
        <v>91.62</v>
      </c>
    </row>
    <row r="6320" customFormat="false" ht="15" hidden="false" customHeight="false" outlineLevel="0" collapsed="false">
      <c r="A6320" s="1" t="s">
        <v>523</v>
      </c>
      <c r="B6320" s="8" t="s">
        <v>86</v>
      </c>
      <c r="C6320" s="38" t="n">
        <f aca="false">Sens!$C$6298</f>
        <v>107.556</v>
      </c>
      <c r="D6320" s="38" t="n">
        <f aca="false">Sens!$D$6298</f>
        <v>128.725</v>
      </c>
      <c r="E6320" s="38" t="n">
        <f aca="false">Sens!$E$6298</f>
        <v>79.819</v>
      </c>
      <c r="F6320" s="38" t="n">
        <f aca="false">Sens!$F$6298</f>
        <v>86.7327334389669</v>
      </c>
      <c r="G6320" s="38" t="n">
        <f aca="false">Sens!$G$6298</f>
        <v>166.551733438967</v>
      </c>
      <c r="H6320" s="38" t="n">
        <f aca="false">Sens!$H$6298</f>
        <v>221.182967828978</v>
      </c>
      <c r="I6320" s="38" t="n">
        <f aca="false">Sens!$I$6298</f>
        <v>280.27345865789</v>
      </c>
      <c r="J6320" s="38" t="n">
        <f aca="false">Sens!$J$6298</f>
        <v>338.800945197185</v>
      </c>
      <c r="K6320" s="38" t="n">
        <f aca="false">Sens!$K$6298</f>
        <v>389.88570147276</v>
      </c>
      <c r="L6320" s="38" t="n">
        <f aca="false">Sens!$L$6298</f>
        <v>430.080689379143</v>
      </c>
      <c r="M6320" s="38" t="n">
        <f aca="false">Sens!$M$6298</f>
        <v>459.456235951751</v>
      </c>
      <c r="N6320" s="38" t="n">
        <f aca="false">Sens!$N$6298</f>
        <v>60.14</v>
      </c>
      <c r="O6320" s="38" t="n">
        <f aca="false">Sens!$O$6298</f>
        <v>68.585</v>
      </c>
    </row>
    <row r="6321" customFormat="false" ht="17.15" hidden="false" customHeight="false" outlineLevel="0" collapsed="false">
      <c r="A6321" s="0" t="s">
        <v>702</v>
      </c>
      <c r="B6321" s="0" t="s">
        <v>86</v>
      </c>
      <c r="C6321" s="38" t="n">
        <f aca="false">Sens!$C$6296</f>
        <v>2.32100535697364</v>
      </c>
      <c r="D6321" s="38" t="n">
        <f aca="false">Sens!$D$6296</f>
        <v>8.70377008865116</v>
      </c>
      <c r="E6321" s="38" t="n">
        <f aca="false">Sens!$E$6296</f>
        <v>8.51035297557002</v>
      </c>
      <c r="F6321" s="38" t="n">
        <f aca="false">Sens!$F$6296</f>
        <v>14.9634336447205</v>
      </c>
      <c r="G6321" s="38" t="n">
        <f aca="false">Sens!$G$6296</f>
        <v>23.4737866202905</v>
      </c>
      <c r="H6321" s="38" t="n">
        <f aca="false">Sens!$H$6296</f>
        <v>60.1658907497746</v>
      </c>
      <c r="I6321" s="38" t="n">
        <f aca="false">Sens!$I$6296</f>
        <v>101.503699136432</v>
      </c>
      <c r="J6321" s="38" t="n">
        <f aca="false">Sens!$J$6296</f>
        <v>143.025407151278</v>
      </c>
      <c r="K6321" s="38" t="n">
        <f aca="false">Sens!$K$6296</f>
        <v>178.44812038318</v>
      </c>
      <c r="L6321" s="38" t="n">
        <f aca="false">Sens!$L$6296</f>
        <v>201.728101802396</v>
      </c>
      <c r="M6321" s="38" t="n">
        <f aca="false">Sens!$M$6296</f>
        <v>212.835441368865</v>
      </c>
      <c r="N6321" s="38" t="n">
        <f aca="false">Sens!$N$6296</f>
        <v>3.04631953102791</v>
      </c>
      <c r="O6321" s="38" t="n">
        <f aca="false">Sens!$O$6296</f>
        <v>5.65745055762326</v>
      </c>
    </row>
    <row r="6322" customFormat="false" ht="17.15" hidden="false" customHeight="false" outlineLevel="0" collapsed="false">
      <c r="A6322" s="0" t="s">
        <v>704</v>
      </c>
      <c r="B6322" s="0" t="s">
        <v>86</v>
      </c>
      <c r="C6322" s="38" t="n">
        <f aca="false">Sens!$C$6297</f>
        <v>105.234994643026</v>
      </c>
      <c r="D6322" s="38" t="n">
        <f aca="false">Sens!$D$6297</f>
        <v>120.021229911349</v>
      </c>
      <c r="E6322" s="38" t="n">
        <f aca="false">Sens!$E$6297</f>
        <v>71.30864702443</v>
      </c>
      <c r="F6322" s="38" t="n">
        <f aca="false">Sens!$F$6297</f>
        <v>71.7692997942464</v>
      </c>
      <c r="G6322" s="38" t="n">
        <f aca="false">Sens!$G$6297</f>
        <v>143.077946818676</v>
      </c>
      <c r="H6322" s="38" t="n">
        <f aca="false">Sens!$H$6297</f>
        <v>161.017077079203</v>
      </c>
      <c r="I6322" s="38" t="n">
        <f aca="false">Sens!$I$6297</f>
        <v>178.769759521457</v>
      </c>
      <c r="J6322" s="38" t="n">
        <f aca="false">Sens!$J$6297</f>
        <v>195.775538045907</v>
      </c>
      <c r="K6322" s="38" t="n">
        <f aca="false">Sens!$K$6297</f>
        <v>211.43758108958</v>
      </c>
      <c r="L6322" s="38" t="n">
        <f aca="false">Sens!$L$6297</f>
        <v>228.352587576746</v>
      </c>
      <c r="M6322" s="38" t="n">
        <f aca="false">Sens!$M$6297</f>
        <v>246.620794582886</v>
      </c>
      <c r="N6322" s="38" t="n">
        <f aca="false">Sens!$N$6297</f>
        <v>57.0936804689721</v>
      </c>
      <c r="O6322" s="38" t="n">
        <f aca="false">Sens!$O$6297</f>
        <v>62.9275494423768</v>
      </c>
    </row>
    <row r="6323" customFormat="false" ht="15" hidden="false" customHeight="false" outlineLevel="0" collapsed="false">
      <c r="A6323" s="3" t="s">
        <v>524</v>
      </c>
      <c r="B6323" s="8" t="s">
        <v>86</v>
      </c>
      <c r="C6323" s="38" t="n">
        <f aca="false">Sens!$C$6299</f>
        <v>637.959</v>
      </c>
      <c r="D6323" s="38" t="n">
        <f aca="false">Sens!$D$6299</f>
        <v>716.924</v>
      </c>
      <c r="E6323" s="38" t="n">
        <f aca="false">Sens!$E$6299</f>
        <v>382.125</v>
      </c>
      <c r="F6323" s="38" t="n">
        <f aca="false">Sens!$F$6299</f>
        <v>435.780975084504</v>
      </c>
      <c r="G6323" s="38" t="n">
        <f aca="false">Sens!$G$6299</f>
        <v>817.905975084504</v>
      </c>
      <c r="H6323" s="38" t="n">
        <f aca="false">Sens!$H$6299</f>
        <v>942.279857350364</v>
      </c>
      <c r="I6323" s="38" t="n">
        <f aca="false">Sens!$I$6299</f>
        <v>1068.80284981042</v>
      </c>
      <c r="J6323" s="38" t="n">
        <f aca="false">Sens!$J$6299</f>
        <v>1189.90935093863</v>
      </c>
      <c r="K6323" s="38" t="n">
        <f aca="false">Sens!$K$6299</f>
        <v>1296.06215690385</v>
      </c>
      <c r="L6323" s="38" t="n">
        <f aca="false">Sens!$L$6299</f>
        <v>1395.17379585473</v>
      </c>
      <c r="M6323" s="38" t="n">
        <f aca="false">Sens!$M$6299</f>
        <v>1487.60414389864</v>
      </c>
      <c r="N6323" s="38" t="n">
        <f aca="false">Sens!$N$6299</f>
        <v>323.369</v>
      </c>
      <c r="O6323" s="38" t="n">
        <f aca="false">Sens!$O$6299</f>
        <v>393.555</v>
      </c>
    </row>
    <row r="6324" customFormat="false" ht="17.15" hidden="false" customHeight="false" outlineLevel="0" collapsed="false">
      <c r="A6324" s="24" t="s">
        <v>714</v>
      </c>
      <c r="B6324" s="25" t="s">
        <v>86</v>
      </c>
      <c r="C6324" s="41" t="n">
        <f aca="false">Sens!$C$6311+Sens!$C$6312+Sens!$C$6313+Sens!$C$6314+Sens!$C$6315+Sens!$C$6316-(Sens!$C$6318+Sens!$C$6319)</f>
        <v>0</v>
      </c>
      <c r="D6324" s="41" t="n">
        <f aca="false">Sens!$D$6311+Sens!$D$6312+Sens!$D$6313+Sens!$D$6314+Sens!$D$6315+Sens!$D$6316-(Sens!$D$6318+Sens!$D$6319)</f>
        <v>0</v>
      </c>
      <c r="E6324" s="41" t="n">
        <f aca="false">Sens!$E$6311+Sens!$E$6312+Sens!$E$6313+Sens!$E$6314+Sens!$E$6315+Sens!$E$6316-(Sens!$E$6318+Sens!$E$6319)</f>
        <v>0</v>
      </c>
      <c r="F6324" s="41" t="n">
        <f aca="false">Sens!$F$6311+Sens!$F$6312+Sens!$F$6313+Sens!$F$6314+Sens!$F$6315+Sens!$F$6316-(Sens!$F$6318+Sens!$F$6319)</f>
        <v>0</v>
      </c>
      <c r="G6324" s="41" t="n">
        <f aca="false">Sens!$G$6311+Sens!$G$6312+Sens!$G$6313+Sens!$G$6314+Sens!$G$6315+Sens!$G$6316-(Sens!$G$6318+Sens!$G$6319)</f>
        <v>0</v>
      </c>
      <c r="H6324" s="41" t="n">
        <f aca="false">Sens!$H$6311+Sens!$H$6312+Sens!$H$6313+Sens!$H$6314+Sens!$H$6315+Sens!$H$6316-(Sens!$H$6318+Sens!$H$6319)</f>
        <v>0</v>
      </c>
      <c r="I6324" s="41" t="n">
        <f aca="false">Sens!$I$6311+Sens!$I$6312+Sens!$I$6313+Sens!$I$6314+Sens!$I$6315+Sens!$I$6316-(Sens!$I$6318+Sens!$I$6319)</f>
        <v>0</v>
      </c>
      <c r="J6324" s="41" t="n">
        <f aca="false">Sens!$J$6311+Sens!$J$6312+Sens!$J$6313+Sens!$J$6314+Sens!$J$6315+Sens!$J$6316-(Sens!$J$6318+Sens!$J$6319)</f>
        <v>0</v>
      </c>
      <c r="K6324" s="41" t="n">
        <f aca="false">Sens!$K$6311+Sens!$K$6312+Sens!$K$6313+Sens!$K$6314+Sens!$K$6315+Sens!$K$6316-(Sens!$K$6318+Sens!$K$6319)</f>
        <v>0</v>
      </c>
      <c r="L6324" s="41" t="n">
        <f aca="false">Sens!$L$6311+Sens!$L$6312+Sens!$L$6313+Sens!$L$6314+Sens!$L$6315+Sens!$L$6316-(Sens!$L$6318+Sens!$L$6319)</f>
        <v>0</v>
      </c>
      <c r="M6324" s="41" t="n">
        <f aca="false">Sens!$M$6311+Sens!$M$6312+Sens!$M$6313+Sens!$M$6314+Sens!$M$6315+Sens!$M$6316-(Sens!$M$6318+Sens!$M$6319)</f>
        <v>0</v>
      </c>
      <c r="N6324" s="41" t="n">
        <f aca="false">Sens!$N$6311+Sens!$N$6312+Sens!$N$6313+Sens!$N$6314+Sens!$N$6315+Sens!$N$6316-(Sens!$N$6318+Sens!$N$6319)</f>
        <v>0</v>
      </c>
      <c r="O6324" s="41" t="n">
        <f aca="false">Sens!$O$6311+Sens!$O$6312+Sens!$O$6313+Sens!$O$6314+Sens!$O$6315+Sens!$O$6316-(Sens!$O$6318+Sens!$O$6319)</f>
        <v>0</v>
      </c>
    </row>
    <row r="6325" customFormat="false" ht="17.15" hidden="false" customHeight="false" outlineLevel="0" collapsed="false">
      <c r="A6325" s="24" t="s">
        <v>715</v>
      </c>
      <c r="B6325" s="25" t="s">
        <v>86</v>
      </c>
      <c r="C6325" s="41" t="n">
        <f aca="false">Sens!$C$6321+Sens!$C$6322-Sens!$C$6320</f>
        <v>0</v>
      </c>
      <c r="D6325" s="41" t="n">
        <f aca="false">Sens!$D$6321+Sens!$D$6322-Sens!$D$6320</f>
        <v>0</v>
      </c>
      <c r="E6325" s="41" t="n">
        <f aca="false">Sens!$E$6321+Sens!$E$6322-Sens!$E$6320</f>
        <v>0</v>
      </c>
      <c r="F6325" s="41" t="n">
        <f aca="false">Sens!$F$6321+Sens!$F$6322-Sens!$F$6320</f>
        <v>0</v>
      </c>
      <c r="G6325" s="41" t="n">
        <f aca="false">Sens!$G$6321+Sens!$G$6322-Sens!$G$6320</f>
        <v>0</v>
      </c>
      <c r="H6325" s="41" t="n">
        <f aca="false">Sens!$H$6321+Sens!$H$6322-Sens!$H$6320</f>
        <v>0</v>
      </c>
      <c r="I6325" s="41" t="n">
        <f aca="false">Sens!$I$6321+Sens!$I$6322-Sens!$I$6320</f>
        <v>0</v>
      </c>
      <c r="J6325" s="41" t="n">
        <f aca="false">Sens!$J$6321+Sens!$J$6322-Sens!$J$6320</f>
        <v>0</v>
      </c>
      <c r="K6325" s="41" t="n">
        <f aca="false">Sens!$K$6321+Sens!$K$6322-Sens!$K$6320</f>
        <v>0</v>
      </c>
      <c r="L6325" s="41" t="n">
        <f aca="false">Sens!$L$6321+Sens!$L$6322-Sens!$L$6320</f>
        <v>0</v>
      </c>
      <c r="M6325" s="41" t="n">
        <f aca="false">Sens!$M$6321+Sens!$M$6322-Sens!$M$6320</f>
        <v>0</v>
      </c>
      <c r="N6325" s="41" t="n">
        <f aca="false">Sens!$N$6321+Sens!$N$6322-Sens!$N$6320</f>
        <v>0</v>
      </c>
      <c r="O6325" s="41" t="n">
        <f aca="false">Sens!$O$6321+Sens!$O$6322-Sens!$O$6320</f>
        <v>0</v>
      </c>
    </row>
    <row r="6326" customFormat="false" ht="17.15" hidden="false" customHeight="false" outlineLevel="0" collapsed="false">
      <c r="A6326" s="24" t="s">
        <v>774</v>
      </c>
      <c r="B6326" s="25" t="s">
        <v>86</v>
      </c>
      <c r="C6326" s="41" t="n">
        <f aca="false">Sens!$C$6311+Sens!$C$6312+Sens!$C$6313+Sens!$C$6314+Sens!$C$6315+Sens!$C$6316+Sens!$C$6317-Sens!$C$6323</f>
        <v>0</v>
      </c>
      <c r="D6326" s="41" t="n">
        <f aca="false">Sens!$D$6311+Sens!$D$6312+Sens!$D$6313+Sens!$D$6314+Sens!$D$6315+Sens!$D$6316+Sens!$D$6317-Sens!$D$6323</f>
        <v>0</v>
      </c>
      <c r="E6326" s="41" t="n">
        <f aca="false">Sens!$E$6311+Sens!$E$6312+Sens!$E$6313+Sens!$E$6314+Sens!$E$6315+Sens!$E$6316+Sens!$E$6317-Sens!$E$6323</f>
        <v>0</v>
      </c>
      <c r="F6326" s="41" t="n">
        <f aca="false">Sens!$F$6311+Sens!$F$6312+Sens!$F$6313+Sens!$F$6314+Sens!$F$6315+Sens!$F$6316+Sens!$F$6317-Sens!$F$6323</f>
        <v>0</v>
      </c>
      <c r="G6326" s="41" t="n">
        <f aca="false">Sens!$G$6311+Sens!$G$6312+Sens!$G$6313+Sens!$G$6314+Sens!$G$6315+Sens!$G$6316+Sens!$G$6317-Sens!$G$6323</f>
        <v>0</v>
      </c>
      <c r="H6326" s="41" t="n">
        <f aca="false">Sens!$H$6311+Sens!$H$6312+Sens!$H$6313+Sens!$H$6314+Sens!$H$6315+Sens!$H$6316+Sens!$H$6317-Sens!$H$6323</f>
        <v>0</v>
      </c>
      <c r="I6326" s="41" t="n">
        <f aca="false">Sens!$I$6311+Sens!$I$6312+Sens!$I$6313+Sens!$I$6314+Sens!$I$6315+Sens!$I$6316+Sens!$I$6317-Sens!$I$6323</f>
        <v>0</v>
      </c>
      <c r="J6326" s="41" t="n">
        <f aca="false">Sens!$J$6311+Sens!$J$6312+Sens!$J$6313+Sens!$J$6314+Sens!$J$6315+Sens!$J$6316+Sens!$J$6317-Sens!$J$6323</f>
        <v>0</v>
      </c>
      <c r="K6326" s="41" t="n">
        <f aca="false">Sens!$K$6311+Sens!$K$6312+Sens!$K$6313+Sens!$K$6314+Sens!$K$6315+Sens!$K$6316+Sens!$K$6317-Sens!$K$6323</f>
        <v>0</v>
      </c>
      <c r="L6326" s="41" t="n">
        <f aca="false">Sens!$L$6311+Sens!$L$6312+Sens!$L$6313+Sens!$L$6314+Sens!$L$6315+Sens!$L$6316+Sens!$L$6317-Sens!$L$6323</f>
        <v>0</v>
      </c>
      <c r="M6326" s="41" t="n">
        <f aca="false">Sens!$M$6311+Sens!$M$6312+Sens!$M$6313+Sens!$M$6314+Sens!$M$6315+Sens!$M$6316+Sens!$M$6317-Sens!$M$6323</f>
        <v>0</v>
      </c>
      <c r="N6326" s="41" t="n">
        <f aca="false">Sens!$N$6311+Sens!$N$6312+Sens!$N$6313+Sens!$N$6314+Sens!$N$6315+Sens!$N$6316+Sens!$N$6317-Sens!$N$6323</f>
        <v>0</v>
      </c>
      <c r="O6326" s="41" t="n">
        <f aca="false">Sens!$O$6311+Sens!$O$6312+Sens!$O$6313+Sens!$O$6314+Sens!$O$6315+Sens!$O$6316+Sens!$O$6317-Sens!$O$6323</f>
        <v>0</v>
      </c>
    </row>
    <row r="6327" customFormat="false" ht="17.15" hidden="false" customHeight="false" outlineLevel="0" collapsed="false">
      <c r="A6327" s="24" t="s">
        <v>716</v>
      </c>
      <c r="B6327" s="25" t="s">
        <v>86</v>
      </c>
      <c r="C6327" s="41" t="n">
        <f aca="false">Sens!$C$6318+Sens!$C$6319+Sens!$C$6320-Sens!$C$6323</f>
        <v>0</v>
      </c>
      <c r="D6327" s="41" t="n">
        <f aca="false">Sens!$D$6318+Sens!$D$6319+Sens!$D$6320-Sens!$D$6323</f>
        <v>0</v>
      </c>
      <c r="E6327" s="41" t="n">
        <f aca="false">Sens!$E$6318+Sens!$E$6319+Sens!$E$6320-Sens!$E$6323</f>
        <v>0</v>
      </c>
      <c r="F6327" s="41" t="n">
        <f aca="false">Sens!$F$6318+Sens!$F$6319+Sens!$F$6320-Sens!$F$6323</f>
        <v>0</v>
      </c>
      <c r="G6327" s="41" t="n">
        <f aca="false">Sens!$G$6318+Sens!$G$6319+Sens!$G$6320-Sens!$G$6323</f>
        <v>0</v>
      </c>
      <c r="H6327" s="41" t="n">
        <f aca="false">Sens!$H$6318+Sens!$H$6319+Sens!$H$6320-Sens!$H$6323</f>
        <v>0</v>
      </c>
      <c r="I6327" s="41" t="n">
        <f aca="false">Sens!$I$6318+Sens!$I$6319+Sens!$I$6320-Sens!$I$6323</f>
        <v>0</v>
      </c>
      <c r="J6327" s="41" t="n">
        <f aca="false">Sens!$J$6318+Sens!$J$6319+Sens!$J$6320-Sens!$J$6323</f>
        <v>0</v>
      </c>
      <c r="K6327" s="41" t="n">
        <f aca="false">Sens!$K$6318+Sens!$K$6319+Sens!$K$6320-Sens!$K$6323</f>
        <v>0</v>
      </c>
      <c r="L6327" s="41" t="n">
        <f aca="false">Sens!$L$6318+Sens!$L$6319+Sens!$L$6320-Sens!$L$6323</f>
        <v>0</v>
      </c>
      <c r="M6327" s="41" t="n">
        <f aca="false">Sens!$M$6318+Sens!$M$6319+Sens!$M$6320-Sens!$M$6323</f>
        <v>0</v>
      </c>
      <c r="N6327" s="41" t="n">
        <f aca="false">Sens!$N$6318+Sens!$N$6319+Sens!$N$6320-Sens!$N$6323</f>
        <v>0</v>
      </c>
      <c r="O6327" s="41" t="n">
        <f aca="false">Sens!$O$6318+Sens!$O$6319+Sens!$O$6320-Sens!$O$6323</f>
        <v>0</v>
      </c>
    </row>
    <row r="6328" customFormat="false" ht="17.15" hidden="false" customHeight="false" outlineLevel="0" collapsed="false">
      <c r="A6328" s="1" t="s">
        <v>730</v>
      </c>
    </row>
    <row r="6329" customFormat="false" ht="17.15" hidden="false" customHeight="false" outlineLevel="0" collapsed="false">
      <c r="A6329" s="0" t="s">
        <v>731</v>
      </c>
      <c r="B6329" s="0" t="s">
        <v>86</v>
      </c>
      <c r="C6329" s="38" t="n">
        <f aca="false">Sens!$C$6230*m_ad</f>
        <v>20.5341564414228</v>
      </c>
      <c r="D6329" s="38" t="n">
        <f aca="false">Sens!$D$6230*m_ad</f>
        <v>24.8720617299587</v>
      </c>
      <c r="E6329" s="38" t="n">
        <f aca="false">Sens!$E$6230*m_ad</f>
        <v>13.5017112462207</v>
      </c>
      <c r="F6329" s="38" t="n">
        <f aca="false">Sens!$F$6230*m_ad</f>
        <v>16.5719724165257</v>
      </c>
      <c r="G6329" s="38" t="n">
        <f aca="false">Sens!$G$6230*m_ad</f>
        <v>30.0820919220415</v>
      </c>
      <c r="H6329" s="38" t="n">
        <f aca="false">Sens!$H$6230*m_ad</f>
        <v>36.1150883276314</v>
      </c>
      <c r="I6329" s="38" t="n">
        <f aca="false">Sens!$I$6230*m_ad</f>
        <v>42.1475382231996</v>
      </c>
      <c r="J6329" s="38" t="n">
        <f aca="false">Sens!$J$6230*m_ad</f>
        <v>47.7749523864693</v>
      </c>
      <c r="K6329" s="38" t="n">
        <f aca="false">Sens!$K$6230*m_ad</f>
        <v>52.5524476251162</v>
      </c>
      <c r="L6329" s="38" t="n">
        <f aca="false">Sens!$L$6230*m_ad</f>
        <v>57.8076923876279</v>
      </c>
      <c r="M6329" s="38" t="n">
        <f aca="false">Sens!$M$6230*m_ad</f>
        <v>63.5884616263907</v>
      </c>
      <c r="N6329" s="38" t="n">
        <f aca="false">Sens!$N$6230*m_ad</f>
        <v>10.8543555706248</v>
      </c>
      <c r="O6329" s="38" t="n">
        <f aca="false">Sens!$O$6230*m_ad</f>
        <v>14.0094731821399</v>
      </c>
    </row>
    <row r="6330" customFormat="false" ht="17.15" hidden="false" customHeight="false" outlineLevel="0" collapsed="false">
      <c r="A6330" s="0" t="s">
        <v>732</v>
      </c>
      <c r="B6330" s="0" t="s">
        <v>86</v>
      </c>
      <c r="C6330" s="38" t="n">
        <f aca="false">Sens!$C$6228-Sens!$C$6230</f>
        <v>346.428687117154</v>
      </c>
      <c r="D6330" s="38" t="n">
        <f aca="false">Sens!$D$6228-Sens!$D$6230</f>
        <v>376.560876540083</v>
      </c>
      <c r="E6330" s="38" t="n">
        <f aca="false">Sens!$E$6228-Sens!$E$6230</f>
        <v>193.316577507559</v>
      </c>
      <c r="F6330" s="38" t="n">
        <f aca="false">Sens!$F$6228-Sens!$F$6230</f>
        <v>217.495828647535</v>
      </c>
      <c r="G6330" s="38" t="n">
        <f aca="false">Sens!$G$6228-Sens!$G$6230</f>
        <v>410.795589636503</v>
      </c>
      <c r="H6330" s="38" t="n">
        <f aca="false">Sens!$H$6228-Sens!$H$6230</f>
        <v>449.156813761174</v>
      </c>
      <c r="I6330" s="38" t="n">
        <f aca="false">Sens!$I$6228-Sens!$I$6230</f>
        <v>485.848786441156</v>
      </c>
      <c r="J6330" s="38" t="n">
        <f aca="false">Sens!$J$6228-Sens!$J$6230</f>
        <v>519.841531018994</v>
      </c>
      <c r="K6330" s="38" t="n">
        <f aca="false">Sens!$K$6228-Sens!$K$6230</f>
        <v>550.103332311311</v>
      </c>
      <c r="L6330" s="38" t="n">
        <f aca="false">Sens!$L$6228-Sens!$L$6230</f>
        <v>582.192354474511</v>
      </c>
      <c r="M6330" s="38" t="n">
        <f aca="false">Sens!$M$6228-Sens!$M$6230</f>
        <v>616.22240521081</v>
      </c>
      <c r="N6330" s="38" t="n">
        <f aca="false">Sens!$N$6228-Sens!$N$6230</f>
        <v>171.24628885875</v>
      </c>
      <c r="O6330" s="38" t="n">
        <f aca="false">Sens!$O$6228-Sens!$O$6230</f>
        <v>205.33105363572</v>
      </c>
    </row>
    <row r="6331" customFormat="false" ht="17.15" hidden="false" customHeight="false" outlineLevel="0" collapsed="false">
      <c r="A6331" s="0" t="s">
        <v>733</v>
      </c>
      <c r="B6331" s="0" t="s">
        <v>86</v>
      </c>
      <c r="C6331" s="38" t="n">
        <f aca="false">Sens!$C$6282*Sens!$C$6227</f>
        <v>0.123617442257179</v>
      </c>
      <c r="D6331" s="38" t="n">
        <f aca="false">Sens!$D$6282*Sens!$D$6227</f>
        <v>0.600198046024689</v>
      </c>
      <c r="E6331" s="38" t="n">
        <f aca="false">Sens!$E$6282*Sens!$E$6227</f>
        <v>1.10840000750276</v>
      </c>
      <c r="F6331" s="38" t="n">
        <f aca="false">Sens!$F$6282*Sens!$F$6227</f>
        <v>1.33595298721025</v>
      </c>
      <c r="G6331" s="38" t="n">
        <f aca="false">Sens!$G$6282*Sens!$G$6227</f>
        <v>2.44487335052545</v>
      </c>
      <c r="H6331" s="38" t="n">
        <f aca="false">Sens!$H$6282*Sens!$H$6227</f>
        <v>6.63132711939388</v>
      </c>
      <c r="I6331" s="38" t="n">
        <f aca="false">Sens!$I$6282*Sens!$I$6227</f>
        <v>12.7486799258504</v>
      </c>
      <c r="J6331" s="38" t="n">
        <f aca="false">Sens!$J$6282*Sens!$J$6227</f>
        <v>18.4074045299415</v>
      </c>
      <c r="K6331" s="38" t="n">
        <f aca="false">Sens!$K$6282*Sens!$K$6227</f>
        <v>23.9455472348705</v>
      </c>
      <c r="L6331" s="38" t="n">
        <f aca="false">Sens!$L$6282*Sens!$L$6227</f>
        <v>27.78179156216</v>
      </c>
      <c r="M6331" s="38" t="n">
        <f aca="false">Sens!$M$6282*Sens!$M$6227</f>
        <v>29.9029027327362</v>
      </c>
      <c r="N6331" s="38" t="n">
        <f aca="false">Sens!$N$6282*Sens!$N$6227</f>
        <v>0.25053229484398</v>
      </c>
      <c r="O6331" s="38" t="n">
        <f aca="false">Sens!$O$6282*Sens!$O$6227</f>
        <v>0.349234376756897</v>
      </c>
    </row>
    <row r="6332" customFormat="false" ht="17.15" hidden="false" customHeight="false" outlineLevel="0" collapsed="false">
      <c r="A6332" s="0" t="s">
        <v>734</v>
      </c>
      <c r="B6332" s="0" t="s">
        <v>52</v>
      </c>
      <c r="C6332" s="28" t="n">
        <f aca="false">(Sens!$C$6333-Sens!$C$6329+Sens!$C$6331)/Sens!$C$6330</f>
        <v>0.0131526665379575</v>
      </c>
      <c r="D6332" s="28" t="n">
        <f aca="false">(Sens!$D$6333-Sens!$D$6329+Sens!$D$6331)/Sens!$D$6330</f>
        <v>0.0141999252954702</v>
      </c>
      <c r="E6332" s="28" t="n">
        <f aca="false">(Sens!$E$6333-Sens!$E$6329+Sens!$E$6331)/Sens!$E$6330</f>
        <v>0.0258471819939326</v>
      </c>
      <c r="F6332" s="28" t="n">
        <f aca="false">Sens!$O$6332+(Sens!$E$6332-Sens!$N$6332)</f>
        <v>0.0224302350712874</v>
      </c>
      <c r="G6332" s="28" t="n">
        <f aca="false">(Sens!$G$6333-Sens!$G$6329+Sens!$G$6331)/Sens!$G$6330</f>
        <v>0.0240199351461372</v>
      </c>
      <c r="H6332" s="28" t="n">
        <f aca="false">Sens!$G$6332+step_na</f>
        <v>0.0270199351461372</v>
      </c>
      <c r="I6332" s="28" t="n">
        <f aca="false">Sens!$H$6332+step_na</f>
        <v>0.0300199351461372</v>
      </c>
      <c r="J6332" s="28" t="n">
        <f aca="false">Sens!$I$6332+step_na</f>
        <v>0.0330199351461372</v>
      </c>
      <c r="K6332" s="28" t="n">
        <f aca="false">Sens!$J$6332+step_na</f>
        <v>0.0360199351461372</v>
      </c>
      <c r="L6332" s="28" t="n">
        <f aca="false">Sens!$K$6332</f>
        <v>0.0360199351461372</v>
      </c>
      <c r="M6332" s="28" t="n">
        <f aca="false">Sens!$L$6332</f>
        <v>0.0360199351461372</v>
      </c>
      <c r="N6332" s="28" t="n">
        <f aca="false">(Sens!$N$6333-Sens!$N$6329+Sens!$N$6331)/Sens!$N$6330</f>
        <v>0.0160831323269779</v>
      </c>
      <c r="O6332" s="28" t="n">
        <f aca="false">(Sens!$O$6333-Sens!$O$6329+Sens!$O$6331)/Sens!$O$6330</f>
        <v>0.0126661854043327</v>
      </c>
      <c r="P6332" s="8" t="s">
        <v>735</v>
      </c>
    </row>
    <row r="6333" customFormat="false" ht="17.15" hidden="false" customHeight="false" outlineLevel="0" collapsed="false">
      <c r="A6333" s="1" t="s">
        <v>736</v>
      </c>
      <c r="B6333" s="8" t="s">
        <v>86</v>
      </c>
      <c r="C6333" s="38" t="n">
        <f aca="false">Q!$D$22</f>
        <v>24.967</v>
      </c>
      <c r="D6333" s="38" t="n">
        <f aca="false">Q!$E$22</f>
        <v>29.619</v>
      </c>
      <c r="E6333" s="38" t="n">
        <f aca="false">Q!$P$22</f>
        <v>17.39</v>
      </c>
      <c r="F6333" s="38" t="n">
        <f aca="false">Sens!$F$6329+Sens!$F$6330*Sens!$F$6332-Sens!$F$6331</f>
        <v>20.1145019929041</v>
      </c>
      <c r="G6333" s="38" t="n">
        <f aca="false">Sens!$E$6333+Sens!$F$6333</f>
        <v>37.5045019929041</v>
      </c>
      <c r="H6333" s="38" t="n">
        <f aca="false">Sens!$H$6329+Sens!$H$6330*Sens!$H$6332-Sens!$H$6331</f>
        <v>41.6199491865101</v>
      </c>
      <c r="I6333" s="38" t="n">
        <f aca="false">Sens!$I$6329+Sens!$I$6330*Sens!$I$6332-Sens!$I$6331</f>
        <v>43.9840073571422</v>
      </c>
      <c r="J6333" s="38" t="n">
        <f aca="false">Sens!$J$6329+Sens!$J$6330*Sens!$J$6332-Sens!$J$6331</f>
        <v>46.5326814970436</v>
      </c>
      <c r="K6333" s="38" t="n">
        <f aca="false">Sens!$K$6329+Sens!$K$6330*Sens!$K$6332-Sens!$K$6331</f>
        <v>48.4215867437731</v>
      </c>
      <c r="L6333" s="38" t="n">
        <f aca="false">Sens!$L$6329+Sens!$L$6330*Sens!$L$6332-Sens!$L$6331</f>
        <v>50.9964316762167</v>
      </c>
      <c r="M6333" s="38" t="n">
        <f aca="false">Sens!$M$6329+Sens!$M$6330*Sens!$M$6332-Sens!$M$6331</f>
        <v>55.8818499649445</v>
      </c>
      <c r="N6333" s="38" t="n">
        <f aca="false">Q!$N$22</f>
        <v>13.358</v>
      </c>
      <c r="O6333" s="38" t="n">
        <f aca="false">Q!$O$22</f>
        <v>16.261</v>
      </c>
    </row>
    <row r="6334" customFormat="false" ht="17.15" hidden="false" customHeight="false" outlineLevel="0" collapsed="false">
      <c r="A6334" s="0" t="s">
        <v>737</v>
      </c>
      <c r="B6334" s="0" t="s">
        <v>86</v>
      </c>
      <c r="C6334" s="38" t="n">
        <f aca="false">Sens!$C$6231*m_ad</f>
        <v>7.57284355857716</v>
      </c>
      <c r="D6334" s="38" t="n">
        <f aca="false">Sens!$D$6231*m_ad</f>
        <v>9.44543827004127</v>
      </c>
      <c r="E6334" s="38" t="n">
        <f aca="false">Sens!$E$6231*m_ad</f>
        <v>5.02428875377928</v>
      </c>
      <c r="F6334" s="38" t="n">
        <f aca="false">Sens!$F$6231*m_ad</f>
        <v>6.50663858068173</v>
      </c>
      <c r="G6334" s="38" t="n">
        <f aca="false">Sens!$G$6231*m_ad</f>
        <v>11.5225190751659</v>
      </c>
      <c r="H6334" s="38" t="n">
        <f aca="false">Sens!$H$6231*m_ad</f>
        <v>13.8333728663174</v>
      </c>
      <c r="I6334" s="38" t="n">
        <f aca="false">Sens!$I$6231*m_ad</f>
        <v>16.1440173245485</v>
      </c>
      <c r="J6334" s="38" t="n">
        <f aca="false">Sens!$J$6231*m_ad</f>
        <v>18.2995185845066</v>
      </c>
      <c r="K6334" s="38" t="n">
        <f aca="false">Sens!$K$6231*m_ad</f>
        <v>20.1294704429572</v>
      </c>
      <c r="L6334" s="38" t="n">
        <f aca="false">Sens!$L$6231*m_ad</f>
        <v>22.142417487253</v>
      </c>
      <c r="M6334" s="38" t="n">
        <f aca="false">Sens!$M$6231*m_ad</f>
        <v>24.3566592359783</v>
      </c>
      <c r="N6334" s="38" t="n">
        <f aca="false">Sens!$N$6231*m_ad</f>
        <v>3.95314442937518</v>
      </c>
      <c r="O6334" s="38" t="n">
        <f aca="false">Sens!$O$6231*m_ad</f>
        <v>5.50052681786011</v>
      </c>
    </row>
    <row r="6335" customFormat="false" ht="17.15" hidden="false" customHeight="false" outlineLevel="0" collapsed="false">
      <c r="A6335" s="0" t="s">
        <v>738</v>
      </c>
      <c r="B6335" s="0" t="s">
        <v>86</v>
      </c>
      <c r="C6335" s="38" t="n">
        <f aca="false">Sens!$C$6229-Sens!$C$6231</f>
        <v>127.760312882846</v>
      </c>
      <c r="D6335" s="38" t="n">
        <f aca="false">Sens!$D$6229-Sens!$D$6231</f>
        <v>143.003123459917</v>
      </c>
      <c r="E6335" s="38" t="n">
        <f aca="false">Sens!$E$6229-Sens!$E$6231</f>
        <v>71.9374224924414</v>
      </c>
      <c r="F6335" s="38" t="n">
        <f aca="false">Sens!$F$6229-Sens!$F$6231</f>
        <v>85.3951910035875</v>
      </c>
      <c r="G6335" s="38" t="n">
        <f aca="false">Sens!$G$6229-Sens!$G$6231</f>
        <v>157.349430014619</v>
      </c>
      <c r="H6335" s="38" t="n">
        <f aca="false">Sens!$H$6229-Sens!$H$6231</f>
        <v>172.043153372315</v>
      </c>
      <c r="I6335" s="38" t="n">
        <f aca="false">Sens!$I$6229-Sens!$I$6231</f>
        <v>186.097493615879</v>
      </c>
      <c r="J6335" s="38" t="n">
        <f aca="false">Sens!$J$6229-Sens!$J$6231</f>
        <v>199.117932780497</v>
      </c>
      <c r="K6335" s="38" t="n">
        <f aca="false">Sens!$K$6229-Sens!$K$6231</f>
        <v>210.70928698363</v>
      </c>
      <c r="L6335" s="38" t="n">
        <f aca="false">Sens!$L$6229-Sens!$L$6231</f>
        <v>223.000532251316</v>
      </c>
      <c r="M6335" s="38" t="n">
        <f aca="false">Sens!$M$6229-Sens!$M$6231</f>
        <v>236.035261011339</v>
      </c>
      <c r="N6335" s="38" t="n">
        <f aca="false">Sens!$N$6229-Sens!$N$6231</f>
        <v>62.3677111412496</v>
      </c>
      <c r="O6335" s="38" t="n">
        <f aca="false">Sens!$O$6229-Sens!$O$6231</f>
        <v>80.6189463642798</v>
      </c>
    </row>
    <row r="6336" customFormat="false" ht="17.15" hidden="false" customHeight="false" outlineLevel="0" collapsed="false">
      <c r="A6336" s="0" t="s">
        <v>739</v>
      </c>
      <c r="B6336" s="0" t="s">
        <v>86</v>
      </c>
      <c r="C6336" s="38" t="n">
        <f aca="false">Sens!$C$6282*(1-Sens!$C$6227)</f>
        <v>0.0455891896019953</v>
      </c>
      <c r="D6336" s="38" t="n">
        <f aca="false">Sens!$D$6282*(1-Sens!$D$6227)</f>
        <v>0.227931791705753</v>
      </c>
      <c r="E6336" s="38" t="n">
        <f aca="false">Sens!$E$6282*(1-Sens!$E$6227)</f>
        <v>0.412460434890711</v>
      </c>
      <c r="F6336" s="38" t="n">
        <f aca="false">Sens!$F$6282*(1-Sens!$F$6227)</f>
        <v>0.524534016233997</v>
      </c>
      <c r="G6336" s="38" t="n">
        <f aca="false">Sens!$G$6282*(1-Sens!$G$6227)</f>
        <v>0.936474095312266</v>
      </c>
      <c r="H6336" s="38" t="n">
        <f aca="false">Sens!$H$6282*(1-Sens!$H$6227)</f>
        <v>2.54003589327823</v>
      </c>
      <c r="I6336" s="38" t="n">
        <f aca="false">Sens!$I$6282*(1-Sens!$I$6227)</f>
        <v>4.88320120852905</v>
      </c>
      <c r="J6336" s="38" t="n">
        <f aca="false">Sens!$J$6282*(1-Sens!$J$6227)</f>
        <v>7.05069548920359</v>
      </c>
      <c r="K6336" s="38" t="n">
        <f aca="false">Sens!$K$6282*(1-Sens!$K$6227)</f>
        <v>9.17200258193867</v>
      </c>
      <c r="L6336" s="38" t="n">
        <f aca="false">Sens!$L$6282*(1-Sens!$L$6227)</f>
        <v>10.6414216154535</v>
      </c>
      <c r="M6336" s="38" t="n">
        <f aca="false">Sens!$M$6282*(1-Sens!$M$6227)</f>
        <v>11.4538831951485</v>
      </c>
      <c r="N6336" s="38" t="n">
        <f aca="false">Sens!$N$6282*(1-Sens!$N$6227)</f>
        <v>0.0912435878202994</v>
      </c>
      <c r="O6336" s="38" t="n">
        <f aca="false">Sens!$O$6282*(1-Sens!$O$6227)</f>
        <v>0.137119578309265</v>
      </c>
    </row>
    <row r="6337" customFormat="false" ht="17.15" hidden="false" customHeight="false" outlineLevel="0" collapsed="false">
      <c r="A6337" s="0" t="s">
        <v>740</v>
      </c>
      <c r="B6337" s="0" t="s">
        <v>52</v>
      </c>
      <c r="C6337" s="28" t="n">
        <f aca="false">(Sens!$C$6338-Sens!$C$6334+Sens!$C$6336)/Sens!$C$6335</f>
        <v>-0.0292364215826579</v>
      </c>
      <c r="D6337" s="28" t="n">
        <f aca="false">(Sens!$D$6338-Sens!$D$6334+Sens!$D$6336)/Sens!$D$6335</f>
        <v>-0.0312406216748665</v>
      </c>
      <c r="E6337" s="28" t="n">
        <f aca="false">(Sens!$E$6338-Sens!$E$6334+Sens!$E$6336)/Sens!$E$6335</f>
        <v>-0.0204459413185552</v>
      </c>
      <c r="F6337" s="28" t="n">
        <f aca="false">Sens!$O$6337+(Sens!$E$6337-Sens!$N$6337)</f>
        <v>-0.0375409290246314</v>
      </c>
      <c r="G6337" s="28" t="n">
        <f aca="false">(Sens!$G$6338-Sens!$G$6334+Sens!$G$6336)/Sens!$G$6335</f>
        <v>-0.0296712560031684</v>
      </c>
      <c r="H6337" s="28" t="n">
        <f aca="false">Sens!$G$6337+step_in</f>
        <v>-0.0296712560031684</v>
      </c>
      <c r="I6337" s="28" t="n">
        <f aca="false">Sens!$H$6337+step_in</f>
        <v>-0.0296712560031684</v>
      </c>
      <c r="J6337" s="28" t="n">
        <f aca="false">Sens!$I$6337+step_in</f>
        <v>-0.0296712560031684</v>
      </c>
      <c r="K6337" s="28" t="n">
        <f aca="false">Sens!$J$6337+step_in</f>
        <v>-0.0296712560031684</v>
      </c>
      <c r="L6337" s="28" t="n">
        <f aca="false">Sens!$K$6337</f>
        <v>-0.0296712560031684</v>
      </c>
      <c r="M6337" s="28" t="n">
        <f aca="false">Sens!$L$6337</f>
        <v>-0.0296712560031684</v>
      </c>
      <c r="N6337" s="28" t="n">
        <f aca="false">(Sens!$N$6338-Sens!$N$6334+Sens!$N$6336)/Sens!$N$6335</f>
        <v>-0.0216602600421776</v>
      </c>
      <c r="O6337" s="28" t="n">
        <f aca="false">(Sens!$O$6338-Sens!$O$6334+Sens!$O$6336)/Sens!$O$6335</f>
        <v>-0.0387552477482538</v>
      </c>
      <c r="P6337" s="8" t="s">
        <v>735</v>
      </c>
    </row>
    <row r="6338" customFormat="false" ht="17.15" hidden="false" customHeight="false" outlineLevel="0" collapsed="false">
      <c r="A6338" s="1" t="s">
        <v>741</v>
      </c>
      <c r="B6338" s="8" t="s">
        <v>86</v>
      </c>
      <c r="C6338" s="38" t="n">
        <f aca="false">Q!$D$23</f>
        <v>3.792</v>
      </c>
      <c r="D6338" s="38" t="n">
        <f aca="false">Q!$E$23</f>
        <v>4.75</v>
      </c>
      <c r="E6338" s="38" t="n">
        <f aca="false">Q!$P$23</f>
        <v>3.141</v>
      </c>
      <c r="F6338" s="38" t="n">
        <f aca="false">Sens!$F$6334+Sens!$F$6335*Sens!$F$6337-Sens!$F$6336</f>
        <v>2.77628975993721</v>
      </c>
      <c r="G6338" s="38" t="n">
        <f aca="false">Sens!$E$6338+Sens!$F$6338</f>
        <v>5.91728975993721</v>
      </c>
      <c r="H6338" s="38" t="n">
        <f aca="false">Sens!$H$6334+Sens!$H$6335*Sens!$H$6337-Sens!$H$6336</f>
        <v>6.18860052573681</v>
      </c>
      <c r="I6338" s="38" t="n">
        <f aca="false">Sens!$I$6334+Sens!$I$6335*Sens!$I$6337-Sens!$I$6336</f>
        <v>5.73906974139474</v>
      </c>
      <c r="J6338" s="38" t="n">
        <f aca="false">Sens!$J$6334+Sens!$J$6335*Sens!$J$6337-Sens!$J$6336</f>
        <v>5.34074393695119</v>
      </c>
      <c r="K6338" s="38" t="n">
        <f aca="false">Sens!$K$6334+Sens!$K$6335*Sens!$K$6337-Sens!$K$6336</f>
        <v>4.7054586646822</v>
      </c>
      <c r="L6338" s="38" t="n">
        <f aca="false">Sens!$L$6334+Sens!$L$6335*Sens!$L$6337-Sens!$L$6336</f>
        <v>4.88428999052786</v>
      </c>
      <c r="M6338" s="38" t="n">
        <f aca="false">Sens!$M$6334+Sens!$M$6335*Sens!$M$6337-Sens!$M$6336</f>
        <v>5.89931338558769</v>
      </c>
      <c r="N6338" s="38" t="n">
        <f aca="false">Q!$N$23</f>
        <v>2.511</v>
      </c>
      <c r="O6338" s="38" t="n">
        <f aca="false">Q!$O$23</f>
        <v>2.239</v>
      </c>
    </row>
    <row r="6339" customFormat="false" ht="17.15" hidden="false" customHeight="false" outlineLevel="0" collapsed="false">
      <c r="A6339" s="0" t="s">
        <v>742</v>
      </c>
      <c r="B6339" s="0" t="s">
        <v>86</v>
      </c>
      <c r="C6339" s="38" t="n">
        <f aca="false">Sens!$C$6279</f>
        <v>1.64417882953695</v>
      </c>
      <c r="D6339" s="38" t="n">
        <f aca="false">Sens!$D$6279</f>
        <v>5.39125073772939</v>
      </c>
      <c r="E6339" s="38" t="n">
        <f aca="false">Sens!$E$6279</f>
        <v>2.42691120599613</v>
      </c>
      <c r="F6339" s="38" t="n">
        <f aca="false">Sens!$F$6279</f>
        <v>7.52148563094346</v>
      </c>
      <c r="G6339" s="38" t="n">
        <f aca="false">Sens!$G$6279</f>
        <v>9.94839683693959</v>
      </c>
      <c r="H6339" s="38" t="n">
        <f aca="false">Sens!$H$6279</f>
        <v>23.4804386990861</v>
      </c>
      <c r="I6339" s="38" t="n">
        <f aca="false">Sens!$I$6279</f>
        <v>30.9761745989143</v>
      </c>
      <c r="J6339" s="38" t="n">
        <f aca="false">Sens!$J$6279</f>
        <v>41.1930070746977</v>
      </c>
      <c r="K6339" s="38" t="n">
        <f aca="false">Sens!$K$6279</f>
        <v>45.9779211159428</v>
      </c>
      <c r="L6339" s="38" t="n">
        <f aca="false">Sens!$L$6279</f>
        <v>48.0352490919424</v>
      </c>
      <c r="M6339" s="38" t="n">
        <f aca="false">Sens!$M$6279</f>
        <v>47.4082976573265</v>
      </c>
      <c r="N6339" s="38" t="n">
        <f aca="false">Sens!$N$6279</f>
        <v>1.67921600037079</v>
      </c>
      <c r="O6339" s="38" t="n">
        <f aca="false">Sens!$O$6279</f>
        <v>3.71203473735861</v>
      </c>
    </row>
    <row r="6340" customFormat="false" ht="17.15" hidden="false" customHeight="false" outlineLevel="0" collapsed="false">
      <c r="A6340" s="0" t="s">
        <v>660</v>
      </c>
      <c r="B6340" s="0" t="s">
        <v>86</v>
      </c>
      <c r="C6340" s="38" t="n">
        <f aca="false">Sens!$C$6284</f>
        <v>38.1898211704631</v>
      </c>
      <c r="D6340" s="38" t="n">
        <f aca="false">Sens!$D$6284</f>
        <v>40.2147492622706</v>
      </c>
      <c r="E6340" s="38" t="n">
        <f aca="false">Sens!$E$6284</f>
        <v>28.3550887940039</v>
      </c>
      <c r="F6340" s="38" t="n">
        <f aca="false">Sens!$F$6284</f>
        <v>25.9529793149447</v>
      </c>
      <c r="G6340" s="38" t="n">
        <f aca="false">Sens!$G$6284</f>
        <v>54.3080681089486</v>
      </c>
      <c r="H6340" s="38" t="n">
        <f aca="false">Sens!$H$6284</f>
        <v>58.2264684589333</v>
      </c>
      <c r="I6340" s="38" t="n">
        <f aca="false">Sens!$I$6284</f>
        <v>64.6461353851744</v>
      </c>
      <c r="J6340" s="38" t="n">
        <f aca="false">Sens!$J$6284</f>
        <v>70.7957093610231</v>
      </c>
      <c r="K6340" s="38" t="n">
        <f aca="false">Sens!$K$6284</f>
        <v>76.4593661099049</v>
      </c>
      <c r="L6340" s="38" t="n">
        <f aca="false">Sens!$L$6284</f>
        <v>82.5761153986973</v>
      </c>
      <c r="M6340" s="38" t="n">
        <f aca="false">Sens!$M$6284</f>
        <v>89.1822046305931</v>
      </c>
      <c r="N6340" s="38" t="n">
        <f aca="false">Sens!$N$6284</f>
        <v>20.0277839996292</v>
      </c>
      <c r="O6340" s="38" t="n">
        <f aca="false">Sens!$O$6284</f>
        <v>20.1869652626414</v>
      </c>
    </row>
    <row r="6341" customFormat="false" ht="17.15" hidden="false" customHeight="false" outlineLevel="0" collapsed="false">
      <c r="A6341" s="1" t="s">
        <v>743</v>
      </c>
      <c r="B6341" s="8" t="s">
        <v>86</v>
      </c>
      <c r="C6341" s="38" t="n">
        <f aca="false">Q!$D$24</f>
        <v>39.834</v>
      </c>
      <c r="D6341" s="38" t="n">
        <f aca="false">Q!$E$24</f>
        <v>45.606</v>
      </c>
      <c r="E6341" s="38" t="n">
        <f aca="false">Q!$P$24</f>
        <v>30.782</v>
      </c>
      <c r="F6341" s="38" t="n">
        <f aca="false">Sens!$F$6339+Sens!$F$6340</f>
        <v>33.4744649458882</v>
      </c>
      <c r="G6341" s="38" t="n">
        <f aca="false">Sens!$G$6339+Sens!$G$6340</f>
        <v>64.2564649458882</v>
      </c>
      <c r="H6341" s="38" t="n">
        <f aca="false">Sens!$H$6339+Sens!$H$6340</f>
        <v>81.7069071580194</v>
      </c>
      <c r="I6341" s="38" t="n">
        <f aca="false">Sens!$I$6339+Sens!$I$6340</f>
        <v>95.6223099840887</v>
      </c>
      <c r="J6341" s="38" t="n">
        <f aca="false">Sens!$J$6339+Sens!$J$6340</f>
        <v>111.988716435721</v>
      </c>
      <c r="K6341" s="38" t="n">
        <f aca="false">Sens!$K$6339+Sens!$K$6340</f>
        <v>122.437287225848</v>
      </c>
      <c r="L6341" s="38" t="n">
        <f aca="false">Sens!$L$6339+Sens!$L$6340</f>
        <v>130.61136449064</v>
      </c>
      <c r="M6341" s="38" t="n">
        <f aca="false">Sens!$M$6339+Sens!$M$6340</f>
        <v>136.59050228792</v>
      </c>
      <c r="N6341" s="38" t="n">
        <f aca="false">Q!$N$24</f>
        <v>21.707</v>
      </c>
      <c r="O6341" s="38" t="n">
        <f aca="false">Q!$O$24</f>
        <v>23.899</v>
      </c>
    </row>
    <row r="6342" customFormat="false" ht="17.15" hidden="false" customHeight="false" outlineLevel="0" collapsed="false">
      <c r="A6342" s="5" t="s">
        <v>744</v>
      </c>
      <c r="B6342" s="0" t="s">
        <v>86</v>
      </c>
      <c r="C6342" s="38" t="n">
        <f aca="false">Q!$D$26</f>
        <v>0</v>
      </c>
      <c r="D6342" s="38" t="n">
        <f aca="false">Q!$E$26</f>
        <v>0</v>
      </c>
      <c r="E6342" s="38" t="n">
        <f aca="false">Q!$P$26</f>
        <v>0</v>
      </c>
      <c r="F6342" s="39" t="n">
        <v>0</v>
      </c>
      <c r="G6342" s="38" t="n">
        <f aca="false">Sens!$E$6342+Sens!$F$6342</f>
        <v>0</v>
      </c>
      <c r="H6342" s="39" t="n">
        <v>0</v>
      </c>
      <c r="I6342" s="39" t="n">
        <v>0</v>
      </c>
      <c r="J6342" s="39" t="n">
        <v>0</v>
      </c>
      <c r="K6342" s="39" t="n">
        <v>0</v>
      </c>
      <c r="L6342" s="39" t="n">
        <v>0</v>
      </c>
      <c r="M6342" s="39" t="n">
        <v>0</v>
      </c>
      <c r="N6342" s="38" t="n">
        <f aca="false">Q!$N$26</f>
        <v>0</v>
      </c>
      <c r="O6342" s="38" t="n">
        <f aca="false">Q!$O$26</f>
        <v>0</v>
      </c>
    </row>
    <row r="6343" customFormat="false" ht="15" hidden="false" customHeight="false" outlineLevel="0" collapsed="false">
      <c r="A6343" s="3" t="s">
        <v>541</v>
      </c>
      <c r="B6343" s="8" t="s">
        <v>86</v>
      </c>
      <c r="C6343" s="38" t="n">
        <f aca="false">Q!$D$25</f>
        <v>68.593</v>
      </c>
      <c r="D6343" s="38" t="n">
        <f aca="false">Q!$E$25</f>
        <v>79.975</v>
      </c>
      <c r="E6343" s="38" t="n">
        <f aca="false">Q!$P$25</f>
        <v>51.313</v>
      </c>
      <c r="F6343" s="38" t="n">
        <f aca="false">Sens!$F$6333+Sens!$F$6338+Sens!$F$6341+Sens!$F$6342</f>
        <v>56.3652566987294</v>
      </c>
      <c r="G6343" s="38" t="n">
        <f aca="false">Sens!$G$6333+Sens!$G$6338+Sens!$G$6341+Sens!$G$6342</f>
        <v>107.678256698729</v>
      </c>
      <c r="H6343" s="38" t="n">
        <f aca="false">Sens!$H$6333+Sens!$H$6338+Sens!$H$6341+Sens!$H$6342</f>
        <v>129.515456870266</v>
      </c>
      <c r="I6343" s="38" t="n">
        <f aca="false">Sens!$I$6333+Sens!$I$6338+Sens!$I$6341+Sens!$I$6342</f>
        <v>145.345387082626</v>
      </c>
      <c r="J6343" s="38" t="n">
        <f aca="false">Sens!$J$6333+Sens!$J$6338+Sens!$J$6341+Sens!$J$6342</f>
        <v>163.862141869716</v>
      </c>
      <c r="K6343" s="38" t="n">
        <f aca="false">Sens!$K$6333+Sens!$K$6338+Sens!$K$6341+Sens!$K$6342</f>
        <v>175.564332634303</v>
      </c>
      <c r="L6343" s="38" t="n">
        <f aca="false">Sens!$L$6333+Sens!$L$6338+Sens!$L$6341+Sens!$L$6342</f>
        <v>186.492086157384</v>
      </c>
      <c r="M6343" s="38" t="n">
        <f aca="false">Sens!$M$6333+Sens!$M$6338+Sens!$M$6341+Sens!$M$6342</f>
        <v>198.371665638452</v>
      </c>
      <c r="N6343" s="38" t="n">
        <f aca="false">Q!$N$25</f>
        <v>37.576</v>
      </c>
      <c r="O6343" s="38" t="n">
        <f aca="false">Q!$O$25</f>
        <v>42.399</v>
      </c>
    </row>
    <row r="6344" customFormat="false" ht="17.15" hidden="false" customHeight="false" outlineLevel="0" collapsed="false">
      <c r="A6344" s="24" t="s">
        <v>775</v>
      </c>
      <c r="B6344" s="25" t="s">
        <v>86</v>
      </c>
      <c r="C6344" s="41" t="n">
        <f aca="false">Sens!$C$6333+Sens!$C$6338+Sens!$C$6341+Sens!$C$6342-Sens!$C$6343</f>
        <v>0</v>
      </c>
      <c r="D6344" s="41" t="n">
        <f aca="false">Sens!$D$6333+Sens!$D$6338+Sens!$D$6341+Sens!$D$6342-Sens!$D$6343</f>
        <v>0</v>
      </c>
      <c r="E6344" s="41" t="n">
        <f aca="false">Sens!$E$6333+Sens!$E$6338+Sens!$E$6341+Sens!$E$6342-Sens!$E$6343</f>
        <v>0</v>
      </c>
      <c r="F6344" s="41" t="n">
        <f aca="false">Sens!$F$6333+Sens!$F$6338+Sens!$F$6341+Sens!$F$6342-Sens!$F$6343</f>
        <v>0</v>
      </c>
      <c r="G6344" s="41" t="n">
        <f aca="false">Sens!$G$6333+Sens!$G$6338+Sens!$G$6341+Sens!$G$6342-Sens!$G$6343</f>
        <v>0</v>
      </c>
      <c r="H6344" s="41" t="n">
        <f aca="false">Sens!$H$6333+Sens!$H$6338+Sens!$H$6341+Sens!$H$6342-Sens!$H$6343</f>
        <v>0</v>
      </c>
      <c r="I6344" s="41" t="n">
        <f aca="false">Sens!$I$6333+Sens!$I$6338+Sens!$I$6341+Sens!$I$6342-Sens!$I$6343</f>
        <v>0</v>
      </c>
      <c r="J6344" s="41" t="n">
        <f aca="false">Sens!$J$6333+Sens!$J$6338+Sens!$J$6341+Sens!$J$6342-Sens!$J$6343</f>
        <v>0</v>
      </c>
      <c r="K6344" s="41" t="n">
        <f aca="false">Sens!$K$6333+Sens!$K$6338+Sens!$K$6341+Sens!$K$6342-Sens!$K$6343</f>
        <v>0</v>
      </c>
      <c r="L6344" s="41" t="n">
        <f aca="false">Sens!$L$6333+Sens!$L$6338+Sens!$L$6341+Sens!$L$6342-Sens!$L$6343</f>
        <v>0</v>
      </c>
      <c r="M6344" s="41" t="n">
        <f aca="false">Sens!$M$6333+Sens!$M$6338+Sens!$M$6341+Sens!$M$6342-Sens!$M$6343</f>
        <v>0</v>
      </c>
      <c r="N6344" s="41" t="n">
        <f aca="false">Sens!$N$6333+Sens!$N$6338+Sens!$N$6341+Sens!$N$6342-Sens!$N$6343</f>
        <v>0</v>
      </c>
      <c r="O6344" s="41" t="n">
        <f aca="false">Sens!$O$6333+Sens!$O$6338+Sens!$O$6341+Sens!$O$6342-Sens!$O$6343</f>
        <v>0</v>
      </c>
    </row>
    <row r="6345" customFormat="false" ht="17.15" hidden="false" customHeight="false" outlineLevel="0" collapsed="false">
      <c r="A6345" s="5" t="s">
        <v>746</v>
      </c>
      <c r="B6345" s="0" t="s">
        <v>86</v>
      </c>
      <c r="C6345" s="38" t="n">
        <f aca="false">Sens!$C$6281</f>
        <v>0</v>
      </c>
      <c r="D6345" s="38" t="n">
        <f aca="false">Sens!$D$6281</f>
        <v>0</v>
      </c>
      <c r="E6345" s="38" t="n">
        <f aca="false">Sens!$E$6281</f>
        <v>0</v>
      </c>
      <c r="F6345" s="38" t="n">
        <f aca="false">Sens!$F$6281</f>
        <v>3.77122048175818</v>
      </c>
      <c r="G6345" s="38" t="n">
        <f aca="false">Sens!$G$6281</f>
        <v>3.77122048175818</v>
      </c>
      <c r="H6345" s="38" t="n">
        <f aca="false">Sens!$H$6281</f>
        <v>15.1635543609893</v>
      </c>
      <c r="I6345" s="38" t="n">
        <f aca="false">Sens!$I$6281</f>
        <v>25.5818843619889</v>
      </c>
      <c r="J6345" s="38" t="n">
        <f aca="false">Sens!$J$6281</f>
        <v>36.0465624179122</v>
      </c>
      <c r="K6345" s="38" t="n">
        <f aca="false">Sens!$K$6281</f>
        <v>44.9741164026038</v>
      </c>
      <c r="L6345" s="38" t="n">
        <f aca="false">Sens!$L$6281</f>
        <v>50.8413488057813</v>
      </c>
      <c r="M6345" s="38" t="n">
        <f aca="false">Sens!$M$6281</f>
        <v>53.6407214274315</v>
      </c>
      <c r="N6345" s="38" t="n">
        <f aca="false">Sens!$N$6281</f>
        <v>0</v>
      </c>
      <c r="O6345" s="38" t="n">
        <f aca="false">Sens!$O$6281</f>
        <v>0</v>
      </c>
      <c r="P6345" s="5" t="s">
        <v>747</v>
      </c>
    </row>
    <row r="6346" customFormat="false" ht="17.15" hidden="false" customHeight="false" outlineLevel="0" collapsed="false">
      <c r="A6346" s="5" t="s">
        <v>748</v>
      </c>
      <c r="B6346" s="0" t="s">
        <v>86</v>
      </c>
      <c r="C6346" s="38" t="n">
        <f aca="false">Sens!$C$6343+Sens!$C$6345</f>
        <v>68.593</v>
      </c>
      <c r="D6346" s="38" t="n">
        <f aca="false">Sens!$D$6343+Sens!$D$6345</f>
        <v>79.975</v>
      </c>
      <c r="E6346" s="38" t="n">
        <f aca="false">Sens!$E$6343+Sens!$E$6345</f>
        <v>51.313</v>
      </c>
      <c r="F6346" s="38" t="n">
        <f aca="false">Sens!$F$6343+Sens!$F$6345</f>
        <v>60.1364771804876</v>
      </c>
      <c r="G6346" s="38" t="n">
        <f aca="false">Sens!$G$6343+Sens!$G$6345</f>
        <v>111.449477180488</v>
      </c>
      <c r="H6346" s="38" t="n">
        <f aca="false">Sens!$H$6343+Sens!$H$6345</f>
        <v>144.679011231256</v>
      </c>
      <c r="I6346" s="38" t="n">
        <f aca="false">Sens!$I$6343+Sens!$I$6345</f>
        <v>170.927271444615</v>
      </c>
      <c r="J6346" s="38" t="n">
        <f aca="false">Sens!$J$6343+Sens!$J$6345</f>
        <v>199.908704287628</v>
      </c>
      <c r="K6346" s="38" t="n">
        <f aca="false">Sens!$K$6343+Sens!$K$6345</f>
        <v>220.538449036907</v>
      </c>
      <c r="L6346" s="38" t="n">
        <f aca="false">Sens!$L$6343+Sens!$L$6345</f>
        <v>237.333434963166</v>
      </c>
      <c r="M6346" s="38" t="n">
        <f aca="false">Sens!$M$6343+Sens!$M$6345</f>
        <v>252.012387065883</v>
      </c>
      <c r="N6346" s="38" t="n">
        <f aca="false">Sens!$N$6343+Sens!$N$6345</f>
        <v>37.576</v>
      </c>
      <c r="O6346" s="38" t="n">
        <f aca="false">Sens!$O$6343+Sens!$O$6345</f>
        <v>42.399</v>
      </c>
    </row>
    <row r="6347" customFormat="false" ht="17.15" hidden="false" customHeight="false" outlineLevel="0" collapsed="false">
      <c r="A6347" s="0" t="s">
        <v>749</v>
      </c>
      <c r="B6347" s="0" t="s">
        <v>52</v>
      </c>
      <c r="C6347" s="13" t="n">
        <f aca="false">Sens!$C$6333/Sens!$C$6318</f>
        <v>0.0644314665661928</v>
      </c>
      <c r="D6347" s="13" t="n">
        <f aca="false">Sens!$D$6333/Sens!$D$6318</f>
        <v>0.0694784250712518</v>
      </c>
      <c r="E6347" s="13" t="n">
        <f aca="false">Sens!$E$6333/Sens!$E$6318</f>
        <v>0.0789306463326071</v>
      </c>
      <c r="F6347" s="13" t="n">
        <f aca="false">Sens!$F$6333/Sens!$F$6318</f>
        <v>0.0802526339438384</v>
      </c>
      <c r="G6347" s="13" t="n">
        <f aca="false">Sens!$G$6333/Sens!$G$6318</f>
        <v>0.0796341940538369</v>
      </c>
      <c r="H6347" s="13" t="n">
        <f aca="false">Sens!$H$6333/Sens!$H$6318</f>
        <v>0.0798254462645258</v>
      </c>
      <c r="I6347" s="13" t="n">
        <f aca="false">Sens!$I$6333/Sens!$I$6318</f>
        <v>0.0771454543672196</v>
      </c>
      <c r="J6347" s="13" t="n">
        <f aca="false">Sens!$J$6333/Sens!$J$6318</f>
        <v>0.0756147693819656</v>
      </c>
      <c r="K6347" s="13" t="n">
        <f aca="false">Sens!$K$6333/Sens!$K$6318</f>
        <v>0.0739025926520816</v>
      </c>
      <c r="L6347" s="13" t="n">
        <f aca="false">Sens!$L$6333/Sens!$L$6318</f>
        <v>0.0730809201558074</v>
      </c>
      <c r="M6347" s="13" t="n">
        <f aca="false">Sens!$M$6333/Sens!$M$6318</f>
        <v>0.0751707027775199</v>
      </c>
      <c r="N6347" s="13" t="n">
        <f aca="false">Sens!$N$6333/Sens!$N$6318</f>
        <v>0.069228576611127</v>
      </c>
      <c r="O6347" s="13" t="n">
        <f aca="false">Sens!$O$6333/Sens!$O$6318</f>
        <v>0.069685022498393</v>
      </c>
    </row>
    <row r="6348" customFormat="false" ht="17.15" hidden="false" customHeight="false" outlineLevel="0" collapsed="false">
      <c r="A6348" s="0" t="s">
        <v>750</v>
      </c>
      <c r="B6348" s="0" t="s">
        <v>52</v>
      </c>
      <c r="C6348" s="13" t="n">
        <f aca="false">Sens!$C$6338/Sens!$C$6319</f>
        <v>0.026534925055631</v>
      </c>
      <c r="D6348" s="13" t="n">
        <f aca="false">Sens!$D$6338/Sens!$D$6319</f>
        <v>0.0293401855535103</v>
      </c>
      <c r="E6348" s="13" t="n">
        <f aca="false">Sens!$E$6338/Sens!$E$6319</f>
        <v>0.03831141902276</v>
      </c>
      <c r="F6348" s="13" t="n">
        <f aca="false">Sens!$F$6338/Sens!$F$6319</f>
        <v>0.0282118989524726</v>
      </c>
      <c r="G6348" s="13" t="n">
        <f aca="false">Sens!$G$6338/Sens!$G$6319</f>
        <v>0.0328019468674976</v>
      </c>
      <c r="H6348" s="13" t="n">
        <f aca="false">Sens!$H$6338/Sens!$H$6319</f>
        <v>0.0309879507899839</v>
      </c>
      <c r="I6348" s="13" t="n">
        <f aca="false">Sens!$I$6338/Sens!$I$6319</f>
        <v>0.0262795332043765</v>
      </c>
      <c r="J6348" s="13" t="n">
        <f aca="false">Sens!$J$6338/Sens!$J$6319</f>
        <v>0.0226574435353346</v>
      </c>
      <c r="K6348" s="13" t="n">
        <f aca="false">Sens!$K$6338/Sens!$K$6319</f>
        <v>0.0187492205871101</v>
      </c>
      <c r="L6348" s="13" t="n">
        <f aca="false">Sens!$L$6338/Sens!$L$6319</f>
        <v>0.018273690180732</v>
      </c>
      <c r="M6348" s="13" t="n">
        <f aca="false">Sens!$M$6338/Sens!$M$6319</f>
        <v>0.0207176218272716</v>
      </c>
      <c r="N6348" s="13" t="n">
        <f aca="false">Sens!$N$6338/Sens!$N$6319</f>
        <v>0.0357315650169337</v>
      </c>
      <c r="O6348" s="13" t="n">
        <f aca="false">Sens!$O$6338/Sens!$O$6319</f>
        <v>0.0244378956559703</v>
      </c>
    </row>
    <row r="6349" customFormat="false" ht="17.15" hidden="false" customHeight="false" outlineLevel="0" collapsed="false">
      <c r="A6349" s="14" t="s">
        <v>751</v>
      </c>
      <c r="B6349" s="14" t="s">
        <v>52</v>
      </c>
      <c r="C6349" s="17" t="n">
        <f aca="false">Sens!$C$6341/Sens!$C$6320</f>
        <v>0.370355907620217</v>
      </c>
      <c r="D6349" s="17" t="n">
        <f aca="false">Sens!$D$6341/Sens!$D$6320</f>
        <v>0.35429015342785</v>
      </c>
      <c r="E6349" s="17" t="n">
        <f aca="false">Sens!$E$6341/Sens!$E$6320</f>
        <v>0.385647527531039</v>
      </c>
      <c r="F6349" s="17" t="n">
        <f aca="false">Sens!$F$6341/Sens!$F$6320</f>
        <v>0.385949613469105</v>
      </c>
      <c r="G6349" s="17" t="n">
        <f aca="false">Sens!$G$6341/Sens!$G$6320</f>
        <v>0.385804840448779</v>
      </c>
      <c r="H6349" s="17" t="n">
        <f aca="false">Sens!$H$6341/Sens!$H$6320</f>
        <v>0.369408675360557</v>
      </c>
      <c r="I6349" s="17" t="n">
        <f aca="false">Sens!$I$6341/Sens!$I$6320</f>
        <v>0.34117504540738</v>
      </c>
      <c r="J6349" s="17" t="n">
        <f aca="false">Sens!$J$6341/Sens!$J$6320</f>
        <v>0.330544285732563</v>
      </c>
      <c r="K6349" s="17" t="n">
        <f aca="false">Sens!$K$6341/Sens!$K$6320</f>
        <v>0.314033796990635</v>
      </c>
      <c r="L6349" s="17" t="n">
        <f aca="false">Sens!$L$6341/Sens!$L$6320</f>
        <v>0.303690371867633</v>
      </c>
      <c r="M6349" s="17" t="n">
        <f aca="false">Sens!$M$6341/Sens!$M$6320</f>
        <v>0.297287296590884</v>
      </c>
      <c r="N6349" s="17" t="n">
        <f aca="false">Sens!$N$6341/Sens!$N$6320</f>
        <v>0.360941137346192</v>
      </c>
      <c r="O6349" s="17" t="n">
        <f aca="false">Sens!$O$6341/Sens!$O$6320</f>
        <v>0.348458117664212</v>
      </c>
    </row>
    <row r="6350" customFormat="false" ht="17.15" hidden="false" customHeight="false" outlineLevel="0" collapsed="false">
      <c r="A6350" s="0" t="s">
        <v>752</v>
      </c>
      <c r="B6350" s="0" t="s">
        <v>52</v>
      </c>
      <c r="C6350" s="13" t="n">
        <f aca="false">Sens!$C$6339/Sens!$C$6321</f>
        <v>0.708390794789371</v>
      </c>
      <c r="D6350" s="13" t="n">
        <f aca="false">Sens!$D$6339/Sens!$D$6321</f>
        <v>0.619415573115729</v>
      </c>
      <c r="E6350" s="13" t="n">
        <f aca="false">Sens!$E$6339/Sens!$E$6321</f>
        <v>0.285171627189009</v>
      </c>
      <c r="F6350" s="13" t="n">
        <f aca="false">Sens!$F$6339/Sens!$F$6321</f>
        <v>0.502657732812366</v>
      </c>
      <c r="G6350" s="13" t="n">
        <f aca="false">Sens!$G$6339/Sens!$G$6321</f>
        <v>0.423808778611812</v>
      </c>
      <c r="H6350" s="13" t="n">
        <f aca="false">Sens!$H$6339/Sens!$H$6321</f>
        <v>0.390261631739809</v>
      </c>
      <c r="I6350" s="13" t="n">
        <f aca="false">Sens!$I$6339/Sens!$I$6321</f>
        <v>0.305172864264572</v>
      </c>
      <c r="J6350" s="13" t="n">
        <f aca="false">Sens!$J$6339/Sens!$J$6321</f>
        <v>0.288011814789856</v>
      </c>
      <c r="K6350" s="13" t="n">
        <f aca="false">Sens!$K$6339/Sens!$K$6321</f>
        <v>0.25765427518774</v>
      </c>
      <c r="L6350" s="13" t="n">
        <f aca="false">Sens!$L$6339/Sens!$L$6321</f>
        <v>0.238118778012374</v>
      </c>
      <c r="M6350" s="13" t="n">
        <f aca="false">Sens!$M$6339/Sens!$M$6321</f>
        <v>0.222746255757109</v>
      </c>
      <c r="N6350" s="13" t="n">
        <f aca="false">Sens!$N$6339/Sens!$N$6321</f>
        <v>0.551227795793364</v>
      </c>
      <c r="O6350" s="13" t="n">
        <f aca="false">Sens!$O$6339/Sens!$O$6321</f>
        <v>0.656132068597002</v>
      </c>
    </row>
    <row r="6351" customFormat="false" ht="15" hidden="false" customHeight="false" outlineLevel="0" collapsed="false">
      <c r="A6351" s="5" t="s">
        <v>753</v>
      </c>
      <c r="B6351" s="0" t="s">
        <v>52</v>
      </c>
      <c r="C6351" s="13" t="n">
        <f aca="false">Sens!$C$6343/Sens!$C$6323</f>
        <v>0.107519448742004</v>
      </c>
      <c r="D6351" s="13" t="n">
        <f aca="false">Sens!$D$6343/Sens!$D$6323</f>
        <v>0.111552967957552</v>
      </c>
      <c r="E6351" s="13" t="n">
        <f aca="false">Sens!$E$6343/Sens!$E$6323</f>
        <v>0.13428328426562</v>
      </c>
      <c r="F6351" s="13" t="n">
        <f aca="false">Sens!$F$6343/Sens!$F$6323</f>
        <v>0.129343087287827</v>
      </c>
      <c r="G6351" s="13" t="n">
        <f aca="false">Sens!$G$6343/Sens!$G$6323</f>
        <v>0.131651143259596</v>
      </c>
      <c r="H6351" s="13" t="n">
        <f aca="false">Sens!$H$6343/Sens!$H$6323</f>
        <v>0.137449034763893</v>
      </c>
      <c r="I6351" s="13" t="n">
        <f aca="false">Sens!$I$6343/Sens!$I$6323</f>
        <v>0.13598895915033</v>
      </c>
      <c r="J6351" s="13" t="n">
        <f aca="false">Sens!$J$6343/Sens!$J$6323</f>
        <v>0.137709769017663</v>
      </c>
      <c r="K6351" s="13" t="n">
        <f aca="false">Sens!$K$6343/Sens!$K$6323</f>
        <v>0.135459809314784</v>
      </c>
      <c r="L6351" s="13" t="n">
        <f aca="false">Sens!$L$6343/Sens!$L$6323</f>
        <v>0.133669430082102</v>
      </c>
      <c r="M6351" s="13" t="n">
        <f aca="false">Sens!$M$6343/Sens!$M$6323</f>
        <v>0.133349766772341</v>
      </c>
      <c r="N6351" s="13" t="n">
        <f aca="false">Sens!$N$6343/Sens!$N$6323</f>
        <v>0.116201614873411</v>
      </c>
      <c r="O6351" s="13" t="n">
        <f aca="false">Sens!$O$6343/Sens!$O$6323</f>
        <v>0.107733353660861</v>
      </c>
    </row>
    <row r="6352" customFormat="false" ht="17.15" hidden="false" customHeight="false" outlineLevel="0" collapsed="false">
      <c r="A6352" s="1" t="s">
        <v>754</v>
      </c>
    </row>
    <row r="6353" customFormat="false" ht="17.15" hidden="false" customHeight="false" outlineLevel="0" collapsed="false">
      <c r="A6353" s="5" t="s">
        <v>755</v>
      </c>
      <c r="B6353" s="0" t="s">
        <v>52</v>
      </c>
      <c r="D6353" s="28" t="n">
        <f aca="false">(Q!$E$29+Q!$E$30-(1-ext_sh)*Sens!$D$6275)/Sens!$D$6226</f>
        <v>0.0341105596409988</v>
      </c>
    </row>
    <row r="6354" customFormat="false" ht="17.15" hidden="false" customHeight="false" outlineLevel="0" collapsed="false">
      <c r="A6354" s="0" t="s">
        <v>545</v>
      </c>
      <c r="B6354" s="0" t="s">
        <v>86</v>
      </c>
      <c r="C6354" s="38" t="n">
        <f aca="false">Q!$D$29</f>
        <v>14.285</v>
      </c>
      <c r="D6354" s="38" t="n">
        <f aca="false">Q!$E$29</f>
        <v>15.503</v>
      </c>
      <c r="E6354" s="38" t="n">
        <f aca="false">Q!$P$29</f>
        <v>8.78</v>
      </c>
      <c r="F6354" s="38" t="n">
        <f aca="false">(Sens!$D$6353*Sens!$F$6226+(1-ext_sh)*Sens!$F$6275)*Sens!$F$6227</f>
        <v>9.30317620449232</v>
      </c>
      <c r="G6354" s="38" t="n">
        <f aca="false">Sens!$E$6354+Sens!$F$6354</f>
        <v>18.0831762044923</v>
      </c>
      <c r="H6354" s="38" t="n">
        <f aca="false">(Sens!$D$6353*Sens!$H$6226+(1-ext_sh)*Sens!$H$6275)*Sens!$H$6227</f>
        <v>22.1297245338482</v>
      </c>
      <c r="I6354" s="38" t="n">
        <f aca="false">(Sens!$D$6353*Sens!$I$6226+(1-ext_sh)*Sens!$I$6275)*Sens!$I$6227</f>
        <v>28.409695984391</v>
      </c>
      <c r="J6354" s="38" t="n">
        <f aca="false">(Sens!$D$6353*Sens!$J$6226+(1-ext_sh)*Sens!$J$6275)*Sens!$J$6227</f>
        <v>34.1085606174579</v>
      </c>
      <c r="K6354" s="38" t="n">
        <f aca="false">(Sens!$D$6353*Sens!$K$6226+(1-ext_sh)*Sens!$K$6275)*Sens!$K$6227</f>
        <v>39.7218983009068</v>
      </c>
      <c r="L6354" s="38" t="n">
        <f aca="false">(Sens!$D$6353*Sens!$L$6226+(1-ext_sh)*Sens!$L$6275)*Sens!$L$6227</f>
        <v>44.1680279486684</v>
      </c>
      <c r="M6354" s="38" t="n">
        <f aca="false">(Sens!$D$6353*Sens!$M$6226+(1-ext_sh)*Sens!$M$6275)*Sens!$M$6227</f>
        <v>47.4413073313286</v>
      </c>
      <c r="N6354" s="38" t="n">
        <f aca="false">Q!$N$29</f>
        <v>7.272</v>
      </c>
      <c r="O6354" s="38" t="n">
        <f aca="false">Q!$O$29</f>
        <v>8.231</v>
      </c>
    </row>
    <row r="6355" customFormat="false" ht="17.15" hidden="false" customHeight="false" outlineLevel="0" collapsed="false">
      <c r="A6355" s="0" t="s">
        <v>547</v>
      </c>
      <c r="B6355" s="0" t="s">
        <v>86</v>
      </c>
      <c r="C6355" s="38" t="n">
        <f aca="false">Q!$D$30</f>
        <v>4.462</v>
      </c>
      <c r="D6355" s="38" t="n">
        <f aca="false">Q!$E$30</f>
        <v>4.907</v>
      </c>
      <c r="E6355" s="38" t="n">
        <f aca="false">Q!$P$30</f>
        <v>2.57</v>
      </c>
      <c r="F6355" s="38" t="n">
        <f aca="false">(Sens!$D$6353*Sens!$F$6226+(1-ext_sh)*Sens!$F$6275)*(1-Sens!$F$6227)</f>
        <v>3.6526976809753</v>
      </c>
      <c r="G6355" s="38" t="n">
        <f aca="false">Sens!$E$6355+Sens!$F$6355</f>
        <v>6.2226976809753</v>
      </c>
      <c r="H6355" s="38" t="n">
        <f aca="false">(Sens!$D$6353*Sens!$H$6226+(1-ext_sh)*Sens!$H$6275)*(1-Sens!$H$6227)</f>
        <v>8.4764774248495</v>
      </c>
      <c r="I6355" s="38" t="n">
        <f aca="false">(Sens!$D$6353*Sens!$I$6226+(1-ext_sh)*Sens!$I$6275)*(1-Sens!$I$6227)</f>
        <v>10.881931507561</v>
      </c>
      <c r="J6355" s="38" t="n">
        <f aca="false">(Sens!$D$6353*Sens!$J$6226+(1-ext_sh)*Sens!$J$6275)*(1-Sens!$J$6227)</f>
        <v>13.0648008575874</v>
      </c>
      <c r="K6355" s="38" t="n">
        <f aca="false">(Sens!$D$6353*Sens!$K$6226+(1-ext_sh)*Sens!$K$6275)*(1-Sens!$K$6227)</f>
        <v>15.2149103214008</v>
      </c>
      <c r="L6355" s="38" t="n">
        <f aca="false">(Sens!$D$6353*Sens!$L$6226+(1-ext_sh)*Sens!$L$6275)*(1-Sens!$L$6227)</f>
        <v>16.9179372854085</v>
      </c>
      <c r="M6355" s="38" t="n">
        <f aca="false">(Sens!$D$6353*Sens!$M$6226+(1-ext_sh)*Sens!$M$6275)*(1-Sens!$M$6227)</f>
        <v>18.1717205735785</v>
      </c>
      <c r="N6355" s="38" t="n">
        <f aca="false">Q!$N$30</f>
        <v>2.316</v>
      </c>
      <c r="O6355" s="38" t="n">
        <f aca="false">Q!$O$30</f>
        <v>2.591</v>
      </c>
    </row>
    <row r="6356" customFormat="false" ht="17.15" hidden="false" customHeight="false" outlineLevel="0" collapsed="false">
      <c r="A6356" s="0" t="s">
        <v>548</v>
      </c>
      <c r="B6356" s="0" t="s">
        <v>86</v>
      </c>
      <c r="C6356" s="38" t="n">
        <f aca="false">Sens!$C$6287</f>
        <v>13.32</v>
      </c>
      <c r="D6356" s="38" t="n">
        <f aca="false">Sens!$D$6287</f>
        <v>21.45</v>
      </c>
      <c r="E6356" s="38" t="n">
        <f aca="false">Sens!$E$6287</f>
        <v>15.353</v>
      </c>
      <c r="F6356" s="38" t="n">
        <f aca="false">Sens!$F$6287</f>
        <v>16.1969869840094</v>
      </c>
      <c r="G6356" s="38" t="n">
        <f aca="false">Sens!$G$6287</f>
        <v>31.5499869840094</v>
      </c>
      <c r="H6356" s="38" t="n">
        <f aca="false">Sens!$H$6287</f>
        <v>50.9556213609176</v>
      </c>
      <c r="I6356" s="38" t="n">
        <f aca="false">Sens!$I$6287</f>
        <v>79.464581248252</v>
      </c>
      <c r="J6356" s="38" t="n">
        <f aca="false">Sens!$J$6287</f>
        <v>105.296127931746</v>
      </c>
      <c r="K6356" s="38" t="n">
        <f aca="false">Sens!$K$6287</f>
        <v>131.454694001511</v>
      </c>
      <c r="L6356" s="38" t="n">
        <f aca="false">Sens!$L$6287</f>
        <v>150.840456981405</v>
      </c>
      <c r="M6356" s="38" t="n">
        <f aca="false">Sens!$M$6287</f>
        <v>163.399454192999</v>
      </c>
      <c r="N6356" s="38" t="n">
        <f aca="false">Sens!$N$6287</f>
        <v>9.234</v>
      </c>
      <c r="O6356" s="38" t="n">
        <f aca="false">Sens!$O$6287</f>
        <v>12.216</v>
      </c>
    </row>
    <row r="6357" customFormat="false" ht="17.15" hidden="false" customHeight="false" outlineLevel="0" collapsed="false">
      <c r="A6357" s="5" t="s">
        <v>756</v>
      </c>
      <c r="B6357" s="0" t="s">
        <v>86</v>
      </c>
      <c r="C6357" s="38" t="n">
        <f aca="false">Sens!$C$6354+Sens!$C$6355+Sens!$C$6356</f>
        <v>32.067</v>
      </c>
      <c r="D6357" s="38" t="n">
        <f aca="false">Sens!$D$6354+Sens!$D$6355+Sens!$D$6356</f>
        <v>41.86</v>
      </c>
      <c r="E6357" s="38" t="n">
        <f aca="false">Sens!$E$6354+Sens!$E$6355+Sens!$E$6356</f>
        <v>26.703</v>
      </c>
      <c r="F6357" s="38" t="n">
        <f aca="false">Sens!$F$6354+Sens!$F$6355+Sens!$F$6356</f>
        <v>29.152860869477</v>
      </c>
      <c r="G6357" s="38" t="n">
        <f aca="false">Sens!$G$6354+Sens!$G$6355+Sens!$G$6356</f>
        <v>55.855860869477</v>
      </c>
      <c r="H6357" s="38" t="n">
        <f aca="false">Sens!$H$6354+Sens!$H$6355+Sens!$H$6356</f>
        <v>81.5618233196153</v>
      </c>
      <c r="I6357" s="38" t="n">
        <f aca="false">Sens!$I$6354+Sens!$I$6355+Sens!$I$6356</f>
        <v>118.756208740204</v>
      </c>
      <c r="J6357" s="38" t="n">
        <f aca="false">Sens!$J$6354+Sens!$J$6355+Sens!$J$6356</f>
        <v>152.469489406791</v>
      </c>
      <c r="K6357" s="38" t="n">
        <f aca="false">Sens!$K$6354+Sens!$K$6355+Sens!$K$6356</f>
        <v>186.391502623819</v>
      </c>
      <c r="L6357" s="38" t="n">
        <f aca="false">Sens!$L$6354+Sens!$L$6355+Sens!$L$6356</f>
        <v>211.926422215482</v>
      </c>
      <c r="M6357" s="38" t="n">
        <f aca="false">Sens!$M$6354+Sens!$M$6355+Sens!$M$6356</f>
        <v>229.012482097906</v>
      </c>
      <c r="N6357" s="38" t="n">
        <f aca="false">Sens!$N$6354+Sens!$N$6355+Sens!$N$6356</f>
        <v>18.822</v>
      </c>
      <c r="O6357" s="38" t="n">
        <f aca="false">Sens!$O$6354+Sens!$O$6355+Sens!$O$6356</f>
        <v>23.038</v>
      </c>
    </row>
    <row r="6358" customFormat="false" ht="17.15" hidden="false" customHeight="false" outlineLevel="0" collapsed="false">
      <c r="A6358" s="0" t="s">
        <v>757</v>
      </c>
      <c r="B6358" s="0" t="s">
        <v>86</v>
      </c>
      <c r="C6358" s="38" t="n">
        <f aca="false">Sens!$C$6329+Sens!$C$6334</f>
        <v>28.107</v>
      </c>
      <c r="D6358" s="38" t="n">
        <f aca="false">Sens!$D$6329+Sens!$D$6334</f>
        <v>34.3175</v>
      </c>
      <c r="E6358" s="38" t="n">
        <f aca="false">Sens!$E$6329+Sens!$E$6334</f>
        <v>18.526</v>
      </c>
      <c r="F6358" s="38" t="n">
        <f aca="false">Sens!$F$6329+Sens!$F$6334</f>
        <v>23.0786109972074</v>
      </c>
      <c r="G6358" s="38" t="n">
        <f aca="false">Sens!$G$6329+Sens!$G$6334</f>
        <v>41.6046109972074</v>
      </c>
      <c r="H6358" s="38" t="n">
        <f aca="false">Sens!$H$6329+Sens!$H$6334</f>
        <v>49.9484611939488</v>
      </c>
      <c r="I6358" s="38" t="n">
        <f aca="false">Sens!$I$6329+Sens!$I$6334</f>
        <v>58.2915555477481</v>
      </c>
      <c r="J6358" s="38" t="n">
        <f aca="false">Sens!$J$6329+Sens!$J$6334</f>
        <v>66.0744709709759</v>
      </c>
      <c r="K6358" s="38" t="n">
        <f aca="false">Sens!$K$6329+Sens!$K$6334</f>
        <v>72.6819180680735</v>
      </c>
      <c r="L6358" s="38" t="n">
        <f aca="false">Sens!$L$6329+Sens!$L$6334</f>
        <v>79.9501098748808</v>
      </c>
      <c r="M6358" s="38" t="n">
        <f aca="false">Sens!$M$6329+Sens!$M$6334</f>
        <v>87.9451208623689</v>
      </c>
      <c r="N6358" s="38" t="n">
        <f aca="false">Sens!$N$6329+Sens!$N$6334</f>
        <v>14.8075</v>
      </c>
      <c r="O6358" s="38" t="n">
        <f aca="false">Sens!$O$6329+Sens!$O$6334</f>
        <v>19.51</v>
      </c>
    </row>
    <row r="6359" customFormat="false" ht="17.15" hidden="false" customHeight="false" outlineLevel="0" collapsed="false">
      <c r="A6359" s="0" t="s">
        <v>758</v>
      </c>
      <c r="B6359" s="0" t="s">
        <v>86</v>
      </c>
      <c r="C6359" s="38" t="n">
        <f aca="false">Sens!$C$6333+Sens!$C$6338+Sens!$C$6354+Sens!$C$6355-Sens!$C$6358</f>
        <v>19.399</v>
      </c>
      <c r="D6359" s="38" t="n">
        <f aca="false">Sens!$D$6333+Sens!$D$6338+Sens!$D$6354+Sens!$D$6355-Sens!$D$6358</f>
        <v>20.4615</v>
      </c>
      <c r="E6359" s="38" t="n">
        <f aca="false">Sens!$E$6333+Sens!$E$6338+Sens!$E$6354+Sens!$E$6355-Sens!$E$6358</f>
        <v>13.355</v>
      </c>
      <c r="F6359" s="38" t="n">
        <f aca="false">Sens!$F$6333+Sens!$F$6338+Sens!$F$6354+Sens!$F$6355-Sens!$F$6358</f>
        <v>12.7680546411015</v>
      </c>
      <c r="G6359" s="38" t="n">
        <f aca="false">Sens!$G$6333+Sens!$G$6338+Sens!$G$6354+Sens!$G$6355-Sens!$G$6358</f>
        <v>26.1230546411015</v>
      </c>
      <c r="H6359" s="38" t="n">
        <f aca="false">Sens!$H$6333+Sens!$H$6338+Sens!$H$6354+Sens!$H$6355-Sens!$H$6358</f>
        <v>28.4662904769959</v>
      </c>
      <c r="I6359" s="38" t="n">
        <f aca="false">Sens!$I$6333+Sens!$I$6338+Sens!$I$6354+Sens!$I$6355-Sens!$I$6358</f>
        <v>30.7231490427408</v>
      </c>
      <c r="J6359" s="38" t="n">
        <f aca="false">Sens!$J$6333+Sens!$J$6338+Sens!$J$6354+Sens!$J$6355-Sens!$J$6358</f>
        <v>32.9723159380642</v>
      </c>
      <c r="K6359" s="38" t="n">
        <f aca="false">Sens!$K$6333+Sens!$K$6338+Sens!$K$6354+Sens!$K$6355-Sens!$K$6358</f>
        <v>35.3819359626894</v>
      </c>
      <c r="L6359" s="38" t="n">
        <f aca="false">Sens!$L$6333+Sens!$L$6338+Sens!$L$6354+Sens!$L$6355-Sens!$L$6358</f>
        <v>37.0165770259405</v>
      </c>
      <c r="M6359" s="38" t="n">
        <f aca="false">Sens!$M$6333+Sens!$M$6338+Sens!$M$6354+Sens!$M$6355-Sens!$M$6358</f>
        <v>39.4490703930704</v>
      </c>
      <c r="N6359" s="38" t="n">
        <f aca="false">Sens!$N$6333+Sens!$N$6338+Sens!$N$6354+Sens!$N$6355-Sens!$N$6358</f>
        <v>10.6495</v>
      </c>
      <c r="O6359" s="38" t="n">
        <f aca="false">Sens!$O$6333+Sens!$O$6338+Sens!$O$6354+Sens!$O$6355-Sens!$O$6358</f>
        <v>9.81200000000001</v>
      </c>
    </row>
    <row r="6360" customFormat="false" ht="17.15" hidden="false" customHeight="false" outlineLevel="0" collapsed="false">
      <c r="A6360" s="0" t="s">
        <v>759</v>
      </c>
      <c r="B6360" s="0" t="s">
        <v>86</v>
      </c>
      <c r="C6360" s="38" t="n">
        <f aca="false">Sens!$C$6340+Sens!$C$6356-ext_sh*Sens!$C$6275</f>
        <v>51.3470500115664</v>
      </c>
      <c r="D6360" s="38" t="n">
        <f aca="false">Sens!$D$6340+Sens!$D$6356-ext_sh*Sens!$D$6275</f>
        <v>60.2799375433739</v>
      </c>
      <c r="E6360" s="38" t="n">
        <f aca="false">Sens!$E$6340+Sens!$E$6356-ext_sh*Sens!$E$6275</f>
        <v>39.5095167090767</v>
      </c>
      <c r="F6360" s="38" t="n">
        <f aca="false">Sens!$F$6340+Sens!$F$6356-ext_sh*Sens!$F$6275</f>
        <v>37.951394214027</v>
      </c>
      <c r="G6360" s="38" t="n">
        <f aca="false">Sens!$G$6340+Sens!$G$6356-ext_sh*Sens!$G$6275</f>
        <v>77.4609109231037</v>
      </c>
      <c r="H6360" s="38" t="n">
        <f aca="false">Sens!$H$6340+Sens!$H$6356-ext_sh*Sens!$H$6275</f>
        <v>85.1453558128916</v>
      </c>
      <c r="I6360" s="38" t="n">
        <f aca="false">Sens!$I$6340+Sens!$I$6356-ext_sh*Sens!$I$6275</f>
        <v>94.532921967974</v>
      </c>
      <c r="J6360" s="38" t="n">
        <f aca="false">Sens!$J$6340+Sens!$J$6356-ext_sh*Sens!$J$6275</f>
        <v>103.525527532583</v>
      </c>
      <c r="K6360" s="38" t="n">
        <f aca="false">Sens!$K$6340+Sens!$K$6356-ext_sh*Sens!$K$6275</f>
        <v>111.80756973519</v>
      </c>
      <c r="L6360" s="38" t="n">
        <f aca="false">Sens!$L$6340+Sens!$L$6356-ext_sh*Sens!$L$6275</f>
        <v>120.752175314005</v>
      </c>
      <c r="M6360" s="38" t="n">
        <f aca="false">Sens!$M$6340+Sens!$M$6356-ext_sh*Sens!$M$6275</f>
        <v>130.412349339125</v>
      </c>
      <c r="N6360" s="38" t="n">
        <f aca="false">Sens!$N$6340+Sens!$N$6356-ext_sh*Sens!$N$6275</f>
        <v>28.5693781401809</v>
      </c>
      <c r="O6360" s="38" t="n">
        <f aca="false">Sens!$O$6340+Sens!$O$6356-ext_sh*Sens!$O$6275</f>
        <v>31.7105594031931</v>
      </c>
    </row>
    <row r="6361" customFormat="false" ht="17.15" hidden="false" customHeight="false" outlineLevel="0" collapsed="false">
      <c r="A6361" s="0" t="s">
        <v>760</v>
      </c>
      <c r="B6361" s="0" t="s">
        <v>86</v>
      </c>
      <c r="C6361" s="38" t="n">
        <f aca="false">Sens!$C$6278</f>
        <v>1.80694998843362</v>
      </c>
      <c r="D6361" s="38" t="n">
        <f aca="false">Sens!$D$6278</f>
        <v>6.77606245662607</v>
      </c>
      <c r="E6361" s="38" t="n">
        <f aca="false">Sens!$E$6278</f>
        <v>6.62548329092326</v>
      </c>
      <c r="F6361" s="38" t="n">
        <f aca="false">Sens!$F$6278</f>
        <v>11.7200577158706</v>
      </c>
      <c r="G6361" s="38" t="n">
        <f aca="false">Sens!$G$6278</f>
        <v>18.3455410067939</v>
      </c>
      <c r="H6361" s="38" t="n">
        <f aca="false">Sens!$H$6278</f>
        <v>47.5171727060453</v>
      </c>
      <c r="I6361" s="38" t="n">
        <f aca="false">Sens!$I$6278</f>
        <v>80.5539692643667</v>
      </c>
      <c r="J6361" s="38" t="n">
        <f aca="false">Sens!$J$6278</f>
        <v>113.759316834883</v>
      </c>
      <c r="K6361" s="38" t="n">
        <f aca="false">Sens!$K$6278</f>
        <v>142.084411492169</v>
      </c>
      <c r="L6361" s="38" t="n">
        <f aca="false">Sens!$L$6278</f>
        <v>160.69964615804</v>
      </c>
      <c r="M6361" s="38" t="n">
        <f aca="false">Sens!$M$6278</f>
        <v>169.577607141793</v>
      </c>
      <c r="N6361" s="38" t="n">
        <f aca="false">Sens!$N$6278</f>
        <v>2.37162185981912</v>
      </c>
      <c r="O6361" s="38" t="n">
        <f aca="false">Sens!$O$6278</f>
        <v>4.40444059680694</v>
      </c>
    </row>
    <row r="6362" customFormat="false" ht="17.15" hidden="false" customHeight="false" outlineLevel="0" collapsed="false">
      <c r="A6362" s="0" t="s">
        <v>761</v>
      </c>
      <c r="B6362" s="0" t="s">
        <v>86</v>
      </c>
      <c r="C6362" s="38" t="n">
        <f aca="false">Sens!$C$6343+Sens!$C$6357</f>
        <v>100.66</v>
      </c>
      <c r="D6362" s="38" t="n">
        <f aca="false">Sens!$D$6343+Sens!$D$6357</f>
        <v>121.835</v>
      </c>
      <c r="E6362" s="38" t="n">
        <f aca="false">Sens!$E$6343+Sens!$E$6357</f>
        <v>78.016</v>
      </c>
      <c r="F6362" s="38" t="n">
        <f aca="false">Sens!$F$6343+Sens!$F$6357</f>
        <v>85.5181175682064</v>
      </c>
      <c r="G6362" s="38" t="n">
        <f aca="false">Sens!$G$6343+Sens!$G$6357</f>
        <v>163.534117568206</v>
      </c>
      <c r="H6362" s="38" t="n">
        <f aca="false">Sens!$H$6343+Sens!$H$6357</f>
        <v>211.077280189882</v>
      </c>
      <c r="I6362" s="38" t="n">
        <f aca="false">Sens!$I$6343+Sens!$I$6357</f>
        <v>264.10159582283</v>
      </c>
      <c r="J6362" s="38" t="n">
        <f aca="false">Sens!$J$6343+Sens!$J$6357</f>
        <v>316.331631276507</v>
      </c>
      <c r="K6362" s="38" t="n">
        <f aca="false">Sens!$K$6343+Sens!$K$6357</f>
        <v>361.955835258122</v>
      </c>
      <c r="L6362" s="38" t="n">
        <f aca="false">Sens!$L$6343+Sens!$L$6357</f>
        <v>398.418508372866</v>
      </c>
      <c r="M6362" s="38" t="n">
        <f aca="false">Sens!$M$6343+Sens!$M$6357</f>
        <v>427.384147736358</v>
      </c>
      <c r="N6362" s="38" t="n">
        <f aca="false">Sens!$N$6343+Sens!$N$6357</f>
        <v>56.398</v>
      </c>
      <c r="O6362" s="38" t="n">
        <f aca="false">Sens!$O$6343+Sens!$O$6357</f>
        <v>65.437</v>
      </c>
    </row>
    <row r="6363" customFormat="false" ht="17.15" hidden="false" customHeight="false" outlineLevel="0" collapsed="false">
      <c r="A6363" s="1" t="s">
        <v>762</v>
      </c>
    </row>
    <row r="6364" customFormat="false" ht="15" hidden="false" customHeight="false" outlineLevel="0" collapsed="false">
      <c r="A6364" s="5" t="s">
        <v>551</v>
      </c>
      <c r="B6364" s="0" t="s">
        <v>86</v>
      </c>
      <c r="C6364" s="38" t="n">
        <f aca="false">Q!$D$34</f>
        <v>2.406</v>
      </c>
      <c r="D6364" s="38" t="n">
        <f aca="false">Q!$E$34</f>
        <v>2.274</v>
      </c>
      <c r="E6364" s="38" t="n">
        <f aca="false">Q!$P$34</f>
        <v>2.114</v>
      </c>
      <c r="F6364" s="38" t="n">
        <f aca="false">Sens!$F$6402</f>
        <v>3.24888962733561</v>
      </c>
      <c r="G6364" s="38" t="n">
        <f aca="false">Sens!$E$6364+Sens!$F$6364</f>
        <v>5.36288962733561</v>
      </c>
      <c r="H6364" s="38" t="n">
        <f aca="false">Sens!$H$6402</f>
        <v>7.42354172302123</v>
      </c>
      <c r="I6364" s="38" t="n">
        <f aca="false">Sens!$I$6402</f>
        <v>7.84418947693382</v>
      </c>
      <c r="J6364" s="38" t="n">
        <f aca="false">Sens!$J$6402</f>
        <v>8.79561318891235</v>
      </c>
      <c r="K6364" s="38" t="n">
        <f aca="false">Sens!$K$6402</f>
        <v>8.79561318891235</v>
      </c>
      <c r="L6364" s="38" t="n">
        <f aca="false">Sens!$L$6402</f>
        <v>8.79561318891235</v>
      </c>
      <c r="M6364" s="38" t="n">
        <f aca="false">Sens!$M$6402</f>
        <v>8.79561318891235</v>
      </c>
      <c r="N6364" s="38" t="n">
        <f aca="false">Q!$N$34</f>
        <v>1.057</v>
      </c>
      <c r="O6364" s="38" t="n">
        <f aca="false">Q!$O$34</f>
        <v>1.217</v>
      </c>
    </row>
    <row r="6365" customFormat="false" ht="15" hidden="false" customHeight="false" outlineLevel="0" collapsed="false">
      <c r="A6365" s="5" t="s">
        <v>763</v>
      </c>
      <c r="B6365" s="0" t="s">
        <v>86</v>
      </c>
      <c r="F6365" s="38" t="n">
        <f aca="false">Sens!$F$6403</f>
        <v>2.59</v>
      </c>
      <c r="H6365" s="38" t="n">
        <f aca="false">Sens!$H$6403</f>
        <v>4.1153774832261</v>
      </c>
      <c r="I6365" s="38" t="n">
        <f aca="false">Sens!$I$6403</f>
        <v>2.10589651022864</v>
      </c>
      <c r="J6365" s="38" t="n">
        <f aca="false">Sens!$J$6403</f>
        <v>2.10589651022864</v>
      </c>
      <c r="K6365" s="38" t="n">
        <f aca="false">Sens!$K$6403</f>
        <v>3.172800358404</v>
      </c>
      <c r="L6365" s="38" t="n">
        <f aca="false">Sens!$L$6403</f>
        <v>8.31037272592208</v>
      </c>
      <c r="M6365" s="38" t="n">
        <f aca="false">Sens!$M$6403</f>
        <v>15.9256588704093</v>
      </c>
    </row>
    <row r="6366" customFormat="false" ht="17.15" hidden="false" customHeight="false" outlineLevel="0" collapsed="false">
      <c r="A6366" s="5" t="s">
        <v>764</v>
      </c>
      <c r="B6366" s="0" t="s">
        <v>86</v>
      </c>
      <c r="C6366" s="38" t="n">
        <f aca="false">Q!$D$39</f>
        <v>2.427</v>
      </c>
      <c r="D6366" s="38" t="n">
        <f aca="false">Q!$E$39</f>
        <v>19.61</v>
      </c>
      <c r="E6366" s="38" t="n">
        <f aca="false">Q!$P$39</f>
        <v>71.492</v>
      </c>
      <c r="F6366" s="39" t="n">
        <v>0</v>
      </c>
      <c r="G6366" s="38" t="n">
        <f aca="false">Sens!$E$6366+Sens!$F$6366</f>
        <v>71.492</v>
      </c>
      <c r="H6366" s="39" t="n">
        <v>0</v>
      </c>
      <c r="I6366" s="39" t="n">
        <v>0</v>
      </c>
      <c r="J6366" s="39" t="n">
        <v>0</v>
      </c>
      <c r="K6366" s="39" t="n">
        <v>0</v>
      </c>
      <c r="L6366" s="39" t="n">
        <v>0</v>
      </c>
      <c r="M6366" s="39" t="n">
        <v>0</v>
      </c>
      <c r="N6366" s="38" t="n">
        <f aca="false">Q!$N$39</f>
        <v>6.017</v>
      </c>
      <c r="O6366" s="38" t="n">
        <f aca="false">Q!$O$39</f>
        <v>13.593</v>
      </c>
      <c r="P6366" s="5" t="s">
        <v>765</v>
      </c>
    </row>
    <row r="6367" customFormat="false" ht="15" hidden="false" customHeight="false" outlineLevel="0" collapsed="false">
      <c r="A6367" s="5" t="s">
        <v>554</v>
      </c>
      <c r="B6367" s="0" t="s">
        <v>86</v>
      </c>
      <c r="C6367" s="38" t="n">
        <f aca="false">Q!$D$36</f>
        <v>68.614</v>
      </c>
      <c r="D6367" s="38" t="n">
        <f aca="false">Q!$E$36</f>
        <v>97.311</v>
      </c>
      <c r="E6367" s="38" t="n">
        <f aca="false">Q!$P$36</f>
        <v>120.691</v>
      </c>
      <c r="F6367" s="38" t="n">
        <f aca="false">Sens!$F$6343-Sens!$F$6364+Sens!$F$6365+Sens!$F$6366</f>
        <v>55.7063670713938</v>
      </c>
      <c r="G6367" s="38" t="n">
        <f aca="false">Sens!$E$6367+Sens!$F$6367</f>
        <v>176.397367071394</v>
      </c>
      <c r="H6367" s="38" t="n">
        <f aca="false">Sens!$H$6343-Sens!$H$6364+Sens!$H$6365+Sens!$H$6366</f>
        <v>126.207292630471</v>
      </c>
      <c r="I6367" s="38" t="n">
        <f aca="false">Sens!$I$6343-Sens!$I$6364+Sens!$I$6365+Sens!$I$6366</f>
        <v>139.60709411592</v>
      </c>
      <c r="J6367" s="38" t="n">
        <f aca="false">Sens!$J$6343-Sens!$J$6364+Sens!$J$6365+Sens!$J$6366</f>
        <v>157.172425191032</v>
      </c>
      <c r="K6367" s="38" t="n">
        <f aca="false">Sens!$K$6343-Sens!$K$6364+Sens!$K$6365+Sens!$K$6366</f>
        <v>169.941519803795</v>
      </c>
      <c r="L6367" s="38" t="n">
        <f aca="false">Sens!$L$6343-Sens!$L$6364+Sens!$L$6365+Sens!$L$6366</f>
        <v>186.006845694394</v>
      </c>
      <c r="M6367" s="38" t="n">
        <f aca="false">Sens!$M$6343-Sens!$M$6364+Sens!$M$6365+Sens!$M$6366</f>
        <v>205.501711319949</v>
      </c>
      <c r="N6367" s="38" t="n">
        <f aca="false">Q!$N$36</f>
        <v>42.536</v>
      </c>
      <c r="O6367" s="38" t="n">
        <f aca="false">Q!$O$36</f>
        <v>54.775</v>
      </c>
    </row>
    <row r="6368" customFormat="false" ht="15" hidden="false" customHeight="false" outlineLevel="0" collapsed="false">
      <c r="A6368" s="5" t="s">
        <v>555</v>
      </c>
      <c r="B6368" s="0" t="s">
        <v>86</v>
      </c>
      <c r="C6368" s="38" t="n">
        <f aca="false">Q!$D$37</f>
        <v>9.265</v>
      </c>
      <c r="D6368" s="38" t="n">
        <f aca="false">Q!$E$37</f>
        <v>19.087</v>
      </c>
      <c r="E6368" s="38" t="n">
        <f aca="false">Q!$P$37</f>
        <v>27.759</v>
      </c>
      <c r="F6368" s="38" t="n">
        <f aca="false">Sens!$F$6367*tax</f>
        <v>9.669763357865</v>
      </c>
      <c r="G6368" s="38" t="n">
        <f aca="false">Sens!$E$6368+Sens!$F$6368</f>
        <v>37.428763357865</v>
      </c>
      <c r="H6368" s="38" t="n">
        <f aca="false">Sens!$H$6367*tax</f>
        <v>21.9076331473816</v>
      </c>
      <c r="I6368" s="38" t="n">
        <f aca="false">Sens!$I$6367*tax</f>
        <v>24.2336313450491</v>
      </c>
      <c r="J6368" s="38" t="n">
        <f aca="false">Sens!$J$6367*tax</f>
        <v>27.2827010246639</v>
      </c>
      <c r="K6368" s="38" t="n">
        <f aca="false">Sens!$K$6367*tax</f>
        <v>29.4992182683994</v>
      </c>
      <c r="L6368" s="38" t="n">
        <f aca="false">Sens!$L$6367*tax</f>
        <v>32.2879102581316</v>
      </c>
      <c r="M6368" s="38" t="n">
        <f aca="false">Sens!$M$6367*tax</f>
        <v>35.671917279284</v>
      </c>
      <c r="N6368" s="38" t="n">
        <f aca="false">Q!$N$37</f>
        <v>7.231</v>
      </c>
      <c r="O6368" s="38" t="n">
        <f aca="false">Q!$O$37</f>
        <v>11.856</v>
      </c>
    </row>
    <row r="6369" customFormat="false" ht="15" hidden="false" customHeight="false" outlineLevel="0" collapsed="false">
      <c r="A6369" s="3" t="s">
        <v>556</v>
      </c>
      <c r="B6369" s="8" t="s">
        <v>86</v>
      </c>
      <c r="C6369" s="38" t="n">
        <f aca="false">Q!$D$38</f>
        <v>59.248</v>
      </c>
      <c r="D6369" s="38" t="n">
        <f aca="false">Q!$E$38</f>
        <v>77.67</v>
      </c>
      <c r="E6369" s="38" t="n">
        <f aca="false">Q!$P$38</f>
        <v>92.902</v>
      </c>
      <c r="F6369" s="38" t="n">
        <f aca="false">Sens!$F$6367-Sens!$F$6368</f>
        <v>46.0366037135288</v>
      </c>
      <c r="G6369" s="38" t="n">
        <f aca="false">Sens!$E$6369+Sens!$F$6369</f>
        <v>138.938603713529</v>
      </c>
      <c r="H6369" s="38" t="n">
        <f aca="false">Sens!$H$6367-Sens!$H$6368</f>
        <v>104.29965948309</v>
      </c>
      <c r="I6369" s="38" t="n">
        <f aca="false">Sens!$I$6367-Sens!$I$6368</f>
        <v>115.373462770871</v>
      </c>
      <c r="J6369" s="38" t="n">
        <f aca="false">Sens!$J$6367-Sens!$J$6368</f>
        <v>129.889724166368</v>
      </c>
      <c r="K6369" s="38" t="n">
        <f aca="false">Sens!$K$6367-Sens!$K$6368</f>
        <v>140.442301535395</v>
      </c>
      <c r="L6369" s="38" t="n">
        <f aca="false">Sens!$L$6367-Sens!$L$6368</f>
        <v>153.718935436262</v>
      </c>
      <c r="M6369" s="38" t="n">
        <f aca="false">Sens!$M$6367-Sens!$M$6368</f>
        <v>169.829794040665</v>
      </c>
      <c r="N6369" s="38" t="n">
        <f aca="false">Q!$N$38</f>
        <v>35.291</v>
      </c>
      <c r="O6369" s="38" t="n">
        <f aca="false">Q!$O$38</f>
        <v>42.379</v>
      </c>
    </row>
    <row r="6370" customFormat="false" ht="17.15" hidden="false" customHeight="false" outlineLevel="0" collapsed="false">
      <c r="A6370" s="5" t="s">
        <v>559</v>
      </c>
      <c r="B6370" s="5" t="s">
        <v>33</v>
      </c>
      <c r="C6370" s="22" t="n">
        <f aca="false">Q!$D$41</f>
        <v>10.721</v>
      </c>
      <c r="D6370" s="22" t="n">
        <f aca="false">Q!$E$41</f>
        <v>10.827</v>
      </c>
      <c r="E6370" s="22" t="n">
        <f aca="false">(Q!$L$41+Q!$M$41)/2</f>
        <v>10.8885</v>
      </c>
      <c r="F6370" s="22" t="n">
        <f aca="false">Sens!$G$6370</f>
        <v>10.924806</v>
      </c>
      <c r="G6370" s="22" t="n">
        <f aca="false">Q!$M$41*(1+sh_g*0.25)</f>
        <v>10.924806</v>
      </c>
      <c r="H6370" s="22" t="n">
        <f aca="false">Sens!$G$6370*(1+sh_g)</f>
        <v>11.012204448</v>
      </c>
      <c r="I6370" s="22" t="n">
        <f aca="false">Sens!$H$6370*(1+sh_g)</f>
        <v>11.100302083584</v>
      </c>
      <c r="J6370" s="22" t="n">
        <f aca="false">Sens!$I$6370*(1+sh_g)</f>
        <v>11.1891045002527</v>
      </c>
      <c r="K6370" s="22" t="n">
        <f aca="false">Sens!$J$6370*(1+sh_g)</f>
        <v>11.2786173362547</v>
      </c>
      <c r="L6370" s="22" t="n">
        <f aca="false">Sens!$K$6370*(1+sh_g)</f>
        <v>11.3688462749447</v>
      </c>
      <c r="M6370" s="22" t="n">
        <f aca="false">Sens!$L$6370*(1+sh_g)</f>
        <v>11.4597970451443</v>
      </c>
      <c r="P6370" s="5" t="s">
        <v>766</v>
      </c>
    </row>
    <row r="6371" customFormat="false" ht="17.15" hidden="false" customHeight="false" outlineLevel="0" collapsed="false">
      <c r="A6371" s="5" t="s">
        <v>767</v>
      </c>
      <c r="B6371" s="0" t="s">
        <v>86</v>
      </c>
      <c r="C6371" s="38" t="n">
        <f aca="false">Sens!$C$6369+Sens!$C$6345*(1-tax)</f>
        <v>59.248</v>
      </c>
      <c r="D6371" s="38" t="n">
        <f aca="false">Sens!$D$6369+Sens!$D$6345*(1-tax)</f>
        <v>77.67</v>
      </c>
      <c r="E6371" s="38" t="n">
        <f aca="false">Sens!$E$6369+Sens!$E$6345*(1-tax)</f>
        <v>92.902</v>
      </c>
      <c r="F6371" s="38" t="n">
        <f aca="false">Sens!$F$6369+Sens!$F$6345*(1-tax)</f>
        <v>49.1531986731775</v>
      </c>
      <c r="G6371" s="38" t="n">
        <f aca="false">Sens!$G$6369+Sens!$G$6345*(1-tax)</f>
        <v>142.055198673178</v>
      </c>
      <c r="H6371" s="38" t="n">
        <f aca="false">Sens!$H$6369+Sens!$H$6345*(1-tax)</f>
        <v>116.831055438434</v>
      </c>
      <c r="I6371" s="38" t="n">
        <f aca="false">Sens!$I$6369+Sens!$I$6345*(1-tax)</f>
        <v>136.514727845811</v>
      </c>
      <c r="J6371" s="38" t="n">
        <f aca="false">Sens!$J$6369+Sens!$J$6345*(1-tax)</f>
        <v>159.679161110652</v>
      </c>
      <c r="K6371" s="38" t="n">
        <f aca="false">Sens!$K$6369+Sens!$K$6345*(1-tax)</f>
        <v>177.609607232054</v>
      </c>
      <c r="L6371" s="38" t="n">
        <f aca="false">Sens!$L$6369+Sens!$L$6345*(1-tax)</f>
        <v>195.735012776818</v>
      </c>
      <c r="M6371" s="38" t="n">
        <f aca="false">Sens!$M$6369+Sens!$M$6345*(1-tax)</f>
        <v>214.159316231505</v>
      </c>
      <c r="N6371" s="38" t="n">
        <f aca="false">Sens!$N$6369+Sens!$N$6345*(1-tax)</f>
        <v>35.291</v>
      </c>
      <c r="O6371" s="38" t="n">
        <f aca="false">Sens!$O$6369+Sens!$O$6345*(1-tax)</f>
        <v>42.379</v>
      </c>
    </row>
    <row r="6372" customFormat="false" ht="17.15" hidden="false" customHeight="false" outlineLevel="0" collapsed="false">
      <c r="A6372" s="43" t="s">
        <v>768</v>
      </c>
      <c r="B6372" s="14" t="s">
        <v>27</v>
      </c>
      <c r="C6372" s="44" t="n">
        <f aca="false">Sens!$C$6371/Sens!$C$6370</f>
        <v>5.52635015390355</v>
      </c>
      <c r="D6372" s="44" t="n">
        <f aca="false">Sens!$D$6371/Sens!$D$6370</f>
        <v>7.1737323358271</v>
      </c>
      <c r="E6372" s="44" t="n">
        <f aca="false">Sens!$E$6371/Sens!$E$6370</f>
        <v>8.53212104513937</v>
      </c>
      <c r="F6372" s="14"/>
      <c r="G6372" s="44" t="n">
        <f aca="false">Sens!$G$6371/Sens!$G$6370</f>
        <v>13.0029950804781</v>
      </c>
      <c r="H6372" s="44" t="n">
        <f aca="false">Sens!$H$6371/Sens!$H$6370</f>
        <v>10.6092341447268</v>
      </c>
      <c r="I6372" s="44" t="n">
        <f aca="false">Sens!$I$6371/Sens!$I$6370</f>
        <v>12.298289435537</v>
      </c>
      <c r="J6372" s="44" t="n">
        <f aca="false">Sens!$J$6371/Sens!$J$6370</f>
        <v>14.2709509154236</v>
      </c>
      <c r="K6372" s="44" t="n">
        <f aca="false">Sens!$K$6371/Sens!$K$6370</f>
        <v>15.7474628260624</v>
      </c>
      <c r="L6372" s="44" t="n">
        <f aca="false">Sens!$L$6371/Sens!$L$6370</f>
        <v>17.2167877059072</v>
      </c>
      <c r="M6372" s="44" t="n">
        <f aca="false">Sens!$M$6371/Sens!$M$6370</f>
        <v>18.6878803688978</v>
      </c>
      <c r="N6372" s="14"/>
      <c r="O6372" s="14"/>
    </row>
    <row r="6373" customFormat="false" ht="17.15" hidden="false" customHeight="false" outlineLevel="0" collapsed="false">
      <c r="A6373" s="0" t="s">
        <v>769</v>
      </c>
      <c r="B6373" s="0" t="s">
        <v>27</v>
      </c>
      <c r="C6373" s="30" t="n">
        <f aca="false">Sens!$C$6369/Sens!$C$6370</f>
        <v>5.52635015390355</v>
      </c>
      <c r="D6373" s="30" t="n">
        <f aca="false">Sens!$D$6369/Sens!$D$6370</f>
        <v>7.1737323358271</v>
      </c>
      <c r="E6373" s="30" t="n">
        <f aca="false">Sens!$E$6369/Sens!$E$6370</f>
        <v>8.53212104513937</v>
      </c>
      <c r="G6373" s="30" t="n">
        <f aca="false">Sens!$G$6369/Sens!$G$6370</f>
        <v>12.7177181648378</v>
      </c>
      <c r="H6373" s="30" t="n">
        <f aca="false">Sens!$H$6369/Sens!$H$6370</f>
        <v>9.47127888658407</v>
      </c>
      <c r="I6373" s="30" t="n">
        <f aca="false">Sens!$I$6369/Sens!$I$6370</f>
        <v>10.3937227925981</v>
      </c>
      <c r="J6373" s="30" t="n">
        <f aca="false">Sens!$J$6369/Sens!$J$6370</f>
        <v>11.6085897815536</v>
      </c>
      <c r="K6373" s="30" t="n">
        <f aca="false">Sens!$K$6369/Sens!$K$6370</f>
        <v>12.4520849806606</v>
      </c>
      <c r="L6373" s="30" t="n">
        <f aca="false">Sens!$L$6369/Sens!$L$6370</f>
        <v>13.5210672849924</v>
      </c>
      <c r="M6373" s="30" t="n">
        <f aca="false">Sens!$M$6369/Sens!$M$6370</f>
        <v>14.8196162088773</v>
      </c>
    </row>
    <row r="6374" customFormat="false" ht="17.15" hidden="false" customHeight="false" outlineLevel="0" collapsed="false">
      <c r="A6374" s="0" t="s">
        <v>770</v>
      </c>
      <c r="B6374" s="0" t="s">
        <v>27</v>
      </c>
      <c r="C6374" s="30" t="n">
        <f aca="false">(Sens!$C$6369-Sens!$C$6366*(1-tax))/Sens!$C$6370</f>
        <v>5.33926775917445</v>
      </c>
      <c r="D6374" s="30" t="n">
        <f aca="false">(Sens!$D$6369-Sens!$D$6366*(1-tax))/Sens!$D$6370</f>
        <v>5.67691812755503</v>
      </c>
      <c r="E6374" s="30" t="n">
        <f aca="false">(Sens!$E$6369-Sens!$E$6366*(1-tax))/Sens!$E$6370</f>
        <v>3.10602057006846</v>
      </c>
      <c r="G6374" s="30" t="n">
        <f aca="false">(Sens!$G$6369-Sens!$G$6366*(1-tax))/Sens!$G$6370</f>
        <v>7.30965004694081</v>
      </c>
      <c r="H6374" s="30" t="n">
        <f aca="false">(Sens!$H$6369-Sens!$H$6366*(1-tax))/Sens!$H$6370</f>
        <v>9.47127888658407</v>
      </c>
      <c r="I6374" s="30" t="n">
        <f aca="false">(Sens!$I$6369-Sens!$I$6366*(1-tax))/Sens!$I$6370</f>
        <v>10.3937227925981</v>
      </c>
      <c r="J6374" s="30" t="n">
        <f aca="false">(Sens!$J$6369-Sens!$J$6366*(1-tax))/Sens!$J$6370</f>
        <v>11.6085897815536</v>
      </c>
      <c r="K6374" s="30" t="n">
        <f aca="false">(Sens!$K$6369-Sens!$K$6366*(1-tax))/Sens!$K$6370</f>
        <v>12.4520849806606</v>
      </c>
      <c r="L6374" s="30" t="n">
        <f aca="false">(Sens!$L$6369-Sens!$L$6366*(1-tax))/Sens!$L$6370</f>
        <v>13.5210672849924</v>
      </c>
      <c r="M6374" s="30" t="n">
        <f aca="false">(Sens!$M$6369-Sens!$M$6366*(1-tax))/Sens!$M$6370</f>
        <v>14.8196162088773</v>
      </c>
      <c r="P6374" s="5" t="s">
        <v>771</v>
      </c>
    </row>
    <row r="6375" customFormat="false" ht="17.15" hidden="false" customHeight="false" outlineLevel="0" collapsed="false">
      <c r="A6375" s="0" t="s">
        <v>772</v>
      </c>
      <c r="B6375" s="0" t="s">
        <v>52</v>
      </c>
      <c r="H6375" s="13" t="n">
        <f aca="false">Sens!$H$6372/Sens!$G$6372-1</f>
        <v>-0.184093043251635</v>
      </c>
      <c r="I6375" s="13" t="n">
        <f aca="false">Sens!$I$6372/Sens!$H$6372-1</f>
        <v>0.159206147000695</v>
      </c>
      <c r="J6375" s="13" t="n">
        <f aca="false">Sens!$J$6372/Sens!$I$6372-1</f>
        <v>0.160401289157047</v>
      </c>
      <c r="K6375" s="13" t="n">
        <f aca="false">Sens!$K$6372/Sens!$J$6372-1</f>
        <v>0.103462755873053</v>
      </c>
      <c r="L6375" s="13" t="n">
        <f aca="false">Sens!$L$6372/Sens!$K$6372-1</f>
        <v>0.093305499182575</v>
      </c>
      <c r="M6375" s="13" t="n">
        <f aca="false">Sens!$M$6372/Sens!$L$6372-1</f>
        <v>0.0854452461236912</v>
      </c>
    </row>
    <row r="6378" customFormat="false" ht="19.4" hidden="false" customHeight="false" outlineLevel="0" collapsed="false">
      <c r="A6378" s="31" t="s">
        <v>1280</v>
      </c>
    </row>
    <row r="6379" customFormat="false" ht="17.15" hidden="false" customHeight="false" outlineLevel="0" collapsed="false">
      <c r="A6379" s="6" t="s">
        <v>16</v>
      </c>
      <c r="B6379" s="6" t="s">
        <v>17</v>
      </c>
      <c r="C6379" s="20" t="s">
        <v>504</v>
      </c>
      <c r="D6379" s="20" t="s">
        <v>505</v>
      </c>
      <c r="E6379" s="20" t="s">
        <v>587</v>
      </c>
      <c r="F6379" s="20" t="s">
        <v>588</v>
      </c>
      <c r="G6379" s="20" t="s">
        <v>589</v>
      </c>
      <c r="H6379" s="20" t="s">
        <v>590</v>
      </c>
      <c r="I6379" s="20" t="s">
        <v>591</v>
      </c>
      <c r="J6379" s="20" t="s">
        <v>592</v>
      </c>
      <c r="K6379" s="20" t="s">
        <v>593</v>
      </c>
      <c r="L6379" s="20" t="s">
        <v>594</v>
      </c>
      <c r="M6379" s="20" t="s">
        <v>595</v>
      </c>
      <c r="N6379" s="20" t="s">
        <v>596</v>
      </c>
      <c r="O6379" s="20" t="s">
        <v>597</v>
      </c>
      <c r="P6379" s="6" t="s">
        <v>23</v>
      </c>
      <c r="R6379" s="20" t="n">
        <v>2023</v>
      </c>
      <c r="S6379" s="20" t="n">
        <v>2024</v>
      </c>
      <c r="T6379" s="20" t="n">
        <v>2025</v>
      </c>
      <c r="U6379" s="20" t="n">
        <v>2026</v>
      </c>
      <c r="V6379" s="20" t="n">
        <v>2027</v>
      </c>
      <c r="W6379" s="20" t="n">
        <v>2028</v>
      </c>
      <c r="X6379" s="20" t="n">
        <v>2029</v>
      </c>
      <c r="Y6379" s="20" t="n">
        <v>2030</v>
      </c>
      <c r="Z6379" s="20" t="n">
        <v>2031</v>
      </c>
      <c r="AA6379" s="20" t="n">
        <v>2032</v>
      </c>
    </row>
    <row r="6380" customFormat="false" ht="15" hidden="false" customHeight="false" outlineLevel="0" collapsed="false">
      <c r="A6380" s="5" t="s">
        <v>556</v>
      </c>
      <c r="B6380" s="0" t="s">
        <v>86</v>
      </c>
      <c r="C6380" s="38" t="n">
        <f aca="false">Sens!$C$6369</f>
        <v>59.248</v>
      </c>
      <c r="D6380" s="38" t="n">
        <f aca="false">Sens!$D$6369</f>
        <v>77.67</v>
      </c>
      <c r="E6380" s="38" t="n">
        <f aca="false">Sens!$E$6369</f>
        <v>92.902</v>
      </c>
      <c r="F6380" s="38" t="n">
        <f aca="false">Sens!$F$6369</f>
        <v>46.0366037135288</v>
      </c>
      <c r="G6380" s="38" t="n">
        <f aca="false">Sens!$G$6369</f>
        <v>138.938603713529</v>
      </c>
      <c r="H6380" s="38" t="n">
        <f aca="false">Sens!$H$6369</f>
        <v>104.29965948309</v>
      </c>
      <c r="I6380" s="38" t="n">
        <f aca="false">Sens!$I$6369</f>
        <v>115.373462770871</v>
      </c>
      <c r="J6380" s="38" t="n">
        <f aca="false">Sens!$J$6369</f>
        <v>129.889724166368</v>
      </c>
      <c r="K6380" s="38" t="n">
        <f aca="false">Sens!$K$6369</f>
        <v>140.442301535395</v>
      </c>
      <c r="L6380" s="38" t="n">
        <f aca="false">Sens!$L$6369</f>
        <v>153.718935436262</v>
      </c>
      <c r="M6380" s="38" t="n">
        <f aca="false">Sens!$M$6369</f>
        <v>169.829794040665</v>
      </c>
    </row>
    <row r="6381" customFormat="false" ht="17.15" hidden="false" customHeight="false" outlineLevel="0" collapsed="false">
      <c r="A6381" s="5" t="s">
        <v>795</v>
      </c>
      <c r="B6381" s="0" t="s">
        <v>86</v>
      </c>
      <c r="C6381" s="38" t="n">
        <f aca="false">Sens!$C$6357</f>
        <v>32.067</v>
      </c>
      <c r="D6381" s="38" t="n">
        <f aca="false">Sens!$D$6357</f>
        <v>41.86</v>
      </c>
      <c r="E6381" s="38" t="n">
        <f aca="false">Sens!$E$6357</f>
        <v>26.703</v>
      </c>
      <c r="F6381" s="38" t="n">
        <f aca="false">Sens!$F$6357</f>
        <v>29.152860869477</v>
      </c>
      <c r="G6381" s="38" t="n">
        <f aca="false">Sens!$G$6357</f>
        <v>55.855860869477</v>
      </c>
      <c r="H6381" s="38" t="n">
        <f aca="false">Sens!$H$6357</f>
        <v>81.5618233196153</v>
      </c>
      <c r="I6381" s="38" t="n">
        <f aca="false">Sens!$I$6357</f>
        <v>118.756208740204</v>
      </c>
      <c r="J6381" s="38" t="n">
        <f aca="false">Sens!$J$6357</f>
        <v>152.469489406791</v>
      </c>
      <c r="K6381" s="38" t="n">
        <f aca="false">Sens!$K$6357</f>
        <v>186.391502623819</v>
      </c>
      <c r="L6381" s="38" t="n">
        <f aca="false">Sens!$L$6357</f>
        <v>211.926422215482</v>
      </c>
      <c r="M6381" s="38" t="n">
        <f aca="false">Sens!$M$6357</f>
        <v>229.012482097906</v>
      </c>
    </row>
    <row r="6382" customFormat="false" ht="15" hidden="false" customHeight="false" outlineLevel="0" collapsed="false">
      <c r="A6382" s="5" t="s">
        <v>796</v>
      </c>
      <c r="B6382" s="0" t="s">
        <v>86</v>
      </c>
      <c r="C6382" s="38" t="n">
        <f aca="false">Q!$D$48</f>
        <v>22.011</v>
      </c>
      <c r="D6382" s="38" t="n">
        <f aca="false">Q!$E$48</f>
        <v>19.467</v>
      </c>
      <c r="E6382" s="38" t="n">
        <f aca="false">Q!$P$48</f>
        <v>10.07</v>
      </c>
      <c r="F6382" s="38" t="n">
        <f aca="false">sbc_r*Sens!$F$6299</f>
        <v>10.8507035798037</v>
      </c>
      <c r="G6382" s="38" t="n">
        <f aca="false">Sens!$E$6382+Sens!$F$6382</f>
        <v>20.9207035798037</v>
      </c>
      <c r="H6382" s="38" t="n">
        <f aca="false">sbc_r*Sens!$H$6299</f>
        <v>23.46224366345</v>
      </c>
      <c r="I6382" s="38" t="n">
        <f aca="false">sbc_r*Sens!$I$6299</f>
        <v>26.6125957111676</v>
      </c>
      <c r="J6382" s="38" t="n">
        <f aca="false">sbc_r*Sens!$J$6299</f>
        <v>29.6280801413323</v>
      </c>
      <c r="K6382" s="38" t="n">
        <f aca="false">sbc_r*Sens!$K$6299</f>
        <v>32.2712258901105</v>
      </c>
      <c r="L6382" s="38" t="n">
        <f aca="false">sbc_r*Sens!$L$6299</f>
        <v>34.7390505016737</v>
      </c>
      <c r="M6382" s="38" t="n">
        <f aca="false">sbc_r*Sens!$M$6299</f>
        <v>37.0405146906692</v>
      </c>
    </row>
    <row r="6383" customFormat="false" ht="17.15" hidden="false" customHeight="false" outlineLevel="0" collapsed="false">
      <c r="A6383" s="5" t="s">
        <v>797</v>
      </c>
      <c r="B6383" s="0" t="s">
        <v>86</v>
      </c>
      <c r="C6383" s="38" t="n">
        <f aca="false">Q!$D$44-Sens!$C$6380-Sens!$C$6381-Sens!$C$6382</f>
        <v>2.551</v>
      </c>
      <c r="D6383" s="38" t="n">
        <f aca="false">Q!$E$44-Sens!$D$6380-Sens!$D$6381-Sens!$D$6382</f>
        <v>0.51700000000001</v>
      </c>
      <c r="E6383" s="38" t="n">
        <f aca="false">Q!$P$44-Sens!$E$6380-Sens!$E$6381-Sens!$E$6382</f>
        <v>-58.256</v>
      </c>
      <c r="F6383" s="38" t="n">
        <f aca="false">oth_r*Sens!$F$6299</f>
        <v>5.22265251035878</v>
      </c>
      <c r="G6383" s="38" t="n">
        <f aca="false">Sens!$E$6383+Sens!$F$6383</f>
        <v>-53.0333474896412</v>
      </c>
      <c r="H6383" s="38" t="n">
        <f aca="false">oth_r*Sens!$H$6299</f>
        <v>11.2928295263397</v>
      </c>
      <c r="I6383" s="38" t="n">
        <f aca="false">oth_r*Sens!$I$6299</f>
        <v>12.8091546115766</v>
      </c>
      <c r="J6383" s="38" t="n">
        <f aca="false">oth_r*Sens!$J$6299</f>
        <v>14.2605653162668</v>
      </c>
      <c r="K6383" s="38" t="n">
        <f aca="false">oth_r*Sens!$K$6299</f>
        <v>15.5327622460396</v>
      </c>
      <c r="L6383" s="38" t="n">
        <f aca="false">oth_r*Sens!$L$6299</f>
        <v>16.720573737517</v>
      </c>
      <c r="M6383" s="38" t="n">
        <f aca="false">oth_r*Sens!$M$6299</f>
        <v>17.8283127551536</v>
      </c>
      <c r="P6383" s="8" t="s">
        <v>798</v>
      </c>
    </row>
    <row r="6384" customFormat="false" ht="15" hidden="false" customHeight="false" outlineLevel="0" collapsed="false">
      <c r="A6384" s="3" t="s">
        <v>562</v>
      </c>
      <c r="B6384" s="8" t="s">
        <v>86</v>
      </c>
      <c r="C6384" s="38" t="n">
        <f aca="false">Q!$D$44</f>
        <v>115.877</v>
      </c>
      <c r="D6384" s="38" t="n">
        <f aca="false">Q!$E$44</f>
        <v>139.514</v>
      </c>
      <c r="E6384" s="38" t="n">
        <f aca="false">Q!$P$44</f>
        <v>71.419</v>
      </c>
      <c r="F6384" s="38" t="n">
        <f aca="false">Sens!$F$6380+Sens!$F$6381+Sens!$F$6382+Sens!$F$6383</f>
        <v>91.2628206731683</v>
      </c>
      <c r="G6384" s="38" t="n">
        <f aca="false">Sens!$E$6384+Sens!$F$6384</f>
        <v>162.681820673168</v>
      </c>
      <c r="H6384" s="38" t="n">
        <f aca="false">Sens!$H$6380+Sens!$H$6381+Sens!$H$6382+Sens!$H$6383</f>
        <v>220.616555992495</v>
      </c>
      <c r="I6384" s="38" t="n">
        <f aca="false">Sens!$I$6380+Sens!$I$6381+Sens!$I$6382+Sens!$I$6383</f>
        <v>273.55142183382</v>
      </c>
      <c r="J6384" s="38" t="n">
        <f aca="false">Sens!$J$6380+Sens!$J$6381+Sens!$J$6382+Sens!$J$6383</f>
        <v>326.247859030758</v>
      </c>
      <c r="K6384" s="38" t="n">
        <f aca="false">Sens!$K$6380+Sens!$K$6381+Sens!$K$6382+Sens!$K$6383</f>
        <v>374.637792295364</v>
      </c>
      <c r="L6384" s="38" t="n">
        <f aca="false">Sens!$L$6380+Sens!$L$6381+Sens!$L$6382+Sens!$L$6383</f>
        <v>417.104981890935</v>
      </c>
      <c r="M6384" s="38" t="n">
        <f aca="false">Sens!$M$6380+Sens!$M$6381+Sens!$M$6382+Sens!$M$6383</f>
        <v>453.711103584394</v>
      </c>
    </row>
    <row r="6385" customFormat="false" ht="17.15" hidden="false" customHeight="false" outlineLevel="0" collapsed="false">
      <c r="A6385" s="5" t="s">
        <v>799</v>
      </c>
      <c r="B6385" s="0" t="s">
        <v>86</v>
      </c>
      <c r="C6385" s="38" t="n">
        <f aca="false">Sens!$C$6263</f>
        <v>25.2781053077374</v>
      </c>
      <c r="D6385" s="38" t="n">
        <f aca="false">Sens!$D$6263</f>
        <v>69.5686316310026</v>
      </c>
      <c r="E6385" s="38" t="n">
        <f aca="false">Sens!$E$6263</f>
        <v>64.1899206485108</v>
      </c>
      <c r="F6385" s="38" t="n">
        <f aca="false">Sens!$F$6263</f>
        <v>88.7165504612134</v>
      </c>
      <c r="G6385" s="38" t="n">
        <f aca="false">Sens!$G$6263</f>
        <v>152.906471109724</v>
      </c>
      <c r="H6385" s="38" t="n">
        <f aca="false">Sens!$H$6263</f>
        <v>198.57136494475</v>
      </c>
      <c r="I6385" s="38" t="n">
        <f aca="false">Sens!$I$6263</f>
        <v>204.6464699105</v>
      </c>
      <c r="J6385" s="38" t="n">
        <f aca="false">Sens!$J$6263</f>
        <v>209.8832381105</v>
      </c>
      <c r="K6385" s="38" t="n">
        <f aca="false">Sens!$K$6263</f>
        <v>155.238385275201</v>
      </c>
      <c r="L6385" s="38" t="n">
        <f aca="false">Sens!$L$6263</f>
        <v>132.014141639902</v>
      </c>
      <c r="M6385" s="38" t="n">
        <f aca="false">Sens!$M$6263</f>
        <v>132.230981659852</v>
      </c>
    </row>
    <row r="6386" customFormat="false" ht="17.15" hidden="false" customHeight="false" outlineLevel="0" collapsed="false">
      <c r="A6386" s="5" t="s">
        <v>800</v>
      </c>
      <c r="B6386" s="0" t="s">
        <v>86</v>
      </c>
      <c r="C6386" s="38" t="n">
        <f aca="false">cx_awso*Sens!$C$6297</f>
        <v>21.0469989286053</v>
      </c>
      <c r="D6386" s="38" t="n">
        <f aca="false">cx_awso*Sens!$D$6297</f>
        <v>24.0042459822698</v>
      </c>
      <c r="E6386" s="38" t="n">
        <f aca="false">cx_awso*Sens!$E$6297</f>
        <v>14.261729404886</v>
      </c>
      <c r="F6386" s="38" t="n">
        <f aca="false">cx_awso*Sens!$F$6297</f>
        <v>14.3538599588493</v>
      </c>
      <c r="G6386" s="38" t="n">
        <f aca="false">Sens!$E$6386+Sens!$F$6386</f>
        <v>28.6155893637353</v>
      </c>
      <c r="H6386" s="38" t="n">
        <f aca="false">cx_awso*Sens!$H$6297</f>
        <v>32.2034154158406</v>
      </c>
      <c r="I6386" s="38" t="n">
        <f aca="false">cx_awso*Sens!$I$6297</f>
        <v>35.7539519042915</v>
      </c>
      <c r="J6386" s="38" t="n">
        <f aca="false">cx_awso*Sens!$J$6297</f>
        <v>39.1551076091815</v>
      </c>
      <c r="K6386" s="38" t="n">
        <f aca="false">cx_awso*Sens!$K$6297</f>
        <v>42.287516217916</v>
      </c>
      <c r="L6386" s="38" t="n">
        <f aca="false">cx_awso*Sens!$L$6297</f>
        <v>45.6705175153492</v>
      </c>
      <c r="M6386" s="38" t="n">
        <f aca="false">cx_awso*Sens!$M$6297</f>
        <v>49.3241589165772</v>
      </c>
    </row>
    <row r="6387" customFormat="false" ht="17.15" hidden="false" customHeight="false" outlineLevel="0" collapsed="false">
      <c r="A6387" s="5" t="s">
        <v>801</v>
      </c>
      <c r="B6387" s="0" t="s">
        <v>86</v>
      </c>
      <c r="C6387" s="38" t="n">
        <f aca="false">Q!$D$46-Sens!$C$6385-Sens!$C$6386</f>
        <v>31.3328957636573</v>
      </c>
      <c r="D6387" s="38" t="n">
        <f aca="false">Q!$E$46-Sens!$D$6385-Sens!$D$6386</f>
        <v>34.7471223867276</v>
      </c>
      <c r="E6387" s="38" t="n">
        <f aca="false">Q!$P$46-Sens!$E$6385-Sens!$E$6386</f>
        <v>17.8583499466032</v>
      </c>
      <c r="F6387" s="38" t="n">
        <f aca="false">cx_rt*Sens!$F$6226</f>
        <v>20.6195895799373</v>
      </c>
      <c r="G6387" s="38" t="n">
        <f aca="false">Sens!$E$6387+Sens!$F$6387</f>
        <v>38.4779395265405</v>
      </c>
      <c r="H6387" s="38" t="n">
        <f aca="false">cx_rt*Sens!$H$6226</f>
        <v>42.5978994743075</v>
      </c>
      <c r="I6387" s="38" t="n">
        <f aca="false">cx_rt*Sens!$I$6226</f>
        <v>46.5813904136335</v>
      </c>
      <c r="J6387" s="38" t="n">
        <f aca="false">cx_rt*Sens!$J$6226</f>
        <v>50.2781676586844</v>
      </c>
      <c r="K6387" s="38" t="n">
        <f aca="false">cx_rt*Sens!$K$6226</f>
        <v>53.5312440191755</v>
      </c>
      <c r="L6387" s="38" t="n">
        <f aca="false">cx_rt*Sens!$L$6226</f>
        <v>57.0116717051447</v>
      </c>
      <c r="M6387" s="38" t="n">
        <f aca="false">cx_rt*Sens!$M$6226</f>
        <v>60.7365554669226</v>
      </c>
    </row>
    <row r="6388" customFormat="false" ht="15" hidden="false" customHeight="false" outlineLevel="0" collapsed="false">
      <c r="A6388" s="3" t="s">
        <v>802</v>
      </c>
      <c r="B6388" s="8" t="s">
        <v>86</v>
      </c>
      <c r="C6388" s="38" t="n">
        <f aca="false">Q!$D$46</f>
        <v>77.658</v>
      </c>
      <c r="D6388" s="38" t="n">
        <f aca="false">Q!$E$46</f>
        <v>128.32</v>
      </c>
      <c r="E6388" s="38" t="n">
        <f aca="false">Q!$P$46</f>
        <v>96.31</v>
      </c>
      <c r="F6388" s="38" t="n">
        <f aca="false">Sens!$F$6385+Sens!$F$6386+Sens!$F$6387</f>
        <v>123.69</v>
      </c>
      <c r="G6388" s="38" t="n">
        <f aca="false">Sens!$E$6388+Sens!$F$6388</f>
        <v>220</v>
      </c>
      <c r="H6388" s="38" t="n">
        <f aca="false">Sens!$H$6385+Sens!$H$6386+Sens!$H$6387</f>
        <v>273.372679834898</v>
      </c>
      <c r="I6388" s="38" t="n">
        <f aca="false">Sens!$I$6385+Sens!$I$6386+Sens!$I$6387</f>
        <v>286.981812228425</v>
      </c>
      <c r="J6388" s="38" t="n">
        <f aca="false">Sens!$J$6385+Sens!$J$6386+Sens!$J$6387</f>
        <v>299.316513378366</v>
      </c>
      <c r="K6388" s="38" t="n">
        <f aca="false">Sens!$K$6385+Sens!$K$6386+Sens!$K$6387</f>
        <v>251.057145512292</v>
      </c>
      <c r="L6388" s="38" t="n">
        <f aca="false">Sens!$L$6385+Sens!$L$6386+Sens!$L$6387</f>
        <v>234.696330860396</v>
      </c>
      <c r="M6388" s="38" t="n">
        <f aca="false">Sens!$M$6385+Sens!$M$6386+Sens!$M$6387</f>
        <v>242.291696043352</v>
      </c>
    </row>
    <row r="6389" customFormat="false" ht="17.15" hidden="false" customHeight="false" outlineLevel="0" collapsed="false">
      <c r="A6389" s="5" t="s">
        <v>570</v>
      </c>
      <c r="B6389" s="0" t="s">
        <v>86</v>
      </c>
      <c r="C6389" s="38" t="n">
        <f aca="false">Q!$D$50</f>
        <v>2.043</v>
      </c>
      <c r="D6389" s="38" t="n">
        <f aca="false">Q!$E$50</f>
        <v>1.557</v>
      </c>
      <c r="E6389" s="38" t="n">
        <f aca="false">lease_pr/2</f>
        <v>0.8</v>
      </c>
      <c r="F6389" s="38" t="n">
        <f aca="false">lease_pr/2</f>
        <v>0.8</v>
      </c>
      <c r="G6389" s="38" t="n">
        <f aca="false">Sens!$E$6389+Sens!$F$6389</f>
        <v>1.6</v>
      </c>
      <c r="H6389" s="38" t="n">
        <f aca="false">lease_pr</f>
        <v>1.6</v>
      </c>
      <c r="I6389" s="38" t="n">
        <f aca="false">lease_pr</f>
        <v>1.6</v>
      </c>
      <c r="J6389" s="38" t="n">
        <f aca="false">lease_pr</f>
        <v>1.6</v>
      </c>
      <c r="K6389" s="38" t="n">
        <f aca="false">lease_pr</f>
        <v>1.6</v>
      </c>
      <c r="L6389" s="38" t="n">
        <f aca="false">lease_pr</f>
        <v>1.6</v>
      </c>
      <c r="M6389" s="38" t="n">
        <f aca="false">lease_pr</f>
        <v>1.6</v>
      </c>
      <c r="P6389" s="8" t="s">
        <v>803</v>
      </c>
    </row>
    <row r="6390" customFormat="false" ht="15" hidden="false" customHeight="false" outlineLevel="0" collapsed="false">
      <c r="A6390" s="47" t="s">
        <v>804</v>
      </c>
      <c r="B6390" s="14" t="s">
        <v>86</v>
      </c>
      <c r="C6390" s="48" t="n">
        <f aca="false">Sens!$C$6384-Sens!$C$6388-Sens!$C$6389</f>
        <v>36.176</v>
      </c>
      <c r="D6390" s="48" t="n">
        <f aca="false">Sens!$D$6384-Sens!$D$6388-Sens!$D$6389</f>
        <v>9.63700000000002</v>
      </c>
      <c r="E6390" s="48" t="n">
        <f aca="false">Sens!$E$6384-Sens!$E$6388-Sens!$E$6389</f>
        <v>-25.691</v>
      </c>
      <c r="F6390" s="48" t="n">
        <f aca="false">Sens!$F$6384-Sens!$F$6388-Sens!$F$6389</f>
        <v>-33.2271793268317</v>
      </c>
      <c r="G6390" s="48" t="n">
        <f aca="false">Sens!$G$6384-Sens!$G$6388-Sens!$G$6389</f>
        <v>-58.9181793268317</v>
      </c>
      <c r="H6390" s="48" t="n">
        <f aca="false">Sens!$H$6384-Sens!$H$6388-Sens!$H$6389</f>
        <v>-54.3561238424036</v>
      </c>
      <c r="I6390" s="48" t="n">
        <f aca="false">Sens!$I$6384-Sens!$I$6388-Sens!$I$6389</f>
        <v>-15.0303903946055</v>
      </c>
      <c r="J6390" s="48" t="n">
        <f aca="false">Sens!$J$6384-Sens!$J$6388-Sens!$J$6389</f>
        <v>25.3313456523922</v>
      </c>
      <c r="K6390" s="48" t="n">
        <f aca="false">Sens!$K$6384-Sens!$K$6388-Sens!$K$6389</f>
        <v>121.980646783072</v>
      </c>
      <c r="L6390" s="48" t="n">
        <f aca="false">Sens!$L$6384-Sens!$L$6388-Sens!$L$6389</f>
        <v>180.80865103054</v>
      </c>
      <c r="M6390" s="48" t="n">
        <f aca="false">Sens!$M$6384-Sens!$M$6388-Sens!$M$6389</f>
        <v>209.819407541041</v>
      </c>
      <c r="N6390" s="14"/>
      <c r="O6390" s="14"/>
    </row>
    <row r="6391" customFormat="false" ht="17.15" hidden="false" customHeight="false" outlineLevel="0" collapsed="false">
      <c r="A6391" s="5" t="s">
        <v>805</v>
      </c>
      <c r="B6391" s="0" t="s">
        <v>86</v>
      </c>
      <c r="C6391" s="38" t="n">
        <f aca="false">dps*Sens!$C$6370</f>
        <v>0</v>
      </c>
      <c r="D6391" s="38" t="n">
        <f aca="false">dps*Sens!$D$6370</f>
        <v>0</v>
      </c>
      <c r="E6391" s="38" t="n">
        <f aca="false">dps*Sens!$E$6370</f>
        <v>0</v>
      </c>
      <c r="F6391" s="38" t="n">
        <f aca="false">0</f>
        <v>0</v>
      </c>
      <c r="G6391" s="38" t="n">
        <f aca="false">dps*Sens!$G$6370</f>
        <v>0</v>
      </c>
      <c r="H6391" s="38" t="n">
        <f aca="false">dps*Sens!$H$6370</f>
        <v>0</v>
      </c>
      <c r="I6391" s="38" t="n">
        <f aca="false">dps*Sens!$I$6370</f>
        <v>0</v>
      </c>
      <c r="J6391" s="38" t="n">
        <f aca="false">dps*Sens!$J$6370</f>
        <v>0</v>
      </c>
      <c r="K6391" s="38" t="n">
        <f aca="false">dps*Sens!$K$6370</f>
        <v>0</v>
      </c>
      <c r="L6391" s="38" t="n">
        <f aca="false">dps*Sens!$L$6370</f>
        <v>0</v>
      </c>
      <c r="M6391" s="38" t="n">
        <f aca="false">dps*Sens!$M$6370</f>
        <v>0</v>
      </c>
      <c r="P6391" s="8" t="s">
        <v>806</v>
      </c>
    </row>
    <row r="6392" customFormat="false" ht="17.15" hidden="false" customHeight="false" outlineLevel="0" collapsed="false">
      <c r="A6392" s="5" t="s">
        <v>807</v>
      </c>
      <c r="B6392" s="0" t="s">
        <v>86</v>
      </c>
      <c r="C6392" s="38" t="n">
        <f aca="false">0</f>
        <v>0</v>
      </c>
      <c r="D6392" s="38" t="n">
        <f aca="false">0</f>
        <v>0</v>
      </c>
      <c r="E6392" s="38" t="n">
        <f aca="false">0</f>
        <v>0</v>
      </c>
      <c r="F6392" s="38" t="n">
        <f aca="false">0</f>
        <v>0</v>
      </c>
      <c r="G6392" s="38" t="n">
        <f aca="false">0</f>
        <v>0</v>
      </c>
      <c r="H6392" s="38" t="n">
        <f aca="false">0</f>
        <v>0</v>
      </c>
      <c r="I6392" s="38" t="n">
        <f aca="false">0</f>
        <v>0</v>
      </c>
      <c r="J6392" s="38" t="n">
        <f aca="false">0</f>
        <v>0</v>
      </c>
      <c r="K6392" s="38" t="n">
        <f aca="false">0</f>
        <v>0</v>
      </c>
      <c r="L6392" s="38" t="n">
        <f aca="false">0</f>
        <v>0</v>
      </c>
      <c r="M6392" s="38" t="n">
        <f aca="false">0</f>
        <v>0</v>
      </c>
      <c r="P6392" s="8" t="s">
        <v>808</v>
      </c>
    </row>
    <row r="6393" customFormat="false" ht="15" hidden="false" customHeight="false" outlineLevel="0" collapsed="false">
      <c r="A6393" s="3" t="s">
        <v>809</v>
      </c>
      <c r="B6393" s="8" t="s">
        <v>86</v>
      </c>
      <c r="C6393" s="38" t="n">
        <f aca="false">Sens!$C$6390-Sens!$C$6391</f>
        <v>36.176</v>
      </c>
      <c r="D6393" s="38" t="n">
        <f aca="false">Sens!$D$6390-Sens!$D$6391</f>
        <v>9.63700000000002</v>
      </c>
      <c r="E6393" s="38" t="n">
        <f aca="false">Sens!$E$6390-Sens!$E$6391</f>
        <v>-25.691</v>
      </c>
      <c r="F6393" s="38" t="n">
        <f aca="false">Sens!$F$6390-Sens!$F$6391</f>
        <v>-33.2271793268317</v>
      </c>
      <c r="G6393" s="38" t="n">
        <f aca="false">Sens!$G$6390-Sens!$G$6391</f>
        <v>-58.9181793268317</v>
      </c>
      <c r="H6393" s="38" t="n">
        <f aca="false">Sens!$H$6390-Sens!$H$6391</f>
        <v>-54.3561238424036</v>
      </c>
      <c r="I6393" s="38" t="n">
        <f aca="false">Sens!$I$6390-Sens!$I$6391</f>
        <v>-15.0303903946055</v>
      </c>
      <c r="J6393" s="38" t="n">
        <f aca="false">Sens!$J$6390-Sens!$J$6391</f>
        <v>25.3313456523922</v>
      </c>
      <c r="K6393" s="38" t="n">
        <f aca="false">Sens!$K$6390-Sens!$K$6391</f>
        <v>121.980646783072</v>
      </c>
      <c r="L6393" s="38" t="n">
        <f aca="false">Sens!$L$6390-Sens!$L$6391</f>
        <v>180.80865103054</v>
      </c>
      <c r="M6393" s="38" t="n">
        <f aca="false">Sens!$M$6390-Sens!$M$6391</f>
        <v>209.819407541041</v>
      </c>
    </row>
    <row r="6394" customFormat="false" ht="17.15" hidden="false" customHeight="false" outlineLevel="0" collapsed="false">
      <c r="A6394" s="5" t="s">
        <v>810</v>
      </c>
      <c r="B6394" s="0" t="s">
        <v>86</v>
      </c>
      <c r="E6394" s="38" t="n">
        <f aca="false">Q!$P$53</f>
        <v>39.767</v>
      </c>
      <c r="F6394" s="38" t="n">
        <f aca="false">inv_2h26</f>
        <v>21.3</v>
      </c>
      <c r="G6394" s="38" t="n">
        <f aca="false">Sens!$E$6394+Sens!$F$6394</f>
        <v>61.067</v>
      </c>
      <c r="H6394" s="39" t="n">
        <v>0</v>
      </c>
      <c r="I6394" s="39" t="n">
        <v>0</v>
      </c>
      <c r="J6394" s="39" t="n">
        <v>0</v>
      </c>
      <c r="K6394" s="39" t="n">
        <v>0</v>
      </c>
      <c r="L6394" s="39" t="n">
        <v>0</v>
      </c>
      <c r="M6394" s="39" t="n">
        <v>0</v>
      </c>
    </row>
    <row r="6395" customFormat="false" ht="17.15" hidden="false" customHeight="false" outlineLevel="0" collapsed="false">
      <c r="A6395" s="5" t="s">
        <v>811</v>
      </c>
      <c r="B6395" s="0" t="s">
        <v>86</v>
      </c>
      <c r="F6395" s="38" t="n">
        <f aca="false">iss_2h26</f>
        <v>29.249999</v>
      </c>
      <c r="G6395" s="38" t="n">
        <f aca="false">Sens!$F$6395</f>
        <v>29.249999</v>
      </c>
      <c r="H6395" s="39" t="n">
        <v>0</v>
      </c>
      <c r="I6395" s="39" t="n">
        <v>0</v>
      </c>
      <c r="J6395" s="39" t="n">
        <v>0</v>
      </c>
      <c r="K6395" s="39" t="n">
        <v>0</v>
      </c>
      <c r="L6395" s="39" t="n">
        <v>0</v>
      </c>
      <c r="M6395" s="39" t="n">
        <v>0</v>
      </c>
    </row>
    <row r="6396" customFormat="false" ht="17.15" hidden="false" customHeight="false" outlineLevel="0" collapsed="false">
      <c r="A6396" s="5" t="s">
        <v>812</v>
      </c>
      <c r="B6396" s="0" t="s">
        <v>86</v>
      </c>
      <c r="F6396" s="38" t="n">
        <f aca="false">cash_q2</f>
        <v>122.988</v>
      </c>
      <c r="G6396" s="38" t="n">
        <f aca="false">cash_q2</f>
        <v>122.988</v>
      </c>
      <c r="H6396" s="38" t="n">
        <f aca="false">Sens!$G$6399</f>
        <v>97.7108196731683</v>
      </c>
      <c r="I6396" s="38" t="n">
        <f aca="false">Sens!$H$6399</f>
        <v>50</v>
      </c>
      <c r="J6396" s="38" t="n">
        <f aca="false">Sens!$I$6399</f>
        <v>50</v>
      </c>
      <c r="K6396" s="38" t="n">
        <f aca="false">Sens!$J$6399</f>
        <v>75.3313456523922</v>
      </c>
      <c r="L6396" s="38" t="n">
        <f aca="false">Sens!$K$6399</f>
        <v>197.311992435464</v>
      </c>
      <c r="M6396" s="38" t="n">
        <f aca="false">Sens!$L$6399</f>
        <v>378.120643466004</v>
      </c>
    </row>
    <row r="6397" customFormat="false" ht="15" hidden="false" customHeight="false" outlineLevel="0" collapsed="false">
      <c r="A6397" s="5" t="s">
        <v>813</v>
      </c>
      <c r="B6397" s="0" t="s">
        <v>86</v>
      </c>
      <c r="F6397" s="38" t="n">
        <f aca="false">Sens!$F$6396+Sens!$F$6393-Sens!$F$6392-Sens!$F$6394+Sens!$F$6395</f>
        <v>97.7108196731683</v>
      </c>
      <c r="H6397" s="38" t="n">
        <f aca="false">Sens!$H$6396+Sens!$H$6393-Sens!$H$6392-Sens!$H$6394+Sens!$H$6395</f>
        <v>43.3546958307647</v>
      </c>
      <c r="I6397" s="38" t="n">
        <f aca="false">Sens!$I$6396+Sens!$I$6393-Sens!$I$6392-Sens!$I$6394+Sens!$I$6395</f>
        <v>34.9696096053945</v>
      </c>
      <c r="J6397" s="38" t="n">
        <f aca="false">Sens!$J$6396+Sens!$J$6393-Sens!$J$6392-Sens!$J$6394+Sens!$J$6395</f>
        <v>75.3313456523922</v>
      </c>
      <c r="K6397" s="38" t="n">
        <f aca="false">Sens!$K$6396+Sens!$K$6393-Sens!$K$6392-Sens!$K$6394+Sens!$K$6395</f>
        <v>197.311992435464</v>
      </c>
      <c r="L6397" s="38" t="n">
        <f aca="false">Sens!$L$6396+Sens!$L$6393-Sens!$L$6392-Sens!$L$6394+Sens!$L$6395</f>
        <v>378.120643466004</v>
      </c>
      <c r="M6397" s="38" t="n">
        <f aca="false">Sens!$M$6396+Sens!$M$6393-Sens!$M$6392-Sens!$M$6394+Sens!$M$6395</f>
        <v>587.940051007045</v>
      </c>
    </row>
    <row r="6398" customFormat="false" ht="17.15" hidden="false" customHeight="false" outlineLevel="0" collapsed="false">
      <c r="A6398" s="5" t="s">
        <v>814</v>
      </c>
      <c r="B6398" s="0" t="s">
        <v>86</v>
      </c>
      <c r="F6398" s="38" t="n">
        <f aca="false">MAX(0,min_cash-Sens!$F$6397)</f>
        <v>0</v>
      </c>
      <c r="G6398" s="38" t="n">
        <f aca="false">Sens!$F$6398</f>
        <v>0</v>
      </c>
      <c r="H6398" s="38" t="n">
        <f aca="false">MAX(0,min_cash-Sens!$H$6397)</f>
        <v>6.64530416923528</v>
      </c>
      <c r="I6398" s="38" t="n">
        <f aca="false">MAX(0,min_cash-Sens!$I$6397)</f>
        <v>15.0303903946055</v>
      </c>
      <c r="J6398" s="38" t="n">
        <f aca="false">MAX(0,min_cash-Sens!$J$6397)</f>
        <v>0</v>
      </c>
      <c r="K6398" s="38" t="n">
        <f aca="false">MAX(0,min_cash-Sens!$K$6397)</f>
        <v>0</v>
      </c>
      <c r="L6398" s="38" t="n">
        <f aca="false">MAX(0,min_cash-Sens!$L$6397)</f>
        <v>0</v>
      </c>
      <c r="M6398" s="38" t="n">
        <f aca="false">MAX(0,min_cash-Sens!$M$6397)</f>
        <v>0</v>
      </c>
      <c r="P6398" s="5" t="s">
        <v>815</v>
      </c>
    </row>
    <row r="6399" customFormat="false" ht="15" hidden="false" customHeight="false" outlineLevel="0" collapsed="false">
      <c r="A6399" s="5" t="s">
        <v>816</v>
      </c>
      <c r="B6399" s="0" t="s">
        <v>86</v>
      </c>
      <c r="D6399" s="38" t="n">
        <f aca="false">Q!$E$61</f>
        <v>123.029</v>
      </c>
      <c r="E6399" s="38" t="n">
        <f aca="false">Q!$M$61</f>
        <v>122.988</v>
      </c>
      <c r="F6399" s="38" t="n">
        <f aca="false">Sens!$F$6397+Sens!$F$6398</f>
        <v>97.7108196731683</v>
      </c>
      <c r="G6399" s="38" t="n">
        <f aca="false">Sens!$F$6399</f>
        <v>97.7108196731683</v>
      </c>
      <c r="H6399" s="38" t="n">
        <f aca="false">Sens!$H$6397+Sens!$H$6398</f>
        <v>50</v>
      </c>
      <c r="I6399" s="38" t="n">
        <f aca="false">Sens!$I$6397+Sens!$I$6398</f>
        <v>50</v>
      </c>
      <c r="J6399" s="38" t="n">
        <f aca="false">Sens!$J$6397+Sens!$J$6398</f>
        <v>75.3313456523922</v>
      </c>
      <c r="K6399" s="38" t="n">
        <f aca="false">Sens!$K$6397+Sens!$K$6398</f>
        <v>197.311992435464</v>
      </c>
      <c r="L6399" s="38" t="n">
        <f aca="false">Sens!$L$6397+Sens!$L$6398</f>
        <v>378.120643466004</v>
      </c>
      <c r="M6399" s="38" t="n">
        <f aca="false">Sens!$M$6397+Sens!$M$6398</f>
        <v>587.940051007045</v>
      </c>
    </row>
    <row r="6400" customFormat="false" ht="15" hidden="false" customHeight="false" outlineLevel="0" collapsed="false">
      <c r="A6400" s="5" t="s">
        <v>817</v>
      </c>
      <c r="B6400" s="0" t="s">
        <v>86</v>
      </c>
      <c r="D6400" s="38" t="n">
        <f aca="false">Q!$E$62</f>
        <v>68.836</v>
      </c>
      <c r="E6400" s="38" t="n">
        <f aca="false">Q!$M$62</f>
        <v>132.995</v>
      </c>
      <c r="F6400" s="38" t="n">
        <f aca="false">debt_q2+Sens!$F$6395+Sens!$F$6398</f>
        <v>162.244999</v>
      </c>
      <c r="G6400" s="38" t="n">
        <f aca="false">Sens!$F$6400</f>
        <v>162.244999</v>
      </c>
      <c r="H6400" s="38" t="n">
        <f aca="false">Sens!$G$6400+Sens!$H$6398</f>
        <v>168.890303169235</v>
      </c>
      <c r="I6400" s="38" t="n">
        <f aca="false">Sens!$H$6400+Sens!$I$6398</f>
        <v>183.920693563841</v>
      </c>
      <c r="J6400" s="38" t="n">
        <f aca="false">Sens!$I$6400+Sens!$J$6398</f>
        <v>183.920693563841</v>
      </c>
      <c r="K6400" s="38" t="n">
        <f aca="false">Sens!$J$6400+Sens!$K$6398</f>
        <v>183.920693563841</v>
      </c>
      <c r="L6400" s="38" t="n">
        <f aca="false">Sens!$K$6400+Sens!$L$6398</f>
        <v>183.920693563841</v>
      </c>
      <c r="M6400" s="38" t="n">
        <f aca="false">Sens!$L$6400+Sens!$M$6398</f>
        <v>183.920693563841</v>
      </c>
    </row>
    <row r="6401" customFormat="false" ht="15" hidden="false" customHeight="false" outlineLevel="0" collapsed="false">
      <c r="A6401" s="5" t="s">
        <v>818</v>
      </c>
      <c r="B6401" s="0" t="s">
        <v>86</v>
      </c>
      <c r="D6401" s="38" t="n">
        <f aca="false">Sens!$D$6400-Sens!$D$6399</f>
        <v>-54.193</v>
      </c>
      <c r="E6401" s="38" t="n">
        <f aca="false">Sens!$E$6400-Sens!$E$6399</f>
        <v>10.007</v>
      </c>
      <c r="F6401" s="38" t="n">
        <f aca="false">Sens!$F$6400-Sens!$F$6399</f>
        <v>64.5341793268317</v>
      </c>
      <c r="G6401" s="38" t="n">
        <f aca="false">Sens!$G$6400-Sens!$G$6399</f>
        <v>64.5341793268317</v>
      </c>
      <c r="H6401" s="38" t="n">
        <f aca="false">Sens!$H$6400-Sens!$H$6399</f>
        <v>118.890303169235</v>
      </c>
      <c r="I6401" s="38" t="n">
        <f aca="false">Sens!$I$6400-Sens!$I$6399</f>
        <v>133.920693563841</v>
      </c>
      <c r="J6401" s="38" t="n">
        <f aca="false">Sens!$J$6400-Sens!$J$6399</f>
        <v>108.589347911449</v>
      </c>
      <c r="K6401" s="38" t="n">
        <f aca="false">Sens!$K$6400-Sens!$K$6399</f>
        <v>-13.3912988716235</v>
      </c>
      <c r="L6401" s="38" t="n">
        <f aca="false">Sens!$L$6400-Sens!$L$6399</f>
        <v>-194.199949902163</v>
      </c>
      <c r="M6401" s="38" t="n">
        <f aca="false">Sens!$M$6400-Sens!$M$6399</f>
        <v>-404.019357443204</v>
      </c>
    </row>
    <row r="6402" customFormat="false" ht="17.15" hidden="false" customHeight="false" outlineLevel="0" collapsed="false">
      <c r="A6402" s="5" t="s">
        <v>819</v>
      </c>
      <c r="B6402" s="0" t="s">
        <v>86</v>
      </c>
      <c r="F6402" s="38" t="n">
        <f aca="false">debt_q2*kd_book*0.5+iss_2h26*kd_new*iss_t</f>
        <v>3.24888962733561</v>
      </c>
      <c r="H6402" s="38" t="n">
        <f aca="false">debt_q2*kd_book+(Sens!$G$6400-debt_q2)*kd_new</f>
        <v>7.42354172302123</v>
      </c>
      <c r="I6402" s="38" t="n">
        <f aca="false">debt_q2*kd_book+(Sens!$H$6400-debt_q2)*kd_new</f>
        <v>7.84418947693382</v>
      </c>
      <c r="J6402" s="38" t="n">
        <f aca="false">debt_q2*kd_book+(Sens!$I$6400-debt_q2)*kd_new</f>
        <v>8.79561318891235</v>
      </c>
      <c r="K6402" s="38" t="n">
        <f aca="false">debt_q2*kd_book+(Sens!$J$6400-debt_q2)*kd_new</f>
        <v>8.79561318891235</v>
      </c>
      <c r="L6402" s="38" t="n">
        <f aca="false">debt_q2*kd_book+(Sens!$K$6400-debt_q2)*kd_new</f>
        <v>8.79561318891235</v>
      </c>
      <c r="M6402" s="38" t="n">
        <f aca="false">debt_q2*kd_book+(Sens!$L$6400-debt_q2)*kd_new</f>
        <v>8.79561318891235</v>
      </c>
    </row>
    <row r="6403" customFormat="false" ht="17.15" hidden="false" customHeight="false" outlineLevel="0" collapsed="false">
      <c r="A6403" s="5" t="s">
        <v>820</v>
      </c>
      <c r="B6403" s="0" t="s">
        <v>86</v>
      </c>
      <c r="F6403" s="38" t="n">
        <f aca="false">cash_q2*y_cash*0.5</f>
        <v>2.59</v>
      </c>
      <c r="H6403" s="38" t="n">
        <f aca="false">Sens!$G$6399*y_cash</f>
        <v>4.1153774832261</v>
      </c>
      <c r="I6403" s="38" t="n">
        <f aca="false">Sens!$H$6399*y_cash</f>
        <v>2.10589651022864</v>
      </c>
      <c r="J6403" s="38" t="n">
        <f aca="false">Sens!$I$6399*y_cash</f>
        <v>2.10589651022864</v>
      </c>
      <c r="K6403" s="38" t="n">
        <f aca="false">Sens!$J$6399*y_cash</f>
        <v>3.172800358404</v>
      </c>
      <c r="L6403" s="38" t="n">
        <f aca="false">Sens!$K$6399*y_cash</f>
        <v>8.31037272592208</v>
      </c>
      <c r="M6403" s="38" t="n">
        <f aca="false">Sens!$L$6399*y_cash</f>
        <v>15.9256588704093</v>
      </c>
    </row>
    <row r="6404" customFormat="false" ht="17.15" hidden="false" customHeight="false" outlineLevel="0" collapsed="false">
      <c r="A6404" s="47" t="s">
        <v>821</v>
      </c>
      <c r="B6404" s="14" t="s">
        <v>86</v>
      </c>
      <c r="C6404" s="14"/>
      <c r="D6404" s="14"/>
      <c r="E6404" s="14"/>
      <c r="F6404" s="14"/>
      <c r="G6404" s="48" t="n">
        <f aca="false">SUM(Sens!$G$6393:$K$6393)</f>
        <v>19.0072988716234</v>
      </c>
      <c r="H6404" s="14"/>
      <c r="I6404" s="14"/>
      <c r="J6404" s="14"/>
      <c r="K6404" s="14"/>
      <c r="L6404" s="14"/>
      <c r="M6404" s="14"/>
      <c r="N6404" s="14"/>
      <c r="O6404" s="14"/>
    </row>
    <row r="6405" customFormat="false" ht="17.15" hidden="false" customHeight="false" outlineLevel="0" collapsed="false">
      <c r="A6405" s="0" t="s">
        <v>787</v>
      </c>
      <c r="B6405" s="0" t="s">
        <v>86</v>
      </c>
      <c r="G6405" s="38" t="n">
        <f aca="false">SUM(Sens!$G$6398:$K$6398)</f>
        <v>21.6756945638408</v>
      </c>
    </row>
    <row r="6406" customFormat="false" ht="17.15" hidden="false" customHeight="false" outlineLevel="0" collapsed="false">
      <c r="A6406" s="24" t="s">
        <v>824</v>
      </c>
      <c r="B6406" s="25" t="s">
        <v>86</v>
      </c>
      <c r="C6406" s="25"/>
      <c r="D6406" s="25"/>
      <c r="E6406" s="25"/>
      <c r="F6406" s="25"/>
      <c r="G6406" s="41" t="n">
        <f aca="false">Sens!$G$6404-(Sens!$G$6393+Sens!$H$6393+Sens!$I$6393+Sens!$J$6393+Sens!$K$6393)</f>
        <v>0</v>
      </c>
      <c r="H6406" s="25"/>
      <c r="I6406" s="25"/>
      <c r="J6406" s="25"/>
      <c r="K6406" s="25"/>
      <c r="L6406" s="25"/>
      <c r="M6406" s="25"/>
      <c r="N6406" s="25"/>
      <c r="O6406" s="25"/>
    </row>
    <row r="6409" customFormat="false" ht="19.4" hidden="false" customHeight="false" outlineLevel="0" collapsed="false">
      <c r="A6409" s="31" t="s">
        <v>1281</v>
      </c>
    </row>
    <row r="6410" customFormat="false" ht="17.15" hidden="false" customHeight="false" outlineLevel="0" collapsed="false">
      <c r="A6410" s="6" t="s">
        <v>16</v>
      </c>
      <c r="B6410" s="6" t="s">
        <v>17</v>
      </c>
      <c r="C6410" s="20" t="s">
        <v>504</v>
      </c>
      <c r="D6410" s="20" t="s">
        <v>505</v>
      </c>
      <c r="E6410" s="20" t="s">
        <v>587</v>
      </c>
      <c r="F6410" s="20" t="s">
        <v>588</v>
      </c>
      <c r="G6410" s="20" t="s">
        <v>589</v>
      </c>
      <c r="H6410" s="20" t="s">
        <v>590</v>
      </c>
      <c r="I6410" s="20" t="s">
        <v>591</v>
      </c>
      <c r="J6410" s="20" t="s">
        <v>592</v>
      </c>
      <c r="K6410" s="20" t="s">
        <v>593</v>
      </c>
      <c r="L6410" s="20" t="s">
        <v>594</v>
      </c>
      <c r="M6410" s="20" t="s">
        <v>595</v>
      </c>
      <c r="N6410" s="20" t="s">
        <v>596</v>
      </c>
      <c r="O6410" s="20" t="s">
        <v>597</v>
      </c>
      <c r="P6410" s="6" t="s">
        <v>23</v>
      </c>
      <c r="R6410" s="20" t="n">
        <v>2023</v>
      </c>
      <c r="S6410" s="20" t="n">
        <v>2024</v>
      </c>
      <c r="T6410" s="20" t="n">
        <v>2025</v>
      </c>
      <c r="U6410" s="20" t="n">
        <v>2026</v>
      </c>
      <c r="V6410" s="20" t="n">
        <v>2027</v>
      </c>
      <c r="W6410" s="20" t="n">
        <v>2028</v>
      </c>
      <c r="X6410" s="20" t="n">
        <v>2029</v>
      </c>
      <c r="Y6410" s="20" t="n">
        <v>2030</v>
      </c>
      <c r="Z6410" s="20" t="n">
        <v>2031</v>
      </c>
      <c r="AA6410" s="20" t="n">
        <v>2032</v>
      </c>
    </row>
    <row r="6411" customFormat="false" ht="17.15" hidden="false" customHeight="false" outlineLevel="0" collapsed="false">
      <c r="A6411" s="1" t="s">
        <v>926</v>
      </c>
    </row>
    <row r="6412" customFormat="false" ht="17.15" hidden="false" customHeight="false" outlineLevel="0" collapsed="false">
      <c r="A6412" s="0" t="s">
        <v>927</v>
      </c>
      <c r="B6412" s="0" t="s">
        <v>86</v>
      </c>
      <c r="H6412" s="38" t="n">
        <f aca="false">Sens!$H$6346*(1-tax)</f>
        <v>119.56497355468</v>
      </c>
      <c r="I6412" s="38" t="n">
        <f aca="false">Sens!$I$6346*(1-tax)</f>
        <v>141.256941944278</v>
      </c>
      <c r="J6412" s="38" t="n">
        <f aca="false">Sens!$J$6346*(1-tax)</f>
        <v>165.207646486437</v>
      </c>
      <c r="K6412" s="38" t="n">
        <f aca="false">Sens!$K$6346*(1-tax)</f>
        <v>182.2563867591</v>
      </c>
      <c r="L6412" s="38" t="n">
        <f aca="false">Sens!$L$6346*(1-tax)</f>
        <v>196.136023003742</v>
      </c>
      <c r="M6412" s="38" t="n">
        <f aca="false">Sens!$M$6346*(1-tax)</f>
        <v>208.266936154417</v>
      </c>
    </row>
    <row r="6413" customFormat="false" ht="15" hidden="false" customHeight="false" outlineLevel="0" collapsed="false">
      <c r="A6413" s="5" t="s">
        <v>928</v>
      </c>
      <c r="B6413" s="0" t="s">
        <v>86</v>
      </c>
      <c r="H6413" s="38" t="n">
        <f aca="false">Sens!$H$6357</f>
        <v>81.5618233196153</v>
      </c>
      <c r="I6413" s="38" t="n">
        <f aca="false">Sens!$I$6357</f>
        <v>118.756208740204</v>
      </c>
      <c r="J6413" s="38" t="n">
        <f aca="false">Sens!$J$6357</f>
        <v>152.469489406791</v>
      </c>
      <c r="K6413" s="38" t="n">
        <f aca="false">Sens!$K$6357</f>
        <v>186.391502623819</v>
      </c>
      <c r="L6413" s="38" t="n">
        <f aca="false">Sens!$L$6357</f>
        <v>211.926422215482</v>
      </c>
      <c r="M6413" s="38" t="n">
        <f aca="false">Sens!$M$6357</f>
        <v>229.012482097906</v>
      </c>
    </row>
    <row r="6414" customFormat="false" ht="15" hidden="false" customHeight="false" outlineLevel="0" collapsed="false">
      <c r="A6414" s="5" t="s">
        <v>929</v>
      </c>
      <c r="B6414" s="0" t="s">
        <v>86</v>
      </c>
      <c r="H6414" s="38" t="n">
        <f aca="false">Sens!$H$6388</f>
        <v>273.372679834898</v>
      </c>
      <c r="I6414" s="38" t="n">
        <f aca="false">Sens!$I$6388</f>
        <v>286.981812228425</v>
      </c>
      <c r="J6414" s="38" t="n">
        <f aca="false">Sens!$J$6388</f>
        <v>299.316513378366</v>
      </c>
      <c r="K6414" s="38" t="n">
        <f aca="false">Sens!$K$6388</f>
        <v>251.057145512292</v>
      </c>
      <c r="L6414" s="38" t="n">
        <f aca="false">Sens!$L$6388</f>
        <v>234.696330860396</v>
      </c>
      <c r="M6414" s="38" t="n">
        <f aca="false">Sens!$M$6388</f>
        <v>242.291696043352</v>
      </c>
    </row>
    <row r="6415" customFormat="false" ht="15" hidden="false" customHeight="false" outlineLevel="0" collapsed="false">
      <c r="A6415" s="5" t="s">
        <v>930</v>
      </c>
      <c r="B6415" s="0" t="s">
        <v>86</v>
      </c>
      <c r="H6415" s="38" t="n">
        <f aca="false">Sens!$H$6389</f>
        <v>1.6</v>
      </c>
      <c r="I6415" s="38" t="n">
        <f aca="false">Sens!$I$6389</f>
        <v>1.6</v>
      </c>
      <c r="J6415" s="38" t="n">
        <f aca="false">Sens!$J$6389</f>
        <v>1.6</v>
      </c>
      <c r="K6415" s="38" t="n">
        <f aca="false">Sens!$K$6389</f>
        <v>1.6</v>
      </c>
      <c r="L6415" s="38" t="n">
        <f aca="false">Sens!$L$6389</f>
        <v>1.6</v>
      </c>
      <c r="M6415" s="38" t="n">
        <f aca="false">Sens!$M$6389</f>
        <v>1.6</v>
      </c>
    </row>
    <row r="6416" customFormat="false" ht="15" hidden="false" customHeight="false" outlineLevel="0" collapsed="false">
      <c r="A6416" s="5" t="s">
        <v>931</v>
      </c>
      <c r="B6416" s="0" t="s">
        <v>86</v>
      </c>
      <c r="H6416" s="38" t="n">
        <f aca="false">Sens!$H$6383</f>
        <v>11.2928295263397</v>
      </c>
      <c r="I6416" s="38" t="n">
        <f aca="false">Sens!$I$6383</f>
        <v>12.8091546115766</v>
      </c>
      <c r="J6416" s="38" t="n">
        <f aca="false">Sens!$J$6383</f>
        <v>14.2605653162668</v>
      </c>
      <c r="K6416" s="38" t="n">
        <f aca="false">Sens!$K$6383</f>
        <v>15.5327622460396</v>
      </c>
      <c r="L6416" s="38" t="n">
        <f aca="false">Sens!$L$6383</f>
        <v>16.720573737517</v>
      </c>
      <c r="M6416" s="38" t="n">
        <f aca="false">Sens!$M$6383</f>
        <v>17.8283127551536</v>
      </c>
    </row>
    <row r="6417" customFormat="false" ht="17.15" hidden="false" customHeight="false" outlineLevel="0" collapsed="false">
      <c r="A6417" s="1" t="s">
        <v>932</v>
      </c>
      <c r="B6417" s="8" t="s">
        <v>86</v>
      </c>
      <c r="H6417" s="38" t="n">
        <f aca="false">Sens!$H$6412+Sens!$H$6413-Sens!$H$6414-Sens!$H$6415+Sens!$H$6416</f>
        <v>-62.5530534342631</v>
      </c>
      <c r="I6417" s="38" t="n">
        <f aca="false">Sens!$I$6412+Sens!$I$6413-Sens!$I$6414-Sens!$I$6415+Sens!$I$6416</f>
        <v>-15.7595069323669</v>
      </c>
      <c r="J6417" s="38" t="n">
        <f aca="false">Sens!$J$6412+Sens!$J$6413-Sens!$J$6414-Sens!$J$6415+Sens!$J$6416</f>
        <v>31.0211878311291</v>
      </c>
      <c r="K6417" s="38" t="n">
        <f aca="false">Sens!$K$6412+Sens!$K$6413-Sens!$K$6414-Sens!$K$6415+Sens!$K$6416</f>
        <v>131.523506116666</v>
      </c>
      <c r="L6417" s="38" t="n">
        <f aca="false">Sens!$L$6412+Sens!$L$6413-Sens!$L$6414-Sens!$L$6415+Sens!$L$6416</f>
        <v>188.486688096346</v>
      </c>
      <c r="M6417" s="38" t="n">
        <f aca="false">Sens!$M$6412+Sens!$M$6413-Sens!$M$6414-Sens!$M$6415+Sens!$M$6416</f>
        <v>211.216034964125</v>
      </c>
    </row>
    <row r="6418" customFormat="false" ht="15" hidden="false" customHeight="false" outlineLevel="0" collapsed="false">
      <c r="A6418" s="5" t="s">
        <v>933</v>
      </c>
      <c r="B6418" s="0" t="s">
        <v>57</v>
      </c>
      <c r="H6418" s="40" t="n">
        <f aca="false">1/(1+wacc)^(2027-2026-0.5)</f>
        <v>0.947751320380232</v>
      </c>
      <c r="I6418" s="40" t="n">
        <f aca="false">1/(1+wacc)^(2028-2026-0.5)</f>
        <v>0.851301099754987</v>
      </c>
      <c r="J6418" s="40" t="n">
        <f aca="false">1/(1+wacc)^(2029-2026-0.5)</f>
        <v>0.764666370660713</v>
      </c>
      <c r="K6418" s="40" t="n">
        <f aca="false">1/(1+wacc)^(2030-2026-0.5)</f>
        <v>0.686848235703811</v>
      </c>
      <c r="L6418" s="40" t="n">
        <f aca="false">1/(1+wacc)^(2031-2026-0.5)</f>
        <v>0.616949452715975</v>
      </c>
      <c r="M6418" s="40" t="n">
        <f aca="false">1/(1+wacc)^(2032-2026-0.5)</f>
        <v>0.554164089562688</v>
      </c>
    </row>
    <row r="6419" customFormat="false" ht="15" hidden="false" customHeight="false" outlineLevel="0" collapsed="false">
      <c r="A6419" s="5" t="s">
        <v>934</v>
      </c>
      <c r="B6419" s="0" t="s">
        <v>86</v>
      </c>
      <c r="H6419" s="38" t="n">
        <f aca="false">Sens!$H$6417*Sens!$H$6418</f>
        <v>-59.2847389861381</v>
      </c>
      <c r="I6419" s="38" t="n">
        <f aca="false">Sens!$I$6417*Sens!$I$6418</f>
        <v>-13.4160855831203</v>
      </c>
      <c r="J6419" s="38" t="n">
        <f aca="false">Sens!$J$6417*Sens!$J$6418</f>
        <v>23.7208591124138</v>
      </c>
      <c r="K6419" s="38" t="n">
        <f aca="false">Sens!$K$6417*Sens!$K$6418</f>
        <v>90.3366881298116</v>
      </c>
      <c r="L6419" s="38" t="n">
        <f aca="false">Sens!$L$6417*Sens!$L$6418</f>
        <v>116.286759065287</v>
      </c>
      <c r="M6419" s="38" t="n">
        <f aca="false">Sens!$M$6417*Sens!$M$6418</f>
        <v>117.048341716935</v>
      </c>
    </row>
    <row r="6420" customFormat="false" ht="15" hidden="false" customHeight="false" outlineLevel="0" collapsed="false">
      <c r="A6420" s="5" t="s">
        <v>935</v>
      </c>
      <c r="B6420" s="0" t="s">
        <v>86</v>
      </c>
      <c r="C6420" s="38" t="n">
        <f aca="false">SUM(Sens!$H$6419:$M$6419)</f>
        <v>274.691823455189</v>
      </c>
    </row>
    <row r="6421" customFormat="false" ht="17.15" hidden="false" customHeight="false" outlineLevel="0" collapsed="false">
      <c r="A6421" s="5" t="s">
        <v>936</v>
      </c>
      <c r="B6421" s="0" t="s">
        <v>86</v>
      </c>
      <c r="C6421" s="38" t="n">
        <f aca="false">Sens!$M$6412*(1+tg)*(1-tg/ronic_hi)/(wacc-tg)</f>
        <v>2102.17278947536</v>
      </c>
    </row>
    <row r="6422" customFormat="false" ht="15" hidden="false" customHeight="false" outlineLevel="0" collapsed="false">
      <c r="A6422" s="5" t="s">
        <v>937</v>
      </c>
      <c r="B6422" s="0" t="s">
        <v>86</v>
      </c>
      <c r="C6422" s="38" t="n">
        <f aca="false">Sens!$C$6421/(1+wacc)^6</f>
        <v>1104.08164015165</v>
      </c>
    </row>
    <row r="6423" customFormat="false" ht="17.15" hidden="false" customHeight="false" outlineLevel="0" collapsed="false">
      <c r="A6423" s="5" t="s">
        <v>938</v>
      </c>
      <c r="B6423" s="0" t="s">
        <v>86</v>
      </c>
      <c r="C6423" s="38" t="n">
        <f aca="false">Sens!$C$6420+Sens!$C$6422</f>
        <v>1378.77346360684</v>
      </c>
    </row>
    <row r="6424" customFormat="false" ht="17.15" hidden="false" customHeight="false" outlineLevel="0" collapsed="false">
      <c r="A6424" s="5" t="s">
        <v>939</v>
      </c>
      <c r="B6424" s="0" t="s">
        <v>52</v>
      </c>
      <c r="C6424" s="13" t="n">
        <f aca="false">Sens!$C$6422/Sens!$C$6423</f>
        <v>0.800770880274558</v>
      </c>
    </row>
    <row r="6425" customFormat="false" ht="17.15" hidden="false" customHeight="false" outlineLevel="0" collapsed="false">
      <c r="A6425" s="5" t="s">
        <v>940</v>
      </c>
      <c r="B6425" s="0" t="s">
        <v>86</v>
      </c>
      <c r="C6425" s="38" t="n">
        <f aca="false">Sens!$G$6401+fin_debt</f>
        <v>89.0551793268317</v>
      </c>
    </row>
    <row r="6426" customFormat="false" ht="17.15" hidden="false" customHeight="false" outlineLevel="0" collapsed="false">
      <c r="A6426" s="5" t="s">
        <v>941</v>
      </c>
      <c r="B6426" s="0" t="s">
        <v>86</v>
      </c>
      <c r="C6426" s="38" t="n">
        <f aca="false">(ant_val*ant_sh+oai_val*oai_sh)*(1-liq_disc)</f>
        <v>178.944</v>
      </c>
    </row>
    <row r="6427" customFormat="false" ht="15" hidden="false" customHeight="false" outlineLevel="0" collapsed="false">
      <c r="A6427" s="5" t="s">
        <v>942</v>
      </c>
      <c r="B6427" s="0" t="s">
        <v>86</v>
      </c>
      <c r="C6427" s="38" t="n">
        <f aca="false">Sens!$C$6423-Sens!$C$6425+Sens!$C$6426</f>
        <v>1468.66228428</v>
      </c>
    </row>
    <row r="6428" customFormat="false" ht="17.15" hidden="false" customHeight="false" outlineLevel="0" collapsed="false">
      <c r="A6428" s="5" t="s">
        <v>943</v>
      </c>
      <c r="B6428" s="0" t="s">
        <v>27</v>
      </c>
      <c r="C6428" s="30" t="n">
        <f aca="false">Sens!$C$6427/sh_out</f>
        <v>136.159793260237</v>
      </c>
    </row>
    <row r="6429" customFormat="false" ht="17.15" hidden="false" customHeight="false" outlineLevel="0" collapsed="false">
      <c r="A6429" s="1" t="s">
        <v>944</v>
      </c>
      <c r="B6429" s="8" t="s">
        <v>27</v>
      </c>
      <c r="C6429" s="30" t="n">
        <f aca="false">Sens!$C$6428*(1+ke)^tp_yf-dps*tp_yf</f>
        <v>149.145195679691</v>
      </c>
    </row>
    <row r="6430" customFormat="false" ht="17.15" hidden="false" customHeight="false" outlineLevel="0" collapsed="false">
      <c r="A6430" s="3" t="s">
        <v>945</v>
      </c>
    </row>
    <row r="6431" customFormat="false" ht="17.15" hidden="false" customHeight="false" outlineLevel="0" collapsed="false">
      <c r="A6431" s="5" t="s">
        <v>946</v>
      </c>
      <c r="B6431" s="0" t="s">
        <v>86</v>
      </c>
      <c r="C6431" s="38" t="n">
        <f aca="false">(1-tp_yf)*(Sens!$H$6358+sbc_ab*Sens!$H$6382*Sens!$H$6219/Sens!$H$6299)+tp_yf*(Sens!$I$6358+sbc_ab*Sens!$I$6382*Sens!$I$6219/Sens!$I$6299)</f>
        <v>59.634664536349</v>
      </c>
    </row>
    <row r="6432" customFormat="false" ht="15" hidden="false" customHeight="false" outlineLevel="0" collapsed="false">
      <c r="A6432" s="5" t="s">
        <v>947</v>
      </c>
      <c r="B6432" s="0" t="s">
        <v>57</v>
      </c>
      <c r="C6432" s="30" t="n">
        <f aca="false">m_ads*m_x</f>
        <v>9.11</v>
      </c>
    </row>
    <row r="6433" customFormat="false" ht="17.15" hidden="false" customHeight="false" outlineLevel="0" collapsed="false">
      <c r="A6433" s="5" t="s">
        <v>948</v>
      </c>
      <c r="B6433" s="0" t="s">
        <v>86</v>
      </c>
      <c r="C6433" s="38" t="n">
        <f aca="false">Sens!$C$6431*Sens!$C$6432</f>
        <v>543.271793926139</v>
      </c>
    </row>
    <row r="6434" customFormat="false" ht="17.15" hidden="false" customHeight="false" outlineLevel="0" collapsed="false">
      <c r="A6434" s="5" t="s">
        <v>949</v>
      </c>
      <c r="B6434" s="0" t="s">
        <v>86</v>
      </c>
      <c r="C6434" s="38" t="n">
        <f aca="false">(1-tp_yf)*(Sens!$H$6359+sbc_ab*Sens!$H$6382*(Sens!$H$6226-Sens!$H$6219)/Sens!$H$6299+IF(internal_ai_reading=2,1,0)*(1-ext_sh)*Sens!$H$6256)+tp_yf*(Sens!$I$6359+sbc_ab*Sens!$I$6382*(Sens!$I$6226-Sens!$I$6219)/Sens!$I$6299+IF(internal_ai_reading=2,1,0)*(1-ext_sh)*Sens!$I$6256)</f>
        <v>51.6951811103438</v>
      </c>
    </row>
    <row r="6435" customFormat="false" ht="17.15" hidden="false" customHeight="false" outlineLevel="0" collapsed="false">
      <c r="A6435" s="5" t="s">
        <v>950</v>
      </c>
      <c r="B6435" s="0" t="s">
        <v>57</v>
      </c>
      <c r="C6435" s="30" t="n">
        <f aca="false">m_retail*m_x</f>
        <v>17.72</v>
      </c>
    </row>
    <row r="6436" customFormat="false" ht="17.15" hidden="false" customHeight="false" outlineLevel="0" collapsed="false">
      <c r="A6436" s="5" t="s">
        <v>951</v>
      </c>
      <c r="B6436" s="0" t="s">
        <v>86</v>
      </c>
      <c r="C6436" s="38" t="n">
        <f aca="false">Sens!$C$6434*Sens!$C$6435</f>
        <v>916.038609275292</v>
      </c>
    </row>
    <row r="6437" customFormat="false" ht="17.15" hidden="false" customHeight="false" outlineLevel="0" collapsed="false">
      <c r="A6437" s="0" t="s">
        <v>952</v>
      </c>
      <c r="B6437" s="0" t="s">
        <v>86</v>
      </c>
      <c r="C6437" s="38" t="n">
        <f aca="false">(1-tp_yf)*(Sens!$H$6360+sbc_ab*Sens!$H$6382*Sens!$H$6297/Sens!$H$6299)+tp_yf*(Sens!$I$6360+sbc_ab*Sens!$I$6382*Sens!$I$6297/Sens!$I$6299)</f>
        <v>97.2337130506861</v>
      </c>
    </row>
    <row r="6438" customFormat="false" ht="17.15" hidden="false" customHeight="false" outlineLevel="0" collapsed="false">
      <c r="A6438" s="0" t="s">
        <v>953</v>
      </c>
      <c r="B6438" s="0" t="s">
        <v>57</v>
      </c>
      <c r="C6438" s="30" t="n">
        <f aca="false">m_cloud*m_x</f>
        <v>13.82</v>
      </c>
    </row>
    <row r="6439" customFormat="false" ht="17.15" hidden="false" customHeight="false" outlineLevel="0" collapsed="false">
      <c r="A6439" s="0" t="s">
        <v>954</v>
      </c>
      <c r="B6439" s="0" t="s">
        <v>86</v>
      </c>
      <c r="C6439" s="38" t="n">
        <f aca="false">Sens!$C$6437*Sens!$C$6438</f>
        <v>1343.76991436048</v>
      </c>
    </row>
    <row r="6440" customFormat="false" ht="17.15" hidden="false" customHeight="false" outlineLevel="0" collapsed="false">
      <c r="A6440" s="0" t="s">
        <v>955</v>
      </c>
      <c r="B6440" s="0" t="s">
        <v>86</v>
      </c>
      <c r="H6440" s="38" t="n">
        <f aca="false">Sens!$H$6278-tax*Sens!$H$6279-ext_sh*Sens!$H$6263</f>
        <v>-115.41576008619</v>
      </c>
      <c r="I6440" s="38" t="n">
        <f aca="false">Sens!$I$6278-tax*Sens!$I$6279-ext_sh*Sens!$I$6263</f>
        <v>-88.5401912683161</v>
      </c>
      <c r="J6440" s="38" t="n">
        <f aca="false">Sens!$J$6278-tax*Sens!$J$6279-ext_sh*Sens!$J$6263</f>
        <v>-61.2977422866746</v>
      </c>
      <c r="K6440" s="38" t="n">
        <f aca="false">Sens!$K$6278-tax*Sens!$K$6279-ext_sh*Sens!$K$6263</f>
        <v>9.91264760007891</v>
      </c>
      <c r="L6440" s="38" t="n">
        <f aca="false">Sens!$L$6278-tax*Sens!$L$6279-ext_sh*Sens!$L$6263</f>
        <v>46.750156871371</v>
      </c>
      <c r="M6440" s="38" t="n">
        <f aca="false">Sens!$M$6278-tax*Sens!$M$6279-ext_sh*Sens!$M$6263</f>
        <v>55.5634749071557</v>
      </c>
    </row>
    <row r="6441" customFormat="false" ht="17.15" hidden="false" customHeight="false" outlineLevel="0" collapsed="false">
      <c r="A6441" s="5" t="s">
        <v>956</v>
      </c>
      <c r="B6441" s="0" t="s">
        <v>86</v>
      </c>
      <c r="H6441" s="38" t="n">
        <f aca="false">Sens!$H$6440*Sens!$H$6418</f>
        <v>-109.385439014374</v>
      </c>
      <c r="I6441" s="38" t="n">
        <f aca="false">Sens!$I$6440*Sens!$I$6418</f>
        <v>-75.3743621992344</v>
      </c>
      <c r="J6441" s="38" t="n">
        <f aca="false">Sens!$J$6440*Sens!$J$6418</f>
        <v>-46.8723221240472</v>
      </c>
      <c r="K6441" s="38" t="n">
        <f aca="false">Sens!$K$6440*Sens!$K$6418</f>
        <v>6.80848451526782</v>
      </c>
      <c r="L6441" s="38" t="n">
        <f aca="false">Sens!$L$6440*Sens!$L$6418</f>
        <v>28.8424836961783</v>
      </c>
      <c r="M6441" s="38" t="n">
        <f aca="false">Sens!$M$6440*Sens!$M$6418</f>
        <v>30.7912824848632</v>
      </c>
    </row>
    <row r="6442" customFormat="false" ht="17.15" hidden="false" customHeight="false" outlineLevel="0" collapsed="false">
      <c r="A6442" s="5" t="s">
        <v>957</v>
      </c>
      <c r="B6442" s="0" t="s">
        <v>86</v>
      </c>
      <c r="C6442" s="38" t="n">
        <f aca="false">Sens!$M$6279*(1-tax)*(1+tg)*(1-tg/ronic_hi)/(wacc-tg)</f>
        <v>395.458471271596</v>
      </c>
    </row>
    <row r="6443" customFormat="false" ht="17.15" hidden="false" customHeight="false" outlineLevel="0" collapsed="false">
      <c r="A6443" s="0" t="s">
        <v>958</v>
      </c>
      <c r="B6443" s="0" t="s">
        <v>86</v>
      </c>
      <c r="C6443" s="38" t="n">
        <f aca="false">(SUM(Sens!$I$6441:$M$6441)+Sens!$C$6442/(1+wacc)^6)*(1+wacc)^tp_yf</f>
        <v>165.902067601746</v>
      </c>
    </row>
    <row r="6444" customFormat="false" ht="17.15" hidden="false" customHeight="false" outlineLevel="0" collapsed="false">
      <c r="A6444" s="5" t="s">
        <v>959</v>
      </c>
      <c r="B6444" s="0" t="s">
        <v>86</v>
      </c>
      <c r="C6444" s="38" t="n">
        <f aca="false">(1-tp_yf)*(Sens!$H$6361)+tp_yf*(Sens!$I$6361)</f>
        <v>74.6707041238437</v>
      </c>
    </row>
    <row r="6445" customFormat="false" ht="17.15" hidden="false" customHeight="false" outlineLevel="0" collapsed="false">
      <c r="A6445" s="5" t="s">
        <v>960</v>
      </c>
      <c r="B6445" s="0" t="s">
        <v>86</v>
      </c>
      <c r="C6445" s="38" t="n">
        <f aca="false">Sens!$C$6444*m_ai</f>
        <v>448.024224743062</v>
      </c>
    </row>
    <row r="6446" customFormat="false" ht="17.15" hidden="false" customHeight="false" outlineLevel="0" collapsed="false">
      <c r="A6446" s="0" t="s">
        <v>961</v>
      </c>
      <c r="B6446" s="0" t="s">
        <v>86</v>
      </c>
      <c r="C6446" s="38" t="n">
        <f aca="false">IF(ai_leg=1,Sens!$C$6443,Sens!$C$6445)</f>
        <v>165.902067601746</v>
      </c>
    </row>
    <row r="6447" customFormat="false" ht="17.15" hidden="false" customHeight="false" outlineLevel="0" collapsed="false">
      <c r="A6447" s="5" t="s">
        <v>962</v>
      </c>
      <c r="B6447" s="0" t="s">
        <v>86</v>
      </c>
      <c r="C6447" s="38" t="n">
        <f aca="false">Sens!$C$6433+Sens!$C$6436+Sens!$C$6439+Sens!$C$6446</f>
        <v>2968.98238516366</v>
      </c>
    </row>
    <row r="6448" customFormat="false" ht="17.15" hidden="false" customHeight="false" outlineLevel="0" collapsed="false">
      <c r="A6448" s="5" t="s">
        <v>963</v>
      </c>
      <c r="B6448" s="0" t="s">
        <v>86</v>
      </c>
      <c r="C6448" s="38" t="n">
        <f aca="false">Sens!$H$6401+fin_debt</f>
        <v>143.411303169235</v>
      </c>
    </row>
    <row r="6449" customFormat="false" ht="15" hidden="false" customHeight="false" outlineLevel="0" collapsed="false">
      <c r="A6449" s="5" t="s">
        <v>964</v>
      </c>
      <c r="B6449" s="0" t="s">
        <v>86</v>
      </c>
      <c r="C6449" s="38" t="n">
        <f aca="false">Sens!$C$6447-Sens!$C$6448+Sens!$C$6426</f>
        <v>3004.51508199442</v>
      </c>
    </row>
    <row r="6450" customFormat="false" ht="15" hidden="false" customHeight="false" outlineLevel="0" collapsed="false">
      <c r="A6450" s="3" t="s">
        <v>965</v>
      </c>
      <c r="B6450" s="8" t="s">
        <v>27</v>
      </c>
      <c r="C6450" s="30" t="n">
        <f aca="false">Sens!$C$6449/sh_val</f>
        <v>272.387085444206</v>
      </c>
    </row>
    <row r="6451" customFormat="false" ht="17.15" hidden="false" customHeight="false" outlineLevel="0" collapsed="false">
      <c r="A6451" s="47" t="s">
        <v>966</v>
      </c>
      <c r="B6451" s="14" t="s">
        <v>27</v>
      </c>
      <c r="C6451" s="44" t="n">
        <f aca="false">w_dcf*Sens!$C$6429+(1-w_dcf)*Sens!$C$6450</f>
        <v>210.766140561949</v>
      </c>
      <c r="D6451" s="14"/>
      <c r="E6451" s="14"/>
      <c r="F6451" s="14"/>
      <c r="G6451" s="14"/>
      <c r="H6451" s="14"/>
      <c r="I6451" s="14"/>
      <c r="J6451" s="14"/>
      <c r="K6451" s="14"/>
      <c r="L6451" s="14"/>
      <c r="M6451" s="14"/>
      <c r="N6451" s="14"/>
      <c r="O6451" s="14"/>
    </row>
    <row r="6452" customFormat="false" ht="17.15" hidden="false" customHeight="false" outlineLevel="0" collapsed="false">
      <c r="A6452" s="5" t="s">
        <v>967</v>
      </c>
      <c r="B6452" s="0" t="s">
        <v>27</v>
      </c>
      <c r="C6452" s="30" t="n">
        <f aca="false">v022_wdcf*Sens!$C$6429+(1-v022_wdcf)*Sens!$C$6450</f>
        <v>216.928235050174</v>
      </c>
    </row>
    <row r="6453" customFormat="false" ht="17.15" hidden="false" customHeight="false" outlineLevel="0" collapsed="false">
      <c r="A6453" s="5" t="s">
        <v>968</v>
      </c>
      <c r="B6453" s="0" t="s">
        <v>27</v>
      </c>
      <c r="C6453" s="30" t="n">
        <f aca="false">(Sens!$C$6449-Sens!$C$6446+Sens!$C$6445)/sh_val</f>
        <v>297.964068759578</v>
      </c>
    </row>
    <row r="6456" customFormat="false" ht="19.4" hidden="false" customHeight="false" outlineLevel="0" collapsed="false">
      <c r="A6456" s="31" t="s">
        <v>1282</v>
      </c>
    </row>
    <row r="6457" customFormat="false" ht="17.15" hidden="false" customHeight="false" outlineLevel="0" collapsed="false">
      <c r="A6457" s="6" t="s">
        <v>16</v>
      </c>
      <c r="B6457" s="6" t="s">
        <v>17</v>
      </c>
      <c r="C6457" s="20" t="s">
        <v>504</v>
      </c>
      <c r="D6457" s="20" t="s">
        <v>505</v>
      </c>
      <c r="E6457" s="20" t="s">
        <v>587</v>
      </c>
      <c r="F6457" s="20" t="s">
        <v>588</v>
      </c>
      <c r="G6457" s="20" t="s">
        <v>589</v>
      </c>
      <c r="H6457" s="20" t="s">
        <v>590</v>
      </c>
      <c r="I6457" s="20" t="s">
        <v>591</v>
      </c>
      <c r="J6457" s="20" t="s">
        <v>592</v>
      </c>
      <c r="K6457" s="20" t="s">
        <v>593</v>
      </c>
      <c r="L6457" s="20" t="s">
        <v>594</v>
      </c>
      <c r="M6457" s="20" t="s">
        <v>595</v>
      </c>
      <c r="N6457" s="20" t="s">
        <v>596</v>
      </c>
      <c r="O6457" s="20" t="s">
        <v>597</v>
      </c>
      <c r="P6457" s="6" t="s">
        <v>23</v>
      </c>
      <c r="R6457" s="20" t="n">
        <v>2023</v>
      </c>
      <c r="S6457" s="20" t="n">
        <v>2024</v>
      </c>
      <c r="T6457" s="20" t="n">
        <v>2025</v>
      </c>
      <c r="U6457" s="20" t="n">
        <v>2026</v>
      </c>
      <c r="V6457" s="20" t="n">
        <v>2027</v>
      </c>
      <c r="W6457" s="20" t="n">
        <v>2028</v>
      </c>
      <c r="X6457" s="20" t="n">
        <v>2029</v>
      </c>
      <c r="Y6457" s="20" t="n">
        <v>2030</v>
      </c>
      <c r="Z6457" s="20" t="n">
        <v>2031</v>
      </c>
      <c r="AA6457" s="20" t="n">
        <v>2032</v>
      </c>
    </row>
    <row r="6458" customFormat="false" ht="17.15" hidden="false" customHeight="false" outlineLevel="0" collapsed="false">
      <c r="A6458" s="1" t="s">
        <v>677</v>
      </c>
    </row>
    <row r="6459" customFormat="false" ht="17.15" hidden="false" customHeight="false" outlineLevel="0" collapsed="false">
      <c r="A6459" s="0" t="s">
        <v>526</v>
      </c>
      <c r="B6459" s="0" t="s">
        <v>86</v>
      </c>
      <c r="C6459" s="38" t="n">
        <f aca="false">Q!$D$10</f>
        <v>247.029</v>
      </c>
      <c r="D6459" s="38" t="n">
        <f aca="false">Q!$E$10</f>
        <v>269.287</v>
      </c>
      <c r="E6459" s="38" t="n">
        <f aca="false">Q!$P$10</f>
        <v>134.686</v>
      </c>
      <c r="F6459" s="38" t="n">
        <f aca="false">Sens!$O$6459*(1+Sens!$F$6460)*Sens!$F$6471</f>
        <v>158.293876822267</v>
      </c>
      <c r="G6459" s="38" t="n">
        <f aca="false">Sens!$E$6459+Sens!$F$6459</f>
        <v>292.979876822267</v>
      </c>
      <c r="H6459" s="38" t="n">
        <f aca="false">Sens!$G$6459*(1+Sens!$H$6460)</f>
        <v>318.184543087396</v>
      </c>
      <c r="I6459" s="38" t="n">
        <f aca="false">Sens!$H$6459*(1+Sens!$I$6460)</f>
        <v>341.736278761793</v>
      </c>
      <c r="J6459" s="38" t="n">
        <f aca="false">Sens!$I$6459*(1+Sens!$J$6460)</f>
        <v>362.927192787048</v>
      </c>
      <c r="K6459" s="38" t="n">
        <f aca="false">Sens!$J$6459*(1+Sens!$K$6460)</f>
        <v>381.0735524264</v>
      </c>
      <c r="L6459" s="38" t="n">
        <f aca="false">Sens!$K$6459*(1+Sens!$L$6460)</f>
        <v>400.12723004772</v>
      </c>
      <c r="M6459" s="38" t="n">
        <f aca="false">Sens!$L$6459*(1+Sens!$M$6460)</f>
        <v>420.133591550106</v>
      </c>
      <c r="N6459" s="38" t="n">
        <f aca="false">Q!$N$10</f>
        <v>118.892</v>
      </c>
      <c r="O6459" s="38" t="n">
        <f aca="false">Q!$O$10</f>
        <v>150.395</v>
      </c>
      <c r="P6459" s="8" t="s">
        <v>678</v>
      </c>
    </row>
    <row r="6460" customFormat="false" ht="17.15" hidden="false" customHeight="false" outlineLevel="0" collapsed="false">
      <c r="A6460" s="0" t="s">
        <v>679</v>
      </c>
      <c r="B6460" s="0" t="s">
        <v>52</v>
      </c>
      <c r="E6460" s="13" t="n">
        <f aca="false">Sens!$E$6459/Sens!$N$6459-1</f>
        <v>0.132843252699929</v>
      </c>
      <c r="F6460" s="13" t="n">
        <f aca="false">Sens!$O$6459/(Q!$F$10+Q!$G$10)-1</f>
        <v>0.0980382135842941</v>
      </c>
      <c r="G6460" s="13" t="n">
        <f aca="false">Sens!$G$6459/Sens!$D$6459-1</f>
        <v>0.0879837378791657</v>
      </c>
      <c r="H6460" s="13" t="n">
        <f aca="false">Sens!$F$6460+(g_os-Sens!$F$6460)*1/4</f>
        <v>0.0860286601882206</v>
      </c>
      <c r="I6460" s="13" t="n">
        <f aca="false">Sens!$F$6460+(g_os-Sens!$F$6460)*2/4</f>
        <v>0.074019106792147</v>
      </c>
      <c r="J6460" s="13" t="n">
        <f aca="false">Sens!$F$6460+(g_os-Sens!$F$6460)*3/4</f>
        <v>0.0620095533960735</v>
      </c>
      <c r="K6460" s="13" t="n">
        <f aca="false">Sens!$F$6460+(g_os-Sens!$F$6460)*4/4</f>
        <v>0.05</v>
      </c>
      <c r="L6460" s="13" t="n">
        <f aca="false">g_os</f>
        <v>0.05</v>
      </c>
      <c r="M6460" s="13" t="n">
        <f aca="false">g_os</f>
        <v>0.05</v>
      </c>
      <c r="P6460" s="8" t="s">
        <v>680</v>
      </c>
    </row>
    <row r="6461" customFormat="false" ht="17.15" hidden="false" customHeight="false" outlineLevel="0" collapsed="false">
      <c r="A6461" s="0" t="s">
        <v>527</v>
      </c>
      <c r="B6461" s="0" t="s">
        <v>86</v>
      </c>
      <c r="C6461" s="38" t="n">
        <f aca="false">Q!$D$11</f>
        <v>21.215</v>
      </c>
      <c r="D6461" s="38" t="n">
        <f aca="false">Q!$E$11</f>
        <v>22.561</v>
      </c>
      <c r="E6461" s="38" t="n">
        <f aca="false">Q!$P$11</f>
        <v>11.579</v>
      </c>
      <c r="F6461" s="38" t="n">
        <f aca="false">Sens!$O$6461*(1+Sens!$F$6462)*Sens!$F$6471</f>
        <v>11.5938724610325</v>
      </c>
      <c r="G6461" s="38" t="n">
        <f aca="false">Sens!$E$6461+Sens!$F$6461</f>
        <v>23.1728724610325</v>
      </c>
      <c r="H6461" s="38" t="n">
        <f aca="false">Sens!$G$6461*(1+Sens!$H$6462)</f>
        <v>24.353392759506</v>
      </c>
      <c r="I6461" s="38" t="n">
        <f aca="false">Sens!$H$6461*(1+Sens!$I$6462)</f>
        <v>25.4240338872015</v>
      </c>
      <c r="J6461" s="38" t="n">
        <f aca="false">Sens!$I$6461*(1+Sens!$J$6462)</f>
        <v>26.3642491017174</v>
      </c>
      <c r="K6461" s="38" t="n">
        <f aca="false">Sens!$J$6461*(1+Sens!$K$6462)</f>
        <v>27.155176574769</v>
      </c>
      <c r="L6461" s="38" t="n">
        <f aca="false">Sens!$K$6461*(1+Sens!$L$6462)</f>
        <v>27.969831872012</v>
      </c>
      <c r="M6461" s="38" t="n">
        <f aca="false">Sens!$L$6461*(1+Sens!$M$6462)</f>
        <v>28.8089268281724</v>
      </c>
      <c r="N6461" s="38" t="n">
        <f aca="false">Q!$N$11</f>
        <v>11.128</v>
      </c>
      <c r="O6461" s="38" t="n">
        <f aca="false">Q!$O$11</f>
        <v>11.433</v>
      </c>
      <c r="P6461" s="8" t="s">
        <v>678</v>
      </c>
    </row>
    <row r="6462" customFormat="false" ht="17.15" hidden="false" customHeight="false" outlineLevel="0" collapsed="false">
      <c r="A6462" s="0" t="s">
        <v>681</v>
      </c>
      <c r="B6462" s="0" t="s">
        <v>52</v>
      </c>
      <c r="E6462" s="13" t="n">
        <f aca="false">Sens!$E$6461/Sens!$N$6461-1</f>
        <v>0.0405283968368082</v>
      </c>
      <c r="F6462" s="13" t="n">
        <f aca="false">Sens!$O$6461/(Q!$F$11+Q!$G$11)-1</f>
        <v>0.0579254187100955</v>
      </c>
      <c r="G6462" s="13" t="n">
        <f aca="false">Sens!$G$6461/Sens!$D$6461-1</f>
        <v>0.0271208040881397</v>
      </c>
      <c r="H6462" s="13" t="n">
        <f aca="false">Sens!$F$6462+(g_ps-Sens!$F$6462)*1/4</f>
        <v>0.0509440640325716</v>
      </c>
      <c r="I6462" s="13" t="n">
        <f aca="false">Sens!$F$6462+(g_ps-Sens!$F$6462)*2/4</f>
        <v>0.0439627093550477</v>
      </c>
      <c r="J6462" s="13" t="n">
        <f aca="false">Sens!$F$6462+(g_ps-Sens!$F$6462)*3/4</f>
        <v>0.0369813546775239</v>
      </c>
      <c r="K6462" s="13" t="n">
        <f aca="false">Sens!$F$6462+(g_ps-Sens!$F$6462)*4/4</f>
        <v>0.03</v>
      </c>
      <c r="L6462" s="13" t="n">
        <f aca="false">g_ps</f>
        <v>0.03</v>
      </c>
      <c r="M6462" s="13" t="n">
        <f aca="false">g_ps</f>
        <v>0.03</v>
      </c>
      <c r="P6462" s="8" t="s">
        <v>682</v>
      </c>
    </row>
    <row r="6463" customFormat="false" ht="17.15" hidden="false" customHeight="false" outlineLevel="0" collapsed="false">
      <c r="A6463" s="0" t="s">
        <v>528</v>
      </c>
      <c r="B6463" s="0" t="s">
        <v>86</v>
      </c>
      <c r="C6463" s="38" t="n">
        <f aca="false">Q!$D$12</f>
        <v>156.146</v>
      </c>
      <c r="D6463" s="38" t="n">
        <f aca="false">Q!$E$12</f>
        <v>172.162</v>
      </c>
      <c r="E6463" s="38" t="n">
        <f aca="false">Q!$P$12</f>
        <v>88.358</v>
      </c>
      <c r="F6463" s="38" t="n">
        <f aca="false">Sens!$O$6463*(1+Sens!$F$6464)*Sens!$F$6471</f>
        <v>102.004388260171</v>
      </c>
      <c r="G6463" s="38" t="n">
        <f aca="false">Sens!$E$6463+Sens!$F$6463</f>
        <v>190.362388260171</v>
      </c>
      <c r="H6463" s="38" t="n">
        <f aca="false">Sens!$G$6463*(1+Sens!$H$6464)</f>
        <v>210.343106588311</v>
      </c>
      <c r="I6463" s="38" t="n">
        <f aca="false">Sens!$H$6463*(1+Sens!$I$6464)</f>
        <v>229.969728494648</v>
      </c>
      <c r="J6463" s="38" t="n">
        <f aca="false">Sens!$I$6463*(1+Sens!$J$6464)</f>
        <v>248.747636972598</v>
      </c>
      <c r="K6463" s="38" t="n">
        <f aca="false">Sens!$J$6463*(1+Sens!$K$6464)</f>
        <v>266.15997156068</v>
      </c>
      <c r="L6463" s="38" t="n">
        <f aca="false">Sens!$K$6463*(1+Sens!$L$6464)</f>
        <v>284.791169569927</v>
      </c>
      <c r="M6463" s="38" t="n">
        <f aca="false">Sens!$L$6463*(1+Sens!$M$6464)</f>
        <v>304.726551439822</v>
      </c>
      <c r="N6463" s="38" t="n">
        <f aca="false">Q!$N$12</f>
        <v>76.86</v>
      </c>
      <c r="O6463" s="38" t="n">
        <f aca="false">Q!$O$12</f>
        <v>95.302</v>
      </c>
      <c r="P6463" s="8" t="s">
        <v>678</v>
      </c>
    </row>
    <row r="6464" customFormat="false" ht="17.15" hidden="false" customHeight="false" outlineLevel="0" collapsed="false">
      <c r="A6464" s="0" t="s">
        <v>683</v>
      </c>
      <c r="B6464" s="0" t="s">
        <v>52</v>
      </c>
      <c r="E6464" s="13" t="n">
        <f aca="false">Sens!$E$6463/Sens!$N$6463-1</f>
        <v>0.1495966692688</v>
      </c>
      <c r="F6464" s="13" t="n">
        <f aca="false">Sens!$O$6463/(Q!$F$12+Q!$G$12)-1</f>
        <v>0.11661530890813</v>
      </c>
      <c r="G6464" s="13" t="n">
        <f aca="false">Sens!$G$6463/Sens!$D$6463-1</f>
        <v>0.105716640490767</v>
      </c>
      <c r="H6464" s="13" t="n">
        <f aca="false">Sens!$F$6464+(g_sp-Sens!$F$6464)*1/4</f>
        <v>0.104961481681098</v>
      </c>
      <c r="I6464" s="13" t="n">
        <f aca="false">Sens!$F$6464+(g_sp-Sens!$F$6464)*2/4</f>
        <v>0.0933076544540651</v>
      </c>
      <c r="J6464" s="13" t="n">
        <f aca="false">Sens!$F$6464+(g_sp-Sens!$F$6464)*3/4</f>
        <v>0.0816538272270325</v>
      </c>
      <c r="K6464" s="13" t="n">
        <f aca="false">Sens!$F$6464+(g_sp-Sens!$F$6464)*4/4</f>
        <v>0.07</v>
      </c>
      <c r="L6464" s="13" t="n">
        <f aca="false">g_sp</f>
        <v>0.07</v>
      </c>
      <c r="M6464" s="13" t="n">
        <f aca="false">g_sp</f>
        <v>0.07</v>
      </c>
      <c r="P6464" s="8" t="s">
        <v>684</v>
      </c>
    </row>
    <row r="6465" customFormat="false" ht="17.15" hidden="false" customHeight="false" outlineLevel="0" collapsed="false">
      <c r="A6465" s="0" t="s">
        <v>529</v>
      </c>
      <c r="B6465" s="0" t="s">
        <v>86</v>
      </c>
      <c r="C6465" s="38" t="n">
        <f aca="false">Q!$D$13</f>
        <v>56.214</v>
      </c>
      <c r="D6465" s="38" t="n">
        <f aca="false">Q!$E$13</f>
        <v>68.635</v>
      </c>
      <c r="E6465" s="38" t="n">
        <f aca="false">Q!$P$13</f>
        <v>37.052</v>
      </c>
      <c r="F6465" s="38" t="n">
        <f aca="false">Sens!$O$6465*(1+Sens!$F$6466)*Sens!$F$6471</f>
        <v>46.1572219944148</v>
      </c>
      <c r="G6465" s="38" t="n">
        <f aca="false">Sens!$E$6465+Sens!$F$6465</f>
        <v>83.2092219944148</v>
      </c>
      <c r="H6465" s="38" t="n">
        <f aca="false">Sens!$G$6465*(1+Sens!$H$6466)</f>
        <v>99.8969223878976</v>
      </c>
      <c r="I6465" s="38" t="n">
        <f aca="false">Sens!$H$6465*(1+Sens!$I$6466)</f>
        <v>116.583111095496</v>
      </c>
      <c r="J6465" s="38" t="n">
        <f aca="false">Sens!$I$6465*(1+Sens!$J$6466)</f>
        <v>132.148941941952</v>
      </c>
      <c r="K6465" s="38" t="n">
        <f aca="false">Sens!$J$6465*(1+Sens!$K$6466)</f>
        <v>145.363836136147</v>
      </c>
      <c r="L6465" s="38" t="n">
        <f aca="false">Sens!$K$6465*(1+Sens!$L$6466)</f>
        <v>159.900219749762</v>
      </c>
      <c r="M6465" s="38" t="n">
        <f aca="false">Sens!$L$6465*(1+Sens!$M$6466)</f>
        <v>175.890241724738</v>
      </c>
      <c r="N6465" s="38" t="n">
        <f aca="false">Q!$N$13</f>
        <v>29.615</v>
      </c>
      <c r="O6465" s="38" t="n">
        <f aca="false">Q!$O$13</f>
        <v>39.02</v>
      </c>
      <c r="P6465" s="8" t="s">
        <v>678</v>
      </c>
    </row>
    <row r="6466" customFormat="false" ht="17.15" hidden="false" customHeight="false" outlineLevel="0" collapsed="false">
      <c r="A6466" s="0" t="s">
        <v>685</v>
      </c>
      <c r="B6466" s="0" t="s">
        <v>52</v>
      </c>
      <c r="E6466" s="13" t="n">
        <f aca="false">Sens!$E$6465/Sens!$N$6465-1</f>
        <v>0.25112274185379</v>
      </c>
      <c r="F6466" s="13" t="n">
        <f aca="false">Sens!$O$6465/(Q!$F$13+Q!$G$13)-1</f>
        <v>0.234068123596572</v>
      </c>
      <c r="G6466" s="13" t="n">
        <f aca="false">Sens!$G$6465/Sens!$D$6465-1</f>
        <v>0.212343876949294</v>
      </c>
      <c r="H6466" s="13" t="n">
        <f aca="false">Sens!$F$6466+(g_ad-Sens!$F$6466)*1/4</f>
        <v>0.200551092697429</v>
      </c>
      <c r="I6466" s="13" t="n">
        <f aca="false">Sens!$F$6466+(g_ad-Sens!$F$6466)*2/4</f>
        <v>0.167034061798286</v>
      </c>
      <c r="J6466" s="13" t="n">
        <f aca="false">Sens!$F$6466+(g_ad-Sens!$F$6466)*3/4</f>
        <v>0.133517030899143</v>
      </c>
      <c r="K6466" s="13" t="n">
        <f aca="false">Sens!$F$6466+(g_ad-Sens!$F$6466)*4/4</f>
        <v>0.1</v>
      </c>
      <c r="L6466" s="13" t="n">
        <f aca="false">g_ad</f>
        <v>0.1</v>
      </c>
      <c r="M6466" s="13" t="n">
        <f aca="false">g_ad</f>
        <v>0.1</v>
      </c>
      <c r="P6466" s="8" t="s">
        <v>686</v>
      </c>
    </row>
    <row r="6467" customFormat="false" ht="17.15" hidden="false" customHeight="false" outlineLevel="0" collapsed="false">
      <c r="A6467" s="0" t="s">
        <v>530</v>
      </c>
      <c r="B6467" s="0" t="s">
        <v>86</v>
      </c>
      <c r="C6467" s="38" t="n">
        <f aca="false">Q!$D$14</f>
        <v>44.374</v>
      </c>
      <c r="D6467" s="38" t="n">
        <f aca="false">Q!$E$14</f>
        <v>49.619</v>
      </c>
      <c r="E6467" s="38" t="n">
        <f aca="false">Q!$P$14</f>
        <v>27.157</v>
      </c>
      <c r="F6467" s="38" t="n">
        <f aca="false">Sens!$O$6467*(1+Sens!$F$6468)*Sens!$F$6471</f>
        <v>27.7764165988154</v>
      </c>
      <c r="G6467" s="38" t="n">
        <f aca="false">Sens!$E$6467+Sens!$F$6467</f>
        <v>54.9334165988154</v>
      </c>
      <c r="H6467" s="38" t="n">
        <f aca="false">Sens!$G$6467*(1+Sens!$H$6468)</f>
        <v>61.1564112561829</v>
      </c>
      <c r="I6467" s="38" t="n">
        <f aca="false">Sens!$H$6467*(1+Sens!$I$6468)</f>
        <v>67.2020282103945</v>
      </c>
      <c r="J6467" s="38" t="n">
        <f aca="false">Sens!$I$6467*(1+Sens!$J$6468)</f>
        <v>72.8757274028885</v>
      </c>
      <c r="K6467" s="38" t="n">
        <f aca="false">Sens!$J$6467*(1+Sens!$K$6468)</f>
        <v>77.9770283210907</v>
      </c>
      <c r="L6467" s="38" t="n">
        <f aca="false">Sens!$K$6467*(1+Sens!$L$6468)</f>
        <v>83.4354203035671</v>
      </c>
      <c r="M6467" s="38" t="n">
        <f aca="false">Sens!$L$6467*(1+Sens!$M$6468)</f>
        <v>89.2758997248168</v>
      </c>
      <c r="N6467" s="38" t="n">
        <f aca="false">Q!$N$14</f>
        <v>23.923</v>
      </c>
      <c r="O6467" s="38" t="n">
        <f aca="false">Q!$O$14</f>
        <v>25.696</v>
      </c>
      <c r="P6467" s="8" t="s">
        <v>678</v>
      </c>
    </row>
    <row r="6468" customFormat="false" ht="17.15" hidden="false" customHeight="false" outlineLevel="0" collapsed="false">
      <c r="A6468" s="0" t="s">
        <v>687</v>
      </c>
      <c r="B6468" s="0" t="s">
        <v>52</v>
      </c>
      <c r="E6468" s="13" t="n">
        <f aca="false">Sens!$E$6467/Sens!$N$6467-1</f>
        <v>0.135183714417088</v>
      </c>
      <c r="F6468" s="13" t="n">
        <f aca="false">Sens!$O$6467/(Q!$F$14+Q!$G$14)-1</f>
        <v>0.127709997366804</v>
      </c>
      <c r="G6468" s="13" t="n">
        <f aca="false">Sens!$G$6467/Sens!$D$6467-1</f>
        <v>0.107104468022641</v>
      </c>
      <c r="H6468" s="13" t="n">
        <f aca="false">Sens!$F$6468+(g_sub-Sens!$F$6468)*1/4</f>
        <v>0.113282498025103</v>
      </c>
      <c r="I6468" s="13" t="n">
        <f aca="false">Sens!$F$6468+(g_sub-Sens!$F$6468)*2/4</f>
        <v>0.0988549986834021</v>
      </c>
      <c r="J6468" s="13" t="n">
        <f aca="false">Sens!$F$6468+(g_sub-Sens!$F$6468)*3/4</f>
        <v>0.084427499341701</v>
      </c>
      <c r="K6468" s="13" t="n">
        <f aca="false">Sens!$F$6468+(g_sub-Sens!$F$6468)*4/4</f>
        <v>0.07</v>
      </c>
      <c r="L6468" s="13" t="n">
        <f aca="false">g_sub</f>
        <v>0.07</v>
      </c>
      <c r="M6468" s="13" t="n">
        <f aca="false">g_sub</f>
        <v>0.07</v>
      </c>
      <c r="P6468" s="8" t="s">
        <v>688</v>
      </c>
    </row>
    <row r="6469" customFormat="false" ht="17.15" hidden="false" customHeight="false" outlineLevel="0" collapsed="false">
      <c r="A6469" s="0" t="s">
        <v>531</v>
      </c>
      <c r="B6469" s="0" t="s">
        <v>86</v>
      </c>
      <c r="C6469" s="38" t="n">
        <f aca="false">Q!$D$15</f>
        <v>5.425</v>
      </c>
      <c r="D6469" s="38" t="n">
        <f aca="false">Q!$E$15</f>
        <v>5.935</v>
      </c>
      <c r="E6469" s="38" t="n">
        <f aca="false">Q!$P$15</f>
        <v>3.474</v>
      </c>
      <c r="F6469" s="38" t="n">
        <f aca="false">Sens!$O$6469*(1+Sens!$F$6470)*Sens!$F$6471</f>
        <v>3.22246550883619</v>
      </c>
      <c r="G6469" s="38" t="n">
        <f aca="false">Sens!$E$6469+Sens!$F$6469</f>
        <v>6.69646550883619</v>
      </c>
      <c r="H6469" s="38" t="n">
        <f aca="false">Sens!$G$6469*(1+Sens!$H$6470)</f>
        <v>7.16251344209196</v>
      </c>
      <c r="I6469" s="38" t="n">
        <f aca="false">Sens!$H$6469*(1+Sens!$I$6470)</f>
        <v>7.61421070299826</v>
      </c>
      <c r="J6469" s="38" t="n">
        <f aca="false">Sens!$I$6469*(1+Sens!$J$6470)</f>
        <v>8.04465753523932</v>
      </c>
      <c r="K6469" s="38" t="n">
        <f aca="false">Sens!$J$6469*(1+Sens!$K$6470)</f>
        <v>8.44689041200128</v>
      </c>
      <c r="L6469" s="38" t="n">
        <f aca="false">Sens!$K$6469*(1+Sens!$L$6470)</f>
        <v>8.86923493260135</v>
      </c>
      <c r="M6469" s="38" t="n">
        <f aca="false">Sens!$L$6469*(1+Sens!$M$6470)</f>
        <v>9.31269667923142</v>
      </c>
      <c r="N6469" s="38" t="n">
        <f aca="false">Q!$N$15</f>
        <v>2.811</v>
      </c>
      <c r="O6469" s="38" t="n">
        <f aca="false">Q!$O$15</f>
        <v>3.124</v>
      </c>
      <c r="P6469" s="8" t="s">
        <v>678</v>
      </c>
    </row>
    <row r="6470" customFormat="false" ht="17.15" hidden="false" customHeight="false" outlineLevel="0" collapsed="false">
      <c r="A6470" s="0" t="s">
        <v>689</v>
      </c>
      <c r="B6470" s="0" t="s">
        <v>52</v>
      </c>
      <c r="E6470" s="13" t="n">
        <f aca="false">Sens!$E$6469/Sens!$N$6469-1</f>
        <v>0.235859124866596</v>
      </c>
      <c r="F6470" s="13" t="n">
        <f aca="false">Sens!$O$6469/(Q!$F$15+Q!$G$15)-1</f>
        <v>0.0761281433000345</v>
      </c>
      <c r="G6470" s="13" t="n">
        <f aca="false">Sens!$G$6469/Sens!$D$6469-1</f>
        <v>0.128300843948811</v>
      </c>
      <c r="H6470" s="13" t="n">
        <f aca="false">Sens!$F$6470+(g_ot-Sens!$F$6470)*1/4</f>
        <v>0.0695961074750259</v>
      </c>
      <c r="I6470" s="13" t="n">
        <f aca="false">Sens!$F$6470+(g_ot-Sens!$F$6470)*2/4</f>
        <v>0.0630640716500172</v>
      </c>
      <c r="J6470" s="13" t="n">
        <f aca="false">Sens!$F$6470+(g_ot-Sens!$F$6470)*3/4</f>
        <v>0.0565320358250086</v>
      </c>
      <c r="K6470" s="13" t="n">
        <f aca="false">Sens!$F$6470+(g_ot-Sens!$F$6470)*4/4</f>
        <v>0.05</v>
      </c>
      <c r="L6470" s="13" t="n">
        <f aca="false">g_ot</f>
        <v>0.05</v>
      </c>
      <c r="M6470" s="13" t="n">
        <f aca="false">g_ot</f>
        <v>0.05</v>
      </c>
      <c r="P6470" s="8" t="s">
        <v>690</v>
      </c>
    </row>
    <row r="6471" customFormat="false" ht="17.15" hidden="false" customHeight="false" outlineLevel="0" collapsed="false">
      <c r="A6471" s="0" t="s">
        <v>691</v>
      </c>
      <c r="B6471" s="0" t="s">
        <v>57</v>
      </c>
      <c r="F6471" s="40" t="n">
        <f aca="false">(g26q3_mid*Q!$O$8/Q!$J$8-Thesis!$F$89-Thesis!$F$93)/(Sens!$O$6459*(1+Sens!$F$6460)+Sens!$O$6461*(1+Sens!$F$6462)+Sens!$O$6463*(1+Sens!$F$6464)+Sens!$O$6465*(1+Sens!$F$6466)+Sens!$O$6467*(1+Sens!$F$6468)+Sens!$O$6469*(1+Sens!$F$6470))</f>
        <v>0.958546670622329</v>
      </c>
      <c r="P6471" s="8" t="s">
        <v>692</v>
      </c>
    </row>
    <row r="6472" customFormat="false" ht="17.15" hidden="false" customHeight="false" outlineLevel="0" collapsed="false">
      <c r="A6472" s="3" t="s">
        <v>693</v>
      </c>
      <c r="B6472" s="8" t="s">
        <v>86</v>
      </c>
      <c r="C6472" s="38" t="n">
        <f aca="false">Sens!$C$6459+Sens!$C$6461+Sens!$C$6463+Sens!$C$6465+Sens!$C$6467+Sens!$C$6469</f>
        <v>530.403</v>
      </c>
      <c r="D6472" s="38" t="n">
        <f aca="false">Sens!$D$6459+Sens!$D$6461+Sens!$D$6463+Sens!$D$6465+Sens!$D$6467+Sens!$D$6469</f>
        <v>588.199</v>
      </c>
      <c r="E6472" s="38" t="n">
        <f aca="false">Sens!$E$6459+Sens!$E$6461+Sens!$E$6463+Sens!$E$6465+Sens!$E$6467+Sens!$E$6469</f>
        <v>302.306</v>
      </c>
      <c r="F6472" s="38" t="n">
        <f aca="false">Sens!$F$6459+Sens!$F$6461+Sens!$F$6463+Sens!$F$6465+Sens!$F$6467+Sens!$F$6469</f>
        <v>349.048241645537</v>
      </c>
      <c r="G6472" s="38" t="n">
        <f aca="false">Sens!$G$6459+Sens!$G$6461+Sens!$G$6463+Sens!$G$6465+Sens!$G$6467+Sens!$G$6469</f>
        <v>651.354241645537</v>
      </c>
      <c r="H6472" s="38" t="n">
        <f aca="false">Sens!$H$6459+Sens!$H$6461+Sens!$H$6463+Sens!$H$6465+Sens!$H$6467+Sens!$H$6469</f>
        <v>721.096889521386</v>
      </c>
      <c r="I6472" s="38" t="n">
        <f aca="false">Sens!$I$6459+Sens!$I$6461+Sens!$I$6463+Sens!$I$6465+Sens!$I$6467+Sens!$I$6469</f>
        <v>788.529391152531</v>
      </c>
      <c r="J6472" s="38" t="n">
        <f aca="false">Sens!$J$6459+Sens!$J$6461+Sens!$J$6463+Sens!$J$6465+Sens!$J$6467+Sens!$J$6469</f>
        <v>851.108405741443</v>
      </c>
      <c r="K6472" s="38" t="n">
        <f aca="false">Sens!$K$6459+Sens!$K$6461+Sens!$K$6463+Sens!$K$6465+Sens!$K$6467+Sens!$K$6469</f>
        <v>906.176455431088</v>
      </c>
      <c r="L6472" s="38" t="n">
        <f aca="false">Sens!$L$6459+Sens!$L$6461+Sens!$L$6463+Sens!$L$6465+Sens!$L$6467+Sens!$L$6469</f>
        <v>965.093106475589</v>
      </c>
      <c r="M6472" s="38" t="n">
        <f aca="false">Sens!$M$6459+Sens!$M$6461+Sens!$M$6463+Sens!$M$6465+Sens!$M$6467+Sens!$M$6469</f>
        <v>1028.14790794689</v>
      </c>
      <c r="N6472" s="38" t="n">
        <f aca="false">Sens!$N$6459+Sens!$N$6461+Sens!$N$6463+Sens!$N$6465+Sens!$N$6467+Sens!$N$6469</f>
        <v>263.229</v>
      </c>
      <c r="O6472" s="38" t="n">
        <f aca="false">Sens!$O$6459+Sens!$O$6461+Sens!$O$6463+Sens!$O$6465+Sens!$O$6467+Sens!$O$6469</f>
        <v>324.97</v>
      </c>
    </row>
    <row r="6473" customFormat="false" ht="17.15" hidden="false" customHeight="false" outlineLevel="0" collapsed="false">
      <c r="A6473" s="5" t="s">
        <v>694</v>
      </c>
      <c r="B6473" s="0" t="s">
        <v>52</v>
      </c>
      <c r="C6473" s="13" t="n">
        <f aca="false">Q!$D$5/(Q!$D$5+Q!$D$6)</f>
        <v>0.730570905519011</v>
      </c>
      <c r="D6473" s="13" t="n">
        <f aca="false">Q!$E$5/(Q!$E$5+Q!$E$6)</f>
        <v>0.724763217890544</v>
      </c>
      <c r="E6473" s="13" t="n">
        <f aca="false">Q!$P$5/(Q!$P$5+Q!$P$6)</f>
        <v>0.728797972914861</v>
      </c>
      <c r="F6473" s="13" t="n">
        <f aca="false">Sens!$O$6473</f>
        <v>0.718066283041511</v>
      </c>
      <c r="G6473" s="13" t="n">
        <f aca="false">Sens!$G$6474/Sens!$G$6472</f>
        <v>0.723047066202847</v>
      </c>
      <c r="H6473" s="13" t="n">
        <f aca="false">Sens!$G$6473</f>
        <v>0.723047066202847</v>
      </c>
      <c r="I6473" s="13" t="n">
        <f aca="false">Sens!$G$6473</f>
        <v>0.723047066202847</v>
      </c>
      <c r="J6473" s="13" t="n">
        <f aca="false">Sens!$G$6473</f>
        <v>0.723047066202847</v>
      </c>
      <c r="K6473" s="13" t="n">
        <f aca="false">Sens!$G$6473</f>
        <v>0.723047066202847</v>
      </c>
      <c r="L6473" s="13" t="n">
        <f aca="false">Sens!$G$6473</f>
        <v>0.723047066202847</v>
      </c>
      <c r="M6473" s="13" t="n">
        <f aca="false">Sens!$G$6473</f>
        <v>0.723047066202847</v>
      </c>
      <c r="N6473" s="13" t="n">
        <f aca="false">Q!$N$5/(Q!$N$5+Q!$N$6)</f>
        <v>0.733030935041352</v>
      </c>
      <c r="O6473" s="13" t="n">
        <f aca="false">Q!$O$5/(Q!$O$5+Q!$O$6)</f>
        <v>0.718066283041511</v>
      </c>
      <c r="P6473" s="8" t="s">
        <v>695</v>
      </c>
    </row>
    <row r="6474" customFormat="false" ht="17.15" hidden="false" customHeight="false" outlineLevel="0" collapsed="false">
      <c r="A6474" s="1" t="s">
        <v>519</v>
      </c>
      <c r="B6474" s="8" t="s">
        <v>86</v>
      </c>
      <c r="C6474" s="38" t="n">
        <f aca="false">Q!$D$5</f>
        <v>387.497</v>
      </c>
      <c r="D6474" s="38" t="n">
        <f aca="false">Q!$E$5</f>
        <v>426.305</v>
      </c>
      <c r="E6474" s="38" t="n">
        <f aca="false">Q!$P$5</f>
        <v>220.32</v>
      </c>
      <c r="F6474" s="38" t="n">
        <f aca="false">Sens!$F$6472*Sens!$F$6473</f>
        <v>250.639773480586</v>
      </c>
      <c r="G6474" s="38" t="n">
        <f aca="false">Sens!$E$6474+Sens!$F$6474</f>
        <v>470.959773480586</v>
      </c>
      <c r="H6474" s="38" t="n">
        <f aca="false">Sens!$H$6472*Sens!$H$6473</f>
        <v>521.386990416437</v>
      </c>
      <c r="I6474" s="38" t="n">
        <f aca="false">Sens!$I$6472*Sens!$I$6473</f>
        <v>570.143862887555</v>
      </c>
      <c r="J6474" s="38" t="n">
        <f aca="false">Sens!$J$6472*Sens!$J$6473</f>
        <v>615.391435791933</v>
      </c>
      <c r="K6474" s="38" t="n">
        <f aca="false">Sens!$K$6472*Sens!$K$6473</f>
        <v>655.208227561543</v>
      </c>
      <c r="L6474" s="38" t="n">
        <f aca="false">Sens!$L$6472*Sens!$L$6473</f>
        <v>697.807739249767</v>
      </c>
      <c r="M6474" s="38" t="n">
        <f aca="false">Sens!$M$6472*Sens!$M$6473</f>
        <v>743.399328463592</v>
      </c>
      <c r="N6474" s="38" t="n">
        <f aca="false">Q!$N$5</f>
        <v>192.955</v>
      </c>
      <c r="O6474" s="38" t="n">
        <f aca="false">Q!$O$5</f>
        <v>233.35</v>
      </c>
      <c r="P6474" s="5" t="s">
        <v>696</v>
      </c>
    </row>
    <row r="6475" customFormat="false" ht="17.15" hidden="false" customHeight="false" outlineLevel="0" collapsed="false">
      <c r="A6475" s="1" t="s">
        <v>522</v>
      </c>
      <c r="B6475" s="8" t="s">
        <v>86</v>
      </c>
      <c r="C6475" s="38" t="n">
        <f aca="false">Q!$D$6</f>
        <v>142.906</v>
      </c>
      <c r="D6475" s="38" t="n">
        <f aca="false">Q!$E$6</f>
        <v>161.894</v>
      </c>
      <c r="E6475" s="38" t="n">
        <f aca="false">Q!$P$6</f>
        <v>81.986</v>
      </c>
      <c r="F6475" s="38" t="n">
        <f aca="false">Sens!$F$6472*(1-Sens!$F$6473)</f>
        <v>98.408468164951</v>
      </c>
      <c r="G6475" s="38" t="n">
        <f aca="false">Sens!$E$6475+Sens!$F$6475</f>
        <v>180.394468164951</v>
      </c>
      <c r="H6475" s="38" t="n">
        <f aca="false">Sens!$H$6472*(1-Sens!$H$6473)</f>
        <v>199.709899104949</v>
      </c>
      <c r="I6475" s="38" t="n">
        <f aca="false">Sens!$I$6472*(1-Sens!$I$6473)</f>
        <v>218.385528264976</v>
      </c>
      <c r="J6475" s="38" t="n">
        <f aca="false">Sens!$J$6472*(1-Sens!$J$6473)</f>
        <v>235.71696994951</v>
      </c>
      <c r="K6475" s="38" t="n">
        <f aca="false">Sens!$K$6472*(1-Sens!$K$6473)</f>
        <v>250.968227869545</v>
      </c>
      <c r="L6475" s="38" t="n">
        <f aca="false">Sens!$L$6472*(1-Sens!$L$6473)</f>
        <v>267.285367225822</v>
      </c>
      <c r="M6475" s="38" t="n">
        <f aca="false">Sens!$M$6472*(1-Sens!$M$6473)</f>
        <v>284.748579483295</v>
      </c>
      <c r="N6475" s="38" t="n">
        <f aca="false">Q!$N$6</f>
        <v>70.274</v>
      </c>
      <c r="O6475" s="38" t="n">
        <f aca="false">Q!$O$6</f>
        <v>91.62</v>
      </c>
      <c r="P6475" s="5" t="s">
        <v>697</v>
      </c>
    </row>
    <row r="6476" customFormat="false" ht="17.15" hidden="false" customHeight="false" outlineLevel="0" collapsed="false">
      <c r="A6476" s="5" t="s">
        <v>698</v>
      </c>
      <c r="B6476" s="0" t="s">
        <v>86</v>
      </c>
      <c r="C6476" s="38" t="n">
        <f aca="false">Sens!$C$6465*Sens!$C$6473</f>
        <v>41.0683128828457</v>
      </c>
      <c r="D6476" s="38" t="n">
        <f aca="false">Sens!$D$6465*Sens!$D$6473</f>
        <v>49.7441234599175</v>
      </c>
      <c r="E6476" s="38" t="n">
        <f aca="false">Sens!$E$6465*Sens!$E$6473</f>
        <v>27.0034224924414</v>
      </c>
      <c r="F6476" s="38" t="n">
        <f aca="false">Sens!$F$6465*Sens!$F$6473</f>
        <v>33.1439448330513</v>
      </c>
      <c r="G6476" s="38" t="n">
        <f aca="false">Sens!$G$6465*Sens!$G$6473</f>
        <v>60.164183844083</v>
      </c>
      <c r="H6476" s="38" t="n">
        <f aca="false">Sens!$H$6465*Sens!$H$6473</f>
        <v>72.2301766552629</v>
      </c>
      <c r="I6476" s="38" t="n">
        <f aca="false">Sens!$I$6465*Sens!$I$6473</f>
        <v>84.2950764463991</v>
      </c>
      <c r="J6476" s="38" t="n">
        <f aca="false">Sens!$J$6465*Sens!$J$6473</f>
        <v>95.5499047729386</v>
      </c>
      <c r="K6476" s="38" t="n">
        <f aca="false">Sens!$K$6465*Sens!$K$6473</f>
        <v>105.104895250232</v>
      </c>
      <c r="L6476" s="38" t="n">
        <f aca="false">Sens!$L$6465*Sens!$L$6473</f>
        <v>115.615384775256</v>
      </c>
      <c r="M6476" s="38" t="n">
        <f aca="false">Sens!$M$6465*Sens!$M$6473</f>
        <v>127.176923252781</v>
      </c>
      <c r="N6476" s="38" t="n">
        <f aca="false">Sens!$N$6465*Sens!$N$6473</f>
        <v>21.7087111412496</v>
      </c>
      <c r="O6476" s="38" t="n">
        <f aca="false">Sens!$O$6465*Sens!$O$6473</f>
        <v>28.0189463642798</v>
      </c>
      <c r="P6476" s="5" t="s">
        <v>699</v>
      </c>
    </row>
    <row r="6477" customFormat="false" ht="15" hidden="false" customHeight="false" outlineLevel="0" collapsed="false">
      <c r="A6477" s="5" t="s">
        <v>700</v>
      </c>
      <c r="B6477" s="0" t="s">
        <v>86</v>
      </c>
      <c r="C6477" s="38" t="n">
        <f aca="false">Sens!$C$6465-Sens!$C$6476</f>
        <v>15.1456871171543</v>
      </c>
      <c r="D6477" s="38" t="n">
        <f aca="false">Sens!$D$6465-Sens!$D$6476</f>
        <v>18.8908765400825</v>
      </c>
      <c r="E6477" s="38" t="n">
        <f aca="false">Sens!$E$6465-Sens!$E$6476</f>
        <v>10.0485775075586</v>
      </c>
      <c r="F6477" s="38" t="n">
        <f aca="false">Sens!$F$6465-Sens!$F$6476</f>
        <v>13.0132771613635</v>
      </c>
      <c r="G6477" s="38" t="n">
        <f aca="false">Sens!$G$6465-Sens!$G$6476</f>
        <v>23.0450381503318</v>
      </c>
      <c r="H6477" s="38" t="n">
        <f aca="false">Sens!$H$6465-Sens!$H$6476</f>
        <v>27.6667457326347</v>
      </c>
      <c r="I6477" s="38" t="n">
        <f aca="false">Sens!$I$6465-Sens!$I$6476</f>
        <v>32.2880346490971</v>
      </c>
      <c r="J6477" s="38" t="n">
        <f aca="false">Sens!$J$6465-Sens!$J$6476</f>
        <v>36.5990371690132</v>
      </c>
      <c r="K6477" s="38" t="n">
        <f aca="false">Sens!$K$6465-Sens!$K$6476</f>
        <v>40.2589408859145</v>
      </c>
      <c r="L6477" s="38" t="n">
        <f aca="false">Sens!$L$6465-Sens!$L$6476</f>
        <v>44.2848349745059</v>
      </c>
      <c r="M6477" s="38" t="n">
        <f aca="false">Sens!$M$6465-Sens!$M$6476</f>
        <v>48.7133184719565</v>
      </c>
      <c r="N6477" s="38" t="n">
        <f aca="false">Sens!$N$6465-Sens!$N$6476</f>
        <v>7.90628885875037</v>
      </c>
      <c r="O6477" s="38" t="n">
        <f aca="false">Sens!$O$6465-Sens!$O$6476</f>
        <v>11.0010536357202</v>
      </c>
    </row>
    <row r="6478" customFormat="false" ht="19.4" hidden="false" customHeight="false" outlineLevel="0" collapsed="false">
      <c r="A6478" s="31" t="s">
        <v>1283</v>
      </c>
    </row>
    <row r="6479" customFormat="false" ht="17.15" hidden="false" customHeight="false" outlineLevel="0" collapsed="false">
      <c r="A6479" s="6" t="s">
        <v>16</v>
      </c>
      <c r="B6479" s="6" t="s">
        <v>17</v>
      </c>
      <c r="C6479" s="20" t="s">
        <v>504</v>
      </c>
      <c r="D6479" s="20" t="s">
        <v>505</v>
      </c>
      <c r="E6479" s="20" t="s">
        <v>587</v>
      </c>
      <c r="F6479" s="20" t="s">
        <v>588</v>
      </c>
      <c r="G6479" s="20" t="s">
        <v>589</v>
      </c>
      <c r="H6479" s="20" t="s">
        <v>590</v>
      </c>
      <c r="I6479" s="20" t="s">
        <v>591</v>
      </c>
      <c r="J6479" s="20" t="s">
        <v>592</v>
      </c>
      <c r="K6479" s="20" t="s">
        <v>593</v>
      </c>
      <c r="L6479" s="20" t="s">
        <v>594</v>
      </c>
      <c r="M6479" s="20" t="s">
        <v>595</v>
      </c>
      <c r="N6479" s="20" t="s">
        <v>596</v>
      </c>
      <c r="O6479" s="20" t="s">
        <v>597</v>
      </c>
      <c r="P6479" s="6" t="s">
        <v>23</v>
      </c>
      <c r="R6479" s="20" t="n">
        <v>2023</v>
      </c>
      <c r="S6479" s="20" t="n">
        <v>2024</v>
      </c>
      <c r="T6479" s="20" t="n">
        <v>2025</v>
      </c>
      <c r="U6479" s="20" t="n">
        <v>2026</v>
      </c>
      <c r="V6479" s="20" t="n">
        <v>2027</v>
      </c>
      <c r="W6479" s="20" t="n">
        <v>2028</v>
      </c>
      <c r="X6479" s="20" t="n">
        <v>2029</v>
      </c>
      <c r="Y6479" s="20" t="n">
        <v>2030</v>
      </c>
      <c r="Z6479" s="20" t="n">
        <v>2031</v>
      </c>
      <c r="AA6479" s="20" t="n">
        <v>2032</v>
      </c>
    </row>
    <row r="6480" customFormat="false" ht="17.15" hidden="false" customHeight="false" outlineLevel="0" collapsed="false">
      <c r="A6480" s="1" t="s">
        <v>598</v>
      </c>
    </row>
    <row r="6481" customFormat="false" ht="17.15" hidden="false" customHeight="false" outlineLevel="0" collapsed="false">
      <c r="A6481" s="5" t="s">
        <v>599</v>
      </c>
      <c r="B6481" s="0" t="s">
        <v>144</v>
      </c>
      <c r="H6481" s="32" t="n">
        <f aca="false">pace_B</f>
        <v>3634.3</v>
      </c>
      <c r="I6481" s="32" t="n">
        <f aca="false">pace_B</f>
        <v>3634.3</v>
      </c>
      <c r="J6481" s="32" t="n">
        <f aca="false">pace_B</f>
        <v>3634.3</v>
      </c>
      <c r="K6481" s="32" t="n">
        <f aca="false">pace_B+(Sens!$J$6482*tg-pace_B)*1/3</f>
        <v>2570.86716666667</v>
      </c>
      <c r="L6481" s="32" t="n">
        <f aca="false">pace_B+(Sens!$J$6482*tg-pace_B)*2/3</f>
        <v>1507.43433333333</v>
      </c>
      <c r="M6481" s="32" t="n">
        <f aca="false">pace_B+(Sens!$J$6482*tg-pace_B)*3/3</f>
        <v>444.0015</v>
      </c>
      <c r="P6481" s="5" t="s">
        <v>600</v>
      </c>
    </row>
    <row r="6482" customFormat="false" ht="17.15" hidden="false" customHeight="false" outlineLevel="0" collapsed="false">
      <c r="A6482" s="15" t="s">
        <v>601</v>
      </c>
      <c r="B6482" s="14" t="s">
        <v>129</v>
      </c>
      <c r="C6482" s="33" t="n">
        <f aca="false">mw_ye24</f>
        <v>360</v>
      </c>
      <c r="D6482" s="33" t="n">
        <f aca="false">mw_ye25</f>
        <v>1440</v>
      </c>
      <c r="E6482" s="33" t="n">
        <f aca="false">mw_open</f>
        <v>2080</v>
      </c>
      <c r="F6482" s="33" t="n">
        <f aca="false">Sens!$E$6482+pace_B*0.5</f>
        <v>3897.15</v>
      </c>
      <c r="G6482" s="33" t="n">
        <f aca="false">Sens!$F$6482</f>
        <v>3897.15</v>
      </c>
      <c r="H6482" s="33" t="n">
        <f aca="false">Sens!$G$6482+Sens!$H$6481</f>
        <v>7531.45</v>
      </c>
      <c r="I6482" s="33" t="n">
        <f aca="false">Sens!$H$6482+Sens!$I$6481</f>
        <v>11165.75</v>
      </c>
      <c r="J6482" s="33" t="n">
        <f aca="false">Sens!$I$6482+Sens!$J$6481</f>
        <v>14800.05</v>
      </c>
      <c r="K6482" s="33" t="n">
        <f aca="false">Sens!$J$6482+Sens!$K$6481</f>
        <v>17370.9171666667</v>
      </c>
      <c r="L6482" s="33" t="n">
        <f aca="false">Sens!$K$6482+Sens!$L$6481</f>
        <v>18878.3515</v>
      </c>
      <c r="M6482" s="33" t="n">
        <f aca="false">Sens!$L$6482+Sens!$M$6481</f>
        <v>19322.353</v>
      </c>
      <c r="N6482" s="33" t="n">
        <f aca="false">(mw_ye24+mw_ye25)/2</f>
        <v>900</v>
      </c>
      <c r="O6482" s="33" t="n">
        <f aca="false">mw_ye25</f>
        <v>1440</v>
      </c>
      <c r="P6482" s="5" t="s">
        <v>602</v>
      </c>
    </row>
    <row r="6483" customFormat="false" ht="17.15" hidden="false" customHeight="false" outlineLevel="0" collapsed="false">
      <c r="A6483" s="5" t="s">
        <v>603</v>
      </c>
      <c r="B6483" s="0" t="s">
        <v>129</v>
      </c>
      <c r="C6483" s="32" t="n">
        <f aca="false">(mw_ye23+mw_ye24)/2</f>
        <v>240</v>
      </c>
      <c r="D6483" s="32" t="n">
        <f aca="false">(Sens!$C$6482+Sens!$D$6482)/2</f>
        <v>900</v>
      </c>
      <c r="E6483" s="32" t="n">
        <f aca="false">(Sens!$D$6482+Sens!$E$6482)/2</f>
        <v>1760</v>
      </c>
      <c r="F6483" s="32" t="n">
        <f aca="false">(Sens!$E$6482+Sens!$F$6482)/2</f>
        <v>2988.575</v>
      </c>
      <c r="G6483" s="32" t="n">
        <f aca="false">(Sens!$E$6483+Sens!$F$6483)/2</f>
        <v>2374.2875</v>
      </c>
      <c r="H6483" s="32" t="n">
        <f aca="false">(Sens!$G$6482+Sens!$H$6482)/2</f>
        <v>5714.3</v>
      </c>
      <c r="I6483" s="32" t="n">
        <f aca="false">(Sens!$H$6482+Sens!$I$6482)/2</f>
        <v>9348.6</v>
      </c>
      <c r="J6483" s="32" t="n">
        <f aca="false">(Sens!$I$6482+Sens!$J$6482)/2</f>
        <v>12982.9</v>
      </c>
      <c r="K6483" s="32" t="n">
        <f aca="false">(Sens!$J$6482+Sens!$K$6482)/2</f>
        <v>16085.4835833333</v>
      </c>
      <c r="L6483" s="32" t="n">
        <f aca="false">(Sens!$K$6482+Sens!$L$6482)/2</f>
        <v>18124.6343333333</v>
      </c>
      <c r="M6483" s="32" t="n">
        <f aca="false">(Sens!$L$6482+Sens!$M$6482)/2</f>
        <v>19100.35225</v>
      </c>
      <c r="N6483" s="32" t="n">
        <f aca="false">(Sens!$C$6482+Sens!$N$6482)/2</f>
        <v>630</v>
      </c>
      <c r="O6483" s="32" t="n">
        <f aca="false">(Sens!$N$6482+Sens!$O$6482)/2</f>
        <v>1170</v>
      </c>
    </row>
    <row r="6484" customFormat="false" ht="15" hidden="false" customHeight="false" outlineLevel="0" collapsed="false">
      <c r="A6484" s="5" t="s">
        <v>604</v>
      </c>
      <c r="B6484" s="5" t="s">
        <v>123</v>
      </c>
      <c r="C6484" s="34" t="n">
        <v>1</v>
      </c>
      <c r="D6484" s="34" t="n">
        <v>1</v>
      </c>
      <c r="E6484" s="34" t="n">
        <v>0.5</v>
      </c>
      <c r="F6484" s="34" t="n">
        <v>0.5</v>
      </c>
      <c r="G6484" s="34" t="n">
        <v>1</v>
      </c>
      <c r="H6484" s="34" t="n">
        <v>1</v>
      </c>
      <c r="I6484" s="34" t="n">
        <v>1</v>
      </c>
      <c r="J6484" s="34" t="n">
        <v>1</v>
      </c>
      <c r="K6484" s="34" t="n">
        <v>1</v>
      </c>
      <c r="L6484" s="34" t="n">
        <v>1</v>
      </c>
      <c r="M6484" s="34" t="n">
        <v>1</v>
      </c>
      <c r="N6484" s="34" t="n">
        <v>0.5</v>
      </c>
      <c r="O6484" s="34" t="n">
        <v>0.5</v>
      </c>
    </row>
    <row r="6485" customFormat="false" ht="17.15" hidden="false" customHeight="false" outlineLevel="0" collapsed="false">
      <c r="A6485" s="5" t="s">
        <v>605</v>
      </c>
      <c r="B6485" s="0" t="s">
        <v>129</v>
      </c>
      <c r="C6485" s="32" t="n">
        <f aca="false">Sens!$C$6482-mw_ye23</f>
        <v>240</v>
      </c>
      <c r="D6485" s="32" t="n">
        <f aca="false">Sens!$D$6482-Sens!$C$6482</f>
        <v>1080</v>
      </c>
      <c r="E6485" s="32" t="n">
        <f aca="false">Sens!$E$6482-Sens!$D$6482</f>
        <v>640</v>
      </c>
      <c r="F6485" s="32" t="n">
        <f aca="false">Sens!$F$6482-Sens!$E$6482</f>
        <v>1817.15</v>
      </c>
      <c r="G6485" s="32" t="n">
        <f aca="false">Sens!$E$6485+Sens!$F$6485</f>
        <v>2457.15</v>
      </c>
      <c r="H6485" s="32" t="n">
        <f aca="false">Sens!$H$6482-Sens!$G$6482</f>
        <v>3634.3</v>
      </c>
      <c r="I6485" s="32" t="n">
        <f aca="false">Sens!$I$6482-Sens!$H$6482</f>
        <v>3634.3</v>
      </c>
      <c r="J6485" s="32" t="n">
        <f aca="false">Sens!$J$6482-Sens!$I$6482</f>
        <v>3634.3</v>
      </c>
      <c r="K6485" s="32" t="n">
        <f aca="false">Sens!$K$6482-Sens!$J$6482</f>
        <v>2570.86716666667</v>
      </c>
      <c r="L6485" s="32" t="n">
        <f aca="false">Sens!$L$6482-Sens!$K$6482</f>
        <v>1507.43433333333</v>
      </c>
      <c r="M6485" s="32" t="n">
        <f aca="false">Sens!$M$6482-Sens!$L$6482</f>
        <v>444.001499999999</v>
      </c>
      <c r="N6485" s="32" t="n">
        <f aca="false">Sens!$N$6482-Sens!$C$6482</f>
        <v>540</v>
      </c>
      <c r="O6485" s="32" t="n">
        <f aca="false">Sens!$O$6482-Sens!$N$6482</f>
        <v>540</v>
      </c>
    </row>
    <row r="6486" customFormat="false" ht="17.15" hidden="false" customHeight="false" outlineLevel="0" collapsed="false">
      <c r="A6486" s="5" t="s">
        <v>606</v>
      </c>
      <c r="B6486" s="0" t="s">
        <v>129</v>
      </c>
      <c r="C6486" s="32" t="n">
        <f aca="false">Sens!$C$6485/ext_sh</f>
        <v>300</v>
      </c>
      <c r="D6486" s="32" t="n">
        <f aca="false">Sens!$D$6485/ext_sh</f>
        <v>1350</v>
      </c>
      <c r="E6486" s="32" t="n">
        <f aca="false">Sens!$E$6485/ext_sh</f>
        <v>800</v>
      </c>
      <c r="F6486" s="32" t="n">
        <f aca="false">Sens!$F$6485/ext_sh</f>
        <v>2271.4375</v>
      </c>
      <c r="G6486" s="32" t="n">
        <f aca="false">Sens!$G$6485/ext_sh</f>
        <v>3071.4375</v>
      </c>
      <c r="H6486" s="32" t="n">
        <f aca="false">Sens!$H$6485/ext_sh</f>
        <v>4542.875</v>
      </c>
      <c r="I6486" s="32" t="n">
        <f aca="false">Sens!$I$6485/ext_sh</f>
        <v>4542.875</v>
      </c>
      <c r="J6486" s="32" t="n">
        <f aca="false">Sens!$J$6485/ext_sh</f>
        <v>4542.875</v>
      </c>
      <c r="K6486" s="32" t="n">
        <f aca="false">Sens!$K$6485/ext_sh</f>
        <v>3213.58395833333</v>
      </c>
      <c r="L6486" s="32" t="n">
        <f aca="false">Sens!$L$6485/ext_sh</f>
        <v>1884.29291666667</v>
      </c>
      <c r="M6486" s="32" t="n">
        <f aca="false">Sens!$M$6485/ext_sh</f>
        <v>555.001874999998</v>
      </c>
      <c r="N6486" s="32" t="n">
        <f aca="false">Sens!$N$6485/ext_sh</f>
        <v>675</v>
      </c>
      <c r="O6486" s="32" t="n">
        <f aca="false">Sens!$O$6485/ext_sh</f>
        <v>675</v>
      </c>
      <c r="P6486" s="8" t="s">
        <v>607</v>
      </c>
      <c r="R6486" s="32" t="n">
        <f aca="false">mw_ye23/ext_sh</f>
        <v>150</v>
      </c>
      <c r="S6486" s="32" t="n">
        <f aca="false">Sens!$C$6486</f>
        <v>300</v>
      </c>
      <c r="T6486" s="32" t="n">
        <f aca="false">Sens!$D$6486</f>
        <v>1350</v>
      </c>
      <c r="U6486" s="32" t="n">
        <f aca="false">Sens!$G$6486</f>
        <v>3071.4375</v>
      </c>
      <c r="V6486" s="32" t="n">
        <f aca="false">Sens!$H$6486</f>
        <v>4542.875</v>
      </c>
      <c r="W6486" s="32" t="n">
        <f aca="false">Sens!$I$6486</f>
        <v>4542.875</v>
      </c>
      <c r="X6486" s="32" t="n">
        <f aca="false">Sens!$J$6486</f>
        <v>4542.875</v>
      </c>
      <c r="Y6486" s="32" t="n">
        <f aca="false">Sens!$K$6486</f>
        <v>3213.58395833333</v>
      </c>
      <c r="Z6486" s="32" t="n">
        <f aca="false">Sens!$L$6486</f>
        <v>1884.29291666667</v>
      </c>
      <c r="AA6486" s="32" t="n">
        <f aca="false">Sens!$M$6486</f>
        <v>555.001874999998</v>
      </c>
    </row>
    <row r="6487" customFormat="false" ht="17.15" hidden="false" customHeight="false" outlineLevel="0" collapsed="false">
      <c r="A6487" s="1" t="s">
        <v>608</v>
      </c>
    </row>
    <row r="6488" customFormat="false" ht="17.15" hidden="false" customHeight="false" outlineLevel="0" collapsed="false">
      <c r="A6488" s="0" t="s">
        <v>609</v>
      </c>
      <c r="B6488" s="0" t="s">
        <v>52</v>
      </c>
      <c r="F6488" s="35" t="n">
        <f aca="false">na_vr26</f>
        <v>0</v>
      </c>
      <c r="G6488" s="35" t="n">
        <f aca="false">na_vr26</f>
        <v>0</v>
      </c>
      <c r="H6488" s="35" t="n">
        <f aca="false">na_vr27</f>
        <v>0.5</v>
      </c>
      <c r="I6488" s="35" t="n">
        <f aca="false">na_vr28</f>
        <v>1</v>
      </c>
      <c r="J6488" s="35" t="n">
        <f aca="false">na_vr28</f>
        <v>1</v>
      </c>
      <c r="K6488" s="35" t="n">
        <f aca="false">na_vr28</f>
        <v>1</v>
      </c>
      <c r="L6488" s="35" t="n">
        <f aca="false">na_vr28</f>
        <v>1</v>
      </c>
      <c r="M6488" s="35" t="n">
        <f aca="false">na_vr28</f>
        <v>1</v>
      </c>
    </row>
    <row r="6489" customFormat="false" ht="17.15" hidden="false" customHeight="false" outlineLevel="0" collapsed="false">
      <c r="A6489" s="5" t="s">
        <v>610</v>
      </c>
      <c r="B6489" s="0" t="s">
        <v>173</v>
      </c>
      <c r="F6489" s="36" t="n">
        <f aca="false">cust_sh*tk_he_gb300*cf_chip+(1-cust_sh)*((1-Sens!$F$6488)*tk_he_gb300+Sens!$F$6488*tk_he_vr200)</f>
        <v>10.8864110021101</v>
      </c>
      <c r="G6489" s="36" t="n">
        <f aca="false">cust_sh*tk_he_gb300*cf_chip+(1-cust_sh)*((1-Sens!$G$6488)*tk_he_gb300+Sens!$G$6488*tk_he_vr200)</f>
        <v>10.8864110021101</v>
      </c>
      <c r="H6489" s="36" t="n">
        <f aca="false">cust_sh*tk_he_gb300*cf_chip+(1-cust_sh)*((1-Sens!$H$6488)*tk_he_gb300+Sens!$H$6488*tk_he_vr200)</f>
        <v>11.2211760027286</v>
      </c>
      <c r="I6489" s="36" t="n">
        <f aca="false">cust_sh*tk_he_gb300*cf_chip+(1-cust_sh)*((1-Sens!$I$6488)*tk_he_gb300+Sens!$I$6488*tk_he_vr200)</f>
        <v>11.5559410033471</v>
      </c>
      <c r="J6489" s="36" t="n">
        <f aca="false">cust_sh*tk_he_gb300*cf_chip+(1-cust_sh)*((1-Sens!$J$6488)*tk_he_gb300+Sens!$J$6488*tk_he_vr200)</f>
        <v>11.5559410033471</v>
      </c>
      <c r="K6489" s="36" t="n">
        <f aca="false">cust_sh*tk_he_gb300*cf_chip+(1-cust_sh)*((1-Sens!$K$6488)*tk_he_gb300+Sens!$K$6488*tk_he_vr200)</f>
        <v>11.5559410033471</v>
      </c>
      <c r="L6489" s="36" t="n">
        <f aca="false">cust_sh*tk_he_gb300*cf_chip+(1-cust_sh)*((1-Sens!$L$6488)*tk_he_gb300+Sens!$L$6488*tk_he_vr200)</f>
        <v>11.5559410033471</v>
      </c>
      <c r="M6489" s="36" t="n">
        <f aca="false">cust_sh*tk_he_gb300*cf_chip+(1-cust_sh)*((1-Sens!$M$6488)*tk_he_gb300+Sens!$M$6488*tk_he_vr200)</f>
        <v>11.5559410033471</v>
      </c>
    </row>
    <row r="6490" customFormat="false" ht="17.15" hidden="false" customHeight="false" outlineLevel="0" collapsed="false">
      <c r="A6490" s="5" t="s">
        <v>611</v>
      </c>
      <c r="B6490" s="0" t="s">
        <v>173</v>
      </c>
      <c r="F6490" s="36" t="n">
        <f aca="false">cust_sh*tk_ox_gb300+(1-cust_sh)*((1-Sens!$F$6488)*tk_ox_gb300+Sens!$F$6488*tk_ox_vr200)</f>
        <v>1.98263481314457</v>
      </c>
      <c r="G6490" s="36" t="n">
        <f aca="false">cust_sh*tk_ox_gb300+(1-cust_sh)*((1-Sens!$G$6488)*tk_ox_gb300+Sens!$G$6488*tk_ox_vr200)</f>
        <v>1.98263481314457</v>
      </c>
      <c r="H6490" s="36" t="n">
        <f aca="false">cust_sh*tk_ox_gb300+(1-cust_sh)*((1-Sens!$H$6488)*tk_ox_gb300+Sens!$H$6488*tk_ox_vr200)</f>
        <v>2.01034999693694</v>
      </c>
      <c r="I6490" s="36" t="n">
        <f aca="false">cust_sh*tk_ox_gb300+(1-cust_sh)*((1-Sens!$I$6488)*tk_ox_gb300+Sens!$I$6488*tk_ox_vr200)</f>
        <v>2.0380651807293</v>
      </c>
      <c r="J6490" s="36" t="n">
        <f aca="false">cust_sh*tk_ox_gb300+(1-cust_sh)*((1-Sens!$J$6488)*tk_ox_gb300+Sens!$J$6488*tk_ox_vr200)</f>
        <v>2.0380651807293</v>
      </c>
      <c r="K6490" s="36" t="n">
        <f aca="false">cust_sh*tk_ox_gb300+(1-cust_sh)*((1-Sens!$K$6488)*tk_ox_gb300+Sens!$K$6488*tk_ox_vr200)</f>
        <v>2.0380651807293</v>
      </c>
      <c r="L6490" s="36" t="n">
        <f aca="false">cust_sh*tk_ox_gb300+(1-cust_sh)*((1-Sens!$L$6488)*tk_ox_gb300+Sens!$L$6488*tk_ox_vr200)</f>
        <v>2.0380651807293</v>
      </c>
      <c r="M6490" s="36" t="n">
        <f aca="false">cust_sh*tk_ox_gb300+(1-cust_sh)*((1-Sens!$M$6488)*tk_ox_gb300+Sens!$M$6488*tk_ox_vr200)</f>
        <v>2.0380651807293</v>
      </c>
    </row>
    <row r="6491" customFormat="false" ht="17.15" hidden="false" customHeight="false" outlineLevel="0" collapsed="false">
      <c r="A6491" s="5" t="s">
        <v>612</v>
      </c>
      <c r="B6491" s="0" t="s">
        <v>192</v>
      </c>
      <c r="F6491" s="36" t="n">
        <f aca="false">cust_sh*tk_cx_gb300*cf_cx+(1-cust_sh)*((1-Sens!$F$6488)*tk_cx_gb300+Sens!$F$6488*tk_cx_vr200)</f>
        <v>32.237224</v>
      </c>
      <c r="G6491" s="36" t="n">
        <f aca="false">cust_sh*tk_cx_gb300*cf_cx+(1-cust_sh)*((1-Sens!$G$6488)*tk_cx_gb300+Sens!$G$6488*tk_cx_vr200)</f>
        <v>32.237224</v>
      </c>
      <c r="H6491" s="36" t="n">
        <f aca="false">cust_sh*tk_cx_gb300*cf_cx+(1-cust_sh)*((1-Sens!$H$6488)*tk_cx_gb300+Sens!$H$6488*tk_cx_vr200)</f>
        <v>33.574506</v>
      </c>
      <c r="I6491" s="36" t="n">
        <f aca="false">cust_sh*tk_cx_gb300*cf_cx+(1-cust_sh)*((1-Sens!$I$6488)*tk_cx_gb300+Sens!$I$6488*tk_cx_vr200)</f>
        <v>34.911788</v>
      </c>
      <c r="J6491" s="36" t="n">
        <f aca="false">cust_sh*tk_cx_gb300*cf_cx+(1-cust_sh)*((1-Sens!$J$6488)*tk_cx_gb300+Sens!$J$6488*tk_cx_vr200)</f>
        <v>34.911788</v>
      </c>
      <c r="K6491" s="36" t="n">
        <f aca="false">cust_sh*tk_cx_gb300*cf_cx+(1-cust_sh)*((1-Sens!$K$6488)*tk_cx_gb300+Sens!$K$6488*tk_cx_vr200)</f>
        <v>34.911788</v>
      </c>
      <c r="L6491" s="36" t="n">
        <f aca="false">cust_sh*tk_cx_gb300*cf_cx+(1-cust_sh)*((1-Sens!$L$6488)*tk_cx_gb300+Sens!$L$6488*tk_cx_vr200)</f>
        <v>34.911788</v>
      </c>
      <c r="M6491" s="36" t="n">
        <f aca="false">cust_sh*tk_cx_gb300*cf_cx+(1-cust_sh)*((1-Sens!$M$6488)*tk_cx_gb300+Sens!$M$6488*tk_cx_vr200)</f>
        <v>34.911788</v>
      </c>
    </row>
    <row r="6492" customFormat="false" ht="17.15" hidden="false" customHeight="false" outlineLevel="0" collapsed="false">
      <c r="A6492" s="5" t="s">
        <v>613</v>
      </c>
      <c r="B6492" s="0" t="s">
        <v>129</v>
      </c>
      <c r="F6492" s="32" t="n">
        <f aca="false">Sens!$F$6482-mw_open</f>
        <v>1817.15</v>
      </c>
      <c r="G6492" s="32" t="n">
        <f aca="false">Sens!$F$6492</f>
        <v>1817.15</v>
      </c>
      <c r="H6492" s="32" t="n">
        <f aca="false">Sens!$H$6482-mw_open</f>
        <v>5451.45</v>
      </c>
      <c r="I6492" s="32" t="n">
        <f aca="false">Sens!$I$6482-mw_open</f>
        <v>9085.75</v>
      </c>
      <c r="J6492" s="32" t="n">
        <f aca="false">Sens!$J$6482-mw_open</f>
        <v>12720.05</v>
      </c>
      <c r="K6492" s="32" t="n">
        <f aca="false">Sens!$K$6482-mw_open</f>
        <v>15290.9171666667</v>
      </c>
      <c r="L6492" s="32" t="n">
        <f aca="false">Sens!$L$6482-mw_open</f>
        <v>16798.3515</v>
      </c>
      <c r="M6492" s="32" t="n">
        <f aca="false">Sens!$M$6482-mw_open</f>
        <v>17242.353</v>
      </c>
    </row>
    <row r="6493" customFormat="false" ht="17.15" hidden="false" customHeight="false" outlineLevel="0" collapsed="false">
      <c r="A6493" s="0" t="s">
        <v>614</v>
      </c>
      <c r="B6493" s="0" t="s">
        <v>615</v>
      </c>
      <c r="F6493" s="32" t="n">
        <f aca="false">Sens!$F$6485*Sens!$F$6489</f>
        <v>19782.2417524844</v>
      </c>
      <c r="G6493" s="32" t="n">
        <f aca="false">Sens!$F$6493</f>
        <v>19782.2417524844</v>
      </c>
      <c r="H6493" s="32" t="n">
        <f aca="false">Sens!$G$6493+Sens!$H$6485*Sens!$H$6489</f>
        <v>60563.3616992009</v>
      </c>
      <c r="I6493" s="32" t="n">
        <f aca="false">Sens!$H$6493+Sens!$I$6485*Sens!$I$6489</f>
        <v>102561.118087665</v>
      </c>
      <c r="J6493" s="32" t="n">
        <f aca="false">Sens!$I$6493+Sens!$J$6485*Sens!$J$6489</f>
        <v>144558.87447613</v>
      </c>
      <c r="K6493" s="32" t="n">
        <f aca="false">Sens!$J$6493+Sens!$K$6485*Sens!$K$6489</f>
        <v>174267.663781572</v>
      </c>
      <c r="L6493" s="32" t="n">
        <f aca="false">Sens!$K$6493+Sens!$L$6485*Sens!$L$6489</f>
        <v>191687.486003992</v>
      </c>
      <c r="M6493" s="32" t="n">
        <f aca="false">Sens!$L$6493+Sens!$M$6485*Sens!$M$6489</f>
        <v>196818.341143389</v>
      </c>
    </row>
    <row r="6494" customFormat="false" ht="17.15" hidden="false" customHeight="false" outlineLevel="0" collapsed="false">
      <c r="A6494" s="0" t="s">
        <v>616</v>
      </c>
      <c r="B6494" s="0" t="s">
        <v>615</v>
      </c>
      <c r="F6494" s="32" t="n">
        <f aca="false">Sens!$F$6485*Sens!$F$6490</f>
        <v>3602.74485070566</v>
      </c>
      <c r="G6494" s="32" t="n">
        <f aca="false">Sens!$F$6494</f>
        <v>3602.74485070566</v>
      </c>
      <c r="H6494" s="32" t="n">
        <f aca="false">Sens!$G$6494+Sens!$H$6485*Sens!$H$6490</f>
        <v>10908.9598445736</v>
      </c>
      <c r="I6494" s="32" t="n">
        <f aca="false">Sens!$H$6494+Sens!$I$6485*Sens!$I$6490</f>
        <v>18315.9001308981</v>
      </c>
      <c r="J6494" s="32" t="n">
        <f aca="false">Sens!$I$6494+Sens!$J$6485*Sens!$J$6490</f>
        <v>25722.8404172225</v>
      </c>
      <c r="K6494" s="32" t="n">
        <f aca="false">Sens!$J$6494+Sens!$K$6485*Sens!$K$6490</f>
        <v>30962.4352738861</v>
      </c>
      <c r="L6494" s="32" t="n">
        <f aca="false">Sens!$K$6494+Sens!$L$6485*Sens!$L$6490</f>
        <v>34034.6847008886</v>
      </c>
      <c r="M6494" s="32" t="n">
        <f aca="false">Sens!$L$6494+Sens!$M$6485*Sens!$M$6490</f>
        <v>34939.5886982302</v>
      </c>
    </row>
    <row r="6495" customFormat="false" ht="17.15" hidden="false" customHeight="false" outlineLevel="0" collapsed="false">
      <c r="A6495" s="5" t="s">
        <v>617</v>
      </c>
      <c r="B6495" s="0" t="s">
        <v>173</v>
      </c>
      <c r="F6495" s="36" t="n">
        <f aca="false">IF(Sens!$F$6492&gt;0,Sens!$F$6493/Sens!$F$6492,Sens!$F$6489)</f>
        <v>10.8864110021101</v>
      </c>
      <c r="G6495" s="36" t="n">
        <f aca="false">IF(Sens!$G$6492&gt;0,Sens!$G$6493/Sens!$G$6492,Sens!$G$6489)</f>
        <v>10.8864110021101</v>
      </c>
      <c r="H6495" s="36" t="n">
        <f aca="false">IF(Sens!$H$6492&gt;0,Sens!$H$6493/Sens!$H$6492,Sens!$H$6489)</f>
        <v>11.1095876691891</v>
      </c>
      <c r="I6495" s="36" t="n">
        <f aca="false">IF(Sens!$I$6492&gt;0,Sens!$I$6493/Sens!$I$6492,Sens!$I$6489)</f>
        <v>11.2881290028523</v>
      </c>
      <c r="J6495" s="36" t="n">
        <f aca="false">IF(Sens!$J$6492&gt;0,Sens!$J$6493/Sens!$J$6492,Sens!$J$6489)</f>
        <v>11.3646467172794</v>
      </c>
      <c r="K6495" s="36" t="n">
        <f aca="false">IF(Sens!$K$6492&gt;0,Sens!$K$6493/Sens!$K$6492,Sens!$K$6489)</f>
        <v>11.3968090914432</v>
      </c>
      <c r="L6495" s="36" t="n">
        <f aca="false">IF(Sens!$L$6492&gt;0,Sens!$L$6493/Sens!$L$6492,Sens!$L$6489)</f>
        <v>11.4110891181192</v>
      </c>
      <c r="M6495" s="36" t="n">
        <f aca="false">IF(Sens!$M$6492&gt;0,Sens!$M$6493/Sens!$M$6492,Sens!$M$6489)</f>
        <v>11.4148191458201</v>
      </c>
    </row>
    <row r="6496" customFormat="false" ht="17.15" hidden="false" customHeight="false" outlineLevel="0" collapsed="false">
      <c r="A6496" s="5" t="s">
        <v>618</v>
      </c>
      <c r="B6496" s="0" t="s">
        <v>173</v>
      </c>
      <c r="F6496" s="36" t="n">
        <f aca="false">IF(Sens!$F$6492&gt;0,Sens!$F$6494/Sens!$F$6492,Sens!$F$6490)</f>
        <v>1.98263481314457</v>
      </c>
      <c r="G6496" s="36" t="n">
        <f aca="false">IF(Sens!$G$6492&gt;0,Sens!$G$6494/Sens!$G$6492,Sens!$G$6490)</f>
        <v>1.98263481314457</v>
      </c>
      <c r="H6496" s="36" t="n">
        <f aca="false">IF(Sens!$H$6492&gt;0,Sens!$H$6494/Sens!$H$6492,Sens!$H$6490)</f>
        <v>2.00111160233948</v>
      </c>
      <c r="I6496" s="36" t="n">
        <f aca="false">IF(Sens!$I$6492&gt;0,Sens!$I$6494/Sens!$I$6492,Sens!$I$6490)</f>
        <v>2.01589303369541</v>
      </c>
      <c r="J6496" s="36" t="n">
        <f aca="false">IF(Sens!$J$6492&gt;0,Sens!$J$6494/Sens!$J$6492,Sens!$J$6490)</f>
        <v>2.02222793284795</v>
      </c>
      <c r="K6496" s="36" t="n">
        <f aca="false">IF(Sens!$K$6492&gt;0,Sens!$K$6494/Sens!$K$6492,Sens!$K$6490)</f>
        <v>2.02489065478573</v>
      </c>
      <c r="L6496" s="36" t="n">
        <f aca="false">IF(Sens!$L$6492&gt;0,Sens!$L$6494/Sens!$L$6492,Sens!$L$6490)</f>
        <v>2.0260728977417</v>
      </c>
      <c r="M6496" s="36" t="n">
        <f aca="false">IF(Sens!$M$6492&gt;0,Sens!$M$6494/Sens!$M$6492,Sens!$M$6490)</f>
        <v>2.02638170661685</v>
      </c>
    </row>
    <row r="6497" customFormat="false" ht="17.15" hidden="false" customHeight="false" outlineLevel="0" collapsed="false">
      <c r="A6497" s="15" t="s">
        <v>619</v>
      </c>
      <c r="B6497" s="14" t="s">
        <v>173</v>
      </c>
      <c r="C6497" s="14"/>
      <c r="D6497" s="14"/>
      <c r="E6497" s="14"/>
      <c r="F6497" s="37" t="n">
        <f aca="false">Sens!$F$6495*k_B</f>
        <v>10.7987645808025</v>
      </c>
      <c r="G6497" s="37" t="n">
        <f aca="false">Sens!$G$6495*k_B</f>
        <v>10.7987645808025</v>
      </c>
      <c r="H6497" s="37" t="n">
        <f aca="false">Sens!$H$6495*k_B</f>
        <v>11.0201444540452</v>
      </c>
      <c r="I6497" s="37" t="n">
        <f aca="false">Sens!$I$6495*k_B</f>
        <v>11.1972483526393</v>
      </c>
      <c r="J6497" s="37" t="n">
        <f aca="false">Sens!$J$6495*k_B</f>
        <v>11.2731500234653</v>
      </c>
      <c r="K6497" s="37" t="n">
        <f aca="false">Sens!$K$6495*k_B</f>
        <v>11.3050534585724</v>
      </c>
      <c r="L6497" s="37" t="n">
        <f aca="false">Sens!$L$6495*k_B</f>
        <v>11.3192185168503</v>
      </c>
      <c r="M6497" s="37" t="n">
        <f aca="false">Sens!$M$6495*k_B</f>
        <v>11.3229185141234</v>
      </c>
      <c r="N6497" s="14"/>
      <c r="O6497" s="14"/>
      <c r="P6497" s="5" t="s">
        <v>620</v>
      </c>
    </row>
    <row r="6498" customFormat="false" ht="17.15" hidden="false" customHeight="false" outlineLevel="0" collapsed="false">
      <c r="A6498" s="5" t="s">
        <v>621</v>
      </c>
      <c r="B6498" s="0" t="s">
        <v>129</v>
      </c>
      <c r="F6498" s="32" t="n">
        <f aca="false">Sens!$F$6492/2</f>
        <v>908.575</v>
      </c>
      <c r="H6498" s="32" t="n">
        <f aca="false">(Sens!$G$6492+Sens!$H$6492)/2</f>
        <v>3634.3</v>
      </c>
      <c r="I6498" s="32" t="n">
        <f aca="false">(Sens!$H$6492+Sens!$I$6492)/2</f>
        <v>7268.6</v>
      </c>
      <c r="J6498" s="32" t="n">
        <f aca="false">(Sens!$I$6492+Sens!$J$6492)/2</f>
        <v>10902.9</v>
      </c>
      <c r="K6498" s="32" t="n">
        <f aca="false">(Sens!$J$6492+Sens!$K$6492)/2</f>
        <v>14005.4835833333</v>
      </c>
      <c r="L6498" s="32" t="n">
        <f aca="false">(Sens!$K$6492+Sens!$L$6492)/2</f>
        <v>16044.6343333333</v>
      </c>
      <c r="M6498" s="32" t="n">
        <f aca="false">(Sens!$L$6492+Sens!$M$6492)/2</f>
        <v>17020.35225</v>
      </c>
    </row>
    <row r="6499" customFormat="false" ht="17.15" hidden="false" customHeight="false" outlineLevel="0" collapsed="false">
      <c r="A6499" s="1" t="s">
        <v>622</v>
      </c>
    </row>
    <row r="6500" customFormat="false" ht="17.15" hidden="false" customHeight="false" outlineLevel="0" collapsed="false">
      <c r="A6500" s="1" t="s">
        <v>623</v>
      </c>
      <c r="B6500" s="8" t="s">
        <v>86</v>
      </c>
      <c r="C6500" s="38" t="n">
        <f aca="false">Sens!$C$6483*rpm_open*Sens!$C$6484/1000</f>
        <v>2.32100535697364</v>
      </c>
      <c r="D6500" s="38" t="n">
        <f aca="false">Sens!$D$6483*rpm_open*Sens!$D$6484/1000</f>
        <v>8.70377008865116</v>
      </c>
      <c r="E6500" s="38" t="n">
        <f aca="false">Sens!$E$6483*rpm_open*Sens!$E$6484/1000</f>
        <v>8.51035297557002</v>
      </c>
      <c r="F6500" s="38" t="n">
        <f aca="false">(mw_open*rpm_open+Sens!$F$6498*Sens!$F$6497)*Sens!$F$6484/1000</f>
        <v>14.9634336447205</v>
      </c>
      <c r="G6500" s="38" t="n">
        <f aca="false">Sens!$E$6500+Sens!$F$6500</f>
        <v>23.4737866202905</v>
      </c>
      <c r="H6500" s="38" t="n">
        <f aca="false">(mw_open*rpm_open+Sens!$H$6498*Sens!$H$6497)/1000</f>
        <v>60.1658907497746</v>
      </c>
      <c r="I6500" s="38" t="n">
        <f aca="false">(mw_open*rpm_open+Sens!$I$6498*Sens!$I$6497)/1000</f>
        <v>101.503699136432</v>
      </c>
      <c r="J6500" s="38" t="n">
        <f aca="false">(mw_open*rpm_open+Sens!$J$6498*Sens!$J$6497)/1000</f>
        <v>143.025407151278</v>
      </c>
      <c r="K6500" s="38" t="n">
        <f aca="false">(mw_open*rpm_open+Sens!$K$6498*Sens!$K$6497)/1000</f>
        <v>178.44812038318</v>
      </c>
      <c r="L6500" s="38" t="n">
        <f aca="false">(mw_open*rpm_open+Sens!$L$6498*Sens!$L$6497)/1000</f>
        <v>201.728101802396</v>
      </c>
      <c r="M6500" s="38" t="n">
        <f aca="false">(mw_open*rpm_open+Sens!$M$6498*Sens!$M$6497)/1000</f>
        <v>212.835441368865</v>
      </c>
      <c r="N6500" s="38" t="n">
        <f aca="false">Sens!$N$6483*rpm_open*Sens!$N$6484/1000</f>
        <v>3.04631953102791</v>
      </c>
      <c r="O6500" s="38" t="n">
        <f aca="false">Sens!$O$6483*rpm_open*Sens!$O$6484/1000</f>
        <v>5.65745055762326</v>
      </c>
      <c r="P6500" s="5" t="s">
        <v>624</v>
      </c>
    </row>
    <row r="6501" customFormat="false" ht="17.15" hidden="false" customHeight="false" outlineLevel="0" collapsed="false">
      <c r="A6501" s="5" t="s">
        <v>625</v>
      </c>
      <c r="B6501" s="0" t="s">
        <v>173</v>
      </c>
      <c r="C6501" s="36" t="n">
        <f aca="false">Sens!$C$6500*1000/(Sens!$C$6483*Sens!$C$6484)</f>
        <v>9.67085565405685</v>
      </c>
      <c r="D6501" s="36" t="n">
        <f aca="false">Sens!$D$6500*1000/(Sens!$D$6483*Sens!$D$6484)</f>
        <v>9.67085565405685</v>
      </c>
      <c r="E6501" s="36" t="n">
        <f aca="false">Sens!$E$6500*1000/(Sens!$E$6483*Sens!$E$6484)</f>
        <v>9.67085565405685</v>
      </c>
      <c r="F6501" s="36" t="n">
        <f aca="false">Sens!$F$6500*1000/(Sens!$F$6483*Sens!$F$6484)</f>
        <v>10.0137581588017</v>
      </c>
      <c r="G6501" s="36" t="n">
        <f aca="false">Sens!$G$6500*1000/(Sens!$G$6483*Sens!$G$6484)</f>
        <v>9.88666562928478</v>
      </c>
      <c r="H6501" s="36" t="n">
        <f aca="false">Sens!$H$6500*1000/(Sens!$H$6483*Sens!$H$6484)</f>
        <v>10.5290045586992</v>
      </c>
      <c r="I6501" s="36" t="n">
        <f aca="false">Sens!$I$6500*1000/(Sens!$I$6483*Sens!$I$6484)</f>
        <v>10.8576363451674</v>
      </c>
      <c r="J6501" s="36" t="n">
        <f aca="false">Sens!$J$6500*1000/(Sens!$J$6483*Sens!$J$6484)</f>
        <v>11.0164452588619</v>
      </c>
      <c r="K6501" s="36" t="n">
        <f aca="false">Sens!$K$6500*1000/(Sens!$K$6483*Sens!$K$6484)</f>
        <v>11.0937367508227</v>
      </c>
      <c r="L6501" s="36" t="n">
        <f aca="false">Sens!$L$6500*1000/(Sens!$L$6483*Sens!$L$6484)</f>
        <v>11.1300508519168</v>
      </c>
      <c r="M6501" s="36" t="n">
        <f aca="false">Sens!$M$6500*1000/(Sens!$M$6483*Sens!$M$6484)</f>
        <v>11.1430113216297</v>
      </c>
      <c r="N6501" s="36" t="n">
        <f aca="false">Sens!$N$6500*1000/(Sens!$N$6483*Sens!$N$6484)</f>
        <v>9.67085565405685</v>
      </c>
      <c r="O6501" s="36" t="n">
        <f aca="false">Sens!$O$6500*1000/(Sens!$O$6483*Sens!$O$6484)</f>
        <v>9.67085565405685</v>
      </c>
    </row>
    <row r="6502" customFormat="false" ht="17.15" hidden="false" customHeight="false" outlineLevel="0" collapsed="false">
      <c r="A6502" s="0" t="s">
        <v>626</v>
      </c>
      <c r="B6502" s="0" t="s">
        <v>86</v>
      </c>
      <c r="C6502" s="38" t="n">
        <f aca="false">Sens!$C$6483/ext_sh*(ox_open+rent_mw)*Sens!$C$6484/1000</f>
        <v>0.642569210675032</v>
      </c>
      <c r="D6502" s="38" t="n">
        <f aca="false">Sens!$D$6483/ext_sh*(ox_open+rent_mw)*Sens!$D$6484/1000</f>
        <v>2.40963454003137</v>
      </c>
      <c r="E6502" s="38" t="n">
        <f aca="false">Sens!$E$6483/ext_sh*(ox_open+rent_mw)*Sens!$E$6484/1000</f>
        <v>2.35608710580845</v>
      </c>
      <c r="F6502" s="38" t="n">
        <f aca="false">((mw_open*ox_open+Sens!$F$6498*Sens!$F$6496)/ext_sh+Sens!$F$6483/ext_sh*rent_mw)*Sens!$F$6484/1000</f>
        <v>4.05421991106232</v>
      </c>
      <c r="G6502" s="38" t="n">
        <f aca="false">Sens!$E$6502+Sens!$F$6502</f>
        <v>6.41030701687077</v>
      </c>
      <c r="H6502" s="38" t="n">
        <f aca="false">((mw_open*ox_open+Sens!$H$6498*Sens!$H$6496)/ext_sh+Sens!$H$6483/ext_sh*rent_mw)*Sens!$H$6484/1000</f>
        <v>15.8108975546616</v>
      </c>
      <c r="I6502" s="38" t="n">
        <f aca="false">((mw_open*ox_open+Sens!$I$6498*Sens!$I$6496)/ext_sh+Sens!$I$6483/ext_sh*rent_mw)*Sens!$I$6484/1000</f>
        <v>26.1871623400817</v>
      </c>
      <c r="J6502" s="38" t="n">
        <f aca="false">((mw_open*ox_open+Sens!$J$6498*Sens!$J$6496)/ext_sh+Sens!$J$6483/ext_sh*rent_mw)*Sens!$J$6484/1000</f>
        <v>36.5826128954935</v>
      </c>
      <c r="K6502" s="38" t="n">
        <f aca="false">((mw_open*ox_open+Sens!$K$6498*Sens!$K$6496)/ext_sh+Sens!$K$6483/ext_sh*rent_mw)*Sens!$K$6484/1000</f>
        <v>45.4546361137628</v>
      </c>
      <c r="L6502" s="38" t="n">
        <f aca="false">((mw_open*ox_open+Sens!$L$6498*Sens!$L$6496)/ext_sh+Sens!$L$6483/ext_sh*rent_mw)*Sens!$L$6484/1000</f>
        <v>51.2855695554452</v>
      </c>
      <c r="M6502" s="38" t="n">
        <f aca="false">((mw_open*ox_open+Sens!$M$6498*Sens!$M$6496)/ext_sh+Sens!$M$6483/ext_sh*rent_mw)*Sens!$M$6484/1000</f>
        <v>54.0722927838398</v>
      </c>
      <c r="N6502" s="38" t="n">
        <f aca="false">Sens!$N$6483/ext_sh*(ox_open+rent_mw)*Sens!$N$6484/1000</f>
        <v>0.84337208901098</v>
      </c>
      <c r="O6502" s="38" t="n">
        <f aca="false">Sens!$O$6483/ext_sh*(ox_open+rent_mw)*Sens!$O$6484/1000</f>
        <v>1.56626245102039</v>
      </c>
    </row>
    <row r="6503" customFormat="false" ht="17.15" hidden="false" customHeight="false" outlineLevel="0" collapsed="false">
      <c r="A6503" s="0" t="s">
        <v>627</v>
      </c>
      <c r="B6503" s="0" t="s">
        <v>86</v>
      </c>
      <c r="C6503" s="38" t="n">
        <f aca="false">Q!$D$7</f>
        <v>107.556</v>
      </c>
      <c r="D6503" s="38" t="n">
        <f aca="false">Q!$E$7</f>
        <v>128.725</v>
      </c>
      <c r="E6503" s="38" t="n">
        <f aca="false">Q!$P$7</f>
        <v>79.819</v>
      </c>
      <c r="N6503" s="38" t="n">
        <f aca="false">Q!$N$7</f>
        <v>60.14</v>
      </c>
      <c r="O6503" s="38" t="n">
        <f aca="false">Q!$O$7</f>
        <v>68.585</v>
      </c>
    </row>
    <row r="6504" customFormat="false" ht="17.15" hidden="false" customHeight="false" outlineLevel="0" collapsed="false">
      <c r="A6504" s="1" t="s">
        <v>628</v>
      </c>
      <c r="B6504" s="8" t="s">
        <v>86</v>
      </c>
      <c r="C6504" s="38" t="n">
        <f aca="false">Sens!$C$6503-Sens!$C$6500</f>
        <v>105.234994643026</v>
      </c>
      <c r="D6504" s="38" t="n">
        <f aca="false">Sens!$D$6503-Sens!$D$6500</f>
        <v>120.021229911349</v>
      </c>
      <c r="E6504" s="38" t="n">
        <f aca="false">Sens!$E$6503-Sens!$E$6500</f>
        <v>71.30864702443</v>
      </c>
      <c r="F6504" s="38" t="n">
        <f aca="false">Sens!$O$6504*(1+Sens!$F$6505)</f>
        <v>71.7692997942464</v>
      </c>
      <c r="G6504" s="38" t="n">
        <f aca="false">Sens!$E$6504+Sens!$F$6504</f>
        <v>143.077946818676</v>
      </c>
      <c r="H6504" s="38" t="n">
        <f aca="false">Sens!$G$6504*(1+Sens!$H$6505)</f>
        <v>161.017077079203</v>
      </c>
      <c r="I6504" s="38" t="n">
        <f aca="false">Sens!$H$6504*(1+Sens!$I$6505)</f>
        <v>178.769759521457</v>
      </c>
      <c r="J6504" s="38" t="n">
        <f aca="false">Sens!$I$6504*(1+Sens!$J$6505)</f>
        <v>195.775538045907</v>
      </c>
      <c r="K6504" s="38" t="n">
        <f aca="false">Sens!$J$6504*(1+Sens!$K$6505)</f>
        <v>211.43758108958</v>
      </c>
      <c r="L6504" s="38" t="n">
        <f aca="false">Sens!$K$6504*(1+Sens!$L$6505)</f>
        <v>228.352587576746</v>
      </c>
      <c r="M6504" s="38" t="n">
        <f aca="false">Sens!$L$6504*(1+Sens!$M$6505)</f>
        <v>246.620794582886</v>
      </c>
      <c r="N6504" s="38" t="n">
        <f aca="false">Sens!$N$6503-Sens!$N$6500</f>
        <v>57.0936804689721</v>
      </c>
      <c r="O6504" s="38" t="n">
        <f aca="false">Sens!$O$6503-Sens!$O$6500</f>
        <v>62.9275494423768</v>
      </c>
      <c r="P6504" s="5" t="s">
        <v>629</v>
      </c>
    </row>
    <row r="6505" customFormat="false" ht="17.15" hidden="false" customHeight="false" outlineLevel="0" collapsed="false">
      <c r="A6505" s="0" t="s">
        <v>630</v>
      </c>
      <c r="B6505" s="0" t="s">
        <v>52</v>
      </c>
      <c r="D6505" s="13" t="n">
        <f aca="false">Sens!$D$6504/Sens!$C$6504-1</f>
        <v>0.140506827776062</v>
      </c>
      <c r="E6505" s="13" t="n">
        <f aca="false">Sens!$E$6504/Sens!$N$6504-1</f>
        <v>0.248976181579029</v>
      </c>
      <c r="F6505" s="13" t="n">
        <f aca="false">Sens!$D$6505</f>
        <v>0.140506827776062</v>
      </c>
      <c r="G6505" s="13" t="n">
        <f aca="false">Sens!$G$6504/Sens!$D$6504-1</f>
        <v>0.19210532106993</v>
      </c>
      <c r="H6505" s="13" t="n">
        <f aca="false">Sens!$F$6505+(g_awso_lt-Sens!$F$6505)*1/4</f>
        <v>0.125380120832046</v>
      </c>
      <c r="I6505" s="13" t="n">
        <f aca="false">Sens!$F$6505+(g_awso_lt-Sens!$F$6505)*2/4</f>
        <v>0.110253413888031</v>
      </c>
      <c r="J6505" s="13" t="n">
        <f aca="false">Sens!$F$6505+(g_awso_lt-Sens!$F$6505)*3/4</f>
        <v>0.0951267069440154</v>
      </c>
      <c r="K6505" s="13" t="n">
        <f aca="false">Sens!$F$6505+(g_awso_lt-Sens!$F$6505)*4/4</f>
        <v>0.08</v>
      </c>
      <c r="L6505" s="13" t="n">
        <f aca="false">g_awso_lt</f>
        <v>0.08</v>
      </c>
      <c r="M6505" s="13" t="n">
        <f aca="false">g_awso_lt</f>
        <v>0.08</v>
      </c>
      <c r="P6505" s="5" t="s">
        <v>631</v>
      </c>
    </row>
    <row r="6506" customFormat="false" ht="17.15" hidden="false" customHeight="false" outlineLevel="0" collapsed="false">
      <c r="A6506" s="1" t="s">
        <v>632</v>
      </c>
    </row>
    <row r="6507" customFormat="false" ht="17.15" hidden="false" customHeight="false" outlineLevel="0" collapsed="false">
      <c r="A6507" s="0" t="s">
        <v>633</v>
      </c>
      <c r="B6507" s="0" t="s">
        <v>86</v>
      </c>
      <c r="F6507" s="38" t="n">
        <f aca="false">cx_rt*Sens!$F$6472+cx_awso*Sens!$F$6504</f>
        <v>34.9734495387866</v>
      </c>
    </row>
    <row r="6508" customFormat="false" ht="17.15" hidden="false" customHeight="false" outlineLevel="0" collapsed="false">
      <c r="A6508" s="0" t="s">
        <v>634</v>
      </c>
      <c r="B6508" s="0" t="s">
        <v>52</v>
      </c>
      <c r="C6508" s="13" t="n">
        <f aca="false">tk_cx_h100/(tk_cx_h100+tk_fac*(1-colo_sh))</f>
        <v>0.730756458006641</v>
      </c>
      <c r="D6508" s="13" t="n">
        <f aca="false">tk_cx_h100/(tk_cx_h100+tk_fac*(1-colo_sh))</f>
        <v>0.730756458006641</v>
      </c>
      <c r="E6508" s="13" t="n">
        <f aca="false">Sens!$F$6508</f>
        <v>0.760792334328868</v>
      </c>
      <c r="F6508" s="13" t="n">
        <f aca="false">Sens!$F$6491/(Sens!$F$6491+tk_fac*(1-colo_sh))</f>
        <v>0.760792334328868</v>
      </c>
      <c r="G6508" s="13" t="n">
        <f aca="false">Sens!$G$6491/(Sens!$G$6491+tk_fac*(1-colo_sh))</f>
        <v>0.760792334328868</v>
      </c>
      <c r="H6508" s="13" t="n">
        <f aca="false">Sens!$H$6491/(Sens!$H$6491+tk_fac*(1-colo_sh))</f>
        <v>0.768110668862996</v>
      </c>
      <c r="I6508" s="13" t="n">
        <f aca="false">Sens!$I$6491/(Sens!$I$6491+tk_fac*(1-colo_sh))</f>
        <v>0.77499450139483</v>
      </c>
      <c r="J6508" s="13" t="n">
        <f aca="false">Sens!$J$6491/(Sens!$J$6491+tk_fac*(1-colo_sh))</f>
        <v>0.77499450139483</v>
      </c>
      <c r="K6508" s="13" t="n">
        <f aca="false">Sens!$K$6491/(Sens!$K$6491+tk_fac*(1-colo_sh))</f>
        <v>0.77499450139483</v>
      </c>
      <c r="L6508" s="13" t="n">
        <f aca="false">Sens!$L$6491/(Sens!$L$6491+tk_fac*(1-colo_sh))</f>
        <v>0.77499450139483</v>
      </c>
      <c r="M6508" s="13" t="n">
        <f aca="false">Sens!$M$6491/(Sens!$M$6491+tk_fac*(1-colo_sh))</f>
        <v>0.77499450139483</v>
      </c>
    </row>
    <row r="6509" customFormat="false" ht="17.15" hidden="false" customHeight="false" outlineLevel="0" collapsed="false">
      <c r="A6509" s="1" t="s">
        <v>635</v>
      </c>
      <c r="B6509" s="8" t="s">
        <v>86</v>
      </c>
      <c r="C6509" s="38" t="n">
        <f aca="false">Q!$D$46-cx_rt*Q!$D$16-cx_awso*Sens!$C$6504</f>
        <v>25.2781053077374</v>
      </c>
      <c r="D6509" s="38" t="n">
        <f aca="false">Q!$E$46-cx_rt*Q!$E$16-cx_awso*Sens!$D$6504</f>
        <v>69.5686316310026</v>
      </c>
      <c r="E6509" s="38" t="n">
        <f aca="false">Q!$P$46-cx_rt*Q!$P$16-cx_awso*Sens!$E$6504</f>
        <v>64.1899206485108</v>
      </c>
      <c r="F6509" s="38" t="n">
        <f aca="false">capex_g26-Q!$P$46-Sens!$F$6507</f>
        <v>88.7165504612134</v>
      </c>
      <c r="G6509" s="38" t="n">
        <f aca="false">Sens!$E$6509+Sens!$F$6509</f>
        <v>152.906471109724</v>
      </c>
      <c r="H6509" s="38" t="n">
        <f aca="false">Sens!$H$6486*(Sens!$H$6491+tk_fac*(1-colo_sh))/1000+Sens!$H$6510</f>
        <v>198.57136494475</v>
      </c>
      <c r="I6509" s="38" t="n">
        <f aca="false">Sens!$I$6486*(Sens!$I$6491+tk_fac*(1-colo_sh))/1000+Sens!$I$6510</f>
        <v>204.6464699105</v>
      </c>
      <c r="J6509" s="38" t="n">
        <f aca="false">Sens!$J$6486*(Sens!$J$6491+tk_fac*(1-colo_sh))/1000+Sens!$J$6510</f>
        <v>209.8832381105</v>
      </c>
      <c r="K6509" s="38" t="n">
        <f aca="false">Sens!$K$6486*(Sens!$K$6491+tk_fac*(1-colo_sh))/1000+Sens!$K$6510</f>
        <v>155.238385275201</v>
      </c>
      <c r="L6509" s="38" t="n">
        <f aca="false">Sens!$L$6486*(Sens!$L$6491+tk_fac*(1-colo_sh))/1000+Sens!$L$6510</f>
        <v>132.014141639902</v>
      </c>
      <c r="M6509" s="38" t="n">
        <f aca="false">Sens!$M$6486*(Sens!$M$6491+tk_fac*(1-colo_sh))/1000+Sens!$M$6510</f>
        <v>132.230981659852</v>
      </c>
      <c r="P6509" s="5" t="s">
        <v>636</v>
      </c>
      <c r="R6509" s="38" t="n">
        <f aca="false">Q!$C$46-cx_rt*Q!$C$16-cx_awso*(Q!$C$7-mw_ye23/2*rpm_open/1000)</f>
        <v>1.50429979529945</v>
      </c>
      <c r="S6509" s="38" t="n">
        <f aca="false">Sens!$C$6509</f>
        <v>25.2781053077374</v>
      </c>
      <c r="T6509" s="38" t="n">
        <f aca="false">Sens!$D$6509</f>
        <v>69.5686316310026</v>
      </c>
      <c r="U6509" s="38" t="n">
        <f aca="false">Sens!$G$6509</f>
        <v>152.906471109724</v>
      </c>
      <c r="V6509" s="38" t="n">
        <f aca="false">Sens!$H$6509</f>
        <v>198.57136494475</v>
      </c>
      <c r="W6509" s="38" t="n">
        <f aca="false">Sens!$I$6509</f>
        <v>204.6464699105</v>
      </c>
      <c r="X6509" s="38" t="n">
        <f aca="false">Sens!$J$6509</f>
        <v>209.8832381105</v>
      </c>
      <c r="Y6509" s="38" t="n">
        <f aca="false">Sens!$K$6509</f>
        <v>155.238385275201</v>
      </c>
      <c r="Z6509" s="38" t="n">
        <f aca="false">Sens!$L$6509</f>
        <v>132.014141639902</v>
      </c>
      <c r="AA6509" s="38" t="n">
        <f aca="false">Sens!$M$6509</f>
        <v>132.230981659852</v>
      </c>
    </row>
    <row r="6510" customFormat="false" ht="17.15" hidden="false" customHeight="false" outlineLevel="0" collapsed="false">
      <c r="A6510" s="0" t="s">
        <v>637</v>
      </c>
      <c r="B6510" s="0" t="s">
        <v>86</v>
      </c>
      <c r="H6510" s="38" t="n">
        <f aca="false">SUMPRODUCT(--(Sens!$R$6479:$AA$6479=2027-tk_life),Sens!$R$6486:$AA$6486)*Sens!$H$6491/1000</f>
        <v>0</v>
      </c>
      <c r="I6510" s="38" t="n">
        <f aca="false">SUMPRODUCT(--(Sens!$R$6479:$AA$6479=2028-tk_life),Sens!$R$6486:$AA$6486)*Sens!$I$6491/1000</f>
        <v>0</v>
      </c>
      <c r="J6510" s="38" t="n">
        <f aca="false">SUMPRODUCT(--(Sens!$R$6479:$AA$6479=2029-tk_life),Sens!$R$6486:$AA$6486)*Sens!$J$6491/1000</f>
        <v>5.2367682</v>
      </c>
      <c r="K6510" s="38" t="n">
        <f aca="false">SUMPRODUCT(--(Sens!$R$6479:$AA$6479=2030-tk_life),Sens!$R$6486:$AA$6486)*Sens!$K$6491/1000</f>
        <v>10.4735364</v>
      </c>
      <c r="L6510" s="38" t="n">
        <f aca="false">SUMPRODUCT(--(Sens!$R$6479:$AA$6479=2031-tk_life),Sens!$R$6486:$AA$6486)*Sens!$L$6491/1000</f>
        <v>47.1309138</v>
      </c>
      <c r="M6510" s="38" t="n">
        <f aca="false">SUMPRODUCT(--(Sens!$R$6479:$AA$6479=2032-tk_life),Sens!$R$6486:$AA$6486)*Sens!$M$6491/1000</f>
        <v>107.22937485525</v>
      </c>
    </row>
    <row r="6511" customFormat="false" ht="17.15" hidden="false" customHeight="false" outlineLevel="0" collapsed="false">
      <c r="A6511" s="0" t="s">
        <v>638</v>
      </c>
      <c r="B6511" s="0" t="s">
        <v>86</v>
      </c>
      <c r="C6511" s="38" t="n">
        <f aca="false">MIN(Sens!$C$6509,Sens!$C$6486*(tk_cx_h100+tk_fac*(1-colo_sh))/1000)</f>
        <v>11.2938642</v>
      </c>
      <c r="D6511" s="38" t="n">
        <f aca="false">MIN(Sens!$D$6509,Sens!$D$6486*(tk_cx_h100+tk_fac*(1-colo_sh))/1000)</f>
        <v>50.8223889</v>
      </c>
      <c r="E6511" s="38" t="n">
        <f aca="false">MIN(Sens!$E$6509,Sens!$E$6486*(Sens!$F$6491+tk_fac*(1-colo_sh))/1000)</f>
        <v>33.8985792</v>
      </c>
      <c r="F6511" s="38" t="n">
        <f aca="false">Sens!$F$6509</f>
        <v>88.7165504612134</v>
      </c>
      <c r="G6511" s="38" t="n">
        <f aca="false">Sens!$E$6511+Sens!$F$6511</f>
        <v>122.615129661213</v>
      </c>
      <c r="H6511" s="38" t="n">
        <f aca="false">Sens!$H$6509</f>
        <v>198.57136494475</v>
      </c>
      <c r="I6511" s="38" t="n">
        <f aca="false">Sens!$I$6509</f>
        <v>204.6464699105</v>
      </c>
      <c r="J6511" s="38" t="n">
        <f aca="false">Sens!$J$6509</f>
        <v>209.8832381105</v>
      </c>
      <c r="K6511" s="38" t="n">
        <f aca="false">Sens!$K$6509</f>
        <v>155.238385275201</v>
      </c>
      <c r="L6511" s="38" t="n">
        <f aca="false">Sens!$L$6509</f>
        <v>132.014141639902</v>
      </c>
      <c r="M6511" s="38" t="n">
        <f aca="false">Sens!$M$6509</f>
        <v>132.230981659852</v>
      </c>
      <c r="P6511" s="5" t="s">
        <v>639</v>
      </c>
      <c r="R6511" s="38" t="n">
        <f aca="false">MIN(Sens!$R$6509,Sens!$R$6486*(tk_cx_h100+tk_fac*(1-colo_sh))/1000)</f>
        <v>1.50429979529945</v>
      </c>
      <c r="S6511" s="38" t="n">
        <f aca="false">Sens!$C$6511</f>
        <v>11.2938642</v>
      </c>
      <c r="T6511" s="38" t="n">
        <f aca="false">Sens!$D$6511</f>
        <v>50.8223889</v>
      </c>
      <c r="U6511" s="38" t="n">
        <f aca="false">Sens!$G$6511</f>
        <v>122.615129661213</v>
      </c>
      <c r="V6511" s="38" t="n">
        <f aca="false">Sens!$H$6511</f>
        <v>198.57136494475</v>
      </c>
      <c r="W6511" s="38" t="n">
        <f aca="false">Sens!$I$6511</f>
        <v>204.6464699105</v>
      </c>
      <c r="X6511" s="38" t="n">
        <f aca="false">Sens!$J$6511</f>
        <v>209.8832381105</v>
      </c>
      <c r="Y6511" s="38" t="n">
        <f aca="false">Sens!$K$6511</f>
        <v>155.238385275201</v>
      </c>
      <c r="Z6511" s="38" t="n">
        <f aca="false">Sens!$L$6511</f>
        <v>132.014141639902</v>
      </c>
      <c r="AA6511" s="38" t="n">
        <f aca="false">Sens!$M$6511</f>
        <v>132.230981659852</v>
      </c>
    </row>
    <row r="6512" customFormat="false" ht="17.15" hidden="false" customHeight="false" outlineLevel="0" collapsed="false">
      <c r="A6512" s="5" t="s">
        <v>640</v>
      </c>
      <c r="B6512" s="0" t="s">
        <v>86</v>
      </c>
      <c r="C6512" s="38" t="n">
        <f aca="false">Sens!$C$6509-Sens!$C$6511</f>
        <v>13.9842411077374</v>
      </c>
      <c r="D6512" s="38" t="n">
        <f aca="false">Sens!$D$6509-Sens!$D$6511</f>
        <v>18.7462427310026</v>
      </c>
      <c r="E6512" s="38" t="n">
        <f aca="false">Sens!$E$6509-Sens!$E$6511</f>
        <v>30.2913414485108</v>
      </c>
      <c r="F6512" s="38" t="n">
        <f aca="false">Sens!$F$6509-Sens!$F$6511</f>
        <v>0</v>
      </c>
      <c r="G6512" s="38" t="n">
        <f aca="false">Sens!$G$6509-Sens!$G$6511</f>
        <v>30.2913414485108</v>
      </c>
      <c r="H6512" s="38" t="n">
        <f aca="false">Sens!$H$6509-Sens!$H$6511</f>
        <v>0</v>
      </c>
      <c r="I6512" s="38" t="n">
        <f aca="false">Sens!$I$6509-Sens!$I$6511</f>
        <v>0</v>
      </c>
      <c r="J6512" s="38" t="n">
        <f aca="false">Sens!$J$6509-Sens!$J$6511</f>
        <v>0</v>
      </c>
      <c r="K6512" s="38" t="n">
        <f aca="false">Sens!$K$6509-Sens!$K$6511</f>
        <v>0</v>
      </c>
      <c r="L6512" s="38" t="n">
        <f aca="false">Sens!$L$6509-Sens!$L$6511</f>
        <v>0</v>
      </c>
      <c r="M6512" s="38" t="n">
        <f aca="false">Sens!$M$6509-Sens!$M$6511</f>
        <v>0</v>
      </c>
      <c r="P6512" s="5" t="s">
        <v>641</v>
      </c>
      <c r="R6512" s="38" t="n">
        <f aca="false">Sens!$R$6509-Sens!$R$6511</f>
        <v>0</v>
      </c>
      <c r="S6512" s="38" t="n">
        <f aca="false">Sens!$S$6509-Sens!$S$6511</f>
        <v>13.9842411077374</v>
      </c>
      <c r="T6512" s="38" t="n">
        <f aca="false">Sens!$T$6509-Sens!$T$6511</f>
        <v>18.7462427310026</v>
      </c>
      <c r="U6512" s="38" t="n">
        <f aca="false">Sens!$U$6509-Sens!$U$6511</f>
        <v>30.2913414485108</v>
      </c>
      <c r="V6512" s="38" t="n">
        <f aca="false">Sens!$V$6509-Sens!$V$6511</f>
        <v>0</v>
      </c>
      <c r="W6512" s="38" t="n">
        <f aca="false">Sens!$W$6509-Sens!$W$6511</f>
        <v>0</v>
      </c>
      <c r="X6512" s="38" t="n">
        <f aca="false">Sens!$X$6509-Sens!$X$6511</f>
        <v>0</v>
      </c>
      <c r="Y6512" s="38" t="n">
        <f aca="false">Sens!$Y$6509-Sens!$Y$6511</f>
        <v>0</v>
      </c>
      <c r="Z6512" s="38" t="n">
        <f aca="false">Sens!$Z$6509-Sens!$Z$6511</f>
        <v>0</v>
      </c>
      <c r="AA6512" s="38" t="n">
        <f aca="false">Sens!$AA$6509-Sens!$AA$6511</f>
        <v>0</v>
      </c>
    </row>
    <row r="6513" customFormat="false" ht="17.15" hidden="false" customHeight="false" outlineLevel="0" collapsed="false">
      <c r="A6513" s="5" t="s">
        <v>642</v>
      </c>
      <c r="B6513" s="0" t="s">
        <v>86</v>
      </c>
      <c r="R6513" s="38" t="n">
        <f aca="false">Sens!$R$6512*Sens!$C$6508</f>
        <v>0</v>
      </c>
      <c r="S6513" s="38" t="n">
        <f aca="false">Sens!$S$6512*Sens!$C$6508</f>
        <v>10.219074499801</v>
      </c>
      <c r="T6513" s="38" t="n">
        <f aca="false">Sens!$T$6512*Sens!$C$6508</f>
        <v>13.6989379390402</v>
      </c>
      <c r="U6513" s="38" t="n">
        <f aca="false">Sens!$U$6512*Sens!$E$6508</f>
        <v>23.0454203705653</v>
      </c>
      <c r="V6513" s="38" t="n">
        <f aca="false">Sens!$V$6512*Sens!$E$6508</f>
        <v>0</v>
      </c>
      <c r="W6513" s="38" t="n">
        <f aca="false">Sens!$W$6512*Sens!$E$6508</f>
        <v>0</v>
      </c>
      <c r="X6513" s="38" t="n">
        <f aca="false">Sens!$X$6512*Sens!$E$6508</f>
        <v>0</v>
      </c>
      <c r="Y6513" s="38" t="n">
        <f aca="false">Sens!$Y$6512*Sens!$E$6508</f>
        <v>0</v>
      </c>
      <c r="Z6513" s="38" t="n">
        <f aca="false">Sens!$Z$6512*Sens!$E$6508</f>
        <v>0</v>
      </c>
      <c r="AA6513" s="38" t="n">
        <f aca="false">Sens!$AA$6512*Sens!$E$6508</f>
        <v>0</v>
      </c>
    </row>
    <row r="6514" customFormat="false" ht="17.15" hidden="false" customHeight="false" outlineLevel="0" collapsed="false">
      <c r="A6514" s="5" t="s">
        <v>643</v>
      </c>
      <c r="B6514" s="0" t="s">
        <v>86</v>
      </c>
      <c r="R6514" s="38" t="n">
        <f aca="false">SUMPRODUCT(--(Sens!$R$6479:$AA$6479=2023-cip_lag),Sens!$R$6513:$AA$6513)</f>
        <v>0</v>
      </c>
      <c r="S6514" s="38" t="n">
        <f aca="false">SUMPRODUCT(--(Sens!$R$6479:$AA$6479=2024-cip_lag),Sens!$R$6513:$AA$6513)</f>
        <v>0</v>
      </c>
      <c r="T6514" s="38" t="n">
        <f aca="false">SUMPRODUCT(--(Sens!$R$6479:$AA$6479=2025-cip_lag),Sens!$R$6513:$AA$6513)</f>
        <v>10.219074499801</v>
      </c>
      <c r="U6514" s="38" t="n">
        <f aca="false">SUMPRODUCT(--(Sens!$R$6479:$AA$6479=2026-cip_lag),Sens!$R$6513:$AA$6513)</f>
        <v>13.6989379390402</v>
      </c>
      <c r="V6514" s="38" t="n">
        <f aca="false">SUMPRODUCT(--(Sens!$R$6479:$AA$6479=2027-cip_lag),Sens!$R$6513:$AA$6513)</f>
        <v>23.0454203705653</v>
      </c>
      <c r="W6514" s="38" t="n">
        <f aca="false">SUMPRODUCT(--(Sens!$R$6479:$AA$6479=2028-cip_lag),Sens!$R$6513:$AA$6513)</f>
        <v>0</v>
      </c>
      <c r="X6514" s="38" t="n">
        <f aca="false">SUMPRODUCT(--(Sens!$R$6479:$AA$6479=2029-cip_lag),Sens!$R$6513:$AA$6513)</f>
        <v>0</v>
      </c>
      <c r="Y6514" s="38" t="n">
        <f aca="false">SUMPRODUCT(--(Sens!$R$6479:$AA$6479=2030-cip_lag),Sens!$R$6513:$AA$6513)</f>
        <v>0</v>
      </c>
      <c r="Z6514" s="38" t="n">
        <f aca="false">SUMPRODUCT(--(Sens!$R$6479:$AA$6479=2031-cip_lag),Sens!$R$6513:$AA$6513)</f>
        <v>0</v>
      </c>
      <c r="AA6514" s="38" t="n">
        <f aca="false">SUMPRODUCT(--(Sens!$R$6479:$AA$6479=2032-cip_lag),Sens!$R$6513:$AA$6513)</f>
        <v>0</v>
      </c>
    </row>
    <row r="6515" customFormat="false" ht="15" hidden="false" customHeight="false" outlineLevel="0" collapsed="false">
      <c r="A6515" s="5" t="s">
        <v>644</v>
      </c>
      <c r="B6515" s="0" t="s">
        <v>86</v>
      </c>
      <c r="R6515" s="38" t="n">
        <f aca="false">SUMPRODUCT(--(Sens!$R$6479:$AA$6479=2023-cip_lag),Sens!$R$6512:$AA$6512)-Sens!$R$6514</f>
        <v>0</v>
      </c>
      <c r="S6515" s="38" t="n">
        <f aca="false">SUMPRODUCT(--(Sens!$R$6479:$AA$6479=2024-cip_lag),Sens!$R$6512:$AA$6512)-Sens!$S$6514</f>
        <v>0</v>
      </c>
      <c r="T6515" s="38" t="n">
        <f aca="false">SUMPRODUCT(--(Sens!$R$6479:$AA$6479=2025-cip_lag),Sens!$R$6512:$AA$6512)-Sens!$T$6514</f>
        <v>3.76516660793636</v>
      </c>
      <c r="U6515" s="38" t="n">
        <f aca="false">SUMPRODUCT(--(Sens!$R$6479:$AA$6479=2026-cip_lag),Sens!$R$6512:$AA$6512)-Sens!$U$6514</f>
        <v>5.04730479196242</v>
      </c>
      <c r="V6515" s="38" t="n">
        <f aca="false">SUMPRODUCT(--(Sens!$R$6479:$AA$6479=2027-cip_lag),Sens!$R$6512:$AA$6512)-Sens!$V$6514</f>
        <v>7.24592107794548</v>
      </c>
      <c r="W6515" s="38" t="n">
        <f aca="false">SUMPRODUCT(--(Sens!$R$6479:$AA$6479=2028-cip_lag),Sens!$R$6512:$AA$6512)-Sens!$W$6514</f>
        <v>0</v>
      </c>
      <c r="X6515" s="38" t="n">
        <f aca="false">SUMPRODUCT(--(Sens!$R$6479:$AA$6479=2029-cip_lag),Sens!$R$6512:$AA$6512)-Sens!$X$6514</f>
        <v>0</v>
      </c>
      <c r="Y6515" s="38" t="n">
        <f aca="false">SUMPRODUCT(--(Sens!$R$6479:$AA$6479=2030-cip_lag),Sens!$R$6512:$AA$6512)-Sens!$Y$6514</f>
        <v>0</v>
      </c>
      <c r="Z6515" s="38" t="n">
        <f aca="false">SUMPRODUCT(--(Sens!$R$6479:$AA$6479=2031-cip_lag),Sens!$R$6512:$AA$6512)-Sens!$Z$6514</f>
        <v>0</v>
      </c>
      <c r="AA6515" s="38" t="n">
        <f aca="false">SUMPRODUCT(--(Sens!$R$6479:$AA$6479=2032-cip_lag),Sens!$R$6512:$AA$6512)-Sens!$AA$6514</f>
        <v>0</v>
      </c>
    </row>
    <row r="6516" customFormat="false" ht="17.15" hidden="false" customHeight="false" outlineLevel="0" collapsed="false">
      <c r="A6516" s="5" t="s">
        <v>645</v>
      </c>
      <c r="B6516" s="0" t="s">
        <v>86</v>
      </c>
      <c r="C6516" s="38" t="n">
        <f aca="false">Sens!$C$6511*Sens!$C$6508</f>
        <v>8.2530642</v>
      </c>
      <c r="D6516" s="38" t="n">
        <f aca="false">Sens!$D$6511*Sens!$D$6508</f>
        <v>37.1387889</v>
      </c>
      <c r="E6516" s="38" t="n">
        <f aca="false">Sens!$E$6511*Sens!$E$6508</f>
        <v>25.7897792</v>
      </c>
      <c r="F6516" s="38" t="n">
        <f aca="false">Sens!$F$6511*Sens!$F$6508</f>
        <v>67.4948715189913</v>
      </c>
      <c r="G6516" s="38" t="n">
        <f aca="false">Sens!$E$6516+Sens!$F$6516</f>
        <v>93.2846507189913</v>
      </c>
      <c r="H6516" s="38" t="n">
        <f aca="false">(Sens!$H$6511-Sens!$H$6510)*Sens!$H$6508+Sens!$H$6510</f>
        <v>152.52478394475</v>
      </c>
      <c r="I6516" s="38" t="n">
        <f aca="false">(Sens!$I$6511-Sens!$I$6510)*Sens!$I$6508+Sens!$I$6510</f>
        <v>158.5998889105</v>
      </c>
      <c r="J6516" s="38" t="n">
        <f aca="false">(Sens!$J$6511-Sens!$J$6510)*Sens!$J$6508+Sens!$J$6510</f>
        <v>163.8366571105</v>
      </c>
      <c r="K6516" s="38" t="n">
        <f aca="false">(Sens!$K$6511-Sens!$K$6510)*Sens!$K$6508+Sens!$K$6510</f>
        <v>122.665498273534</v>
      </c>
      <c r="L6516" s="38" t="n">
        <f aca="false">(Sens!$L$6511-Sens!$L$6510)*Sens!$L$6508+Sens!$L$6510</f>
        <v>112.914948636568</v>
      </c>
      <c r="M6516" s="38" t="n">
        <f aca="false">(Sens!$M$6511-Sens!$M$6510)*Sens!$M$6508+Sens!$M$6510</f>
        <v>126.605482654852</v>
      </c>
      <c r="R6516" s="38" t="n">
        <f aca="false">Sens!$R$6511*Sens!$C$6508</f>
        <v>1.09927679019314</v>
      </c>
      <c r="S6516" s="38" t="n">
        <f aca="false">Sens!$C$6516</f>
        <v>8.2530642</v>
      </c>
      <c r="T6516" s="38" t="n">
        <f aca="false">Sens!$D$6516</f>
        <v>37.1387889</v>
      </c>
      <c r="U6516" s="38" t="n">
        <f aca="false">Sens!$G$6516</f>
        <v>93.2846507189913</v>
      </c>
      <c r="V6516" s="38" t="n">
        <f aca="false">Sens!$H$6516</f>
        <v>152.52478394475</v>
      </c>
      <c r="W6516" s="38" t="n">
        <f aca="false">Sens!$I$6516</f>
        <v>158.5998889105</v>
      </c>
      <c r="X6516" s="38" t="n">
        <f aca="false">Sens!$J$6516</f>
        <v>163.8366571105</v>
      </c>
      <c r="Y6516" s="38" t="n">
        <f aca="false">Sens!$K$6516</f>
        <v>122.665498273534</v>
      </c>
      <c r="Z6516" s="38" t="n">
        <f aca="false">Sens!$L$6516</f>
        <v>112.914948636568</v>
      </c>
      <c r="AA6516" s="38" t="n">
        <f aca="false">Sens!$M$6516</f>
        <v>126.605482654852</v>
      </c>
    </row>
    <row r="6517" customFormat="false" ht="15" hidden="false" customHeight="false" outlineLevel="0" collapsed="false">
      <c r="A6517" s="5" t="s">
        <v>646</v>
      </c>
      <c r="B6517" s="0" t="s">
        <v>86</v>
      </c>
      <c r="C6517" s="38" t="n">
        <f aca="false">Sens!$C$6511-Sens!$C$6516</f>
        <v>3.0408</v>
      </c>
      <c r="D6517" s="38" t="n">
        <f aca="false">Sens!$D$6511-Sens!$D$6516</f>
        <v>13.6836</v>
      </c>
      <c r="E6517" s="38" t="n">
        <f aca="false">Sens!$E$6511-Sens!$E$6516</f>
        <v>8.1088</v>
      </c>
      <c r="F6517" s="38" t="n">
        <f aca="false">Sens!$F$6511-Sens!$F$6516</f>
        <v>21.2216789422221</v>
      </c>
      <c r="G6517" s="38" t="n">
        <f aca="false">Sens!$G$6511-Sens!$G$6516</f>
        <v>29.3304789422221</v>
      </c>
      <c r="H6517" s="38" t="n">
        <f aca="false">Sens!$H$6511-Sens!$H$6516</f>
        <v>46.046581</v>
      </c>
      <c r="I6517" s="38" t="n">
        <f aca="false">Sens!$I$6511-Sens!$I$6516</f>
        <v>46.046581</v>
      </c>
      <c r="J6517" s="38" t="n">
        <f aca="false">Sens!$J$6511-Sens!$J$6516</f>
        <v>46.046581</v>
      </c>
      <c r="K6517" s="38" t="n">
        <f aca="false">Sens!$K$6511-Sens!$K$6516</f>
        <v>32.5728870016667</v>
      </c>
      <c r="L6517" s="38" t="n">
        <f aca="false">Sens!$L$6511-Sens!$L$6516</f>
        <v>19.0991930033334</v>
      </c>
      <c r="M6517" s="38" t="n">
        <f aca="false">Sens!$M$6511-Sens!$M$6516</f>
        <v>5.62549900499998</v>
      </c>
      <c r="R6517" s="38" t="n">
        <f aca="false">Sens!$R$6511-Sens!$R$6516</f>
        <v>0.405023005106309</v>
      </c>
      <c r="S6517" s="38" t="n">
        <f aca="false">Sens!$S$6511-Sens!$S$6516</f>
        <v>3.0408</v>
      </c>
      <c r="T6517" s="38" t="n">
        <f aca="false">Sens!$T$6511-Sens!$T$6516</f>
        <v>13.6836</v>
      </c>
      <c r="U6517" s="38" t="n">
        <f aca="false">Sens!$U$6511-Sens!$U$6516</f>
        <v>29.3304789422221</v>
      </c>
      <c r="V6517" s="38" t="n">
        <f aca="false">Sens!$V$6511-Sens!$V$6516</f>
        <v>46.046581</v>
      </c>
      <c r="W6517" s="38" t="n">
        <f aca="false">Sens!$W$6511-Sens!$W$6516</f>
        <v>46.046581</v>
      </c>
      <c r="X6517" s="38" t="n">
        <f aca="false">Sens!$X$6511-Sens!$X$6516</f>
        <v>46.046581</v>
      </c>
      <c r="Y6517" s="38" t="n">
        <f aca="false">Sens!$Y$6511-Sens!$Y$6516</f>
        <v>32.5728870016667</v>
      </c>
      <c r="Z6517" s="38" t="n">
        <f aca="false">Sens!$Z$6511-Sens!$Z$6516</f>
        <v>19.0991930033334</v>
      </c>
      <c r="AA6517" s="38" t="n">
        <f aca="false">Sens!$AA$6511-Sens!$AA$6516</f>
        <v>5.62549900499998</v>
      </c>
    </row>
    <row r="6518" customFormat="false" ht="17.15" hidden="false" customHeight="false" outlineLevel="0" collapsed="false">
      <c r="A6518" s="0" t="s">
        <v>647</v>
      </c>
      <c r="B6518" s="0" t="s">
        <v>52</v>
      </c>
      <c r="C6518" s="13" t="n">
        <f aca="false">Sens!$C$6509/Sens!$C$6634</f>
        <v>0.325505489553393</v>
      </c>
      <c r="D6518" s="13" t="n">
        <f aca="false">Sens!$D$6509/Sens!$D$6634</f>
        <v>0.54214956071542</v>
      </c>
      <c r="E6518" s="13" t="n">
        <f aca="false">Sens!$E$6509/Sens!$E$6634</f>
        <v>0.666492790452817</v>
      </c>
      <c r="F6518" s="13" t="n">
        <f aca="false">Sens!$F$6509/Sens!$F$6634</f>
        <v>0.71724917504417</v>
      </c>
      <c r="G6518" s="13" t="n">
        <f aca="false">Sens!$G$6509/Sens!$G$6634</f>
        <v>0.69502941413511</v>
      </c>
      <c r="H6518" s="13" t="n">
        <f aca="false">Sens!$H$6509/Sens!$H$6634</f>
        <v>0.726376041178204</v>
      </c>
      <c r="I6518" s="13" t="n">
        <f aca="false">Sens!$I$6509/Sens!$I$6634</f>
        <v>0.713099092661699</v>
      </c>
      <c r="J6518" s="13" t="n">
        <f aca="false">Sens!$J$6509/Sens!$J$6634</f>
        <v>0.701208348786245</v>
      </c>
      <c r="K6518" s="13" t="n">
        <f aca="false">Sens!$K$6509/Sens!$K$6634</f>
        <v>0.618338844562383</v>
      </c>
      <c r="L6518" s="13" t="n">
        <f aca="false">Sens!$L$6509/Sens!$L$6634</f>
        <v>0.562489158462506</v>
      </c>
      <c r="M6518" s="13" t="n">
        <f aca="false">Sens!$M$6509/Sens!$M$6634</f>
        <v>0.545751190895923</v>
      </c>
    </row>
    <row r="6519" customFormat="false" ht="17.15" hidden="false" customHeight="false" outlineLevel="0" collapsed="false">
      <c r="A6519" s="0" t="s">
        <v>648</v>
      </c>
      <c r="B6519" s="0" t="s">
        <v>86</v>
      </c>
      <c r="C6519" s="38" t="n">
        <f aca="false">Sens!$S$6519</f>
        <v>0.183212798365523</v>
      </c>
      <c r="D6519" s="38" t="n">
        <f aca="false">Sens!$T$6519</f>
        <v>1.55872349836552</v>
      </c>
      <c r="E6519" s="38" t="n">
        <f aca="false">Sens!$G$6519/2</f>
        <v>4.72585036583285</v>
      </c>
      <c r="F6519" s="38" t="n">
        <f aca="false">Sens!$G$6519/2</f>
        <v>4.72585036583285</v>
      </c>
      <c r="G6519" s="38" t="n">
        <f aca="false">Sens!$U$6519</f>
        <v>9.4517007316657</v>
      </c>
      <c r="H6519" s="38" t="n">
        <f aca="false">Sens!$V$6519</f>
        <v>27.2822988413376</v>
      </c>
      <c r="I6519" s="38" t="n">
        <f aca="false">Sens!$W$6519</f>
        <v>56.5439995605568</v>
      </c>
      <c r="J6519" s="38" t="n">
        <f aca="false">Sens!$X$6519</f>
        <v>82.9773143789735</v>
      </c>
      <c r="K6519" s="38" t="n">
        <f aca="false">Sens!$Y$6519</f>
        <v>110.100211099025</v>
      </c>
      <c r="L6519" s="38" t="n">
        <f aca="false">Sens!$Z$6519</f>
        <v>129.16895011128</v>
      </c>
      <c r="M6519" s="38" t="n">
        <f aca="false">Sens!$AA$6519</f>
        <v>140.095130984075</v>
      </c>
      <c r="N6519" s="38" t="n">
        <f aca="false">Sens!$D$6519/2</f>
        <v>0.779361749182762</v>
      </c>
      <c r="O6519" s="38" t="n">
        <f aca="false">Sens!$D$6519/2</f>
        <v>0.779361749182762</v>
      </c>
      <c r="R6519" s="38" t="n">
        <f aca="false">(SUMPRODUCT(--(Sens!$R$6479:$AA$6479&lt;Sens!R$6479),--(Sens!$R$6479:$AA$6479&gt;=Sens!R$6479-tk_life),Sens!$R$6516:$AA$6516)+SUMPRODUCT(--(Sens!$R$6479:$AA$6479&lt;Sens!R$6479),--(Sens!$R$6479:$AA$6479&gt;=Sens!R$6479-tk_life),Sens!$R$6514:$AA$6514))/tk_life</f>
        <v>0</v>
      </c>
      <c r="S6519" s="38" t="n">
        <f aca="false">(SUMPRODUCT(--(Sens!$R$6479:$AA$6479&lt;Sens!S$6479),--(Sens!$R$6479:$AA$6479&gt;=Sens!S$6479-tk_life),Sens!$R$6516:$AA$6516)+SUMPRODUCT(--(Sens!$R$6479:$AA$6479&lt;Sens!S$6479),--(Sens!$R$6479:$AA$6479&gt;=Sens!S$6479-tk_life),Sens!$R$6514:$AA$6514))/tk_life</f>
        <v>0.183212798365523</v>
      </c>
      <c r="T6519" s="38" t="n">
        <f aca="false">(SUMPRODUCT(--(Sens!$R$6479:$AA$6479&lt;Sens!T$6479),--(Sens!$R$6479:$AA$6479&gt;=Sens!T$6479-tk_life),Sens!$R$6516:$AA$6516)+SUMPRODUCT(--(Sens!$R$6479:$AA$6479&lt;Sens!T$6479),--(Sens!$R$6479:$AA$6479&gt;=Sens!T$6479-tk_life),Sens!$R$6514:$AA$6514))/tk_life</f>
        <v>1.55872349836552</v>
      </c>
      <c r="U6519" s="38" t="n">
        <f aca="false">(SUMPRODUCT(--(Sens!$R$6479:$AA$6479&lt;Sens!U$6479),--(Sens!$R$6479:$AA$6479&gt;=Sens!U$6479-tk_life),Sens!$R$6516:$AA$6516)+SUMPRODUCT(--(Sens!$R$6479:$AA$6479&lt;Sens!U$6479),--(Sens!$R$6479:$AA$6479&gt;=Sens!U$6479-tk_life),Sens!$R$6514:$AA$6514))/tk_life</f>
        <v>9.4517007316657</v>
      </c>
      <c r="V6519" s="38" t="n">
        <f aca="false">(SUMPRODUCT(--(Sens!$R$6479:$AA$6479&lt;Sens!V$6479),--(Sens!$R$6479:$AA$6479&gt;=Sens!V$6479-tk_life),Sens!$R$6516:$AA$6516)+SUMPRODUCT(--(Sens!$R$6479:$AA$6479&lt;Sens!V$6479),--(Sens!$R$6479:$AA$6479&gt;=Sens!V$6479-tk_life),Sens!$R$6514:$AA$6514))/tk_life</f>
        <v>27.2822988413376</v>
      </c>
      <c r="W6519" s="38" t="n">
        <f aca="false">(SUMPRODUCT(--(Sens!$R$6479:$AA$6479&lt;Sens!W$6479),--(Sens!$R$6479:$AA$6479&gt;=Sens!W$6479-tk_life),Sens!$R$6516:$AA$6516)+SUMPRODUCT(--(Sens!$R$6479:$AA$6479&lt;Sens!W$6479),--(Sens!$R$6479:$AA$6479&gt;=Sens!W$6479-tk_life),Sens!$R$6514:$AA$6514))/tk_life</f>
        <v>56.5439995605568</v>
      </c>
      <c r="X6519" s="38" t="n">
        <f aca="false">(SUMPRODUCT(--(Sens!$R$6479:$AA$6479&lt;Sens!X$6479),--(Sens!$R$6479:$AA$6479&gt;=Sens!X$6479-tk_life),Sens!$R$6516:$AA$6516)+SUMPRODUCT(--(Sens!$R$6479:$AA$6479&lt;Sens!X$6479),--(Sens!$R$6479:$AA$6479&gt;=Sens!X$6479-tk_life),Sens!$R$6514:$AA$6514))/tk_life</f>
        <v>82.9773143789735</v>
      </c>
      <c r="Y6519" s="38" t="n">
        <f aca="false">(SUMPRODUCT(--(Sens!$R$6479:$AA$6479&lt;Sens!Y$6479),--(Sens!$R$6479:$AA$6479&gt;=Sens!Y$6479-tk_life),Sens!$R$6516:$AA$6516)+SUMPRODUCT(--(Sens!$R$6479:$AA$6479&lt;Sens!Y$6479),--(Sens!$R$6479:$AA$6479&gt;=Sens!Y$6479-tk_life),Sens!$R$6514:$AA$6514))/tk_life</f>
        <v>110.100211099025</v>
      </c>
      <c r="Z6519" s="38" t="n">
        <f aca="false">(SUMPRODUCT(--(Sens!$R$6479:$AA$6479&lt;Sens!Z$6479),--(Sens!$R$6479:$AA$6479&gt;=Sens!Z$6479-tk_life),Sens!$R$6516:$AA$6516)+SUMPRODUCT(--(Sens!$R$6479:$AA$6479&lt;Sens!Z$6479),--(Sens!$R$6479:$AA$6479&gt;=Sens!Z$6479-tk_life),Sens!$R$6514:$AA$6514))/tk_life</f>
        <v>129.16895011128</v>
      </c>
      <c r="AA6519" s="38" t="n">
        <f aca="false">(SUMPRODUCT(--(Sens!$R$6479:$AA$6479&lt;Sens!AA$6479),--(Sens!$R$6479:$AA$6479&gt;=Sens!AA$6479-tk_life),Sens!$R$6516:$AA$6516)+SUMPRODUCT(--(Sens!$R$6479:$AA$6479&lt;Sens!AA$6479),--(Sens!$R$6479:$AA$6479&gt;=Sens!AA$6479-tk_life),Sens!$R$6514:$AA$6514))/tk_life</f>
        <v>140.095130984075</v>
      </c>
    </row>
    <row r="6520" customFormat="false" ht="17.15" hidden="false" customHeight="false" outlineLevel="0" collapsed="false">
      <c r="A6520" s="0" t="s">
        <v>649</v>
      </c>
      <c r="B6520" s="0" t="s">
        <v>86</v>
      </c>
      <c r="C6520" s="38" t="n">
        <f aca="false">Sens!$S$6520</f>
        <v>0.0202511502553155</v>
      </c>
      <c r="D6520" s="38" t="n">
        <f aca="false">Sens!$T$6520</f>
        <v>0.172291150255315</v>
      </c>
      <c r="E6520" s="38" t="n">
        <f aca="false">Sens!$G$6520/2</f>
        <v>0.522364740326067</v>
      </c>
      <c r="F6520" s="38" t="n">
        <f aca="false">Sens!$G$6520/2</f>
        <v>0.522364740326067</v>
      </c>
      <c r="G6520" s="38" t="n">
        <f aca="false">Sens!$U$6520</f>
        <v>1.04472948065213</v>
      </c>
      <c r="H6520" s="38" t="n">
        <f aca="false">Sens!$V$6520</f>
        <v>2.76361866736136</v>
      </c>
      <c r="I6520" s="38" t="n">
        <f aca="false">Sens!$W$6520</f>
        <v>5.42824377125863</v>
      </c>
      <c r="J6520" s="38" t="n">
        <f aca="false">Sens!$X$6520</f>
        <v>7.73057282125864</v>
      </c>
      <c r="K6520" s="38" t="n">
        <f aca="false">Sens!$Y$6520</f>
        <v>10.0329018712586</v>
      </c>
      <c r="L6520" s="38" t="n">
        <f aca="false">Sens!$Z$6520</f>
        <v>11.661546221342</v>
      </c>
      <c r="M6520" s="38" t="n">
        <f aca="false">Sens!$AA$6520</f>
        <v>12.6165058715086</v>
      </c>
      <c r="N6520" s="38" t="n">
        <f aca="false">Sens!$D$6520/2</f>
        <v>0.0861455751276577</v>
      </c>
      <c r="O6520" s="38" t="n">
        <f aca="false">Sens!$D$6520/2</f>
        <v>0.0861455751276577</v>
      </c>
      <c r="R6520" s="38" t="n">
        <f aca="false">(SUMPRODUCT(--(Sens!$R$6479:$AA$6479&lt;Sens!R$6479),Sens!$R$6517:$AA$6517)+SUMPRODUCT(--(Sens!$R$6479:$AA$6479&lt;Sens!R$6479),Sens!$R$6515:$AA$6515))/fac_life</f>
        <v>0</v>
      </c>
      <c r="S6520" s="38" t="n">
        <f aca="false">(SUMPRODUCT(--(Sens!$R$6479:$AA$6479&lt;Sens!S$6479),Sens!$R$6517:$AA$6517)+SUMPRODUCT(--(Sens!$R$6479:$AA$6479&lt;Sens!S$6479),Sens!$R$6515:$AA$6515))/fac_life</f>
        <v>0.0202511502553155</v>
      </c>
      <c r="T6520" s="38" t="n">
        <f aca="false">(SUMPRODUCT(--(Sens!$R$6479:$AA$6479&lt;Sens!T$6479),Sens!$R$6517:$AA$6517)+SUMPRODUCT(--(Sens!$R$6479:$AA$6479&lt;Sens!T$6479),Sens!$R$6515:$AA$6515))/fac_life</f>
        <v>0.172291150255315</v>
      </c>
      <c r="U6520" s="38" t="n">
        <f aca="false">(SUMPRODUCT(--(Sens!$R$6479:$AA$6479&lt;Sens!U$6479),Sens!$R$6517:$AA$6517)+SUMPRODUCT(--(Sens!$R$6479:$AA$6479&lt;Sens!U$6479),Sens!$R$6515:$AA$6515))/fac_life</f>
        <v>1.04472948065213</v>
      </c>
      <c r="V6520" s="38" t="n">
        <f aca="false">(SUMPRODUCT(--(Sens!$R$6479:$AA$6479&lt;Sens!V$6479),Sens!$R$6517:$AA$6517)+SUMPRODUCT(--(Sens!$R$6479:$AA$6479&lt;Sens!V$6479),Sens!$R$6515:$AA$6515))/fac_life</f>
        <v>2.76361866736136</v>
      </c>
      <c r="W6520" s="38" t="n">
        <f aca="false">(SUMPRODUCT(--(Sens!$R$6479:$AA$6479&lt;Sens!W$6479),Sens!$R$6517:$AA$6517)+SUMPRODUCT(--(Sens!$R$6479:$AA$6479&lt;Sens!W$6479),Sens!$R$6515:$AA$6515))/fac_life</f>
        <v>5.42824377125863</v>
      </c>
      <c r="X6520" s="38" t="n">
        <f aca="false">(SUMPRODUCT(--(Sens!$R$6479:$AA$6479&lt;Sens!X$6479),Sens!$R$6517:$AA$6517)+SUMPRODUCT(--(Sens!$R$6479:$AA$6479&lt;Sens!X$6479),Sens!$R$6515:$AA$6515))/fac_life</f>
        <v>7.73057282125864</v>
      </c>
      <c r="Y6520" s="38" t="n">
        <f aca="false">(SUMPRODUCT(--(Sens!$R$6479:$AA$6479&lt;Sens!Y$6479),Sens!$R$6517:$AA$6517)+SUMPRODUCT(--(Sens!$R$6479:$AA$6479&lt;Sens!Y$6479),Sens!$R$6515:$AA$6515))/fac_life</f>
        <v>10.0329018712586</v>
      </c>
      <c r="Z6520" s="38" t="n">
        <f aca="false">(SUMPRODUCT(--(Sens!$R$6479:$AA$6479&lt;Sens!Z$6479),Sens!$R$6517:$AA$6517)+SUMPRODUCT(--(Sens!$R$6479:$AA$6479&lt;Sens!Z$6479),Sens!$R$6515:$AA$6515))/fac_life</f>
        <v>11.661546221342</v>
      </c>
      <c r="AA6520" s="38" t="n">
        <f aca="false">(SUMPRODUCT(--(Sens!$R$6479:$AA$6479&lt;Sens!AA$6479),Sens!$R$6517:$AA$6517)+SUMPRODUCT(--(Sens!$R$6479:$AA$6479&lt;Sens!AA$6479),Sens!$R$6515:$AA$6515))/fac_life</f>
        <v>12.6165058715086</v>
      </c>
    </row>
    <row r="6521" customFormat="false" ht="17.15" hidden="false" customHeight="false" outlineLevel="0" collapsed="false">
      <c r="A6521" s="1" t="s">
        <v>650</v>
      </c>
      <c r="B6521" s="8" t="s">
        <v>86</v>
      </c>
      <c r="C6521" s="38" t="n">
        <f aca="false">Sens!$C$6519+Sens!$C$6520</f>
        <v>0.203463948620839</v>
      </c>
      <c r="D6521" s="38" t="n">
        <f aca="false">Sens!$D$6519+Sens!$D$6520</f>
        <v>1.73101464862084</v>
      </c>
      <c r="E6521" s="38" t="n">
        <f aca="false">Sens!$E$6519+Sens!$E$6520</f>
        <v>5.24821510615892</v>
      </c>
      <c r="F6521" s="38" t="n">
        <f aca="false">Sens!$F$6519+Sens!$F$6520</f>
        <v>5.24821510615892</v>
      </c>
      <c r="G6521" s="38" t="n">
        <f aca="false">Sens!$G$6519+Sens!$G$6520</f>
        <v>10.4964302123178</v>
      </c>
      <c r="H6521" s="38" t="n">
        <f aca="false">Sens!$H$6519+Sens!$H$6520</f>
        <v>30.045917508699</v>
      </c>
      <c r="I6521" s="38" t="n">
        <f aca="false">Sens!$I$6519+Sens!$I$6520</f>
        <v>61.9722433318155</v>
      </c>
      <c r="J6521" s="38" t="n">
        <f aca="false">Sens!$J$6519+Sens!$J$6520</f>
        <v>90.7078872002321</v>
      </c>
      <c r="K6521" s="38" t="n">
        <f aca="false">Sens!$K$6519+Sens!$K$6520</f>
        <v>120.133112970283</v>
      </c>
      <c r="L6521" s="38" t="n">
        <f aca="false">Sens!$L$6519+Sens!$L$6520</f>
        <v>140.830496332622</v>
      </c>
      <c r="M6521" s="38" t="n">
        <f aca="false">Sens!$M$6519+Sens!$M$6520</f>
        <v>152.711636855584</v>
      </c>
      <c r="N6521" s="38" t="n">
        <f aca="false">Sens!$N$6519+Sens!$N$6520</f>
        <v>0.865507324310419</v>
      </c>
      <c r="O6521" s="38" t="n">
        <f aca="false">Sens!$O$6519+Sens!$O$6520</f>
        <v>0.865507324310419</v>
      </c>
      <c r="R6521" s="38" t="n">
        <f aca="false">Sens!$R$6519+Sens!$R$6520</f>
        <v>0</v>
      </c>
      <c r="S6521" s="38" t="n">
        <f aca="false">Sens!$S$6519+Sens!$S$6520</f>
        <v>0.203463948620839</v>
      </c>
      <c r="T6521" s="38" t="n">
        <f aca="false">Sens!$T$6519+Sens!$T$6520</f>
        <v>1.73101464862084</v>
      </c>
      <c r="U6521" s="38" t="n">
        <f aca="false">Sens!$U$6519+Sens!$U$6520</f>
        <v>10.4964302123178</v>
      </c>
      <c r="V6521" s="38" t="n">
        <f aca="false">Sens!$V$6519+Sens!$V$6520</f>
        <v>30.045917508699</v>
      </c>
      <c r="W6521" s="38" t="n">
        <f aca="false">Sens!$W$6519+Sens!$W$6520</f>
        <v>61.9722433318155</v>
      </c>
      <c r="X6521" s="38" t="n">
        <f aca="false">Sens!$X$6519+Sens!$X$6520</f>
        <v>90.7078872002321</v>
      </c>
      <c r="Y6521" s="38" t="n">
        <f aca="false">Sens!$Y$6519+Sens!$Y$6520</f>
        <v>120.133112970283</v>
      </c>
      <c r="Z6521" s="38" t="n">
        <f aca="false">Sens!$Z$6519+Sens!$Z$6520</f>
        <v>140.830496332622</v>
      </c>
      <c r="AA6521" s="38" t="n">
        <f aca="false">Sens!$AA$6519+Sens!$AA$6520</f>
        <v>152.711636855584</v>
      </c>
    </row>
    <row r="6522" customFormat="false" ht="17.15" hidden="false" customHeight="false" outlineLevel="0" collapsed="false">
      <c r="A6522" s="0" t="s">
        <v>651</v>
      </c>
      <c r="B6522" s="0" t="s">
        <v>86</v>
      </c>
      <c r="C6522" s="38" t="n">
        <f aca="false">Sens!$S$6522</f>
        <v>26.578941154416</v>
      </c>
      <c r="D6522" s="38" t="n">
        <f aca="false">Sens!$T$6522</f>
        <v>94.4165581367978</v>
      </c>
      <c r="G6522" s="38" t="n">
        <f aca="false">Sens!$U$6522</f>
        <v>236.826599034204</v>
      </c>
      <c r="H6522" s="38" t="n">
        <f aca="false">Sens!$V$6522</f>
        <v>405.352046470255</v>
      </c>
      <c r="I6522" s="38" t="n">
        <f aca="false">Sens!$W$6522</f>
        <v>548.02627304894</v>
      </c>
      <c r="J6522" s="38" t="n">
        <f aca="false">Sens!$X$6522</f>
        <v>667.201623959208</v>
      </c>
      <c r="K6522" s="38" t="n">
        <f aca="false">Sens!$Y$6522</f>
        <v>702.306896264125</v>
      </c>
      <c r="L6522" s="38" t="n">
        <f aca="false">Sens!$Z$6522</f>
        <v>693.490541571405</v>
      </c>
      <c r="M6522" s="38" t="n">
        <f aca="false">Sens!$AA$6522</f>
        <v>673.009886375674</v>
      </c>
      <c r="R6522" s="38" t="n">
        <f aca="false">SUM(Sens!$R$6509:$R$6509)-SUM(Sens!$R$6521:$R$6521)</f>
        <v>1.50429979529945</v>
      </c>
      <c r="S6522" s="38" t="n">
        <f aca="false">SUM(Sens!$R$6509:$S$6509)-SUM(Sens!$R$6521:$S$6521)</f>
        <v>26.578941154416</v>
      </c>
      <c r="T6522" s="38" t="n">
        <f aca="false">SUM(Sens!$R$6509:$T$6509)-SUM(Sens!$R$6521:$T$6521)</f>
        <v>94.4165581367978</v>
      </c>
      <c r="U6522" s="38" t="n">
        <f aca="false">SUM(Sens!$R$6509:$U$6509)-SUM(Sens!$R$6521:$U$6521)</f>
        <v>236.826599034204</v>
      </c>
      <c r="V6522" s="38" t="n">
        <f aca="false">SUM(Sens!$R$6509:$V$6509)-SUM(Sens!$R$6521:$V$6521)</f>
        <v>405.352046470255</v>
      </c>
      <c r="W6522" s="38" t="n">
        <f aca="false">SUM(Sens!$R$6509:$W$6509)-SUM(Sens!$R$6521:$W$6521)</f>
        <v>548.02627304894</v>
      </c>
      <c r="X6522" s="38" t="n">
        <f aca="false">SUM(Sens!$R$6509:$X$6509)-SUM(Sens!$R$6521:$X$6521)</f>
        <v>667.201623959208</v>
      </c>
      <c r="Y6522" s="38" t="n">
        <f aca="false">SUM(Sens!$R$6509:$Y$6509)-SUM(Sens!$R$6521:$Y$6521)</f>
        <v>702.306896264125</v>
      </c>
      <c r="Z6522" s="38" t="n">
        <f aca="false">SUM(Sens!$R$6509:$Z$6509)-SUM(Sens!$R$6521:$Z$6521)</f>
        <v>693.490541571405</v>
      </c>
      <c r="AA6522" s="38" t="n">
        <f aca="false">SUM(Sens!$R$6509:$AA$6509)-SUM(Sens!$R$6521:$AA$6521)</f>
        <v>673.009886375674</v>
      </c>
    </row>
    <row r="6523" customFormat="false" ht="17.15" hidden="false" customHeight="false" outlineLevel="0" collapsed="false">
      <c r="A6523" s="1" t="s">
        <v>652</v>
      </c>
    </row>
    <row r="6524" customFormat="false" ht="17.15" hidden="false" customHeight="false" outlineLevel="0" collapsed="false">
      <c r="A6524" s="0" t="s">
        <v>653</v>
      </c>
      <c r="B6524" s="0" t="s">
        <v>86</v>
      </c>
      <c r="C6524" s="38" t="n">
        <f aca="false">Sens!$C$6500-ext_sh*Sens!$C$6502</f>
        <v>1.80694998843362</v>
      </c>
      <c r="D6524" s="38" t="n">
        <f aca="false">Sens!$D$6500-ext_sh*Sens!$D$6502</f>
        <v>6.77606245662607</v>
      </c>
      <c r="E6524" s="38" t="n">
        <f aca="false">Sens!$E$6500-ext_sh*Sens!$E$6502</f>
        <v>6.62548329092326</v>
      </c>
      <c r="F6524" s="38" t="n">
        <f aca="false">Sens!$F$6500-ext_sh*Sens!$F$6502</f>
        <v>11.7200577158706</v>
      </c>
      <c r="G6524" s="38" t="n">
        <f aca="false">Sens!$G$6500-ext_sh*Sens!$G$6502</f>
        <v>18.3455410067939</v>
      </c>
      <c r="H6524" s="38" t="n">
        <f aca="false">Sens!$H$6500-ext_sh*Sens!$H$6502</f>
        <v>47.5171727060453</v>
      </c>
      <c r="I6524" s="38" t="n">
        <f aca="false">Sens!$I$6500-ext_sh*Sens!$I$6502</f>
        <v>80.5539692643667</v>
      </c>
      <c r="J6524" s="38" t="n">
        <f aca="false">Sens!$J$6500-ext_sh*Sens!$J$6502</f>
        <v>113.759316834883</v>
      </c>
      <c r="K6524" s="38" t="n">
        <f aca="false">Sens!$K$6500-ext_sh*Sens!$K$6502</f>
        <v>142.084411492169</v>
      </c>
      <c r="L6524" s="38" t="n">
        <f aca="false">Sens!$L$6500-ext_sh*Sens!$L$6502</f>
        <v>160.69964615804</v>
      </c>
      <c r="M6524" s="38" t="n">
        <f aca="false">Sens!$M$6500-ext_sh*Sens!$M$6502</f>
        <v>169.577607141793</v>
      </c>
      <c r="N6524" s="38" t="n">
        <f aca="false">Sens!$N$6500-ext_sh*Sens!$N$6502</f>
        <v>2.37162185981912</v>
      </c>
      <c r="O6524" s="38" t="n">
        <f aca="false">Sens!$O$6500-ext_sh*Sens!$O$6502</f>
        <v>4.40444059680694</v>
      </c>
    </row>
    <row r="6525" customFormat="false" ht="17.15" hidden="false" customHeight="false" outlineLevel="0" collapsed="false">
      <c r="A6525" s="1" t="s">
        <v>654</v>
      </c>
      <c r="B6525" s="8" t="s">
        <v>86</v>
      </c>
      <c r="C6525" s="38" t="n">
        <f aca="false">Sens!$C$6524-ext_sh*Sens!$C$6521</f>
        <v>1.64417882953695</v>
      </c>
      <c r="D6525" s="38" t="n">
        <f aca="false">Sens!$D$6524-ext_sh*Sens!$D$6521</f>
        <v>5.39125073772939</v>
      </c>
      <c r="E6525" s="38" t="n">
        <f aca="false">Sens!$E$6524-ext_sh*Sens!$E$6521</f>
        <v>2.42691120599613</v>
      </c>
      <c r="F6525" s="38" t="n">
        <f aca="false">Sens!$F$6524-ext_sh*Sens!$F$6521</f>
        <v>7.52148563094346</v>
      </c>
      <c r="G6525" s="38" t="n">
        <f aca="false">Sens!$G$6524-ext_sh*Sens!$G$6521</f>
        <v>9.94839683693959</v>
      </c>
      <c r="H6525" s="38" t="n">
        <f aca="false">Sens!$H$6524-ext_sh*Sens!$H$6521</f>
        <v>23.4804386990861</v>
      </c>
      <c r="I6525" s="38" t="n">
        <f aca="false">Sens!$I$6524-ext_sh*Sens!$I$6521</f>
        <v>30.9761745989143</v>
      </c>
      <c r="J6525" s="38" t="n">
        <f aca="false">Sens!$J$6524-ext_sh*Sens!$J$6521</f>
        <v>41.1930070746977</v>
      </c>
      <c r="K6525" s="38" t="n">
        <f aca="false">Sens!$K$6524-ext_sh*Sens!$K$6521</f>
        <v>45.9779211159428</v>
      </c>
      <c r="L6525" s="38" t="n">
        <f aca="false">Sens!$L$6524-ext_sh*Sens!$L$6521</f>
        <v>48.0352490919424</v>
      </c>
      <c r="M6525" s="38" t="n">
        <f aca="false">Sens!$M$6524-ext_sh*Sens!$M$6521</f>
        <v>47.4082976573265</v>
      </c>
      <c r="N6525" s="38" t="n">
        <f aca="false">Sens!$N$6524-ext_sh*Sens!$N$6521</f>
        <v>1.67921600037079</v>
      </c>
      <c r="O6525" s="38" t="n">
        <f aca="false">Sens!$O$6524-ext_sh*Sens!$O$6521</f>
        <v>3.71203473735861</v>
      </c>
    </row>
    <row r="6526" customFormat="false" ht="17.15" hidden="false" customHeight="false" outlineLevel="0" collapsed="false">
      <c r="A6526" s="0" t="s">
        <v>655</v>
      </c>
      <c r="B6526" s="0" t="s">
        <v>52</v>
      </c>
      <c r="C6526" s="13" t="n">
        <f aca="false">Sens!$C$6525/Sens!$C$6500</f>
        <v>0.708390794789371</v>
      </c>
      <c r="D6526" s="13" t="n">
        <f aca="false">Sens!$D$6525/Sens!$D$6500</f>
        <v>0.619415573115729</v>
      </c>
      <c r="E6526" s="13" t="n">
        <f aca="false">Sens!$E$6525/Sens!$E$6500</f>
        <v>0.285171627189009</v>
      </c>
      <c r="F6526" s="13" t="n">
        <f aca="false">Sens!$F$6525/Sens!$F$6500</f>
        <v>0.502657732812366</v>
      </c>
      <c r="G6526" s="13" t="n">
        <f aca="false">Sens!$G$6525/Sens!$G$6500</f>
        <v>0.423808778611812</v>
      </c>
      <c r="H6526" s="13" t="n">
        <f aca="false">Sens!$H$6525/Sens!$H$6500</f>
        <v>0.390261631739809</v>
      </c>
      <c r="I6526" s="13" t="n">
        <f aca="false">Sens!$I$6525/Sens!$I$6500</f>
        <v>0.305172864264572</v>
      </c>
      <c r="J6526" s="13" t="n">
        <f aca="false">Sens!$J$6525/Sens!$J$6500</f>
        <v>0.288011814789856</v>
      </c>
      <c r="K6526" s="13" t="n">
        <f aca="false">Sens!$K$6525/Sens!$K$6500</f>
        <v>0.25765427518774</v>
      </c>
      <c r="L6526" s="13" t="n">
        <f aca="false">Sens!$L$6525/Sens!$L$6500</f>
        <v>0.238118778012374</v>
      </c>
      <c r="M6526" s="13" t="n">
        <f aca="false">Sens!$M$6525/Sens!$M$6500</f>
        <v>0.222746255757109</v>
      </c>
      <c r="N6526" s="13" t="n">
        <f aca="false">Sens!$N$6525/Sens!$N$6500</f>
        <v>0.551227795793364</v>
      </c>
      <c r="O6526" s="13" t="n">
        <f aca="false">Sens!$O$6525/Sens!$O$6500</f>
        <v>0.656132068597002</v>
      </c>
    </row>
    <row r="6527" customFormat="false" ht="17.15" hidden="false" customHeight="false" outlineLevel="0" collapsed="false">
      <c r="A6527" s="5" t="s">
        <v>656</v>
      </c>
      <c r="B6527" s="0" t="s">
        <v>86</v>
      </c>
      <c r="C6527" s="39" t="n">
        <v>0</v>
      </c>
      <c r="D6527" s="39" t="n">
        <v>0</v>
      </c>
      <c r="E6527" s="39" t="n">
        <v>0</v>
      </c>
      <c r="F6527" s="38" t="n">
        <f aca="false">IF(internal_ai_reading=2,1,0)*(1-ext_sh)/ext_sh*(mw_open*he_open+Sens!$F$6498*Sens!$F$6495)*Sens!$F$6484/1000</f>
        <v>3.77122048175818</v>
      </c>
      <c r="G6527" s="38" t="n">
        <f aca="false">Sens!$E$6527+Sens!$F$6527</f>
        <v>3.77122048175818</v>
      </c>
      <c r="H6527" s="38" t="n">
        <f aca="false">IF(internal_ai_reading=2,1,0)*(1-ext_sh)/ext_sh*(mw_open*he_open+Sens!$H$6498*Sens!$H$6495)*Sens!$H$6484/1000</f>
        <v>15.1635543609893</v>
      </c>
      <c r="I6527" s="38" t="n">
        <f aca="false">IF(internal_ai_reading=2,1,0)*(1-ext_sh)/ext_sh*(mw_open*he_open+Sens!$I$6498*Sens!$I$6495)*Sens!$I$6484/1000</f>
        <v>25.5818843619889</v>
      </c>
      <c r="J6527" s="38" t="n">
        <f aca="false">IF(internal_ai_reading=2,1,0)*(1-ext_sh)/ext_sh*(mw_open*he_open+Sens!$J$6498*Sens!$J$6495)*Sens!$J$6484/1000</f>
        <v>36.0465624179122</v>
      </c>
      <c r="K6527" s="38" t="n">
        <f aca="false">IF(internal_ai_reading=2,1,0)*(1-ext_sh)/ext_sh*(mw_open*he_open+Sens!$K$6498*Sens!$K$6495)*Sens!$K$6484/1000</f>
        <v>44.9741164026038</v>
      </c>
      <c r="L6527" s="38" t="n">
        <f aca="false">IF(internal_ai_reading=2,1,0)*(1-ext_sh)/ext_sh*(mw_open*he_open+Sens!$L$6498*Sens!$L$6495)*Sens!$L$6484/1000</f>
        <v>50.8413488057813</v>
      </c>
      <c r="M6527" s="38" t="n">
        <f aca="false">IF(internal_ai_reading=2,1,0)*(1-ext_sh)/ext_sh*(mw_open*he_open+Sens!$M$6498*Sens!$M$6495)*Sens!$M$6484/1000</f>
        <v>53.6407214274315</v>
      </c>
      <c r="N6527" s="39" t="n">
        <v>0</v>
      </c>
      <c r="O6527" s="39" t="n">
        <v>0</v>
      </c>
      <c r="P6527" s="8" t="s">
        <v>657</v>
      </c>
    </row>
    <row r="6528" customFormat="false" ht="17.15" hidden="false" customHeight="false" outlineLevel="0" collapsed="false">
      <c r="A6528" s="5" t="s">
        <v>658</v>
      </c>
      <c r="B6528" s="0" t="s">
        <v>86</v>
      </c>
      <c r="C6528" s="38" t="n">
        <f aca="false">(1-ext_sh)*(Sens!$C$6502+Sens!$C$6521)</f>
        <v>0.169206631859174</v>
      </c>
      <c r="D6528" s="38" t="n">
        <f aca="false">(1-ext_sh)*(Sens!$D$6502+Sens!$D$6521)</f>
        <v>0.828129837730442</v>
      </c>
      <c r="E6528" s="38" t="n">
        <f aca="false">(1-ext_sh)*(Sens!$E$6502+Sens!$E$6521)</f>
        <v>1.52086044239347</v>
      </c>
      <c r="F6528" s="38" t="n">
        <f aca="false">(1-ext_sh)*(Sens!$F$6502+Sens!$F$6521)</f>
        <v>1.86048700344425</v>
      </c>
      <c r="G6528" s="38" t="n">
        <f aca="false">(1-ext_sh)*(Sens!$G$6502+Sens!$G$6521)</f>
        <v>3.38134744583772</v>
      </c>
      <c r="H6528" s="38" t="n">
        <f aca="false">(1-ext_sh)*(Sens!$H$6502+Sens!$H$6521)</f>
        <v>9.17136301267211</v>
      </c>
      <c r="I6528" s="38" t="n">
        <f aca="false">(1-ext_sh)*(Sens!$I$6502+Sens!$I$6521)</f>
        <v>17.6318811343794</v>
      </c>
      <c r="J6528" s="38" t="n">
        <f aca="false">(1-ext_sh)*(Sens!$J$6502+Sens!$J$6521)</f>
        <v>25.4581000191451</v>
      </c>
      <c r="K6528" s="38" t="n">
        <f aca="false">(1-ext_sh)*(Sens!$K$6502+Sens!$K$6521)</f>
        <v>33.1175498168092</v>
      </c>
      <c r="L6528" s="38" t="n">
        <f aca="false">(1-ext_sh)*(Sens!$L$6502+Sens!$L$6521)</f>
        <v>38.4232131776135</v>
      </c>
      <c r="M6528" s="38" t="n">
        <f aca="false">(1-ext_sh)*(Sens!$M$6502+Sens!$M$6521)</f>
        <v>41.3567859278847</v>
      </c>
      <c r="N6528" s="38" t="n">
        <f aca="false">(1-ext_sh)*(Sens!$N$6502+Sens!$N$6521)</f>
        <v>0.34177588266428</v>
      </c>
      <c r="O6528" s="38" t="n">
        <f aca="false">(1-ext_sh)*(Sens!$O$6502+Sens!$O$6521)</f>
        <v>0.486353955066162</v>
      </c>
    </row>
    <row r="6529" customFormat="false" ht="17.15" hidden="false" customHeight="false" outlineLevel="0" collapsed="false">
      <c r="A6529" s="0" t="s">
        <v>659</v>
      </c>
      <c r="B6529" s="0" t="s">
        <v>86</v>
      </c>
      <c r="C6529" s="38" t="n">
        <f aca="false">Q!$D$24</f>
        <v>39.834</v>
      </c>
      <c r="D6529" s="38" t="n">
        <f aca="false">Q!$E$24</f>
        <v>45.606</v>
      </c>
      <c r="E6529" s="38" t="n">
        <f aca="false">Q!$P$24</f>
        <v>30.782</v>
      </c>
      <c r="N6529" s="38" t="n">
        <f aca="false">Q!$N$24</f>
        <v>21.707</v>
      </c>
      <c r="O6529" s="38" t="n">
        <f aca="false">Q!$O$24</f>
        <v>23.899</v>
      </c>
    </row>
    <row r="6530" customFormat="false" ht="17.15" hidden="false" customHeight="false" outlineLevel="0" collapsed="false">
      <c r="A6530" s="0" t="s">
        <v>660</v>
      </c>
      <c r="B6530" s="0" t="s">
        <v>86</v>
      </c>
      <c r="C6530" s="38" t="n">
        <f aca="false">Sens!$C$6529-Sens!$C$6525</f>
        <v>38.1898211704631</v>
      </c>
      <c r="D6530" s="38" t="n">
        <f aca="false">Sens!$D$6529-Sens!$D$6525</f>
        <v>40.2147492622706</v>
      </c>
      <c r="E6530" s="38" t="n">
        <f aca="false">Sens!$E$6529-Sens!$E$6525</f>
        <v>28.3550887940039</v>
      </c>
      <c r="F6530" s="38" t="n">
        <f aca="false">Sens!$F$6504*Sens!$F$6531</f>
        <v>25.9529793149447</v>
      </c>
      <c r="G6530" s="38" t="n">
        <f aca="false">Sens!$E$6530+Sens!$F$6530</f>
        <v>54.3080681089486</v>
      </c>
      <c r="H6530" s="38" t="n">
        <f aca="false">Sens!$H$6504*Sens!$H$6531</f>
        <v>58.2264684589333</v>
      </c>
      <c r="I6530" s="38" t="n">
        <f aca="false">Sens!$I$6504*Sens!$I$6531</f>
        <v>64.6461353851744</v>
      </c>
      <c r="J6530" s="38" t="n">
        <f aca="false">Sens!$J$6504*Sens!$J$6531</f>
        <v>70.7957093610231</v>
      </c>
      <c r="K6530" s="38" t="n">
        <f aca="false">Sens!$K$6504*Sens!$K$6531</f>
        <v>76.4593661099049</v>
      </c>
      <c r="L6530" s="38" t="n">
        <f aca="false">Sens!$L$6504*Sens!$L$6531</f>
        <v>82.5761153986973</v>
      </c>
      <c r="M6530" s="38" t="n">
        <f aca="false">Sens!$M$6504*Sens!$M$6531</f>
        <v>89.1822046305931</v>
      </c>
      <c r="N6530" s="38" t="n">
        <f aca="false">Sens!$N$6529-Sens!$N$6525</f>
        <v>20.0277839996292</v>
      </c>
      <c r="O6530" s="38" t="n">
        <f aca="false">Sens!$O$6529-Sens!$O$6525</f>
        <v>20.1869652626414</v>
      </c>
      <c r="P6530" s="5" t="s">
        <v>661</v>
      </c>
    </row>
    <row r="6531" customFormat="false" ht="17.15" hidden="false" customHeight="false" outlineLevel="0" collapsed="false">
      <c r="A6531" s="0" t="s">
        <v>662</v>
      </c>
      <c r="B6531" s="0" t="s">
        <v>52</v>
      </c>
      <c r="C6531" s="13" t="n">
        <f aca="false">Sens!$C$6530/Sens!$C$6504</f>
        <v>0.362900395443635</v>
      </c>
      <c r="D6531" s="13" t="n">
        <f aca="false">Sens!$D$6530/Sens!$D$6504</f>
        <v>0.335063632425483</v>
      </c>
      <c r="E6531" s="13" t="n">
        <f aca="false">Sens!$E$6530/Sens!$E$6504</f>
        <v>0.397638855555478</v>
      </c>
      <c r="F6531" s="13" t="n">
        <f aca="false">(Sens!$O$6530+Sens!$E$6530)/(Sens!$O$6504+Sens!$E$6504)</f>
        <v>0.361616727338133</v>
      </c>
      <c r="G6531" s="13" t="n">
        <f aca="false">Sens!$G$6530/Sens!$G$6504</f>
        <v>0.379569803149143</v>
      </c>
      <c r="H6531" s="13" t="n">
        <f aca="false">Sens!$F$6531</f>
        <v>0.361616727338133</v>
      </c>
      <c r="I6531" s="13" t="n">
        <f aca="false">Sens!$F$6531</f>
        <v>0.361616727338133</v>
      </c>
      <c r="J6531" s="13" t="n">
        <f aca="false">Sens!$F$6531</f>
        <v>0.361616727338133</v>
      </c>
      <c r="K6531" s="13" t="n">
        <f aca="false">Sens!$F$6531</f>
        <v>0.361616727338133</v>
      </c>
      <c r="L6531" s="13" t="n">
        <f aca="false">Sens!$F$6531</f>
        <v>0.361616727338133</v>
      </c>
      <c r="M6531" s="13" t="n">
        <f aca="false">Sens!$F$6531</f>
        <v>0.361616727338133</v>
      </c>
      <c r="N6531" s="13" t="n">
        <f aca="false">Sens!$N$6530/Sens!$N$6504</f>
        <v>0.35078810535806</v>
      </c>
      <c r="O6531" s="13" t="n">
        <f aca="false">Sens!$O$6530/Sens!$O$6504</f>
        <v>0.320796939361619</v>
      </c>
      <c r="P6531" s="8" t="s">
        <v>663</v>
      </c>
    </row>
    <row r="6532" customFormat="false" ht="17.15" hidden="false" customHeight="false" outlineLevel="0" collapsed="false">
      <c r="A6532" s="0" t="s">
        <v>664</v>
      </c>
      <c r="B6532" s="0" t="s">
        <v>52</v>
      </c>
      <c r="D6532" s="13" t="n">
        <f aca="false">(Q!$E$31-ext_sh*Sens!$D$6521)/Sens!$D$6504</f>
        <v>0.167180325480118</v>
      </c>
    </row>
    <row r="6533" customFormat="false" ht="17.15" hidden="false" customHeight="false" outlineLevel="0" collapsed="false">
      <c r="A6533" s="0" t="s">
        <v>665</v>
      </c>
      <c r="B6533" s="0" t="s">
        <v>86</v>
      </c>
      <c r="C6533" s="38" t="n">
        <f aca="false">Q!$D$31</f>
        <v>13.32</v>
      </c>
      <c r="D6533" s="38" t="n">
        <f aca="false">Q!$E$31</f>
        <v>21.45</v>
      </c>
      <c r="E6533" s="38" t="n">
        <f aca="false">Q!$P$31</f>
        <v>15.353</v>
      </c>
      <c r="F6533" s="38" t="n">
        <f aca="false">ext_sh*Sens!$F$6521+Sens!$D$6532*Sens!$F$6504</f>
        <v>16.1969869840094</v>
      </c>
      <c r="G6533" s="38" t="n">
        <f aca="false">Sens!$E$6533+Sens!$F$6533</f>
        <v>31.5499869840094</v>
      </c>
      <c r="H6533" s="38" t="n">
        <f aca="false">ext_sh*Sens!$H$6521+Sens!$D$6532*Sens!$H$6504</f>
        <v>50.9556213609176</v>
      </c>
      <c r="I6533" s="38" t="n">
        <f aca="false">ext_sh*Sens!$I$6521+Sens!$D$6532*Sens!$I$6504</f>
        <v>79.464581248252</v>
      </c>
      <c r="J6533" s="38" t="n">
        <f aca="false">ext_sh*Sens!$J$6521+Sens!$D$6532*Sens!$J$6504</f>
        <v>105.296127931746</v>
      </c>
      <c r="K6533" s="38" t="n">
        <f aca="false">ext_sh*Sens!$K$6521+Sens!$D$6532*Sens!$K$6504</f>
        <v>131.454694001511</v>
      </c>
      <c r="L6533" s="38" t="n">
        <f aca="false">ext_sh*Sens!$L$6521+Sens!$D$6532*Sens!$L$6504</f>
        <v>150.840456981405</v>
      </c>
      <c r="M6533" s="38" t="n">
        <f aca="false">ext_sh*Sens!$M$6521+Sens!$D$6532*Sens!$M$6504</f>
        <v>163.399454192999</v>
      </c>
      <c r="N6533" s="38" t="n">
        <f aca="false">Q!$N$31</f>
        <v>9.234</v>
      </c>
      <c r="O6533" s="38" t="n">
        <f aca="false">Q!$O$31</f>
        <v>12.216</v>
      </c>
    </row>
    <row r="6534" customFormat="false" ht="17.15" hidden="false" customHeight="false" outlineLevel="0" collapsed="false">
      <c r="A6534" s="1" t="s">
        <v>666</v>
      </c>
    </row>
    <row r="6535" customFormat="false" ht="17.15" hidden="false" customHeight="false" outlineLevel="0" collapsed="false">
      <c r="A6535" s="15" t="s">
        <v>667</v>
      </c>
      <c r="B6535" s="14" t="s">
        <v>52</v>
      </c>
      <c r="C6535" s="14"/>
      <c r="D6535" s="14"/>
      <c r="E6535" s="14"/>
      <c r="F6535" s="14"/>
      <c r="G6535" s="17" t="n">
        <f aca="false">Sens!$G$6525*(1-tax)/(ext_sh*(Sens!$D$6522+Sens!$G$6522)/2)</f>
        <v>0.0620504069546486</v>
      </c>
      <c r="H6535" s="17" t="n">
        <f aca="false">Sens!$H$6525*(1-tax)/(ext_sh*(Sens!$G$6522+Sens!$H$6522)/2)</f>
        <v>0.0755420551527686</v>
      </c>
      <c r="I6535" s="17" t="n">
        <f aca="false">Sens!$I$6525*(1-tax)/(ext_sh*(Sens!$H$6522+Sens!$I$6522)/2)</f>
        <v>0.067127575356291</v>
      </c>
      <c r="J6535" s="17" t="n">
        <f aca="false">Sens!$J$6525*(1-tax)/(ext_sh*(Sens!$I$6522+Sens!$J$6522)/2)</f>
        <v>0.0700332392906535</v>
      </c>
      <c r="K6535" s="17" t="n">
        <f aca="false">Sens!$K$6525*(1-tax)/(ext_sh*(Sens!$J$6522+Sens!$K$6522)/2)</f>
        <v>0.0693622290093833</v>
      </c>
      <c r="L6535" s="17" t="n">
        <f aca="false">Sens!$L$6525*(1-tax)/(ext_sh*(Sens!$K$6522+Sens!$L$6522)/2)</f>
        <v>0.0711010638813626</v>
      </c>
      <c r="M6535" s="17" t="n">
        <f aca="false">Sens!$M$6525*(1-tax)/(ext_sh*(Sens!$L$6522+Sens!$M$6522)/2)</f>
        <v>0.071677531066401</v>
      </c>
      <c r="N6535" s="14"/>
      <c r="O6535" s="14"/>
      <c r="P6535" s="8" t="s">
        <v>668</v>
      </c>
    </row>
    <row r="6536" customFormat="false" ht="17.15" hidden="false" customHeight="false" outlineLevel="0" collapsed="false">
      <c r="A6536" s="5" t="s">
        <v>669</v>
      </c>
      <c r="B6536" s="0" t="s">
        <v>57</v>
      </c>
      <c r="H6536" s="36" t="n">
        <f aca="false">Sens!$H$6500*1000/(mw_open*he_open+Sens!$H$6498*Sens!$H$6495)</f>
        <v>0.991949006767191</v>
      </c>
      <c r="I6536" s="36" t="n">
        <f aca="false">Sens!$I$6500*1000/(mw_open*he_open+Sens!$I$6498*Sens!$I$6495)</f>
        <v>0.991949006767191</v>
      </c>
      <c r="J6536" s="36" t="n">
        <f aca="false">Sens!$J$6500*1000/(mw_open*he_open+Sens!$J$6498*Sens!$J$6495)</f>
        <v>0.991949006767191</v>
      </c>
      <c r="K6536" s="36" t="n">
        <f aca="false">Sens!$K$6500*1000/(mw_open*he_open+Sens!$K$6498*Sens!$K$6495)</f>
        <v>0.991949006767191</v>
      </c>
      <c r="L6536" s="36" t="n">
        <f aca="false">Sens!$L$6500*1000/(mw_open*he_open+Sens!$L$6498*Sens!$L$6495)</f>
        <v>0.991949006767191</v>
      </c>
      <c r="M6536" s="36" t="n">
        <f aca="false">Sens!$M$6500*1000/(mw_open*he_open+Sens!$M$6498*Sens!$M$6495)</f>
        <v>0.991949006767191</v>
      </c>
    </row>
    <row r="6537" customFormat="false" ht="17.15" hidden="false" customHeight="false" outlineLevel="0" collapsed="false">
      <c r="A6537" s="5" t="s">
        <v>670</v>
      </c>
      <c r="B6537" s="0" t="s">
        <v>57</v>
      </c>
      <c r="H6537" s="36" t="n">
        <f aca="false">Sens!$H$6536*(Sens!$H$6500+wacc*ext_sh*(Sens!$G$6522+Sens!$H$6522)/2/(1-tax)-Sens!$H$6525)/Sens!$H$6500</f>
        <v>1.18542857552197</v>
      </c>
      <c r="I6537" s="36" t="n">
        <f aca="false">Sens!$I$6536*(Sens!$I$6500+wacc*ext_sh*(Sens!$H$6522+Sens!$I$6522)/2/(1-tax)-Sens!$I$6525)/Sens!$I$6500</f>
        <v>1.20015476648903</v>
      </c>
      <c r="J6537" s="36" t="n">
        <f aca="false">Sens!$J$6536*(Sens!$J$6500+wacc*ext_sh*(Sens!$I$6522+Sens!$J$6522)/2/(1-tax)-Sens!$J$6525)/Sens!$J$6500</f>
        <v>1.16844056931249</v>
      </c>
      <c r="K6537" s="36" t="n">
        <f aca="false">Sens!$K$6536*(Sens!$K$6500+wacc*ext_sh*(Sens!$J$6522+Sens!$K$6522)/2/(1-tax)-Sens!$K$6525)/Sens!$K$6500</f>
        <v>1.15383758356873</v>
      </c>
      <c r="L6537" s="36" t="n">
        <f aca="false">Sens!$L$6536*(Sens!$L$6500+wacc*ext_sh*(Sens!$K$6522+Sens!$L$6522)/2/(1-tax)-Sens!$L$6525)/Sens!$L$6500</f>
        <v>1.13212765595665</v>
      </c>
      <c r="M6537" s="36" t="n">
        <f aca="false">Sens!$M$6536*(Sens!$M$6500+wacc*ext_sh*(Sens!$L$6522+Sens!$M$6522)/2/(1-tax)-Sens!$M$6525)/Sens!$M$6500</f>
        <v>1.12024635139935</v>
      </c>
    </row>
    <row r="6538" customFormat="false" ht="17.15" hidden="false" customHeight="false" outlineLevel="0" collapsed="false">
      <c r="A6538" s="5" t="s">
        <v>671</v>
      </c>
      <c r="B6538" s="0" t="s">
        <v>52</v>
      </c>
      <c r="C6538" s="13" t="n">
        <f aca="false">Sens!$C$6501/tk_pq</f>
        <v>0.195316432429398</v>
      </c>
      <c r="D6538" s="13" t="n">
        <f aca="false">Sens!$D$6501/tk_pq</f>
        <v>0.195316432429398</v>
      </c>
      <c r="E6538" s="13" t="n">
        <f aca="false">Sens!$E$6501/tk_pq</f>
        <v>0.195316432429398</v>
      </c>
      <c r="F6538" s="13" t="n">
        <f aca="false">Sens!$F$6501/tk_pq</f>
        <v>0.202241827274866</v>
      </c>
      <c r="G6538" s="13" t="n">
        <f aca="false">Sens!$G$6501/tk_pq</f>
        <v>0.199675016194063</v>
      </c>
      <c r="H6538" s="13" t="n">
        <f aca="false">Sens!$H$6501/tk_pq</f>
        <v>0.212647947710325</v>
      </c>
      <c r="I6538" s="13" t="n">
        <f aca="false">Sens!$I$6501/tk_pq</f>
        <v>0.219285125475351</v>
      </c>
      <c r="J6538" s="13" t="n">
        <f aca="false">Sens!$J$6501/tk_pq</f>
        <v>0.222492493217189</v>
      </c>
      <c r="K6538" s="13" t="n">
        <f aca="false">Sens!$K$6501/tk_pq</f>
        <v>0.224053502812094</v>
      </c>
      <c r="L6538" s="13" t="n">
        <f aca="false">Sens!$L$6501/tk_pq</f>
        <v>0.224786916785614</v>
      </c>
      <c r="M6538" s="13" t="n">
        <f aca="false">Sens!$M$6501/tk_pq</f>
        <v>0.225048671566937</v>
      </c>
      <c r="N6538" s="13" t="n">
        <f aca="false">Sens!$N$6501/tk_pq</f>
        <v>0.195316432429398</v>
      </c>
      <c r="O6538" s="13" t="n">
        <f aca="false">Sens!$O$6501/tk_pq</f>
        <v>0.195316432429398</v>
      </c>
      <c r="P6538" s="5" t="s">
        <v>672</v>
      </c>
    </row>
    <row r="6541" customFormat="false" ht="17.15" hidden="false" customHeight="false" outlineLevel="0" collapsed="false">
      <c r="A6541" s="1" t="s">
        <v>701</v>
      </c>
    </row>
    <row r="6542" customFormat="false" ht="17.15" hidden="false" customHeight="false" outlineLevel="0" collapsed="false">
      <c r="A6542" s="0" t="s">
        <v>702</v>
      </c>
      <c r="B6542" s="0" t="s">
        <v>86</v>
      </c>
      <c r="C6542" s="38" t="n">
        <f aca="false">Sens!$C$6500</f>
        <v>2.32100535697364</v>
      </c>
      <c r="D6542" s="38" t="n">
        <f aca="false">Sens!$D$6500</f>
        <v>8.70377008865116</v>
      </c>
      <c r="E6542" s="38" t="n">
        <f aca="false">Sens!$E$6500</f>
        <v>8.51035297557002</v>
      </c>
      <c r="F6542" s="38" t="n">
        <f aca="false">Sens!$F$6500</f>
        <v>14.9634336447205</v>
      </c>
      <c r="G6542" s="38" t="n">
        <f aca="false">Sens!$G$6500</f>
        <v>23.4737866202905</v>
      </c>
      <c r="H6542" s="38" t="n">
        <f aca="false">Sens!$H$6500</f>
        <v>60.1658907497746</v>
      </c>
      <c r="I6542" s="38" t="n">
        <f aca="false">Sens!$I$6500</f>
        <v>101.503699136432</v>
      </c>
      <c r="J6542" s="38" t="n">
        <f aca="false">Sens!$J$6500</f>
        <v>143.025407151278</v>
      </c>
      <c r="K6542" s="38" t="n">
        <f aca="false">Sens!$K$6500</f>
        <v>178.44812038318</v>
      </c>
      <c r="L6542" s="38" t="n">
        <f aca="false">Sens!$L$6500</f>
        <v>201.728101802396</v>
      </c>
      <c r="M6542" s="38" t="n">
        <f aca="false">Sens!$M$6500</f>
        <v>212.835441368865</v>
      </c>
      <c r="N6542" s="38" t="n">
        <f aca="false">Sens!$N$6500</f>
        <v>3.04631953102791</v>
      </c>
      <c r="O6542" s="38" t="n">
        <f aca="false">Sens!$O$6500</f>
        <v>5.65745055762326</v>
      </c>
      <c r="P6542" s="8" t="s">
        <v>703</v>
      </c>
    </row>
    <row r="6543" customFormat="false" ht="17.15" hidden="false" customHeight="false" outlineLevel="0" collapsed="false">
      <c r="A6543" s="0" t="s">
        <v>704</v>
      </c>
      <c r="B6543" s="0" t="s">
        <v>86</v>
      </c>
      <c r="C6543" s="38" t="n">
        <f aca="false">Sens!$C$6504</f>
        <v>105.234994643026</v>
      </c>
      <c r="D6543" s="38" t="n">
        <f aca="false">Sens!$D$6504</f>
        <v>120.021229911349</v>
      </c>
      <c r="E6543" s="38" t="n">
        <f aca="false">Sens!$E$6504</f>
        <v>71.30864702443</v>
      </c>
      <c r="F6543" s="38" t="n">
        <f aca="false">Sens!$F$6504</f>
        <v>71.7692997942464</v>
      </c>
      <c r="G6543" s="38" t="n">
        <f aca="false">Sens!$G$6504</f>
        <v>143.077946818676</v>
      </c>
      <c r="H6543" s="38" t="n">
        <f aca="false">Sens!$H$6504</f>
        <v>161.017077079203</v>
      </c>
      <c r="I6543" s="38" t="n">
        <f aca="false">Sens!$I$6504</f>
        <v>178.769759521457</v>
      </c>
      <c r="J6543" s="38" t="n">
        <f aca="false">Sens!$J$6504</f>
        <v>195.775538045907</v>
      </c>
      <c r="K6543" s="38" t="n">
        <f aca="false">Sens!$K$6504</f>
        <v>211.43758108958</v>
      </c>
      <c r="L6543" s="38" t="n">
        <f aca="false">Sens!$L$6504</f>
        <v>228.352587576746</v>
      </c>
      <c r="M6543" s="38" t="n">
        <f aca="false">Sens!$M$6504</f>
        <v>246.620794582886</v>
      </c>
      <c r="N6543" s="38" t="n">
        <f aca="false">Sens!$N$6504</f>
        <v>57.0936804689721</v>
      </c>
      <c r="O6543" s="38" t="n">
        <f aca="false">Sens!$O$6504</f>
        <v>62.9275494423768</v>
      </c>
      <c r="P6543" s="8" t="s">
        <v>703</v>
      </c>
    </row>
    <row r="6544" customFormat="false" ht="17.15" hidden="false" customHeight="false" outlineLevel="0" collapsed="false">
      <c r="A6544" s="1" t="s">
        <v>523</v>
      </c>
      <c r="B6544" s="8" t="s">
        <v>86</v>
      </c>
      <c r="C6544" s="38" t="n">
        <f aca="false">Q!$D$7</f>
        <v>107.556</v>
      </c>
      <c r="D6544" s="38" t="n">
        <f aca="false">Q!$E$7</f>
        <v>128.725</v>
      </c>
      <c r="E6544" s="38" t="n">
        <f aca="false">Q!$P$7</f>
        <v>79.819</v>
      </c>
      <c r="F6544" s="38" t="n">
        <f aca="false">Sens!$F$6542+Sens!$F$6543</f>
        <v>86.7327334389669</v>
      </c>
      <c r="G6544" s="38" t="n">
        <f aca="false">Sens!$G$6542+Sens!$G$6543</f>
        <v>166.551733438967</v>
      </c>
      <c r="H6544" s="38" t="n">
        <f aca="false">Sens!$H$6542+Sens!$H$6543</f>
        <v>221.182967828978</v>
      </c>
      <c r="I6544" s="38" t="n">
        <f aca="false">Sens!$I$6542+Sens!$I$6543</f>
        <v>280.27345865789</v>
      </c>
      <c r="J6544" s="38" t="n">
        <f aca="false">Sens!$J$6542+Sens!$J$6543</f>
        <v>338.800945197185</v>
      </c>
      <c r="K6544" s="38" t="n">
        <f aca="false">Sens!$K$6542+Sens!$K$6543</f>
        <v>389.88570147276</v>
      </c>
      <c r="L6544" s="38" t="n">
        <f aca="false">Sens!$L$6542+Sens!$L$6543</f>
        <v>430.080689379143</v>
      </c>
      <c r="M6544" s="38" t="n">
        <f aca="false">Sens!$M$6542+Sens!$M$6543</f>
        <v>459.456235951751</v>
      </c>
      <c r="N6544" s="38" t="n">
        <f aca="false">Q!$N$7</f>
        <v>60.14</v>
      </c>
      <c r="O6544" s="38" t="n">
        <f aca="false">Q!$O$7</f>
        <v>68.585</v>
      </c>
      <c r="P6544" s="5" t="s">
        <v>705</v>
      </c>
    </row>
    <row r="6545" customFormat="false" ht="15" hidden="false" customHeight="false" outlineLevel="0" collapsed="false">
      <c r="A6545" s="3" t="s">
        <v>706</v>
      </c>
      <c r="B6545" s="8" t="s">
        <v>86</v>
      </c>
      <c r="C6545" s="38" t="n">
        <f aca="false">Q!$D$8</f>
        <v>637.959</v>
      </c>
      <c r="D6545" s="38" t="n">
        <f aca="false">Q!$E$8</f>
        <v>716.924</v>
      </c>
      <c r="E6545" s="38" t="n">
        <f aca="false">Q!$P$8</f>
        <v>382.125</v>
      </c>
      <c r="F6545" s="38" t="n">
        <f aca="false">Sens!$F$6472+Sens!$F$6544</f>
        <v>435.780975084504</v>
      </c>
      <c r="G6545" s="38" t="n">
        <f aca="false">Sens!$G$6472+Sens!$G$6544</f>
        <v>817.905975084504</v>
      </c>
      <c r="H6545" s="38" t="n">
        <f aca="false">Sens!$H$6472+Sens!$H$6544</f>
        <v>942.279857350364</v>
      </c>
      <c r="I6545" s="38" t="n">
        <f aca="false">Sens!$I$6472+Sens!$I$6544</f>
        <v>1068.80284981042</v>
      </c>
      <c r="J6545" s="38" t="n">
        <f aca="false">Sens!$J$6472+Sens!$J$6544</f>
        <v>1189.90935093863</v>
      </c>
      <c r="K6545" s="38" t="n">
        <f aca="false">Sens!$K$6472+Sens!$K$6544</f>
        <v>1296.06215690385</v>
      </c>
      <c r="L6545" s="38" t="n">
        <f aca="false">Sens!$L$6472+Sens!$L$6544</f>
        <v>1395.17379585473</v>
      </c>
      <c r="M6545" s="38" t="n">
        <f aca="false">Sens!$M$6472+Sens!$M$6544</f>
        <v>1487.60414389864</v>
      </c>
      <c r="N6545" s="38" t="n">
        <f aca="false">Q!$N$8</f>
        <v>323.369</v>
      </c>
      <c r="O6545" s="38" t="n">
        <f aca="false">Q!$O$8</f>
        <v>393.555</v>
      </c>
    </row>
    <row r="6546" customFormat="false" ht="17.15" hidden="false" customHeight="false" outlineLevel="0" collapsed="false">
      <c r="A6546" s="24" t="s">
        <v>714</v>
      </c>
      <c r="B6546" s="25" t="s">
        <v>86</v>
      </c>
      <c r="C6546" s="41" t="n">
        <f aca="false">Sens!$C$6472-(Sens!$C$6474+Sens!$C$6475)</f>
        <v>0</v>
      </c>
      <c r="D6546" s="41" t="n">
        <f aca="false">Sens!$D$6472-(Sens!$D$6474+Sens!$D$6475)</f>
        <v>0</v>
      </c>
      <c r="E6546" s="41" t="n">
        <f aca="false">Sens!$E$6472-(Sens!$E$6474+Sens!$E$6475)</f>
        <v>0</v>
      </c>
      <c r="F6546" s="41" t="n">
        <f aca="false">Sens!$F$6472-(Sens!$F$6474+Sens!$F$6475)</f>
        <v>0</v>
      </c>
      <c r="G6546" s="41" t="n">
        <f aca="false">Sens!$G$6472-(Sens!$G$6474+Sens!$G$6475)</f>
        <v>0</v>
      </c>
      <c r="H6546" s="41" t="n">
        <f aca="false">Sens!$H$6472-(Sens!$H$6474+Sens!$H$6475)</f>
        <v>0</v>
      </c>
      <c r="I6546" s="41" t="n">
        <f aca="false">Sens!$I$6472-(Sens!$I$6474+Sens!$I$6475)</f>
        <v>0</v>
      </c>
      <c r="J6546" s="41" t="n">
        <f aca="false">Sens!$J$6472-(Sens!$J$6474+Sens!$J$6475)</f>
        <v>0</v>
      </c>
      <c r="K6546" s="41" t="n">
        <f aca="false">Sens!$K$6472-(Sens!$K$6474+Sens!$K$6475)</f>
        <v>0</v>
      </c>
      <c r="L6546" s="41" t="n">
        <f aca="false">Sens!$L$6472-(Sens!$L$6474+Sens!$L$6475)</f>
        <v>0</v>
      </c>
      <c r="M6546" s="41" t="n">
        <f aca="false">Sens!$M$6472-(Sens!$M$6474+Sens!$M$6475)</f>
        <v>0</v>
      </c>
      <c r="N6546" s="41" t="n">
        <f aca="false">Sens!$N$6472-(Sens!$N$6474+Sens!$N$6475)</f>
        <v>0</v>
      </c>
      <c r="O6546" s="41" t="n">
        <f aca="false">Sens!$O$6472-(Sens!$O$6474+Sens!$O$6475)</f>
        <v>0</v>
      </c>
    </row>
    <row r="6547" customFormat="false" ht="17.15" hidden="false" customHeight="false" outlineLevel="0" collapsed="false">
      <c r="A6547" s="24" t="s">
        <v>715</v>
      </c>
      <c r="B6547" s="25" t="s">
        <v>86</v>
      </c>
      <c r="C6547" s="41" t="n">
        <f aca="false">Sens!$C$6542+Sens!$C$6543-Sens!$C$6544</f>
        <v>0</v>
      </c>
      <c r="D6547" s="41" t="n">
        <f aca="false">Sens!$D$6542+Sens!$D$6543-Sens!$D$6544</f>
        <v>0</v>
      </c>
      <c r="E6547" s="41" t="n">
        <f aca="false">Sens!$E$6542+Sens!$E$6543-Sens!$E$6544</f>
        <v>0</v>
      </c>
      <c r="F6547" s="41" t="n">
        <f aca="false">Sens!$F$6542+Sens!$F$6543-Sens!$F$6544</f>
        <v>0</v>
      </c>
      <c r="G6547" s="41" t="n">
        <f aca="false">Sens!$G$6542+Sens!$G$6543-Sens!$G$6544</f>
        <v>0</v>
      </c>
      <c r="H6547" s="41" t="n">
        <f aca="false">Sens!$H$6542+Sens!$H$6543-Sens!$H$6544</f>
        <v>0</v>
      </c>
      <c r="I6547" s="41" t="n">
        <f aca="false">Sens!$I$6542+Sens!$I$6543-Sens!$I$6544</f>
        <v>0</v>
      </c>
      <c r="J6547" s="41" t="n">
        <f aca="false">Sens!$J$6542+Sens!$J$6543-Sens!$J$6544</f>
        <v>0</v>
      </c>
      <c r="K6547" s="41" t="n">
        <f aca="false">Sens!$K$6542+Sens!$K$6543-Sens!$K$6544</f>
        <v>0</v>
      </c>
      <c r="L6547" s="41" t="n">
        <f aca="false">Sens!$L$6542+Sens!$L$6543-Sens!$L$6544</f>
        <v>0</v>
      </c>
      <c r="M6547" s="41" t="n">
        <f aca="false">Sens!$M$6542+Sens!$M$6543-Sens!$M$6544</f>
        <v>0</v>
      </c>
      <c r="N6547" s="41" t="n">
        <f aca="false">Sens!$N$6542+Sens!$N$6543-Sens!$N$6544</f>
        <v>0</v>
      </c>
      <c r="O6547" s="41" t="n">
        <f aca="false">Sens!$O$6542+Sens!$O$6543-Sens!$O$6544</f>
        <v>0</v>
      </c>
    </row>
    <row r="6548" customFormat="false" ht="17.15" hidden="false" customHeight="false" outlineLevel="0" collapsed="false">
      <c r="A6548" s="24" t="s">
        <v>716</v>
      </c>
      <c r="B6548" s="25" t="s">
        <v>86</v>
      </c>
      <c r="C6548" s="41" t="n">
        <f aca="false">Sens!$C$6474+Sens!$C$6475+Sens!$C$6544-Sens!$C$6545</f>
        <v>0</v>
      </c>
      <c r="D6548" s="41" t="n">
        <f aca="false">Sens!$D$6474+Sens!$D$6475+Sens!$D$6544-Sens!$D$6545</f>
        <v>0</v>
      </c>
      <c r="E6548" s="41" t="n">
        <f aca="false">Sens!$E$6474+Sens!$E$6475+Sens!$E$6544-Sens!$E$6545</f>
        <v>0</v>
      </c>
      <c r="F6548" s="41" t="n">
        <f aca="false">Sens!$F$6474+Sens!$F$6475+Sens!$F$6544-Sens!$F$6545</f>
        <v>0</v>
      </c>
      <c r="G6548" s="41" t="n">
        <f aca="false">Sens!$G$6474+Sens!$G$6475+Sens!$G$6544-Sens!$G$6545</f>
        <v>0</v>
      </c>
      <c r="H6548" s="41" t="n">
        <f aca="false">Sens!$H$6474+Sens!$H$6475+Sens!$H$6544-Sens!$H$6545</f>
        <v>0</v>
      </c>
      <c r="I6548" s="41" t="n">
        <f aca="false">Sens!$I$6474+Sens!$I$6475+Sens!$I$6544-Sens!$I$6545</f>
        <v>0</v>
      </c>
      <c r="J6548" s="41" t="n">
        <f aca="false">Sens!$J$6474+Sens!$J$6475+Sens!$J$6544-Sens!$J$6545</f>
        <v>0</v>
      </c>
      <c r="K6548" s="41" t="n">
        <f aca="false">Sens!$K$6474+Sens!$K$6475+Sens!$K$6544-Sens!$K$6545</f>
        <v>0</v>
      </c>
      <c r="L6548" s="41" t="n">
        <f aca="false">Sens!$L$6474+Sens!$L$6475+Sens!$L$6544-Sens!$L$6545</f>
        <v>0</v>
      </c>
      <c r="M6548" s="41" t="n">
        <f aca="false">Sens!$M$6474+Sens!$M$6475+Sens!$M$6544-Sens!$M$6545</f>
        <v>0</v>
      </c>
      <c r="N6548" s="41" t="n">
        <f aca="false">Sens!$N$6474+Sens!$N$6475+Sens!$N$6544-Sens!$N$6545</f>
        <v>0</v>
      </c>
      <c r="O6548" s="41" t="n">
        <f aca="false">Sens!$O$6474+Sens!$O$6475+Sens!$O$6544-Sens!$O$6545</f>
        <v>0</v>
      </c>
    </row>
    <row r="6549" customFormat="false" ht="15" hidden="false" customHeight="false" outlineLevel="0" collapsed="false">
      <c r="A6549" s="5" t="s">
        <v>710</v>
      </c>
      <c r="B6549" s="0" t="s">
        <v>52</v>
      </c>
      <c r="G6549" s="13" t="n">
        <f aca="false">Sens!$G$6545/Sens!$D$6545-1</f>
        <v>0.140854504918937</v>
      </c>
      <c r="H6549" s="13" t="n">
        <f aca="false">Sens!$H$6545/Sens!$G$6545-1</f>
        <v>0.152063789793209</v>
      </c>
      <c r="I6549" s="13" t="n">
        <f aca="false">Sens!$I$6545/Sens!$H$6545-1</f>
        <v>0.134273264437417</v>
      </c>
      <c r="J6549" s="13" t="n">
        <f aca="false">Sens!$J$6545/Sens!$I$6545-1</f>
        <v>0.113310421234083</v>
      </c>
      <c r="K6549" s="13" t="n">
        <f aca="false">Sens!$K$6545/Sens!$J$6545-1</f>
        <v>0.0892108343223652</v>
      </c>
      <c r="L6549" s="13" t="n">
        <f aca="false">Sens!$L$6545/Sens!$K$6545-1</f>
        <v>0.076471362444261</v>
      </c>
      <c r="M6549" s="13" t="n">
        <f aca="false">Sens!$M$6545/Sens!$L$6545-1</f>
        <v>0.066250060256672</v>
      </c>
    </row>
    <row r="6550" customFormat="false" ht="17.15" hidden="false" customHeight="false" outlineLevel="0" collapsed="false">
      <c r="A6550" s="0" t="s">
        <v>711</v>
      </c>
      <c r="B6550" s="0" t="s">
        <v>52</v>
      </c>
      <c r="C6550" s="13" t="n">
        <f aca="false">Sens!$C$6544/Sens!$C$6545</f>
        <v>0.168593906504964</v>
      </c>
      <c r="D6550" s="13" t="n">
        <f aca="false">Sens!$D$6544/Sens!$D$6545</f>
        <v>0.179551807444025</v>
      </c>
      <c r="E6550" s="13" t="n">
        <f aca="false">Sens!$E$6544/Sens!$E$6545</f>
        <v>0.208881910369643</v>
      </c>
      <c r="F6550" s="13" t="n">
        <f aca="false">Sens!$F$6544/Sens!$F$6545</f>
        <v>0.199028269699356</v>
      </c>
      <c r="G6550" s="13" t="n">
        <f aca="false">Sens!$G$6544/Sens!$G$6545</f>
        <v>0.203631882529968</v>
      </c>
      <c r="H6550" s="13" t="n">
        <f aca="false">Sens!$H$6544/Sens!$H$6545</f>
        <v>0.234731715958496</v>
      </c>
      <c r="I6550" s="13" t="n">
        <f aca="false">Sens!$I$6544/Sens!$I$6545</f>
        <v>0.262231204480418</v>
      </c>
      <c r="J6550" s="13" t="n">
        <f aca="false">Sens!$J$6544/Sens!$J$6545</f>
        <v>0.284728366013706</v>
      </c>
      <c r="K6550" s="13" t="n">
        <f aca="false">Sens!$K$6544/Sens!$K$6545</f>
        <v>0.300823304959505</v>
      </c>
      <c r="L6550" s="13" t="n">
        <f aca="false">Sens!$L$6544/Sens!$L$6545</f>
        <v>0.308263164529735</v>
      </c>
      <c r="M6550" s="13" t="n">
        <f aca="false">Sens!$M$6544/Sens!$M$6545</f>
        <v>0.308856517936036</v>
      </c>
      <c r="N6550" s="13" t="n">
        <f aca="false">Sens!$N$6544/Sens!$N$6545</f>
        <v>0.185979484737251</v>
      </c>
      <c r="O6550" s="13" t="n">
        <f aca="false">Sens!$O$6544/Sens!$O$6545</f>
        <v>0.174270432341096</v>
      </c>
    </row>
    <row r="6551" customFormat="false" ht="17.15" hidden="false" customHeight="false" outlineLevel="0" collapsed="false">
      <c r="A6551" s="0" t="s">
        <v>712</v>
      </c>
      <c r="B6551" s="0" t="s">
        <v>52</v>
      </c>
      <c r="C6551" s="13" t="n">
        <f aca="false">Sens!$C$6542/Sens!$C$6544</f>
        <v>0.0215795060896058</v>
      </c>
      <c r="D6551" s="13" t="n">
        <f aca="false">Sens!$D$6542/Sens!$D$6544</f>
        <v>0.0676152269462122</v>
      </c>
      <c r="E6551" s="13" t="n">
        <f aca="false">Sens!$E$6542/Sens!$E$6544</f>
        <v>0.106620641395783</v>
      </c>
      <c r="F6551" s="13" t="n">
        <f aca="false">Sens!$F$6542/Sens!$F$6544</f>
        <v>0.172523487401099</v>
      </c>
      <c r="G6551" s="13" t="n">
        <f aca="false">Sens!$G$6542/Sens!$G$6544</f>
        <v>0.140939911795589</v>
      </c>
      <c r="H6551" s="13" t="n">
        <f aca="false">Sens!$H$6542/Sens!$H$6544</f>
        <v>0.272018642937714</v>
      </c>
      <c r="I6551" s="13" t="n">
        <f aca="false">Sens!$I$6542/Sens!$I$6544</f>
        <v>0.362159512436497</v>
      </c>
      <c r="J6551" s="13" t="n">
        <f aca="false">Sens!$J$6542/Sens!$J$6544</f>
        <v>0.422151735934609</v>
      </c>
      <c r="K6551" s="13" t="n">
        <f aca="false">Sens!$K$6542/Sens!$K$6544</f>
        <v>0.45769342068485</v>
      </c>
      <c r="L6551" s="13" t="n">
        <f aca="false">Sens!$L$6542/Sens!$L$6544</f>
        <v>0.469047103913472</v>
      </c>
      <c r="M6551" s="13" t="n">
        <f aca="false">Sens!$M$6542/Sens!$M$6544</f>
        <v>0.463233328258093</v>
      </c>
      <c r="N6551" s="13" t="n">
        <f aca="false">Sens!$N$6542/Sens!$N$6544</f>
        <v>0.0506537999838362</v>
      </c>
      <c r="O6551" s="13" t="n">
        <f aca="false">Sens!$O$6542/Sens!$O$6544</f>
        <v>0.0824881615167056</v>
      </c>
    </row>
    <row r="6554" customFormat="false" ht="19.4" hidden="false" customHeight="false" outlineLevel="0" collapsed="false">
      <c r="A6554" s="31" t="s">
        <v>1284</v>
      </c>
    </row>
    <row r="6555" customFormat="false" ht="17.15" hidden="false" customHeight="false" outlineLevel="0" collapsed="false">
      <c r="A6555" s="6" t="s">
        <v>16</v>
      </c>
      <c r="B6555" s="6" t="s">
        <v>17</v>
      </c>
      <c r="C6555" s="20" t="s">
        <v>504</v>
      </c>
      <c r="D6555" s="20" t="s">
        <v>505</v>
      </c>
      <c r="E6555" s="20" t="s">
        <v>587</v>
      </c>
      <c r="F6555" s="20" t="s">
        <v>588</v>
      </c>
      <c r="G6555" s="20" t="s">
        <v>589</v>
      </c>
      <c r="H6555" s="20" t="s">
        <v>590</v>
      </c>
      <c r="I6555" s="20" t="s">
        <v>591</v>
      </c>
      <c r="J6555" s="20" t="s">
        <v>592</v>
      </c>
      <c r="K6555" s="20" t="s">
        <v>593</v>
      </c>
      <c r="L6555" s="20" t="s">
        <v>594</v>
      </c>
      <c r="M6555" s="20" t="s">
        <v>595</v>
      </c>
      <c r="N6555" s="20" t="s">
        <v>596</v>
      </c>
      <c r="O6555" s="20" t="s">
        <v>597</v>
      </c>
      <c r="P6555" s="6" t="s">
        <v>23</v>
      </c>
      <c r="R6555" s="20" t="n">
        <v>2023</v>
      </c>
      <c r="S6555" s="20" t="n">
        <v>2024</v>
      </c>
      <c r="T6555" s="20" t="n">
        <v>2025</v>
      </c>
      <c r="U6555" s="20" t="n">
        <v>2026</v>
      </c>
      <c r="V6555" s="20" t="n">
        <v>2027</v>
      </c>
      <c r="W6555" s="20" t="n">
        <v>2028</v>
      </c>
      <c r="X6555" s="20" t="n">
        <v>2029</v>
      </c>
      <c r="Y6555" s="20" t="n">
        <v>2030</v>
      </c>
      <c r="Z6555" s="20" t="n">
        <v>2031</v>
      </c>
      <c r="AA6555" s="20" t="n">
        <v>2032</v>
      </c>
    </row>
    <row r="6556" customFormat="false" ht="17.15" hidden="false" customHeight="false" outlineLevel="0" collapsed="false">
      <c r="A6556" s="1" t="s">
        <v>727</v>
      </c>
    </row>
    <row r="6557" customFormat="false" ht="15" hidden="false" customHeight="false" outlineLevel="0" collapsed="false">
      <c r="A6557" s="0" t="s">
        <v>526</v>
      </c>
      <c r="B6557" s="0" t="s">
        <v>86</v>
      </c>
      <c r="C6557" s="38" t="n">
        <f aca="false">Sens!$C$6459</f>
        <v>247.029</v>
      </c>
      <c r="D6557" s="38" t="n">
        <f aca="false">Sens!$D$6459</f>
        <v>269.287</v>
      </c>
      <c r="E6557" s="38" t="n">
        <f aca="false">Sens!$E$6459</f>
        <v>134.686</v>
      </c>
      <c r="F6557" s="38" t="n">
        <f aca="false">Sens!$F$6459</f>
        <v>158.293876822267</v>
      </c>
      <c r="G6557" s="38" t="n">
        <f aca="false">Sens!$G$6459</f>
        <v>292.979876822267</v>
      </c>
      <c r="H6557" s="38" t="n">
        <f aca="false">Sens!$H$6459</f>
        <v>318.184543087396</v>
      </c>
      <c r="I6557" s="38" t="n">
        <f aca="false">Sens!$I$6459</f>
        <v>341.736278761793</v>
      </c>
      <c r="J6557" s="38" t="n">
        <f aca="false">Sens!$J$6459</f>
        <v>362.927192787048</v>
      </c>
      <c r="K6557" s="38" t="n">
        <f aca="false">Sens!$K$6459</f>
        <v>381.0735524264</v>
      </c>
      <c r="L6557" s="38" t="n">
        <f aca="false">Sens!$L$6459</f>
        <v>400.12723004772</v>
      </c>
      <c r="M6557" s="38" t="n">
        <f aca="false">Sens!$M$6459</f>
        <v>420.133591550106</v>
      </c>
      <c r="N6557" s="38" t="n">
        <f aca="false">Sens!$N$6459</f>
        <v>118.892</v>
      </c>
      <c r="O6557" s="38" t="n">
        <f aca="false">Sens!$O$6459</f>
        <v>150.395</v>
      </c>
    </row>
    <row r="6558" customFormat="false" ht="15" hidden="false" customHeight="false" outlineLevel="0" collapsed="false">
      <c r="A6558" s="0" t="s">
        <v>527</v>
      </c>
      <c r="B6558" s="0" t="s">
        <v>86</v>
      </c>
      <c r="C6558" s="38" t="n">
        <f aca="false">Sens!$C$6461</f>
        <v>21.215</v>
      </c>
      <c r="D6558" s="38" t="n">
        <f aca="false">Sens!$D$6461</f>
        <v>22.561</v>
      </c>
      <c r="E6558" s="38" t="n">
        <f aca="false">Sens!$E$6461</f>
        <v>11.579</v>
      </c>
      <c r="F6558" s="38" t="n">
        <f aca="false">Sens!$F$6461</f>
        <v>11.5938724610325</v>
      </c>
      <c r="G6558" s="38" t="n">
        <f aca="false">Sens!$G$6461</f>
        <v>23.1728724610325</v>
      </c>
      <c r="H6558" s="38" t="n">
        <f aca="false">Sens!$H$6461</f>
        <v>24.353392759506</v>
      </c>
      <c r="I6558" s="38" t="n">
        <f aca="false">Sens!$I$6461</f>
        <v>25.4240338872015</v>
      </c>
      <c r="J6558" s="38" t="n">
        <f aca="false">Sens!$J$6461</f>
        <v>26.3642491017174</v>
      </c>
      <c r="K6558" s="38" t="n">
        <f aca="false">Sens!$K$6461</f>
        <v>27.155176574769</v>
      </c>
      <c r="L6558" s="38" t="n">
        <f aca="false">Sens!$L$6461</f>
        <v>27.969831872012</v>
      </c>
      <c r="M6558" s="38" t="n">
        <f aca="false">Sens!$M$6461</f>
        <v>28.8089268281724</v>
      </c>
      <c r="N6558" s="38" t="n">
        <f aca="false">Sens!$N$6461</f>
        <v>11.128</v>
      </c>
      <c r="O6558" s="38" t="n">
        <f aca="false">Sens!$O$6461</f>
        <v>11.433</v>
      </c>
    </row>
    <row r="6559" customFormat="false" ht="15" hidden="false" customHeight="false" outlineLevel="0" collapsed="false">
      <c r="A6559" s="0" t="s">
        <v>528</v>
      </c>
      <c r="B6559" s="0" t="s">
        <v>86</v>
      </c>
      <c r="C6559" s="38" t="n">
        <f aca="false">Sens!$C$6463</f>
        <v>156.146</v>
      </c>
      <c r="D6559" s="38" t="n">
        <f aca="false">Sens!$D$6463</f>
        <v>172.162</v>
      </c>
      <c r="E6559" s="38" t="n">
        <f aca="false">Sens!$E$6463</f>
        <v>88.358</v>
      </c>
      <c r="F6559" s="38" t="n">
        <f aca="false">Sens!$F$6463</f>
        <v>102.004388260171</v>
      </c>
      <c r="G6559" s="38" t="n">
        <f aca="false">Sens!$G$6463</f>
        <v>190.362388260171</v>
      </c>
      <c r="H6559" s="38" t="n">
        <f aca="false">Sens!$H$6463</f>
        <v>210.343106588311</v>
      </c>
      <c r="I6559" s="38" t="n">
        <f aca="false">Sens!$I$6463</f>
        <v>229.969728494648</v>
      </c>
      <c r="J6559" s="38" t="n">
        <f aca="false">Sens!$J$6463</f>
        <v>248.747636972598</v>
      </c>
      <c r="K6559" s="38" t="n">
        <f aca="false">Sens!$K$6463</f>
        <v>266.15997156068</v>
      </c>
      <c r="L6559" s="38" t="n">
        <f aca="false">Sens!$L$6463</f>
        <v>284.791169569927</v>
      </c>
      <c r="M6559" s="38" t="n">
        <f aca="false">Sens!$M$6463</f>
        <v>304.726551439822</v>
      </c>
      <c r="N6559" s="38" t="n">
        <f aca="false">Sens!$N$6463</f>
        <v>76.86</v>
      </c>
      <c r="O6559" s="38" t="n">
        <f aca="false">Sens!$O$6463</f>
        <v>95.302</v>
      </c>
    </row>
    <row r="6560" customFormat="false" ht="15" hidden="false" customHeight="false" outlineLevel="0" collapsed="false">
      <c r="A6560" s="0" t="s">
        <v>529</v>
      </c>
      <c r="B6560" s="0" t="s">
        <v>86</v>
      </c>
      <c r="C6560" s="38" t="n">
        <f aca="false">Sens!$C$6465</f>
        <v>56.214</v>
      </c>
      <c r="D6560" s="38" t="n">
        <f aca="false">Sens!$D$6465</f>
        <v>68.635</v>
      </c>
      <c r="E6560" s="38" t="n">
        <f aca="false">Sens!$E$6465</f>
        <v>37.052</v>
      </c>
      <c r="F6560" s="38" t="n">
        <f aca="false">Sens!$F$6465</f>
        <v>46.1572219944148</v>
      </c>
      <c r="G6560" s="38" t="n">
        <f aca="false">Sens!$G$6465</f>
        <v>83.2092219944148</v>
      </c>
      <c r="H6560" s="38" t="n">
        <f aca="false">Sens!$H$6465</f>
        <v>99.8969223878976</v>
      </c>
      <c r="I6560" s="38" t="n">
        <f aca="false">Sens!$I$6465</f>
        <v>116.583111095496</v>
      </c>
      <c r="J6560" s="38" t="n">
        <f aca="false">Sens!$J$6465</f>
        <v>132.148941941952</v>
      </c>
      <c r="K6560" s="38" t="n">
        <f aca="false">Sens!$K$6465</f>
        <v>145.363836136147</v>
      </c>
      <c r="L6560" s="38" t="n">
        <f aca="false">Sens!$L$6465</f>
        <v>159.900219749762</v>
      </c>
      <c r="M6560" s="38" t="n">
        <f aca="false">Sens!$M$6465</f>
        <v>175.890241724738</v>
      </c>
      <c r="N6560" s="38" t="n">
        <f aca="false">Sens!$N$6465</f>
        <v>29.615</v>
      </c>
      <c r="O6560" s="38" t="n">
        <f aca="false">Sens!$O$6465</f>
        <v>39.02</v>
      </c>
    </row>
    <row r="6561" customFormat="false" ht="15" hidden="false" customHeight="false" outlineLevel="0" collapsed="false">
      <c r="A6561" s="0" t="s">
        <v>530</v>
      </c>
      <c r="B6561" s="0" t="s">
        <v>86</v>
      </c>
      <c r="C6561" s="38" t="n">
        <f aca="false">Sens!$C$6467</f>
        <v>44.374</v>
      </c>
      <c r="D6561" s="38" t="n">
        <f aca="false">Sens!$D$6467</f>
        <v>49.619</v>
      </c>
      <c r="E6561" s="38" t="n">
        <f aca="false">Sens!$E$6467</f>
        <v>27.157</v>
      </c>
      <c r="F6561" s="38" t="n">
        <f aca="false">Sens!$F$6467</f>
        <v>27.7764165988154</v>
      </c>
      <c r="G6561" s="38" t="n">
        <f aca="false">Sens!$G$6467</f>
        <v>54.9334165988154</v>
      </c>
      <c r="H6561" s="38" t="n">
        <f aca="false">Sens!$H$6467</f>
        <v>61.1564112561829</v>
      </c>
      <c r="I6561" s="38" t="n">
        <f aca="false">Sens!$I$6467</f>
        <v>67.2020282103945</v>
      </c>
      <c r="J6561" s="38" t="n">
        <f aca="false">Sens!$J$6467</f>
        <v>72.8757274028885</v>
      </c>
      <c r="K6561" s="38" t="n">
        <f aca="false">Sens!$K$6467</f>
        <v>77.9770283210907</v>
      </c>
      <c r="L6561" s="38" t="n">
        <f aca="false">Sens!$L$6467</f>
        <v>83.4354203035671</v>
      </c>
      <c r="M6561" s="38" t="n">
        <f aca="false">Sens!$M$6467</f>
        <v>89.2758997248168</v>
      </c>
      <c r="N6561" s="38" t="n">
        <f aca="false">Sens!$N$6467</f>
        <v>23.923</v>
      </c>
      <c r="O6561" s="38" t="n">
        <f aca="false">Sens!$O$6467</f>
        <v>25.696</v>
      </c>
    </row>
    <row r="6562" customFormat="false" ht="15" hidden="false" customHeight="false" outlineLevel="0" collapsed="false">
      <c r="A6562" s="0" t="s">
        <v>531</v>
      </c>
      <c r="B6562" s="0" t="s">
        <v>86</v>
      </c>
      <c r="C6562" s="38" t="n">
        <f aca="false">Sens!$C$6469</f>
        <v>5.425</v>
      </c>
      <c r="D6562" s="38" t="n">
        <f aca="false">Sens!$D$6469</f>
        <v>5.935</v>
      </c>
      <c r="E6562" s="38" t="n">
        <f aca="false">Sens!$E$6469</f>
        <v>3.474</v>
      </c>
      <c r="F6562" s="38" t="n">
        <f aca="false">Sens!$F$6469</f>
        <v>3.22246550883619</v>
      </c>
      <c r="G6562" s="38" t="n">
        <f aca="false">Sens!$G$6469</f>
        <v>6.69646550883619</v>
      </c>
      <c r="H6562" s="38" t="n">
        <f aca="false">Sens!$H$6469</f>
        <v>7.16251344209196</v>
      </c>
      <c r="I6562" s="38" t="n">
        <f aca="false">Sens!$I$6469</f>
        <v>7.61421070299826</v>
      </c>
      <c r="J6562" s="38" t="n">
        <f aca="false">Sens!$J$6469</f>
        <v>8.04465753523932</v>
      </c>
      <c r="K6562" s="38" t="n">
        <f aca="false">Sens!$K$6469</f>
        <v>8.44689041200128</v>
      </c>
      <c r="L6562" s="38" t="n">
        <f aca="false">Sens!$L$6469</f>
        <v>8.86923493260135</v>
      </c>
      <c r="M6562" s="38" t="n">
        <f aca="false">Sens!$M$6469</f>
        <v>9.31269667923142</v>
      </c>
      <c r="N6562" s="38" t="n">
        <f aca="false">Sens!$N$6469</f>
        <v>2.811</v>
      </c>
      <c r="O6562" s="38" t="n">
        <f aca="false">Sens!$O$6469</f>
        <v>3.124</v>
      </c>
    </row>
    <row r="6563" customFormat="false" ht="17.15" hidden="false" customHeight="false" outlineLevel="0" collapsed="false">
      <c r="A6563" s="0" t="s">
        <v>728</v>
      </c>
      <c r="B6563" s="0" t="s">
        <v>86</v>
      </c>
      <c r="C6563" s="38" t="n">
        <f aca="false">Sens!$C$6544</f>
        <v>107.556</v>
      </c>
      <c r="D6563" s="38" t="n">
        <f aca="false">Sens!$D$6544</f>
        <v>128.725</v>
      </c>
      <c r="E6563" s="38" t="n">
        <f aca="false">Sens!$E$6544</f>
        <v>79.819</v>
      </c>
      <c r="F6563" s="38" t="n">
        <f aca="false">Sens!$F$6544</f>
        <v>86.7327334389669</v>
      </c>
      <c r="G6563" s="38" t="n">
        <f aca="false">Sens!$G$6544</f>
        <v>166.551733438967</v>
      </c>
      <c r="H6563" s="38" t="n">
        <f aca="false">Sens!$H$6544</f>
        <v>221.182967828978</v>
      </c>
      <c r="I6563" s="38" t="n">
        <f aca="false">Sens!$I$6544</f>
        <v>280.27345865789</v>
      </c>
      <c r="J6563" s="38" t="n">
        <f aca="false">Sens!$J$6544</f>
        <v>338.800945197185</v>
      </c>
      <c r="K6563" s="38" t="n">
        <f aca="false">Sens!$K$6544</f>
        <v>389.88570147276</v>
      </c>
      <c r="L6563" s="38" t="n">
        <f aca="false">Sens!$L$6544</f>
        <v>430.080689379143</v>
      </c>
      <c r="M6563" s="38" t="n">
        <f aca="false">Sens!$M$6544</f>
        <v>459.456235951751</v>
      </c>
      <c r="N6563" s="38" t="n">
        <f aca="false">Sens!$N$6544</f>
        <v>60.14</v>
      </c>
      <c r="O6563" s="38" t="n">
        <f aca="false">Sens!$O$6544</f>
        <v>68.585</v>
      </c>
    </row>
    <row r="6564" customFormat="false" ht="15" hidden="false" customHeight="false" outlineLevel="0" collapsed="false">
      <c r="A6564" s="1" t="s">
        <v>519</v>
      </c>
      <c r="B6564" s="8" t="s">
        <v>86</v>
      </c>
      <c r="C6564" s="38" t="n">
        <f aca="false">Sens!$C$6474</f>
        <v>387.497</v>
      </c>
      <c r="D6564" s="38" t="n">
        <f aca="false">Sens!$D$6474</f>
        <v>426.305</v>
      </c>
      <c r="E6564" s="38" t="n">
        <f aca="false">Sens!$E$6474</f>
        <v>220.32</v>
      </c>
      <c r="F6564" s="38" t="n">
        <f aca="false">Sens!$F$6474</f>
        <v>250.639773480586</v>
      </c>
      <c r="G6564" s="38" t="n">
        <f aca="false">Sens!$G$6474</f>
        <v>470.959773480586</v>
      </c>
      <c r="H6564" s="38" t="n">
        <f aca="false">Sens!$H$6474</f>
        <v>521.386990416437</v>
      </c>
      <c r="I6564" s="38" t="n">
        <f aca="false">Sens!$I$6474</f>
        <v>570.143862887555</v>
      </c>
      <c r="J6564" s="38" t="n">
        <f aca="false">Sens!$J$6474</f>
        <v>615.391435791933</v>
      </c>
      <c r="K6564" s="38" t="n">
        <f aca="false">Sens!$K$6474</f>
        <v>655.208227561543</v>
      </c>
      <c r="L6564" s="38" t="n">
        <f aca="false">Sens!$L$6474</f>
        <v>697.807739249767</v>
      </c>
      <c r="M6564" s="38" t="n">
        <f aca="false">Sens!$M$6474</f>
        <v>743.399328463592</v>
      </c>
      <c r="N6564" s="38" t="n">
        <f aca="false">Sens!$N$6474</f>
        <v>192.955</v>
      </c>
      <c r="O6564" s="38" t="n">
        <f aca="false">Sens!$O$6474</f>
        <v>233.35</v>
      </c>
    </row>
    <row r="6565" customFormat="false" ht="15" hidden="false" customHeight="false" outlineLevel="0" collapsed="false">
      <c r="A6565" s="1" t="s">
        <v>522</v>
      </c>
      <c r="B6565" s="8" t="s">
        <v>86</v>
      </c>
      <c r="C6565" s="38" t="n">
        <f aca="false">Sens!$C$6475</f>
        <v>142.906</v>
      </c>
      <c r="D6565" s="38" t="n">
        <f aca="false">Sens!$D$6475</f>
        <v>161.894</v>
      </c>
      <c r="E6565" s="38" t="n">
        <f aca="false">Sens!$E$6475</f>
        <v>81.986</v>
      </c>
      <c r="F6565" s="38" t="n">
        <f aca="false">Sens!$F$6475</f>
        <v>98.408468164951</v>
      </c>
      <c r="G6565" s="38" t="n">
        <f aca="false">Sens!$G$6475</f>
        <v>180.394468164951</v>
      </c>
      <c r="H6565" s="38" t="n">
        <f aca="false">Sens!$H$6475</f>
        <v>199.709899104949</v>
      </c>
      <c r="I6565" s="38" t="n">
        <f aca="false">Sens!$I$6475</f>
        <v>218.385528264976</v>
      </c>
      <c r="J6565" s="38" t="n">
        <f aca="false">Sens!$J$6475</f>
        <v>235.71696994951</v>
      </c>
      <c r="K6565" s="38" t="n">
        <f aca="false">Sens!$K$6475</f>
        <v>250.968227869545</v>
      </c>
      <c r="L6565" s="38" t="n">
        <f aca="false">Sens!$L$6475</f>
        <v>267.285367225822</v>
      </c>
      <c r="M6565" s="38" t="n">
        <f aca="false">Sens!$M$6475</f>
        <v>284.748579483295</v>
      </c>
      <c r="N6565" s="38" t="n">
        <f aca="false">Sens!$N$6475</f>
        <v>70.274</v>
      </c>
      <c r="O6565" s="38" t="n">
        <f aca="false">Sens!$O$6475</f>
        <v>91.62</v>
      </c>
    </row>
    <row r="6566" customFormat="false" ht="15" hidden="false" customHeight="false" outlineLevel="0" collapsed="false">
      <c r="A6566" s="1" t="s">
        <v>523</v>
      </c>
      <c r="B6566" s="8" t="s">
        <v>86</v>
      </c>
      <c r="C6566" s="38" t="n">
        <f aca="false">Sens!$C$6544</f>
        <v>107.556</v>
      </c>
      <c r="D6566" s="38" t="n">
        <f aca="false">Sens!$D$6544</f>
        <v>128.725</v>
      </c>
      <c r="E6566" s="38" t="n">
        <f aca="false">Sens!$E$6544</f>
        <v>79.819</v>
      </c>
      <c r="F6566" s="38" t="n">
        <f aca="false">Sens!$F$6544</f>
        <v>86.7327334389669</v>
      </c>
      <c r="G6566" s="38" t="n">
        <f aca="false">Sens!$G$6544</f>
        <v>166.551733438967</v>
      </c>
      <c r="H6566" s="38" t="n">
        <f aca="false">Sens!$H$6544</f>
        <v>221.182967828978</v>
      </c>
      <c r="I6566" s="38" t="n">
        <f aca="false">Sens!$I$6544</f>
        <v>280.27345865789</v>
      </c>
      <c r="J6566" s="38" t="n">
        <f aca="false">Sens!$J$6544</f>
        <v>338.800945197185</v>
      </c>
      <c r="K6566" s="38" t="n">
        <f aca="false">Sens!$K$6544</f>
        <v>389.88570147276</v>
      </c>
      <c r="L6566" s="38" t="n">
        <f aca="false">Sens!$L$6544</f>
        <v>430.080689379143</v>
      </c>
      <c r="M6566" s="38" t="n">
        <f aca="false">Sens!$M$6544</f>
        <v>459.456235951751</v>
      </c>
      <c r="N6566" s="38" t="n">
        <f aca="false">Sens!$N$6544</f>
        <v>60.14</v>
      </c>
      <c r="O6566" s="38" t="n">
        <f aca="false">Sens!$O$6544</f>
        <v>68.585</v>
      </c>
    </row>
    <row r="6567" customFormat="false" ht="17.15" hidden="false" customHeight="false" outlineLevel="0" collapsed="false">
      <c r="A6567" s="0" t="s">
        <v>702</v>
      </c>
      <c r="B6567" s="0" t="s">
        <v>86</v>
      </c>
      <c r="C6567" s="38" t="n">
        <f aca="false">Sens!$C$6542</f>
        <v>2.32100535697364</v>
      </c>
      <c r="D6567" s="38" t="n">
        <f aca="false">Sens!$D$6542</f>
        <v>8.70377008865116</v>
      </c>
      <c r="E6567" s="38" t="n">
        <f aca="false">Sens!$E$6542</f>
        <v>8.51035297557002</v>
      </c>
      <c r="F6567" s="38" t="n">
        <f aca="false">Sens!$F$6542</f>
        <v>14.9634336447205</v>
      </c>
      <c r="G6567" s="38" t="n">
        <f aca="false">Sens!$G$6542</f>
        <v>23.4737866202905</v>
      </c>
      <c r="H6567" s="38" t="n">
        <f aca="false">Sens!$H$6542</f>
        <v>60.1658907497746</v>
      </c>
      <c r="I6567" s="38" t="n">
        <f aca="false">Sens!$I$6542</f>
        <v>101.503699136432</v>
      </c>
      <c r="J6567" s="38" t="n">
        <f aca="false">Sens!$J$6542</f>
        <v>143.025407151278</v>
      </c>
      <c r="K6567" s="38" t="n">
        <f aca="false">Sens!$K$6542</f>
        <v>178.44812038318</v>
      </c>
      <c r="L6567" s="38" t="n">
        <f aca="false">Sens!$L$6542</f>
        <v>201.728101802396</v>
      </c>
      <c r="M6567" s="38" t="n">
        <f aca="false">Sens!$M$6542</f>
        <v>212.835441368865</v>
      </c>
      <c r="N6567" s="38" t="n">
        <f aca="false">Sens!$N$6542</f>
        <v>3.04631953102791</v>
      </c>
      <c r="O6567" s="38" t="n">
        <f aca="false">Sens!$O$6542</f>
        <v>5.65745055762326</v>
      </c>
    </row>
    <row r="6568" customFormat="false" ht="17.15" hidden="false" customHeight="false" outlineLevel="0" collapsed="false">
      <c r="A6568" s="0" t="s">
        <v>704</v>
      </c>
      <c r="B6568" s="0" t="s">
        <v>86</v>
      </c>
      <c r="C6568" s="38" t="n">
        <f aca="false">Sens!$C$6543</f>
        <v>105.234994643026</v>
      </c>
      <c r="D6568" s="38" t="n">
        <f aca="false">Sens!$D$6543</f>
        <v>120.021229911349</v>
      </c>
      <c r="E6568" s="38" t="n">
        <f aca="false">Sens!$E$6543</f>
        <v>71.30864702443</v>
      </c>
      <c r="F6568" s="38" t="n">
        <f aca="false">Sens!$F$6543</f>
        <v>71.7692997942464</v>
      </c>
      <c r="G6568" s="38" t="n">
        <f aca="false">Sens!$G$6543</f>
        <v>143.077946818676</v>
      </c>
      <c r="H6568" s="38" t="n">
        <f aca="false">Sens!$H$6543</f>
        <v>161.017077079203</v>
      </c>
      <c r="I6568" s="38" t="n">
        <f aca="false">Sens!$I$6543</f>
        <v>178.769759521457</v>
      </c>
      <c r="J6568" s="38" t="n">
        <f aca="false">Sens!$J$6543</f>
        <v>195.775538045907</v>
      </c>
      <c r="K6568" s="38" t="n">
        <f aca="false">Sens!$K$6543</f>
        <v>211.43758108958</v>
      </c>
      <c r="L6568" s="38" t="n">
        <f aca="false">Sens!$L$6543</f>
        <v>228.352587576746</v>
      </c>
      <c r="M6568" s="38" t="n">
        <f aca="false">Sens!$M$6543</f>
        <v>246.620794582886</v>
      </c>
      <c r="N6568" s="38" t="n">
        <f aca="false">Sens!$N$6543</f>
        <v>57.0936804689721</v>
      </c>
      <c r="O6568" s="38" t="n">
        <f aca="false">Sens!$O$6543</f>
        <v>62.9275494423768</v>
      </c>
    </row>
    <row r="6569" customFormat="false" ht="15" hidden="false" customHeight="false" outlineLevel="0" collapsed="false">
      <c r="A6569" s="3" t="s">
        <v>524</v>
      </c>
      <c r="B6569" s="8" t="s">
        <v>86</v>
      </c>
      <c r="C6569" s="38" t="n">
        <f aca="false">Sens!$C$6545</f>
        <v>637.959</v>
      </c>
      <c r="D6569" s="38" t="n">
        <f aca="false">Sens!$D$6545</f>
        <v>716.924</v>
      </c>
      <c r="E6569" s="38" t="n">
        <f aca="false">Sens!$E$6545</f>
        <v>382.125</v>
      </c>
      <c r="F6569" s="38" t="n">
        <f aca="false">Sens!$F$6545</f>
        <v>435.780975084504</v>
      </c>
      <c r="G6569" s="38" t="n">
        <f aca="false">Sens!$G$6545</f>
        <v>817.905975084504</v>
      </c>
      <c r="H6569" s="38" t="n">
        <f aca="false">Sens!$H$6545</f>
        <v>942.279857350364</v>
      </c>
      <c r="I6569" s="38" t="n">
        <f aca="false">Sens!$I$6545</f>
        <v>1068.80284981042</v>
      </c>
      <c r="J6569" s="38" t="n">
        <f aca="false">Sens!$J$6545</f>
        <v>1189.90935093863</v>
      </c>
      <c r="K6569" s="38" t="n">
        <f aca="false">Sens!$K$6545</f>
        <v>1296.06215690385</v>
      </c>
      <c r="L6569" s="38" t="n">
        <f aca="false">Sens!$L$6545</f>
        <v>1395.17379585473</v>
      </c>
      <c r="M6569" s="38" t="n">
        <f aca="false">Sens!$M$6545</f>
        <v>1487.60414389864</v>
      </c>
      <c r="N6569" s="38" t="n">
        <f aca="false">Sens!$N$6545</f>
        <v>323.369</v>
      </c>
      <c r="O6569" s="38" t="n">
        <f aca="false">Sens!$O$6545</f>
        <v>393.555</v>
      </c>
    </row>
    <row r="6570" customFormat="false" ht="17.15" hidden="false" customHeight="false" outlineLevel="0" collapsed="false">
      <c r="A6570" s="24" t="s">
        <v>714</v>
      </c>
      <c r="B6570" s="25" t="s">
        <v>86</v>
      </c>
      <c r="C6570" s="41" t="n">
        <f aca="false">Sens!$C$6557+Sens!$C$6558+Sens!$C$6559+Sens!$C$6560+Sens!$C$6561+Sens!$C$6562-(Sens!$C$6564+Sens!$C$6565)</f>
        <v>0</v>
      </c>
      <c r="D6570" s="41" t="n">
        <f aca="false">Sens!$D$6557+Sens!$D$6558+Sens!$D$6559+Sens!$D$6560+Sens!$D$6561+Sens!$D$6562-(Sens!$D$6564+Sens!$D$6565)</f>
        <v>0</v>
      </c>
      <c r="E6570" s="41" t="n">
        <f aca="false">Sens!$E$6557+Sens!$E$6558+Sens!$E$6559+Sens!$E$6560+Sens!$E$6561+Sens!$E$6562-(Sens!$E$6564+Sens!$E$6565)</f>
        <v>0</v>
      </c>
      <c r="F6570" s="41" t="n">
        <f aca="false">Sens!$F$6557+Sens!$F$6558+Sens!$F$6559+Sens!$F$6560+Sens!$F$6561+Sens!$F$6562-(Sens!$F$6564+Sens!$F$6565)</f>
        <v>0</v>
      </c>
      <c r="G6570" s="41" t="n">
        <f aca="false">Sens!$G$6557+Sens!$G$6558+Sens!$G$6559+Sens!$G$6560+Sens!$G$6561+Sens!$G$6562-(Sens!$G$6564+Sens!$G$6565)</f>
        <v>0</v>
      </c>
      <c r="H6570" s="41" t="n">
        <f aca="false">Sens!$H$6557+Sens!$H$6558+Sens!$H$6559+Sens!$H$6560+Sens!$H$6561+Sens!$H$6562-(Sens!$H$6564+Sens!$H$6565)</f>
        <v>0</v>
      </c>
      <c r="I6570" s="41" t="n">
        <f aca="false">Sens!$I$6557+Sens!$I$6558+Sens!$I$6559+Sens!$I$6560+Sens!$I$6561+Sens!$I$6562-(Sens!$I$6564+Sens!$I$6565)</f>
        <v>0</v>
      </c>
      <c r="J6570" s="41" t="n">
        <f aca="false">Sens!$J$6557+Sens!$J$6558+Sens!$J$6559+Sens!$J$6560+Sens!$J$6561+Sens!$J$6562-(Sens!$J$6564+Sens!$J$6565)</f>
        <v>0</v>
      </c>
      <c r="K6570" s="41" t="n">
        <f aca="false">Sens!$K$6557+Sens!$K$6558+Sens!$K$6559+Sens!$K$6560+Sens!$K$6561+Sens!$K$6562-(Sens!$K$6564+Sens!$K$6565)</f>
        <v>0</v>
      </c>
      <c r="L6570" s="41" t="n">
        <f aca="false">Sens!$L$6557+Sens!$L$6558+Sens!$L$6559+Sens!$L$6560+Sens!$L$6561+Sens!$L$6562-(Sens!$L$6564+Sens!$L$6565)</f>
        <v>0</v>
      </c>
      <c r="M6570" s="41" t="n">
        <f aca="false">Sens!$M$6557+Sens!$M$6558+Sens!$M$6559+Sens!$M$6560+Sens!$M$6561+Sens!$M$6562-(Sens!$M$6564+Sens!$M$6565)</f>
        <v>0</v>
      </c>
      <c r="N6570" s="41" t="n">
        <f aca="false">Sens!$N$6557+Sens!$N$6558+Sens!$N$6559+Sens!$N$6560+Sens!$N$6561+Sens!$N$6562-(Sens!$N$6564+Sens!$N$6565)</f>
        <v>0</v>
      </c>
      <c r="O6570" s="41" t="n">
        <f aca="false">Sens!$O$6557+Sens!$O$6558+Sens!$O$6559+Sens!$O$6560+Sens!$O$6561+Sens!$O$6562-(Sens!$O$6564+Sens!$O$6565)</f>
        <v>0</v>
      </c>
    </row>
    <row r="6571" customFormat="false" ht="17.15" hidden="false" customHeight="false" outlineLevel="0" collapsed="false">
      <c r="A6571" s="24" t="s">
        <v>715</v>
      </c>
      <c r="B6571" s="25" t="s">
        <v>86</v>
      </c>
      <c r="C6571" s="41" t="n">
        <f aca="false">Sens!$C$6567+Sens!$C$6568-Sens!$C$6566</f>
        <v>0</v>
      </c>
      <c r="D6571" s="41" t="n">
        <f aca="false">Sens!$D$6567+Sens!$D$6568-Sens!$D$6566</f>
        <v>0</v>
      </c>
      <c r="E6571" s="41" t="n">
        <f aca="false">Sens!$E$6567+Sens!$E$6568-Sens!$E$6566</f>
        <v>0</v>
      </c>
      <c r="F6571" s="41" t="n">
        <f aca="false">Sens!$F$6567+Sens!$F$6568-Sens!$F$6566</f>
        <v>0</v>
      </c>
      <c r="G6571" s="41" t="n">
        <f aca="false">Sens!$G$6567+Sens!$G$6568-Sens!$G$6566</f>
        <v>0</v>
      </c>
      <c r="H6571" s="41" t="n">
        <f aca="false">Sens!$H$6567+Sens!$H$6568-Sens!$H$6566</f>
        <v>0</v>
      </c>
      <c r="I6571" s="41" t="n">
        <f aca="false">Sens!$I$6567+Sens!$I$6568-Sens!$I$6566</f>
        <v>0</v>
      </c>
      <c r="J6571" s="41" t="n">
        <f aca="false">Sens!$J$6567+Sens!$J$6568-Sens!$J$6566</f>
        <v>0</v>
      </c>
      <c r="K6571" s="41" t="n">
        <f aca="false">Sens!$K$6567+Sens!$K$6568-Sens!$K$6566</f>
        <v>0</v>
      </c>
      <c r="L6571" s="41" t="n">
        <f aca="false">Sens!$L$6567+Sens!$L$6568-Sens!$L$6566</f>
        <v>0</v>
      </c>
      <c r="M6571" s="41" t="n">
        <f aca="false">Sens!$M$6567+Sens!$M$6568-Sens!$M$6566</f>
        <v>0</v>
      </c>
      <c r="N6571" s="41" t="n">
        <f aca="false">Sens!$N$6567+Sens!$N$6568-Sens!$N$6566</f>
        <v>0</v>
      </c>
      <c r="O6571" s="41" t="n">
        <f aca="false">Sens!$O$6567+Sens!$O$6568-Sens!$O$6566</f>
        <v>0</v>
      </c>
    </row>
    <row r="6572" customFormat="false" ht="17.15" hidden="false" customHeight="false" outlineLevel="0" collapsed="false">
      <c r="A6572" s="24" t="s">
        <v>774</v>
      </c>
      <c r="B6572" s="25" t="s">
        <v>86</v>
      </c>
      <c r="C6572" s="41" t="n">
        <f aca="false">Sens!$C$6557+Sens!$C$6558+Sens!$C$6559+Sens!$C$6560+Sens!$C$6561+Sens!$C$6562+Sens!$C$6563-Sens!$C$6569</f>
        <v>0</v>
      </c>
      <c r="D6572" s="41" t="n">
        <f aca="false">Sens!$D$6557+Sens!$D$6558+Sens!$D$6559+Sens!$D$6560+Sens!$D$6561+Sens!$D$6562+Sens!$D$6563-Sens!$D$6569</f>
        <v>0</v>
      </c>
      <c r="E6572" s="41" t="n">
        <f aca="false">Sens!$E$6557+Sens!$E$6558+Sens!$E$6559+Sens!$E$6560+Sens!$E$6561+Sens!$E$6562+Sens!$E$6563-Sens!$E$6569</f>
        <v>0</v>
      </c>
      <c r="F6572" s="41" t="n">
        <f aca="false">Sens!$F$6557+Sens!$F$6558+Sens!$F$6559+Sens!$F$6560+Sens!$F$6561+Sens!$F$6562+Sens!$F$6563-Sens!$F$6569</f>
        <v>0</v>
      </c>
      <c r="G6572" s="41" t="n">
        <f aca="false">Sens!$G$6557+Sens!$G$6558+Sens!$G$6559+Sens!$G$6560+Sens!$G$6561+Sens!$G$6562+Sens!$G$6563-Sens!$G$6569</f>
        <v>0</v>
      </c>
      <c r="H6572" s="41" t="n">
        <f aca="false">Sens!$H$6557+Sens!$H$6558+Sens!$H$6559+Sens!$H$6560+Sens!$H$6561+Sens!$H$6562+Sens!$H$6563-Sens!$H$6569</f>
        <v>0</v>
      </c>
      <c r="I6572" s="41" t="n">
        <f aca="false">Sens!$I$6557+Sens!$I$6558+Sens!$I$6559+Sens!$I$6560+Sens!$I$6561+Sens!$I$6562+Sens!$I$6563-Sens!$I$6569</f>
        <v>0</v>
      </c>
      <c r="J6572" s="41" t="n">
        <f aca="false">Sens!$J$6557+Sens!$J$6558+Sens!$J$6559+Sens!$J$6560+Sens!$J$6561+Sens!$J$6562+Sens!$J$6563-Sens!$J$6569</f>
        <v>0</v>
      </c>
      <c r="K6572" s="41" t="n">
        <f aca="false">Sens!$K$6557+Sens!$K$6558+Sens!$K$6559+Sens!$K$6560+Sens!$K$6561+Sens!$K$6562+Sens!$K$6563-Sens!$K$6569</f>
        <v>0</v>
      </c>
      <c r="L6572" s="41" t="n">
        <f aca="false">Sens!$L$6557+Sens!$L$6558+Sens!$L$6559+Sens!$L$6560+Sens!$L$6561+Sens!$L$6562+Sens!$L$6563-Sens!$L$6569</f>
        <v>0</v>
      </c>
      <c r="M6572" s="41" t="n">
        <f aca="false">Sens!$M$6557+Sens!$M$6558+Sens!$M$6559+Sens!$M$6560+Sens!$M$6561+Sens!$M$6562+Sens!$M$6563-Sens!$M$6569</f>
        <v>0</v>
      </c>
      <c r="N6572" s="41" t="n">
        <f aca="false">Sens!$N$6557+Sens!$N$6558+Sens!$N$6559+Sens!$N$6560+Sens!$N$6561+Sens!$N$6562+Sens!$N$6563-Sens!$N$6569</f>
        <v>0</v>
      </c>
      <c r="O6572" s="41" t="n">
        <f aca="false">Sens!$O$6557+Sens!$O$6558+Sens!$O$6559+Sens!$O$6560+Sens!$O$6561+Sens!$O$6562+Sens!$O$6563-Sens!$O$6569</f>
        <v>0</v>
      </c>
    </row>
    <row r="6573" customFormat="false" ht="17.15" hidden="false" customHeight="false" outlineLevel="0" collapsed="false">
      <c r="A6573" s="24" t="s">
        <v>716</v>
      </c>
      <c r="B6573" s="25" t="s">
        <v>86</v>
      </c>
      <c r="C6573" s="41" t="n">
        <f aca="false">Sens!$C$6564+Sens!$C$6565+Sens!$C$6566-Sens!$C$6569</f>
        <v>0</v>
      </c>
      <c r="D6573" s="41" t="n">
        <f aca="false">Sens!$D$6564+Sens!$D$6565+Sens!$D$6566-Sens!$D$6569</f>
        <v>0</v>
      </c>
      <c r="E6573" s="41" t="n">
        <f aca="false">Sens!$E$6564+Sens!$E$6565+Sens!$E$6566-Sens!$E$6569</f>
        <v>0</v>
      </c>
      <c r="F6573" s="41" t="n">
        <f aca="false">Sens!$F$6564+Sens!$F$6565+Sens!$F$6566-Sens!$F$6569</f>
        <v>0</v>
      </c>
      <c r="G6573" s="41" t="n">
        <f aca="false">Sens!$G$6564+Sens!$G$6565+Sens!$G$6566-Sens!$G$6569</f>
        <v>0</v>
      </c>
      <c r="H6573" s="41" t="n">
        <f aca="false">Sens!$H$6564+Sens!$H$6565+Sens!$H$6566-Sens!$H$6569</f>
        <v>0</v>
      </c>
      <c r="I6573" s="41" t="n">
        <f aca="false">Sens!$I$6564+Sens!$I$6565+Sens!$I$6566-Sens!$I$6569</f>
        <v>0</v>
      </c>
      <c r="J6573" s="41" t="n">
        <f aca="false">Sens!$J$6564+Sens!$J$6565+Sens!$J$6566-Sens!$J$6569</f>
        <v>0</v>
      </c>
      <c r="K6573" s="41" t="n">
        <f aca="false">Sens!$K$6564+Sens!$K$6565+Sens!$K$6566-Sens!$K$6569</f>
        <v>0</v>
      </c>
      <c r="L6573" s="41" t="n">
        <f aca="false">Sens!$L$6564+Sens!$L$6565+Sens!$L$6566-Sens!$L$6569</f>
        <v>0</v>
      </c>
      <c r="M6573" s="41" t="n">
        <f aca="false">Sens!$M$6564+Sens!$M$6565+Sens!$M$6566-Sens!$M$6569</f>
        <v>0</v>
      </c>
      <c r="N6573" s="41" t="n">
        <f aca="false">Sens!$N$6564+Sens!$N$6565+Sens!$N$6566-Sens!$N$6569</f>
        <v>0</v>
      </c>
      <c r="O6573" s="41" t="n">
        <f aca="false">Sens!$O$6564+Sens!$O$6565+Sens!$O$6566-Sens!$O$6569</f>
        <v>0</v>
      </c>
    </row>
    <row r="6574" customFormat="false" ht="17.15" hidden="false" customHeight="false" outlineLevel="0" collapsed="false">
      <c r="A6574" s="1" t="s">
        <v>730</v>
      </c>
    </row>
    <row r="6575" customFormat="false" ht="17.15" hidden="false" customHeight="false" outlineLevel="0" collapsed="false">
      <c r="A6575" s="0" t="s">
        <v>731</v>
      </c>
      <c r="B6575" s="0" t="s">
        <v>86</v>
      </c>
      <c r="C6575" s="38" t="n">
        <f aca="false">Sens!$C$6476*m_ad</f>
        <v>20.5341564414228</v>
      </c>
      <c r="D6575" s="38" t="n">
        <f aca="false">Sens!$D$6476*m_ad</f>
        <v>24.8720617299587</v>
      </c>
      <c r="E6575" s="38" t="n">
        <f aca="false">Sens!$E$6476*m_ad</f>
        <v>13.5017112462207</v>
      </c>
      <c r="F6575" s="38" t="n">
        <f aca="false">Sens!$F$6476*m_ad</f>
        <v>16.5719724165257</v>
      </c>
      <c r="G6575" s="38" t="n">
        <f aca="false">Sens!$G$6476*m_ad</f>
        <v>30.0820919220415</v>
      </c>
      <c r="H6575" s="38" t="n">
        <f aca="false">Sens!$H$6476*m_ad</f>
        <v>36.1150883276314</v>
      </c>
      <c r="I6575" s="38" t="n">
        <f aca="false">Sens!$I$6476*m_ad</f>
        <v>42.1475382231996</v>
      </c>
      <c r="J6575" s="38" t="n">
        <f aca="false">Sens!$J$6476*m_ad</f>
        <v>47.7749523864693</v>
      </c>
      <c r="K6575" s="38" t="n">
        <f aca="false">Sens!$K$6476*m_ad</f>
        <v>52.5524476251162</v>
      </c>
      <c r="L6575" s="38" t="n">
        <f aca="false">Sens!$L$6476*m_ad</f>
        <v>57.8076923876279</v>
      </c>
      <c r="M6575" s="38" t="n">
        <f aca="false">Sens!$M$6476*m_ad</f>
        <v>63.5884616263907</v>
      </c>
      <c r="N6575" s="38" t="n">
        <f aca="false">Sens!$N$6476*m_ad</f>
        <v>10.8543555706248</v>
      </c>
      <c r="O6575" s="38" t="n">
        <f aca="false">Sens!$O$6476*m_ad</f>
        <v>14.0094731821399</v>
      </c>
    </row>
    <row r="6576" customFormat="false" ht="17.15" hidden="false" customHeight="false" outlineLevel="0" collapsed="false">
      <c r="A6576" s="0" t="s">
        <v>732</v>
      </c>
      <c r="B6576" s="0" t="s">
        <v>86</v>
      </c>
      <c r="C6576" s="38" t="n">
        <f aca="false">Sens!$C$6474-Sens!$C$6476</f>
        <v>346.428687117154</v>
      </c>
      <c r="D6576" s="38" t="n">
        <f aca="false">Sens!$D$6474-Sens!$D$6476</f>
        <v>376.560876540083</v>
      </c>
      <c r="E6576" s="38" t="n">
        <f aca="false">Sens!$E$6474-Sens!$E$6476</f>
        <v>193.316577507559</v>
      </c>
      <c r="F6576" s="38" t="n">
        <f aca="false">Sens!$F$6474-Sens!$F$6476</f>
        <v>217.495828647535</v>
      </c>
      <c r="G6576" s="38" t="n">
        <f aca="false">Sens!$G$6474-Sens!$G$6476</f>
        <v>410.795589636503</v>
      </c>
      <c r="H6576" s="38" t="n">
        <f aca="false">Sens!$H$6474-Sens!$H$6476</f>
        <v>449.156813761174</v>
      </c>
      <c r="I6576" s="38" t="n">
        <f aca="false">Sens!$I$6474-Sens!$I$6476</f>
        <v>485.848786441156</v>
      </c>
      <c r="J6576" s="38" t="n">
        <f aca="false">Sens!$J$6474-Sens!$J$6476</f>
        <v>519.841531018994</v>
      </c>
      <c r="K6576" s="38" t="n">
        <f aca="false">Sens!$K$6474-Sens!$K$6476</f>
        <v>550.103332311311</v>
      </c>
      <c r="L6576" s="38" t="n">
        <f aca="false">Sens!$L$6474-Sens!$L$6476</f>
        <v>582.192354474511</v>
      </c>
      <c r="M6576" s="38" t="n">
        <f aca="false">Sens!$M$6474-Sens!$M$6476</f>
        <v>616.22240521081</v>
      </c>
      <c r="N6576" s="38" t="n">
        <f aca="false">Sens!$N$6474-Sens!$N$6476</f>
        <v>171.24628885875</v>
      </c>
      <c r="O6576" s="38" t="n">
        <f aca="false">Sens!$O$6474-Sens!$O$6476</f>
        <v>205.33105363572</v>
      </c>
    </row>
    <row r="6577" customFormat="false" ht="17.15" hidden="false" customHeight="false" outlineLevel="0" collapsed="false">
      <c r="A6577" s="0" t="s">
        <v>733</v>
      </c>
      <c r="B6577" s="0" t="s">
        <v>86</v>
      </c>
      <c r="C6577" s="38" t="n">
        <f aca="false">Sens!$C$6528*Sens!$C$6473</f>
        <v>0.123617442257179</v>
      </c>
      <c r="D6577" s="38" t="n">
        <f aca="false">Sens!$D$6528*Sens!$D$6473</f>
        <v>0.600198046024689</v>
      </c>
      <c r="E6577" s="38" t="n">
        <f aca="false">Sens!$E$6528*Sens!$E$6473</f>
        <v>1.10840000750276</v>
      </c>
      <c r="F6577" s="38" t="n">
        <f aca="false">Sens!$F$6528*Sens!$F$6473</f>
        <v>1.33595298721025</v>
      </c>
      <c r="G6577" s="38" t="n">
        <f aca="false">Sens!$G$6528*Sens!$G$6473</f>
        <v>2.44487335052545</v>
      </c>
      <c r="H6577" s="38" t="n">
        <f aca="false">Sens!$H$6528*Sens!$H$6473</f>
        <v>6.63132711939388</v>
      </c>
      <c r="I6577" s="38" t="n">
        <f aca="false">Sens!$I$6528*Sens!$I$6473</f>
        <v>12.7486799258504</v>
      </c>
      <c r="J6577" s="38" t="n">
        <f aca="false">Sens!$J$6528*Sens!$J$6473</f>
        <v>18.4074045299415</v>
      </c>
      <c r="K6577" s="38" t="n">
        <f aca="false">Sens!$K$6528*Sens!$K$6473</f>
        <v>23.9455472348705</v>
      </c>
      <c r="L6577" s="38" t="n">
        <f aca="false">Sens!$L$6528*Sens!$L$6473</f>
        <v>27.78179156216</v>
      </c>
      <c r="M6577" s="38" t="n">
        <f aca="false">Sens!$M$6528*Sens!$M$6473</f>
        <v>29.9029027327362</v>
      </c>
      <c r="N6577" s="38" t="n">
        <f aca="false">Sens!$N$6528*Sens!$N$6473</f>
        <v>0.25053229484398</v>
      </c>
      <c r="O6577" s="38" t="n">
        <f aca="false">Sens!$O$6528*Sens!$O$6473</f>
        <v>0.349234376756897</v>
      </c>
    </row>
    <row r="6578" customFormat="false" ht="17.15" hidden="false" customHeight="false" outlineLevel="0" collapsed="false">
      <c r="A6578" s="0" t="s">
        <v>734</v>
      </c>
      <c r="B6578" s="0" t="s">
        <v>52</v>
      </c>
      <c r="C6578" s="28" t="n">
        <f aca="false">(Sens!$C$6579-Sens!$C$6575+Sens!$C$6577)/Sens!$C$6576</f>
        <v>0.0131526665379575</v>
      </c>
      <c r="D6578" s="28" t="n">
        <f aca="false">(Sens!$D$6579-Sens!$D$6575+Sens!$D$6577)/Sens!$D$6576</f>
        <v>0.0141999252954702</v>
      </c>
      <c r="E6578" s="28" t="n">
        <f aca="false">(Sens!$E$6579-Sens!$E$6575+Sens!$E$6577)/Sens!$E$6576</f>
        <v>0.0258471819939326</v>
      </c>
      <c r="F6578" s="28" t="n">
        <f aca="false">Sens!$O$6578+(Sens!$E$6578-Sens!$N$6578)</f>
        <v>0.0224302350712874</v>
      </c>
      <c r="G6578" s="28" t="n">
        <f aca="false">(Sens!$G$6579-Sens!$G$6575+Sens!$G$6577)/Sens!$G$6576</f>
        <v>0.0240199351461372</v>
      </c>
      <c r="H6578" s="28" t="n">
        <f aca="false">Sens!$G$6578+step_na</f>
        <v>0.0270199351461372</v>
      </c>
      <c r="I6578" s="28" t="n">
        <f aca="false">Sens!$H$6578+step_na</f>
        <v>0.0300199351461372</v>
      </c>
      <c r="J6578" s="28" t="n">
        <f aca="false">Sens!$I$6578+step_na</f>
        <v>0.0330199351461372</v>
      </c>
      <c r="K6578" s="28" t="n">
        <f aca="false">Sens!$J$6578+step_na</f>
        <v>0.0360199351461372</v>
      </c>
      <c r="L6578" s="28" t="n">
        <f aca="false">Sens!$K$6578</f>
        <v>0.0360199351461372</v>
      </c>
      <c r="M6578" s="28" t="n">
        <f aca="false">Sens!$L$6578</f>
        <v>0.0360199351461372</v>
      </c>
      <c r="N6578" s="28" t="n">
        <f aca="false">(Sens!$N$6579-Sens!$N$6575+Sens!$N$6577)/Sens!$N$6576</f>
        <v>0.0160831323269779</v>
      </c>
      <c r="O6578" s="28" t="n">
        <f aca="false">(Sens!$O$6579-Sens!$O$6575+Sens!$O$6577)/Sens!$O$6576</f>
        <v>0.0126661854043327</v>
      </c>
      <c r="P6578" s="8" t="s">
        <v>735</v>
      </c>
    </row>
    <row r="6579" customFormat="false" ht="17.15" hidden="false" customHeight="false" outlineLevel="0" collapsed="false">
      <c r="A6579" s="1" t="s">
        <v>736</v>
      </c>
      <c r="B6579" s="8" t="s">
        <v>86</v>
      </c>
      <c r="C6579" s="38" t="n">
        <f aca="false">Q!$D$22</f>
        <v>24.967</v>
      </c>
      <c r="D6579" s="38" t="n">
        <f aca="false">Q!$E$22</f>
        <v>29.619</v>
      </c>
      <c r="E6579" s="38" t="n">
        <f aca="false">Q!$P$22</f>
        <v>17.39</v>
      </c>
      <c r="F6579" s="38" t="n">
        <f aca="false">Sens!$F$6575+Sens!$F$6576*Sens!$F$6578-Sens!$F$6577</f>
        <v>20.1145019929041</v>
      </c>
      <c r="G6579" s="38" t="n">
        <f aca="false">Sens!$E$6579+Sens!$F$6579</f>
        <v>37.5045019929041</v>
      </c>
      <c r="H6579" s="38" t="n">
        <f aca="false">Sens!$H$6575+Sens!$H$6576*Sens!$H$6578-Sens!$H$6577</f>
        <v>41.6199491865101</v>
      </c>
      <c r="I6579" s="38" t="n">
        <f aca="false">Sens!$I$6575+Sens!$I$6576*Sens!$I$6578-Sens!$I$6577</f>
        <v>43.9840073571422</v>
      </c>
      <c r="J6579" s="38" t="n">
        <f aca="false">Sens!$J$6575+Sens!$J$6576*Sens!$J$6578-Sens!$J$6577</f>
        <v>46.5326814970436</v>
      </c>
      <c r="K6579" s="38" t="n">
        <f aca="false">Sens!$K$6575+Sens!$K$6576*Sens!$K$6578-Sens!$K$6577</f>
        <v>48.4215867437731</v>
      </c>
      <c r="L6579" s="38" t="n">
        <f aca="false">Sens!$L$6575+Sens!$L$6576*Sens!$L$6578-Sens!$L$6577</f>
        <v>50.9964316762167</v>
      </c>
      <c r="M6579" s="38" t="n">
        <f aca="false">Sens!$M$6575+Sens!$M$6576*Sens!$M$6578-Sens!$M$6577</f>
        <v>55.8818499649445</v>
      </c>
      <c r="N6579" s="38" t="n">
        <f aca="false">Q!$N$22</f>
        <v>13.358</v>
      </c>
      <c r="O6579" s="38" t="n">
        <f aca="false">Q!$O$22</f>
        <v>16.261</v>
      </c>
    </row>
    <row r="6580" customFormat="false" ht="17.15" hidden="false" customHeight="false" outlineLevel="0" collapsed="false">
      <c r="A6580" s="0" t="s">
        <v>737</v>
      </c>
      <c r="B6580" s="0" t="s">
        <v>86</v>
      </c>
      <c r="C6580" s="38" t="n">
        <f aca="false">Sens!$C$6477*m_ad</f>
        <v>7.57284355857716</v>
      </c>
      <c r="D6580" s="38" t="n">
        <f aca="false">Sens!$D$6477*m_ad</f>
        <v>9.44543827004127</v>
      </c>
      <c r="E6580" s="38" t="n">
        <f aca="false">Sens!$E$6477*m_ad</f>
        <v>5.02428875377928</v>
      </c>
      <c r="F6580" s="38" t="n">
        <f aca="false">Sens!$F$6477*m_ad</f>
        <v>6.50663858068173</v>
      </c>
      <c r="G6580" s="38" t="n">
        <f aca="false">Sens!$G$6477*m_ad</f>
        <v>11.5225190751659</v>
      </c>
      <c r="H6580" s="38" t="n">
        <f aca="false">Sens!$H$6477*m_ad</f>
        <v>13.8333728663174</v>
      </c>
      <c r="I6580" s="38" t="n">
        <f aca="false">Sens!$I$6477*m_ad</f>
        <v>16.1440173245485</v>
      </c>
      <c r="J6580" s="38" t="n">
        <f aca="false">Sens!$J$6477*m_ad</f>
        <v>18.2995185845066</v>
      </c>
      <c r="K6580" s="38" t="n">
        <f aca="false">Sens!$K$6477*m_ad</f>
        <v>20.1294704429572</v>
      </c>
      <c r="L6580" s="38" t="n">
        <f aca="false">Sens!$L$6477*m_ad</f>
        <v>22.142417487253</v>
      </c>
      <c r="M6580" s="38" t="n">
        <f aca="false">Sens!$M$6477*m_ad</f>
        <v>24.3566592359783</v>
      </c>
      <c r="N6580" s="38" t="n">
        <f aca="false">Sens!$N$6477*m_ad</f>
        <v>3.95314442937518</v>
      </c>
      <c r="O6580" s="38" t="n">
        <f aca="false">Sens!$O$6477*m_ad</f>
        <v>5.50052681786011</v>
      </c>
    </row>
    <row r="6581" customFormat="false" ht="17.15" hidden="false" customHeight="false" outlineLevel="0" collapsed="false">
      <c r="A6581" s="0" t="s">
        <v>738</v>
      </c>
      <c r="B6581" s="0" t="s">
        <v>86</v>
      </c>
      <c r="C6581" s="38" t="n">
        <f aca="false">Sens!$C$6475-Sens!$C$6477</f>
        <v>127.760312882846</v>
      </c>
      <c r="D6581" s="38" t="n">
        <f aca="false">Sens!$D$6475-Sens!$D$6477</f>
        <v>143.003123459917</v>
      </c>
      <c r="E6581" s="38" t="n">
        <f aca="false">Sens!$E$6475-Sens!$E$6477</f>
        <v>71.9374224924414</v>
      </c>
      <c r="F6581" s="38" t="n">
        <f aca="false">Sens!$F$6475-Sens!$F$6477</f>
        <v>85.3951910035875</v>
      </c>
      <c r="G6581" s="38" t="n">
        <f aca="false">Sens!$G$6475-Sens!$G$6477</f>
        <v>157.349430014619</v>
      </c>
      <c r="H6581" s="38" t="n">
        <f aca="false">Sens!$H$6475-Sens!$H$6477</f>
        <v>172.043153372315</v>
      </c>
      <c r="I6581" s="38" t="n">
        <f aca="false">Sens!$I$6475-Sens!$I$6477</f>
        <v>186.097493615879</v>
      </c>
      <c r="J6581" s="38" t="n">
        <f aca="false">Sens!$J$6475-Sens!$J$6477</f>
        <v>199.117932780497</v>
      </c>
      <c r="K6581" s="38" t="n">
        <f aca="false">Sens!$K$6475-Sens!$K$6477</f>
        <v>210.70928698363</v>
      </c>
      <c r="L6581" s="38" t="n">
        <f aca="false">Sens!$L$6475-Sens!$L$6477</f>
        <v>223.000532251316</v>
      </c>
      <c r="M6581" s="38" t="n">
        <f aca="false">Sens!$M$6475-Sens!$M$6477</f>
        <v>236.035261011339</v>
      </c>
      <c r="N6581" s="38" t="n">
        <f aca="false">Sens!$N$6475-Sens!$N$6477</f>
        <v>62.3677111412496</v>
      </c>
      <c r="O6581" s="38" t="n">
        <f aca="false">Sens!$O$6475-Sens!$O$6477</f>
        <v>80.6189463642798</v>
      </c>
    </row>
    <row r="6582" customFormat="false" ht="17.15" hidden="false" customHeight="false" outlineLevel="0" collapsed="false">
      <c r="A6582" s="0" t="s">
        <v>739</v>
      </c>
      <c r="B6582" s="0" t="s">
        <v>86</v>
      </c>
      <c r="C6582" s="38" t="n">
        <f aca="false">Sens!$C$6528*(1-Sens!$C$6473)</f>
        <v>0.0455891896019953</v>
      </c>
      <c r="D6582" s="38" t="n">
        <f aca="false">Sens!$D$6528*(1-Sens!$D$6473)</f>
        <v>0.227931791705753</v>
      </c>
      <c r="E6582" s="38" t="n">
        <f aca="false">Sens!$E$6528*(1-Sens!$E$6473)</f>
        <v>0.412460434890711</v>
      </c>
      <c r="F6582" s="38" t="n">
        <f aca="false">Sens!$F$6528*(1-Sens!$F$6473)</f>
        <v>0.524534016233997</v>
      </c>
      <c r="G6582" s="38" t="n">
        <f aca="false">Sens!$G$6528*(1-Sens!$G$6473)</f>
        <v>0.936474095312266</v>
      </c>
      <c r="H6582" s="38" t="n">
        <f aca="false">Sens!$H$6528*(1-Sens!$H$6473)</f>
        <v>2.54003589327823</v>
      </c>
      <c r="I6582" s="38" t="n">
        <f aca="false">Sens!$I$6528*(1-Sens!$I$6473)</f>
        <v>4.88320120852905</v>
      </c>
      <c r="J6582" s="38" t="n">
        <f aca="false">Sens!$J$6528*(1-Sens!$J$6473)</f>
        <v>7.05069548920359</v>
      </c>
      <c r="K6582" s="38" t="n">
        <f aca="false">Sens!$K$6528*(1-Sens!$K$6473)</f>
        <v>9.17200258193867</v>
      </c>
      <c r="L6582" s="38" t="n">
        <f aca="false">Sens!$L$6528*(1-Sens!$L$6473)</f>
        <v>10.6414216154535</v>
      </c>
      <c r="M6582" s="38" t="n">
        <f aca="false">Sens!$M$6528*(1-Sens!$M$6473)</f>
        <v>11.4538831951485</v>
      </c>
      <c r="N6582" s="38" t="n">
        <f aca="false">Sens!$N$6528*(1-Sens!$N$6473)</f>
        <v>0.0912435878202994</v>
      </c>
      <c r="O6582" s="38" t="n">
        <f aca="false">Sens!$O$6528*(1-Sens!$O$6473)</f>
        <v>0.137119578309265</v>
      </c>
    </row>
    <row r="6583" customFormat="false" ht="17.15" hidden="false" customHeight="false" outlineLevel="0" collapsed="false">
      <c r="A6583" s="0" t="s">
        <v>740</v>
      </c>
      <c r="B6583" s="0" t="s">
        <v>52</v>
      </c>
      <c r="C6583" s="28" t="n">
        <f aca="false">(Sens!$C$6584-Sens!$C$6580+Sens!$C$6582)/Sens!$C$6581</f>
        <v>-0.0292364215826579</v>
      </c>
      <c r="D6583" s="28" t="n">
        <f aca="false">(Sens!$D$6584-Sens!$D$6580+Sens!$D$6582)/Sens!$D$6581</f>
        <v>-0.0312406216748665</v>
      </c>
      <c r="E6583" s="28" t="n">
        <f aca="false">(Sens!$E$6584-Sens!$E$6580+Sens!$E$6582)/Sens!$E$6581</f>
        <v>-0.0204459413185552</v>
      </c>
      <c r="F6583" s="28" t="n">
        <f aca="false">Sens!$O$6583+(Sens!$E$6583-Sens!$N$6583)</f>
        <v>-0.0375409290246314</v>
      </c>
      <c r="G6583" s="28" t="n">
        <f aca="false">(Sens!$G$6584-Sens!$G$6580+Sens!$G$6582)/Sens!$G$6581</f>
        <v>-0.0296712560031684</v>
      </c>
      <c r="H6583" s="28" t="n">
        <f aca="false">Sens!$G$6583+step_in</f>
        <v>-0.0296712560031684</v>
      </c>
      <c r="I6583" s="28" t="n">
        <f aca="false">Sens!$H$6583+step_in</f>
        <v>-0.0296712560031684</v>
      </c>
      <c r="J6583" s="28" t="n">
        <f aca="false">Sens!$I$6583+step_in</f>
        <v>-0.0296712560031684</v>
      </c>
      <c r="K6583" s="28" t="n">
        <f aca="false">Sens!$J$6583+step_in</f>
        <v>-0.0296712560031684</v>
      </c>
      <c r="L6583" s="28" t="n">
        <f aca="false">Sens!$K$6583</f>
        <v>-0.0296712560031684</v>
      </c>
      <c r="M6583" s="28" t="n">
        <f aca="false">Sens!$L$6583</f>
        <v>-0.0296712560031684</v>
      </c>
      <c r="N6583" s="28" t="n">
        <f aca="false">(Sens!$N$6584-Sens!$N$6580+Sens!$N$6582)/Sens!$N$6581</f>
        <v>-0.0216602600421776</v>
      </c>
      <c r="O6583" s="28" t="n">
        <f aca="false">(Sens!$O$6584-Sens!$O$6580+Sens!$O$6582)/Sens!$O$6581</f>
        <v>-0.0387552477482538</v>
      </c>
      <c r="P6583" s="8" t="s">
        <v>735</v>
      </c>
    </row>
    <row r="6584" customFormat="false" ht="17.15" hidden="false" customHeight="false" outlineLevel="0" collapsed="false">
      <c r="A6584" s="1" t="s">
        <v>741</v>
      </c>
      <c r="B6584" s="8" t="s">
        <v>86</v>
      </c>
      <c r="C6584" s="38" t="n">
        <f aca="false">Q!$D$23</f>
        <v>3.792</v>
      </c>
      <c r="D6584" s="38" t="n">
        <f aca="false">Q!$E$23</f>
        <v>4.75</v>
      </c>
      <c r="E6584" s="38" t="n">
        <f aca="false">Q!$P$23</f>
        <v>3.141</v>
      </c>
      <c r="F6584" s="38" t="n">
        <f aca="false">Sens!$F$6580+Sens!$F$6581*Sens!$F$6583-Sens!$F$6582</f>
        <v>2.77628975993721</v>
      </c>
      <c r="G6584" s="38" t="n">
        <f aca="false">Sens!$E$6584+Sens!$F$6584</f>
        <v>5.91728975993721</v>
      </c>
      <c r="H6584" s="38" t="n">
        <f aca="false">Sens!$H$6580+Sens!$H$6581*Sens!$H$6583-Sens!$H$6582</f>
        <v>6.18860052573681</v>
      </c>
      <c r="I6584" s="38" t="n">
        <f aca="false">Sens!$I$6580+Sens!$I$6581*Sens!$I$6583-Sens!$I$6582</f>
        <v>5.73906974139474</v>
      </c>
      <c r="J6584" s="38" t="n">
        <f aca="false">Sens!$J$6580+Sens!$J$6581*Sens!$J$6583-Sens!$J$6582</f>
        <v>5.34074393695119</v>
      </c>
      <c r="K6584" s="38" t="n">
        <f aca="false">Sens!$K$6580+Sens!$K$6581*Sens!$K$6583-Sens!$K$6582</f>
        <v>4.7054586646822</v>
      </c>
      <c r="L6584" s="38" t="n">
        <f aca="false">Sens!$L$6580+Sens!$L$6581*Sens!$L$6583-Sens!$L$6582</f>
        <v>4.88428999052786</v>
      </c>
      <c r="M6584" s="38" t="n">
        <f aca="false">Sens!$M$6580+Sens!$M$6581*Sens!$M$6583-Sens!$M$6582</f>
        <v>5.89931338558769</v>
      </c>
      <c r="N6584" s="38" t="n">
        <f aca="false">Q!$N$23</f>
        <v>2.511</v>
      </c>
      <c r="O6584" s="38" t="n">
        <f aca="false">Q!$O$23</f>
        <v>2.239</v>
      </c>
    </row>
    <row r="6585" customFormat="false" ht="17.15" hidden="false" customHeight="false" outlineLevel="0" collapsed="false">
      <c r="A6585" s="0" t="s">
        <v>742</v>
      </c>
      <c r="B6585" s="0" t="s">
        <v>86</v>
      </c>
      <c r="C6585" s="38" t="n">
        <f aca="false">Sens!$C$6525</f>
        <v>1.64417882953695</v>
      </c>
      <c r="D6585" s="38" t="n">
        <f aca="false">Sens!$D$6525</f>
        <v>5.39125073772939</v>
      </c>
      <c r="E6585" s="38" t="n">
        <f aca="false">Sens!$E$6525</f>
        <v>2.42691120599613</v>
      </c>
      <c r="F6585" s="38" t="n">
        <f aca="false">Sens!$F$6525</f>
        <v>7.52148563094346</v>
      </c>
      <c r="G6585" s="38" t="n">
        <f aca="false">Sens!$G$6525</f>
        <v>9.94839683693959</v>
      </c>
      <c r="H6585" s="38" t="n">
        <f aca="false">Sens!$H$6525</f>
        <v>23.4804386990861</v>
      </c>
      <c r="I6585" s="38" t="n">
        <f aca="false">Sens!$I$6525</f>
        <v>30.9761745989143</v>
      </c>
      <c r="J6585" s="38" t="n">
        <f aca="false">Sens!$J$6525</f>
        <v>41.1930070746977</v>
      </c>
      <c r="K6585" s="38" t="n">
        <f aca="false">Sens!$K$6525</f>
        <v>45.9779211159428</v>
      </c>
      <c r="L6585" s="38" t="n">
        <f aca="false">Sens!$L$6525</f>
        <v>48.0352490919424</v>
      </c>
      <c r="M6585" s="38" t="n">
        <f aca="false">Sens!$M$6525</f>
        <v>47.4082976573265</v>
      </c>
      <c r="N6585" s="38" t="n">
        <f aca="false">Sens!$N$6525</f>
        <v>1.67921600037079</v>
      </c>
      <c r="O6585" s="38" t="n">
        <f aca="false">Sens!$O$6525</f>
        <v>3.71203473735861</v>
      </c>
    </row>
    <row r="6586" customFormat="false" ht="17.15" hidden="false" customHeight="false" outlineLevel="0" collapsed="false">
      <c r="A6586" s="0" t="s">
        <v>660</v>
      </c>
      <c r="B6586" s="0" t="s">
        <v>86</v>
      </c>
      <c r="C6586" s="38" t="n">
        <f aca="false">Sens!$C$6530</f>
        <v>38.1898211704631</v>
      </c>
      <c r="D6586" s="38" t="n">
        <f aca="false">Sens!$D$6530</f>
        <v>40.2147492622706</v>
      </c>
      <c r="E6586" s="38" t="n">
        <f aca="false">Sens!$E$6530</f>
        <v>28.3550887940039</v>
      </c>
      <c r="F6586" s="38" t="n">
        <f aca="false">Sens!$F$6530</f>
        <v>25.9529793149447</v>
      </c>
      <c r="G6586" s="38" t="n">
        <f aca="false">Sens!$G$6530</f>
        <v>54.3080681089486</v>
      </c>
      <c r="H6586" s="38" t="n">
        <f aca="false">Sens!$H$6530</f>
        <v>58.2264684589333</v>
      </c>
      <c r="I6586" s="38" t="n">
        <f aca="false">Sens!$I$6530</f>
        <v>64.6461353851744</v>
      </c>
      <c r="J6586" s="38" t="n">
        <f aca="false">Sens!$J$6530</f>
        <v>70.7957093610231</v>
      </c>
      <c r="K6586" s="38" t="n">
        <f aca="false">Sens!$K$6530</f>
        <v>76.4593661099049</v>
      </c>
      <c r="L6586" s="38" t="n">
        <f aca="false">Sens!$L$6530</f>
        <v>82.5761153986973</v>
      </c>
      <c r="M6586" s="38" t="n">
        <f aca="false">Sens!$M$6530</f>
        <v>89.1822046305931</v>
      </c>
      <c r="N6586" s="38" t="n">
        <f aca="false">Sens!$N$6530</f>
        <v>20.0277839996292</v>
      </c>
      <c r="O6586" s="38" t="n">
        <f aca="false">Sens!$O$6530</f>
        <v>20.1869652626414</v>
      </c>
    </row>
    <row r="6587" customFormat="false" ht="17.15" hidden="false" customHeight="false" outlineLevel="0" collapsed="false">
      <c r="A6587" s="1" t="s">
        <v>743</v>
      </c>
      <c r="B6587" s="8" t="s">
        <v>86</v>
      </c>
      <c r="C6587" s="38" t="n">
        <f aca="false">Q!$D$24</f>
        <v>39.834</v>
      </c>
      <c r="D6587" s="38" t="n">
        <f aca="false">Q!$E$24</f>
        <v>45.606</v>
      </c>
      <c r="E6587" s="38" t="n">
        <f aca="false">Q!$P$24</f>
        <v>30.782</v>
      </c>
      <c r="F6587" s="38" t="n">
        <f aca="false">Sens!$F$6585+Sens!$F$6586</f>
        <v>33.4744649458882</v>
      </c>
      <c r="G6587" s="38" t="n">
        <f aca="false">Sens!$G$6585+Sens!$G$6586</f>
        <v>64.2564649458882</v>
      </c>
      <c r="H6587" s="38" t="n">
        <f aca="false">Sens!$H$6585+Sens!$H$6586</f>
        <v>81.7069071580194</v>
      </c>
      <c r="I6587" s="38" t="n">
        <f aca="false">Sens!$I$6585+Sens!$I$6586</f>
        <v>95.6223099840887</v>
      </c>
      <c r="J6587" s="38" t="n">
        <f aca="false">Sens!$J$6585+Sens!$J$6586</f>
        <v>111.988716435721</v>
      </c>
      <c r="K6587" s="38" t="n">
        <f aca="false">Sens!$K$6585+Sens!$K$6586</f>
        <v>122.437287225848</v>
      </c>
      <c r="L6587" s="38" t="n">
        <f aca="false">Sens!$L$6585+Sens!$L$6586</f>
        <v>130.61136449064</v>
      </c>
      <c r="M6587" s="38" t="n">
        <f aca="false">Sens!$M$6585+Sens!$M$6586</f>
        <v>136.59050228792</v>
      </c>
      <c r="N6587" s="38" t="n">
        <f aca="false">Q!$N$24</f>
        <v>21.707</v>
      </c>
      <c r="O6587" s="38" t="n">
        <f aca="false">Q!$O$24</f>
        <v>23.899</v>
      </c>
    </row>
    <row r="6588" customFormat="false" ht="17.15" hidden="false" customHeight="false" outlineLevel="0" collapsed="false">
      <c r="A6588" s="5" t="s">
        <v>744</v>
      </c>
      <c r="B6588" s="0" t="s">
        <v>86</v>
      </c>
      <c r="C6588" s="38" t="n">
        <f aca="false">Q!$D$26</f>
        <v>0</v>
      </c>
      <c r="D6588" s="38" t="n">
        <f aca="false">Q!$E$26</f>
        <v>0</v>
      </c>
      <c r="E6588" s="38" t="n">
        <f aca="false">Q!$P$26</f>
        <v>0</v>
      </c>
      <c r="F6588" s="39" t="n">
        <v>0</v>
      </c>
      <c r="G6588" s="38" t="n">
        <f aca="false">Sens!$E$6588+Sens!$F$6588</f>
        <v>0</v>
      </c>
      <c r="H6588" s="39" t="n">
        <v>0</v>
      </c>
      <c r="I6588" s="39" t="n">
        <v>0</v>
      </c>
      <c r="J6588" s="39" t="n">
        <v>0</v>
      </c>
      <c r="K6588" s="39" t="n">
        <v>0</v>
      </c>
      <c r="L6588" s="39" t="n">
        <v>0</v>
      </c>
      <c r="M6588" s="39" t="n">
        <v>0</v>
      </c>
      <c r="N6588" s="38" t="n">
        <f aca="false">Q!$N$26</f>
        <v>0</v>
      </c>
      <c r="O6588" s="38" t="n">
        <f aca="false">Q!$O$26</f>
        <v>0</v>
      </c>
    </row>
    <row r="6589" customFormat="false" ht="15" hidden="false" customHeight="false" outlineLevel="0" collapsed="false">
      <c r="A6589" s="3" t="s">
        <v>541</v>
      </c>
      <c r="B6589" s="8" t="s">
        <v>86</v>
      </c>
      <c r="C6589" s="38" t="n">
        <f aca="false">Q!$D$25</f>
        <v>68.593</v>
      </c>
      <c r="D6589" s="38" t="n">
        <f aca="false">Q!$E$25</f>
        <v>79.975</v>
      </c>
      <c r="E6589" s="38" t="n">
        <f aca="false">Q!$P$25</f>
        <v>51.313</v>
      </c>
      <c r="F6589" s="38" t="n">
        <f aca="false">Sens!$F$6579+Sens!$F$6584+Sens!$F$6587+Sens!$F$6588</f>
        <v>56.3652566987294</v>
      </c>
      <c r="G6589" s="38" t="n">
        <f aca="false">Sens!$G$6579+Sens!$G$6584+Sens!$G$6587+Sens!$G$6588</f>
        <v>107.678256698729</v>
      </c>
      <c r="H6589" s="38" t="n">
        <f aca="false">Sens!$H$6579+Sens!$H$6584+Sens!$H$6587+Sens!$H$6588</f>
        <v>129.515456870266</v>
      </c>
      <c r="I6589" s="38" t="n">
        <f aca="false">Sens!$I$6579+Sens!$I$6584+Sens!$I$6587+Sens!$I$6588</f>
        <v>145.345387082626</v>
      </c>
      <c r="J6589" s="38" t="n">
        <f aca="false">Sens!$J$6579+Sens!$J$6584+Sens!$J$6587+Sens!$J$6588</f>
        <v>163.862141869716</v>
      </c>
      <c r="K6589" s="38" t="n">
        <f aca="false">Sens!$K$6579+Sens!$K$6584+Sens!$K$6587+Sens!$K$6588</f>
        <v>175.564332634303</v>
      </c>
      <c r="L6589" s="38" t="n">
        <f aca="false">Sens!$L$6579+Sens!$L$6584+Sens!$L$6587+Sens!$L$6588</f>
        <v>186.492086157384</v>
      </c>
      <c r="M6589" s="38" t="n">
        <f aca="false">Sens!$M$6579+Sens!$M$6584+Sens!$M$6587+Sens!$M$6588</f>
        <v>198.371665638452</v>
      </c>
      <c r="N6589" s="38" t="n">
        <f aca="false">Q!$N$25</f>
        <v>37.576</v>
      </c>
      <c r="O6589" s="38" t="n">
        <f aca="false">Q!$O$25</f>
        <v>42.399</v>
      </c>
    </row>
    <row r="6590" customFormat="false" ht="17.15" hidden="false" customHeight="false" outlineLevel="0" collapsed="false">
      <c r="A6590" s="24" t="s">
        <v>775</v>
      </c>
      <c r="B6590" s="25" t="s">
        <v>86</v>
      </c>
      <c r="C6590" s="41" t="n">
        <f aca="false">Sens!$C$6579+Sens!$C$6584+Sens!$C$6587+Sens!$C$6588-Sens!$C$6589</f>
        <v>0</v>
      </c>
      <c r="D6590" s="41" t="n">
        <f aca="false">Sens!$D$6579+Sens!$D$6584+Sens!$D$6587+Sens!$D$6588-Sens!$D$6589</f>
        <v>0</v>
      </c>
      <c r="E6590" s="41" t="n">
        <f aca="false">Sens!$E$6579+Sens!$E$6584+Sens!$E$6587+Sens!$E$6588-Sens!$E$6589</f>
        <v>0</v>
      </c>
      <c r="F6590" s="41" t="n">
        <f aca="false">Sens!$F$6579+Sens!$F$6584+Sens!$F$6587+Sens!$F$6588-Sens!$F$6589</f>
        <v>0</v>
      </c>
      <c r="G6590" s="41" t="n">
        <f aca="false">Sens!$G$6579+Sens!$G$6584+Sens!$G$6587+Sens!$G$6588-Sens!$G$6589</f>
        <v>0</v>
      </c>
      <c r="H6590" s="41" t="n">
        <f aca="false">Sens!$H$6579+Sens!$H$6584+Sens!$H$6587+Sens!$H$6588-Sens!$H$6589</f>
        <v>0</v>
      </c>
      <c r="I6590" s="41" t="n">
        <f aca="false">Sens!$I$6579+Sens!$I$6584+Sens!$I$6587+Sens!$I$6588-Sens!$I$6589</f>
        <v>0</v>
      </c>
      <c r="J6590" s="41" t="n">
        <f aca="false">Sens!$J$6579+Sens!$J$6584+Sens!$J$6587+Sens!$J$6588-Sens!$J$6589</f>
        <v>0</v>
      </c>
      <c r="K6590" s="41" t="n">
        <f aca="false">Sens!$K$6579+Sens!$K$6584+Sens!$K$6587+Sens!$K$6588-Sens!$K$6589</f>
        <v>0</v>
      </c>
      <c r="L6590" s="41" t="n">
        <f aca="false">Sens!$L$6579+Sens!$L$6584+Sens!$L$6587+Sens!$L$6588-Sens!$L$6589</f>
        <v>0</v>
      </c>
      <c r="M6590" s="41" t="n">
        <f aca="false">Sens!$M$6579+Sens!$M$6584+Sens!$M$6587+Sens!$M$6588-Sens!$M$6589</f>
        <v>0</v>
      </c>
      <c r="N6590" s="41" t="n">
        <f aca="false">Sens!$N$6579+Sens!$N$6584+Sens!$N$6587+Sens!$N$6588-Sens!$N$6589</f>
        <v>0</v>
      </c>
      <c r="O6590" s="41" t="n">
        <f aca="false">Sens!$O$6579+Sens!$O$6584+Sens!$O$6587+Sens!$O$6588-Sens!$O$6589</f>
        <v>0</v>
      </c>
    </row>
    <row r="6591" customFormat="false" ht="17.15" hidden="false" customHeight="false" outlineLevel="0" collapsed="false">
      <c r="A6591" s="5" t="s">
        <v>746</v>
      </c>
      <c r="B6591" s="0" t="s">
        <v>86</v>
      </c>
      <c r="C6591" s="38" t="n">
        <f aca="false">Sens!$C$6527</f>
        <v>0</v>
      </c>
      <c r="D6591" s="38" t="n">
        <f aca="false">Sens!$D$6527</f>
        <v>0</v>
      </c>
      <c r="E6591" s="38" t="n">
        <f aca="false">Sens!$E$6527</f>
        <v>0</v>
      </c>
      <c r="F6591" s="38" t="n">
        <f aca="false">Sens!$F$6527</f>
        <v>3.77122048175818</v>
      </c>
      <c r="G6591" s="38" t="n">
        <f aca="false">Sens!$G$6527</f>
        <v>3.77122048175818</v>
      </c>
      <c r="H6591" s="38" t="n">
        <f aca="false">Sens!$H$6527</f>
        <v>15.1635543609893</v>
      </c>
      <c r="I6591" s="38" t="n">
        <f aca="false">Sens!$I$6527</f>
        <v>25.5818843619889</v>
      </c>
      <c r="J6591" s="38" t="n">
        <f aca="false">Sens!$J$6527</f>
        <v>36.0465624179122</v>
      </c>
      <c r="K6591" s="38" t="n">
        <f aca="false">Sens!$K$6527</f>
        <v>44.9741164026038</v>
      </c>
      <c r="L6591" s="38" t="n">
        <f aca="false">Sens!$L$6527</f>
        <v>50.8413488057813</v>
      </c>
      <c r="M6591" s="38" t="n">
        <f aca="false">Sens!$M$6527</f>
        <v>53.6407214274315</v>
      </c>
      <c r="N6591" s="38" t="n">
        <f aca="false">Sens!$N$6527</f>
        <v>0</v>
      </c>
      <c r="O6591" s="38" t="n">
        <f aca="false">Sens!$O$6527</f>
        <v>0</v>
      </c>
      <c r="P6591" s="5" t="s">
        <v>747</v>
      </c>
    </row>
    <row r="6592" customFormat="false" ht="17.15" hidden="false" customHeight="false" outlineLevel="0" collapsed="false">
      <c r="A6592" s="5" t="s">
        <v>748</v>
      </c>
      <c r="B6592" s="0" t="s">
        <v>86</v>
      </c>
      <c r="C6592" s="38" t="n">
        <f aca="false">Sens!$C$6589+Sens!$C$6591</f>
        <v>68.593</v>
      </c>
      <c r="D6592" s="38" t="n">
        <f aca="false">Sens!$D$6589+Sens!$D$6591</f>
        <v>79.975</v>
      </c>
      <c r="E6592" s="38" t="n">
        <f aca="false">Sens!$E$6589+Sens!$E$6591</f>
        <v>51.313</v>
      </c>
      <c r="F6592" s="38" t="n">
        <f aca="false">Sens!$F$6589+Sens!$F$6591</f>
        <v>60.1364771804876</v>
      </c>
      <c r="G6592" s="38" t="n">
        <f aca="false">Sens!$G$6589+Sens!$G$6591</f>
        <v>111.449477180488</v>
      </c>
      <c r="H6592" s="38" t="n">
        <f aca="false">Sens!$H$6589+Sens!$H$6591</f>
        <v>144.679011231256</v>
      </c>
      <c r="I6592" s="38" t="n">
        <f aca="false">Sens!$I$6589+Sens!$I$6591</f>
        <v>170.927271444615</v>
      </c>
      <c r="J6592" s="38" t="n">
        <f aca="false">Sens!$J$6589+Sens!$J$6591</f>
        <v>199.908704287628</v>
      </c>
      <c r="K6592" s="38" t="n">
        <f aca="false">Sens!$K$6589+Sens!$K$6591</f>
        <v>220.538449036907</v>
      </c>
      <c r="L6592" s="38" t="n">
        <f aca="false">Sens!$L$6589+Sens!$L$6591</f>
        <v>237.333434963166</v>
      </c>
      <c r="M6592" s="38" t="n">
        <f aca="false">Sens!$M$6589+Sens!$M$6591</f>
        <v>252.012387065883</v>
      </c>
      <c r="N6592" s="38" t="n">
        <f aca="false">Sens!$N$6589+Sens!$N$6591</f>
        <v>37.576</v>
      </c>
      <c r="O6592" s="38" t="n">
        <f aca="false">Sens!$O$6589+Sens!$O$6591</f>
        <v>42.399</v>
      </c>
    </row>
    <row r="6593" customFormat="false" ht="17.15" hidden="false" customHeight="false" outlineLevel="0" collapsed="false">
      <c r="A6593" s="0" t="s">
        <v>749</v>
      </c>
      <c r="B6593" s="0" t="s">
        <v>52</v>
      </c>
      <c r="C6593" s="13" t="n">
        <f aca="false">Sens!$C$6579/Sens!$C$6564</f>
        <v>0.0644314665661928</v>
      </c>
      <c r="D6593" s="13" t="n">
        <f aca="false">Sens!$D$6579/Sens!$D$6564</f>
        <v>0.0694784250712518</v>
      </c>
      <c r="E6593" s="13" t="n">
        <f aca="false">Sens!$E$6579/Sens!$E$6564</f>
        <v>0.0789306463326071</v>
      </c>
      <c r="F6593" s="13" t="n">
        <f aca="false">Sens!$F$6579/Sens!$F$6564</f>
        <v>0.0802526339438384</v>
      </c>
      <c r="G6593" s="13" t="n">
        <f aca="false">Sens!$G$6579/Sens!$G$6564</f>
        <v>0.0796341940538369</v>
      </c>
      <c r="H6593" s="13" t="n">
        <f aca="false">Sens!$H$6579/Sens!$H$6564</f>
        <v>0.0798254462645258</v>
      </c>
      <c r="I6593" s="13" t="n">
        <f aca="false">Sens!$I$6579/Sens!$I$6564</f>
        <v>0.0771454543672196</v>
      </c>
      <c r="J6593" s="13" t="n">
        <f aca="false">Sens!$J$6579/Sens!$J$6564</f>
        <v>0.0756147693819656</v>
      </c>
      <c r="K6593" s="13" t="n">
        <f aca="false">Sens!$K$6579/Sens!$K$6564</f>
        <v>0.0739025926520816</v>
      </c>
      <c r="L6593" s="13" t="n">
        <f aca="false">Sens!$L$6579/Sens!$L$6564</f>
        <v>0.0730809201558074</v>
      </c>
      <c r="M6593" s="13" t="n">
        <f aca="false">Sens!$M$6579/Sens!$M$6564</f>
        <v>0.0751707027775199</v>
      </c>
      <c r="N6593" s="13" t="n">
        <f aca="false">Sens!$N$6579/Sens!$N$6564</f>
        <v>0.069228576611127</v>
      </c>
      <c r="O6593" s="13" t="n">
        <f aca="false">Sens!$O$6579/Sens!$O$6564</f>
        <v>0.069685022498393</v>
      </c>
    </row>
    <row r="6594" customFormat="false" ht="17.15" hidden="false" customHeight="false" outlineLevel="0" collapsed="false">
      <c r="A6594" s="0" t="s">
        <v>750</v>
      </c>
      <c r="B6594" s="0" t="s">
        <v>52</v>
      </c>
      <c r="C6594" s="13" t="n">
        <f aca="false">Sens!$C$6584/Sens!$C$6565</f>
        <v>0.026534925055631</v>
      </c>
      <c r="D6594" s="13" t="n">
        <f aca="false">Sens!$D$6584/Sens!$D$6565</f>
        <v>0.0293401855535103</v>
      </c>
      <c r="E6594" s="13" t="n">
        <f aca="false">Sens!$E$6584/Sens!$E$6565</f>
        <v>0.03831141902276</v>
      </c>
      <c r="F6594" s="13" t="n">
        <f aca="false">Sens!$F$6584/Sens!$F$6565</f>
        <v>0.0282118989524726</v>
      </c>
      <c r="G6594" s="13" t="n">
        <f aca="false">Sens!$G$6584/Sens!$G$6565</f>
        <v>0.0328019468674976</v>
      </c>
      <c r="H6594" s="13" t="n">
        <f aca="false">Sens!$H$6584/Sens!$H$6565</f>
        <v>0.0309879507899839</v>
      </c>
      <c r="I6594" s="13" t="n">
        <f aca="false">Sens!$I$6584/Sens!$I$6565</f>
        <v>0.0262795332043765</v>
      </c>
      <c r="J6594" s="13" t="n">
        <f aca="false">Sens!$J$6584/Sens!$J$6565</f>
        <v>0.0226574435353346</v>
      </c>
      <c r="K6594" s="13" t="n">
        <f aca="false">Sens!$K$6584/Sens!$K$6565</f>
        <v>0.0187492205871101</v>
      </c>
      <c r="L6594" s="13" t="n">
        <f aca="false">Sens!$L$6584/Sens!$L$6565</f>
        <v>0.018273690180732</v>
      </c>
      <c r="M6594" s="13" t="n">
        <f aca="false">Sens!$M$6584/Sens!$M$6565</f>
        <v>0.0207176218272716</v>
      </c>
      <c r="N6594" s="13" t="n">
        <f aca="false">Sens!$N$6584/Sens!$N$6565</f>
        <v>0.0357315650169337</v>
      </c>
      <c r="O6594" s="13" t="n">
        <f aca="false">Sens!$O$6584/Sens!$O$6565</f>
        <v>0.0244378956559703</v>
      </c>
    </row>
    <row r="6595" customFormat="false" ht="17.15" hidden="false" customHeight="false" outlineLevel="0" collapsed="false">
      <c r="A6595" s="14" t="s">
        <v>751</v>
      </c>
      <c r="B6595" s="14" t="s">
        <v>52</v>
      </c>
      <c r="C6595" s="17" t="n">
        <f aca="false">Sens!$C$6587/Sens!$C$6566</f>
        <v>0.370355907620217</v>
      </c>
      <c r="D6595" s="17" t="n">
        <f aca="false">Sens!$D$6587/Sens!$D$6566</f>
        <v>0.35429015342785</v>
      </c>
      <c r="E6595" s="17" t="n">
        <f aca="false">Sens!$E$6587/Sens!$E$6566</f>
        <v>0.385647527531039</v>
      </c>
      <c r="F6595" s="17" t="n">
        <f aca="false">Sens!$F$6587/Sens!$F$6566</f>
        <v>0.385949613469105</v>
      </c>
      <c r="G6595" s="17" t="n">
        <f aca="false">Sens!$G$6587/Sens!$G$6566</f>
        <v>0.385804840448779</v>
      </c>
      <c r="H6595" s="17" t="n">
        <f aca="false">Sens!$H$6587/Sens!$H$6566</f>
        <v>0.369408675360557</v>
      </c>
      <c r="I6595" s="17" t="n">
        <f aca="false">Sens!$I$6587/Sens!$I$6566</f>
        <v>0.34117504540738</v>
      </c>
      <c r="J6595" s="17" t="n">
        <f aca="false">Sens!$J$6587/Sens!$J$6566</f>
        <v>0.330544285732563</v>
      </c>
      <c r="K6595" s="17" t="n">
        <f aca="false">Sens!$K$6587/Sens!$K$6566</f>
        <v>0.314033796990635</v>
      </c>
      <c r="L6595" s="17" t="n">
        <f aca="false">Sens!$L$6587/Sens!$L$6566</f>
        <v>0.303690371867633</v>
      </c>
      <c r="M6595" s="17" t="n">
        <f aca="false">Sens!$M$6587/Sens!$M$6566</f>
        <v>0.297287296590884</v>
      </c>
      <c r="N6595" s="17" t="n">
        <f aca="false">Sens!$N$6587/Sens!$N$6566</f>
        <v>0.360941137346192</v>
      </c>
      <c r="O6595" s="17" t="n">
        <f aca="false">Sens!$O$6587/Sens!$O$6566</f>
        <v>0.348458117664212</v>
      </c>
    </row>
    <row r="6596" customFormat="false" ht="17.15" hidden="false" customHeight="false" outlineLevel="0" collapsed="false">
      <c r="A6596" s="0" t="s">
        <v>752</v>
      </c>
      <c r="B6596" s="0" t="s">
        <v>52</v>
      </c>
      <c r="C6596" s="13" t="n">
        <f aca="false">Sens!$C$6585/Sens!$C$6567</f>
        <v>0.708390794789371</v>
      </c>
      <c r="D6596" s="13" t="n">
        <f aca="false">Sens!$D$6585/Sens!$D$6567</f>
        <v>0.619415573115729</v>
      </c>
      <c r="E6596" s="13" t="n">
        <f aca="false">Sens!$E$6585/Sens!$E$6567</f>
        <v>0.285171627189009</v>
      </c>
      <c r="F6596" s="13" t="n">
        <f aca="false">Sens!$F$6585/Sens!$F$6567</f>
        <v>0.502657732812366</v>
      </c>
      <c r="G6596" s="13" t="n">
        <f aca="false">Sens!$G$6585/Sens!$G$6567</f>
        <v>0.423808778611812</v>
      </c>
      <c r="H6596" s="13" t="n">
        <f aca="false">Sens!$H$6585/Sens!$H$6567</f>
        <v>0.390261631739809</v>
      </c>
      <c r="I6596" s="13" t="n">
        <f aca="false">Sens!$I$6585/Sens!$I$6567</f>
        <v>0.305172864264572</v>
      </c>
      <c r="J6596" s="13" t="n">
        <f aca="false">Sens!$J$6585/Sens!$J$6567</f>
        <v>0.288011814789856</v>
      </c>
      <c r="K6596" s="13" t="n">
        <f aca="false">Sens!$K$6585/Sens!$K$6567</f>
        <v>0.25765427518774</v>
      </c>
      <c r="L6596" s="13" t="n">
        <f aca="false">Sens!$L$6585/Sens!$L$6567</f>
        <v>0.238118778012374</v>
      </c>
      <c r="M6596" s="13" t="n">
        <f aca="false">Sens!$M$6585/Sens!$M$6567</f>
        <v>0.222746255757109</v>
      </c>
      <c r="N6596" s="13" t="n">
        <f aca="false">Sens!$N$6585/Sens!$N$6567</f>
        <v>0.551227795793364</v>
      </c>
      <c r="O6596" s="13" t="n">
        <f aca="false">Sens!$O$6585/Sens!$O$6567</f>
        <v>0.656132068597002</v>
      </c>
    </row>
    <row r="6597" customFormat="false" ht="15" hidden="false" customHeight="false" outlineLevel="0" collapsed="false">
      <c r="A6597" s="5" t="s">
        <v>753</v>
      </c>
      <c r="B6597" s="0" t="s">
        <v>52</v>
      </c>
      <c r="C6597" s="13" t="n">
        <f aca="false">Sens!$C$6589/Sens!$C$6569</f>
        <v>0.107519448742004</v>
      </c>
      <c r="D6597" s="13" t="n">
        <f aca="false">Sens!$D$6589/Sens!$D$6569</f>
        <v>0.111552967957552</v>
      </c>
      <c r="E6597" s="13" t="n">
        <f aca="false">Sens!$E$6589/Sens!$E$6569</f>
        <v>0.13428328426562</v>
      </c>
      <c r="F6597" s="13" t="n">
        <f aca="false">Sens!$F$6589/Sens!$F$6569</f>
        <v>0.129343087287827</v>
      </c>
      <c r="G6597" s="13" t="n">
        <f aca="false">Sens!$G$6589/Sens!$G$6569</f>
        <v>0.131651143259596</v>
      </c>
      <c r="H6597" s="13" t="n">
        <f aca="false">Sens!$H$6589/Sens!$H$6569</f>
        <v>0.137449034763893</v>
      </c>
      <c r="I6597" s="13" t="n">
        <f aca="false">Sens!$I$6589/Sens!$I$6569</f>
        <v>0.13598895915033</v>
      </c>
      <c r="J6597" s="13" t="n">
        <f aca="false">Sens!$J$6589/Sens!$J$6569</f>
        <v>0.137709769017663</v>
      </c>
      <c r="K6597" s="13" t="n">
        <f aca="false">Sens!$K$6589/Sens!$K$6569</f>
        <v>0.135459809314784</v>
      </c>
      <c r="L6597" s="13" t="n">
        <f aca="false">Sens!$L$6589/Sens!$L$6569</f>
        <v>0.133669430082102</v>
      </c>
      <c r="M6597" s="13" t="n">
        <f aca="false">Sens!$M$6589/Sens!$M$6569</f>
        <v>0.133349766772341</v>
      </c>
      <c r="N6597" s="13" t="n">
        <f aca="false">Sens!$N$6589/Sens!$N$6569</f>
        <v>0.116201614873411</v>
      </c>
      <c r="O6597" s="13" t="n">
        <f aca="false">Sens!$O$6589/Sens!$O$6569</f>
        <v>0.107733353660861</v>
      </c>
    </row>
    <row r="6598" customFormat="false" ht="17.15" hidden="false" customHeight="false" outlineLevel="0" collapsed="false">
      <c r="A6598" s="1" t="s">
        <v>754</v>
      </c>
    </row>
    <row r="6599" customFormat="false" ht="17.15" hidden="false" customHeight="false" outlineLevel="0" collapsed="false">
      <c r="A6599" s="5" t="s">
        <v>755</v>
      </c>
      <c r="B6599" s="0" t="s">
        <v>52</v>
      </c>
      <c r="D6599" s="28" t="n">
        <f aca="false">(Q!$E$29+Q!$E$30-(1-ext_sh)*Sens!$D$6521)/Sens!$D$6472</f>
        <v>0.0341105596409988</v>
      </c>
    </row>
    <row r="6600" customFormat="false" ht="17.15" hidden="false" customHeight="false" outlineLevel="0" collapsed="false">
      <c r="A6600" s="0" t="s">
        <v>545</v>
      </c>
      <c r="B6600" s="0" t="s">
        <v>86</v>
      </c>
      <c r="C6600" s="38" t="n">
        <f aca="false">Q!$D$29</f>
        <v>14.285</v>
      </c>
      <c r="D6600" s="38" t="n">
        <f aca="false">Q!$E$29</f>
        <v>15.503</v>
      </c>
      <c r="E6600" s="38" t="n">
        <f aca="false">Q!$P$29</f>
        <v>8.78</v>
      </c>
      <c r="F6600" s="38" t="n">
        <f aca="false">(Sens!$D$6599*Sens!$F$6472+(1-ext_sh)*Sens!$F$6521)*Sens!$F$6473</f>
        <v>9.30317620449232</v>
      </c>
      <c r="G6600" s="38" t="n">
        <f aca="false">Sens!$E$6600+Sens!$F$6600</f>
        <v>18.0831762044923</v>
      </c>
      <c r="H6600" s="38" t="n">
        <f aca="false">(Sens!$D$6599*Sens!$H$6472+(1-ext_sh)*Sens!$H$6521)*Sens!$H$6473</f>
        <v>22.1297245338482</v>
      </c>
      <c r="I6600" s="38" t="n">
        <f aca="false">(Sens!$D$6599*Sens!$I$6472+(1-ext_sh)*Sens!$I$6521)*Sens!$I$6473</f>
        <v>28.409695984391</v>
      </c>
      <c r="J6600" s="38" t="n">
        <f aca="false">(Sens!$D$6599*Sens!$J$6472+(1-ext_sh)*Sens!$J$6521)*Sens!$J$6473</f>
        <v>34.1085606174579</v>
      </c>
      <c r="K6600" s="38" t="n">
        <f aca="false">(Sens!$D$6599*Sens!$K$6472+(1-ext_sh)*Sens!$K$6521)*Sens!$K$6473</f>
        <v>39.7218983009068</v>
      </c>
      <c r="L6600" s="38" t="n">
        <f aca="false">(Sens!$D$6599*Sens!$L$6472+(1-ext_sh)*Sens!$L$6521)*Sens!$L$6473</f>
        <v>44.1680279486684</v>
      </c>
      <c r="M6600" s="38" t="n">
        <f aca="false">(Sens!$D$6599*Sens!$M$6472+(1-ext_sh)*Sens!$M$6521)*Sens!$M$6473</f>
        <v>47.4413073313286</v>
      </c>
      <c r="N6600" s="38" t="n">
        <f aca="false">Q!$N$29</f>
        <v>7.272</v>
      </c>
      <c r="O6600" s="38" t="n">
        <f aca="false">Q!$O$29</f>
        <v>8.231</v>
      </c>
    </row>
    <row r="6601" customFormat="false" ht="17.15" hidden="false" customHeight="false" outlineLevel="0" collapsed="false">
      <c r="A6601" s="0" t="s">
        <v>547</v>
      </c>
      <c r="B6601" s="0" t="s">
        <v>86</v>
      </c>
      <c r="C6601" s="38" t="n">
        <f aca="false">Q!$D$30</f>
        <v>4.462</v>
      </c>
      <c r="D6601" s="38" t="n">
        <f aca="false">Q!$E$30</f>
        <v>4.907</v>
      </c>
      <c r="E6601" s="38" t="n">
        <f aca="false">Q!$P$30</f>
        <v>2.57</v>
      </c>
      <c r="F6601" s="38" t="n">
        <f aca="false">(Sens!$D$6599*Sens!$F$6472+(1-ext_sh)*Sens!$F$6521)*(1-Sens!$F$6473)</f>
        <v>3.6526976809753</v>
      </c>
      <c r="G6601" s="38" t="n">
        <f aca="false">Sens!$E$6601+Sens!$F$6601</f>
        <v>6.2226976809753</v>
      </c>
      <c r="H6601" s="38" t="n">
        <f aca="false">(Sens!$D$6599*Sens!$H$6472+(1-ext_sh)*Sens!$H$6521)*(1-Sens!$H$6473)</f>
        <v>8.4764774248495</v>
      </c>
      <c r="I6601" s="38" t="n">
        <f aca="false">(Sens!$D$6599*Sens!$I$6472+(1-ext_sh)*Sens!$I$6521)*(1-Sens!$I$6473)</f>
        <v>10.881931507561</v>
      </c>
      <c r="J6601" s="38" t="n">
        <f aca="false">(Sens!$D$6599*Sens!$J$6472+(1-ext_sh)*Sens!$J$6521)*(1-Sens!$J$6473)</f>
        <v>13.0648008575874</v>
      </c>
      <c r="K6601" s="38" t="n">
        <f aca="false">(Sens!$D$6599*Sens!$K$6472+(1-ext_sh)*Sens!$K$6521)*(1-Sens!$K$6473)</f>
        <v>15.2149103214008</v>
      </c>
      <c r="L6601" s="38" t="n">
        <f aca="false">(Sens!$D$6599*Sens!$L$6472+(1-ext_sh)*Sens!$L$6521)*(1-Sens!$L$6473)</f>
        <v>16.9179372854085</v>
      </c>
      <c r="M6601" s="38" t="n">
        <f aca="false">(Sens!$D$6599*Sens!$M$6472+(1-ext_sh)*Sens!$M$6521)*(1-Sens!$M$6473)</f>
        <v>18.1717205735785</v>
      </c>
      <c r="N6601" s="38" t="n">
        <f aca="false">Q!$N$30</f>
        <v>2.316</v>
      </c>
      <c r="O6601" s="38" t="n">
        <f aca="false">Q!$O$30</f>
        <v>2.591</v>
      </c>
    </row>
    <row r="6602" customFormat="false" ht="17.15" hidden="false" customHeight="false" outlineLevel="0" collapsed="false">
      <c r="A6602" s="0" t="s">
        <v>548</v>
      </c>
      <c r="B6602" s="0" t="s">
        <v>86</v>
      </c>
      <c r="C6602" s="38" t="n">
        <f aca="false">Sens!$C$6533</f>
        <v>13.32</v>
      </c>
      <c r="D6602" s="38" t="n">
        <f aca="false">Sens!$D$6533</f>
        <v>21.45</v>
      </c>
      <c r="E6602" s="38" t="n">
        <f aca="false">Sens!$E$6533</f>
        <v>15.353</v>
      </c>
      <c r="F6602" s="38" t="n">
        <f aca="false">Sens!$F$6533</f>
        <v>16.1969869840094</v>
      </c>
      <c r="G6602" s="38" t="n">
        <f aca="false">Sens!$G$6533</f>
        <v>31.5499869840094</v>
      </c>
      <c r="H6602" s="38" t="n">
        <f aca="false">Sens!$H$6533</f>
        <v>50.9556213609176</v>
      </c>
      <c r="I6602" s="38" t="n">
        <f aca="false">Sens!$I$6533</f>
        <v>79.464581248252</v>
      </c>
      <c r="J6602" s="38" t="n">
        <f aca="false">Sens!$J$6533</f>
        <v>105.296127931746</v>
      </c>
      <c r="K6602" s="38" t="n">
        <f aca="false">Sens!$K$6533</f>
        <v>131.454694001511</v>
      </c>
      <c r="L6602" s="38" t="n">
        <f aca="false">Sens!$L$6533</f>
        <v>150.840456981405</v>
      </c>
      <c r="M6602" s="38" t="n">
        <f aca="false">Sens!$M$6533</f>
        <v>163.399454192999</v>
      </c>
      <c r="N6602" s="38" t="n">
        <f aca="false">Sens!$N$6533</f>
        <v>9.234</v>
      </c>
      <c r="O6602" s="38" t="n">
        <f aca="false">Sens!$O$6533</f>
        <v>12.216</v>
      </c>
    </row>
    <row r="6603" customFormat="false" ht="17.15" hidden="false" customHeight="false" outlineLevel="0" collapsed="false">
      <c r="A6603" s="5" t="s">
        <v>756</v>
      </c>
      <c r="B6603" s="0" t="s">
        <v>86</v>
      </c>
      <c r="C6603" s="38" t="n">
        <f aca="false">Sens!$C$6600+Sens!$C$6601+Sens!$C$6602</f>
        <v>32.067</v>
      </c>
      <c r="D6603" s="38" t="n">
        <f aca="false">Sens!$D$6600+Sens!$D$6601+Sens!$D$6602</f>
        <v>41.86</v>
      </c>
      <c r="E6603" s="38" t="n">
        <f aca="false">Sens!$E$6600+Sens!$E$6601+Sens!$E$6602</f>
        <v>26.703</v>
      </c>
      <c r="F6603" s="38" t="n">
        <f aca="false">Sens!$F$6600+Sens!$F$6601+Sens!$F$6602</f>
        <v>29.152860869477</v>
      </c>
      <c r="G6603" s="38" t="n">
        <f aca="false">Sens!$G$6600+Sens!$G$6601+Sens!$G$6602</f>
        <v>55.855860869477</v>
      </c>
      <c r="H6603" s="38" t="n">
        <f aca="false">Sens!$H$6600+Sens!$H$6601+Sens!$H$6602</f>
        <v>81.5618233196153</v>
      </c>
      <c r="I6603" s="38" t="n">
        <f aca="false">Sens!$I$6600+Sens!$I$6601+Sens!$I$6602</f>
        <v>118.756208740204</v>
      </c>
      <c r="J6603" s="38" t="n">
        <f aca="false">Sens!$J$6600+Sens!$J$6601+Sens!$J$6602</f>
        <v>152.469489406791</v>
      </c>
      <c r="K6603" s="38" t="n">
        <f aca="false">Sens!$K$6600+Sens!$K$6601+Sens!$K$6602</f>
        <v>186.391502623819</v>
      </c>
      <c r="L6603" s="38" t="n">
        <f aca="false">Sens!$L$6600+Sens!$L$6601+Sens!$L$6602</f>
        <v>211.926422215482</v>
      </c>
      <c r="M6603" s="38" t="n">
        <f aca="false">Sens!$M$6600+Sens!$M$6601+Sens!$M$6602</f>
        <v>229.012482097906</v>
      </c>
      <c r="N6603" s="38" t="n">
        <f aca="false">Sens!$N$6600+Sens!$N$6601+Sens!$N$6602</f>
        <v>18.822</v>
      </c>
      <c r="O6603" s="38" t="n">
        <f aca="false">Sens!$O$6600+Sens!$O$6601+Sens!$O$6602</f>
        <v>23.038</v>
      </c>
    </row>
    <row r="6604" customFormat="false" ht="17.15" hidden="false" customHeight="false" outlineLevel="0" collapsed="false">
      <c r="A6604" s="0" t="s">
        <v>757</v>
      </c>
      <c r="B6604" s="0" t="s">
        <v>86</v>
      </c>
      <c r="C6604" s="38" t="n">
        <f aca="false">Sens!$C$6575+Sens!$C$6580</f>
        <v>28.107</v>
      </c>
      <c r="D6604" s="38" t="n">
        <f aca="false">Sens!$D$6575+Sens!$D$6580</f>
        <v>34.3175</v>
      </c>
      <c r="E6604" s="38" t="n">
        <f aca="false">Sens!$E$6575+Sens!$E$6580</f>
        <v>18.526</v>
      </c>
      <c r="F6604" s="38" t="n">
        <f aca="false">Sens!$F$6575+Sens!$F$6580</f>
        <v>23.0786109972074</v>
      </c>
      <c r="G6604" s="38" t="n">
        <f aca="false">Sens!$G$6575+Sens!$G$6580</f>
        <v>41.6046109972074</v>
      </c>
      <c r="H6604" s="38" t="n">
        <f aca="false">Sens!$H$6575+Sens!$H$6580</f>
        <v>49.9484611939488</v>
      </c>
      <c r="I6604" s="38" t="n">
        <f aca="false">Sens!$I$6575+Sens!$I$6580</f>
        <v>58.2915555477481</v>
      </c>
      <c r="J6604" s="38" t="n">
        <f aca="false">Sens!$J$6575+Sens!$J$6580</f>
        <v>66.0744709709759</v>
      </c>
      <c r="K6604" s="38" t="n">
        <f aca="false">Sens!$K$6575+Sens!$K$6580</f>
        <v>72.6819180680735</v>
      </c>
      <c r="L6604" s="38" t="n">
        <f aca="false">Sens!$L$6575+Sens!$L$6580</f>
        <v>79.9501098748808</v>
      </c>
      <c r="M6604" s="38" t="n">
        <f aca="false">Sens!$M$6575+Sens!$M$6580</f>
        <v>87.9451208623689</v>
      </c>
      <c r="N6604" s="38" t="n">
        <f aca="false">Sens!$N$6575+Sens!$N$6580</f>
        <v>14.8075</v>
      </c>
      <c r="O6604" s="38" t="n">
        <f aca="false">Sens!$O$6575+Sens!$O$6580</f>
        <v>19.51</v>
      </c>
    </row>
    <row r="6605" customFormat="false" ht="17.15" hidden="false" customHeight="false" outlineLevel="0" collapsed="false">
      <c r="A6605" s="0" t="s">
        <v>758</v>
      </c>
      <c r="B6605" s="0" t="s">
        <v>86</v>
      </c>
      <c r="C6605" s="38" t="n">
        <f aca="false">Sens!$C$6579+Sens!$C$6584+Sens!$C$6600+Sens!$C$6601-Sens!$C$6604</f>
        <v>19.399</v>
      </c>
      <c r="D6605" s="38" t="n">
        <f aca="false">Sens!$D$6579+Sens!$D$6584+Sens!$D$6600+Sens!$D$6601-Sens!$D$6604</f>
        <v>20.4615</v>
      </c>
      <c r="E6605" s="38" t="n">
        <f aca="false">Sens!$E$6579+Sens!$E$6584+Sens!$E$6600+Sens!$E$6601-Sens!$E$6604</f>
        <v>13.355</v>
      </c>
      <c r="F6605" s="38" t="n">
        <f aca="false">Sens!$F$6579+Sens!$F$6584+Sens!$F$6600+Sens!$F$6601-Sens!$F$6604</f>
        <v>12.7680546411015</v>
      </c>
      <c r="G6605" s="38" t="n">
        <f aca="false">Sens!$G$6579+Sens!$G$6584+Sens!$G$6600+Sens!$G$6601-Sens!$G$6604</f>
        <v>26.1230546411015</v>
      </c>
      <c r="H6605" s="38" t="n">
        <f aca="false">Sens!$H$6579+Sens!$H$6584+Sens!$H$6600+Sens!$H$6601-Sens!$H$6604</f>
        <v>28.4662904769959</v>
      </c>
      <c r="I6605" s="38" t="n">
        <f aca="false">Sens!$I$6579+Sens!$I$6584+Sens!$I$6600+Sens!$I$6601-Sens!$I$6604</f>
        <v>30.7231490427408</v>
      </c>
      <c r="J6605" s="38" t="n">
        <f aca="false">Sens!$J$6579+Sens!$J$6584+Sens!$J$6600+Sens!$J$6601-Sens!$J$6604</f>
        <v>32.9723159380642</v>
      </c>
      <c r="K6605" s="38" t="n">
        <f aca="false">Sens!$K$6579+Sens!$K$6584+Sens!$K$6600+Sens!$K$6601-Sens!$K$6604</f>
        <v>35.3819359626894</v>
      </c>
      <c r="L6605" s="38" t="n">
        <f aca="false">Sens!$L$6579+Sens!$L$6584+Sens!$L$6600+Sens!$L$6601-Sens!$L$6604</f>
        <v>37.0165770259405</v>
      </c>
      <c r="M6605" s="38" t="n">
        <f aca="false">Sens!$M$6579+Sens!$M$6584+Sens!$M$6600+Sens!$M$6601-Sens!$M$6604</f>
        <v>39.4490703930704</v>
      </c>
      <c r="N6605" s="38" t="n">
        <f aca="false">Sens!$N$6579+Sens!$N$6584+Sens!$N$6600+Sens!$N$6601-Sens!$N$6604</f>
        <v>10.6495</v>
      </c>
      <c r="O6605" s="38" t="n">
        <f aca="false">Sens!$O$6579+Sens!$O$6584+Sens!$O$6600+Sens!$O$6601-Sens!$O$6604</f>
        <v>9.81200000000001</v>
      </c>
    </row>
    <row r="6606" customFormat="false" ht="17.15" hidden="false" customHeight="false" outlineLevel="0" collapsed="false">
      <c r="A6606" s="0" t="s">
        <v>759</v>
      </c>
      <c r="B6606" s="0" t="s">
        <v>86</v>
      </c>
      <c r="C6606" s="38" t="n">
        <f aca="false">Sens!$C$6586+Sens!$C$6602-ext_sh*Sens!$C$6521</f>
        <v>51.3470500115664</v>
      </c>
      <c r="D6606" s="38" t="n">
        <f aca="false">Sens!$D$6586+Sens!$D$6602-ext_sh*Sens!$D$6521</f>
        <v>60.2799375433739</v>
      </c>
      <c r="E6606" s="38" t="n">
        <f aca="false">Sens!$E$6586+Sens!$E$6602-ext_sh*Sens!$E$6521</f>
        <v>39.5095167090767</v>
      </c>
      <c r="F6606" s="38" t="n">
        <f aca="false">Sens!$F$6586+Sens!$F$6602-ext_sh*Sens!$F$6521</f>
        <v>37.951394214027</v>
      </c>
      <c r="G6606" s="38" t="n">
        <f aca="false">Sens!$G$6586+Sens!$G$6602-ext_sh*Sens!$G$6521</f>
        <v>77.4609109231037</v>
      </c>
      <c r="H6606" s="38" t="n">
        <f aca="false">Sens!$H$6586+Sens!$H$6602-ext_sh*Sens!$H$6521</f>
        <v>85.1453558128916</v>
      </c>
      <c r="I6606" s="38" t="n">
        <f aca="false">Sens!$I$6586+Sens!$I$6602-ext_sh*Sens!$I$6521</f>
        <v>94.532921967974</v>
      </c>
      <c r="J6606" s="38" t="n">
        <f aca="false">Sens!$J$6586+Sens!$J$6602-ext_sh*Sens!$J$6521</f>
        <v>103.525527532583</v>
      </c>
      <c r="K6606" s="38" t="n">
        <f aca="false">Sens!$K$6586+Sens!$K$6602-ext_sh*Sens!$K$6521</f>
        <v>111.80756973519</v>
      </c>
      <c r="L6606" s="38" t="n">
        <f aca="false">Sens!$L$6586+Sens!$L$6602-ext_sh*Sens!$L$6521</f>
        <v>120.752175314005</v>
      </c>
      <c r="M6606" s="38" t="n">
        <f aca="false">Sens!$M$6586+Sens!$M$6602-ext_sh*Sens!$M$6521</f>
        <v>130.412349339125</v>
      </c>
      <c r="N6606" s="38" t="n">
        <f aca="false">Sens!$N$6586+Sens!$N$6602-ext_sh*Sens!$N$6521</f>
        <v>28.5693781401809</v>
      </c>
      <c r="O6606" s="38" t="n">
        <f aca="false">Sens!$O$6586+Sens!$O$6602-ext_sh*Sens!$O$6521</f>
        <v>31.7105594031931</v>
      </c>
    </row>
    <row r="6607" customFormat="false" ht="17.15" hidden="false" customHeight="false" outlineLevel="0" collapsed="false">
      <c r="A6607" s="0" t="s">
        <v>760</v>
      </c>
      <c r="B6607" s="0" t="s">
        <v>86</v>
      </c>
      <c r="C6607" s="38" t="n">
        <f aca="false">Sens!$C$6524</f>
        <v>1.80694998843362</v>
      </c>
      <c r="D6607" s="38" t="n">
        <f aca="false">Sens!$D$6524</f>
        <v>6.77606245662607</v>
      </c>
      <c r="E6607" s="38" t="n">
        <f aca="false">Sens!$E$6524</f>
        <v>6.62548329092326</v>
      </c>
      <c r="F6607" s="38" t="n">
        <f aca="false">Sens!$F$6524</f>
        <v>11.7200577158706</v>
      </c>
      <c r="G6607" s="38" t="n">
        <f aca="false">Sens!$G$6524</f>
        <v>18.3455410067939</v>
      </c>
      <c r="H6607" s="38" t="n">
        <f aca="false">Sens!$H$6524</f>
        <v>47.5171727060453</v>
      </c>
      <c r="I6607" s="38" t="n">
        <f aca="false">Sens!$I$6524</f>
        <v>80.5539692643667</v>
      </c>
      <c r="J6607" s="38" t="n">
        <f aca="false">Sens!$J$6524</f>
        <v>113.759316834883</v>
      </c>
      <c r="K6607" s="38" t="n">
        <f aca="false">Sens!$K$6524</f>
        <v>142.084411492169</v>
      </c>
      <c r="L6607" s="38" t="n">
        <f aca="false">Sens!$L$6524</f>
        <v>160.69964615804</v>
      </c>
      <c r="M6607" s="38" t="n">
        <f aca="false">Sens!$M$6524</f>
        <v>169.577607141793</v>
      </c>
      <c r="N6607" s="38" t="n">
        <f aca="false">Sens!$N$6524</f>
        <v>2.37162185981912</v>
      </c>
      <c r="O6607" s="38" t="n">
        <f aca="false">Sens!$O$6524</f>
        <v>4.40444059680694</v>
      </c>
    </row>
    <row r="6608" customFormat="false" ht="17.15" hidden="false" customHeight="false" outlineLevel="0" collapsed="false">
      <c r="A6608" s="0" t="s">
        <v>761</v>
      </c>
      <c r="B6608" s="0" t="s">
        <v>86</v>
      </c>
      <c r="C6608" s="38" t="n">
        <f aca="false">Sens!$C$6589+Sens!$C$6603</f>
        <v>100.66</v>
      </c>
      <c r="D6608" s="38" t="n">
        <f aca="false">Sens!$D$6589+Sens!$D$6603</f>
        <v>121.835</v>
      </c>
      <c r="E6608" s="38" t="n">
        <f aca="false">Sens!$E$6589+Sens!$E$6603</f>
        <v>78.016</v>
      </c>
      <c r="F6608" s="38" t="n">
        <f aca="false">Sens!$F$6589+Sens!$F$6603</f>
        <v>85.5181175682064</v>
      </c>
      <c r="G6608" s="38" t="n">
        <f aca="false">Sens!$G$6589+Sens!$G$6603</f>
        <v>163.534117568206</v>
      </c>
      <c r="H6608" s="38" t="n">
        <f aca="false">Sens!$H$6589+Sens!$H$6603</f>
        <v>211.077280189882</v>
      </c>
      <c r="I6608" s="38" t="n">
        <f aca="false">Sens!$I$6589+Sens!$I$6603</f>
        <v>264.10159582283</v>
      </c>
      <c r="J6608" s="38" t="n">
        <f aca="false">Sens!$J$6589+Sens!$J$6603</f>
        <v>316.331631276507</v>
      </c>
      <c r="K6608" s="38" t="n">
        <f aca="false">Sens!$K$6589+Sens!$K$6603</f>
        <v>361.955835258122</v>
      </c>
      <c r="L6608" s="38" t="n">
        <f aca="false">Sens!$L$6589+Sens!$L$6603</f>
        <v>398.418508372866</v>
      </c>
      <c r="M6608" s="38" t="n">
        <f aca="false">Sens!$M$6589+Sens!$M$6603</f>
        <v>427.384147736358</v>
      </c>
      <c r="N6608" s="38" t="n">
        <f aca="false">Sens!$N$6589+Sens!$N$6603</f>
        <v>56.398</v>
      </c>
      <c r="O6608" s="38" t="n">
        <f aca="false">Sens!$O$6589+Sens!$O$6603</f>
        <v>65.437</v>
      </c>
    </row>
    <row r="6609" customFormat="false" ht="17.15" hidden="false" customHeight="false" outlineLevel="0" collapsed="false">
      <c r="A6609" s="1" t="s">
        <v>762</v>
      </c>
    </row>
    <row r="6610" customFormat="false" ht="15" hidden="false" customHeight="false" outlineLevel="0" collapsed="false">
      <c r="A6610" s="5" t="s">
        <v>551</v>
      </c>
      <c r="B6610" s="0" t="s">
        <v>86</v>
      </c>
      <c r="C6610" s="38" t="n">
        <f aca="false">Q!$D$34</f>
        <v>2.406</v>
      </c>
      <c r="D6610" s="38" t="n">
        <f aca="false">Q!$E$34</f>
        <v>2.274</v>
      </c>
      <c r="E6610" s="38" t="n">
        <f aca="false">Q!$P$34</f>
        <v>2.114</v>
      </c>
      <c r="F6610" s="38" t="n">
        <f aca="false">Sens!$F$6648</f>
        <v>3.24888962733561</v>
      </c>
      <c r="G6610" s="38" t="n">
        <f aca="false">Sens!$E$6610+Sens!$F$6610</f>
        <v>5.36288962733561</v>
      </c>
      <c r="H6610" s="38" t="n">
        <f aca="false">Sens!$H$6648</f>
        <v>7.42354172302123</v>
      </c>
      <c r="I6610" s="38" t="n">
        <f aca="false">Sens!$I$6648</f>
        <v>7.84418947693382</v>
      </c>
      <c r="J6610" s="38" t="n">
        <f aca="false">Sens!$J$6648</f>
        <v>8.79561318891235</v>
      </c>
      <c r="K6610" s="38" t="n">
        <f aca="false">Sens!$K$6648</f>
        <v>8.79561318891235</v>
      </c>
      <c r="L6610" s="38" t="n">
        <f aca="false">Sens!$L$6648</f>
        <v>8.79561318891235</v>
      </c>
      <c r="M6610" s="38" t="n">
        <f aca="false">Sens!$M$6648</f>
        <v>8.79561318891235</v>
      </c>
      <c r="N6610" s="38" t="n">
        <f aca="false">Q!$N$34</f>
        <v>1.057</v>
      </c>
      <c r="O6610" s="38" t="n">
        <f aca="false">Q!$O$34</f>
        <v>1.217</v>
      </c>
    </row>
    <row r="6611" customFormat="false" ht="15" hidden="false" customHeight="false" outlineLevel="0" collapsed="false">
      <c r="A6611" s="5" t="s">
        <v>763</v>
      </c>
      <c r="B6611" s="0" t="s">
        <v>86</v>
      </c>
      <c r="F6611" s="38" t="n">
        <f aca="false">Sens!$F$6649</f>
        <v>2.59</v>
      </c>
      <c r="H6611" s="38" t="n">
        <f aca="false">Sens!$H$6649</f>
        <v>4.1153774832261</v>
      </c>
      <c r="I6611" s="38" t="n">
        <f aca="false">Sens!$I$6649</f>
        <v>2.10589651022864</v>
      </c>
      <c r="J6611" s="38" t="n">
        <f aca="false">Sens!$J$6649</f>
        <v>2.10589651022864</v>
      </c>
      <c r="K6611" s="38" t="n">
        <f aca="false">Sens!$K$6649</f>
        <v>3.172800358404</v>
      </c>
      <c r="L6611" s="38" t="n">
        <f aca="false">Sens!$L$6649</f>
        <v>8.31037272592208</v>
      </c>
      <c r="M6611" s="38" t="n">
        <f aca="false">Sens!$M$6649</f>
        <v>15.9256588704093</v>
      </c>
    </row>
    <row r="6612" customFormat="false" ht="17.15" hidden="false" customHeight="false" outlineLevel="0" collapsed="false">
      <c r="A6612" s="5" t="s">
        <v>764</v>
      </c>
      <c r="B6612" s="0" t="s">
        <v>86</v>
      </c>
      <c r="C6612" s="38" t="n">
        <f aca="false">Q!$D$39</f>
        <v>2.427</v>
      </c>
      <c r="D6612" s="38" t="n">
        <f aca="false">Q!$E$39</f>
        <v>19.61</v>
      </c>
      <c r="E6612" s="38" t="n">
        <f aca="false">Q!$P$39</f>
        <v>71.492</v>
      </c>
      <c r="F6612" s="39" t="n">
        <v>0</v>
      </c>
      <c r="G6612" s="38" t="n">
        <f aca="false">Sens!$E$6612+Sens!$F$6612</f>
        <v>71.492</v>
      </c>
      <c r="H6612" s="39" t="n">
        <v>0</v>
      </c>
      <c r="I6612" s="39" t="n">
        <v>0</v>
      </c>
      <c r="J6612" s="39" t="n">
        <v>0</v>
      </c>
      <c r="K6612" s="39" t="n">
        <v>0</v>
      </c>
      <c r="L6612" s="39" t="n">
        <v>0</v>
      </c>
      <c r="M6612" s="39" t="n">
        <v>0</v>
      </c>
      <c r="N6612" s="38" t="n">
        <f aca="false">Q!$N$39</f>
        <v>6.017</v>
      </c>
      <c r="O6612" s="38" t="n">
        <f aca="false">Q!$O$39</f>
        <v>13.593</v>
      </c>
      <c r="P6612" s="5" t="s">
        <v>765</v>
      </c>
    </row>
    <row r="6613" customFormat="false" ht="15" hidden="false" customHeight="false" outlineLevel="0" collapsed="false">
      <c r="A6613" s="5" t="s">
        <v>554</v>
      </c>
      <c r="B6613" s="0" t="s">
        <v>86</v>
      </c>
      <c r="C6613" s="38" t="n">
        <f aca="false">Q!$D$36</f>
        <v>68.614</v>
      </c>
      <c r="D6613" s="38" t="n">
        <f aca="false">Q!$E$36</f>
        <v>97.311</v>
      </c>
      <c r="E6613" s="38" t="n">
        <f aca="false">Q!$P$36</f>
        <v>120.691</v>
      </c>
      <c r="F6613" s="38" t="n">
        <f aca="false">Sens!$F$6589-Sens!$F$6610+Sens!$F$6611+Sens!$F$6612</f>
        <v>55.7063670713938</v>
      </c>
      <c r="G6613" s="38" t="n">
        <f aca="false">Sens!$E$6613+Sens!$F$6613</f>
        <v>176.397367071394</v>
      </c>
      <c r="H6613" s="38" t="n">
        <f aca="false">Sens!$H$6589-Sens!$H$6610+Sens!$H$6611+Sens!$H$6612</f>
        <v>126.207292630471</v>
      </c>
      <c r="I6613" s="38" t="n">
        <f aca="false">Sens!$I$6589-Sens!$I$6610+Sens!$I$6611+Sens!$I$6612</f>
        <v>139.60709411592</v>
      </c>
      <c r="J6613" s="38" t="n">
        <f aca="false">Sens!$J$6589-Sens!$J$6610+Sens!$J$6611+Sens!$J$6612</f>
        <v>157.172425191032</v>
      </c>
      <c r="K6613" s="38" t="n">
        <f aca="false">Sens!$K$6589-Sens!$K$6610+Sens!$K$6611+Sens!$K$6612</f>
        <v>169.941519803795</v>
      </c>
      <c r="L6613" s="38" t="n">
        <f aca="false">Sens!$L$6589-Sens!$L$6610+Sens!$L$6611+Sens!$L$6612</f>
        <v>186.006845694394</v>
      </c>
      <c r="M6613" s="38" t="n">
        <f aca="false">Sens!$M$6589-Sens!$M$6610+Sens!$M$6611+Sens!$M$6612</f>
        <v>205.501711319949</v>
      </c>
      <c r="N6613" s="38" t="n">
        <f aca="false">Q!$N$36</f>
        <v>42.536</v>
      </c>
      <c r="O6613" s="38" t="n">
        <f aca="false">Q!$O$36</f>
        <v>54.775</v>
      </c>
    </row>
    <row r="6614" customFormat="false" ht="15" hidden="false" customHeight="false" outlineLevel="0" collapsed="false">
      <c r="A6614" s="5" t="s">
        <v>555</v>
      </c>
      <c r="B6614" s="0" t="s">
        <v>86</v>
      </c>
      <c r="C6614" s="38" t="n">
        <f aca="false">Q!$D$37</f>
        <v>9.265</v>
      </c>
      <c r="D6614" s="38" t="n">
        <f aca="false">Q!$E$37</f>
        <v>19.087</v>
      </c>
      <c r="E6614" s="38" t="n">
        <f aca="false">Q!$P$37</f>
        <v>27.759</v>
      </c>
      <c r="F6614" s="38" t="n">
        <f aca="false">Sens!$F$6613*tax</f>
        <v>9.669763357865</v>
      </c>
      <c r="G6614" s="38" t="n">
        <f aca="false">Sens!$E$6614+Sens!$F$6614</f>
        <v>37.428763357865</v>
      </c>
      <c r="H6614" s="38" t="n">
        <f aca="false">Sens!$H$6613*tax</f>
        <v>21.9076331473816</v>
      </c>
      <c r="I6614" s="38" t="n">
        <f aca="false">Sens!$I$6613*tax</f>
        <v>24.2336313450491</v>
      </c>
      <c r="J6614" s="38" t="n">
        <f aca="false">Sens!$J$6613*tax</f>
        <v>27.2827010246639</v>
      </c>
      <c r="K6614" s="38" t="n">
        <f aca="false">Sens!$K$6613*tax</f>
        <v>29.4992182683994</v>
      </c>
      <c r="L6614" s="38" t="n">
        <f aca="false">Sens!$L$6613*tax</f>
        <v>32.2879102581316</v>
      </c>
      <c r="M6614" s="38" t="n">
        <f aca="false">Sens!$M$6613*tax</f>
        <v>35.671917279284</v>
      </c>
      <c r="N6614" s="38" t="n">
        <f aca="false">Q!$N$37</f>
        <v>7.231</v>
      </c>
      <c r="O6614" s="38" t="n">
        <f aca="false">Q!$O$37</f>
        <v>11.856</v>
      </c>
    </row>
    <row r="6615" customFormat="false" ht="15" hidden="false" customHeight="false" outlineLevel="0" collapsed="false">
      <c r="A6615" s="3" t="s">
        <v>556</v>
      </c>
      <c r="B6615" s="8" t="s">
        <v>86</v>
      </c>
      <c r="C6615" s="38" t="n">
        <f aca="false">Q!$D$38</f>
        <v>59.248</v>
      </c>
      <c r="D6615" s="38" t="n">
        <f aca="false">Q!$E$38</f>
        <v>77.67</v>
      </c>
      <c r="E6615" s="38" t="n">
        <f aca="false">Q!$P$38</f>
        <v>92.902</v>
      </c>
      <c r="F6615" s="38" t="n">
        <f aca="false">Sens!$F$6613-Sens!$F$6614</f>
        <v>46.0366037135288</v>
      </c>
      <c r="G6615" s="38" t="n">
        <f aca="false">Sens!$E$6615+Sens!$F$6615</f>
        <v>138.938603713529</v>
      </c>
      <c r="H6615" s="38" t="n">
        <f aca="false">Sens!$H$6613-Sens!$H$6614</f>
        <v>104.29965948309</v>
      </c>
      <c r="I6615" s="38" t="n">
        <f aca="false">Sens!$I$6613-Sens!$I$6614</f>
        <v>115.373462770871</v>
      </c>
      <c r="J6615" s="38" t="n">
        <f aca="false">Sens!$J$6613-Sens!$J$6614</f>
        <v>129.889724166368</v>
      </c>
      <c r="K6615" s="38" t="n">
        <f aca="false">Sens!$K$6613-Sens!$K$6614</f>
        <v>140.442301535395</v>
      </c>
      <c r="L6615" s="38" t="n">
        <f aca="false">Sens!$L$6613-Sens!$L$6614</f>
        <v>153.718935436262</v>
      </c>
      <c r="M6615" s="38" t="n">
        <f aca="false">Sens!$M$6613-Sens!$M$6614</f>
        <v>169.829794040665</v>
      </c>
      <c r="N6615" s="38" t="n">
        <f aca="false">Q!$N$38</f>
        <v>35.291</v>
      </c>
      <c r="O6615" s="38" t="n">
        <f aca="false">Q!$O$38</f>
        <v>42.379</v>
      </c>
    </row>
    <row r="6616" customFormat="false" ht="17.15" hidden="false" customHeight="false" outlineLevel="0" collapsed="false">
      <c r="A6616" s="5" t="s">
        <v>559</v>
      </c>
      <c r="B6616" s="5" t="s">
        <v>33</v>
      </c>
      <c r="C6616" s="22" t="n">
        <f aca="false">Q!$D$41</f>
        <v>10.721</v>
      </c>
      <c r="D6616" s="22" t="n">
        <f aca="false">Q!$E$41</f>
        <v>10.827</v>
      </c>
      <c r="E6616" s="22" t="n">
        <f aca="false">(Q!$L$41+Q!$M$41)/2</f>
        <v>10.8885</v>
      </c>
      <c r="F6616" s="22" t="n">
        <f aca="false">Sens!$G$6616</f>
        <v>10.924806</v>
      </c>
      <c r="G6616" s="22" t="n">
        <f aca="false">Q!$M$41*(1+sh_g*0.25)</f>
        <v>10.924806</v>
      </c>
      <c r="H6616" s="22" t="n">
        <f aca="false">Sens!$G$6616*(1+sh_g)</f>
        <v>11.012204448</v>
      </c>
      <c r="I6616" s="22" t="n">
        <f aca="false">Sens!$H$6616*(1+sh_g)</f>
        <v>11.100302083584</v>
      </c>
      <c r="J6616" s="22" t="n">
        <f aca="false">Sens!$I$6616*(1+sh_g)</f>
        <v>11.1891045002527</v>
      </c>
      <c r="K6616" s="22" t="n">
        <f aca="false">Sens!$J$6616*(1+sh_g)</f>
        <v>11.2786173362547</v>
      </c>
      <c r="L6616" s="22" t="n">
        <f aca="false">Sens!$K$6616*(1+sh_g)</f>
        <v>11.3688462749447</v>
      </c>
      <c r="M6616" s="22" t="n">
        <f aca="false">Sens!$L$6616*(1+sh_g)</f>
        <v>11.4597970451443</v>
      </c>
      <c r="P6616" s="5" t="s">
        <v>766</v>
      </c>
    </row>
    <row r="6617" customFormat="false" ht="17.15" hidden="false" customHeight="false" outlineLevel="0" collapsed="false">
      <c r="A6617" s="5" t="s">
        <v>767</v>
      </c>
      <c r="B6617" s="0" t="s">
        <v>86</v>
      </c>
      <c r="C6617" s="38" t="n">
        <f aca="false">Sens!$C$6615+Sens!$C$6591*(1-tax)</f>
        <v>59.248</v>
      </c>
      <c r="D6617" s="38" t="n">
        <f aca="false">Sens!$D$6615+Sens!$D$6591*(1-tax)</f>
        <v>77.67</v>
      </c>
      <c r="E6617" s="38" t="n">
        <f aca="false">Sens!$E$6615+Sens!$E$6591*(1-tax)</f>
        <v>92.902</v>
      </c>
      <c r="F6617" s="38" t="n">
        <f aca="false">Sens!$F$6615+Sens!$F$6591*(1-tax)</f>
        <v>49.1531986731775</v>
      </c>
      <c r="G6617" s="38" t="n">
        <f aca="false">Sens!$G$6615+Sens!$G$6591*(1-tax)</f>
        <v>142.055198673178</v>
      </c>
      <c r="H6617" s="38" t="n">
        <f aca="false">Sens!$H$6615+Sens!$H$6591*(1-tax)</f>
        <v>116.831055438434</v>
      </c>
      <c r="I6617" s="38" t="n">
        <f aca="false">Sens!$I$6615+Sens!$I$6591*(1-tax)</f>
        <v>136.514727845811</v>
      </c>
      <c r="J6617" s="38" t="n">
        <f aca="false">Sens!$J$6615+Sens!$J$6591*(1-tax)</f>
        <v>159.679161110652</v>
      </c>
      <c r="K6617" s="38" t="n">
        <f aca="false">Sens!$K$6615+Sens!$K$6591*(1-tax)</f>
        <v>177.609607232054</v>
      </c>
      <c r="L6617" s="38" t="n">
        <f aca="false">Sens!$L$6615+Sens!$L$6591*(1-tax)</f>
        <v>195.735012776818</v>
      </c>
      <c r="M6617" s="38" t="n">
        <f aca="false">Sens!$M$6615+Sens!$M$6591*(1-tax)</f>
        <v>214.159316231505</v>
      </c>
      <c r="N6617" s="38" t="n">
        <f aca="false">Sens!$N$6615+Sens!$N$6591*(1-tax)</f>
        <v>35.291</v>
      </c>
      <c r="O6617" s="38" t="n">
        <f aca="false">Sens!$O$6615+Sens!$O$6591*(1-tax)</f>
        <v>42.379</v>
      </c>
    </row>
    <row r="6618" customFormat="false" ht="17.15" hidden="false" customHeight="false" outlineLevel="0" collapsed="false">
      <c r="A6618" s="43" t="s">
        <v>768</v>
      </c>
      <c r="B6618" s="14" t="s">
        <v>27</v>
      </c>
      <c r="C6618" s="44" t="n">
        <f aca="false">Sens!$C$6617/Sens!$C$6616</f>
        <v>5.52635015390355</v>
      </c>
      <c r="D6618" s="44" t="n">
        <f aca="false">Sens!$D$6617/Sens!$D$6616</f>
        <v>7.1737323358271</v>
      </c>
      <c r="E6618" s="44" t="n">
        <f aca="false">Sens!$E$6617/Sens!$E$6616</f>
        <v>8.53212104513937</v>
      </c>
      <c r="F6618" s="14"/>
      <c r="G6618" s="44" t="n">
        <f aca="false">Sens!$G$6617/Sens!$G$6616</f>
        <v>13.0029950804781</v>
      </c>
      <c r="H6618" s="44" t="n">
        <f aca="false">Sens!$H$6617/Sens!$H$6616</f>
        <v>10.6092341447268</v>
      </c>
      <c r="I6618" s="44" t="n">
        <f aca="false">Sens!$I$6617/Sens!$I$6616</f>
        <v>12.298289435537</v>
      </c>
      <c r="J6618" s="44" t="n">
        <f aca="false">Sens!$J$6617/Sens!$J$6616</f>
        <v>14.2709509154236</v>
      </c>
      <c r="K6618" s="44" t="n">
        <f aca="false">Sens!$K$6617/Sens!$K$6616</f>
        <v>15.7474628260624</v>
      </c>
      <c r="L6618" s="44" t="n">
        <f aca="false">Sens!$L$6617/Sens!$L$6616</f>
        <v>17.2167877059072</v>
      </c>
      <c r="M6618" s="44" t="n">
        <f aca="false">Sens!$M$6617/Sens!$M$6616</f>
        <v>18.6878803688978</v>
      </c>
      <c r="N6618" s="14"/>
      <c r="O6618" s="14"/>
    </row>
    <row r="6619" customFormat="false" ht="17.15" hidden="false" customHeight="false" outlineLevel="0" collapsed="false">
      <c r="A6619" s="0" t="s">
        <v>769</v>
      </c>
      <c r="B6619" s="0" t="s">
        <v>27</v>
      </c>
      <c r="C6619" s="30" t="n">
        <f aca="false">Sens!$C$6615/Sens!$C$6616</f>
        <v>5.52635015390355</v>
      </c>
      <c r="D6619" s="30" t="n">
        <f aca="false">Sens!$D$6615/Sens!$D$6616</f>
        <v>7.1737323358271</v>
      </c>
      <c r="E6619" s="30" t="n">
        <f aca="false">Sens!$E$6615/Sens!$E$6616</f>
        <v>8.53212104513937</v>
      </c>
      <c r="G6619" s="30" t="n">
        <f aca="false">Sens!$G$6615/Sens!$G$6616</f>
        <v>12.7177181648378</v>
      </c>
      <c r="H6619" s="30" t="n">
        <f aca="false">Sens!$H$6615/Sens!$H$6616</f>
        <v>9.47127888658407</v>
      </c>
      <c r="I6619" s="30" t="n">
        <f aca="false">Sens!$I$6615/Sens!$I$6616</f>
        <v>10.3937227925981</v>
      </c>
      <c r="J6619" s="30" t="n">
        <f aca="false">Sens!$J$6615/Sens!$J$6616</f>
        <v>11.6085897815536</v>
      </c>
      <c r="K6619" s="30" t="n">
        <f aca="false">Sens!$K$6615/Sens!$K$6616</f>
        <v>12.4520849806606</v>
      </c>
      <c r="L6619" s="30" t="n">
        <f aca="false">Sens!$L$6615/Sens!$L$6616</f>
        <v>13.5210672849924</v>
      </c>
      <c r="M6619" s="30" t="n">
        <f aca="false">Sens!$M$6615/Sens!$M$6616</f>
        <v>14.8196162088773</v>
      </c>
    </row>
    <row r="6620" customFormat="false" ht="17.15" hidden="false" customHeight="false" outlineLevel="0" collapsed="false">
      <c r="A6620" s="0" t="s">
        <v>770</v>
      </c>
      <c r="B6620" s="0" t="s">
        <v>27</v>
      </c>
      <c r="C6620" s="30" t="n">
        <f aca="false">(Sens!$C$6615-Sens!$C$6612*(1-tax))/Sens!$C$6616</f>
        <v>5.33926775917445</v>
      </c>
      <c r="D6620" s="30" t="n">
        <f aca="false">(Sens!$D$6615-Sens!$D$6612*(1-tax))/Sens!$D$6616</f>
        <v>5.67691812755503</v>
      </c>
      <c r="E6620" s="30" t="n">
        <f aca="false">(Sens!$E$6615-Sens!$E$6612*(1-tax))/Sens!$E$6616</f>
        <v>3.10602057006846</v>
      </c>
      <c r="G6620" s="30" t="n">
        <f aca="false">(Sens!$G$6615-Sens!$G$6612*(1-tax))/Sens!$G$6616</f>
        <v>7.30965004694081</v>
      </c>
      <c r="H6620" s="30" t="n">
        <f aca="false">(Sens!$H$6615-Sens!$H$6612*(1-tax))/Sens!$H$6616</f>
        <v>9.47127888658407</v>
      </c>
      <c r="I6620" s="30" t="n">
        <f aca="false">(Sens!$I$6615-Sens!$I$6612*(1-tax))/Sens!$I$6616</f>
        <v>10.3937227925981</v>
      </c>
      <c r="J6620" s="30" t="n">
        <f aca="false">(Sens!$J$6615-Sens!$J$6612*(1-tax))/Sens!$J$6616</f>
        <v>11.6085897815536</v>
      </c>
      <c r="K6620" s="30" t="n">
        <f aca="false">(Sens!$K$6615-Sens!$K$6612*(1-tax))/Sens!$K$6616</f>
        <v>12.4520849806606</v>
      </c>
      <c r="L6620" s="30" t="n">
        <f aca="false">(Sens!$L$6615-Sens!$L$6612*(1-tax))/Sens!$L$6616</f>
        <v>13.5210672849924</v>
      </c>
      <c r="M6620" s="30" t="n">
        <f aca="false">(Sens!$M$6615-Sens!$M$6612*(1-tax))/Sens!$M$6616</f>
        <v>14.8196162088773</v>
      </c>
      <c r="P6620" s="5" t="s">
        <v>771</v>
      </c>
    </row>
    <row r="6621" customFormat="false" ht="17.15" hidden="false" customHeight="false" outlineLevel="0" collapsed="false">
      <c r="A6621" s="0" t="s">
        <v>772</v>
      </c>
      <c r="B6621" s="0" t="s">
        <v>52</v>
      </c>
      <c r="H6621" s="13" t="n">
        <f aca="false">Sens!$H$6618/Sens!$G$6618-1</f>
        <v>-0.184093043251635</v>
      </c>
      <c r="I6621" s="13" t="n">
        <f aca="false">Sens!$I$6618/Sens!$H$6618-1</f>
        <v>0.159206147000695</v>
      </c>
      <c r="J6621" s="13" t="n">
        <f aca="false">Sens!$J$6618/Sens!$I$6618-1</f>
        <v>0.160401289157047</v>
      </c>
      <c r="K6621" s="13" t="n">
        <f aca="false">Sens!$K$6618/Sens!$J$6618-1</f>
        <v>0.103462755873053</v>
      </c>
      <c r="L6621" s="13" t="n">
        <f aca="false">Sens!$L$6618/Sens!$K$6618-1</f>
        <v>0.093305499182575</v>
      </c>
      <c r="M6621" s="13" t="n">
        <f aca="false">Sens!$M$6618/Sens!$L$6618-1</f>
        <v>0.0854452461236912</v>
      </c>
    </row>
    <row r="6624" customFormat="false" ht="19.4" hidden="false" customHeight="false" outlineLevel="0" collapsed="false">
      <c r="A6624" s="31" t="s">
        <v>1285</v>
      </c>
    </row>
    <row r="6625" customFormat="false" ht="17.15" hidden="false" customHeight="false" outlineLevel="0" collapsed="false">
      <c r="A6625" s="6" t="s">
        <v>16</v>
      </c>
      <c r="B6625" s="6" t="s">
        <v>17</v>
      </c>
      <c r="C6625" s="20" t="s">
        <v>504</v>
      </c>
      <c r="D6625" s="20" t="s">
        <v>505</v>
      </c>
      <c r="E6625" s="20" t="s">
        <v>587</v>
      </c>
      <c r="F6625" s="20" t="s">
        <v>588</v>
      </c>
      <c r="G6625" s="20" t="s">
        <v>589</v>
      </c>
      <c r="H6625" s="20" t="s">
        <v>590</v>
      </c>
      <c r="I6625" s="20" t="s">
        <v>591</v>
      </c>
      <c r="J6625" s="20" t="s">
        <v>592</v>
      </c>
      <c r="K6625" s="20" t="s">
        <v>593</v>
      </c>
      <c r="L6625" s="20" t="s">
        <v>594</v>
      </c>
      <c r="M6625" s="20" t="s">
        <v>595</v>
      </c>
      <c r="N6625" s="20" t="s">
        <v>596</v>
      </c>
      <c r="O6625" s="20" t="s">
        <v>597</v>
      </c>
      <c r="P6625" s="6" t="s">
        <v>23</v>
      </c>
      <c r="R6625" s="20" t="n">
        <v>2023</v>
      </c>
      <c r="S6625" s="20" t="n">
        <v>2024</v>
      </c>
      <c r="T6625" s="20" t="n">
        <v>2025</v>
      </c>
      <c r="U6625" s="20" t="n">
        <v>2026</v>
      </c>
      <c r="V6625" s="20" t="n">
        <v>2027</v>
      </c>
      <c r="W6625" s="20" t="n">
        <v>2028</v>
      </c>
      <c r="X6625" s="20" t="n">
        <v>2029</v>
      </c>
      <c r="Y6625" s="20" t="n">
        <v>2030</v>
      </c>
      <c r="Z6625" s="20" t="n">
        <v>2031</v>
      </c>
      <c r="AA6625" s="20" t="n">
        <v>2032</v>
      </c>
    </row>
    <row r="6626" customFormat="false" ht="15" hidden="false" customHeight="false" outlineLevel="0" collapsed="false">
      <c r="A6626" s="5" t="s">
        <v>556</v>
      </c>
      <c r="B6626" s="0" t="s">
        <v>86</v>
      </c>
      <c r="C6626" s="38" t="n">
        <f aca="false">Sens!$C$6615</f>
        <v>59.248</v>
      </c>
      <c r="D6626" s="38" t="n">
        <f aca="false">Sens!$D$6615</f>
        <v>77.67</v>
      </c>
      <c r="E6626" s="38" t="n">
        <f aca="false">Sens!$E$6615</f>
        <v>92.902</v>
      </c>
      <c r="F6626" s="38" t="n">
        <f aca="false">Sens!$F$6615</f>
        <v>46.0366037135288</v>
      </c>
      <c r="G6626" s="38" t="n">
        <f aca="false">Sens!$G$6615</f>
        <v>138.938603713529</v>
      </c>
      <c r="H6626" s="38" t="n">
        <f aca="false">Sens!$H$6615</f>
        <v>104.29965948309</v>
      </c>
      <c r="I6626" s="38" t="n">
        <f aca="false">Sens!$I$6615</f>
        <v>115.373462770871</v>
      </c>
      <c r="J6626" s="38" t="n">
        <f aca="false">Sens!$J$6615</f>
        <v>129.889724166368</v>
      </c>
      <c r="K6626" s="38" t="n">
        <f aca="false">Sens!$K$6615</f>
        <v>140.442301535395</v>
      </c>
      <c r="L6626" s="38" t="n">
        <f aca="false">Sens!$L$6615</f>
        <v>153.718935436262</v>
      </c>
      <c r="M6626" s="38" t="n">
        <f aca="false">Sens!$M$6615</f>
        <v>169.829794040665</v>
      </c>
    </row>
    <row r="6627" customFormat="false" ht="17.15" hidden="false" customHeight="false" outlineLevel="0" collapsed="false">
      <c r="A6627" s="5" t="s">
        <v>795</v>
      </c>
      <c r="B6627" s="0" t="s">
        <v>86</v>
      </c>
      <c r="C6627" s="38" t="n">
        <f aca="false">Sens!$C$6603</f>
        <v>32.067</v>
      </c>
      <c r="D6627" s="38" t="n">
        <f aca="false">Sens!$D$6603</f>
        <v>41.86</v>
      </c>
      <c r="E6627" s="38" t="n">
        <f aca="false">Sens!$E$6603</f>
        <v>26.703</v>
      </c>
      <c r="F6627" s="38" t="n">
        <f aca="false">Sens!$F$6603</f>
        <v>29.152860869477</v>
      </c>
      <c r="G6627" s="38" t="n">
        <f aca="false">Sens!$G$6603</f>
        <v>55.855860869477</v>
      </c>
      <c r="H6627" s="38" t="n">
        <f aca="false">Sens!$H$6603</f>
        <v>81.5618233196153</v>
      </c>
      <c r="I6627" s="38" t="n">
        <f aca="false">Sens!$I$6603</f>
        <v>118.756208740204</v>
      </c>
      <c r="J6627" s="38" t="n">
        <f aca="false">Sens!$J$6603</f>
        <v>152.469489406791</v>
      </c>
      <c r="K6627" s="38" t="n">
        <f aca="false">Sens!$K$6603</f>
        <v>186.391502623819</v>
      </c>
      <c r="L6627" s="38" t="n">
        <f aca="false">Sens!$L$6603</f>
        <v>211.926422215482</v>
      </c>
      <c r="M6627" s="38" t="n">
        <f aca="false">Sens!$M$6603</f>
        <v>229.012482097906</v>
      </c>
    </row>
    <row r="6628" customFormat="false" ht="15" hidden="false" customHeight="false" outlineLevel="0" collapsed="false">
      <c r="A6628" s="5" t="s">
        <v>796</v>
      </c>
      <c r="B6628" s="0" t="s">
        <v>86</v>
      </c>
      <c r="C6628" s="38" t="n">
        <f aca="false">Q!$D$48</f>
        <v>22.011</v>
      </c>
      <c r="D6628" s="38" t="n">
        <f aca="false">Q!$E$48</f>
        <v>19.467</v>
      </c>
      <c r="E6628" s="38" t="n">
        <f aca="false">Q!$P$48</f>
        <v>10.07</v>
      </c>
      <c r="F6628" s="38" t="n">
        <f aca="false">sbc_r*Sens!$F$6545</f>
        <v>10.8507035798037</v>
      </c>
      <c r="G6628" s="38" t="n">
        <f aca="false">Sens!$E$6628+Sens!$F$6628</f>
        <v>20.9207035798037</v>
      </c>
      <c r="H6628" s="38" t="n">
        <f aca="false">sbc_r*Sens!$H$6545</f>
        <v>23.46224366345</v>
      </c>
      <c r="I6628" s="38" t="n">
        <f aca="false">sbc_r*Sens!$I$6545</f>
        <v>26.6125957111676</v>
      </c>
      <c r="J6628" s="38" t="n">
        <f aca="false">sbc_r*Sens!$J$6545</f>
        <v>29.6280801413323</v>
      </c>
      <c r="K6628" s="38" t="n">
        <f aca="false">sbc_r*Sens!$K$6545</f>
        <v>32.2712258901105</v>
      </c>
      <c r="L6628" s="38" t="n">
        <f aca="false">sbc_r*Sens!$L$6545</f>
        <v>34.7390505016737</v>
      </c>
      <c r="M6628" s="38" t="n">
        <f aca="false">sbc_r*Sens!$M$6545</f>
        <v>37.0405146906692</v>
      </c>
    </row>
    <row r="6629" customFormat="false" ht="17.15" hidden="false" customHeight="false" outlineLevel="0" collapsed="false">
      <c r="A6629" s="5" t="s">
        <v>797</v>
      </c>
      <c r="B6629" s="0" t="s">
        <v>86</v>
      </c>
      <c r="C6629" s="38" t="n">
        <f aca="false">Q!$D$44-Sens!$C$6626-Sens!$C$6627-Sens!$C$6628</f>
        <v>2.551</v>
      </c>
      <c r="D6629" s="38" t="n">
        <f aca="false">Q!$E$44-Sens!$D$6626-Sens!$D$6627-Sens!$D$6628</f>
        <v>0.51700000000001</v>
      </c>
      <c r="E6629" s="38" t="n">
        <f aca="false">Q!$P$44-Sens!$E$6626-Sens!$E$6627-Sens!$E$6628</f>
        <v>-58.256</v>
      </c>
      <c r="F6629" s="38" t="n">
        <f aca="false">oth_r*Sens!$F$6545</f>
        <v>5.22265251035878</v>
      </c>
      <c r="G6629" s="38" t="n">
        <f aca="false">Sens!$E$6629+Sens!$F$6629</f>
        <v>-53.0333474896412</v>
      </c>
      <c r="H6629" s="38" t="n">
        <f aca="false">oth_r*Sens!$H$6545</f>
        <v>11.2928295263397</v>
      </c>
      <c r="I6629" s="38" t="n">
        <f aca="false">oth_r*Sens!$I$6545</f>
        <v>12.8091546115766</v>
      </c>
      <c r="J6629" s="38" t="n">
        <f aca="false">oth_r*Sens!$J$6545</f>
        <v>14.2605653162668</v>
      </c>
      <c r="K6629" s="38" t="n">
        <f aca="false">oth_r*Sens!$K$6545</f>
        <v>15.5327622460396</v>
      </c>
      <c r="L6629" s="38" t="n">
        <f aca="false">oth_r*Sens!$L$6545</f>
        <v>16.720573737517</v>
      </c>
      <c r="M6629" s="38" t="n">
        <f aca="false">oth_r*Sens!$M$6545</f>
        <v>17.8283127551536</v>
      </c>
      <c r="P6629" s="8" t="s">
        <v>798</v>
      </c>
    </row>
    <row r="6630" customFormat="false" ht="15" hidden="false" customHeight="false" outlineLevel="0" collapsed="false">
      <c r="A6630" s="3" t="s">
        <v>562</v>
      </c>
      <c r="B6630" s="8" t="s">
        <v>86</v>
      </c>
      <c r="C6630" s="38" t="n">
        <f aca="false">Q!$D$44</f>
        <v>115.877</v>
      </c>
      <c r="D6630" s="38" t="n">
        <f aca="false">Q!$E$44</f>
        <v>139.514</v>
      </c>
      <c r="E6630" s="38" t="n">
        <f aca="false">Q!$P$44</f>
        <v>71.419</v>
      </c>
      <c r="F6630" s="38" t="n">
        <f aca="false">Sens!$F$6626+Sens!$F$6627+Sens!$F$6628+Sens!$F$6629</f>
        <v>91.2628206731683</v>
      </c>
      <c r="G6630" s="38" t="n">
        <f aca="false">Sens!$E$6630+Sens!$F$6630</f>
        <v>162.681820673168</v>
      </c>
      <c r="H6630" s="38" t="n">
        <f aca="false">Sens!$H$6626+Sens!$H$6627+Sens!$H$6628+Sens!$H$6629</f>
        <v>220.616555992495</v>
      </c>
      <c r="I6630" s="38" t="n">
        <f aca="false">Sens!$I$6626+Sens!$I$6627+Sens!$I$6628+Sens!$I$6629</f>
        <v>273.55142183382</v>
      </c>
      <c r="J6630" s="38" t="n">
        <f aca="false">Sens!$J$6626+Sens!$J$6627+Sens!$J$6628+Sens!$J$6629</f>
        <v>326.247859030758</v>
      </c>
      <c r="K6630" s="38" t="n">
        <f aca="false">Sens!$K$6626+Sens!$K$6627+Sens!$K$6628+Sens!$K$6629</f>
        <v>374.637792295364</v>
      </c>
      <c r="L6630" s="38" t="n">
        <f aca="false">Sens!$L$6626+Sens!$L$6627+Sens!$L$6628+Sens!$L$6629</f>
        <v>417.104981890935</v>
      </c>
      <c r="M6630" s="38" t="n">
        <f aca="false">Sens!$M$6626+Sens!$M$6627+Sens!$M$6628+Sens!$M$6629</f>
        <v>453.711103584394</v>
      </c>
    </row>
    <row r="6631" customFormat="false" ht="17.15" hidden="false" customHeight="false" outlineLevel="0" collapsed="false">
      <c r="A6631" s="5" t="s">
        <v>799</v>
      </c>
      <c r="B6631" s="0" t="s">
        <v>86</v>
      </c>
      <c r="C6631" s="38" t="n">
        <f aca="false">Sens!$C$6509</f>
        <v>25.2781053077374</v>
      </c>
      <c r="D6631" s="38" t="n">
        <f aca="false">Sens!$D$6509</f>
        <v>69.5686316310026</v>
      </c>
      <c r="E6631" s="38" t="n">
        <f aca="false">Sens!$E$6509</f>
        <v>64.1899206485108</v>
      </c>
      <c r="F6631" s="38" t="n">
        <f aca="false">Sens!$F$6509</f>
        <v>88.7165504612134</v>
      </c>
      <c r="G6631" s="38" t="n">
        <f aca="false">Sens!$G$6509</f>
        <v>152.906471109724</v>
      </c>
      <c r="H6631" s="38" t="n">
        <f aca="false">Sens!$H$6509</f>
        <v>198.57136494475</v>
      </c>
      <c r="I6631" s="38" t="n">
        <f aca="false">Sens!$I$6509</f>
        <v>204.6464699105</v>
      </c>
      <c r="J6631" s="38" t="n">
        <f aca="false">Sens!$J$6509</f>
        <v>209.8832381105</v>
      </c>
      <c r="K6631" s="38" t="n">
        <f aca="false">Sens!$K$6509</f>
        <v>155.238385275201</v>
      </c>
      <c r="L6631" s="38" t="n">
        <f aca="false">Sens!$L$6509</f>
        <v>132.014141639902</v>
      </c>
      <c r="M6631" s="38" t="n">
        <f aca="false">Sens!$M$6509</f>
        <v>132.230981659852</v>
      </c>
    </row>
    <row r="6632" customFormat="false" ht="17.15" hidden="false" customHeight="false" outlineLevel="0" collapsed="false">
      <c r="A6632" s="5" t="s">
        <v>800</v>
      </c>
      <c r="B6632" s="0" t="s">
        <v>86</v>
      </c>
      <c r="C6632" s="38" t="n">
        <f aca="false">cx_awso*Sens!$C$6543</f>
        <v>21.0469989286053</v>
      </c>
      <c r="D6632" s="38" t="n">
        <f aca="false">cx_awso*Sens!$D$6543</f>
        <v>24.0042459822698</v>
      </c>
      <c r="E6632" s="38" t="n">
        <f aca="false">cx_awso*Sens!$E$6543</f>
        <v>14.261729404886</v>
      </c>
      <c r="F6632" s="38" t="n">
        <f aca="false">cx_awso*Sens!$F$6543</f>
        <v>14.3538599588493</v>
      </c>
      <c r="G6632" s="38" t="n">
        <f aca="false">Sens!$E$6632+Sens!$F$6632</f>
        <v>28.6155893637353</v>
      </c>
      <c r="H6632" s="38" t="n">
        <f aca="false">cx_awso*Sens!$H$6543</f>
        <v>32.2034154158406</v>
      </c>
      <c r="I6632" s="38" t="n">
        <f aca="false">cx_awso*Sens!$I$6543</f>
        <v>35.7539519042915</v>
      </c>
      <c r="J6632" s="38" t="n">
        <f aca="false">cx_awso*Sens!$J$6543</f>
        <v>39.1551076091815</v>
      </c>
      <c r="K6632" s="38" t="n">
        <f aca="false">cx_awso*Sens!$K$6543</f>
        <v>42.287516217916</v>
      </c>
      <c r="L6632" s="38" t="n">
        <f aca="false">cx_awso*Sens!$L$6543</f>
        <v>45.6705175153492</v>
      </c>
      <c r="M6632" s="38" t="n">
        <f aca="false">cx_awso*Sens!$M$6543</f>
        <v>49.3241589165772</v>
      </c>
    </row>
    <row r="6633" customFormat="false" ht="17.15" hidden="false" customHeight="false" outlineLevel="0" collapsed="false">
      <c r="A6633" s="5" t="s">
        <v>801</v>
      </c>
      <c r="B6633" s="0" t="s">
        <v>86</v>
      </c>
      <c r="C6633" s="38" t="n">
        <f aca="false">Q!$D$46-Sens!$C$6631-Sens!$C$6632</f>
        <v>31.3328957636573</v>
      </c>
      <c r="D6633" s="38" t="n">
        <f aca="false">Q!$E$46-Sens!$D$6631-Sens!$D$6632</f>
        <v>34.7471223867276</v>
      </c>
      <c r="E6633" s="38" t="n">
        <f aca="false">Q!$P$46-Sens!$E$6631-Sens!$E$6632</f>
        <v>17.8583499466032</v>
      </c>
      <c r="F6633" s="38" t="n">
        <f aca="false">cx_rt*Sens!$F$6472</f>
        <v>20.6195895799373</v>
      </c>
      <c r="G6633" s="38" t="n">
        <f aca="false">Sens!$E$6633+Sens!$F$6633</f>
        <v>38.4779395265405</v>
      </c>
      <c r="H6633" s="38" t="n">
        <f aca="false">cx_rt*Sens!$H$6472</f>
        <v>42.5978994743075</v>
      </c>
      <c r="I6633" s="38" t="n">
        <f aca="false">cx_rt*Sens!$I$6472</f>
        <v>46.5813904136335</v>
      </c>
      <c r="J6633" s="38" t="n">
        <f aca="false">cx_rt*Sens!$J$6472</f>
        <v>50.2781676586844</v>
      </c>
      <c r="K6633" s="38" t="n">
        <f aca="false">cx_rt*Sens!$K$6472</f>
        <v>53.5312440191755</v>
      </c>
      <c r="L6633" s="38" t="n">
        <f aca="false">cx_rt*Sens!$L$6472</f>
        <v>57.0116717051447</v>
      </c>
      <c r="M6633" s="38" t="n">
        <f aca="false">cx_rt*Sens!$M$6472</f>
        <v>60.7365554669226</v>
      </c>
    </row>
    <row r="6634" customFormat="false" ht="15" hidden="false" customHeight="false" outlineLevel="0" collapsed="false">
      <c r="A6634" s="3" t="s">
        <v>802</v>
      </c>
      <c r="B6634" s="8" t="s">
        <v>86</v>
      </c>
      <c r="C6634" s="38" t="n">
        <f aca="false">Q!$D$46</f>
        <v>77.658</v>
      </c>
      <c r="D6634" s="38" t="n">
        <f aca="false">Q!$E$46</f>
        <v>128.32</v>
      </c>
      <c r="E6634" s="38" t="n">
        <f aca="false">Q!$P$46</f>
        <v>96.31</v>
      </c>
      <c r="F6634" s="38" t="n">
        <f aca="false">Sens!$F$6631+Sens!$F$6632+Sens!$F$6633</f>
        <v>123.69</v>
      </c>
      <c r="G6634" s="38" t="n">
        <f aca="false">Sens!$E$6634+Sens!$F$6634</f>
        <v>220</v>
      </c>
      <c r="H6634" s="38" t="n">
        <f aca="false">Sens!$H$6631+Sens!$H$6632+Sens!$H$6633</f>
        <v>273.372679834898</v>
      </c>
      <c r="I6634" s="38" t="n">
        <f aca="false">Sens!$I$6631+Sens!$I$6632+Sens!$I$6633</f>
        <v>286.981812228425</v>
      </c>
      <c r="J6634" s="38" t="n">
        <f aca="false">Sens!$J$6631+Sens!$J$6632+Sens!$J$6633</f>
        <v>299.316513378366</v>
      </c>
      <c r="K6634" s="38" t="n">
        <f aca="false">Sens!$K$6631+Sens!$K$6632+Sens!$K$6633</f>
        <v>251.057145512292</v>
      </c>
      <c r="L6634" s="38" t="n">
        <f aca="false">Sens!$L$6631+Sens!$L$6632+Sens!$L$6633</f>
        <v>234.696330860396</v>
      </c>
      <c r="M6634" s="38" t="n">
        <f aca="false">Sens!$M$6631+Sens!$M$6632+Sens!$M$6633</f>
        <v>242.291696043352</v>
      </c>
    </row>
    <row r="6635" customFormat="false" ht="17.15" hidden="false" customHeight="false" outlineLevel="0" collapsed="false">
      <c r="A6635" s="5" t="s">
        <v>570</v>
      </c>
      <c r="B6635" s="0" t="s">
        <v>86</v>
      </c>
      <c r="C6635" s="38" t="n">
        <f aca="false">Q!$D$50</f>
        <v>2.043</v>
      </c>
      <c r="D6635" s="38" t="n">
        <f aca="false">Q!$E$50</f>
        <v>1.557</v>
      </c>
      <c r="E6635" s="38" t="n">
        <f aca="false">lease_pr/2</f>
        <v>0.8</v>
      </c>
      <c r="F6635" s="38" t="n">
        <f aca="false">lease_pr/2</f>
        <v>0.8</v>
      </c>
      <c r="G6635" s="38" t="n">
        <f aca="false">Sens!$E$6635+Sens!$F$6635</f>
        <v>1.6</v>
      </c>
      <c r="H6635" s="38" t="n">
        <f aca="false">lease_pr</f>
        <v>1.6</v>
      </c>
      <c r="I6635" s="38" t="n">
        <f aca="false">lease_pr</f>
        <v>1.6</v>
      </c>
      <c r="J6635" s="38" t="n">
        <f aca="false">lease_pr</f>
        <v>1.6</v>
      </c>
      <c r="K6635" s="38" t="n">
        <f aca="false">lease_pr</f>
        <v>1.6</v>
      </c>
      <c r="L6635" s="38" t="n">
        <f aca="false">lease_pr</f>
        <v>1.6</v>
      </c>
      <c r="M6635" s="38" t="n">
        <f aca="false">lease_pr</f>
        <v>1.6</v>
      </c>
      <c r="P6635" s="8" t="s">
        <v>803</v>
      </c>
    </row>
    <row r="6636" customFormat="false" ht="15" hidden="false" customHeight="false" outlineLevel="0" collapsed="false">
      <c r="A6636" s="47" t="s">
        <v>804</v>
      </c>
      <c r="B6636" s="14" t="s">
        <v>86</v>
      </c>
      <c r="C6636" s="48" t="n">
        <f aca="false">Sens!$C$6630-Sens!$C$6634-Sens!$C$6635</f>
        <v>36.176</v>
      </c>
      <c r="D6636" s="48" t="n">
        <f aca="false">Sens!$D$6630-Sens!$D$6634-Sens!$D$6635</f>
        <v>9.63700000000002</v>
      </c>
      <c r="E6636" s="48" t="n">
        <f aca="false">Sens!$E$6630-Sens!$E$6634-Sens!$E$6635</f>
        <v>-25.691</v>
      </c>
      <c r="F6636" s="48" t="n">
        <f aca="false">Sens!$F$6630-Sens!$F$6634-Sens!$F$6635</f>
        <v>-33.2271793268317</v>
      </c>
      <c r="G6636" s="48" t="n">
        <f aca="false">Sens!$G$6630-Sens!$G$6634-Sens!$G$6635</f>
        <v>-58.9181793268317</v>
      </c>
      <c r="H6636" s="48" t="n">
        <f aca="false">Sens!$H$6630-Sens!$H$6634-Sens!$H$6635</f>
        <v>-54.3561238424036</v>
      </c>
      <c r="I6636" s="48" t="n">
        <f aca="false">Sens!$I$6630-Sens!$I$6634-Sens!$I$6635</f>
        <v>-15.0303903946055</v>
      </c>
      <c r="J6636" s="48" t="n">
        <f aca="false">Sens!$J$6630-Sens!$J$6634-Sens!$J$6635</f>
        <v>25.3313456523922</v>
      </c>
      <c r="K6636" s="48" t="n">
        <f aca="false">Sens!$K$6630-Sens!$K$6634-Sens!$K$6635</f>
        <v>121.980646783072</v>
      </c>
      <c r="L6636" s="48" t="n">
        <f aca="false">Sens!$L$6630-Sens!$L$6634-Sens!$L$6635</f>
        <v>180.80865103054</v>
      </c>
      <c r="M6636" s="48" t="n">
        <f aca="false">Sens!$M$6630-Sens!$M$6634-Sens!$M$6635</f>
        <v>209.819407541041</v>
      </c>
      <c r="N6636" s="14"/>
      <c r="O6636" s="14"/>
    </row>
    <row r="6637" customFormat="false" ht="17.15" hidden="false" customHeight="false" outlineLevel="0" collapsed="false">
      <c r="A6637" s="5" t="s">
        <v>805</v>
      </c>
      <c r="B6637" s="0" t="s">
        <v>86</v>
      </c>
      <c r="C6637" s="38" t="n">
        <f aca="false">dps*Sens!$C$6616</f>
        <v>0</v>
      </c>
      <c r="D6637" s="38" t="n">
        <f aca="false">dps*Sens!$D$6616</f>
        <v>0</v>
      </c>
      <c r="E6637" s="38" t="n">
        <f aca="false">dps*Sens!$E$6616</f>
        <v>0</v>
      </c>
      <c r="F6637" s="38" t="n">
        <f aca="false">0</f>
        <v>0</v>
      </c>
      <c r="G6637" s="38" t="n">
        <f aca="false">dps*Sens!$G$6616</f>
        <v>0</v>
      </c>
      <c r="H6637" s="38" t="n">
        <f aca="false">dps*Sens!$H$6616</f>
        <v>0</v>
      </c>
      <c r="I6637" s="38" t="n">
        <f aca="false">dps*Sens!$I$6616</f>
        <v>0</v>
      </c>
      <c r="J6637" s="38" t="n">
        <f aca="false">dps*Sens!$J$6616</f>
        <v>0</v>
      </c>
      <c r="K6637" s="38" t="n">
        <f aca="false">dps*Sens!$K$6616</f>
        <v>0</v>
      </c>
      <c r="L6637" s="38" t="n">
        <f aca="false">dps*Sens!$L$6616</f>
        <v>0</v>
      </c>
      <c r="M6637" s="38" t="n">
        <f aca="false">dps*Sens!$M$6616</f>
        <v>0</v>
      </c>
      <c r="P6637" s="8" t="s">
        <v>806</v>
      </c>
    </row>
    <row r="6638" customFormat="false" ht="17.15" hidden="false" customHeight="false" outlineLevel="0" collapsed="false">
      <c r="A6638" s="5" t="s">
        <v>807</v>
      </c>
      <c r="B6638" s="0" t="s">
        <v>86</v>
      </c>
      <c r="C6638" s="38" t="n">
        <f aca="false">0</f>
        <v>0</v>
      </c>
      <c r="D6638" s="38" t="n">
        <f aca="false">0</f>
        <v>0</v>
      </c>
      <c r="E6638" s="38" t="n">
        <f aca="false">0</f>
        <v>0</v>
      </c>
      <c r="F6638" s="38" t="n">
        <f aca="false">0</f>
        <v>0</v>
      </c>
      <c r="G6638" s="38" t="n">
        <f aca="false">0</f>
        <v>0</v>
      </c>
      <c r="H6638" s="38" t="n">
        <f aca="false">0</f>
        <v>0</v>
      </c>
      <c r="I6638" s="38" t="n">
        <f aca="false">0</f>
        <v>0</v>
      </c>
      <c r="J6638" s="38" t="n">
        <f aca="false">0</f>
        <v>0</v>
      </c>
      <c r="K6638" s="38" t="n">
        <f aca="false">0</f>
        <v>0</v>
      </c>
      <c r="L6638" s="38" t="n">
        <f aca="false">0</f>
        <v>0</v>
      </c>
      <c r="M6638" s="38" t="n">
        <f aca="false">0</f>
        <v>0</v>
      </c>
      <c r="P6638" s="8" t="s">
        <v>808</v>
      </c>
    </row>
    <row r="6639" customFormat="false" ht="15" hidden="false" customHeight="false" outlineLevel="0" collapsed="false">
      <c r="A6639" s="3" t="s">
        <v>809</v>
      </c>
      <c r="B6639" s="8" t="s">
        <v>86</v>
      </c>
      <c r="C6639" s="38" t="n">
        <f aca="false">Sens!$C$6636-Sens!$C$6637</f>
        <v>36.176</v>
      </c>
      <c r="D6639" s="38" t="n">
        <f aca="false">Sens!$D$6636-Sens!$D$6637</f>
        <v>9.63700000000002</v>
      </c>
      <c r="E6639" s="38" t="n">
        <f aca="false">Sens!$E$6636-Sens!$E$6637</f>
        <v>-25.691</v>
      </c>
      <c r="F6639" s="38" t="n">
        <f aca="false">Sens!$F$6636-Sens!$F$6637</f>
        <v>-33.2271793268317</v>
      </c>
      <c r="G6639" s="38" t="n">
        <f aca="false">Sens!$G$6636-Sens!$G$6637</f>
        <v>-58.9181793268317</v>
      </c>
      <c r="H6639" s="38" t="n">
        <f aca="false">Sens!$H$6636-Sens!$H$6637</f>
        <v>-54.3561238424036</v>
      </c>
      <c r="I6639" s="38" t="n">
        <f aca="false">Sens!$I$6636-Sens!$I$6637</f>
        <v>-15.0303903946055</v>
      </c>
      <c r="J6639" s="38" t="n">
        <f aca="false">Sens!$J$6636-Sens!$J$6637</f>
        <v>25.3313456523922</v>
      </c>
      <c r="K6639" s="38" t="n">
        <f aca="false">Sens!$K$6636-Sens!$K$6637</f>
        <v>121.980646783072</v>
      </c>
      <c r="L6639" s="38" t="n">
        <f aca="false">Sens!$L$6636-Sens!$L$6637</f>
        <v>180.80865103054</v>
      </c>
      <c r="M6639" s="38" t="n">
        <f aca="false">Sens!$M$6636-Sens!$M$6637</f>
        <v>209.819407541041</v>
      </c>
    </row>
    <row r="6640" customFormat="false" ht="17.15" hidden="false" customHeight="false" outlineLevel="0" collapsed="false">
      <c r="A6640" s="5" t="s">
        <v>810</v>
      </c>
      <c r="B6640" s="0" t="s">
        <v>86</v>
      </c>
      <c r="E6640" s="38" t="n">
        <f aca="false">Q!$P$53</f>
        <v>39.767</v>
      </c>
      <c r="F6640" s="38" t="n">
        <f aca="false">inv_2h26</f>
        <v>21.3</v>
      </c>
      <c r="G6640" s="38" t="n">
        <f aca="false">Sens!$E$6640+Sens!$F$6640</f>
        <v>61.067</v>
      </c>
      <c r="H6640" s="39" t="n">
        <v>0</v>
      </c>
      <c r="I6640" s="39" t="n">
        <v>0</v>
      </c>
      <c r="J6640" s="39" t="n">
        <v>0</v>
      </c>
      <c r="K6640" s="39" t="n">
        <v>0</v>
      </c>
      <c r="L6640" s="39" t="n">
        <v>0</v>
      </c>
      <c r="M6640" s="39" t="n">
        <v>0</v>
      </c>
    </row>
    <row r="6641" customFormat="false" ht="17.15" hidden="false" customHeight="false" outlineLevel="0" collapsed="false">
      <c r="A6641" s="5" t="s">
        <v>811</v>
      </c>
      <c r="B6641" s="0" t="s">
        <v>86</v>
      </c>
      <c r="F6641" s="38" t="n">
        <f aca="false">iss_2h26</f>
        <v>29.249999</v>
      </c>
      <c r="G6641" s="38" t="n">
        <f aca="false">Sens!$F$6641</f>
        <v>29.249999</v>
      </c>
      <c r="H6641" s="39" t="n">
        <v>0</v>
      </c>
      <c r="I6641" s="39" t="n">
        <v>0</v>
      </c>
      <c r="J6641" s="39" t="n">
        <v>0</v>
      </c>
      <c r="K6641" s="39" t="n">
        <v>0</v>
      </c>
      <c r="L6641" s="39" t="n">
        <v>0</v>
      </c>
      <c r="M6641" s="39" t="n">
        <v>0</v>
      </c>
    </row>
    <row r="6642" customFormat="false" ht="17.15" hidden="false" customHeight="false" outlineLevel="0" collapsed="false">
      <c r="A6642" s="5" t="s">
        <v>812</v>
      </c>
      <c r="B6642" s="0" t="s">
        <v>86</v>
      </c>
      <c r="F6642" s="38" t="n">
        <f aca="false">cash_q2</f>
        <v>122.988</v>
      </c>
      <c r="G6642" s="38" t="n">
        <f aca="false">cash_q2</f>
        <v>122.988</v>
      </c>
      <c r="H6642" s="38" t="n">
        <f aca="false">Sens!$G$6645</f>
        <v>97.7108196731683</v>
      </c>
      <c r="I6642" s="38" t="n">
        <f aca="false">Sens!$H$6645</f>
        <v>50</v>
      </c>
      <c r="J6642" s="38" t="n">
        <f aca="false">Sens!$I$6645</f>
        <v>50</v>
      </c>
      <c r="K6642" s="38" t="n">
        <f aca="false">Sens!$J$6645</f>
        <v>75.3313456523922</v>
      </c>
      <c r="L6642" s="38" t="n">
        <f aca="false">Sens!$K$6645</f>
        <v>197.311992435464</v>
      </c>
      <c r="M6642" s="38" t="n">
        <f aca="false">Sens!$L$6645</f>
        <v>378.120643466004</v>
      </c>
    </row>
    <row r="6643" customFormat="false" ht="15" hidden="false" customHeight="false" outlineLevel="0" collapsed="false">
      <c r="A6643" s="5" t="s">
        <v>813</v>
      </c>
      <c r="B6643" s="0" t="s">
        <v>86</v>
      </c>
      <c r="F6643" s="38" t="n">
        <f aca="false">Sens!$F$6642+Sens!$F$6639-Sens!$F$6638-Sens!$F$6640+Sens!$F$6641</f>
        <v>97.7108196731683</v>
      </c>
      <c r="H6643" s="38" t="n">
        <f aca="false">Sens!$H$6642+Sens!$H$6639-Sens!$H$6638-Sens!$H$6640+Sens!$H$6641</f>
        <v>43.3546958307647</v>
      </c>
      <c r="I6643" s="38" t="n">
        <f aca="false">Sens!$I$6642+Sens!$I$6639-Sens!$I$6638-Sens!$I$6640+Sens!$I$6641</f>
        <v>34.9696096053945</v>
      </c>
      <c r="J6643" s="38" t="n">
        <f aca="false">Sens!$J$6642+Sens!$J$6639-Sens!$J$6638-Sens!$J$6640+Sens!$J$6641</f>
        <v>75.3313456523922</v>
      </c>
      <c r="K6643" s="38" t="n">
        <f aca="false">Sens!$K$6642+Sens!$K$6639-Sens!$K$6638-Sens!$K$6640+Sens!$K$6641</f>
        <v>197.311992435464</v>
      </c>
      <c r="L6643" s="38" t="n">
        <f aca="false">Sens!$L$6642+Sens!$L$6639-Sens!$L$6638-Sens!$L$6640+Sens!$L$6641</f>
        <v>378.120643466004</v>
      </c>
      <c r="M6643" s="38" t="n">
        <f aca="false">Sens!$M$6642+Sens!$M$6639-Sens!$M$6638-Sens!$M$6640+Sens!$M$6641</f>
        <v>587.940051007045</v>
      </c>
    </row>
    <row r="6644" customFormat="false" ht="17.15" hidden="false" customHeight="false" outlineLevel="0" collapsed="false">
      <c r="A6644" s="5" t="s">
        <v>814</v>
      </c>
      <c r="B6644" s="0" t="s">
        <v>86</v>
      </c>
      <c r="F6644" s="38" t="n">
        <f aca="false">MAX(0,min_cash-Sens!$F$6643)</f>
        <v>0</v>
      </c>
      <c r="G6644" s="38" t="n">
        <f aca="false">Sens!$F$6644</f>
        <v>0</v>
      </c>
      <c r="H6644" s="38" t="n">
        <f aca="false">MAX(0,min_cash-Sens!$H$6643)</f>
        <v>6.64530416923528</v>
      </c>
      <c r="I6644" s="38" t="n">
        <f aca="false">MAX(0,min_cash-Sens!$I$6643)</f>
        <v>15.0303903946055</v>
      </c>
      <c r="J6644" s="38" t="n">
        <f aca="false">MAX(0,min_cash-Sens!$J$6643)</f>
        <v>0</v>
      </c>
      <c r="K6644" s="38" t="n">
        <f aca="false">MAX(0,min_cash-Sens!$K$6643)</f>
        <v>0</v>
      </c>
      <c r="L6644" s="38" t="n">
        <f aca="false">MAX(0,min_cash-Sens!$L$6643)</f>
        <v>0</v>
      </c>
      <c r="M6644" s="38" t="n">
        <f aca="false">MAX(0,min_cash-Sens!$M$6643)</f>
        <v>0</v>
      </c>
      <c r="P6644" s="5" t="s">
        <v>815</v>
      </c>
    </row>
    <row r="6645" customFormat="false" ht="15" hidden="false" customHeight="false" outlineLevel="0" collapsed="false">
      <c r="A6645" s="5" t="s">
        <v>816</v>
      </c>
      <c r="B6645" s="0" t="s">
        <v>86</v>
      </c>
      <c r="D6645" s="38" t="n">
        <f aca="false">Q!$E$61</f>
        <v>123.029</v>
      </c>
      <c r="E6645" s="38" t="n">
        <f aca="false">Q!$M$61</f>
        <v>122.988</v>
      </c>
      <c r="F6645" s="38" t="n">
        <f aca="false">Sens!$F$6643+Sens!$F$6644</f>
        <v>97.7108196731683</v>
      </c>
      <c r="G6645" s="38" t="n">
        <f aca="false">Sens!$F$6645</f>
        <v>97.7108196731683</v>
      </c>
      <c r="H6645" s="38" t="n">
        <f aca="false">Sens!$H$6643+Sens!$H$6644</f>
        <v>50</v>
      </c>
      <c r="I6645" s="38" t="n">
        <f aca="false">Sens!$I$6643+Sens!$I$6644</f>
        <v>50</v>
      </c>
      <c r="J6645" s="38" t="n">
        <f aca="false">Sens!$J$6643+Sens!$J$6644</f>
        <v>75.3313456523922</v>
      </c>
      <c r="K6645" s="38" t="n">
        <f aca="false">Sens!$K$6643+Sens!$K$6644</f>
        <v>197.311992435464</v>
      </c>
      <c r="L6645" s="38" t="n">
        <f aca="false">Sens!$L$6643+Sens!$L$6644</f>
        <v>378.120643466004</v>
      </c>
      <c r="M6645" s="38" t="n">
        <f aca="false">Sens!$M$6643+Sens!$M$6644</f>
        <v>587.940051007045</v>
      </c>
    </row>
    <row r="6646" customFormat="false" ht="15" hidden="false" customHeight="false" outlineLevel="0" collapsed="false">
      <c r="A6646" s="5" t="s">
        <v>817</v>
      </c>
      <c r="B6646" s="0" t="s">
        <v>86</v>
      </c>
      <c r="D6646" s="38" t="n">
        <f aca="false">Q!$E$62</f>
        <v>68.836</v>
      </c>
      <c r="E6646" s="38" t="n">
        <f aca="false">Q!$M$62</f>
        <v>132.995</v>
      </c>
      <c r="F6646" s="38" t="n">
        <f aca="false">debt_q2+Sens!$F$6641+Sens!$F$6644</f>
        <v>162.244999</v>
      </c>
      <c r="G6646" s="38" t="n">
        <f aca="false">Sens!$F$6646</f>
        <v>162.244999</v>
      </c>
      <c r="H6646" s="38" t="n">
        <f aca="false">Sens!$G$6646+Sens!$H$6644</f>
        <v>168.890303169235</v>
      </c>
      <c r="I6646" s="38" t="n">
        <f aca="false">Sens!$H$6646+Sens!$I$6644</f>
        <v>183.920693563841</v>
      </c>
      <c r="J6646" s="38" t="n">
        <f aca="false">Sens!$I$6646+Sens!$J$6644</f>
        <v>183.920693563841</v>
      </c>
      <c r="K6646" s="38" t="n">
        <f aca="false">Sens!$J$6646+Sens!$K$6644</f>
        <v>183.920693563841</v>
      </c>
      <c r="L6646" s="38" t="n">
        <f aca="false">Sens!$K$6646+Sens!$L$6644</f>
        <v>183.920693563841</v>
      </c>
      <c r="M6646" s="38" t="n">
        <f aca="false">Sens!$L$6646+Sens!$M$6644</f>
        <v>183.920693563841</v>
      </c>
    </row>
    <row r="6647" customFormat="false" ht="15" hidden="false" customHeight="false" outlineLevel="0" collapsed="false">
      <c r="A6647" s="5" t="s">
        <v>818</v>
      </c>
      <c r="B6647" s="0" t="s">
        <v>86</v>
      </c>
      <c r="D6647" s="38" t="n">
        <f aca="false">Sens!$D$6646-Sens!$D$6645</f>
        <v>-54.193</v>
      </c>
      <c r="E6647" s="38" t="n">
        <f aca="false">Sens!$E$6646-Sens!$E$6645</f>
        <v>10.007</v>
      </c>
      <c r="F6647" s="38" t="n">
        <f aca="false">Sens!$F$6646-Sens!$F$6645</f>
        <v>64.5341793268317</v>
      </c>
      <c r="G6647" s="38" t="n">
        <f aca="false">Sens!$G$6646-Sens!$G$6645</f>
        <v>64.5341793268317</v>
      </c>
      <c r="H6647" s="38" t="n">
        <f aca="false">Sens!$H$6646-Sens!$H$6645</f>
        <v>118.890303169235</v>
      </c>
      <c r="I6647" s="38" t="n">
        <f aca="false">Sens!$I$6646-Sens!$I$6645</f>
        <v>133.920693563841</v>
      </c>
      <c r="J6647" s="38" t="n">
        <f aca="false">Sens!$J$6646-Sens!$J$6645</f>
        <v>108.589347911449</v>
      </c>
      <c r="K6647" s="38" t="n">
        <f aca="false">Sens!$K$6646-Sens!$K$6645</f>
        <v>-13.3912988716235</v>
      </c>
      <c r="L6647" s="38" t="n">
        <f aca="false">Sens!$L$6646-Sens!$L$6645</f>
        <v>-194.199949902163</v>
      </c>
      <c r="M6647" s="38" t="n">
        <f aca="false">Sens!$M$6646-Sens!$M$6645</f>
        <v>-404.019357443204</v>
      </c>
    </row>
    <row r="6648" customFormat="false" ht="17.15" hidden="false" customHeight="false" outlineLevel="0" collapsed="false">
      <c r="A6648" s="5" t="s">
        <v>819</v>
      </c>
      <c r="B6648" s="0" t="s">
        <v>86</v>
      </c>
      <c r="F6648" s="38" t="n">
        <f aca="false">debt_q2*kd_book*0.5+iss_2h26*kd_new*iss_t</f>
        <v>3.24888962733561</v>
      </c>
      <c r="H6648" s="38" t="n">
        <f aca="false">debt_q2*kd_book+(Sens!$G$6646-debt_q2)*kd_new</f>
        <v>7.42354172302123</v>
      </c>
      <c r="I6648" s="38" t="n">
        <f aca="false">debt_q2*kd_book+(Sens!$H$6646-debt_q2)*kd_new</f>
        <v>7.84418947693382</v>
      </c>
      <c r="J6648" s="38" t="n">
        <f aca="false">debt_q2*kd_book+(Sens!$I$6646-debt_q2)*kd_new</f>
        <v>8.79561318891235</v>
      </c>
      <c r="K6648" s="38" t="n">
        <f aca="false">debt_q2*kd_book+(Sens!$J$6646-debt_q2)*kd_new</f>
        <v>8.79561318891235</v>
      </c>
      <c r="L6648" s="38" t="n">
        <f aca="false">debt_q2*kd_book+(Sens!$K$6646-debt_q2)*kd_new</f>
        <v>8.79561318891235</v>
      </c>
      <c r="M6648" s="38" t="n">
        <f aca="false">debt_q2*kd_book+(Sens!$L$6646-debt_q2)*kd_new</f>
        <v>8.79561318891235</v>
      </c>
    </row>
    <row r="6649" customFormat="false" ht="17.15" hidden="false" customHeight="false" outlineLevel="0" collapsed="false">
      <c r="A6649" s="5" t="s">
        <v>820</v>
      </c>
      <c r="B6649" s="0" t="s">
        <v>86</v>
      </c>
      <c r="F6649" s="38" t="n">
        <f aca="false">cash_q2*y_cash*0.5</f>
        <v>2.59</v>
      </c>
      <c r="H6649" s="38" t="n">
        <f aca="false">Sens!$G$6645*y_cash</f>
        <v>4.1153774832261</v>
      </c>
      <c r="I6649" s="38" t="n">
        <f aca="false">Sens!$H$6645*y_cash</f>
        <v>2.10589651022864</v>
      </c>
      <c r="J6649" s="38" t="n">
        <f aca="false">Sens!$I$6645*y_cash</f>
        <v>2.10589651022864</v>
      </c>
      <c r="K6649" s="38" t="n">
        <f aca="false">Sens!$J$6645*y_cash</f>
        <v>3.172800358404</v>
      </c>
      <c r="L6649" s="38" t="n">
        <f aca="false">Sens!$K$6645*y_cash</f>
        <v>8.31037272592208</v>
      </c>
      <c r="M6649" s="38" t="n">
        <f aca="false">Sens!$L$6645*y_cash</f>
        <v>15.9256588704093</v>
      </c>
    </row>
    <row r="6650" customFormat="false" ht="17.15" hidden="false" customHeight="false" outlineLevel="0" collapsed="false">
      <c r="A6650" s="47" t="s">
        <v>821</v>
      </c>
      <c r="B6650" s="14" t="s">
        <v>86</v>
      </c>
      <c r="C6650" s="14"/>
      <c r="D6650" s="14"/>
      <c r="E6650" s="14"/>
      <c r="F6650" s="14"/>
      <c r="G6650" s="48" t="n">
        <f aca="false">SUM(Sens!$G$6639:$K$6639)</f>
        <v>19.0072988716234</v>
      </c>
      <c r="H6650" s="14"/>
      <c r="I6650" s="14"/>
      <c r="J6650" s="14"/>
      <c r="K6650" s="14"/>
      <c r="L6650" s="14"/>
      <c r="M6650" s="14"/>
      <c r="N6650" s="14"/>
      <c r="O6650" s="14"/>
    </row>
    <row r="6651" customFormat="false" ht="17.15" hidden="false" customHeight="false" outlineLevel="0" collapsed="false">
      <c r="A6651" s="0" t="s">
        <v>787</v>
      </c>
      <c r="B6651" s="0" t="s">
        <v>86</v>
      </c>
      <c r="G6651" s="38" t="n">
        <f aca="false">SUM(Sens!$G$6644:$K$6644)</f>
        <v>21.6756945638408</v>
      </c>
    </row>
    <row r="6652" customFormat="false" ht="17.15" hidden="false" customHeight="false" outlineLevel="0" collapsed="false">
      <c r="A6652" s="24" t="s">
        <v>824</v>
      </c>
      <c r="B6652" s="25" t="s">
        <v>86</v>
      </c>
      <c r="C6652" s="25"/>
      <c r="D6652" s="25"/>
      <c r="E6652" s="25"/>
      <c r="F6652" s="25"/>
      <c r="G6652" s="41" t="n">
        <f aca="false">Sens!$G$6650-(Sens!$G$6639+Sens!$H$6639+Sens!$I$6639+Sens!$J$6639+Sens!$K$6639)</f>
        <v>0</v>
      </c>
      <c r="H6652" s="25"/>
      <c r="I6652" s="25"/>
      <c r="J6652" s="25"/>
      <c r="K6652" s="25"/>
      <c r="L6652" s="25"/>
      <c r="M6652" s="25"/>
      <c r="N6652" s="25"/>
      <c r="O6652" s="25"/>
    </row>
    <row r="6655" customFormat="false" ht="19.4" hidden="false" customHeight="false" outlineLevel="0" collapsed="false">
      <c r="A6655" s="31" t="s">
        <v>1286</v>
      </c>
    </row>
    <row r="6656" customFormat="false" ht="17.15" hidden="false" customHeight="false" outlineLevel="0" collapsed="false">
      <c r="A6656" s="6" t="s">
        <v>16</v>
      </c>
      <c r="B6656" s="6" t="s">
        <v>17</v>
      </c>
      <c r="C6656" s="20" t="s">
        <v>504</v>
      </c>
      <c r="D6656" s="20" t="s">
        <v>505</v>
      </c>
      <c r="E6656" s="20" t="s">
        <v>587</v>
      </c>
      <c r="F6656" s="20" t="s">
        <v>588</v>
      </c>
      <c r="G6656" s="20" t="s">
        <v>589</v>
      </c>
      <c r="H6656" s="20" t="s">
        <v>590</v>
      </c>
      <c r="I6656" s="20" t="s">
        <v>591</v>
      </c>
      <c r="J6656" s="20" t="s">
        <v>592</v>
      </c>
      <c r="K6656" s="20" t="s">
        <v>593</v>
      </c>
      <c r="L6656" s="20" t="s">
        <v>594</v>
      </c>
      <c r="M6656" s="20" t="s">
        <v>595</v>
      </c>
      <c r="N6656" s="20" t="s">
        <v>596</v>
      </c>
      <c r="O6656" s="20" t="s">
        <v>597</v>
      </c>
      <c r="P6656" s="6" t="s">
        <v>23</v>
      </c>
      <c r="R6656" s="20" t="n">
        <v>2023</v>
      </c>
      <c r="S6656" s="20" t="n">
        <v>2024</v>
      </c>
      <c r="T6656" s="20" t="n">
        <v>2025</v>
      </c>
      <c r="U6656" s="20" t="n">
        <v>2026</v>
      </c>
      <c r="V6656" s="20" t="n">
        <v>2027</v>
      </c>
      <c r="W6656" s="20" t="n">
        <v>2028</v>
      </c>
      <c r="X6656" s="20" t="n">
        <v>2029</v>
      </c>
      <c r="Y6656" s="20" t="n">
        <v>2030</v>
      </c>
      <c r="Z6656" s="20" t="n">
        <v>2031</v>
      </c>
      <c r="AA6656" s="20" t="n">
        <v>2032</v>
      </c>
    </row>
    <row r="6657" customFormat="false" ht="17.15" hidden="false" customHeight="false" outlineLevel="0" collapsed="false">
      <c r="A6657" s="1" t="s">
        <v>926</v>
      </c>
    </row>
    <row r="6658" customFormat="false" ht="17.15" hidden="false" customHeight="false" outlineLevel="0" collapsed="false">
      <c r="A6658" s="0" t="s">
        <v>927</v>
      </c>
      <c r="B6658" s="0" t="s">
        <v>86</v>
      </c>
      <c r="H6658" s="38" t="n">
        <f aca="false">Sens!$H$6592*(1-tax)</f>
        <v>119.56497355468</v>
      </c>
      <c r="I6658" s="38" t="n">
        <f aca="false">Sens!$I$6592*(1-tax)</f>
        <v>141.256941944278</v>
      </c>
      <c r="J6658" s="38" t="n">
        <f aca="false">Sens!$J$6592*(1-tax)</f>
        <v>165.207646486437</v>
      </c>
      <c r="K6658" s="38" t="n">
        <f aca="false">Sens!$K$6592*(1-tax)</f>
        <v>182.2563867591</v>
      </c>
      <c r="L6658" s="38" t="n">
        <f aca="false">Sens!$L$6592*(1-tax)</f>
        <v>196.136023003742</v>
      </c>
      <c r="M6658" s="38" t="n">
        <f aca="false">Sens!$M$6592*(1-tax)</f>
        <v>208.266936154417</v>
      </c>
    </row>
    <row r="6659" customFormat="false" ht="15" hidden="false" customHeight="false" outlineLevel="0" collapsed="false">
      <c r="A6659" s="5" t="s">
        <v>928</v>
      </c>
      <c r="B6659" s="0" t="s">
        <v>86</v>
      </c>
      <c r="H6659" s="38" t="n">
        <f aca="false">Sens!$H$6603</f>
        <v>81.5618233196153</v>
      </c>
      <c r="I6659" s="38" t="n">
        <f aca="false">Sens!$I$6603</f>
        <v>118.756208740204</v>
      </c>
      <c r="J6659" s="38" t="n">
        <f aca="false">Sens!$J$6603</f>
        <v>152.469489406791</v>
      </c>
      <c r="K6659" s="38" t="n">
        <f aca="false">Sens!$K$6603</f>
        <v>186.391502623819</v>
      </c>
      <c r="L6659" s="38" t="n">
        <f aca="false">Sens!$L$6603</f>
        <v>211.926422215482</v>
      </c>
      <c r="M6659" s="38" t="n">
        <f aca="false">Sens!$M$6603</f>
        <v>229.012482097906</v>
      </c>
    </row>
    <row r="6660" customFormat="false" ht="15" hidden="false" customHeight="false" outlineLevel="0" collapsed="false">
      <c r="A6660" s="5" t="s">
        <v>929</v>
      </c>
      <c r="B6660" s="0" t="s">
        <v>86</v>
      </c>
      <c r="H6660" s="38" t="n">
        <f aca="false">Sens!$H$6634</f>
        <v>273.372679834898</v>
      </c>
      <c r="I6660" s="38" t="n">
        <f aca="false">Sens!$I$6634</f>
        <v>286.981812228425</v>
      </c>
      <c r="J6660" s="38" t="n">
        <f aca="false">Sens!$J$6634</f>
        <v>299.316513378366</v>
      </c>
      <c r="K6660" s="38" t="n">
        <f aca="false">Sens!$K$6634</f>
        <v>251.057145512292</v>
      </c>
      <c r="L6660" s="38" t="n">
        <f aca="false">Sens!$L$6634</f>
        <v>234.696330860396</v>
      </c>
      <c r="M6660" s="38" t="n">
        <f aca="false">Sens!$M$6634</f>
        <v>242.291696043352</v>
      </c>
    </row>
    <row r="6661" customFormat="false" ht="15" hidden="false" customHeight="false" outlineLevel="0" collapsed="false">
      <c r="A6661" s="5" t="s">
        <v>930</v>
      </c>
      <c r="B6661" s="0" t="s">
        <v>86</v>
      </c>
      <c r="H6661" s="38" t="n">
        <f aca="false">Sens!$H$6635</f>
        <v>1.6</v>
      </c>
      <c r="I6661" s="38" t="n">
        <f aca="false">Sens!$I$6635</f>
        <v>1.6</v>
      </c>
      <c r="J6661" s="38" t="n">
        <f aca="false">Sens!$J$6635</f>
        <v>1.6</v>
      </c>
      <c r="K6661" s="38" t="n">
        <f aca="false">Sens!$K$6635</f>
        <v>1.6</v>
      </c>
      <c r="L6661" s="38" t="n">
        <f aca="false">Sens!$L$6635</f>
        <v>1.6</v>
      </c>
      <c r="M6661" s="38" t="n">
        <f aca="false">Sens!$M$6635</f>
        <v>1.6</v>
      </c>
    </row>
    <row r="6662" customFormat="false" ht="15" hidden="false" customHeight="false" outlineLevel="0" collapsed="false">
      <c r="A6662" s="5" t="s">
        <v>931</v>
      </c>
      <c r="B6662" s="0" t="s">
        <v>86</v>
      </c>
      <c r="H6662" s="38" t="n">
        <f aca="false">Sens!$H$6629</f>
        <v>11.2928295263397</v>
      </c>
      <c r="I6662" s="38" t="n">
        <f aca="false">Sens!$I$6629</f>
        <v>12.8091546115766</v>
      </c>
      <c r="J6662" s="38" t="n">
        <f aca="false">Sens!$J$6629</f>
        <v>14.2605653162668</v>
      </c>
      <c r="K6662" s="38" t="n">
        <f aca="false">Sens!$K$6629</f>
        <v>15.5327622460396</v>
      </c>
      <c r="L6662" s="38" t="n">
        <f aca="false">Sens!$L$6629</f>
        <v>16.720573737517</v>
      </c>
      <c r="M6662" s="38" t="n">
        <f aca="false">Sens!$M$6629</f>
        <v>17.8283127551536</v>
      </c>
    </row>
    <row r="6663" customFormat="false" ht="17.15" hidden="false" customHeight="false" outlineLevel="0" collapsed="false">
      <c r="A6663" s="1" t="s">
        <v>932</v>
      </c>
      <c r="B6663" s="8" t="s">
        <v>86</v>
      </c>
      <c r="H6663" s="38" t="n">
        <f aca="false">Sens!$H$6658+Sens!$H$6659-Sens!$H$6660-Sens!$H$6661+Sens!$H$6662</f>
        <v>-62.5530534342631</v>
      </c>
      <c r="I6663" s="38" t="n">
        <f aca="false">Sens!$I$6658+Sens!$I$6659-Sens!$I$6660-Sens!$I$6661+Sens!$I$6662</f>
        <v>-15.7595069323669</v>
      </c>
      <c r="J6663" s="38" t="n">
        <f aca="false">Sens!$J$6658+Sens!$J$6659-Sens!$J$6660-Sens!$J$6661+Sens!$J$6662</f>
        <v>31.0211878311291</v>
      </c>
      <c r="K6663" s="38" t="n">
        <f aca="false">Sens!$K$6658+Sens!$K$6659-Sens!$K$6660-Sens!$K$6661+Sens!$K$6662</f>
        <v>131.523506116666</v>
      </c>
      <c r="L6663" s="38" t="n">
        <f aca="false">Sens!$L$6658+Sens!$L$6659-Sens!$L$6660-Sens!$L$6661+Sens!$L$6662</f>
        <v>188.486688096346</v>
      </c>
      <c r="M6663" s="38" t="n">
        <f aca="false">Sens!$M$6658+Sens!$M$6659-Sens!$M$6660-Sens!$M$6661+Sens!$M$6662</f>
        <v>211.216034964125</v>
      </c>
    </row>
    <row r="6664" customFormat="false" ht="15" hidden="false" customHeight="false" outlineLevel="0" collapsed="false">
      <c r="A6664" s="5" t="s">
        <v>933</v>
      </c>
      <c r="B6664" s="0" t="s">
        <v>57</v>
      </c>
      <c r="H6664" s="40" t="n">
        <f aca="false">1/(1+wacc)^(2027-2026-0.5)</f>
        <v>0.947751320380232</v>
      </c>
      <c r="I6664" s="40" t="n">
        <f aca="false">1/(1+wacc)^(2028-2026-0.5)</f>
        <v>0.851301099754987</v>
      </c>
      <c r="J6664" s="40" t="n">
        <f aca="false">1/(1+wacc)^(2029-2026-0.5)</f>
        <v>0.764666370660713</v>
      </c>
      <c r="K6664" s="40" t="n">
        <f aca="false">1/(1+wacc)^(2030-2026-0.5)</f>
        <v>0.686848235703811</v>
      </c>
      <c r="L6664" s="40" t="n">
        <f aca="false">1/(1+wacc)^(2031-2026-0.5)</f>
        <v>0.616949452715975</v>
      </c>
      <c r="M6664" s="40" t="n">
        <f aca="false">1/(1+wacc)^(2032-2026-0.5)</f>
        <v>0.554164089562688</v>
      </c>
    </row>
    <row r="6665" customFormat="false" ht="15" hidden="false" customHeight="false" outlineLevel="0" collapsed="false">
      <c r="A6665" s="5" t="s">
        <v>934</v>
      </c>
      <c r="B6665" s="0" t="s">
        <v>86</v>
      </c>
      <c r="H6665" s="38" t="n">
        <f aca="false">Sens!$H$6663*Sens!$H$6664</f>
        <v>-59.2847389861381</v>
      </c>
      <c r="I6665" s="38" t="n">
        <f aca="false">Sens!$I$6663*Sens!$I$6664</f>
        <v>-13.4160855831203</v>
      </c>
      <c r="J6665" s="38" t="n">
        <f aca="false">Sens!$J$6663*Sens!$J$6664</f>
        <v>23.7208591124138</v>
      </c>
      <c r="K6665" s="38" t="n">
        <f aca="false">Sens!$K$6663*Sens!$K$6664</f>
        <v>90.3366881298116</v>
      </c>
      <c r="L6665" s="38" t="n">
        <f aca="false">Sens!$L$6663*Sens!$L$6664</f>
        <v>116.286759065287</v>
      </c>
      <c r="M6665" s="38" t="n">
        <f aca="false">Sens!$M$6663*Sens!$M$6664</f>
        <v>117.048341716935</v>
      </c>
    </row>
    <row r="6666" customFormat="false" ht="15" hidden="false" customHeight="false" outlineLevel="0" collapsed="false">
      <c r="A6666" s="5" t="s">
        <v>935</v>
      </c>
      <c r="B6666" s="0" t="s">
        <v>86</v>
      </c>
      <c r="C6666" s="38" t="n">
        <f aca="false">SUM(Sens!$H$6665:$M$6665)</f>
        <v>274.691823455189</v>
      </c>
    </row>
    <row r="6667" customFormat="false" ht="17.15" hidden="false" customHeight="false" outlineLevel="0" collapsed="false">
      <c r="A6667" s="5" t="s">
        <v>936</v>
      </c>
      <c r="B6667" s="0" t="s">
        <v>86</v>
      </c>
      <c r="C6667" s="38" t="n">
        <f aca="false">Sens!$M$6658*(1+tg)*(1-tg/ronic)/(wacc-tg)</f>
        <v>1893.37885139876</v>
      </c>
    </row>
    <row r="6668" customFormat="false" ht="15" hidden="false" customHeight="false" outlineLevel="0" collapsed="false">
      <c r="A6668" s="5" t="s">
        <v>937</v>
      </c>
      <c r="B6668" s="0" t="s">
        <v>86</v>
      </c>
      <c r="C6668" s="38" t="n">
        <f aca="false">Sens!$C$6667/(1+wacc)^6</f>
        <v>994.421028636041</v>
      </c>
    </row>
    <row r="6669" customFormat="false" ht="17.15" hidden="false" customHeight="false" outlineLevel="0" collapsed="false">
      <c r="A6669" s="5" t="s">
        <v>938</v>
      </c>
      <c r="B6669" s="0" t="s">
        <v>86</v>
      </c>
      <c r="C6669" s="38" t="n">
        <f aca="false">Sens!$C$6666+Sens!$C$6668</f>
        <v>1269.11285209123</v>
      </c>
    </row>
    <row r="6670" customFormat="false" ht="17.15" hidden="false" customHeight="false" outlineLevel="0" collapsed="false">
      <c r="A6670" s="5" t="s">
        <v>939</v>
      </c>
      <c r="B6670" s="0" t="s">
        <v>52</v>
      </c>
      <c r="C6670" s="13" t="n">
        <f aca="false">Sens!$C$6668/Sens!$C$6669</f>
        <v>0.783556030495984</v>
      </c>
    </row>
    <row r="6671" customFormat="false" ht="17.15" hidden="false" customHeight="false" outlineLevel="0" collapsed="false">
      <c r="A6671" s="5" t="s">
        <v>940</v>
      </c>
      <c r="B6671" s="0" t="s">
        <v>86</v>
      </c>
      <c r="C6671" s="38" t="n">
        <f aca="false">Sens!$G$6647+fin_debt</f>
        <v>89.0551793268317</v>
      </c>
    </row>
    <row r="6672" customFormat="false" ht="17.15" hidden="false" customHeight="false" outlineLevel="0" collapsed="false">
      <c r="A6672" s="5" t="s">
        <v>941</v>
      </c>
      <c r="B6672" s="0" t="s">
        <v>86</v>
      </c>
      <c r="C6672" s="38" t="n">
        <f aca="false">(ant_val*ant_sh+oai_val*oai_sh)*(1-liq_disc)</f>
        <v>178.944</v>
      </c>
    </row>
    <row r="6673" customFormat="false" ht="15" hidden="false" customHeight="false" outlineLevel="0" collapsed="false">
      <c r="A6673" s="5" t="s">
        <v>942</v>
      </c>
      <c r="B6673" s="0" t="s">
        <v>86</v>
      </c>
      <c r="C6673" s="38" t="n">
        <f aca="false">Sens!$C$6669-Sens!$C$6671+Sens!$C$6672</f>
        <v>1359.0016727644</v>
      </c>
    </row>
    <row r="6674" customFormat="false" ht="17.15" hidden="false" customHeight="false" outlineLevel="0" collapsed="false">
      <c r="A6674" s="5" t="s">
        <v>943</v>
      </c>
      <c r="B6674" s="0" t="s">
        <v>27</v>
      </c>
      <c r="C6674" s="30" t="n">
        <f aca="false">Sens!$C$6673/sh_out</f>
        <v>125.993149537868</v>
      </c>
    </row>
    <row r="6675" customFormat="false" ht="17.15" hidden="false" customHeight="false" outlineLevel="0" collapsed="false">
      <c r="A6675" s="1" t="s">
        <v>944</v>
      </c>
      <c r="B6675" s="8" t="s">
        <v>27</v>
      </c>
      <c r="C6675" s="30" t="n">
        <f aca="false">Sens!$C$6674*(1+ke)^tp_yf-dps*tp_yf</f>
        <v>138.008970873001</v>
      </c>
    </row>
    <row r="6676" customFormat="false" ht="17.15" hidden="false" customHeight="false" outlineLevel="0" collapsed="false">
      <c r="A6676" s="3" t="s">
        <v>945</v>
      </c>
    </row>
    <row r="6677" customFormat="false" ht="17.15" hidden="false" customHeight="false" outlineLevel="0" collapsed="false">
      <c r="A6677" s="5" t="s">
        <v>946</v>
      </c>
      <c r="B6677" s="0" t="s">
        <v>86</v>
      </c>
      <c r="C6677" s="38" t="n">
        <f aca="false">(1-tp_yf)*(Sens!$H$6604+sbc_ab*Sens!$H$6628*Sens!$H$6465/Sens!$H$6545)+tp_yf*(Sens!$I$6604+sbc_ab*Sens!$I$6628*Sens!$I$6465/Sens!$I$6545)</f>
        <v>59.634664536349</v>
      </c>
    </row>
    <row r="6678" customFormat="false" ht="15" hidden="false" customHeight="false" outlineLevel="0" collapsed="false">
      <c r="A6678" s="5" t="s">
        <v>947</v>
      </c>
      <c r="B6678" s="0" t="s">
        <v>57</v>
      </c>
      <c r="C6678" s="30" t="n">
        <f aca="false">m_ads*m_x_lo</f>
        <v>7.288</v>
      </c>
    </row>
    <row r="6679" customFormat="false" ht="17.15" hidden="false" customHeight="false" outlineLevel="0" collapsed="false">
      <c r="A6679" s="5" t="s">
        <v>948</v>
      </c>
      <c r="B6679" s="0" t="s">
        <v>86</v>
      </c>
      <c r="C6679" s="38" t="n">
        <f aca="false">Sens!$C$6677*Sens!$C$6678</f>
        <v>434.617435140911</v>
      </c>
    </row>
    <row r="6680" customFormat="false" ht="17.15" hidden="false" customHeight="false" outlineLevel="0" collapsed="false">
      <c r="A6680" s="5" t="s">
        <v>949</v>
      </c>
      <c r="B6680" s="0" t="s">
        <v>86</v>
      </c>
      <c r="C6680" s="38" t="n">
        <f aca="false">(1-tp_yf)*(Sens!$H$6605+sbc_ab*Sens!$H$6628*(Sens!$H$6472-Sens!$H$6465)/Sens!$H$6545+IF(internal_ai_reading=2,1,0)*(1-ext_sh)*Sens!$H$6502)+tp_yf*(Sens!$I$6605+sbc_ab*Sens!$I$6628*(Sens!$I$6472-Sens!$I$6465)/Sens!$I$6545+IF(internal_ai_reading=2,1,0)*(1-ext_sh)*Sens!$I$6502)</f>
        <v>51.6951811103438</v>
      </c>
    </row>
    <row r="6681" customFormat="false" ht="17.15" hidden="false" customHeight="false" outlineLevel="0" collapsed="false">
      <c r="A6681" s="5" t="s">
        <v>950</v>
      </c>
      <c r="B6681" s="0" t="s">
        <v>57</v>
      </c>
      <c r="C6681" s="30" t="n">
        <f aca="false">m_retail*m_x_lo</f>
        <v>14.176</v>
      </c>
    </row>
    <row r="6682" customFormat="false" ht="17.15" hidden="false" customHeight="false" outlineLevel="0" collapsed="false">
      <c r="A6682" s="5" t="s">
        <v>951</v>
      </c>
      <c r="B6682" s="0" t="s">
        <v>86</v>
      </c>
      <c r="C6682" s="38" t="n">
        <f aca="false">Sens!$C$6680*Sens!$C$6681</f>
        <v>732.830887420234</v>
      </c>
    </row>
    <row r="6683" customFormat="false" ht="17.15" hidden="false" customHeight="false" outlineLevel="0" collapsed="false">
      <c r="A6683" s="0" t="s">
        <v>952</v>
      </c>
      <c r="B6683" s="0" t="s">
        <v>86</v>
      </c>
      <c r="C6683" s="38" t="n">
        <f aca="false">(1-tp_yf)*(Sens!$H$6606+sbc_ab*Sens!$H$6628*Sens!$H$6543/Sens!$H$6545)+tp_yf*(Sens!$I$6606+sbc_ab*Sens!$I$6628*Sens!$I$6543/Sens!$I$6545)</f>
        <v>97.2337130506861</v>
      </c>
    </row>
    <row r="6684" customFormat="false" ht="17.15" hidden="false" customHeight="false" outlineLevel="0" collapsed="false">
      <c r="A6684" s="0" t="s">
        <v>953</v>
      </c>
      <c r="B6684" s="0" t="s">
        <v>57</v>
      </c>
      <c r="C6684" s="30" t="n">
        <f aca="false">m_cloud*m_x_lo</f>
        <v>11.056</v>
      </c>
    </row>
    <row r="6685" customFormat="false" ht="17.15" hidden="false" customHeight="false" outlineLevel="0" collapsed="false">
      <c r="A6685" s="0" t="s">
        <v>954</v>
      </c>
      <c r="B6685" s="0" t="s">
        <v>86</v>
      </c>
      <c r="C6685" s="38" t="n">
        <f aca="false">Sens!$C$6683*Sens!$C$6684</f>
        <v>1075.01593148839</v>
      </c>
    </row>
    <row r="6686" customFormat="false" ht="17.15" hidden="false" customHeight="false" outlineLevel="0" collapsed="false">
      <c r="A6686" s="0" t="s">
        <v>955</v>
      </c>
      <c r="B6686" s="0" t="s">
        <v>86</v>
      </c>
      <c r="H6686" s="38" t="n">
        <f aca="false">Sens!$H$6524-tax*Sens!$H$6525-ext_sh*Sens!$H$6509</f>
        <v>-115.41576008619</v>
      </c>
      <c r="I6686" s="38" t="n">
        <f aca="false">Sens!$I$6524-tax*Sens!$I$6525-ext_sh*Sens!$I$6509</f>
        <v>-88.5401912683161</v>
      </c>
      <c r="J6686" s="38" t="n">
        <f aca="false">Sens!$J$6524-tax*Sens!$J$6525-ext_sh*Sens!$J$6509</f>
        <v>-61.2977422866746</v>
      </c>
      <c r="K6686" s="38" t="n">
        <f aca="false">Sens!$K$6524-tax*Sens!$K$6525-ext_sh*Sens!$K$6509</f>
        <v>9.91264760007891</v>
      </c>
      <c r="L6686" s="38" t="n">
        <f aca="false">Sens!$L$6524-tax*Sens!$L$6525-ext_sh*Sens!$L$6509</f>
        <v>46.750156871371</v>
      </c>
      <c r="M6686" s="38" t="n">
        <f aca="false">Sens!$M$6524-tax*Sens!$M$6525-ext_sh*Sens!$M$6509</f>
        <v>55.5634749071557</v>
      </c>
    </row>
    <row r="6687" customFormat="false" ht="17.15" hidden="false" customHeight="false" outlineLevel="0" collapsed="false">
      <c r="A6687" s="5" t="s">
        <v>956</v>
      </c>
      <c r="B6687" s="0" t="s">
        <v>86</v>
      </c>
      <c r="H6687" s="38" t="n">
        <f aca="false">Sens!$H$6686*Sens!$H$6664</f>
        <v>-109.385439014374</v>
      </c>
      <c r="I6687" s="38" t="n">
        <f aca="false">Sens!$I$6686*Sens!$I$6664</f>
        <v>-75.3743621992344</v>
      </c>
      <c r="J6687" s="38" t="n">
        <f aca="false">Sens!$J$6686*Sens!$J$6664</f>
        <v>-46.8723221240472</v>
      </c>
      <c r="K6687" s="38" t="n">
        <f aca="false">Sens!$K$6686*Sens!$K$6664</f>
        <v>6.80848451526782</v>
      </c>
      <c r="L6687" s="38" t="n">
        <f aca="false">Sens!$L$6686*Sens!$L$6664</f>
        <v>28.8424836961783</v>
      </c>
      <c r="M6687" s="38" t="n">
        <f aca="false">Sens!$M$6686*Sens!$M$6664</f>
        <v>30.7912824848632</v>
      </c>
    </row>
    <row r="6688" customFormat="false" ht="17.15" hidden="false" customHeight="false" outlineLevel="0" collapsed="false">
      <c r="A6688" s="5" t="s">
        <v>957</v>
      </c>
      <c r="B6688" s="0" t="s">
        <v>86</v>
      </c>
      <c r="C6688" s="38" t="n">
        <f aca="false">Sens!$M$6525*(1-tax)*(1+tg)*(1-tg/ronic)/(wacc-tg)</f>
        <v>356.180381489473</v>
      </c>
    </row>
    <row r="6689" customFormat="false" ht="17.15" hidden="false" customHeight="false" outlineLevel="0" collapsed="false">
      <c r="A6689" s="0" t="s">
        <v>958</v>
      </c>
      <c r="B6689" s="0" t="s">
        <v>86</v>
      </c>
      <c r="C6689" s="38" t="n">
        <f aca="false">(SUM(Sens!$I$6687:$M$6687)+Sens!$C$6688/(1+wacc)^6)*(1+wacc)^tp_yf</f>
        <v>143.3703803388</v>
      </c>
    </row>
    <row r="6690" customFormat="false" ht="17.15" hidden="false" customHeight="false" outlineLevel="0" collapsed="false">
      <c r="A6690" s="5" t="s">
        <v>959</v>
      </c>
      <c r="B6690" s="0" t="s">
        <v>86</v>
      </c>
      <c r="C6690" s="38" t="n">
        <f aca="false">(1-tp_yf)*(Sens!$H$6607)+tp_yf*(Sens!$I$6607)</f>
        <v>74.6707041238437</v>
      </c>
    </row>
    <row r="6691" customFormat="false" ht="17.15" hidden="false" customHeight="false" outlineLevel="0" collapsed="false">
      <c r="A6691" s="5" t="s">
        <v>960</v>
      </c>
      <c r="B6691" s="0" t="s">
        <v>86</v>
      </c>
      <c r="C6691" s="38" t="n">
        <f aca="false">Sens!$C$6690*m_ai</f>
        <v>448.024224743062</v>
      </c>
    </row>
    <row r="6692" customFormat="false" ht="17.15" hidden="false" customHeight="false" outlineLevel="0" collapsed="false">
      <c r="A6692" s="0" t="s">
        <v>961</v>
      </c>
      <c r="B6692" s="0" t="s">
        <v>86</v>
      </c>
      <c r="C6692" s="38" t="n">
        <f aca="false">IF(ai_leg=1,Sens!$C$6689,Sens!$C$6691)</f>
        <v>143.3703803388</v>
      </c>
    </row>
    <row r="6693" customFormat="false" ht="17.15" hidden="false" customHeight="false" outlineLevel="0" collapsed="false">
      <c r="A6693" s="5" t="s">
        <v>962</v>
      </c>
      <c r="B6693" s="0" t="s">
        <v>86</v>
      </c>
      <c r="C6693" s="38" t="n">
        <f aca="false">Sens!$C$6679+Sens!$C$6682+Sens!$C$6685+Sens!$C$6692</f>
        <v>2385.83463438833</v>
      </c>
    </row>
    <row r="6694" customFormat="false" ht="17.15" hidden="false" customHeight="false" outlineLevel="0" collapsed="false">
      <c r="A6694" s="5" t="s">
        <v>963</v>
      </c>
      <c r="B6694" s="0" t="s">
        <v>86</v>
      </c>
      <c r="C6694" s="38" t="n">
        <f aca="false">Sens!$H$6647+fin_debt</f>
        <v>143.411303169235</v>
      </c>
    </row>
    <row r="6695" customFormat="false" ht="15" hidden="false" customHeight="false" outlineLevel="0" collapsed="false">
      <c r="A6695" s="5" t="s">
        <v>964</v>
      </c>
      <c r="B6695" s="0" t="s">
        <v>86</v>
      </c>
      <c r="C6695" s="38" t="n">
        <f aca="false">Sens!$C$6693-Sens!$C$6694+Sens!$C$6672</f>
        <v>2421.3673312191</v>
      </c>
    </row>
    <row r="6696" customFormat="false" ht="15" hidden="false" customHeight="false" outlineLevel="0" collapsed="false">
      <c r="A6696" s="3" t="s">
        <v>965</v>
      </c>
      <c r="B6696" s="8" t="s">
        <v>27</v>
      </c>
      <c r="C6696" s="30" t="n">
        <f aca="false">Sens!$C$6695/sh_val</f>
        <v>219.519347429193</v>
      </c>
    </row>
    <row r="6697" customFormat="false" ht="17.15" hidden="false" customHeight="false" outlineLevel="0" collapsed="false">
      <c r="A6697" s="47" t="s">
        <v>966</v>
      </c>
      <c r="B6697" s="14" t="s">
        <v>27</v>
      </c>
      <c r="C6697" s="44" t="n">
        <f aca="false">w_dcf*Sens!$C$6675+(1-w_dcf)*Sens!$C$6696</f>
        <v>178.764159151097</v>
      </c>
      <c r="D6697" s="14"/>
      <c r="E6697" s="14"/>
      <c r="F6697" s="14"/>
      <c r="G6697" s="14"/>
      <c r="H6697" s="14"/>
      <c r="I6697" s="14"/>
      <c r="J6697" s="14"/>
      <c r="K6697" s="14"/>
      <c r="L6697" s="14"/>
      <c r="M6697" s="14"/>
      <c r="N6697" s="14"/>
      <c r="O6697" s="14"/>
    </row>
    <row r="6698" customFormat="false" ht="17.15" hidden="false" customHeight="false" outlineLevel="0" collapsed="false">
      <c r="A6698" s="5" t="s">
        <v>967</v>
      </c>
      <c r="B6698" s="0" t="s">
        <v>27</v>
      </c>
      <c r="C6698" s="30" t="n">
        <f aca="false">v022_wdcf*Sens!$C$6675+(1-v022_wdcf)*Sens!$C$6696</f>
        <v>182.839677978907</v>
      </c>
    </row>
    <row r="6699" customFormat="false" ht="17.15" hidden="false" customHeight="false" outlineLevel="0" collapsed="false">
      <c r="A6699" s="5" t="s">
        <v>968</v>
      </c>
      <c r="B6699" s="0" t="s">
        <v>27</v>
      </c>
      <c r="C6699" s="30" t="n">
        <f aca="false">(Sens!$C$6695-Sens!$C$6692+Sens!$C$6691)/sh_val</f>
        <v>247.139036624284</v>
      </c>
    </row>
    <row r="6702" customFormat="false" ht="19.4" hidden="false" customHeight="false" outlineLevel="0" collapsed="false">
      <c r="A6702" s="31" t="s">
        <v>1287</v>
      </c>
    </row>
    <row r="6703" customFormat="false" ht="17.15" hidden="false" customHeight="false" outlineLevel="0" collapsed="false">
      <c r="A6703" s="6" t="s">
        <v>16</v>
      </c>
      <c r="B6703" s="6" t="s">
        <v>17</v>
      </c>
      <c r="C6703" s="20" t="s">
        <v>504</v>
      </c>
      <c r="D6703" s="20" t="s">
        <v>505</v>
      </c>
      <c r="E6703" s="20" t="s">
        <v>587</v>
      </c>
      <c r="F6703" s="20" t="s">
        <v>588</v>
      </c>
      <c r="G6703" s="20" t="s">
        <v>589</v>
      </c>
      <c r="H6703" s="20" t="s">
        <v>590</v>
      </c>
      <c r="I6703" s="20" t="s">
        <v>591</v>
      </c>
      <c r="J6703" s="20" t="s">
        <v>592</v>
      </c>
      <c r="K6703" s="20" t="s">
        <v>593</v>
      </c>
      <c r="L6703" s="20" t="s">
        <v>594</v>
      </c>
      <c r="M6703" s="20" t="s">
        <v>595</v>
      </c>
      <c r="N6703" s="20" t="s">
        <v>596</v>
      </c>
      <c r="O6703" s="20" t="s">
        <v>597</v>
      </c>
      <c r="P6703" s="6" t="s">
        <v>23</v>
      </c>
      <c r="R6703" s="20" t="n">
        <v>2023</v>
      </c>
      <c r="S6703" s="20" t="n">
        <v>2024</v>
      </c>
      <c r="T6703" s="20" t="n">
        <v>2025</v>
      </c>
      <c r="U6703" s="20" t="n">
        <v>2026</v>
      </c>
      <c r="V6703" s="20" t="n">
        <v>2027</v>
      </c>
      <c r="W6703" s="20" t="n">
        <v>2028</v>
      </c>
      <c r="X6703" s="20" t="n">
        <v>2029</v>
      </c>
      <c r="Y6703" s="20" t="n">
        <v>2030</v>
      </c>
      <c r="Z6703" s="20" t="n">
        <v>2031</v>
      </c>
      <c r="AA6703" s="20" t="n">
        <v>2032</v>
      </c>
    </row>
    <row r="6704" customFormat="false" ht="17.15" hidden="false" customHeight="false" outlineLevel="0" collapsed="false">
      <c r="A6704" s="1" t="s">
        <v>677</v>
      </c>
    </row>
    <row r="6705" customFormat="false" ht="17.15" hidden="false" customHeight="false" outlineLevel="0" collapsed="false">
      <c r="A6705" s="0" t="s">
        <v>526</v>
      </c>
      <c r="B6705" s="0" t="s">
        <v>86</v>
      </c>
      <c r="C6705" s="38" t="n">
        <f aca="false">Q!$D$10</f>
        <v>247.029</v>
      </c>
      <c r="D6705" s="38" t="n">
        <f aca="false">Q!$E$10</f>
        <v>269.287</v>
      </c>
      <c r="E6705" s="38" t="n">
        <f aca="false">Q!$P$10</f>
        <v>134.686</v>
      </c>
      <c r="F6705" s="38" t="n">
        <f aca="false">Sens!$O$6705*(1+Sens!$F$6706)*Sens!$F$6717</f>
        <v>158.293876822267</v>
      </c>
      <c r="G6705" s="38" t="n">
        <f aca="false">Sens!$E$6705+Sens!$F$6705</f>
        <v>292.979876822267</v>
      </c>
      <c r="H6705" s="38" t="n">
        <f aca="false">Sens!$G$6705*(1+Sens!$H$6706)</f>
        <v>318.184543087396</v>
      </c>
      <c r="I6705" s="38" t="n">
        <f aca="false">Sens!$H$6705*(1+Sens!$I$6706)</f>
        <v>341.736278761793</v>
      </c>
      <c r="J6705" s="38" t="n">
        <f aca="false">Sens!$I$6705*(1+Sens!$J$6706)</f>
        <v>362.927192787048</v>
      </c>
      <c r="K6705" s="38" t="n">
        <f aca="false">Sens!$J$6705*(1+Sens!$K$6706)</f>
        <v>381.0735524264</v>
      </c>
      <c r="L6705" s="38" t="n">
        <f aca="false">Sens!$K$6705*(1+Sens!$L$6706)</f>
        <v>400.12723004772</v>
      </c>
      <c r="M6705" s="38" t="n">
        <f aca="false">Sens!$L$6705*(1+Sens!$M$6706)</f>
        <v>420.133591550106</v>
      </c>
      <c r="N6705" s="38" t="n">
        <f aca="false">Q!$N$10</f>
        <v>118.892</v>
      </c>
      <c r="O6705" s="38" t="n">
        <f aca="false">Q!$O$10</f>
        <v>150.395</v>
      </c>
      <c r="P6705" s="8" t="s">
        <v>678</v>
      </c>
    </row>
    <row r="6706" customFormat="false" ht="17.15" hidden="false" customHeight="false" outlineLevel="0" collapsed="false">
      <c r="A6706" s="0" t="s">
        <v>679</v>
      </c>
      <c r="B6706" s="0" t="s">
        <v>52</v>
      </c>
      <c r="E6706" s="13" t="n">
        <f aca="false">Sens!$E$6705/Sens!$N$6705-1</f>
        <v>0.132843252699929</v>
      </c>
      <c r="F6706" s="13" t="n">
        <f aca="false">Sens!$O$6705/(Q!$F$10+Q!$G$10)-1</f>
        <v>0.0980382135842941</v>
      </c>
      <c r="G6706" s="13" t="n">
        <f aca="false">Sens!$G$6705/Sens!$D$6705-1</f>
        <v>0.0879837378791657</v>
      </c>
      <c r="H6706" s="13" t="n">
        <f aca="false">Sens!$F$6706+(g_os-Sens!$F$6706)*1/4</f>
        <v>0.0860286601882206</v>
      </c>
      <c r="I6706" s="13" t="n">
        <f aca="false">Sens!$F$6706+(g_os-Sens!$F$6706)*2/4</f>
        <v>0.074019106792147</v>
      </c>
      <c r="J6706" s="13" t="n">
        <f aca="false">Sens!$F$6706+(g_os-Sens!$F$6706)*3/4</f>
        <v>0.0620095533960735</v>
      </c>
      <c r="K6706" s="13" t="n">
        <f aca="false">Sens!$F$6706+(g_os-Sens!$F$6706)*4/4</f>
        <v>0.05</v>
      </c>
      <c r="L6706" s="13" t="n">
        <f aca="false">g_os</f>
        <v>0.05</v>
      </c>
      <c r="M6706" s="13" t="n">
        <f aca="false">g_os</f>
        <v>0.05</v>
      </c>
      <c r="P6706" s="8" t="s">
        <v>680</v>
      </c>
    </row>
    <row r="6707" customFormat="false" ht="17.15" hidden="false" customHeight="false" outlineLevel="0" collapsed="false">
      <c r="A6707" s="0" t="s">
        <v>527</v>
      </c>
      <c r="B6707" s="0" t="s">
        <v>86</v>
      </c>
      <c r="C6707" s="38" t="n">
        <f aca="false">Q!$D$11</f>
        <v>21.215</v>
      </c>
      <c r="D6707" s="38" t="n">
        <f aca="false">Q!$E$11</f>
        <v>22.561</v>
      </c>
      <c r="E6707" s="38" t="n">
        <f aca="false">Q!$P$11</f>
        <v>11.579</v>
      </c>
      <c r="F6707" s="38" t="n">
        <f aca="false">Sens!$O$6707*(1+Sens!$F$6708)*Sens!$F$6717</f>
        <v>11.5938724610325</v>
      </c>
      <c r="G6707" s="38" t="n">
        <f aca="false">Sens!$E$6707+Sens!$F$6707</f>
        <v>23.1728724610325</v>
      </c>
      <c r="H6707" s="38" t="n">
        <f aca="false">Sens!$G$6707*(1+Sens!$H$6708)</f>
        <v>24.353392759506</v>
      </c>
      <c r="I6707" s="38" t="n">
        <f aca="false">Sens!$H$6707*(1+Sens!$I$6708)</f>
        <v>25.4240338872015</v>
      </c>
      <c r="J6707" s="38" t="n">
        <f aca="false">Sens!$I$6707*(1+Sens!$J$6708)</f>
        <v>26.3642491017174</v>
      </c>
      <c r="K6707" s="38" t="n">
        <f aca="false">Sens!$J$6707*(1+Sens!$K$6708)</f>
        <v>27.155176574769</v>
      </c>
      <c r="L6707" s="38" t="n">
        <f aca="false">Sens!$K$6707*(1+Sens!$L$6708)</f>
        <v>27.969831872012</v>
      </c>
      <c r="M6707" s="38" t="n">
        <f aca="false">Sens!$L$6707*(1+Sens!$M$6708)</f>
        <v>28.8089268281724</v>
      </c>
      <c r="N6707" s="38" t="n">
        <f aca="false">Q!$N$11</f>
        <v>11.128</v>
      </c>
      <c r="O6707" s="38" t="n">
        <f aca="false">Q!$O$11</f>
        <v>11.433</v>
      </c>
      <c r="P6707" s="8" t="s">
        <v>678</v>
      </c>
    </row>
    <row r="6708" customFormat="false" ht="17.15" hidden="false" customHeight="false" outlineLevel="0" collapsed="false">
      <c r="A6708" s="0" t="s">
        <v>681</v>
      </c>
      <c r="B6708" s="0" t="s">
        <v>52</v>
      </c>
      <c r="E6708" s="13" t="n">
        <f aca="false">Sens!$E$6707/Sens!$N$6707-1</f>
        <v>0.0405283968368082</v>
      </c>
      <c r="F6708" s="13" t="n">
        <f aca="false">Sens!$O$6707/(Q!$F$11+Q!$G$11)-1</f>
        <v>0.0579254187100955</v>
      </c>
      <c r="G6708" s="13" t="n">
        <f aca="false">Sens!$G$6707/Sens!$D$6707-1</f>
        <v>0.0271208040881397</v>
      </c>
      <c r="H6708" s="13" t="n">
        <f aca="false">Sens!$F$6708+(g_ps-Sens!$F$6708)*1/4</f>
        <v>0.0509440640325716</v>
      </c>
      <c r="I6708" s="13" t="n">
        <f aca="false">Sens!$F$6708+(g_ps-Sens!$F$6708)*2/4</f>
        <v>0.0439627093550477</v>
      </c>
      <c r="J6708" s="13" t="n">
        <f aca="false">Sens!$F$6708+(g_ps-Sens!$F$6708)*3/4</f>
        <v>0.0369813546775239</v>
      </c>
      <c r="K6708" s="13" t="n">
        <f aca="false">Sens!$F$6708+(g_ps-Sens!$F$6708)*4/4</f>
        <v>0.03</v>
      </c>
      <c r="L6708" s="13" t="n">
        <f aca="false">g_ps</f>
        <v>0.03</v>
      </c>
      <c r="M6708" s="13" t="n">
        <f aca="false">g_ps</f>
        <v>0.03</v>
      </c>
      <c r="P6708" s="8" t="s">
        <v>682</v>
      </c>
    </row>
    <row r="6709" customFormat="false" ht="17.15" hidden="false" customHeight="false" outlineLevel="0" collapsed="false">
      <c r="A6709" s="0" t="s">
        <v>528</v>
      </c>
      <c r="B6709" s="0" t="s">
        <v>86</v>
      </c>
      <c r="C6709" s="38" t="n">
        <f aca="false">Q!$D$12</f>
        <v>156.146</v>
      </c>
      <c r="D6709" s="38" t="n">
        <f aca="false">Q!$E$12</f>
        <v>172.162</v>
      </c>
      <c r="E6709" s="38" t="n">
        <f aca="false">Q!$P$12</f>
        <v>88.358</v>
      </c>
      <c r="F6709" s="38" t="n">
        <f aca="false">Sens!$O$6709*(1+Sens!$F$6710)*Sens!$F$6717</f>
        <v>102.004388260171</v>
      </c>
      <c r="G6709" s="38" t="n">
        <f aca="false">Sens!$E$6709+Sens!$F$6709</f>
        <v>190.362388260171</v>
      </c>
      <c r="H6709" s="38" t="n">
        <f aca="false">Sens!$G$6709*(1+Sens!$H$6710)</f>
        <v>210.343106588311</v>
      </c>
      <c r="I6709" s="38" t="n">
        <f aca="false">Sens!$H$6709*(1+Sens!$I$6710)</f>
        <v>229.969728494648</v>
      </c>
      <c r="J6709" s="38" t="n">
        <f aca="false">Sens!$I$6709*(1+Sens!$J$6710)</f>
        <v>248.747636972598</v>
      </c>
      <c r="K6709" s="38" t="n">
        <f aca="false">Sens!$J$6709*(1+Sens!$K$6710)</f>
        <v>266.15997156068</v>
      </c>
      <c r="L6709" s="38" t="n">
        <f aca="false">Sens!$K$6709*(1+Sens!$L$6710)</f>
        <v>284.791169569927</v>
      </c>
      <c r="M6709" s="38" t="n">
        <f aca="false">Sens!$L$6709*(1+Sens!$M$6710)</f>
        <v>304.726551439822</v>
      </c>
      <c r="N6709" s="38" t="n">
        <f aca="false">Q!$N$12</f>
        <v>76.86</v>
      </c>
      <c r="O6709" s="38" t="n">
        <f aca="false">Q!$O$12</f>
        <v>95.302</v>
      </c>
      <c r="P6709" s="8" t="s">
        <v>678</v>
      </c>
    </row>
    <row r="6710" customFormat="false" ht="17.15" hidden="false" customHeight="false" outlineLevel="0" collapsed="false">
      <c r="A6710" s="0" t="s">
        <v>683</v>
      </c>
      <c r="B6710" s="0" t="s">
        <v>52</v>
      </c>
      <c r="E6710" s="13" t="n">
        <f aca="false">Sens!$E$6709/Sens!$N$6709-1</f>
        <v>0.1495966692688</v>
      </c>
      <c r="F6710" s="13" t="n">
        <f aca="false">Sens!$O$6709/(Q!$F$12+Q!$G$12)-1</f>
        <v>0.11661530890813</v>
      </c>
      <c r="G6710" s="13" t="n">
        <f aca="false">Sens!$G$6709/Sens!$D$6709-1</f>
        <v>0.105716640490767</v>
      </c>
      <c r="H6710" s="13" t="n">
        <f aca="false">Sens!$F$6710+(g_sp-Sens!$F$6710)*1/4</f>
        <v>0.104961481681098</v>
      </c>
      <c r="I6710" s="13" t="n">
        <f aca="false">Sens!$F$6710+(g_sp-Sens!$F$6710)*2/4</f>
        <v>0.0933076544540651</v>
      </c>
      <c r="J6710" s="13" t="n">
        <f aca="false">Sens!$F$6710+(g_sp-Sens!$F$6710)*3/4</f>
        <v>0.0816538272270325</v>
      </c>
      <c r="K6710" s="13" t="n">
        <f aca="false">Sens!$F$6710+(g_sp-Sens!$F$6710)*4/4</f>
        <v>0.07</v>
      </c>
      <c r="L6710" s="13" t="n">
        <f aca="false">g_sp</f>
        <v>0.07</v>
      </c>
      <c r="M6710" s="13" t="n">
        <f aca="false">g_sp</f>
        <v>0.07</v>
      </c>
      <c r="P6710" s="8" t="s">
        <v>684</v>
      </c>
    </row>
    <row r="6711" customFormat="false" ht="17.15" hidden="false" customHeight="false" outlineLevel="0" collapsed="false">
      <c r="A6711" s="0" t="s">
        <v>529</v>
      </c>
      <c r="B6711" s="0" t="s">
        <v>86</v>
      </c>
      <c r="C6711" s="38" t="n">
        <f aca="false">Q!$D$13</f>
        <v>56.214</v>
      </c>
      <c r="D6711" s="38" t="n">
        <f aca="false">Q!$E$13</f>
        <v>68.635</v>
      </c>
      <c r="E6711" s="38" t="n">
        <f aca="false">Q!$P$13</f>
        <v>37.052</v>
      </c>
      <c r="F6711" s="38" t="n">
        <f aca="false">Sens!$O$6711*(1+Sens!$F$6712)*Sens!$F$6717</f>
        <v>46.1572219944148</v>
      </c>
      <c r="G6711" s="38" t="n">
        <f aca="false">Sens!$E$6711+Sens!$F$6711</f>
        <v>83.2092219944148</v>
      </c>
      <c r="H6711" s="38" t="n">
        <f aca="false">Sens!$G$6711*(1+Sens!$H$6712)</f>
        <v>99.8969223878976</v>
      </c>
      <c r="I6711" s="38" t="n">
        <f aca="false">Sens!$H$6711*(1+Sens!$I$6712)</f>
        <v>116.583111095496</v>
      </c>
      <c r="J6711" s="38" t="n">
        <f aca="false">Sens!$I$6711*(1+Sens!$J$6712)</f>
        <v>132.148941941952</v>
      </c>
      <c r="K6711" s="38" t="n">
        <f aca="false">Sens!$J$6711*(1+Sens!$K$6712)</f>
        <v>145.363836136147</v>
      </c>
      <c r="L6711" s="38" t="n">
        <f aca="false">Sens!$K$6711*(1+Sens!$L$6712)</f>
        <v>159.900219749762</v>
      </c>
      <c r="M6711" s="38" t="n">
        <f aca="false">Sens!$L$6711*(1+Sens!$M$6712)</f>
        <v>175.890241724738</v>
      </c>
      <c r="N6711" s="38" t="n">
        <f aca="false">Q!$N$13</f>
        <v>29.615</v>
      </c>
      <c r="O6711" s="38" t="n">
        <f aca="false">Q!$O$13</f>
        <v>39.02</v>
      </c>
      <c r="P6711" s="8" t="s">
        <v>678</v>
      </c>
    </row>
    <row r="6712" customFormat="false" ht="17.15" hidden="false" customHeight="false" outlineLevel="0" collapsed="false">
      <c r="A6712" s="0" t="s">
        <v>685</v>
      </c>
      <c r="B6712" s="0" t="s">
        <v>52</v>
      </c>
      <c r="E6712" s="13" t="n">
        <f aca="false">Sens!$E$6711/Sens!$N$6711-1</f>
        <v>0.25112274185379</v>
      </c>
      <c r="F6712" s="13" t="n">
        <f aca="false">Sens!$O$6711/(Q!$F$13+Q!$G$13)-1</f>
        <v>0.234068123596572</v>
      </c>
      <c r="G6712" s="13" t="n">
        <f aca="false">Sens!$G$6711/Sens!$D$6711-1</f>
        <v>0.212343876949294</v>
      </c>
      <c r="H6712" s="13" t="n">
        <f aca="false">Sens!$F$6712+(g_ad-Sens!$F$6712)*1/4</f>
        <v>0.200551092697429</v>
      </c>
      <c r="I6712" s="13" t="n">
        <f aca="false">Sens!$F$6712+(g_ad-Sens!$F$6712)*2/4</f>
        <v>0.167034061798286</v>
      </c>
      <c r="J6712" s="13" t="n">
        <f aca="false">Sens!$F$6712+(g_ad-Sens!$F$6712)*3/4</f>
        <v>0.133517030899143</v>
      </c>
      <c r="K6712" s="13" t="n">
        <f aca="false">Sens!$F$6712+(g_ad-Sens!$F$6712)*4/4</f>
        <v>0.1</v>
      </c>
      <c r="L6712" s="13" t="n">
        <f aca="false">g_ad</f>
        <v>0.1</v>
      </c>
      <c r="M6712" s="13" t="n">
        <f aca="false">g_ad</f>
        <v>0.1</v>
      </c>
      <c r="P6712" s="8" t="s">
        <v>686</v>
      </c>
    </row>
    <row r="6713" customFormat="false" ht="17.15" hidden="false" customHeight="false" outlineLevel="0" collapsed="false">
      <c r="A6713" s="0" t="s">
        <v>530</v>
      </c>
      <c r="B6713" s="0" t="s">
        <v>86</v>
      </c>
      <c r="C6713" s="38" t="n">
        <f aca="false">Q!$D$14</f>
        <v>44.374</v>
      </c>
      <c r="D6713" s="38" t="n">
        <f aca="false">Q!$E$14</f>
        <v>49.619</v>
      </c>
      <c r="E6713" s="38" t="n">
        <f aca="false">Q!$P$14</f>
        <v>27.157</v>
      </c>
      <c r="F6713" s="38" t="n">
        <f aca="false">Sens!$O$6713*(1+Sens!$F$6714)*Sens!$F$6717</f>
        <v>27.7764165988154</v>
      </c>
      <c r="G6713" s="38" t="n">
        <f aca="false">Sens!$E$6713+Sens!$F$6713</f>
        <v>54.9334165988154</v>
      </c>
      <c r="H6713" s="38" t="n">
        <f aca="false">Sens!$G$6713*(1+Sens!$H$6714)</f>
        <v>61.1564112561829</v>
      </c>
      <c r="I6713" s="38" t="n">
        <f aca="false">Sens!$H$6713*(1+Sens!$I$6714)</f>
        <v>67.2020282103945</v>
      </c>
      <c r="J6713" s="38" t="n">
        <f aca="false">Sens!$I$6713*(1+Sens!$J$6714)</f>
        <v>72.8757274028885</v>
      </c>
      <c r="K6713" s="38" t="n">
        <f aca="false">Sens!$J$6713*(1+Sens!$K$6714)</f>
        <v>77.9770283210907</v>
      </c>
      <c r="L6713" s="38" t="n">
        <f aca="false">Sens!$K$6713*(1+Sens!$L$6714)</f>
        <v>83.4354203035671</v>
      </c>
      <c r="M6713" s="38" t="n">
        <f aca="false">Sens!$L$6713*(1+Sens!$M$6714)</f>
        <v>89.2758997248168</v>
      </c>
      <c r="N6713" s="38" t="n">
        <f aca="false">Q!$N$14</f>
        <v>23.923</v>
      </c>
      <c r="O6713" s="38" t="n">
        <f aca="false">Q!$O$14</f>
        <v>25.696</v>
      </c>
      <c r="P6713" s="8" t="s">
        <v>678</v>
      </c>
    </row>
    <row r="6714" customFormat="false" ht="17.15" hidden="false" customHeight="false" outlineLevel="0" collapsed="false">
      <c r="A6714" s="0" t="s">
        <v>687</v>
      </c>
      <c r="B6714" s="0" t="s">
        <v>52</v>
      </c>
      <c r="E6714" s="13" t="n">
        <f aca="false">Sens!$E$6713/Sens!$N$6713-1</f>
        <v>0.135183714417088</v>
      </c>
      <c r="F6714" s="13" t="n">
        <f aca="false">Sens!$O$6713/(Q!$F$14+Q!$G$14)-1</f>
        <v>0.127709997366804</v>
      </c>
      <c r="G6714" s="13" t="n">
        <f aca="false">Sens!$G$6713/Sens!$D$6713-1</f>
        <v>0.107104468022641</v>
      </c>
      <c r="H6714" s="13" t="n">
        <f aca="false">Sens!$F$6714+(g_sub-Sens!$F$6714)*1/4</f>
        <v>0.113282498025103</v>
      </c>
      <c r="I6714" s="13" t="n">
        <f aca="false">Sens!$F$6714+(g_sub-Sens!$F$6714)*2/4</f>
        <v>0.0988549986834021</v>
      </c>
      <c r="J6714" s="13" t="n">
        <f aca="false">Sens!$F$6714+(g_sub-Sens!$F$6714)*3/4</f>
        <v>0.084427499341701</v>
      </c>
      <c r="K6714" s="13" t="n">
        <f aca="false">Sens!$F$6714+(g_sub-Sens!$F$6714)*4/4</f>
        <v>0.07</v>
      </c>
      <c r="L6714" s="13" t="n">
        <f aca="false">g_sub</f>
        <v>0.07</v>
      </c>
      <c r="M6714" s="13" t="n">
        <f aca="false">g_sub</f>
        <v>0.07</v>
      </c>
      <c r="P6714" s="8" t="s">
        <v>688</v>
      </c>
    </row>
    <row r="6715" customFormat="false" ht="17.15" hidden="false" customHeight="false" outlineLevel="0" collapsed="false">
      <c r="A6715" s="0" t="s">
        <v>531</v>
      </c>
      <c r="B6715" s="0" t="s">
        <v>86</v>
      </c>
      <c r="C6715" s="38" t="n">
        <f aca="false">Q!$D$15</f>
        <v>5.425</v>
      </c>
      <c r="D6715" s="38" t="n">
        <f aca="false">Q!$E$15</f>
        <v>5.935</v>
      </c>
      <c r="E6715" s="38" t="n">
        <f aca="false">Q!$P$15</f>
        <v>3.474</v>
      </c>
      <c r="F6715" s="38" t="n">
        <f aca="false">Sens!$O$6715*(1+Sens!$F$6716)*Sens!$F$6717</f>
        <v>3.22246550883619</v>
      </c>
      <c r="G6715" s="38" t="n">
        <f aca="false">Sens!$E$6715+Sens!$F$6715</f>
        <v>6.69646550883619</v>
      </c>
      <c r="H6715" s="38" t="n">
        <f aca="false">Sens!$G$6715*(1+Sens!$H$6716)</f>
        <v>7.16251344209196</v>
      </c>
      <c r="I6715" s="38" t="n">
        <f aca="false">Sens!$H$6715*(1+Sens!$I$6716)</f>
        <v>7.61421070299826</v>
      </c>
      <c r="J6715" s="38" t="n">
        <f aca="false">Sens!$I$6715*(1+Sens!$J$6716)</f>
        <v>8.04465753523932</v>
      </c>
      <c r="K6715" s="38" t="n">
        <f aca="false">Sens!$J$6715*(1+Sens!$K$6716)</f>
        <v>8.44689041200128</v>
      </c>
      <c r="L6715" s="38" t="n">
        <f aca="false">Sens!$K$6715*(1+Sens!$L$6716)</f>
        <v>8.86923493260135</v>
      </c>
      <c r="M6715" s="38" t="n">
        <f aca="false">Sens!$L$6715*(1+Sens!$M$6716)</f>
        <v>9.31269667923142</v>
      </c>
      <c r="N6715" s="38" t="n">
        <f aca="false">Q!$N$15</f>
        <v>2.811</v>
      </c>
      <c r="O6715" s="38" t="n">
        <f aca="false">Q!$O$15</f>
        <v>3.124</v>
      </c>
      <c r="P6715" s="8" t="s">
        <v>678</v>
      </c>
    </row>
    <row r="6716" customFormat="false" ht="17.15" hidden="false" customHeight="false" outlineLevel="0" collapsed="false">
      <c r="A6716" s="0" t="s">
        <v>689</v>
      </c>
      <c r="B6716" s="0" t="s">
        <v>52</v>
      </c>
      <c r="E6716" s="13" t="n">
        <f aca="false">Sens!$E$6715/Sens!$N$6715-1</f>
        <v>0.235859124866596</v>
      </c>
      <c r="F6716" s="13" t="n">
        <f aca="false">Sens!$O$6715/(Q!$F$15+Q!$G$15)-1</f>
        <v>0.0761281433000345</v>
      </c>
      <c r="G6716" s="13" t="n">
        <f aca="false">Sens!$G$6715/Sens!$D$6715-1</f>
        <v>0.128300843948811</v>
      </c>
      <c r="H6716" s="13" t="n">
        <f aca="false">Sens!$F$6716+(g_ot-Sens!$F$6716)*1/4</f>
        <v>0.0695961074750259</v>
      </c>
      <c r="I6716" s="13" t="n">
        <f aca="false">Sens!$F$6716+(g_ot-Sens!$F$6716)*2/4</f>
        <v>0.0630640716500172</v>
      </c>
      <c r="J6716" s="13" t="n">
        <f aca="false">Sens!$F$6716+(g_ot-Sens!$F$6716)*3/4</f>
        <v>0.0565320358250086</v>
      </c>
      <c r="K6716" s="13" t="n">
        <f aca="false">Sens!$F$6716+(g_ot-Sens!$F$6716)*4/4</f>
        <v>0.05</v>
      </c>
      <c r="L6716" s="13" t="n">
        <f aca="false">g_ot</f>
        <v>0.05</v>
      </c>
      <c r="M6716" s="13" t="n">
        <f aca="false">g_ot</f>
        <v>0.05</v>
      </c>
      <c r="P6716" s="8" t="s">
        <v>690</v>
      </c>
    </row>
    <row r="6717" customFormat="false" ht="17.15" hidden="false" customHeight="false" outlineLevel="0" collapsed="false">
      <c r="A6717" s="0" t="s">
        <v>691</v>
      </c>
      <c r="B6717" s="0" t="s">
        <v>57</v>
      </c>
      <c r="F6717" s="40" t="n">
        <f aca="false">(g26q3_mid*Q!$O$8/Q!$J$8-Thesis!$F$89-Thesis!$F$93)/(Sens!$O$6705*(1+Sens!$F$6706)+Sens!$O$6707*(1+Sens!$F$6708)+Sens!$O$6709*(1+Sens!$F$6710)+Sens!$O$6711*(1+Sens!$F$6712)+Sens!$O$6713*(1+Sens!$F$6714)+Sens!$O$6715*(1+Sens!$F$6716))</f>
        <v>0.958546670622329</v>
      </c>
      <c r="P6717" s="8" t="s">
        <v>692</v>
      </c>
    </row>
    <row r="6718" customFormat="false" ht="17.15" hidden="false" customHeight="false" outlineLevel="0" collapsed="false">
      <c r="A6718" s="3" t="s">
        <v>693</v>
      </c>
      <c r="B6718" s="8" t="s">
        <v>86</v>
      </c>
      <c r="C6718" s="38" t="n">
        <f aca="false">Sens!$C$6705+Sens!$C$6707+Sens!$C$6709+Sens!$C$6711+Sens!$C$6713+Sens!$C$6715</f>
        <v>530.403</v>
      </c>
      <c r="D6718" s="38" t="n">
        <f aca="false">Sens!$D$6705+Sens!$D$6707+Sens!$D$6709+Sens!$D$6711+Sens!$D$6713+Sens!$D$6715</f>
        <v>588.199</v>
      </c>
      <c r="E6718" s="38" t="n">
        <f aca="false">Sens!$E$6705+Sens!$E$6707+Sens!$E$6709+Sens!$E$6711+Sens!$E$6713+Sens!$E$6715</f>
        <v>302.306</v>
      </c>
      <c r="F6718" s="38" t="n">
        <f aca="false">Sens!$F$6705+Sens!$F$6707+Sens!$F$6709+Sens!$F$6711+Sens!$F$6713+Sens!$F$6715</f>
        <v>349.048241645537</v>
      </c>
      <c r="G6718" s="38" t="n">
        <f aca="false">Sens!$G$6705+Sens!$G$6707+Sens!$G$6709+Sens!$G$6711+Sens!$G$6713+Sens!$G$6715</f>
        <v>651.354241645537</v>
      </c>
      <c r="H6718" s="38" t="n">
        <f aca="false">Sens!$H$6705+Sens!$H$6707+Sens!$H$6709+Sens!$H$6711+Sens!$H$6713+Sens!$H$6715</f>
        <v>721.096889521386</v>
      </c>
      <c r="I6718" s="38" t="n">
        <f aca="false">Sens!$I$6705+Sens!$I$6707+Sens!$I$6709+Sens!$I$6711+Sens!$I$6713+Sens!$I$6715</f>
        <v>788.529391152531</v>
      </c>
      <c r="J6718" s="38" t="n">
        <f aca="false">Sens!$J$6705+Sens!$J$6707+Sens!$J$6709+Sens!$J$6711+Sens!$J$6713+Sens!$J$6715</f>
        <v>851.108405741443</v>
      </c>
      <c r="K6718" s="38" t="n">
        <f aca="false">Sens!$K$6705+Sens!$K$6707+Sens!$K$6709+Sens!$K$6711+Sens!$K$6713+Sens!$K$6715</f>
        <v>906.176455431088</v>
      </c>
      <c r="L6718" s="38" t="n">
        <f aca="false">Sens!$L$6705+Sens!$L$6707+Sens!$L$6709+Sens!$L$6711+Sens!$L$6713+Sens!$L$6715</f>
        <v>965.093106475589</v>
      </c>
      <c r="M6718" s="38" t="n">
        <f aca="false">Sens!$M$6705+Sens!$M$6707+Sens!$M$6709+Sens!$M$6711+Sens!$M$6713+Sens!$M$6715</f>
        <v>1028.14790794689</v>
      </c>
      <c r="N6718" s="38" t="n">
        <f aca="false">Sens!$N$6705+Sens!$N$6707+Sens!$N$6709+Sens!$N$6711+Sens!$N$6713+Sens!$N$6715</f>
        <v>263.229</v>
      </c>
      <c r="O6718" s="38" t="n">
        <f aca="false">Sens!$O$6705+Sens!$O$6707+Sens!$O$6709+Sens!$O$6711+Sens!$O$6713+Sens!$O$6715</f>
        <v>324.97</v>
      </c>
    </row>
    <row r="6719" customFormat="false" ht="17.15" hidden="false" customHeight="false" outlineLevel="0" collapsed="false">
      <c r="A6719" s="5" t="s">
        <v>694</v>
      </c>
      <c r="B6719" s="0" t="s">
        <v>52</v>
      </c>
      <c r="C6719" s="13" t="n">
        <f aca="false">Q!$D$5/(Q!$D$5+Q!$D$6)</f>
        <v>0.730570905519011</v>
      </c>
      <c r="D6719" s="13" t="n">
        <f aca="false">Q!$E$5/(Q!$E$5+Q!$E$6)</f>
        <v>0.724763217890544</v>
      </c>
      <c r="E6719" s="13" t="n">
        <f aca="false">Q!$P$5/(Q!$P$5+Q!$P$6)</f>
        <v>0.728797972914861</v>
      </c>
      <c r="F6719" s="13" t="n">
        <f aca="false">Sens!$O$6719</f>
        <v>0.718066283041511</v>
      </c>
      <c r="G6719" s="13" t="n">
        <f aca="false">Sens!$G$6720/Sens!$G$6718</f>
        <v>0.723047066202847</v>
      </c>
      <c r="H6719" s="13" t="n">
        <f aca="false">Sens!$G$6719</f>
        <v>0.723047066202847</v>
      </c>
      <c r="I6719" s="13" t="n">
        <f aca="false">Sens!$G$6719</f>
        <v>0.723047066202847</v>
      </c>
      <c r="J6719" s="13" t="n">
        <f aca="false">Sens!$G$6719</f>
        <v>0.723047066202847</v>
      </c>
      <c r="K6719" s="13" t="n">
        <f aca="false">Sens!$G$6719</f>
        <v>0.723047066202847</v>
      </c>
      <c r="L6719" s="13" t="n">
        <f aca="false">Sens!$G$6719</f>
        <v>0.723047066202847</v>
      </c>
      <c r="M6719" s="13" t="n">
        <f aca="false">Sens!$G$6719</f>
        <v>0.723047066202847</v>
      </c>
      <c r="N6719" s="13" t="n">
        <f aca="false">Q!$N$5/(Q!$N$5+Q!$N$6)</f>
        <v>0.733030935041352</v>
      </c>
      <c r="O6719" s="13" t="n">
        <f aca="false">Q!$O$5/(Q!$O$5+Q!$O$6)</f>
        <v>0.718066283041511</v>
      </c>
      <c r="P6719" s="8" t="s">
        <v>695</v>
      </c>
    </row>
    <row r="6720" customFormat="false" ht="17.15" hidden="false" customHeight="false" outlineLevel="0" collapsed="false">
      <c r="A6720" s="1" t="s">
        <v>519</v>
      </c>
      <c r="B6720" s="8" t="s">
        <v>86</v>
      </c>
      <c r="C6720" s="38" t="n">
        <f aca="false">Q!$D$5</f>
        <v>387.497</v>
      </c>
      <c r="D6720" s="38" t="n">
        <f aca="false">Q!$E$5</f>
        <v>426.305</v>
      </c>
      <c r="E6720" s="38" t="n">
        <f aca="false">Q!$P$5</f>
        <v>220.32</v>
      </c>
      <c r="F6720" s="38" t="n">
        <f aca="false">Sens!$F$6718*Sens!$F$6719</f>
        <v>250.639773480586</v>
      </c>
      <c r="G6720" s="38" t="n">
        <f aca="false">Sens!$E$6720+Sens!$F$6720</f>
        <v>470.959773480586</v>
      </c>
      <c r="H6720" s="38" t="n">
        <f aca="false">Sens!$H$6718*Sens!$H$6719</f>
        <v>521.386990416437</v>
      </c>
      <c r="I6720" s="38" t="n">
        <f aca="false">Sens!$I$6718*Sens!$I$6719</f>
        <v>570.143862887555</v>
      </c>
      <c r="J6720" s="38" t="n">
        <f aca="false">Sens!$J$6718*Sens!$J$6719</f>
        <v>615.391435791933</v>
      </c>
      <c r="K6720" s="38" t="n">
        <f aca="false">Sens!$K$6718*Sens!$K$6719</f>
        <v>655.208227561543</v>
      </c>
      <c r="L6720" s="38" t="n">
        <f aca="false">Sens!$L$6718*Sens!$L$6719</f>
        <v>697.807739249767</v>
      </c>
      <c r="M6720" s="38" t="n">
        <f aca="false">Sens!$M$6718*Sens!$M$6719</f>
        <v>743.399328463592</v>
      </c>
      <c r="N6720" s="38" t="n">
        <f aca="false">Q!$N$5</f>
        <v>192.955</v>
      </c>
      <c r="O6720" s="38" t="n">
        <f aca="false">Q!$O$5</f>
        <v>233.35</v>
      </c>
      <c r="P6720" s="5" t="s">
        <v>696</v>
      </c>
    </row>
    <row r="6721" customFormat="false" ht="17.15" hidden="false" customHeight="false" outlineLevel="0" collapsed="false">
      <c r="A6721" s="1" t="s">
        <v>522</v>
      </c>
      <c r="B6721" s="8" t="s">
        <v>86</v>
      </c>
      <c r="C6721" s="38" t="n">
        <f aca="false">Q!$D$6</f>
        <v>142.906</v>
      </c>
      <c r="D6721" s="38" t="n">
        <f aca="false">Q!$E$6</f>
        <v>161.894</v>
      </c>
      <c r="E6721" s="38" t="n">
        <f aca="false">Q!$P$6</f>
        <v>81.986</v>
      </c>
      <c r="F6721" s="38" t="n">
        <f aca="false">Sens!$F$6718*(1-Sens!$F$6719)</f>
        <v>98.408468164951</v>
      </c>
      <c r="G6721" s="38" t="n">
        <f aca="false">Sens!$E$6721+Sens!$F$6721</f>
        <v>180.394468164951</v>
      </c>
      <c r="H6721" s="38" t="n">
        <f aca="false">Sens!$H$6718*(1-Sens!$H$6719)</f>
        <v>199.709899104949</v>
      </c>
      <c r="I6721" s="38" t="n">
        <f aca="false">Sens!$I$6718*(1-Sens!$I$6719)</f>
        <v>218.385528264976</v>
      </c>
      <c r="J6721" s="38" t="n">
        <f aca="false">Sens!$J$6718*(1-Sens!$J$6719)</f>
        <v>235.71696994951</v>
      </c>
      <c r="K6721" s="38" t="n">
        <f aca="false">Sens!$K$6718*(1-Sens!$K$6719)</f>
        <v>250.968227869545</v>
      </c>
      <c r="L6721" s="38" t="n">
        <f aca="false">Sens!$L$6718*(1-Sens!$L$6719)</f>
        <v>267.285367225822</v>
      </c>
      <c r="M6721" s="38" t="n">
        <f aca="false">Sens!$M$6718*(1-Sens!$M$6719)</f>
        <v>284.748579483295</v>
      </c>
      <c r="N6721" s="38" t="n">
        <f aca="false">Q!$N$6</f>
        <v>70.274</v>
      </c>
      <c r="O6721" s="38" t="n">
        <f aca="false">Q!$O$6</f>
        <v>91.62</v>
      </c>
      <c r="P6721" s="5" t="s">
        <v>697</v>
      </c>
    </row>
    <row r="6722" customFormat="false" ht="17.15" hidden="false" customHeight="false" outlineLevel="0" collapsed="false">
      <c r="A6722" s="5" t="s">
        <v>698</v>
      </c>
      <c r="B6722" s="0" t="s">
        <v>86</v>
      </c>
      <c r="C6722" s="38" t="n">
        <f aca="false">Sens!$C$6711*Sens!$C$6719</f>
        <v>41.0683128828457</v>
      </c>
      <c r="D6722" s="38" t="n">
        <f aca="false">Sens!$D$6711*Sens!$D$6719</f>
        <v>49.7441234599175</v>
      </c>
      <c r="E6722" s="38" t="n">
        <f aca="false">Sens!$E$6711*Sens!$E$6719</f>
        <v>27.0034224924414</v>
      </c>
      <c r="F6722" s="38" t="n">
        <f aca="false">Sens!$F$6711*Sens!$F$6719</f>
        <v>33.1439448330513</v>
      </c>
      <c r="G6722" s="38" t="n">
        <f aca="false">Sens!$G$6711*Sens!$G$6719</f>
        <v>60.164183844083</v>
      </c>
      <c r="H6722" s="38" t="n">
        <f aca="false">Sens!$H$6711*Sens!$H$6719</f>
        <v>72.2301766552629</v>
      </c>
      <c r="I6722" s="38" t="n">
        <f aca="false">Sens!$I$6711*Sens!$I$6719</f>
        <v>84.2950764463991</v>
      </c>
      <c r="J6722" s="38" t="n">
        <f aca="false">Sens!$J$6711*Sens!$J$6719</f>
        <v>95.5499047729386</v>
      </c>
      <c r="K6722" s="38" t="n">
        <f aca="false">Sens!$K$6711*Sens!$K$6719</f>
        <v>105.104895250232</v>
      </c>
      <c r="L6722" s="38" t="n">
        <f aca="false">Sens!$L$6711*Sens!$L$6719</f>
        <v>115.615384775256</v>
      </c>
      <c r="M6722" s="38" t="n">
        <f aca="false">Sens!$M$6711*Sens!$M$6719</f>
        <v>127.176923252781</v>
      </c>
      <c r="N6722" s="38" t="n">
        <f aca="false">Sens!$N$6711*Sens!$N$6719</f>
        <v>21.7087111412496</v>
      </c>
      <c r="O6722" s="38" t="n">
        <f aca="false">Sens!$O$6711*Sens!$O$6719</f>
        <v>28.0189463642798</v>
      </c>
      <c r="P6722" s="5" t="s">
        <v>699</v>
      </c>
    </row>
    <row r="6723" customFormat="false" ht="15" hidden="false" customHeight="false" outlineLevel="0" collapsed="false">
      <c r="A6723" s="5" t="s">
        <v>700</v>
      </c>
      <c r="B6723" s="0" t="s">
        <v>86</v>
      </c>
      <c r="C6723" s="38" t="n">
        <f aca="false">Sens!$C$6711-Sens!$C$6722</f>
        <v>15.1456871171543</v>
      </c>
      <c r="D6723" s="38" t="n">
        <f aca="false">Sens!$D$6711-Sens!$D$6722</f>
        <v>18.8908765400825</v>
      </c>
      <c r="E6723" s="38" t="n">
        <f aca="false">Sens!$E$6711-Sens!$E$6722</f>
        <v>10.0485775075586</v>
      </c>
      <c r="F6723" s="38" t="n">
        <f aca="false">Sens!$F$6711-Sens!$F$6722</f>
        <v>13.0132771613635</v>
      </c>
      <c r="G6723" s="38" t="n">
        <f aca="false">Sens!$G$6711-Sens!$G$6722</f>
        <v>23.0450381503318</v>
      </c>
      <c r="H6723" s="38" t="n">
        <f aca="false">Sens!$H$6711-Sens!$H$6722</f>
        <v>27.6667457326347</v>
      </c>
      <c r="I6723" s="38" t="n">
        <f aca="false">Sens!$I$6711-Sens!$I$6722</f>
        <v>32.2880346490971</v>
      </c>
      <c r="J6723" s="38" t="n">
        <f aca="false">Sens!$J$6711-Sens!$J$6722</f>
        <v>36.5990371690132</v>
      </c>
      <c r="K6723" s="38" t="n">
        <f aca="false">Sens!$K$6711-Sens!$K$6722</f>
        <v>40.2589408859145</v>
      </c>
      <c r="L6723" s="38" t="n">
        <f aca="false">Sens!$L$6711-Sens!$L$6722</f>
        <v>44.2848349745059</v>
      </c>
      <c r="M6723" s="38" t="n">
        <f aca="false">Sens!$M$6711-Sens!$M$6722</f>
        <v>48.7133184719565</v>
      </c>
      <c r="N6723" s="38" t="n">
        <f aca="false">Sens!$N$6711-Sens!$N$6722</f>
        <v>7.90628885875037</v>
      </c>
      <c r="O6723" s="38" t="n">
        <f aca="false">Sens!$O$6711-Sens!$O$6722</f>
        <v>11.0010536357202</v>
      </c>
    </row>
    <row r="6724" customFormat="false" ht="19.4" hidden="false" customHeight="false" outlineLevel="0" collapsed="false">
      <c r="A6724" s="31" t="s">
        <v>1288</v>
      </c>
    </row>
    <row r="6725" customFormat="false" ht="17.15" hidden="false" customHeight="false" outlineLevel="0" collapsed="false">
      <c r="A6725" s="6" t="s">
        <v>16</v>
      </c>
      <c r="B6725" s="6" t="s">
        <v>17</v>
      </c>
      <c r="C6725" s="20" t="s">
        <v>504</v>
      </c>
      <c r="D6725" s="20" t="s">
        <v>505</v>
      </c>
      <c r="E6725" s="20" t="s">
        <v>587</v>
      </c>
      <c r="F6725" s="20" t="s">
        <v>588</v>
      </c>
      <c r="G6725" s="20" t="s">
        <v>589</v>
      </c>
      <c r="H6725" s="20" t="s">
        <v>590</v>
      </c>
      <c r="I6725" s="20" t="s">
        <v>591</v>
      </c>
      <c r="J6725" s="20" t="s">
        <v>592</v>
      </c>
      <c r="K6725" s="20" t="s">
        <v>593</v>
      </c>
      <c r="L6725" s="20" t="s">
        <v>594</v>
      </c>
      <c r="M6725" s="20" t="s">
        <v>595</v>
      </c>
      <c r="N6725" s="20" t="s">
        <v>596</v>
      </c>
      <c r="O6725" s="20" t="s">
        <v>597</v>
      </c>
      <c r="P6725" s="6" t="s">
        <v>23</v>
      </c>
      <c r="R6725" s="20" t="n">
        <v>2023</v>
      </c>
      <c r="S6725" s="20" t="n">
        <v>2024</v>
      </c>
      <c r="T6725" s="20" t="n">
        <v>2025</v>
      </c>
      <c r="U6725" s="20" t="n">
        <v>2026</v>
      </c>
      <c r="V6725" s="20" t="n">
        <v>2027</v>
      </c>
      <c r="W6725" s="20" t="n">
        <v>2028</v>
      </c>
      <c r="X6725" s="20" t="n">
        <v>2029</v>
      </c>
      <c r="Y6725" s="20" t="n">
        <v>2030</v>
      </c>
      <c r="Z6725" s="20" t="n">
        <v>2031</v>
      </c>
      <c r="AA6725" s="20" t="n">
        <v>2032</v>
      </c>
    </row>
    <row r="6726" customFormat="false" ht="17.15" hidden="false" customHeight="false" outlineLevel="0" collapsed="false">
      <c r="A6726" s="1" t="s">
        <v>598</v>
      </c>
    </row>
    <row r="6727" customFormat="false" ht="17.15" hidden="false" customHeight="false" outlineLevel="0" collapsed="false">
      <c r="A6727" s="5" t="s">
        <v>599</v>
      </c>
      <c r="B6727" s="0" t="s">
        <v>144</v>
      </c>
      <c r="H6727" s="32" t="n">
        <f aca="false">pace_B</f>
        <v>3634.3</v>
      </c>
      <c r="I6727" s="32" t="n">
        <f aca="false">pace_B</f>
        <v>3634.3</v>
      </c>
      <c r="J6727" s="32" t="n">
        <f aca="false">pace_B</f>
        <v>3634.3</v>
      </c>
      <c r="K6727" s="32" t="n">
        <f aca="false">pace_B+(Sens!$J$6728*tg-pace_B)*1/3</f>
        <v>2570.86716666667</v>
      </c>
      <c r="L6727" s="32" t="n">
        <f aca="false">pace_B+(Sens!$J$6728*tg-pace_B)*2/3</f>
        <v>1507.43433333333</v>
      </c>
      <c r="M6727" s="32" t="n">
        <f aca="false">pace_B+(Sens!$J$6728*tg-pace_B)*3/3</f>
        <v>444.0015</v>
      </c>
      <c r="P6727" s="5" t="s">
        <v>600</v>
      </c>
    </row>
    <row r="6728" customFormat="false" ht="17.15" hidden="false" customHeight="false" outlineLevel="0" collapsed="false">
      <c r="A6728" s="15" t="s">
        <v>601</v>
      </c>
      <c r="B6728" s="14" t="s">
        <v>129</v>
      </c>
      <c r="C6728" s="33" t="n">
        <f aca="false">mw_ye24</f>
        <v>360</v>
      </c>
      <c r="D6728" s="33" t="n">
        <f aca="false">mw_ye25</f>
        <v>1440</v>
      </c>
      <c r="E6728" s="33" t="n">
        <f aca="false">mw_open</f>
        <v>2080</v>
      </c>
      <c r="F6728" s="33" t="n">
        <f aca="false">Sens!$E$6728+pace_B*0.5</f>
        <v>3897.15</v>
      </c>
      <c r="G6728" s="33" t="n">
        <f aca="false">Sens!$F$6728</f>
        <v>3897.15</v>
      </c>
      <c r="H6728" s="33" t="n">
        <f aca="false">Sens!$G$6728+Sens!$H$6727</f>
        <v>7531.45</v>
      </c>
      <c r="I6728" s="33" t="n">
        <f aca="false">Sens!$H$6728+Sens!$I$6727</f>
        <v>11165.75</v>
      </c>
      <c r="J6728" s="33" t="n">
        <f aca="false">Sens!$I$6728+Sens!$J$6727</f>
        <v>14800.05</v>
      </c>
      <c r="K6728" s="33" t="n">
        <f aca="false">Sens!$J$6728+Sens!$K$6727</f>
        <v>17370.9171666667</v>
      </c>
      <c r="L6728" s="33" t="n">
        <f aca="false">Sens!$K$6728+Sens!$L$6727</f>
        <v>18878.3515</v>
      </c>
      <c r="M6728" s="33" t="n">
        <f aca="false">Sens!$L$6728+Sens!$M$6727</f>
        <v>19322.353</v>
      </c>
      <c r="N6728" s="33" t="n">
        <f aca="false">(mw_ye24+mw_ye25)/2</f>
        <v>900</v>
      </c>
      <c r="O6728" s="33" t="n">
        <f aca="false">mw_ye25</f>
        <v>1440</v>
      </c>
      <c r="P6728" s="5" t="s">
        <v>602</v>
      </c>
    </row>
    <row r="6729" customFormat="false" ht="17.15" hidden="false" customHeight="false" outlineLevel="0" collapsed="false">
      <c r="A6729" s="5" t="s">
        <v>603</v>
      </c>
      <c r="B6729" s="0" t="s">
        <v>129</v>
      </c>
      <c r="C6729" s="32" t="n">
        <f aca="false">(mw_ye23+mw_ye24)/2</f>
        <v>240</v>
      </c>
      <c r="D6729" s="32" t="n">
        <f aca="false">(Sens!$C$6728+Sens!$D$6728)/2</f>
        <v>900</v>
      </c>
      <c r="E6729" s="32" t="n">
        <f aca="false">(Sens!$D$6728+Sens!$E$6728)/2</f>
        <v>1760</v>
      </c>
      <c r="F6729" s="32" t="n">
        <f aca="false">(Sens!$E$6728+Sens!$F$6728)/2</f>
        <v>2988.575</v>
      </c>
      <c r="G6729" s="32" t="n">
        <f aca="false">(Sens!$E$6729+Sens!$F$6729)/2</f>
        <v>2374.2875</v>
      </c>
      <c r="H6729" s="32" t="n">
        <f aca="false">(Sens!$G$6728+Sens!$H$6728)/2</f>
        <v>5714.3</v>
      </c>
      <c r="I6729" s="32" t="n">
        <f aca="false">(Sens!$H$6728+Sens!$I$6728)/2</f>
        <v>9348.6</v>
      </c>
      <c r="J6729" s="32" t="n">
        <f aca="false">(Sens!$I$6728+Sens!$J$6728)/2</f>
        <v>12982.9</v>
      </c>
      <c r="K6729" s="32" t="n">
        <f aca="false">(Sens!$J$6728+Sens!$K$6728)/2</f>
        <v>16085.4835833333</v>
      </c>
      <c r="L6729" s="32" t="n">
        <f aca="false">(Sens!$K$6728+Sens!$L$6728)/2</f>
        <v>18124.6343333333</v>
      </c>
      <c r="M6729" s="32" t="n">
        <f aca="false">(Sens!$L$6728+Sens!$M$6728)/2</f>
        <v>19100.35225</v>
      </c>
      <c r="N6729" s="32" t="n">
        <f aca="false">(Sens!$C$6728+Sens!$N$6728)/2</f>
        <v>630</v>
      </c>
      <c r="O6729" s="32" t="n">
        <f aca="false">(Sens!$N$6728+Sens!$O$6728)/2</f>
        <v>1170</v>
      </c>
    </row>
    <row r="6730" customFormat="false" ht="15" hidden="false" customHeight="false" outlineLevel="0" collapsed="false">
      <c r="A6730" s="5" t="s">
        <v>604</v>
      </c>
      <c r="B6730" s="5" t="s">
        <v>123</v>
      </c>
      <c r="C6730" s="34" t="n">
        <v>1</v>
      </c>
      <c r="D6730" s="34" t="n">
        <v>1</v>
      </c>
      <c r="E6730" s="34" t="n">
        <v>0.5</v>
      </c>
      <c r="F6730" s="34" t="n">
        <v>0.5</v>
      </c>
      <c r="G6730" s="34" t="n">
        <v>1</v>
      </c>
      <c r="H6730" s="34" t="n">
        <v>1</v>
      </c>
      <c r="I6730" s="34" t="n">
        <v>1</v>
      </c>
      <c r="J6730" s="34" t="n">
        <v>1</v>
      </c>
      <c r="K6730" s="34" t="n">
        <v>1</v>
      </c>
      <c r="L6730" s="34" t="n">
        <v>1</v>
      </c>
      <c r="M6730" s="34" t="n">
        <v>1</v>
      </c>
      <c r="N6730" s="34" t="n">
        <v>0.5</v>
      </c>
      <c r="O6730" s="34" t="n">
        <v>0.5</v>
      </c>
    </row>
    <row r="6731" customFormat="false" ht="17.15" hidden="false" customHeight="false" outlineLevel="0" collapsed="false">
      <c r="A6731" s="5" t="s">
        <v>605</v>
      </c>
      <c r="B6731" s="0" t="s">
        <v>129</v>
      </c>
      <c r="C6731" s="32" t="n">
        <f aca="false">Sens!$C$6728-mw_ye23</f>
        <v>240</v>
      </c>
      <c r="D6731" s="32" t="n">
        <f aca="false">Sens!$D$6728-Sens!$C$6728</f>
        <v>1080</v>
      </c>
      <c r="E6731" s="32" t="n">
        <f aca="false">Sens!$E$6728-Sens!$D$6728</f>
        <v>640</v>
      </c>
      <c r="F6731" s="32" t="n">
        <f aca="false">Sens!$F$6728-Sens!$E$6728</f>
        <v>1817.15</v>
      </c>
      <c r="G6731" s="32" t="n">
        <f aca="false">Sens!$E$6731+Sens!$F$6731</f>
        <v>2457.15</v>
      </c>
      <c r="H6731" s="32" t="n">
        <f aca="false">Sens!$H$6728-Sens!$G$6728</f>
        <v>3634.3</v>
      </c>
      <c r="I6731" s="32" t="n">
        <f aca="false">Sens!$I$6728-Sens!$H$6728</f>
        <v>3634.3</v>
      </c>
      <c r="J6731" s="32" t="n">
        <f aca="false">Sens!$J$6728-Sens!$I$6728</f>
        <v>3634.3</v>
      </c>
      <c r="K6731" s="32" t="n">
        <f aca="false">Sens!$K$6728-Sens!$J$6728</f>
        <v>2570.86716666667</v>
      </c>
      <c r="L6731" s="32" t="n">
        <f aca="false">Sens!$L$6728-Sens!$K$6728</f>
        <v>1507.43433333333</v>
      </c>
      <c r="M6731" s="32" t="n">
        <f aca="false">Sens!$M$6728-Sens!$L$6728</f>
        <v>444.001499999999</v>
      </c>
      <c r="N6731" s="32" t="n">
        <f aca="false">Sens!$N$6728-Sens!$C$6728</f>
        <v>540</v>
      </c>
      <c r="O6731" s="32" t="n">
        <f aca="false">Sens!$O$6728-Sens!$N$6728</f>
        <v>540</v>
      </c>
    </row>
    <row r="6732" customFormat="false" ht="17.15" hidden="false" customHeight="false" outlineLevel="0" collapsed="false">
      <c r="A6732" s="5" t="s">
        <v>606</v>
      </c>
      <c r="B6732" s="0" t="s">
        <v>129</v>
      </c>
      <c r="C6732" s="32" t="n">
        <f aca="false">Sens!$C$6731/ext_sh</f>
        <v>300</v>
      </c>
      <c r="D6732" s="32" t="n">
        <f aca="false">Sens!$D$6731/ext_sh</f>
        <v>1350</v>
      </c>
      <c r="E6732" s="32" t="n">
        <f aca="false">Sens!$E$6731/ext_sh</f>
        <v>800</v>
      </c>
      <c r="F6732" s="32" t="n">
        <f aca="false">Sens!$F$6731/ext_sh</f>
        <v>2271.4375</v>
      </c>
      <c r="G6732" s="32" t="n">
        <f aca="false">Sens!$G$6731/ext_sh</f>
        <v>3071.4375</v>
      </c>
      <c r="H6732" s="32" t="n">
        <f aca="false">Sens!$H$6731/ext_sh</f>
        <v>4542.875</v>
      </c>
      <c r="I6732" s="32" t="n">
        <f aca="false">Sens!$I$6731/ext_sh</f>
        <v>4542.875</v>
      </c>
      <c r="J6732" s="32" t="n">
        <f aca="false">Sens!$J$6731/ext_sh</f>
        <v>4542.875</v>
      </c>
      <c r="K6732" s="32" t="n">
        <f aca="false">Sens!$K$6731/ext_sh</f>
        <v>3213.58395833333</v>
      </c>
      <c r="L6732" s="32" t="n">
        <f aca="false">Sens!$L$6731/ext_sh</f>
        <v>1884.29291666667</v>
      </c>
      <c r="M6732" s="32" t="n">
        <f aca="false">Sens!$M$6731/ext_sh</f>
        <v>555.001874999998</v>
      </c>
      <c r="N6732" s="32" t="n">
        <f aca="false">Sens!$N$6731/ext_sh</f>
        <v>675</v>
      </c>
      <c r="O6732" s="32" t="n">
        <f aca="false">Sens!$O$6731/ext_sh</f>
        <v>675</v>
      </c>
      <c r="P6732" s="8" t="s">
        <v>607</v>
      </c>
      <c r="R6732" s="32" t="n">
        <f aca="false">mw_ye23/ext_sh</f>
        <v>150</v>
      </c>
      <c r="S6732" s="32" t="n">
        <f aca="false">Sens!$C$6732</f>
        <v>300</v>
      </c>
      <c r="T6732" s="32" t="n">
        <f aca="false">Sens!$D$6732</f>
        <v>1350</v>
      </c>
      <c r="U6732" s="32" t="n">
        <f aca="false">Sens!$G$6732</f>
        <v>3071.4375</v>
      </c>
      <c r="V6732" s="32" t="n">
        <f aca="false">Sens!$H$6732</f>
        <v>4542.875</v>
      </c>
      <c r="W6732" s="32" t="n">
        <f aca="false">Sens!$I$6732</f>
        <v>4542.875</v>
      </c>
      <c r="X6732" s="32" t="n">
        <f aca="false">Sens!$J$6732</f>
        <v>4542.875</v>
      </c>
      <c r="Y6732" s="32" t="n">
        <f aca="false">Sens!$K$6732</f>
        <v>3213.58395833333</v>
      </c>
      <c r="Z6732" s="32" t="n">
        <f aca="false">Sens!$L$6732</f>
        <v>1884.29291666667</v>
      </c>
      <c r="AA6732" s="32" t="n">
        <f aca="false">Sens!$M$6732</f>
        <v>555.001874999998</v>
      </c>
    </row>
    <row r="6733" customFormat="false" ht="17.15" hidden="false" customHeight="false" outlineLevel="0" collapsed="false">
      <c r="A6733" s="1" t="s">
        <v>608</v>
      </c>
    </row>
    <row r="6734" customFormat="false" ht="17.15" hidden="false" customHeight="false" outlineLevel="0" collapsed="false">
      <c r="A6734" s="0" t="s">
        <v>609</v>
      </c>
      <c r="B6734" s="0" t="s">
        <v>52</v>
      </c>
      <c r="F6734" s="35" t="n">
        <f aca="false">na_vr26</f>
        <v>0</v>
      </c>
      <c r="G6734" s="35" t="n">
        <f aca="false">na_vr26</f>
        <v>0</v>
      </c>
      <c r="H6734" s="35" t="n">
        <f aca="false">na_vr27</f>
        <v>0.5</v>
      </c>
      <c r="I6734" s="35" t="n">
        <f aca="false">na_vr28</f>
        <v>1</v>
      </c>
      <c r="J6734" s="35" t="n">
        <f aca="false">na_vr28</f>
        <v>1</v>
      </c>
      <c r="K6734" s="35" t="n">
        <f aca="false">na_vr28</f>
        <v>1</v>
      </c>
      <c r="L6734" s="35" t="n">
        <f aca="false">na_vr28</f>
        <v>1</v>
      </c>
      <c r="M6734" s="35" t="n">
        <f aca="false">na_vr28</f>
        <v>1</v>
      </c>
    </row>
    <row r="6735" customFormat="false" ht="17.15" hidden="false" customHeight="false" outlineLevel="0" collapsed="false">
      <c r="A6735" s="5" t="s">
        <v>610</v>
      </c>
      <c r="B6735" s="0" t="s">
        <v>173</v>
      </c>
      <c r="F6735" s="36" t="n">
        <f aca="false">cust_sh*tk_he_gb300*cf_chip+(1-cust_sh)*((1-Sens!$F$6734)*tk_he_gb300+Sens!$F$6734*tk_he_vr200)</f>
        <v>10.8864110021101</v>
      </c>
      <c r="G6735" s="36" t="n">
        <f aca="false">cust_sh*tk_he_gb300*cf_chip+(1-cust_sh)*((1-Sens!$G$6734)*tk_he_gb300+Sens!$G$6734*tk_he_vr200)</f>
        <v>10.8864110021101</v>
      </c>
      <c r="H6735" s="36" t="n">
        <f aca="false">cust_sh*tk_he_gb300*cf_chip+(1-cust_sh)*((1-Sens!$H$6734)*tk_he_gb300+Sens!$H$6734*tk_he_vr200)</f>
        <v>11.2211760027286</v>
      </c>
      <c r="I6735" s="36" t="n">
        <f aca="false">cust_sh*tk_he_gb300*cf_chip+(1-cust_sh)*((1-Sens!$I$6734)*tk_he_gb300+Sens!$I$6734*tk_he_vr200)</f>
        <v>11.5559410033471</v>
      </c>
      <c r="J6735" s="36" t="n">
        <f aca="false">cust_sh*tk_he_gb300*cf_chip+(1-cust_sh)*((1-Sens!$J$6734)*tk_he_gb300+Sens!$J$6734*tk_he_vr200)</f>
        <v>11.5559410033471</v>
      </c>
      <c r="K6735" s="36" t="n">
        <f aca="false">cust_sh*tk_he_gb300*cf_chip+(1-cust_sh)*((1-Sens!$K$6734)*tk_he_gb300+Sens!$K$6734*tk_he_vr200)</f>
        <v>11.5559410033471</v>
      </c>
      <c r="L6735" s="36" t="n">
        <f aca="false">cust_sh*tk_he_gb300*cf_chip+(1-cust_sh)*((1-Sens!$L$6734)*tk_he_gb300+Sens!$L$6734*tk_he_vr200)</f>
        <v>11.5559410033471</v>
      </c>
      <c r="M6735" s="36" t="n">
        <f aca="false">cust_sh*tk_he_gb300*cf_chip+(1-cust_sh)*((1-Sens!$M$6734)*tk_he_gb300+Sens!$M$6734*tk_he_vr200)</f>
        <v>11.5559410033471</v>
      </c>
    </row>
    <row r="6736" customFormat="false" ht="17.15" hidden="false" customHeight="false" outlineLevel="0" collapsed="false">
      <c r="A6736" s="5" t="s">
        <v>611</v>
      </c>
      <c r="B6736" s="0" t="s">
        <v>173</v>
      </c>
      <c r="F6736" s="36" t="n">
        <f aca="false">cust_sh*tk_ox_gb300+(1-cust_sh)*((1-Sens!$F$6734)*tk_ox_gb300+Sens!$F$6734*tk_ox_vr200)</f>
        <v>1.98263481314457</v>
      </c>
      <c r="G6736" s="36" t="n">
        <f aca="false">cust_sh*tk_ox_gb300+(1-cust_sh)*((1-Sens!$G$6734)*tk_ox_gb300+Sens!$G$6734*tk_ox_vr200)</f>
        <v>1.98263481314457</v>
      </c>
      <c r="H6736" s="36" t="n">
        <f aca="false">cust_sh*tk_ox_gb300+(1-cust_sh)*((1-Sens!$H$6734)*tk_ox_gb300+Sens!$H$6734*tk_ox_vr200)</f>
        <v>2.01034999693694</v>
      </c>
      <c r="I6736" s="36" t="n">
        <f aca="false">cust_sh*tk_ox_gb300+(1-cust_sh)*((1-Sens!$I$6734)*tk_ox_gb300+Sens!$I$6734*tk_ox_vr200)</f>
        <v>2.0380651807293</v>
      </c>
      <c r="J6736" s="36" t="n">
        <f aca="false">cust_sh*tk_ox_gb300+(1-cust_sh)*((1-Sens!$J$6734)*tk_ox_gb300+Sens!$J$6734*tk_ox_vr200)</f>
        <v>2.0380651807293</v>
      </c>
      <c r="K6736" s="36" t="n">
        <f aca="false">cust_sh*tk_ox_gb300+(1-cust_sh)*((1-Sens!$K$6734)*tk_ox_gb300+Sens!$K$6734*tk_ox_vr200)</f>
        <v>2.0380651807293</v>
      </c>
      <c r="L6736" s="36" t="n">
        <f aca="false">cust_sh*tk_ox_gb300+(1-cust_sh)*((1-Sens!$L$6734)*tk_ox_gb300+Sens!$L$6734*tk_ox_vr200)</f>
        <v>2.0380651807293</v>
      </c>
      <c r="M6736" s="36" t="n">
        <f aca="false">cust_sh*tk_ox_gb300+(1-cust_sh)*((1-Sens!$M$6734)*tk_ox_gb300+Sens!$M$6734*tk_ox_vr200)</f>
        <v>2.0380651807293</v>
      </c>
    </row>
    <row r="6737" customFormat="false" ht="17.15" hidden="false" customHeight="false" outlineLevel="0" collapsed="false">
      <c r="A6737" s="5" t="s">
        <v>612</v>
      </c>
      <c r="B6737" s="0" t="s">
        <v>192</v>
      </c>
      <c r="F6737" s="36" t="n">
        <f aca="false">cust_sh*tk_cx_gb300*cf_cx+(1-cust_sh)*((1-Sens!$F$6734)*tk_cx_gb300+Sens!$F$6734*tk_cx_vr200)</f>
        <v>32.237224</v>
      </c>
      <c r="G6737" s="36" t="n">
        <f aca="false">cust_sh*tk_cx_gb300*cf_cx+(1-cust_sh)*((1-Sens!$G$6734)*tk_cx_gb300+Sens!$G$6734*tk_cx_vr200)</f>
        <v>32.237224</v>
      </c>
      <c r="H6737" s="36" t="n">
        <f aca="false">cust_sh*tk_cx_gb300*cf_cx+(1-cust_sh)*((1-Sens!$H$6734)*tk_cx_gb300+Sens!$H$6734*tk_cx_vr200)</f>
        <v>33.574506</v>
      </c>
      <c r="I6737" s="36" t="n">
        <f aca="false">cust_sh*tk_cx_gb300*cf_cx+(1-cust_sh)*((1-Sens!$I$6734)*tk_cx_gb300+Sens!$I$6734*tk_cx_vr200)</f>
        <v>34.911788</v>
      </c>
      <c r="J6737" s="36" t="n">
        <f aca="false">cust_sh*tk_cx_gb300*cf_cx+(1-cust_sh)*((1-Sens!$J$6734)*tk_cx_gb300+Sens!$J$6734*tk_cx_vr200)</f>
        <v>34.911788</v>
      </c>
      <c r="K6737" s="36" t="n">
        <f aca="false">cust_sh*tk_cx_gb300*cf_cx+(1-cust_sh)*((1-Sens!$K$6734)*tk_cx_gb300+Sens!$K$6734*tk_cx_vr200)</f>
        <v>34.911788</v>
      </c>
      <c r="L6737" s="36" t="n">
        <f aca="false">cust_sh*tk_cx_gb300*cf_cx+(1-cust_sh)*((1-Sens!$L$6734)*tk_cx_gb300+Sens!$L$6734*tk_cx_vr200)</f>
        <v>34.911788</v>
      </c>
      <c r="M6737" s="36" t="n">
        <f aca="false">cust_sh*tk_cx_gb300*cf_cx+(1-cust_sh)*((1-Sens!$M$6734)*tk_cx_gb300+Sens!$M$6734*tk_cx_vr200)</f>
        <v>34.911788</v>
      </c>
    </row>
    <row r="6738" customFormat="false" ht="17.15" hidden="false" customHeight="false" outlineLevel="0" collapsed="false">
      <c r="A6738" s="5" t="s">
        <v>613</v>
      </c>
      <c r="B6738" s="0" t="s">
        <v>129</v>
      </c>
      <c r="F6738" s="32" t="n">
        <f aca="false">Sens!$F$6728-mw_open</f>
        <v>1817.15</v>
      </c>
      <c r="G6738" s="32" t="n">
        <f aca="false">Sens!$F$6738</f>
        <v>1817.15</v>
      </c>
      <c r="H6738" s="32" t="n">
        <f aca="false">Sens!$H$6728-mw_open</f>
        <v>5451.45</v>
      </c>
      <c r="I6738" s="32" t="n">
        <f aca="false">Sens!$I$6728-mw_open</f>
        <v>9085.75</v>
      </c>
      <c r="J6738" s="32" t="n">
        <f aca="false">Sens!$J$6728-mw_open</f>
        <v>12720.05</v>
      </c>
      <c r="K6738" s="32" t="n">
        <f aca="false">Sens!$K$6728-mw_open</f>
        <v>15290.9171666667</v>
      </c>
      <c r="L6738" s="32" t="n">
        <f aca="false">Sens!$L$6728-mw_open</f>
        <v>16798.3515</v>
      </c>
      <c r="M6738" s="32" t="n">
        <f aca="false">Sens!$M$6728-mw_open</f>
        <v>17242.353</v>
      </c>
    </row>
    <row r="6739" customFormat="false" ht="17.15" hidden="false" customHeight="false" outlineLevel="0" collapsed="false">
      <c r="A6739" s="0" t="s">
        <v>614</v>
      </c>
      <c r="B6739" s="0" t="s">
        <v>615</v>
      </c>
      <c r="F6739" s="32" t="n">
        <f aca="false">Sens!$F$6731*Sens!$F$6735</f>
        <v>19782.2417524844</v>
      </c>
      <c r="G6739" s="32" t="n">
        <f aca="false">Sens!$F$6739</f>
        <v>19782.2417524844</v>
      </c>
      <c r="H6739" s="32" t="n">
        <f aca="false">Sens!$G$6739+Sens!$H$6731*Sens!$H$6735</f>
        <v>60563.3616992009</v>
      </c>
      <c r="I6739" s="32" t="n">
        <f aca="false">Sens!$H$6739+Sens!$I$6731*Sens!$I$6735</f>
        <v>102561.118087665</v>
      </c>
      <c r="J6739" s="32" t="n">
        <f aca="false">Sens!$I$6739+Sens!$J$6731*Sens!$J$6735</f>
        <v>144558.87447613</v>
      </c>
      <c r="K6739" s="32" t="n">
        <f aca="false">Sens!$J$6739+Sens!$K$6731*Sens!$K$6735</f>
        <v>174267.663781572</v>
      </c>
      <c r="L6739" s="32" t="n">
        <f aca="false">Sens!$K$6739+Sens!$L$6731*Sens!$L$6735</f>
        <v>191687.486003992</v>
      </c>
      <c r="M6739" s="32" t="n">
        <f aca="false">Sens!$L$6739+Sens!$M$6731*Sens!$M$6735</f>
        <v>196818.341143389</v>
      </c>
    </row>
    <row r="6740" customFormat="false" ht="17.15" hidden="false" customHeight="false" outlineLevel="0" collapsed="false">
      <c r="A6740" s="0" t="s">
        <v>616</v>
      </c>
      <c r="B6740" s="0" t="s">
        <v>615</v>
      </c>
      <c r="F6740" s="32" t="n">
        <f aca="false">Sens!$F$6731*Sens!$F$6736</f>
        <v>3602.74485070566</v>
      </c>
      <c r="G6740" s="32" t="n">
        <f aca="false">Sens!$F$6740</f>
        <v>3602.74485070566</v>
      </c>
      <c r="H6740" s="32" t="n">
        <f aca="false">Sens!$G$6740+Sens!$H$6731*Sens!$H$6736</f>
        <v>10908.9598445736</v>
      </c>
      <c r="I6740" s="32" t="n">
        <f aca="false">Sens!$H$6740+Sens!$I$6731*Sens!$I$6736</f>
        <v>18315.9001308981</v>
      </c>
      <c r="J6740" s="32" t="n">
        <f aca="false">Sens!$I$6740+Sens!$J$6731*Sens!$J$6736</f>
        <v>25722.8404172225</v>
      </c>
      <c r="K6740" s="32" t="n">
        <f aca="false">Sens!$J$6740+Sens!$K$6731*Sens!$K$6736</f>
        <v>30962.4352738861</v>
      </c>
      <c r="L6740" s="32" t="n">
        <f aca="false">Sens!$K$6740+Sens!$L$6731*Sens!$L$6736</f>
        <v>34034.6847008886</v>
      </c>
      <c r="M6740" s="32" t="n">
        <f aca="false">Sens!$L$6740+Sens!$M$6731*Sens!$M$6736</f>
        <v>34939.5886982302</v>
      </c>
    </row>
    <row r="6741" customFormat="false" ht="17.15" hidden="false" customHeight="false" outlineLevel="0" collapsed="false">
      <c r="A6741" s="5" t="s">
        <v>617</v>
      </c>
      <c r="B6741" s="0" t="s">
        <v>173</v>
      </c>
      <c r="F6741" s="36" t="n">
        <f aca="false">IF(Sens!$F$6738&gt;0,Sens!$F$6739/Sens!$F$6738,Sens!$F$6735)</f>
        <v>10.8864110021101</v>
      </c>
      <c r="G6741" s="36" t="n">
        <f aca="false">IF(Sens!$G$6738&gt;0,Sens!$G$6739/Sens!$G$6738,Sens!$G$6735)</f>
        <v>10.8864110021101</v>
      </c>
      <c r="H6741" s="36" t="n">
        <f aca="false">IF(Sens!$H$6738&gt;0,Sens!$H$6739/Sens!$H$6738,Sens!$H$6735)</f>
        <v>11.1095876691891</v>
      </c>
      <c r="I6741" s="36" t="n">
        <f aca="false">IF(Sens!$I$6738&gt;0,Sens!$I$6739/Sens!$I$6738,Sens!$I$6735)</f>
        <v>11.2881290028523</v>
      </c>
      <c r="J6741" s="36" t="n">
        <f aca="false">IF(Sens!$J$6738&gt;0,Sens!$J$6739/Sens!$J$6738,Sens!$J$6735)</f>
        <v>11.3646467172794</v>
      </c>
      <c r="K6741" s="36" t="n">
        <f aca="false">IF(Sens!$K$6738&gt;0,Sens!$K$6739/Sens!$K$6738,Sens!$K$6735)</f>
        <v>11.3968090914432</v>
      </c>
      <c r="L6741" s="36" t="n">
        <f aca="false">IF(Sens!$L$6738&gt;0,Sens!$L$6739/Sens!$L$6738,Sens!$L$6735)</f>
        <v>11.4110891181192</v>
      </c>
      <c r="M6741" s="36" t="n">
        <f aca="false">IF(Sens!$M$6738&gt;0,Sens!$M$6739/Sens!$M$6738,Sens!$M$6735)</f>
        <v>11.4148191458201</v>
      </c>
    </row>
    <row r="6742" customFormat="false" ht="17.15" hidden="false" customHeight="false" outlineLevel="0" collapsed="false">
      <c r="A6742" s="5" t="s">
        <v>618</v>
      </c>
      <c r="B6742" s="0" t="s">
        <v>173</v>
      </c>
      <c r="F6742" s="36" t="n">
        <f aca="false">IF(Sens!$F$6738&gt;0,Sens!$F$6740/Sens!$F$6738,Sens!$F$6736)</f>
        <v>1.98263481314457</v>
      </c>
      <c r="G6742" s="36" t="n">
        <f aca="false">IF(Sens!$G$6738&gt;0,Sens!$G$6740/Sens!$G$6738,Sens!$G$6736)</f>
        <v>1.98263481314457</v>
      </c>
      <c r="H6742" s="36" t="n">
        <f aca="false">IF(Sens!$H$6738&gt;0,Sens!$H$6740/Sens!$H$6738,Sens!$H$6736)</f>
        <v>2.00111160233948</v>
      </c>
      <c r="I6742" s="36" t="n">
        <f aca="false">IF(Sens!$I$6738&gt;0,Sens!$I$6740/Sens!$I$6738,Sens!$I$6736)</f>
        <v>2.01589303369541</v>
      </c>
      <c r="J6742" s="36" t="n">
        <f aca="false">IF(Sens!$J$6738&gt;0,Sens!$J$6740/Sens!$J$6738,Sens!$J$6736)</f>
        <v>2.02222793284795</v>
      </c>
      <c r="K6742" s="36" t="n">
        <f aca="false">IF(Sens!$K$6738&gt;0,Sens!$K$6740/Sens!$K$6738,Sens!$K$6736)</f>
        <v>2.02489065478573</v>
      </c>
      <c r="L6742" s="36" t="n">
        <f aca="false">IF(Sens!$L$6738&gt;0,Sens!$L$6740/Sens!$L$6738,Sens!$L$6736)</f>
        <v>2.0260728977417</v>
      </c>
      <c r="M6742" s="36" t="n">
        <f aca="false">IF(Sens!$M$6738&gt;0,Sens!$M$6740/Sens!$M$6738,Sens!$M$6736)</f>
        <v>2.02638170661685</v>
      </c>
    </row>
    <row r="6743" customFormat="false" ht="17.15" hidden="false" customHeight="false" outlineLevel="0" collapsed="false">
      <c r="A6743" s="15" t="s">
        <v>619</v>
      </c>
      <c r="B6743" s="14" t="s">
        <v>173</v>
      </c>
      <c r="C6743" s="14"/>
      <c r="D6743" s="14"/>
      <c r="E6743" s="14"/>
      <c r="F6743" s="37" t="n">
        <f aca="false">Sens!$F$6741*k_B</f>
        <v>10.7987645808025</v>
      </c>
      <c r="G6743" s="37" t="n">
        <f aca="false">Sens!$G$6741*k_B</f>
        <v>10.7987645808025</v>
      </c>
      <c r="H6743" s="37" t="n">
        <f aca="false">Sens!$H$6741*k_B</f>
        <v>11.0201444540452</v>
      </c>
      <c r="I6743" s="37" t="n">
        <f aca="false">Sens!$I$6741*k_B</f>
        <v>11.1972483526393</v>
      </c>
      <c r="J6743" s="37" t="n">
        <f aca="false">Sens!$J$6741*k_B</f>
        <v>11.2731500234653</v>
      </c>
      <c r="K6743" s="37" t="n">
        <f aca="false">Sens!$K$6741*k_B</f>
        <v>11.3050534585724</v>
      </c>
      <c r="L6743" s="37" t="n">
        <f aca="false">Sens!$L$6741*k_B</f>
        <v>11.3192185168503</v>
      </c>
      <c r="M6743" s="37" t="n">
        <f aca="false">Sens!$M$6741*k_B</f>
        <v>11.3229185141234</v>
      </c>
      <c r="N6743" s="14"/>
      <c r="O6743" s="14"/>
      <c r="P6743" s="5" t="s">
        <v>620</v>
      </c>
    </row>
    <row r="6744" customFormat="false" ht="17.15" hidden="false" customHeight="false" outlineLevel="0" collapsed="false">
      <c r="A6744" s="5" t="s">
        <v>621</v>
      </c>
      <c r="B6744" s="0" t="s">
        <v>129</v>
      </c>
      <c r="F6744" s="32" t="n">
        <f aca="false">Sens!$F$6738/2</f>
        <v>908.575</v>
      </c>
      <c r="H6744" s="32" t="n">
        <f aca="false">(Sens!$G$6738+Sens!$H$6738)/2</f>
        <v>3634.3</v>
      </c>
      <c r="I6744" s="32" t="n">
        <f aca="false">(Sens!$H$6738+Sens!$I$6738)/2</f>
        <v>7268.6</v>
      </c>
      <c r="J6744" s="32" t="n">
        <f aca="false">(Sens!$I$6738+Sens!$J$6738)/2</f>
        <v>10902.9</v>
      </c>
      <c r="K6744" s="32" t="n">
        <f aca="false">(Sens!$J$6738+Sens!$K$6738)/2</f>
        <v>14005.4835833333</v>
      </c>
      <c r="L6744" s="32" t="n">
        <f aca="false">(Sens!$K$6738+Sens!$L$6738)/2</f>
        <v>16044.6343333333</v>
      </c>
      <c r="M6744" s="32" t="n">
        <f aca="false">(Sens!$L$6738+Sens!$M$6738)/2</f>
        <v>17020.35225</v>
      </c>
    </row>
    <row r="6745" customFormat="false" ht="17.15" hidden="false" customHeight="false" outlineLevel="0" collapsed="false">
      <c r="A6745" s="1" t="s">
        <v>622</v>
      </c>
    </row>
    <row r="6746" customFormat="false" ht="17.15" hidden="false" customHeight="false" outlineLevel="0" collapsed="false">
      <c r="A6746" s="1" t="s">
        <v>623</v>
      </c>
      <c r="B6746" s="8" t="s">
        <v>86</v>
      </c>
      <c r="C6746" s="38" t="n">
        <f aca="false">Sens!$C$6729*rpm_open*Sens!$C$6730/1000</f>
        <v>2.32100535697364</v>
      </c>
      <c r="D6746" s="38" t="n">
        <f aca="false">Sens!$D$6729*rpm_open*Sens!$D$6730/1000</f>
        <v>8.70377008865116</v>
      </c>
      <c r="E6746" s="38" t="n">
        <f aca="false">Sens!$E$6729*rpm_open*Sens!$E$6730/1000</f>
        <v>8.51035297557002</v>
      </c>
      <c r="F6746" s="38" t="n">
        <f aca="false">(mw_open*rpm_open+Sens!$F$6744*Sens!$F$6743)*Sens!$F$6730/1000</f>
        <v>14.9634336447205</v>
      </c>
      <c r="G6746" s="38" t="n">
        <f aca="false">Sens!$E$6746+Sens!$F$6746</f>
        <v>23.4737866202905</v>
      </c>
      <c r="H6746" s="38" t="n">
        <f aca="false">(mw_open*rpm_open+Sens!$H$6744*Sens!$H$6743)/1000</f>
        <v>60.1658907497746</v>
      </c>
      <c r="I6746" s="38" t="n">
        <f aca="false">(mw_open*rpm_open+Sens!$I$6744*Sens!$I$6743)/1000</f>
        <v>101.503699136432</v>
      </c>
      <c r="J6746" s="38" t="n">
        <f aca="false">(mw_open*rpm_open+Sens!$J$6744*Sens!$J$6743)/1000</f>
        <v>143.025407151278</v>
      </c>
      <c r="K6746" s="38" t="n">
        <f aca="false">(mw_open*rpm_open+Sens!$K$6744*Sens!$K$6743)/1000</f>
        <v>178.44812038318</v>
      </c>
      <c r="L6746" s="38" t="n">
        <f aca="false">(mw_open*rpm_open+Sens!$L$6744*Sens!$L$6743)/1000</f>
        <v>201.728101802396</v>
      </c>
      <c r="M6746" s="38" t="n">
        <f aca="false">(mw_open*rpm_open+Sens!$M$6744*Sens!$M$6743)/1000</f>
        <v>212.835441368865</v>
      </c>
      <c r="N6746" s="38" t="n">
        <f aca="false">Sens!$N$6729*rpm_open*Sens!$N$6730/1000</f>
        <v>3.04631953102791</v>
      </c>
      <c r="O6746" s="38" t="n">
        <f aca="false">Sens!$O$6729*rpm_open*Sens!$O$6730/1000</f>
        <v>5.65745055762326</v>
      </c>
      <c r="P6746" s="5" t="s">
        <v>624</v>
      </c>
    </row>
    <row r="6747" customFormat="false" ht="17.15" hidden="false" customHeight="false" outlineLevel="0" collapsed="false">
      <c r="A6747" s="5" t="s">
        <v>625</v>
      </c>
      <c r="B6747" s="0" t="s">
        <v>173</v>
      </c>
      <c r="C6747" s="36" t="n">
        <f aca="false">Sens!$C$6746*1000/(Sens!$C$6729*Sens!$C$6730)</f>
        <v>9.67085565405685</v>
      </c>
      <c r="D6747" s="36" t="n">
        <f aca="false">Sens!$D$6746*1000/(Sens!$D$6729*Sens!$D$6730)</f>
        <v>9.67085565405685</v>
      </c>
      <c r="E6747" s="36" t="n">
        <f aca="false">Sens!$E$6746*1000/(Sens!$E$6729*Sens!$E$6730)</f>
        <v>9.67085565405685</v>
      </c>
      <c r="F6747" s="36" t="n">
        <f aca="false">Sens!$F$6746*1000/(Sens!$F$6729*Sens!$F$6730)</f>
        <v>10.0137581588017</v>
      </c>
      <c r="G6747" s="36" t="n">
        <f aca="false">Sens!$G$6746*1000/(Sens!$G$6729*Sens!$G$6730)</f>
        <v>9.88666562928478</v>
      </c>
      <c r="H6747" s="36" t="n">
        <f aca="false">Sens!$H$6746*1000/(Sens!$H$6729*Sens!$H$6730)</f>
        <v>10.5290045586992</v>
      </c>
      <c r="I6747" s="36" t="n">
        <f aca="false">Sens!$I$6746*1000/(Sens!$I$6729*Sens!$I$6730)</f>
        <v>10.8576363451674</v>
      </c>
      <c r="J6747" s="36" t="n">
        <f aca="false">Sens!$J$6746*1000/(Sens!$J$6729*Sens!$J$6730)</f>
        <v>11.0164452588619</v>
      </c>
      <c r="K6747" s="36" t="n">
        <f aca="false">Sens!$K$6746*1000/(Sens!$K$6729*Sens!$K$6730)</f>
        <v>11.0937367508227</v>
      </c>
      <c r="L6747" s="36" t="n">
        <f aca="false">Sens!$L$6746*1000/(Sens!$L$6729*Sens!$L$6730)</f>
        <v>11.1300508519168</v>
      </c>
      <c r="M6747" s="36" t="n">
        <f aca="false">Sens!$M$6746*1000/(Sens!$M$6729*Sens!$M$6730)</f>
        <v>11.1430113216297</v>
      </c>
      <c r="N6747" s="36" t="n">
        <f aca="false">Sens!$N$6746*1000/(Sens!$N$6729*Sens!$N$6730)</f>
        <v>9.67085565405685</v>
      </c>
      <c r="O6747" s="36" t="n">
        <f aca="false">Sens!$O$6746*1000/(Sens!$O$6729*Sens!$O$6730)</f>
        <v>9.67085565405685</v>
      </c>
    </row>
    <row r="6748" customFormat="false" ht="17.15" hidden="false" customHeight="false" outlineLevel="0" collapsed="false">
      <c r="A6748" s="0" t="s">
        <v>626</v>
      </c>
      <c r="B6748" s="0" t="s">
        <v>86</v>
      </c>
      <c r="C6748" s="38" t="n">
        <f aca="false">Sens!$C$6729/ext_sh*(ox_open+rent_mw)*Sens!$C$6730/1000</f>
        <v>0.642569210675032</v>
      </c>
      <c r="D6748" s="38" t="n">
        <f aca="false">Sens!$D$6729/ext_sh*(ox_open+rent_mw)*Sens!$D$6730/1000</f>
        <v>2.40963454003137</v>
      </c>
      <c r="E6748" s="38" t="n">
        <f aca="false">Sens!$E$6729/ext_sh*(ox_open+rent_mw)*Sens!$E$6730/1000</f>
        <v>2.35608710580845</v>
      </c>
      <c r="F6748" s="38" t="n">
        <f aca="false">((mw_open*ox_open+Sens!$F$6744*Sens!$F$6742)/ext_sh+Sens!$F$6729/ext_sh*rent_mw)*Sens!$F$6730/1000</f>
        <v>4.05421991106232</v>
      </c>
      <c r="G6748" s="38" t="n">
        <f aca="false">Sens!$E$6748+Sens!$F$6748</f>
        <v>6.41030701687077</v>
      </c>
      <c r="H6748" s="38" t="n">
        <f aca="false">((mw_open*ox_open+Sens!$H$6744*Sens!$H$6742)/ext_sh+Sens!$H$6729/ext_sh*rent_mw)*Sens!$H$6730/1000</f>
        <v>15.8108975546616</v>
      </c>
      <c r="I6748" s="38" t="n">
        <f aca="false">((mw_open*ox_open+Sens!$I$6744*Sens!$I$6742)/ext_sh+Sens!$I$6729/ext_sh*rent_mw)*Sens!$I$6730/1000</f>
        <v>26.1871623400817</v>
      </c>
      <c r="J6748" s="38" t="n">
        <f aca="false">((mw_open*ox_open+Sens!$J$6744*Sens!$J$6742)/ext_sh+Sens!$J$6729/ext_sh*rent_mw)*Sens!$J$6730/1000</f>
        <v>36.5826128954935</v>
      </c>
      <c r="K6748" s="38" t="n">
        <f aca="false">((mw_open*ox_open+Sens!$K$6744*Sens!$K$6742)/ext_sh+Sens!$K$6729/ext_sh*rent_mw)*Sens!$K$6730/1000</f>
        <v>45.4546361137628</v>
      </c>
      <c r="L6748" s="38" t="n">
        <f aca="false">((mw_open*ox_open+Sens!$L$6744*Sens!$L$6742)/ext_sh+Sens!$L$6729/ext_sh*rent_mw)*Sens!$L$6730/1000</f>
        <v>51.2855695554452</v>
      </c>
      <c r="M6748" s="38" t="n">
        <f aca="false">((mw_open*ox_open+Sens!$M$6744*Sens!$M$6742)/ext_sh+Sens!$M$6729/ext_sh*rent_mw)*Sens!$M$6730/1000</f>
        <v>54.0722927838398</v>
      </c>
      <c r="N6748" s="38" t="n">
        <f aca="false">Sens!$N$6729/ext_sh*(ox_open+rent_mw)*Sens!$N$6730/1000</f>
        <v>0.84337208901098</v>
      </c>
      <c r="O6748" s="38" t="n">
        <f aca="false">Sens!$O$6729/ext_sh*(ox_open+rent_mw)*Sens!$O$6730/1000</f>
        <v>1.56626245102039</v>
      </c>
    </row>
    <row r="6749" customFormat="false" ht="17.15" hidden="false" customHeight="false" outlineLevel="0" collapsed="false">
      <c r="A6749" s="0" t="s">
        <v>627</v>
      </c>
      <c r="B6749" s="0" t="s">
        <v>86</v>
      </c>
      <c r="C6749" s="38" t="n">
        <f aca="false">Q!$D$7</f>
        <v>107.556</v>
      </c>
      <c r="D6749" s="38" t="n">
        <f aca="false">Q!$E$7</f>
        <v>128.725</v>
      </c>
      <c r="E6749" s="38" t="n">
        <f aca="false">Q!$P$7</f>
        <v>79.819</v>
      </c>
      <c r="N6749" s="38" t="n">
        <f aca="false">Q!$N$7</f>
        <v>60.14</v>
      </c>
      <c r="O6749" s="38" t="n">
        <f aca="false">Q!$O$7</f>
        <v>68.585</v>
      </c>
    </row>
    <row r="6750" customFormat="false" ht="17.15" hidden="false" customHeight="false" outlineLevel="0" collapsed="false">
      <c r="A6750" s="1" t="s">
        <v>628</v>
      </c>
      <c r="B6750" s="8" t="s">
        <v>86</v>
      </c>
      <c r="C6750" s="38" t="n">
        <f aca="false">Sens!$C$6749-Sens!$C$6746</f>
        <v>105.234994643026</v>
      </c>
      <c r="D6750" s="38" t="n">
        <f aca="false">Sens!$D$6749-Sens!$D$6746</f>
        <v>120.021229911349</v>
      </c>
      <c r="E6750" s="38" t="n">
        <f aca="false">Sens!$E$6749-Sens!$E$6746</f>
        <v>71.30864702443</v>
      </c>
      <c r="F6750" s="38" t="n">
        <f aca="false">Sens!$O$6750*(1+Sens!$F$6751)</f>
        <v>71.7692997942464</v>
      </c>
      <c r="G6750" s="38" t="n">
        <f aca="false">Sens!$E$6750+Sens!$F$6750</f>
        <v>143.077946818676</v>
      </c>
      <c r="H6750" s="38" t="n">
        <f aca="false">Sens!$G$6750*(1+Sens!$H$6751)</f>
        <v>161.017077079203</v>
      </c>
      <c r="I6750" s="38" t="n">
        <f aca="false">Sens!$H$6750*(1+Sens!$I$6751)</f>
        <v>178.769759521457</v>
      </c>
      <c r="J6750" s="38" t="n">
        <f aca="false">Sens!$I$6750*(1+Sens!$J$6751)</f>
        <v>195.775538045907</v>
      </c>
      <c r="K6750" s="38" t="n">
        <f aca="false">Sens!$J$6750*(1+Sens!$K$6751)</f>
        <v>211.43758108958</v>
      </c>
      <c r="L6750" s="38" t="n">
        <f aca="false">Sens!$K$6750*(1+Sens!$L$6751)</f>
        <v>228.352587576746</v>
      </c>
      <c r="M6750" s="38" t="n">
        <f aca="false">Sens!$L$6750*(1+Sens!$M$6751)</f>
        <v>246.620794582886</v>
      </c>
      <c r="N6750" s="38" t="n">
        <f aca="false">Sens!$N$6749-Sens!$N$6746</f>
        <v>57.0936804689721</v>
      </c>
      <c r="O6750" s="38" t="n">
        <f aca="false">Sens!$O$6749-Sens!$O$6746</f>
        <v>62.9275494423768</v>
      </c>
      <c r="P6750" s="5" t="s">
        <v>629</v>
      </c>
    </row>
    <row r="6751" customFormat="false" ht="17.15" hidden="false" customHeight="false" outlineLevel="0" collapsed="false">
      <c r="A6751" s="0" t="s">
        <v>630</v>
      </c>
      <c r="B6751" s="0" t="s">
        <v>52</v>
      </c>
      <c r="D6751" s="13" t="n">
        <f aca="false">Sens!$D$6750/Sens!$C$6750-1</f>
        <v>0.140506827776062</v>
      </c>
      <c r="E6751" s="13" t="n">
        <f aca="false">Sens!$E$6750/Sens!$N$6750-1</f>
        <v>0.248976181579029</v>
      </c>
      <c r="F6751" s="13" t="n">
        <f aca="false">Sens!$D$6751</f>
        <v>0.140506827776062</v>
      </c>
      <c r="G6751" s="13" t="n">
        <f aca="false">Sens!$G$6750/Sens!$D$6750-1</f>
        <v>0.19210532106993</v>
      </c>
      <c r="H6751" s="13" t="n">
        <f aca="false">Sens!$F$6751+(g_awso_lt-Sens!$F$6751)*1/4</f>
        <v>0.125380120832046</v>
      </c>
      <c r="I6751" s="13" t="n">
        <f aca="false">Sens!$F$6751+(g_awso_lt-Sens!$F$6751)*2/4</f>
        <v>0.110253413888031</v>
      </c>
      <c r="J6751" s="13" t="n">
        <f aca="false">Sens!$F$6751+(g_awso_lt-Sens!$F$6751)*3/4</f>
        <v>0.0951267069440154</v>
      </c>
      <c r="K6751" s="13" t="n">
        <f aca="false">Sens!$F$6751+(g_awso_lt-Sens!$F$6751)*4/4</f>
        <v>0.08</v>
      </c>
      <c r="L6751" s="13" t="n">
        <f aca="false">g_awso_lt</f>
        <v>0.08</v>
      </c>
      <c r="M6751" s="13" t="n">
        <f aca="false">g_awso_lt</f>
        <v>0.08</v>
      </c>
      <c r="P6751" s="5" t="s">
        <v>631</v>
      </c>
    </row>
    <row r="6752" customFormat="false" ht="17.15" hidden="false" customHeight="false" outlineLevel="0" collapsed="false">
      <c r="A6752" s="1" t="s">
        <v>632</v>
      </c>
    </row>
    <row r="6753" customFormat="false" ht="17.15" hidden="false" customHeight="false" outlineLevel="0" collapsed="false">
      <c r="A6753" s="0" t="s">
        <v>633</v>
      </c>
      <c r="B6753" s="0" t="s">
        <v>86</v>
      </c>
      <c r="F6753" s="38" t="n">
        <f aca="false">cx_rt*Sens!$F$6718+cx_awso*Sens!$F$6750</f>
        <v>34.9734495387866</v>
      </c>
    </row>
    <row r="6754" customFormat="false" ht="17.15" hidden="false" customHeight="false" outlineLevel="0" collapsed="false">
      <c r="A6754" s="0" t="s">
        <v>634</v>
      </c>
      <c r="B6754" s="0" t="s">
        <v>52</v>
      </c>
      <c r="C6754" s="13" t="n">
        <f aca="false">tk_cx_h100/(tk_cx_h100+tk_fac*(1-colo_sh))</f>
        <v>0.730756458006641</v>
      </c>
      <c r="D6754" s="13" t="n">
        <f aca="false">tk_cx_h100/(tk_cx_h100+tk_fac*(1-colo_sh))</f>
        <v>0.730756458006641</v>
      </c>
      <c r="E6754" s="13" t="n">
        <f aca="false">Sens!$F$6754</f>
        <v>0.760792334328868</v>
      </c>
      <c r="F6754" s="13" t="n">
        <f aca="false">Sens!$F$6737/(Sens!$F$6737+tk_fac*(1-colo_sh))</f>
        <v>0.760792334328868</v>
      </c>
      <c r="G6754" s="13" t="n">
        <f aca="false">Sens!$G$6737/(Sens!$G$6737+tk_fac*(1-colo_sh))</f>
        <v>0.760792334328868</v>
      </c>
      <c r="H6754" s="13" t="n">
        <f aca="false">Sens!$H$6737/(Sens!$H$6737+tk_fac*(1-colo_sh))</f>
        <v>0.768110668862996</v>
      </c>
      <c r="I6754" s="13" t="n">
        <f aca="false">Sens!$I$6737/(Sens!$I$6737+tk_fac*(1-colo_sh))</f>
        <v>0.77499450139483</v>
      </c>
      <c r="J6754" s="13" t="n">
        <f aca="false">Sens!$J$6737/(Sens!$J$6737+tk_fac*(1-colo_sh))</f>
        <v>0.77499450139483</v>
      </c>
      <c r="K6754" s="13" t="n">
        <f aca="false">Sens!$K$6737/(Sens!$K$6737+tk_fac*(1-colo_sh))</f>
        <v>0.77499450139483</v>
      </c>
      <c r="L6754" s="13" t="n">
        <f aca="false">Sens!$L$6737/(Sens!$L$6737+tk_fac*(1-colo_sh))</f>
        <v>0.77499450139483</v>
      </c>
      <c r="M6754" s="13" t="n">
        <f aca="false">Sens!$M$6737/(Sens!$M$6737+tk_fac*(1-colo_sh))</f>
        <v>0.77499450139483</v>
      </c>
    </row>
    <row r="6755" customFormat="false" ht="17.15" hidden="false" customHeight="false" outlineLevel="0" collapsed="false">
      <c r="A6755" s="1" t="s">
        <v>635</v>
      </c>
      <c r="B6755" s="8" t="s">
        <v>86</v>
      </c>
      <c r="C6755" s="38" t="n">
        <f aca="false">Q!$D$46-cx_rt*Q!$D$16-cx_awso*Sens!$C$6750</f>
        <v>25.2781053077374</v>
      </c>
      <c r="D6755" s="38" t="n">
        <f aca="false">Q!$E$46-cx_rt*Q!$E$16-cx_awso*Sens!$D$6750</f>
        <v>69.5686316310026</v>
      </c>
      <c r="E6755" s="38" t="n">
        <f aca="false">Q!$P$46-cx_rt*Q!$P$16-cx_awso*Sens!$E$6750</f>
        <v>64.1899206485108</v>
      </c>
      <c r="F6755" s="38" t="n">
        <f aca="false">capex_g26-Q!$P$46-Sens!$F$6753</f>
        <v>88.7165504612134</v>
      </c>
      <c r="G6755" s="38" t="n">
        <f aca="false">Sens!$E$6755+Sens!$F$6755</f>
        <v>152.906471109724</v>
      </c>
      <c r="H6755" s="38" t="n">
        <f aca="false">Sens!$H$6732*(Sens!$H$6737+tk_fac*(1-colo_sh))/1000+Sens!$H$6756</f>
        <v>198.57136494475</v>
      </c>
      <c r="I6755" s="38" t="n">
        <f aca="false">Sens!$I$6732*(Sens!$I$6737+tk_fac*(1-colo_sh))/1000+Sens!$I$6756</f>
        <v>204.6464699105</v>
      </c>
      <c r="J6755" s="38" t="n">
        <f aca="false">Sens!$J$6732*(Sens!$J$6737+tk_fac*(1-colo_sh))/1000+Sens!$J$6756</f>
        <v>209.8832381105</v>
      </c>
      <c r="K6755" s="38" t="n">
        <f aca="false">Sens!$K$6732*(Sens!$K$6737+tk_fac*(1-colo_sh))/1000+Sens!$K$6756</f>
        <v>155.238385275201</v>
      </c>
      <c r="L6755" s="38" t="n">
        <f aca="false">Sens!$L$6732*(Sens!$L$6737+tk_fac*(1-colo_sh))/1000+Sens!$L$6756</f>
        <v>132.014141639902</v>
      </c>
      <c r="M6755" s="38" t="n">
        <f aca="false">Sens!$M$6732*(Sens!$M$6737+tk_fac*(1-colo_sh))/1000+Sens!$M$6756</f>
        <v>132.230981659852</v>
      </c>
      <c r="P6755" s="5" t="s">
        <v>636</v>
      </c>
      <c r="R6755" s="38" t="n">
        <f aca="false">Q!$C$46-cx_rt*Q!$C$16-cx_awso*(Q!$C$7-mw_ye23/2*rpm_open/1000)</f>
        <v>1.50429979529945</v>
      </c>
      <c r="S6755" s="38" t="n">
        <f aca="false">Sens!$C$6755</f>
        <v>25.2781053077374</v>
      </c>
      <c r="T6755" s="38" t="n">
        <f aca="false">Sens!$D$6755</f>
        <v>69.5686316310026</v>
      </c>
      <c r="U6755" s="38" t="n">
        <f aca="false">Sens!$G$6755</f>
        <v>152.906471109724</v>
      </c>
      <c r="V6755" s="38" t="n">
        <f aca="false">Sens!$H$6755</f>
        <v>198.57136494475</v>
      </c>
      <c r="W6755" s="38" t="n">
        <f aca="false">Sens!$I$6755</f>
        <v>204.6464699105</v>
      </c>
      <c r="X6755" s="38" t="n">
        <f aca="false">Sens!$J$6755</f>
        <v>209.8832381105</v>
      </c>
      <c r="Y6755" s="38" t="n">
        <f aca="false">Sens!$K$6755</f>
        <v>155.238385275201</v>
      </c>
      <c r="Z6755" s="38" t="n">
        <f aca="false">Sens!$L$6755</f>
        <v>132.014141639902</v>
      </c>
      <c r="AA6755" s="38" t="n">
        <f aca="false">Sens!$M$6755</f>
        <v>132.230981659852</v>
      </c>
    </row>
    <row r="6756" customFormat="false" ht="17.15" hidden="false" customHeight="false" outlineLevel="0" collapsed="false">
      <c r="A6756" s="0" t="s">
        <v>637</v>
      </c>
      <c r="B6756" s="0" t="s">
        <v>86</v>
      </c>
      <c r="H6756" s="38" t="n">
        <f aca="false">SUMPRODUCT(--(Sens!$R$6725:$AA$6725=2027-tk_life),Sens!$R$6732:$AA$6732)*Sens!$H$6737/1000</f>
        <v>0</v>
      </c>
      <c r="I6756" s="38" t="n">
        <f aca="false">SUMPRODUCT(--(Sens!$R$6725:$AA$6725=2028-tk_life),Sens!$R$6732:$AA$6732)*Sens!$I$6737/1000</f>
        <v>0</v>
      </c>
      <c r="J6756" s="38" t="n">
        <f aca="false">SUMPRODUCT(--(Sens!$R$6725:$AA$6725=2029-tk_life),Sens!$R$6732:$AA$6732)*Sens!$J$6737/1000</f>
        <v>5.2367682</v>
      </c>
      <c r="K6756" s="38" t="n">
        <f aca="false">SUMPRODUCT(--(Sens!$R$6725:$AA$6725=2030-tk_life),Sens!$R$6732:$AA$6732)*Sens!$K$6737/1000</f>
        <v>10.4735364</v>
      </c>
      <c r="L6756" s="38" t="n">
        <f aca="false">SUMPRODUCT(--(Sens!$R$6725:$AA$6725=2031-tk_life),Sens!$R$6732:$AA$6732)*Sens!$L$6737/1000</f>
        <v>47.1309138</v>
      </c>
      <c r="M6756" s="38" t="n">
        <f aca="false">SUMPRODUCT(--(Sens!$R$6725:$AA$6725=2032-tk_life),Sens!$R$6732:$AA$6732)*Sens!$M$6737/1000</f>
        <v>107.22937485525</v>
      </c>
    </row>
    <row r="6757" customFormat="false" ht="17.15" hidden="false" customHeight="false" outlineLevel="0" collapsed="false">
      <c r="A6757" s="0" t="s">
        <v>638</v>
      </c>
      <c r="B6757" s="0" t="s">
        <v>86</v>
      </c>
      <c r="C6757" s="38" t="n">
        <f aca="false">MIN(Sens!$C$6755,Sens!$C$6732*(tk_cx_h100+tk_fac*(1-colo_sh))/1000)</f>
        <v>11.2938642</v>
      </c>
      <c r="D6757" s="38" t="n">
        <f aca="false">MIN(Sens!$D$6755,Sens!$D$6732*(tk_cx_h100+tk_fac*(1-colo_sh))/1000)</f>
        <v>50.8223889</v>
      </c>
      <c r="E6757" s="38" t="n">
        <f aca="false">MIN(Sens!$E$6755,Sens!$E$6732*(Sens!$F$6737+tk_fac*(1-colo_sh))/1000)</f>
        <v>33.8985792</v>
      </c>
      <c r="F6757" s="38" t="n">
        <f aca="false">Sens!$F$6755</f>
        <v>88.7165504612134</v>
      </c>
      <c r="G6757" s="38" t="n">
        <f aca="false">Sens!$E$6757+Sens!$F$6757</f>
        <v>122.615129661213</v>
      </c>
      <c r="H6757" s="38" t="n">
        <f aca="false">Sens!$H$6755</f>
        <v>198.57136494475</v>
      </c>
      <c r="I6757" s="38" t="n">
        <f aca="false">Sens!$I$6755</f>
        <v>204.6464699105</v>
      </c>
      <c r="J6757" s="38" t="n">
        <f aca="false">Sens!$J$6755</f>
        <v>209.8832381105</v>
      </c>
      <c r="K6757" s="38" t="n">
        <f aca="false">Sens!$K$6755</f>
        <v>155.238385275201</v>
      </c>
      <c r="L6757" s="38" t="n">
        <f aca="false">Sens!$L$6755</f>
        <v>132.014141639902</v>
      </c>
      <c r="M6757" s="38" t="n">
        <f aca="false">Sens!$M$6755</f>
        <v>132.230981659852</v>
      </c>
      <c r="P6757" s="5" t="s">
        <v>639</v>
      </c>
      <c r="R6757" s="38" t="n">
        <f aca="false">MIN(Sens!$R$6755,Sens!$R$6732*(tk_cx_h100+tk_fac*(1-colo_sh))/1000)</f>
        <v>1.50429979529945</v>
      </c>
      <c r="S6757" s="38" t="n">
        <f aca="false">Sens!$C$6757</f>
        <v>11.2938642</v>
      </c>
      <c r="T6757" s="38" t="n">
        <f aca="false">Sens!$D$6757</f>
        <v>50.8223889</v>
      </c>
      <c r="U6757" s="38" t="n">
        <f aca="false">Sens!$G$6757</f>
        <v>122.615129661213</v>
      </c>
      <c r="V6757" s="38" t="n">
        <f aca="false">Sens!$H$6757</f>
        <v>198.57136494475</v>
      </c>
      <c r="W6757" s="38" t="n">
        <f aca="false">Sens!$I$6757</f>
        <v>204.6464699105</v>
      </c>
      <c r="X6757" s="38" t="n">
        <f aca="false">Sens!$J$6757</f>
        <v>209.8832381105</v>
      </c>
      <c r="Y6757" s="38" t="n">
        <f aca="false">Sens!$K$6757</f>
        <v>155.238385275201</v>
      </c>
      <c r="Z6757" s="38" t="n">
        <f aca="false">Sens!$L$6757</f>
        <v>132.014141639902</v>
      </c>
      <c r="AA6757" s="38" t="n">
        <f aca="false">Sens!$M$6757</f>
        <v>132.230981659852</v>
      </c>
    </row>
    <row r="6758" customFormat="false" ht="17.15" hidden="false" customHeight="false" outlineLevel="0" collapsed="false">
      <c r="A6758" s="5" t="s">
        <v>640</v>
      </c>
      <c r="B6758" s="0" t="s">
        <v>86</v>
      </c>
      <c r="C6758" s="38" t="n">
        <f aca="false">Sens!$C$6755-Sens!$C$6757</f>
        <v>13.9842411077374</v>
      </c>
      <c r="D6758" s="38" t="n">
        <f aca="false">Sens!$D$6755-Sens!$D$6757</f>
        <v>18.7462427310026</v>
      </c>
      <c r="E6758" s="38" t="n">
        <f aca="false">Sens!$E$6755-Sens!$E$6757</f>
        <v>30.2913414485108</v>
      </c>
      <c r="F6758" s="38" t="n">
        <f aca="false">Sens!$F$6755-Sens!$F$6757</f>
        <v>0</v>
      </c>
      <c r="G6758" s="38" t="n">
        <f aca="false">Sens!$G$6755-Sens!$G$6757</f>
        <v>30.2913414485108</v>
      </c>
      <c r="H6758" s="38" t="n">
        <f aca="false">Sens!$H$6755-Sens!$H$6757</f>
        <v>0</v>
      </c>
      <c r="I6758" s="38" t="n">
        <f aca="false">Sens!$I$6755-Sens!$I$6757</f>
        <v>0</v>
      </c>
      <c r="J6758" s="38" t="n">
        <f aca="false">Sens!$J$6755-Sens!$J$6757</f>
        <v>0</v>
      </c>
      <c r="K6758" s="38" t="n">
        <f aca="false">Sens!$K$6755-Sens!$K$6757</f>
        <v>0</v>
      </c>
      <c r="L6758" s="38" t="n">
        <f aca="false">Sens!$L$6755-Sens!$L$6757</f>
        <v>0</v>
      </c>
      <c r="M6758" s="38" t="n">
        <f aca="false">Sens!$M$6755-Sens!$M$6757</f>
        <v>0</v>
      </c>
      <c r="P6758" s="5" t="s">
        <v>641</v>
      </c>
      <c r="R6758" s="38" t="n">
        <f aca="false">Sens!$R$6755-Sens!$R$6757</f>
        <v>0</v>
      </c>
      <c r="S6758" s="38" t="n">
        <f aca="false">Sens!$S$6755-Sens!$S$6757</f>
        <v>13.9842411077374</v>
      </c>
      <c r="T6758" s="38" t="n">
        <f aca="false">Sens!$T$6755-Sens!$T$6757</f>
        <v>18.7462427310026</v>
      </c>
      <c r="U6758" s="38" t="n">
        <f aca="false">Sens!$U$6755-Sens!$U$6757</f>
        <v>30.2913414485108</v>
      </c>
      <c r="V6758" s="38" t="n">
        <f aca="false">Sens!$V$6755-Sens!$V$6757</f>
        <v>0</v>
      </c>
      <c r="W6758" s="38" t="n">
        <f aca="false">Sens!$W$6755-Sens!$W$6757</f>
        <v>0</v>
      </c>
      <c r="X6758" s="38" t="n">
        <f aca="false">Sens!$X$6755-Sens!$X$6757</f>
        <v>0</v>
      </c>
      <c r="Y6758" s="38" t="n">
        <f aca="false">Sens!$Y$6755-Sens!$Y$6757</f>
        <v>0</v>
      </c>
      <c r="Z6758" s="38" t="n">
        <f aca="false">Sens!$Z$6755-Sens!$Z$6757</f>
        <v>0</v>
      </c>
      <c r="AA6758" s="38" t="n">
        <f aca="false">Sens!$AA$6755-Sens!$AA$6757</f>
        <v>0</v>
      </c>
    </row>
    <row r="6759" customFormat="false" ht="17.15" hidden="false" customHeight="false" outlineLevel="0" collapsed="false">
      <c r="A6759" s="5" t="s">
        <v>642</v>
      </c>
      <c r="B6759" s="0" t="s">
        <v>86</v>
      </c>
      <c r="R6759" s="38" t="n">
        <f aca="false">Sens!$R$6758*Sens!$C$6754</f>
        <v>0</v>
      </c>
      <c r="S6759" s="38" t="n">
        <f aca="false">Sens!$S$6758*Sens!$C$6754</f>
        <v>10.219074499801</v>
      </c>
      <c r="T6759" s="38" t="n">
        <f aca="false">Sens!$T$6758*Sens!$C$6754</f>
        <v>13.6989379390402</v>
      </c>
      <c r="U6759" s="38" t="n">
        <f aca="false">Sens!$U$6758*Sens!$E$6754</f>
        <v>23.0454203705653</v>
      </c>
      <c r="V6759" s="38" t="n">
        <f aca="false">Sens!$V$6758*Sens!$E$6754</f>
        <v>0</v>
      </c>
      <c r="W6759" s="38" t="n">
        <f aca="false">Sens!$W$6758*Sens!$E$6754</f>
        <v>0</v>
      </c>
      <c r="X6759" s="38" t="n">
        <f aca="false">Sens!$X$6758*Sens!$E$6754</f>
        <v>0</v>
      </c>
      <c r="Y6759" s="38" t="n">
        <f aca="false">Sens!$Y$6758*Sens!$E$6754</f>
        <v>0</v>
      </c>
      <c r="Z6759" s="38" t="n">
        <f aca="false">Sens!$Z$6758*Sens!$E$6754</f>
        <v>0</v>
      </c>
      <c r="AA6759" s="38" t="n">
        <f aca="false">Sens!$AA$6758*Sens!$E$6754</f>
        <v>0</v>
      </c>
    </row>
    <row r="6760" customFormat="false" ht="17.15" hidden="false" customHeight="false" outlineLevel="0" collapsed="false">
      <c r="A6760" s="5" t="s">
        <v>643</v>
      </c>
      <c r="B6760" s="0" t="s">
        <v>86</v>
      </c>
      <c r="R6760" s="38" t="n">
        <f aca="false">SUMPRODUCT(--(Sens!$R$6725:$AA$6725=2023-cip_lag),Sens!$R$6759:$AA$6759)</f>
        <v>0</v>
      </c>
      <c r="S6760" s="38" t="n">
        <f aca="false">SUMPRODUCT(--(Sens!$R$6725:$AA$6725=2024-cip_lag),Sens!$R$6759:$AA$6759)</f>
        <v>0</v>
      </c>
      <c r="T6760" s="38" t="n">
        <f aca="false">SUMPRODUCT(--(Sens!$R$6725:$AA$6725=2025-cip_lag),Sens!$R$6759:$AA$6759)</f>
        <v>10.219074499801</v>
      </c>
      <c r="U6760" s="38" t="n">
        <f aca="false">SUMPRODUCT(--(Sens!$R$6725:$AA$6725=2026-cip_lag),Sens!$R$6759:$AA$6759)</f>
        <v>13.6989379390402</v>
      </c>
      <c r="V6760" s="38" t="n">
        <f aca="false">SUMPRODUCT(--(Sens!$R$6725:$AA$6725=2027-cip_lag),Sens!$R$6759:$AA$6759)</f>
        <v>23.0454203705653</v>
      </c>
      <c r="W6760" s="38" t="n">
        <f aca="false">SUMPRODUCT(--(Sens!$R$6725:$AA$6725=2028-cip_lag),Sens!$R$6759:$AA$6759)</f>
        <v>0</v>
      </c>
      <c r="X6760" s="38" t="n">
        <f aca="false">SUMPRODUCT(--(Sens!$R$6725:$AA$6725=2029-cip_lag),Sens!$R$6759:$AA$6759)</f>
        <v>0</v>
      </c>
      <c r="Y6760" s="38" t="n">
        <f aca="false">SUMPRODUCT(--(Sens!$R$6725:$AA$6725=2030-cip_lag),Sens!$R$6759:$AA$6759)</f>
        <v>0</v>
      </c>
      <c r="Z6760" s="38" t="n">
        <f aca="false">SUMPRODUCT(--(Sens!$R$6725:$AA$6725=2031-cip_lag),Sens!$R$6759:$AA$6759)</f>
        <v>0</v>
      </c>
      <c r="AA6760" s="38" t="n">
        <f aca="false">SUMPRODUCT(--(Sens!$R$6725:$AA$6725=2032-cip_lag),Sens!$R$6759:$AA$6759)</f>
        <v>0</v>
      </c>
    </row>
    <row r="6761" customFormat="false" ht="15" hidden="false" customHeight="false" outlineLevel="0" collapsed="false">
      <c r="A6761" s="5" t="s">
        <v>644</v>
      </c>
      <c r="B6761" s="0" t="s">
        <v>86</v>
      </c>
      <c r="R6761" s="38" t="n">
        <f aca="false">SUMPRODUCT(--(Sens!$R$6725:$AA$6725=2023-cip_lag),Sens!$R$6758:$AA$6758)-Sens!$R$6760</f>
        <v>0</v>
      </c>
      <c r="S6761" s="38" t="n">
        <f aca="false">SUMPRODUCT(--(Sens!$R$6725:$AA$6725=2024-cip_lag),Sens!$R$6758:$AA$6758)-Sens!$S$6760</f>
        <v>0</v>
      </c>
      <c r="T6761" s="38" t="n">
        <f aca="false">SUMPRODUCT(--(Sens!$R$6725:$AA$6725=2025-cip_lag),Sens!$R$6758:$AA$6758)-Sens!$T$6760</f>
        <v>3.76516660793636</v>
      </c>
      <c r="U6761" s="38" t="n">
        <f aca="false">SUMPRODUCT(--(Sens!$R$6725:$AA$6725=2026-cip_lag),Sens!$R$6758:$AA$6758)-Sens!$U$6760</f>
        <v>5.04730479196242</v>
      </c>
      <c r="V6761" s="38" t="n">
        <f aca="false">SUMPRODUCT(--(Sens!$R$6725:$AA$6725=2027-cip_lag),Sens!$R$6758:$AA$6758)-Sens!$V$6760</f>
        <v>7.24592107794548</v>
      </c>
      <c r="W6761" s="38" t="n">
        <f aca="false">SUMPRODUCT(--(Sens!$R$6725:$AA$6725=2028-cip_lag),Sens!$R$6758:$AA$6758)-Sens!$W$6760</f>
        <v>0</v>
      </c>
      <c r="X6761" s="38" t="n">
        <f aca="false">SUMPRODUCT(--(Sens!$R$6725:$AA$6725=2029-cip_lag),Sens!$R$6758:$AA$6758)-Sens!$X$6760</f>
        <v>0</v>
      </c>
      <c r="Y6761" s="38" t="n">
        <f aca="false">SUMPRODUCT(--(Sens!$R$6725:$AA$6725=2030-cip_lag),Sens!$R$6758:$AA$6758)-Sens!$Y$6760</f>
        <v>0</v>
      </c>
      <c r="Z6761" s="38" t="n">
        <f aca="false">SUMPRODUCT(--(Sens!$R$6725:$AA$6725=2031-cip_lag),Sens!$R$6758:$AA$6758)-Sens!$Z$6760</f>
        <v>0</v>
      </c>
      <c r="AA6761" s="38" t="n">
        <f aca="false">SUMPRODUCT(--(Sens!$R$6725:$AA$6725=2032-cip_lag),Sens!$R$6758:$AA$6758)-Sens!$AA$6760</f>
        <v>0</v>
      </c>
    </row>
    <row r="6762" customFormat="false" ht="17.15" hidden="false" customHeight="false" outlineLevel="0" collapsed="false">
      <c r="A6762" s="5" t="s">
        <v>645</v>
      </c>
      <c r="B6762" s="0" t="s">
        <v>86</v>
      </c>
      <c r="C6762" s="38" t="n">
        <f aca="false">Sens!$C$6757*Sens!$C$6754</f>
        <v>8.2530642</v>
      </c>
      <c r="D6762" s="38" t="n">
        <f aca="false">Sens!$D$6757*Sens!$D$6754</f>
        <v>37.1387889</v>
      </c>
      <c r="E6762" s="38" t="n">
        <f aca="false">Sens!$E$6757*Sens!$E$6754</f>
        <v>25.7897792</v>
      </c>
      <c r="F6762" s="38" t="n">
        <f aca="false">Sens!$F$6757*Sens!$F$6754</f>
        <v>67.4948715189913</v>
      </c>
      <c r="G6762" s="38" t="n">
        <f aca="false">Sens!$E$6762+Sens!$F$6762</f>
        <v>93.2846507189913</v>
      </c>
      <c r="H6762" s="38" t="n">
        <f aca="false">(Sens!$H$6757-Sens!$H$6756)*Sens!$H$6754+Sens!$H$6756</f>
        <v>152.52478394475</v>
      </c>
      <c r="I6762" s="38" t="n">
        <f aca="false">(Sens!$I$6757-Sens!$I$6756)*Sens!$I$6754+Sens!$I$6756</f>
        <v>158.5998889105</v>
      </c>
      <c r="J6762" s="38" t="n">
        <f aca="false">(Sens!$J$6757-Sens!$J$6756)*Sens!$J$6754+Sens!$J$6756</f>
        <v>163.8366571105</v>
      </c>
      <c r="K6762" s="38" t="n">
        <f aca="false">(Sens!$K$6757-Sens!$K$6756)*Sens!$K$6754+Sens!$K$6756</f>
        <v>122.665498273534</v>
      </c>
      <c r="L6762" s="38" t="n">
        <f aca="false">(Sens!$L$6757-Sens!$L$6756)*Sens!$L$6754+Sens!$L$6756</f>
        <v>112.914948636568</v>
      </c>
      <c r="M6762" s="38" t="n">
        <f aca="false">(Sens!$M$6757-Sens!$M$6756)*Sens!$M$6754+Sens!$M$6756</f>
        <v>126.605482654852</v>
      </c>
      <c r="R6762" s="38" t="n">
        <f aca="false">Sens!$R$6757*Sens!$C$6754</f>
        <v>1.09927679019314</v>
      </c>
      <c r="S6762" s="38" t="n">
        <f aca="false">Sens!$C$6762</f>
        <v>8.2530642</v>
      </c>
      <c r="T6762" s="38" t="n">
        <f aca="false">Sens!$D$6762</f>
        <v>37.1387889</v>
      </c>
      <c r="U6762" s="38" t="n">
        <f aca="false">Sens!$G$6762</f>
        <v>93.2846507189913</v>
      </c>
      <c r="V6762" s="38" t="n">
        <f aca="false">Sens!$H$6762</f>
        <v>152.52478394475</v>
      </c>
      <c r="W6762" s="38" t="n">
        <f aca="false">Sens!$I$6762</f>
        <v>158.5998889105</v>
      </c>
      <c r="X6762" s="38" t="n">
        <f aca="false">Sens!$J$6762</f>
        <v>163.8366571105</v>
      </c>
      <c r="Y6762" s="38" t="n">
        <f aca="false">Sens!$K$6762</f>
        <v>122.665498273534</v>
      </c>
      <c r="Z6762" s="38" t="n">
        <f aca="false">Sens!$L$6762</f>
        <v>112.914948636568</v>
      </c>
      <c r="AA6762" s="38" t="n">
        <f aca="false">Sens!$M$6762</f>
        <v>126.605482654852</v>
      </c>
    </row>
    <row r="6763" customFormat="false" ht="15" hidden="false" customHeight="false" outlineLevel="0" collapsed="false">
      <c r="A6763" s="5" t="s">
        <v>646</v>
      </c>
      <c r="B6763" s="0" t="s">
        <v>86</v>
      </c>
      <c r="C6763" s="38" t="n">
        <f aca="false">Sens!$C$6757-Sens!$C$6762</f>
        <v>3.0408</v>
      </c>
      <c r="D6763" s="38" t="n">
        <f aca="false">Sens!$D$6757-Sens!$D$6762</f>
        <v>13.6836</v>
      </c>
      <c r="E6763" s="38" t="n">
        <f aca="false">Sens!$E$6757-Sens!$E$6762</f>
        <v>8.1088</v>
      </c>
      <c r="F6763" s="38" t="n">
        <f aca="false">Sens!$F$6757-Sens!$F$6762</f>
        <v>21.2216789422221</v>
      </c>
      <c r="G6763" s="38" t="n">
        <f aca="false">Sens!$G$6757-Sens!$G$6762</f>
        <v>29.3304789422221</v>
      </c>
      <c r="H6763" s="38" t="n">
        <f aca="false">Sens!$H$6757-Sens!$H$6762</f>
        <v>46.046581</v>
      </c>
      <c r="I6763" s="38" t="n">
        <f aca="false">Sens!$I$6757-Sens!$I$6762</f>
        <v>46.046581</v>
      </c>
      <c r="J6763" s="38" t="n">
        <f aca="false">Sens!$J$6757-Sens!$J$6762</f>
        <v>46.046581</v>
      </c>
      <c r="K6763" s="38" t="n">
        <f aca="false">Sens!$K$6757-Sens!$K$6762</f>
        <v>32.5728870016667</v>
      </c>
      <c r="L6763" s="38" t="n">
        <f aca="false">Sens!$L$6757-Sens!$L$6762</f>
        <v>19.0991930033334</v>
      </c>
      <c r="M6763" s="38" t="n">
        <f aca="false">Sens!$M$6757-Sens!$M$6762</f>
        <v>5.62549900499998</v>
      </c>
      <c r="R6763" s="38" t="n">
        <f aca="false">Sens!$R$6757-Sens!$R$6762</f>
        <v>0.405023005106309</v>
      </c>
      <c r="S6763" s="38" t="n">
        <f aca="false">Sens!$S$6757-Sens!$S$6762</f>
        <v>3.0408</v>
      </c>
      <c r="T6763" s="38" t="n">
        <f aca="false">Sens!$T$6757-Sens!$T$6762</f>
        <v>13.6836</v>
      </c>
      <c r="U6763" s="38" t="n">
        <f aca="false">Sens!$U$6757-Sens!$U$6762</f>
        <v>29.3304789422221</v>
      </c>
      <c r="V6763" s="38" t="n">
        <f aca="false">Sens!$V$6757-Sens!$V$6762</f>
        <v>46.046581</v>
      </c>
      <c r="W6763" s="38" t="n">
        <f aca="false">Sens!$W$6757-Sens!$W$6762</f>
        <v>46.046581</v>
      </c>
      <c r="X6763" s="38" t="n">
        <f aca="false">Sens!$X$6757-Sens!$X$6762</f>
        <v>46.046581</v>
      </c>
      <c r="Y6763" s="38" t="n">
        <f aca="false">Sens!$Y$6757-Sens!$Y$6762</f>
        <v>32.5728870016667</v>
      </c>
      <c r="Z6763" s="38" t="n">
        <f aca="false">Sens!$Z$6757-Sens!$Z$6762</f>
        <v>19.0991930033334</v>
      </c>
      <c r="AA6763" s="38" t="n">
        <f aca="false">Sens!$AA$6757-Sens!$AA$6762</f>
        <v>5.62549900499998</v>
      </c>
    </row>
    <row r="6764" customFormat="false" ht="17.15" hidden="false" customHeight="false" outlineLevel="0" collapsed="false">
      <c r="A6764" s="0" t="s">
        <v>647</v>
      </c>
      <c r="B6764" s="0" t="s">
        <v>52</v>
      </c>
      <c r="C6764" s="13" t="n">
        <f aca="false">Sens!$C$6755/Sens!$C$6880</f>
        <v>0.325505489553393</v>
      </c>
      <c r="D6764" s="13" t="n">
        <f aca="false">Sens!$D$6755/Sens!$D$6880</f>
        <v>0.54214956071542</v>
      </c>
      <c r="E6764" s="13" t="n">
        <f aca="false">Sens!$E$6755/Sens!$E$6880</f>
        <v>0.666492790452817</v>
      </c>
      <c r="F6764" s="13" t="n">
        <f aca="false">Sens!$F$6755/Sens!$F$6880</f>
        <v>0.71724917504417</v>
      </c>
      <c r="G6764" s="13" t="n">
        <f aca="false">Sens!$G$6755/Sens!$G$6880</f>
        <v>0.69502941413511</v>
      </c>
      <c r="H6764" s="13" t="n">
        <f aca="false">Sens!$H$6755/Sens!$H$6880</f>
        <v>0.726376041178204</v>
      </c>
      <c r="I6764" s="13" t="n">
        <f aca="false">Sens!$I$6755/Sens!$I$6880</f>
        <v>0.713099092661699</v>
      </c>
      <c r="J6764" s="13" t="n">
        <f aca="false">Sens!$J$6755/Sens!$J$6880</f>
        <v>0.701208348786245</v>
      </c>
      <c r="K6764" s="13" t="n">
        <f aca="false">Sens!$K$6755/Sens!$K$6880</f>
        <v>0.618338844562383</v>
      </c>
      <c r="L6764" s="13" t="n">
        <f aca="false">Sens!$L$6755/Sens!$L$6880</f>
        <v>0.562489158462506</v>
      </c>
      <c r="M6764" s="13" t="n">
        <f aca="false">Sens!$M$6755/Sens!$M$6880</f>
        <v>0.545751190895923</v>
      </c>
    </row>
    <row r="6765" customFormat="false" ht="17.15" hidden="false" customHeight="false" outlineLevel="0" collapsed="false">
      <c r="A6765" s="0" t="s">
        <v>648</v>
      </c>
      <c r="B6765" s="0" t="s">
        <v>86</v>
      </c>
      <c r="C6765" s="38" t="n">
        <f aca="false">Sens!$S$6765</f>
        <v>0.183212798365523</v>
      </c>
      <c r="D6765" s="38" t="n">
        <f aca="false">Sens!$T$6765</f>
        <v>1.55872349836552</v>
      </c>
      <c r="E6765" s="38" t="n">
        <f aca="false">Sens!$G$6765/2</f>
        <v>4.72585036583285</v>
      </c>
      <c r="F6765" s="38" t="n">
        <f aca="false">Sens!$G$6765/2</f>
        <v>4.72585036583285</v>
      </c>
      <c r="G6765" s="38" t="n">
        <f aca="false">Sens!$U$6765</f>
        <v>9.4517007316657</v>
      </c>
      <c r="H6765" s="38" t="n">
        <f aca="false">Sens!$V$6765</f>
        <v>27.2822988413376</v>
      </c>
      <c r="I6765" s="38" t="n">
        <f aca="false">Sens!$W$6765</f>
        <v>56.5439995605568</v>
      </c>
      <c r="J6765" s="38" t="n">
        <f aca="false">Sens!$X$6765</f>
        <v>82.9773143789735</v>
      </c>
      <c r="K6765" s="38" t="n">
        <f aca="false">Sens!$Y$6765</f>
        <v>110.100211099025</v>
      </c>
      <c r="L6765" s="38" t="n">
        <f aca="false">Sens!$Z$6765</f>
        <v>129.16895011128</v>
      </c>
      <c r="M6765" s="38" t="n">
        <f aca="false">Sens!$AA$6765</f>
        <v>140.095130984075</v>
      </c>
      <c r="N6765" s="38" t="n">
        <f aca="false">Sens!$D$6765/2</f>
        <v>0.779361749182762</v>
      </c>
      <c r="O6765" s="38" t="n">
        <f aca="false">Sens!$D$6765/2</f>
        <v>0.779361749182762</v>
      </c>
      <c r="R6765" s="38" t="n">
        <f aca="false">(SUMPRODUCT(--(Sens!$R$6725:$AA$6725&lt;Sens!R$6725),--(Sens!$R$6725:$AA$6725&gt;=Sens!R$6725-tk_life),Sens!$R$6762:$AA$6762)+SUMPRODUCT(--(Sens!$R$6725:$AA$6725&lt;Sens!R$6725),--(Sens!$R$6725:$AA$6725&gt;=Sens!R$6725-tk_life),Sens!$R$6760:$AA$6760))/tk_life</f>
        <v>0</v>
      </c>
      <c r="S6765" s="38" t="n">
        <f aca="false">(SUMPRODUCT(--(Sens!$R$6725:$AA$6725&lt;Sens!S$6725),--(Sens!$R$6725:$AA$6725&gt;=Sens!S$6725-tk_life),Sens!$R$6762:$AA$6762)+SUMPRODUCT(--(Sens!$R$6725:$AA$6725&lt;Sens!S$6725),--(Sens!$R$6725:$AA$6725&gt;=Sens!S$6725-tk_life),Sens!$R$6760:$AA$6760))/tk_life</f>
        <v>0.183212798365523</v>
      </c>
      <c r="T6765" s="38" t="n">
        <f aca="false">(SUMPRODUCT(--(Sens!$R$6725:$AA$6725&lt;Sens!T$6725),--(Sens!$R$6725:$AA$6725&gt;=Sens!T$6725-tk_life),Sens!$R$6762:$AA$6762)+SUMPRODUCT(--(Sens!$R$6725:$AA$6725&lt;Sens!T$6725),--(Sens!$R$6725:$AA$6725&gt;=Sens!T$6725-tk_life),Sens!$R$6760:$AA$6760))/tk_life</f>
        <v>1.55872349836552</v>
      </c>
      <c r="U6765" s="38" t="n">
        <f aca="false">(SUMPRODUCT(--(Sens!$R$6725:$AA$6725&lt;Sens!U$6725),--(Sens!$R$6725:$AA$6725&gt;=Sens!U$6725-tk_life),Sens!$R$6762:$AA$6762)+SUMPRODUCT(--(Sens!$R$6725:$AA$6725&lt;Sens!U$6725),--(Sens!$R$6725:$AA$6725&gt;=Sens!U$6725-tk_life),Sens!$R$6760:$AA$6760))/tk_life</f>
        <v>9.4517007316657</v>
      </c>
      <c r="V6765" s="38" t="n">
        <f aca="false">(SUMPRODUCT(--(Sens!$R$6725:$AA$6725&lt;Sens!V$6725),--(Sens!$R$6725:$AA$6725&gt;=Sens!V$6725-tk_life),Sens!$R$6762:$AA$6762)+SUMPRODUCT(--(Sens!$R$6725:$AA$6725&lt;Sens!V$6725),--(Sens!$R$6725:$AA$6725&gt;=Sens!V$6725-tk_life),Sens!$R$6760:$AA$6760))/tk_life</f>
        <v>27.2822988413376</v>
      </c>
      <c r="W6765" s="38" t="n">
        <f aca="false">(SUMPRODUCT(--(Sens!$R$6725:$AA$6725&lt;Sens!W$6725),--(Sens!$R$6725:$AA$6725&gt;=Sens!W$6725-tk_life),Sens!$R$6762:$AA$6762)+SUMPRODUCT(--(Sens!$R$6725:$AA$6725&lt;Sens!W$6725),--(Sens!$R$6725:$AA$6725&gt;=Sens!W$6725-tk_life),Sens!$R$6760:$AA$6760))/tk_life</f>
        <v>56.5439995605568</v>
      </c>
      <c r="X6765" s="38" t="n">
        <f aca="false">(SUMPRODUCT(--(Sens!$R$6725:$AA$6725&lt;Sens!X$6725),--(Sens!$R$6725:$AA$6725&gt;=Sens!X$6725-tk_life),Sens!$R$6762:$AA$6762)+SUMPRODUCT(--(Sens!$R$6725:$AA$6725&lt;Sens!X$6725),--(Sens!$R$6725:$AA$6725&gt;=Sens!X$6725-tk_life),Sens!$R$6760:$AA$6760))/tk_life</f>
        <v>82.9773143789735</v>
      </c>
      <c r="Y6765" s="38" t="n">
        <f aca="false">(SUMPRODUCT(--(Sens!$R$6725:$AA$6725&lt;Sens!Y$6725),--(Sens!$R$6725:$AA$6725&gt;=Sens!Y$6725-tk_life),Sens!$R$6762:$AA$6762)+SUMPRODUCT(--(Sens!$R$6725:$AA$6725&lt;Sens!Y$6725),--(Sens!$R$6725:$AA$6725&gt;=Sens!Y$6725-tk_life),Sens!$R$6760:$AA$6760))/tk_life</f>
        <v>110.100211099025</v>
      </c>
      <c r="Z6765" s="38" t="n">
        <f aca="false">(SUMPRODUCT(--(Sens!$R$6725:$AA$6725&lt;Sens!Z$6725),--(Sens!$R$6725:$AA$6725&gt;=Sens!Z$6725-tk_life),Sens!$R$6762:$AA$6762)+SUMPRODUCT(--(Sens!$R$6725:$AA$6725&lt;Sens!Z$6725),--(Sens!$R$6725:$AA$6725&gt;=Sens!Z$6725-tk_life),Sens!$R$6760:$AA$6760))/tk_life</f>
        <v>129.16895011128</v>
      </c>
      <c r="AA6765" s="38" t="n">
        <f aca="false">(SUMPRODUCT(--(Sens!$R$6725:$AA$6725&lt;Sens!AA$6725),--(Sens!$R$6725:$AA$6725&gt;=Sens!AA$6725-tk_life),Sens!$R$6762:$AA$6762)+SUMPRODUCT(--(Sens!$R$6725:$AA$6725&lt;Sens!AA$6725),--(Sens!$R$6725:$AA$6725&gt;=Sens!AA$6725-tk_life),Sens!$R$6760:$AA$6760))/tk_life</f>
        <v>140.095130984075</v>
      </c>
    </row>
    <row r="6766" customFormat="false" ht="17.15" hidden="false" customHeight="false" outlineLevel="0" collapsed="false">
      <c r="A6766" s="0" t="s">
        <v>649</v>
      </c>
      <c r="B6766" s="0" t="s">
        <v>86</v>
      </c>
      <c r="C6766" s="38" t="n">
        <f aca="false">Sens!$S$6766</f>
        <v>0.0202511502553155</v>
      </c>
      <c r="D6766" s="38" t="n">
        <f aca="false">Sens!$T$6766</f>
        <v>0.172291150255315</v>
      </c>
      <c r="E6766" s="38" t="n">
        <f aca="false">Sens!$G$6766/2</f>
        <v>0.522364740326067</v>
      </c>
      <c r="F6766" s="38" t="n">
        <f aca="false">Sens!$G$6766/2</f>
        <v>0.522364740326067</v>
      </c>
      <c r="G6766" s="38" t="n">
        <f aca="false">Sens!$U$6766</f>
        <v>1.04472948065213</v>
      </c>
      <c r="H6766" s="38" t="n">
        <f aca="false">Sens!$V$6766</f>
        <v>2.76361866736136</v>
      </c>
      <c r="I6766" s="38" t="n">
        <f aca="false">Sens!$W$6766</f>
        <v>5.42824377125863</v>
      </c>
      <c r="J6766" s="38" t="n">
        <f aca="false">Sens!$X$6766</f>
        <v>7.73057282125864</v>
      </c>
      <c r="K6766" s="38" t="n">
        <f aca="false">Sens!$Y$6766</f>
        <v>10.0329018712586</v>
      </c>
      <c r="L6766" s="38" t="n">
        <f aca="false">Sens!$Z$6766</f>
        <v>11.661546221342</v>
      </c>
      <c r="M6766" s="38" t="n">
        <f aca="false">Sens!$AA$6766</f>
        <v>12.6165058715086</v>
      </c>
      <c r="N6766" s="38" t="n">
        <f aca="false">Sens!$D$6766/2</f>
        <v>0.0861455751276577</v>
      </c>
      <c r="O6766" s="38" t="n">
        <f aca="false">Sens!$D$6766/2</f>
        <v>0.0861455751276577</v>
      </c>
      <c r="R6766" s="38" t="n">
        <f aca="false">(SUMPRODUCT(--(Sens!$R$6725:$AA$6725&lt;Sens!R$6725),Sens!$R$6763:$AA$6763)+SUMPRODUCT(--(Sens!$R$6725:$AA$6725&lt;Sens!R$6725),Sens!$R$6761:$AA$6761))/fac_life</f>
        <v>0</v>
      </c>
      <c r="S6766" s="38" t="n">
        <f aca="false">(SUMPRODUCT(--(Sens!$R$6725:$AA$6725&lt;Sens!S$6725),Sens!$R$6763:$AA$6763)+SUMPRODUCT(--(Sens!$R$6725:$AA$6725&lt;Sens!S$6725),Sens!$R$6761:$AA$6761))/fac_life</f>
        <v>0.0202511502553155</v>
      </c>
      <c r="T6766" s="38" t="n">
        <f aca="false">(SUMPRODUCT(--(Sens!$R$6725:$AA$6725&lt;Sens!T$6725),Sens!$R$6763:$AA$6763)+SUMPRODUCT(--(Sens!$R$6725:$AA$6725&lt;Sens!T$6725),Sens!$R$6761:$AA$6761))/fac_life</f>
        <v>0.172291150255315</v>
      </c>
      <c r="U6766" s="38" t="n">
        <f aca="false">(SUMPRODUCT(--(Sens!$R$6725:$AA$6725&lt;Sens!U$6725),Sens!$R$6763:$AA$6763)+SUMPRODUCT(--(Sens!$R$6725:$AA$6725&lt;Sens!U$6725),Sens!$R$6761:$AA$6761))/fac_life</f>
        <v>1.04472948065213</v>
      </c>
      <c r="V6766" s="38" t="n">
        <f aca="false">(SUMPRODUCT(--(Sens!$R$6725:$AA$6725&lt;Sens!V$6725),Sens!$R$6763:$AA$6763)+SUMPRODUCT(--(Sens!$R$6725:$AA$6725&lt;Sens!V$6725),Sens!$R$6761:$AA$6761))/fac_life</f>
        <v>2.76361866736136</v>
      </c>
      <c r="W6766" s="38" t="n">
        <f aca="false">(SUMPRODUCT(--(Sens!$R$6725:$AA$6725&lt;Sens!W$6725),Sens!$R$6763:$AA$6763)+SUMPRODUCT(--(Sens!$R$6725:$AA$6725&lt;Sens!W$6725),Sens!$R$6761:$AA$6761))/fac_life</f>
        <v>5.42824377125863</v>
      </c>
      <c r="X6766" s="38" t="n">
        <f aca="false">(SUMPRODUCT(--(Sens!$R$6725:$AA$6725&lt;Sens!X$6725),Sens!$R$6763:$AA$6763)+SUMPRODUCT(--(Sens!$R$6725:$AA$6725&lt;Sens!X$6725),Sens!$R$6761:$AA$6761))/fac_life</f>
        <v>7.73057282125864</v>
      </c>
      <c r="Y6766" s="38" t="n">
        <f aca="false">(SUMPRODUCT(--(Sens!$R$6725:$AA$6725&lt;Sens!Y$6725),Sens!$R$6763:$AA$6763)+SUMPRODUCT(--(Sens!$R$6725:$AA$6725&lt;Sens!Y$6725),Sens!$R$6761:$AA$6761))/fac_life</f>
        <v>10.0329018712586</v>
      </c>
      <c r="Z6766" s="38" t="n">
        <f aca="false">(SUMPRODUCT(--(Sens!$R$6725:$AA$6725&lt;Sens!Z$6725),Sens!$R$6763:$AA$6763)+SUMPRODUCT(--(Sens!$R$6725:$AA$6725&lt;Sens!Z$6725),Sens!$R$6761:$AA$6761))/fac_life</f>
        <v>11.661546221342</v>
      </c>
      <c r="AA6766" s="38" t="n">
        <f aca="false">(SUMPRODUCT(--(Sens!$R$6725:$AA$6725&lt;Sens!AA$6725),Sens!$R$6763:$AA$6763)+SUMPRODUCT(--(Sens!$R$6725:$AA$6725&lt;Sens!AA$6725),Sens!$R$6761:$AA$6761))/fac_life</f>
        <v>12.6165058715086</v>
      </c>
    </row>
    <row r="6767" customFormat="false" ht="17.15" hidden="false" customHeight="false" outlineLevel="0" collapsed="false">
      <c r="A6767" s="1" t="s">
        <v>650</v>
      </c>
      <c r="B6767" s="8" t="s">
        <v>86</v>
      </c>
      <c r="C6767" s="38" t="n">
        <f aca="false">Sens!$C$6765+Sens!$C$6766</f>
        <v>0.203463948620839</v>
      </c>
      <c r="D6767" s="38" t="n">
        <f aca="false">Sens!$D$6765+Sens!$D$6766</f>
        <v>1.73101464862084</v>
      </c>
      <c r="E6767" s="38" t="n">
        <f aca="false">Sens!$E$6765+Sens!$E$6766</f>
        <v>5.24821510615892</v>
      </c>
      <c r="F6767" s="38" t="n">
        <f aca="false">Sens!$F$6765+Sens!$F$6766</f>
        <v>5.24821510615892</v>
      </c>
      <c r="G6767" s="38" t="n">
        <f aca="false">Sens!$G$6765+Sens!$G$6766</f>
        <v>10.4964302123178</v>
      </c>
      <c r="H6767" s="38" t="n">
        <f aca="false">Sens!$H$6765+Sens!$H$6766</f>
        <v>30.045917508699</v>
      </c>
      <c r="I6767" s="38" t="n">
        <f aca="false">Sens!$I$6765+Sens!$I$6766</f>
        <v>61.9722433318155</v>
      </c>
      <c r="J6767" s="38" t="n">
        <f aca="false">Sens!$J$6765+Sens!$J$6766</f>
        <v>90.7078872002321</v>
      </c>
      <c r="K6767" s="38" t="n">
        <f aca="false">Sens!$K$6765+Sens!$K$6766</f>
        <v>120.133112970283</v>
      </c>
      <c r="L6767" s="38" t="n">
        <f aca="false">Sens!$L$6765+Sens!$L$6766</f>
        <v>140.830496332622</v>
      </c>
      <c r="M6767" s="38" t="n">
        <f aca="false">Sens!$M$6765+Sens!$M$6766</f>
        <v>152.711636855584</v>
      </c>
      <c r="N6767" s="38" t="n">
        <f aca="false">Sens!$N$6765+Sens!$N$6766</f>
        <v>0.865507324310419</v>
      </c>
      <c r="O6767" s="38" t="n">
        <f aca="false">Sens!$O$6765+Sens!$O$6766</f>
        <v>0.865507324310419</v>
      </c>
      <c r="R6767" s="38" t="n">
        <f aca="false">Sens!$R$6765+Sens!$R$6766</f>
        <v>0</v>
      </c>
      <c r="S6767" s="38" t="n">
        <f aca="false">Sens!$S$6765+Sens!$S$6766</f>
        <v>0.203463948620839</v>
      </c>
      <c r="T6767" s="38" t="n">
        <f aca="false">Sens!$T$6765+Sens!$T$6766</f>
        <v>1.73101464862084</v>
      </c>
      <c r="U6767" s="38" t="n">
        <f aca="false">Sens!$U$6765+Sens!$U$6766</f>
        <v>10.4964302123178</v>
      </c>
      <c r="V6767" s="38" t="n">
        <f aca="false">Sens!$V$6765+Sens!$V$6766</f>
        <v>30.045917508699</v>
      </c>
      <c r="W6767" s="38" t="n">
        <f aca="false">Sens!$W$6765+Sens!$W$6766</f>
        <v>61.9722433318155</v>
      </c>
      <c r="X6767" s="38" t="n">
        <f aca="false">Sens!$X$6765+Sens!$X$6766</f>
        <v>90.7078872002321</v>
      </c>
      <c r="Y6767" s="38" t="n">
        <f aca="false">Sens!$Y$6765+Sens!$Y$6766</f>
        <v>120.133112970283</v>
      </c>
      <c r="Z6767" s="38" t="n">
        <f aca="false">Sens!$Z$6765+Sens!$Z$6766</f>
        <v>140.830496332622</v>
      </c>
      <c r="AA6767" s="38" t="n">
        <f aca="false">Sens!$AA$6765+Sens!$AA$6766</f>
        <v>152.711636855584</v>
      </c>
    </row>
    <row r="6768" customFormat="false" ht="17.15" hidden="false" customHeight="false" outlineLevel="0" collapsed="false">
      <c r="A6768" s="0" t="s">
        <v>651</v>
      </c>
      <c r="B6768" s="0" t="s">
        <v>86</v>
      </c>
      <c r="C6768" s="38" t="n">
        <f aca="false">Sens!$S$6768</f>
        <v>26.578941154416</v>
      </c>
      <c r="D6768" s="38" t="n">
        <f aca="false">Sens!$T$6768</f>
        <v>94.4165581367978</v>
      </c>
      <c r="G6768" s="38" t="n">
        <f aca="false">Sens!$U$6768</f>
        <v>236.826599034204</v>
      </c>
      <c r="H6768" s="38" t="n">
        <f aca="false">Sens!$V$6768</f>
        <v>405.352046470255</v>
      </c>
      <c r="I6768" s="38" t="n">
        <f aca="false">Sens!$W$6768</f>
        <v>548.02627304894</v>
      </c>
      <c r="J6768" s="38" t="n">
        <f aca="false">Sens!$X$6768</f>
        <v>667.201623959208</v>
      </c>
      <c r="K6768" s="38" t="n">
        <f aca="false">Sens!$Y$6768</f>
        <v>702.306896264125</v>
      </c>
      <c r="L6768" s="38" t="n">
        <f aca="false">Sens!$Z$6768</f>
        <v>693.490541571405</v>
      </c>
      <c r="M6768" s="38" t="n">
        <f aca="false">Sens!$AA$6768</f>
        <v>673.009886375674</v>
      </c>
      <c r="R6768" s="38" t="n">
        <f aca="false">SUM(Sens!$R$6755:$R$6755)-SUM(Sens!$R$6767:$R$6767)</f>
        <v>1.50429979529945</v>
      </c>
      <c r="S6768" s="38" t="n">
        <f aca="false">SUM(Sens!$R$6755:$S$6755)-SUM(Sens!$R$6767:$S$6767)</f>
        <v>26.578941154416</v>
      </c>
      <c r="T6768" s="38" t="n">
        <f aca="false">SUM(Sens!$R$6755:$T$6755)-SUM(Sens!$R$6767:$T$6767)</f>
        <v>94.4165581367978</v>
      </c>
      <c r="U6768" s="38" t="n">
        <f aca="false">SUM(Sens!$R$6755:$U$6755)-SUM(Sens!$R$6767:$U$6767)</f>
        <v>236.826599034204</v>
      </c>
      <c r="V6768" s="38" t="n">
        <f aca="false">SUM(Sens!$R$6755:$V$6755)-SUM(Sens!$R$6767:$V$6767)</f>
        <v>405.352046470255</v>
      </c>
      <c r="W6768" s="38" t="n">
        <f aca="false">SUM(Sens!$R$6755:$W$6755)-SUM(Sens!$R$6767:$W$6767)</f>
        <v>548.02627304894</v>
      </c>
      <c r="X6768" s="38" t="n">
        <f aca="false">SUM(Sens!$R$6755:$X$6755)-SUM(Sens!$R$6767:$X$6767)</f>
        <v>667.201623959208</v>
      </c>
      <c r="Y6768" s="38" t="n">
        <f aca="false">SUM(Sens!$R$6755:$Y$6755)-SUM(Sens!$R$6767:$Y$6767)</f>
        <v>702.306896264125</v>
      </c>
      <c r="Z6768" s="38" t="n">
        <f aca="false">SUM(Sens!$R$6755:$Z$6755)-SUM(Sens!$R$6767:$Z$6767)</f>
        <v>693.490541571405</v>
      </c>
      <c r="AA6768" s="38" t="n">
        <f aca="false">SUM(Sens!$R$6755:$AA$6755)-SUM(Sens!$R$6767:$AA$6767)</f>
        <v>673.009886375674</v>
      </c>
    </row>
    <row r="6769" customFormat="false" ht="17.15" hidden="false" customHeight="false" outlineLevel="0" collapsed="false">
      <c r="A6769" s="1" t="s">
        <v>652</v>
      </c>
    </row>
    <row r="6770" customFormat="false" ht="17.15" hidden="false" customHeight="false" outlineLevel="0" collapsed="false">
      <c r="A6770" s="0" t="s">
        <v>653</v>
      </c>
      <c r="B6770" s="0" t="s">
        <v>86</v>
      </c>
      <c r="C6770" s="38" t="n">
        <f aca="false">Sens!$C$6746-ext_sh*Sens!$C$6748</f>
        <v>1.80694998843362</v>
      </c>
      <c r="D6770" s="38" t="n">
        <f aca="false">Sens!$D$6746-ext_sh*Sens!$D$6748</f>
        <v>6.77606245662607</v>
      </c>
      <c r="E6770" s="38" t="n">
        <f aca="false">Sens!$E$6746-ext_sh*Sens!$E$6748</f>
        <v>6.62548329092326</v>
      </c>
      <c r="F6770" s="38" t="n">
        <f aca="false">Sens!$F$6746-ext_sh*Sens!$F$6748</f>
        <v>11.7200577158706</v>
      </c>
      <c r="G6770" s="38" t="n">
        <f aca="false">Sens!$G$6746-ext_sh*Sens!$G$6748</f>
        <v>18.3455410067939</v>
      </c>
      <c r="H6770" s="38" t="n">
        <f aca="false">Sens!$H$6746-ext_sh*Sens!$H$6748</f>
        <v>47.5171727060453</v>
      </c>
      <c r="I6770" s="38" t="n">
        <f aca="false">Sens!$I$6746-ext_sh*Sens!$I$6748</f>
        <v>80.5539692643667</v>
      </c>
      <c r="J6770" s="38" t="n">
        <f aca="false">Sens!$J$6746-ext_sh*Sens!$J$6748</f>
        <v>113.759316834883</v>
      </c>
      <c r="K6770" s="38" t="n">
        <f aca="false">Sens!$K$6746-ext_sh*Sens!$K$6748</f>
        <v>142.084411492169</v>
      </c>
      <c r="L6770" s="38" t="n">
        <f aca="false">Sens!$L$6746-ext_sh*Sens!$L$6748</f>
        <v>160.69964615804</v>
      </c>
      <c r="M6770" s="38" t="n">
        <f aca="false">Sens!$M$6746-ext_sh*Sens!$M$6748</f>
        <v>169.577607141793</v>
      </c>
      <c r="N6770" s="38" t="n">
        <f aca="false">Sens!$N$6746-ext_sh*Sens!$N$6748</f>
        <v>2.37162185981912</v>
      </c>
      <c r="O6770" s="38" t="n">
        <f aca="false">Sens!$O$6746-ext_sh*Sens!$O$6748</f>
        <v>4.40444059680694</v>
      </c>
    </row>
    <row r="6771" customFormat="false" ht="17.15" hidden="false" customHeight="false" outlineLevel="0" collapsed="false">
      <c r="A6771" s="1" t="s">
        <v>654</v>
      </c>
      <c r="B6771" s="8" t="s">
        <v>86</v>
      </c>
      <c r="C6771" s="38" t="n">
        <f aca="false">Sens!$C$6770-ext_sh*Sens!$C$6767</f>
        <v>1.64417882953695</v>
      </c>
      <c r="D6771" s="38" t="n">
        <f aca="false">Sens!$D$6770-ext_sh*Sens!$D$6767</f>
        <v>5.39125073772939</v>
      </c>
      <c r="E6771" s="38" t="n">
        <f aca="false">Sens!$E$6770-ext_sh*Sens!$E$6767</f>
        <v>2.42691120599613</v>
      </c>
      <c r="F6771" s="38" t="n">
        <f aca="false">Sens!$F$6770-ext_sh*Sens!$F$6767</f>
        <v>7.52148563094346</v>
      </c>
      <c r="G6771" s="38" t="n">
        <f aca="false">Sens!$G$6770-ext_sh*Sens!$G$6767</f>
        <v>9.94839683693959</v>
      </c>
      <c r="H6771" s="38" t="n">
        <f aca="false">Sens!$H$6770-ext_sh*Sens!$H$6767</f>
        <v>23.4804386990861</v>
      </c>
      <c r="I6771" s="38" t="n">
        <f aca="false">Sens!$I$6770-ext_sh*Sens!$I$6767</f>
        <v>30.9761745989143</v>
      </c>
      <c r="J6771" s="38" t="n">
        <f aca="false">Sens!$J$6770-ext_sh*Sens!$J$6767</f>
        <v>41.1930070746977</v>
      </c>
      <c r="K6771" s="38" t="n">
        <f aca="false">Sens!$K$6770-ext_sh*Sens!$K$6767</f>
        <v>45.9779211159428</v>
      </c>
      <c r="L6771" s="38" t="n">
        <f aca="false">Sens!$L$6770-ext_sh*Sens!$L$6767</f>
        <v>48.0352490919424</v>
      </c>
      <c r="M6771" s="38" t="n">
        <f aca="false">Sens!$M$6770-ext_sh*Sens!$M$6767</f>
        <v>47.4082976573265</v>
      </c>
      <c r="N6771" s="38" t="n">
        <f aca="false">Sens!$N$6770-ext_sh*Sens!$N$6767</f>
        <v>1.67921600037079</v>
      </c>
      <c r="O6771" s="38" t="n">
        <f aca="false">Sens!$O$6770-ext_sh*Sens!$O$6767</f>
        <v>3.71203473735861</v>
      </c>
    </row>
    <row r="6772" customFormat="false" ht="17.15" hidden="false" customHeight="false" outlineLevel="0" collapsed="false">
      <c r="A6772" s="0" t="s">
        <v>655</v>
      </c>
      <c r="B6772" s="0" t="s">
        <v>52</v>
      </c>
      <c r="C6772" s="13" t="n">
        <f aca="false">Sens!$C$6771/Sens!$C$6746</f>
        <v>0.708390794789371</v>
      </c>
      <c r="D6772" s="13" t="n">
        <f aca="false">Sens!$D$6771/Sens!$D$6746</f>
        <v>0.619415573115729</v>
      </c>
      <c r="E6772" s="13" t="n">
        <f aca="false">Sens!$E$6771/Sens!$E$6746</f>
        <v>0.285171627189009</v>
      </c>
      <c r="F6772" s="13" t="n">
        <f aca="false">Sens!$F$6771/Sens!$F$6746</f>
        <v>0.502657732812366</v>
      </c>
      <c r="G6772" s="13" t="n">
        <f aca="false">Sens!$G$6771/Sens!$G$6746</f>
        <v>0.423808778611812</v>
      </c>
      <c r="H6772" s="13" t="n">
        <f aca="false">Sens!$H$6771/Sens!$H$6746</f>
        <v>0.390261631739809</v>
      </c>
      <c r="I6772" s="13" t="n">
        <f aca="false">Sens!$I$6771/Sens!$I$6746</f>
        <v>0.305172864264572</v>
      </c>
      <c r="J6772" s="13" t="n">
        <f aca="false">Sens!$J$6771/Sens!$J$6746</f>
        <v>0.288011814789856</v>
      </c>
      <c r="K6772" s="13" t="n">
        <f aca="false">Sens!$K$6771/Sens!$K$6746</f>
        <v>0.25765427518774</v>
      </c>
      <c r="L6772" s="13" t="n">
        <f aca="false">Sens!$L$6771/Sens!$L$6746</f>
        <v>0.238118778012374</v>
      </c>
      <c r="M6772" s="13" t="n">
        <f aca="false">Sens!$M$6771/Sens!$M$6746</f>
        <v>0.222746255757109</v>
      </c>
      <c r="N6772" s="13" t="n">
        <f aca="false">Sens!$N$6771/Sens!$N$6746</f>
        <v>0.551227795793364</v>
      </c>
      <c r="O6772" s="13" t="n">
        <f aca="false">Sens!$O$6771/Sens!$O$6746</f>
        <v>0.656132068597002</v>
      </c>
    </row>
    <row r="6773" customFormat="false" ht="17.15" hidden="false" customHeight="false" outlineLevel="0" collapsed="false">
      <c r="A6773" s="5" t="s">
        <v>656</v>
      </c>
      <c r="B6773" s="0" t="s">
        <v>86</v>
      </c>
      <c r="C6773" s="39" t="n">
        <v>0</v>
      </c>
      <c r="D6773" s="39" t="n">
        <v>0</v>
      </c>
      <c r="E6773" s="39" t="n">
        <v>0</v>
      </c>
      <c r="F6773" s="38" t="n">
        <f aca="false">IF(internal_ai_reading=2,1,0)*(1-ext_sh)/ext_sh*(mw_open*he_open+Sens!$F$6744*Sens!$F$6741)*Sens!$F$6730/1000</f>
        <v>3.77122048175818</v>
      </c>
      <c r="G6773" s="38" t="n">
        <f aca="false">Sens!$E$6773+Sens!$F$6773</f>
        <v>3.77122048175818</v>
      </c>
      <c r="H6773" s="38" t="n">
        <f aca="false">IF(internal_ai_reading=2,1,0)*(1-ext_sh)/ext_sh*(mw_open*he_open+Sens!$H$6744*Sens!$H$6741)*Sens!$H$6730/1000</f>
        <v>15.1635543609893</v>
      </c>
      <c r="I6773" s="38" t="n">
        <f aca="false">IF(internal_ai_reading=2,1,0)*(1-ext_sh)/ext_sh*(mw_open*he_open+Sens!$I$6744*Sens!$I$6741)*Sens!$I$6730/1000</f>
        <v>25.5818843619889</v>
      </c>
      <c r="J6773" s="38" t="n">
        <f aca="false">IF(internal_ai_reading=2,1,0)*(1-ext_sh)/ext_sh*(mw_open*he_open+Sens!$J$6744*Sens!$J$6741)*Sens!$J$6730/1000</f>
        <v>36.0465624179122</v>
      </c>
      <c r="K6773" s="38" t="n">
        <f aca="false">IF(internal_ai_reading=2,1,0)*(1-ext_sh)/ext_sh*(mw_open*he_open+Sens!$K$6744*Sens!$K$6741)*Sens!$K$6730/1000</f>
        <v>44.9741164026038</v>
      </c>
      <c r="L6773" s="38" t="n">
        <f aca="false">IF(internal_ai_reading=2,1,0)*(1-ext_sh)/ext_sh*(mw_open*he_open+Sens!$L$6744*Sens!$L$6741)*Sens!$L$6730/1000</f>
        <v>50.8413488057813</v>
      </c>
      <c r="M6773" s="38" t="n">
        <f aca="false">IF(internal_ai_reading=2,1,0)*(1-ext_sh)/ext_sh*(mw_open*he_open+Sens!$M$6744*Sens!$M$6741)*Sens!$M$6730/1000</f>
        <v>53.6407214274315</v>
      </c>
      <c r="N6773" s="39" t="n">
        <v>0</v>
      </c>
      <c r="O6773" s="39" t="n">
        <v>0</v>
      </c>
      <c r="P6773" s="8" t="s">
        <v>657</v>
      </c>
    </row>
    <row r="6774" customFormat="false" ht="17.15" hidden="false" customHeight="false" outlineLevel="0" collapsed="false">
      <c r="A6774" s="5" t="s">
        <v>658</v>
      </c>
      <c r="B6774" s="0" t="s">
        <v>86</v>
      </c>
      <c r="C6774" s="38" t="n">
        <f aca="false">(1-ext_sh)*(Sens!$C$6748+Sens!$C$6767)</f>
        <v>0.169206631859174</v>
      </c>
      <c r="D6774" s="38" t="n">
        <f aca="false">(1-ext_sh)*(Sens!$D$6748+Sens!$D$6767)</f>
        <v>0.828129837730442</v>
      </c>
      <c r="E6774" s="38" t="n">
        <f aca="false">(1-ext_sh)*(Sens!$E$6748+Sens!$E$6767)</f>
        <v>1.52086044239347</v>
      </c>
      <c r="F6774" s="38" t="n">
        <f aca="false">(1-ext_sh)*(Sens!$F$6748+Sens!$F$6767)</f>
        <v>1.86048700344425</v>
      </c>
      <c r="G6774" s="38" t="n">
        <f aca="false">(1-ext_sh)*(Sens!$G$6748+Sens!$G$6767)</f>
        <v>3.38134744583772</v>
      </c>
      <c r="H6774" s="38" t="n">
        <f aca="false">(1-ext_sh)*(Sens!$H$6748+Sens!$H$6767)</f>
        <v>9.17136301267211</v>
      </c>
      <c r="I6774" s="38" t="n">
        <f aca="false">(1-ext_sh)*(Sens!$I$6748+Sens!$I$6767)</f>
        <v>17.6318811343794</v>
      </c>
      <c r="J6774" s="38" t="n">
        <f aca="false">(1-ext_sh)*(Sens!$J$6748+Sens!$J$6767)</f>
        <v>25.4581000191451</v>
      </c>
      <c r="K6774" s="38" t="n">
        <f aca="false">(1-ext_sh)*(Sens!$K$6748+Sens!$K$6767)</f>
        <v>33.1175498168092</v>
      </c>
      <c r="L6774" s="38" t="n">
        <f aca="false">(1-ext_sh)*(Sens!$L$6748+Sens!$L$6767)</f>
        <v>38.4232131776135</v>
      </c>
      <c r="M6774" s="38" t="n">
        <f aca="false">(1-ext_sh)*(Sens!$M$6748+Sens!$M$6767)</f>
        <v>41.3567859278847</v>
      </c>
      <c r="N6774" s="38" t="n">
        <f aca="false">(1-ext_sh)*(Sens!$N$6748+Sens!$N$6767)</f>
        <v>0.34177588266428</v>
      </c>
      <c r="O6774" s="38" t="n">
        <f aca="false">(1-ext_sh)*(Sens!$O$6748+Sens!$O$6767)</f>
        <v>0.486353955066162</v>
      </c>
    </row>
    <row r="6775" customFormat="false" ht="17.15" hidden="false" customHeight="false" outlineLevel="0" collapsed="false">
      <c r="A6775" s="0" t="s">
        <v>659</v>
      </c>
      <c r="B6775" s="0" t="s">
        <v>86</v>
      </c>
      <c r="C6775" s="38" t="n">
        <f aca="false">Q!$D$24</f>
        <v>39.834</v>
      </c>
      <c r="D6775" s="38" t="n">
        <f aca="false">Q!$E$24</f>
        <v>45.606</v>
      </c>
      <c r="E6775" s="38" t="n">
        <f aca="false">Q!$P$24</f>
        <v>30.782</v>
      </c>
      <c r="N6775" s="38" t="n">
        <f aca="false">Q!$N$24</f>
        <v>21.707</v>
      </c>
      <c r="O6775" s="38" t="n">
        <f aca="false">Q!$O$24</f>
        <v>23.899</v>
      </c>
    </row>
    <row r="6776" customFormat="false" ht="17.15" hidden="false" customHeight="false" outlineLevel="0" collapsed="false">
      <c r="A6776" s="0" t="s">
        <v>660</v>
      </c>
      <c r="B6776" s="0" t="s">
        <v>86</v>
      </c>
      <c r="C6776" s="38" t="n">
        <f aca="false">Sens!$C$6775-Sens!$C$6771</f>
        <v>38.1898211704631</v>
      </c>
      <c r="D6776" s="38" t="n">
        <f aca="false">Sens!$D$6775-Sens!$D$6771</f>
        <v>40.2147492622706</v>
      </c>
      <c r="E6776" s="38" t="n">
        <f aca="false">Sens!$E$6775-Sens!$E$6771</f>
        <v>28.3550887940039</v>
      </c>
      <c r="F6776" s="38" t="n">
        <f aca="false">Sens!$F$6750*Sens!$F$6777</f>
        <v>25.9529793149447</v>
      </c>
      <c r="G6776" s="38" t="n">
        <f aca="false">Sens!$E$6776+Sens!$F$6776</f>
        <v>54.3080681089486</v>
      </c>
      <c r="H6776" s="38" t="n">
        <f aca="false">Sens!$H$6750*Sens!$H$6777</f>
        <v>58.2264684589333</v>
      </c>
      <c r="I6776" s="38" t="n">
        <f aca="false">Sens!$I$6750*Sens!$I$6777</f>
        <v>64.6461353851744</v>
      </c>
      <c r="J6776" s="38" t="n">
        <f aca="false">Sens!$J$6750*Sens!$J$6777</f>
        <v>70.7957093610231</v>
      </c>
      <c r="K6776" s="38" t="n">
        <f aca="false">Sens!$K$6750*Sens!$K$6777</f>
        <v>76.4593661099049</v>
      </c>
      <c r="L6776" s="38" t="n">
        <f aca="false">Sens!$L$6750*Sens!$L$6777</f>
        <v>82.5761153986973</v>
      </c>
      <c r="M6776" s="38" t="n">
        <f aca="false">Sens!$M$6750*Sens!$M$6777</f>
        <v>89.1822046305931</v>
      </c>
      <c r="N6776" s="38" t="n">
        <f aca="false">Sens!$N$6775-Sens!$N$6771</f>
        <v>20.0277839996292</v>
      </c>
      <c r="O6776" s="38" t="n">
        <f aca="false">Sens!$O$6775-Sens!$O$6771</f>
        <v>20.1869652626414</v>
      </c>
      <c r="P6776" s="5" t="s">
        <v>661</v>
      </c>
    </row>
    <row r="6777" customFormat="false" ht="17.15" hidden="false" customHeight="false" outlineLevel="0" collapsed="false">
      <c r="A6777" s="0" t="s">
        <v>662</v>
      </c>
      <c r="B6777" s="0" t="s">
        <v>52</v>
      </c>
      <c r="C6777" s="13" t="n">
        <f aca="false">Sens!$C$6776/Sens!$C$6750</f>
        <v>0.362900395443635</v>
      </c>
      <c r="D6777" s="13" t="n">
        <f aca="false">Sens!$D$6776/Sens!$D$6750</f>
        <v>0.335063632425483</v>
      </c>
      <c r="E6777" s="13" t="n">
        <f aca="false">Sens!$E$6776/Sens!$E$6750</f>
        <v>0.397638855555478</v>
      </c>
      <c r="F6777" s="13" t="n">
        <f aca="false">(Sens!$O$6776+Sens!$E$6776)/(Sens!$O$6750+Sens!$E$6750)</f>
        <v>0.361616727338133</v>
      </c>
      <c r="G6777" s="13" t="n">
        <f aca="false">Sens!$G$6776/Sens!$G$6750</f>
        <v>0.379569803149143</v>
      </c>
      <c r="H6777" s="13" t="n">
        <f aca="false">Sens!$F$6777</f>
        <v>0.361616727338133</v>
      </c>
      <c r="I6777" s="13" t="n">
        <f aca="false">Sens!$F$6777</f>
        <v>0.361616727338133</v>
      </c>
      <c r="J6777" s="13" t="n">
        <f aca="false">Sens!$F$6777</f>
        <v>0.361616727338133</v>
      </c>
      <c r="K6777" s="13" t="n">
        <f aca="false">Sens!$F$6777</f>
        <v>0.361616727338133</v>
      </c>
      <c r="L6777" s="13" t="n">
        <f aca="false">Sens!$F$6777</f>
        <v>0.361616727338133</v>
      </c>
      <c r="M6777" s="13" t="n">
        <f aca="false">Sens!$F$6777</f>
        <v>0.361616727338133</v>
      </c>
      <c r="N6777" s="13" t="n">
        <f aca="false">Sens!$N$6776/Sens!$N$6750</f>
        <v>0.35078810535806</v>
      </c>
      <c r="O6777" s="13" t="n">
        <f aca="false">Sens!$O$6776/Sens!$O$6750</f>
        <v>0.320796939361619</v>
      </c>
      <c r="P6777" s="8" t="s">
        <v>663</v>
      </c>
    </row>
    <row r="6778" customFormat="false" ht="17.15" hidden="false" customHeight="false" outlineLevel="0" collapsed="false">
      <c r="A6778" s="0" t="s">
        <v>664</v>
      </c>
      <c r="B6778" s="0" t="s">
        <v>52</v>
      </c>
      <c r="D6778" s="13" t="n">
        <f aca="false">(Q!$E$31-ext_sh*Sens!$D$6767)/Sens!$D$6750</f>
        <v>0.167180325480118</v>
      </c>
    </row>
    <row r="6779" customFormat="false" ht="17.15" hidden="false" customHeight="false" outlineLevel="0" collapsed="false">
      <c r="A6779" s="0" t="s">
        <v>665</v>
      </c>
      <c r="B6779" s="0" t="s">
        <v>86</v>
      </c>
      <c r="C6779" s="38" t="n">
        <f aca="false">Q!$D$31</f>
        <v>13.32</v>
      </c>
      <c r="D6779" s="38" t="n">
        <f aca="false">Q!$E$31</f>
        <v>21.45</v>
      </c>
      <c r="E6779" s="38" t="n">
        <f aca="false">Q!$P$31</f>
        <v>15.353</v>
      </c>
      <c r="F6779" s="38" t="n">
        <f aca="false">ext_sh*Sens!$F$6767+Sens!$D$6778*Sens!$F$6750</f>
        <v>16.1969869840094</v>
      </c>
      <c r="G6779" s="38" t="n">
        <f aca="false">Sens!$E$6779+Sens!$F$6779</f>
        <v>31.5499869840094</v>
      </c>
      <c r="H6779" s="38" t="n">
        <f aca="false">ext_sh*Sens!$H$6767+Sens!$D$6778*Sens!$H$6750</f>
        <v>50.9556213609176</v>
      </c>
      <c r="I6779" s="38" t="n">
        <f aca="false">ext_sh*Sens!$I$6767+Sens!$D$6778*Sens!$I$6750</f>
        <v>79.464581248252</v>
      </c>
      <c r="J6779" s="38" t="n">
        <f aca="false">ext_sh*Sens!$J$6767+Sens!$D$6778*Sens!$J$6750</f>
        <v>105.296127931746</v>
      </c>
      <c r="K6779" s="38" t="n">
        <f aca="false">ext_sh*Sens!$K$6767+Sens!$D$6778*Sens!$K$6750</f>
        <v>131.454694001511</v>
      </c>
      <c r="L6779" s="38" t="n">
        <f aca="false">ext_sh*Sens!$L$6767+Sens!$D$6778*Sens!$L$6750</f>
        <v>150.840456981405</v>
      </c>
      <c r="M6779" s="38" t="n">
        <f aca="false">ext_sh*Sens!$M$6767+Sens!$D$6778*Sens!$M$6750</f>
        <v>163.399454192999</v>
      </c>
      <c r="N6779" s="38" t="n">
        <f aca="false">Q!$N$31</f>
        <v>9.234</v>
      </c>
      <c r="O6779" s="38" t="n">
        <f aca="false">Q!$O$31</f>
        <v>12.216</v>
      </c>
    </row>
    <row r="6780" customFormat="false" ht="17.15" hidden="false" customHeight="false" outlineLevel="0" collapsed="false">
      <c r="A6780" s="1" t="s">
        <v>666</v>
      </c>
    </row>
    <row r="6781" customFormat="false" ht="17.15" hidden="false" customHeight="false" outlineLevel="0" collapsed="false">
      <c r="A6781" s="15" t="s">
        <v>667</v>
      </c>
      <c r="B6781" s="14" t="s">
        <v>52</v>
      </c>
      <c r="C6781" s="14"/>
      <c r="D6781" s="14"/>
      <c r="E6781" s="14"/>
      <c r="F6781" s="14"/>
      <c r="G6781" s="17" t="n">
        <f aca="false">Sens!$G$6771*(1-tax)/(ext_sh*(Sens!$D$6768+Sens!$G$6768)/2)</f>
        <v>0.0620504069546486</v>
      </c>
      <c r="H6781" s="17" t="n">
        <f aca="false">Sens!$H$6771*(1-tax)/(ext_sh*(Sens!$G$6768+Sens!$H$6768)/2)</f>
        <v>0.0755420551527686</v>
      </c>
      <c r="I6781" s="17" t="n">
        <f aca="false">Sens!$I$6771*(1-tax)/(ext_sh*(Sens!$H$6768+Sens!$I$6768)/2)</f>
        <v>0.067127575356291</v>
      </c>
      <c r="J6781" s="17" t="n">
        <f aca="false">Sens!$J$6771*(1-tax)/(ext_sh*(Sens!$I$6768+Sens!$J$6768)/2)</f>
        <v>0.0700332392906535</v>
      </c>
      <c r="K6781" s="17" t="n">
        <f aca="false">Sens!$K$6771*(1-tax)/(ext_sh*(Sens!$J$6768+Sens!$K$6768)/2)</f>
        <v>0.0693622290093833</v>
      </c>
      <c r="L6781" s="17" t="n">
        <f aca="false">Sens!$L$6771*(1-tax)/(ext_sh*(Sens!$K$6768+Sens!$L$6768)/2)</f>
        <v>0.0711010638813626</v>
      </c>
      <c r="M6781" s="17" t="n">
        <f aca="false">Sens!$M$6771*(1-tax)/(ext_sh*(Sens!$L$6768+Sens!$M$6768)/2)</f>
        <v>0.071677531066401</v>
      </c>
      <c r="N6781" s="14"/>
      <c r="O6781" s="14"/>
      <c r="P6781" s="8" t="s">
        <v>668</v>
      </c>
    </row>
    <row r="6782" customFormat="false" ht="17.15" hidden="false" customHeight="false" outlineLevel="0" collapsed="false">
      <c r="A6782" s="5" t="s">
        <v>669</v>
      </c>
      <c r="B6782" s="0" t="s">
        <v>57</v>
      </c>
      <c r="H6782" s="36" t="n">
        <f aca="false">Sens!$H$6746*1000/(mw_open*he_open+Sens!$H$6744*Sens!$H$6741)</f>
        <v>0.991949006767191</v>
      </c>
      <c r="I6782" s="36" t="n">
        <f aca="false">Sens!$I$6746*1000/(mw_open*he_open+Sens!$I$6744*Sens!$I$6741)</f>
        <v>0.991949006767191</v>
      </c>
      <c r="J6782" s="36" t="n">
        <f aca="false">Sens!$J$6746*1000/(mw_open*he_open+Sens!$J$6744*Sens!$J$6741)</f>
        <v>0.991949006767191</v>
      </c>
      <c r="K6782" s="36" t="n">
        <f aca="false">Sens!$K$6746*1000/(mw_open*he_open+Sens!$K$6744*Sens!$K$6741)</f>
        <v>0.991949006767191</v>
      </c>
      <c r="L6782" s="36" t="n">
        <f aca="false">Sens!$L$6746*1000/(mw_open*he_open+Sens!$L$6744*Sens!$L$6741)</f>
        <v>0.991949006767191</v>
      </c>
      <c r="M6782" s="36" t="n">
        <f aca="false">Sens!$M$6746*1000/(mw_open*he_open+Sens!$M$6744*Sens!$M$6741)</f>
        <v>0.991949006767191</v>
      </c>
    </row>
    <row r="6783" customFormat="false" ht="17.15" hidden="false" customHeight="false" outlineLevel="0" collapsed="false">
      <c r="A6783" s="5" t="s">
        <v>670</v>
      </c>
      <c r="B6783" s="0" t="s">
        <v>57</v>
      </c>
      <c r="H6783" s="36" t="n">
        <f aca="false">Sens!$H$6782*(Sens!$H$6746+wacc*ext_sh*(Sens!$G$6768+Sens!$H$6768)/2/(1-tax)-Sens!$H$6771)/Sens!$H$6746</f>
        <v>1.18542857552197</v>
      </c>
      <c r="I6783" s="36" t="n">
        <f aca="false">Sens!$I$6782*(Sens!$I$6746+wacc*ext_sh*(Sens!$H$6768+Sens!$I$6768)/2/(1-tax)-Sens!$I$6771)/Sens!$I$6746</f>
        <v>1.20015476648903</v>
      </c>
      <c r="J6783" s="36" t="n">
        <f aca="false">Sens!$J$6782*(Sens!$J$6746+wacc*ext_sh*(Sens!$I$6768+Sens!$J$6768)/2/(1-tax)-Sens!$J$6771)/Sens!$J$6746</f>
        <v>1.16844056931249</v>
      </c>
      <c r="K6783" s="36" t="n">
        <f aca="false">Sens!$K$6782*(Sens!$K$6746+wacc*ext_sh*(Sens!$J$6768+Sens!$K$6768)/2/(1-tax)-Sens!$K$6771)/Sens!$K$6746</f>
        <v>1.15383758356873</v>
      </c>
      <c r="L6783" s="36" t="n">
        <f aca="false">Sens!$L$6782*(Sens!$L$6746+wacc*ext_sh*(Sens!$K$6768+Sens!$L$6768)/2/(1-tax)-Sens!$L$6771)/Sens!$L$6746</f>
        <v>1.13212765595665</v>
      </c>
      <c r="M6783" s="36" t="n">
        <f aca="false">Sens!$M$6782*(Sens!$M$6746+wacc*ext_sh*(Sens!$L$6768+Sens!$M$6768)/2/(1-tax)-Sens!$M$6771)/Sens!$M$6746</f>
        <v>1.12024635139935</v>
      </c>
    </row>
    <row r="6784" customFormat="false" ht="17.15" hidden="false" customHeight="false" outlineLevel="0" collapsed="false">
      <c r="A6784" s="5" t="s">
        <v>671</v>
      </c>
      <c r="B6784" s="0" t="s">
        <v>52</v>
      </c>
      <c r="C6784" s="13" t="n">
        <f aca="false">Sens!$C$6747/tk_pq</f>
        <v>0.195316432429398</v>
      </c>
      <c r="D6784" s="13" t="n">
        <f aca="false">Sens!$D$6747/tk_pq</f>
        <v>0.195316432429398</v>
      </c>
      <c r="E6784" s="13" t="n">
        <f aca="false">Sens!$E$6747/tk_pq</f>
        <v>0.195316432429398</v>
      </c>
      <c r="F6784" s="13" t="n">
        <f aca="false">Sens!$F$6747/tk_pq</f>
        <v>0.202241827274866</v>
      </c>
      <c r="G6784" s="13" t="n">
        <f aca="false">Sens!$G$6747/tk_pq</f>
        <v>0.199675016194063</v>
      </c>
      <c r="H6784" s="13" t="n">
        <f aca="false">Sens!$H$6747/tk_pq</f>
        <v>0.212647947710325</v>
      </c>
      <c r="I6784" s="13" t="n">
        <f aca="false">Sens!$I$6747/tk_pq</f>
        <v>0.219285125475351</v>
      </c>
      <c r="J6784" s="13" t="n">
        <f aca="false">Sens!$J$6747/tk_pq</f>
        <v>0.222492493217189</v>
      </c>
      <c r="K6784" s="13" t="n">
        <f aca="false">Sens!$K$6747/tk_pq</f>
        <v>0.224053502812094</v>
      </c>
      <c r="L6784" s="13" t="n">
        <f aca="false">Sens!$L$6747/tk_pq</f>
        <v>0.224786916785614</v>
      </c>
      <c r="M6784" s="13" t="n">
        <f aca="false">Sens!$M$6747/tk_pq</f>
        <v>0.225048671566937</v>
      </c>
      <c r="N6784" s="13" t="n">
        <f aca="false">Sens!$N$6747/tk_pq</f>
        <v>0.195316432429398</v>
      </c>
      <c r="O6784" s="13" t="n">
        <f aca="false">Sens!$O$6747/tk_pq</f>
        <v>0.195316432429398</v>
      </c>
      <c r="P6784" s="5" t="s">
        <v>672</v>
      </c>
    </row>
    <row r="6787" customFormat="false" ht="17.15" hidden="false" customHeight="false" outlineLevel="0" collapsed="false">
      <c r="A6787" s="1" t="s">
        <v>701</v>
      </c>
    </row>
    <row r="6788" customFormat="false" ht="17.15" hidden="false" customHeight="false" outlineLevel="0" collapsed="false">
      <c r="A6788" s="0" t="s">
        <v>702</v>
      </c>
      <c r="B6788" s="0" t="s">
        <v>86</v>
      </c>
      <c r="C6788" s="38" t="n">
        <f aca="false">Sens!$C$6746</f>
        <v>2.32100535697364</v>
      </c>
      <c r="D6788" s="38" t="n">
        <f aca="false">Sens!$D$6746</f>
        <v>8.70377008865116</v>
      </c>
      <c r="E6788" s="38" t="n">
        <f aca="false">Sens!$E$6746</f>
        <v>8.51035297557002</v>
      </c>
      <c r="F6788" s="38" t="n">
        <f aca="false">Sens!$F$6746</f>
        <v>14.9634336447205</v>
      </c>
      <c r="G6788" s="38" t="n">
        <f aca="false">Sens!$G$6746</f>
        <v>23.4737866202905</v>
      </c>
      <c r="H6788" s="38" t="n">
        <f aca="false">Sens!$H$6746</f>
        <v>60.1658907497746</v>
      </c>
      <c r="I6788" s="38" t="n">
        <f aca="false">Sens!$I$6746</f>
        <v>101.503699136432</v>
      </c>
      <c r="J6788" s="38" t="n">
        <f aca="false">Sens!$J$6746</f>
        <v>143.025407151278</v>
      </c>
      <c r="K6788" s="38" t="n">
        <f aca="false">Sens!$K$6746</f>
        <v>178.44812038318</v>
      </c>
      <c r="L6788" s="38" t="n">
        <f aca="false">Sens!$L$6746</f>
        <v>201.728101802396</v>
      </c>
      <c r="M6788" s="38" t="n">
        <f aca="false">Sens!$M$6746</f>
        <v>212.835441368865</v>
      </c>
      <c r="N6788" s="38" t="n">
        <f aca="false">Sens!$N$6746</f>
        <v>3.04631953102791</v>
      </c>
      <c r="O6788" s="38" t="n">
        <f aca="false">Sens!$O$6746</f>
        <v>5.65745055762326</v>
      </c>
      <c r="P6788" s="8" t="s">
        <v>703</v>
      </c>
    </row>
    <row r="6789" customFormat="false" ht="17.15" hidden="false" customHeight="false" outlineLevel="0" collapsed="false">
      <c r="A6789" s="0" t="s">
        <v>704</v>
      </c>
      <c r="B6789" s="0" t="s">
        <v>86</v>
      </c>
      <c r="C6789" s="38" t="n">
        <f aca="false">Sens!$C$6750</f>
        <v>105.234994643026</v>
      </c>
      <c r="D6789" s="38" t="n">
        <f aca="false">Sens!$D$6750</f>
        <v>120.021229911349</v>
      </c>
      <c r="E6789" s="38" t="n">
        <f aca="false">Sens!$E$6750</f>
        <v>71.30864702443</v>
      </c>
      <c r="F6789" s="38" t="n">
        <f aca="false">Sens!$F$6750</f>
        <v>71.7692997942464</v>
      </c>
      <c r="G6789" s="38" t="n">
        <f aca="false">Sens!$G$6750</f>
        <v>143.077946818676</v>
      </c>
      <c r="H6789" s="38" t="n">
        <f aca="false">Sens!$H$6750</f>
        <v>161.017077079203</v>
      </c>
      <c r="I6789" s="38" t="n">
        <f aca="false">Sens!$I$6750</f>
        <v>178.769759521457</v>
      </c>
      <c r="J6789" s="38" t="n">
        <f aca="false">Sens!$J$6750</f>
        <v>195.775538045907</v>
      </c>
      <c r="K6789" s="38" t="n">
        <f aca="false">Sens!$K$6750</f>
        <v>211.43758108958</v>
      </c>
      <c r="L6789" s="38" t="n">
        <f aca="false">Sens!$L$6750</f>
        <v>228.352587576746</v>
      </c>
      <c r="M6789" s="38" t="n">
        <f aca="false">Sens!$M$6750</f>
        <v>246.620794582886</v>
      </c>
      <c r="N6789" s="38" t="n">
        <f aca="false">Sens!$N$6750</f>
        <v>57.0936804689721</v>
      </c>
      <c r="O6789" s="38" t="n">
        <f aca="false">Sens!$O$6750</f>
        <v>62.9275494423768</v>
      </c>
      <c r="P6789" s="8" t="s">
        <v>703</v>
      </c>
    </row>
    <row r="6790" customFormat="false" ht="17.15" hidden="false" customHeight="false" outlineLevel="0" collapsed="false">
      <c r="A6790" s="1" t="s">
        <v>523</v>
      </c>
      <c r="B6790" s="8" t="s">
        <v>86</v>
      </c>
      <c r="C6790" s="38" t="n">
        <f aca="false">Q!$D$7</f>
        <v>107.556</v>
      </c>
      <c r="D6790" s="38" t="n">
        <f aca="false">Q!$E$7</f>
        <v>128.725</v>
      </c>
      <c r="E6790" s="38" t="n">
        <f aca="false">Q!$P$7</f>
        <v>79.819</v>
      </c>
      <c r="F6790" s="38" t="n">
        <f aca="false">Sens!$F$6788+Sens!$F$6789</f>
        <v>86.7327334389669</v>
      </c>
      <c r="G6790" s="38" t="n">
        <f aca="false">Sens!$G$6788+Sens!$G$6789</f>
        <v>166.551733438967</v>
      </c>
      <c r="H6790" s="38" t="n">
        <f aca="false">Sens!$H$6788+Sens!$H$6789</f>
        <v>221.182967828978</v>
      </c>
      <c r="I6790" s="38" t="n">
        <f aca="false">Sens!$I$6788+Sens!$I$6789</f>
        <v>280.27345865789</v>
      </c>
      <c r="J6790" s="38" t="n">
        <f aca="false">Sens!$J$6788+Sens!$J$6789</f>
        <v>338.800945197185</v>
      </c>
      <c r="K6790" s="38" t="n">
        <f aca="false">Sens!$K$6788+Sens!$K$6789</f>
        <v>389.88570147276</v>
      </c>
      <c r="L6790" s="38" t="n">
        <f aca="false">Sens!$L$6788+Sens!$L$6789</f>
        <v>430.080689379143</v>
      </c>
      <c r="M6790" s="38" t="n">
        <f aca="false">Sens!$M$6788+Sens!$M$6789</f>
        <v>459.456235951751</v>
      </c>
      <c r="N6790" s="38" t="n">
        <f aca="false">Q!$N$7</f>
        <v>60.14</v>
      </c>
      <c r="O6790" s="38" t="n">
        <f aca="false">Q!$O$7</f>
        <v>68.585</v>
      </c>
      <c r="P6790" s="5" t="s">
        <v>705</v>
      </c>
    </row>
    <row r="6791" customFormat="false" ht="15" hidden="false" customHeight="false" outlineLevel="0" collapsed="false">
      <c r="A6791" s="3" t="s">
        <v>706</v>
      </c>
      <c r="B6791" s="8" t="s">
        <v>86</v>
      </c>
      <c r="C6791" s="38" t="n">
        <f aca="false">Q!$D$8</f>
        <v>637.959</v>
      </c>
      <c r="D6791" s="38" t="n">
        <f aca="false">Q!$E$8</f>
        <v>716.924</v>
      </c>
      <c r="E6791" s="38" t="n">
        <f aca="false">Q!$P$8</f>
        <v>382.125</v>
      </c>
      <c r="F6791" s="38" t="n">
        <f aca="false">Sens!$F$6718+Sens!$F$6790</f>
        <v>435.780975084504</v>
      </c>
      <c r="G6791" s="38" t="n">
        <f aca="false">Sens!$G$6718+Sens!$G$6790</f>
        <v>817.905975084504</v>
      </c>
      <c r="H6791" s="38" t="n">
        <f aca="false">Sens!$H$6718+Sens!$H$6790</f>
        <v>942.279857350364</v>
      </c>
      <c r="I6791" s="38" t="n">
        <f aca="false">Sens!$I$6718+Sens!$I$6790</f>
        <v>1068.80284981042</v>
      </c>
      <c r="J6791" s="38" t="n">
        <f aca="false">Sens!$J$6718+Sens!$J$6790</f>
        <v>1189.90935093863</v>
      </c>
      <c r="K6791" s="38" t="n">
        <f aca="false">Sens!$K$6718+Sens!$K$6790</f>
        <v>1296.06215690385</v>
      </c>
      <c r="L6791" s="38" t="n">
        <f aca="false">Sens!$L$6718+Sens!$L$6790</f>
        <v>1395.17379585473</v>
      </c>
      <c r="M6791" s="38" t="n">
        <f aca="false">Sens!$M$6718+Sens!$M$6790</f>
        <v>1487.60414389864</v>
      </c>
      <c r="N6791" s="38" t="n">
        <f aca="false">Q!$N$8</f>
        <v>323.369</v>
      </c>
      <c r="O6791" s="38" t="n">
        <f aca="false">Q!$O$8</f>
        <v>393.555</v>
      </c>
    </row>
    <row r="6792" customFormat="false" ht="17.15" hidden="false" customHeight="false" outlineLevel="0" collapsed="false">
      <c r="A6792" s="24" t="s">
        <v>714</v>
      </c>
      <c r="B6792" s="25" t="s">
        <v>86</v>
      </c>
      <c r="C6792" s="41" t="n">
        <f aca="false">Sens!$C$6718-(Sens!$C$6720+Sens!$C$6721)</f>
        <v>0</v>
      </c>
      <c r="D6792" s="41" t="n">
        <f aca="false">Sens!$D$6718-(Sens!$D$6720+Sens!$D$6721)</f>
        <v>0</v>
      </c>
      <c r="E6792" s="41" t="n">
        <f aca="false">Sens!$E$6718-(Sens!$E$6720+Sens!$E$6721)</f>
        <v>0</v>
      </c>
      <c r="F6792" s="41" t="n">
        <f aca="false">Sens!$F$6718-(Sens!$F$6720+Sens!$F$6721)</f>
        <v>0</v>
      </c>
      <c r="G6792" s="41" t="n">
        <f aca="false">Sens!$G$6718-(Sens!$G$6720+Sens!$G$6721)</f>
        <v>0</v>
      </c>
      <c r="H6792" s="41" t="n">
        <f aca="false">Sens!$H$6718-(Sens!$H$6720+Sens!$H$6721)</f>
        <v>0</v>
      </c>
      <c r="I6792" s="41" t="n">
        <f aca="false">Sens!$I$6718-(Sens!$I$6720+Sens!$I$6721)</f>
        <v>0</v>
      </c>
      <c r="J6792" s="41" t="n">
        <f aca="false">Sens!$J$6718-(Sens!$J$6720+Sens!$J$6721)</f>
        <v>0</v>
      </c>
      <c r="K6792" s="41" t="n">
        <f aca="false">Sens!$K$6718-(Sens!$K$6720+Sens!$K$6721)</f>
        <v>0</v>
      </c>
      <c r="L6792" s="41" t="n">
        <f aca="false">Sens!$L$6718-(Sens!$L$6720+Sens!$L$6721)</f>
        <v>0</v>
      </c>
      <c r="M6792" s="41" t="n">
        <f aca="false">Sens!$M$6718-(Sens!$M$6720+Sens!$M$6721)</f>
        <v>0</v>
      </c>
      <c r="N6792" s="41" t="n">
        <f aca="false">Sens!$N$6718-(Sens!$N$6720+Sens!$N$6721)</f>
        <v>0</v>
      </c>
      <c r="O6792" s="41" t="n">
        <f aca="false">Sens!$O$6718-(Sens!$O$6720+Sens!$O$6721)</f>
        <v>0</v>
      </c>
    </row>
    <row r="6793" customFormat="false" ht="17.15" hidden="false" customHeight="false" outlineLevel="0" collapsed="false">
      <c r="A6793" s="24" t="s">
        <v>715</v>
      </c>
      <c r="B6793" s="25" t="s">
        <v>86</v>
      </c>
      <c r="C6793" s="41" t="n">
        <f aca="false">Sens!$C$6788+Sens!$C$6789-Sens!$C$6790</f>
        <v>0</v>
      </c>
      <c r="D6793" s="41" t="n">
        <f aca="false">Sens!$D$6788+Sens!$D$6789-Sens!$D$6790</f>
        <v>0</v>
      </c>
      <c r="E6793" s="41" t="n">
        <f aca="false">Sens!$E$6788+Sens!$E$6789-Sens!$E$6790</f>
        <v>0</v>
      </c>
      <c r="F6793" s="41" t="n">
        <f aca="false">Sens!$F$6788+Sens!$F$6789-Sens!$F$6790</f>
        <v>0</v>
      </c>
      <c r="G6793" s="41" t="n">
        <f aca="false">Sens!$G$6788+Sens!$G$6789-Sens!$G$6790</f>
        <v>0</v>
      </c>
      <c r="H6793" s="41" t="n">
        <f aca="false">Sens!$H$6788+Sens!$H$6789-Sens!$H$6790</f>
        <v>0</v>
      </c>
      <c r="I6793" s="41" t="n">
        <f aca="false">Sens!$I$6788+Sens!$I$6789-Sens!$I$6790</f>
        <v>0</v>
      </c>
      <c r="J6793" s="41" t="n">
        <f aca="false">Sens!$J$6788+Sens!$J$6789-Sens!$J$6790</f>
        <v>0</v>
      </c>
      <c r="K6793" s="41" t="n">
        <f aca="false">Sens!$K$6788+Sens!$K$6789-Sens!$K$6790</f>
        <v>0</v>
      </c>
      <c r="L6793" s="41" t="n">
        <f aca="false">Sens!$L$6788+Sens!$L$6789-Sens!$L$6790</f>
        <v>0</v>
      </c>
      <c r="M6793" s="41" t="n">
        <f aca="false">Sens!$M$6788+Sens!$M$6789-Sens!$M$6790</f>
        <v>0</v>
      </c>
      <c r="N6793" s="41" t="n">
        <f aca="false">Sens!$N$6788+Sens!$N$6789-Sens!$N$6790</f>
        <v>0</v>
      </c>
      <c r="O6793" s="41" t="n">
        <f aca="false">Sens!$O$6788+Sens!$O$6789-Sens!$O$6790</f>
        <v>0</v>
      </c>
    </row>
    <row r="6794" customFormat="false" ht="17.15" hidden="false" customHeight="false" outlineLevel="0" collapsed="false">
      <c r="A6794" s="24" t="s">
        <v>716</v>
      </c>
      <c r="B6794" s="25" t="s">
        <v>86</v>
      </c>
      <c r="C6794" s="41" t="n">
        <f aca="false">Sens!$C$6720+Sens!$C$6721+Sens!$C$6790-Sens!$C$6791</f>
        <v>0</v>
      </c>
      <c r="D6794" s="41" t="n">
        <f aca="false">Sens!$D$6720+Sens!$D$6721+Sens!$D$6790-Sens!$D$6791</f>
        <v>0</v>
      </c>
      <c r="E6794" s="41" t="n">
        <f aca="false">Sens!$E$6720+Sens!$E$6721+Sens!$E$6790-Sens!$E$6791</f>
        <v>0</v>
      </c>
      <c r="F6794" s="41" t="n">
        <f aca="false">Sens!$F$6720+Sens!$F$6721+Sens!$F$6790-Sens!$F$6791</f>
        <v>0</v>
      </c>
      <c r="G6794" s="41" t="n">
        <f aca="false">Sens!$G$6720+Sens!$G$6721+Sens!$G$6790-Sens!$G$6791</f>
        <v>0</v>
      </c>
      <c r="H6794" s="41" t="n">
        <f aca="false">Sens!$H$6720+Sens!$H$6721+Sens!$H$6790-Sens!$H$6791</f>
        <v>0</v>
      </c>
      <c r="I6794" s="41" t="n">
        <f aca="false">Sens!$I$6720+Sens!$I$6721+Sens!$I$6790-Sens!$I$6791</f>
        <v>0</v>
      </c>
      <c r="J6794" s="41" t="n">
        <f aca="false">Sens!$J$6720+Sens!$J$6721+Sens!$J$6790-Sens!$J$6791</f>
        <v>0</v>
      </c>
      <c r="K6794" s="41" t="n">
        <f aca="false">Sens!$K$6720+Sens!$K$6721+Sens!$K$6790-Sens!$K$6791</f>
        <v>0</v>
      </c>
      <c r="L6794" s="41" t="n">
        <f aca="false">Sens!$L$6720+Sens!$L$6721+Sens!$L$6790-Sens!$L$6791</f>
        <v>0</v>
      </c>
      <c r="M6794" s="41" t="n">
        <f aca="false">Sens!$M$6720+Sens!$M$6721+Sens!$M$6790-Sens!$M$6791</f>
        <v>0</v>
      </c>
      <c r="N6794" s="41" t="n">
        <f aca="false">Sens!$N$6720+Sens!$N$6721+Sens!$N$6790-Sens!$N$6791</f>
        <v>0</v>
      </c>
      <c r="O6794" s="41" t="n">
        <f aca="false">Sens!$O$6720+Sens!$O$6721+Sens!$O$6790-Sens!$O$6791</f>
        <v>0</v>
      </c>
    </row>
    <row r="6795" customFormat="false" ht="15" hidden="false" customHeight="false" outlineLevel="0" collapsed="false">
      <c r="A6795" s="5" t="s">
        <v>710</v>
      </c>
      <c r="B6795" s="0" t="s">
        <v>52</v>
      </c>
      <c r="G6795" s="13" t="n">
        <f aca="false">Sens!$G$6791/Sens!$D$6791-1</f>
        <v>0.140854504918937</v>
      </c>
      <c r="H6795" s="13" t="n">
        <f aca="false">Sens!$H$6791/Sens!$G$6791-1</f>
        <v>0.152063789793209</v>
      </c>
      <c r="I6795" s="13" t="n">
        <f aca="false">Sens!$I$6791/Sens!$H$6791-1</f>
        <v>0.134273264437417</v>
      </c>
      <c r="J6795" s="13" t="n">
        <f aca="false">Sens!$J$6791/Sens!$I$6791-1</f>
        <v>0.113310421234083</v>
      </c>
      <c r="K6795" s="13" t="n">
        <f aca="false">Sens!$K$6791/Sens!$J$6791-1</f>
        <v>0.0892108343223652</v>
      </c>
      <c r="L6795" s="13" t="n">
        <f aca="false">Sens!$L$6791/Sens!$K$6791-1</f>
        <v>0.076471362444261</v>
      </c>
      <c r="M6795" s="13" t="n">
        <f aca="false">Sens!$M$6791/Sens!$L$6791-1</f>
        <v>0.066250060256672</v>
      </c>
    </row>
    <row r="6796" customFormat="false" ht="17.15" hidden="false" customHeight="false" outlineLevel="0" collapsed="false">
      <c r="A6796" s="0" t="s">
        <v>711</v>
      </c>
      <c r="B6796" s="0" t="s">
        <v>52</v>
      </c>
      <c r="C6796" s="13" t="n">
        <f aca="false">Sens!$C$6790/Sens!$C$6791</f>
        <v>0.168593906504964</v>
      </c>
      <c r="D6796" s="13" t="n">
        <f aca="false">Sens!$D$6790/Sens!$D$6791</f>
        <v>0.179551807444025</v>
      </c>
      <c r="E6796" s="13" t="n">
        <f aca="false">Sens!$E$6790/Sens!$E$6791</f>
        <v>0.208881910369643</v>
      </c>
      <c r="F6796" s="13" t="n">
        <f aca="false">Sens!$F$6790/Sens!$F$6791</f>
        <v>0.199028269699356</v>
      </c>
      <c r="G6796" s="13" t="n">
        <f aca="false">Sens!$G$6790/Sens!$G$6791</f>
        <v>0.203631882529968</v>
      </c>
      <c r="H6796" s="13" t="n">
        <f aca="false">Sens!$H$6790/Sens!$H$6791</f>
        <v>0.234731715958496</v>
      </c>
      <c r="I6796" s="13" t="n">
        <f aca="false">Sens!$I$6790/Sens!$I$6791</f>
        <v>0.262231204480418</v>
      </c>
      <c r="J6796" s="13" t="n">
        <f aca="false">Sens!$J$6790/Sens!$J$6791</f>
        <v>0.284728366013706</v>
      </c>
      <c r="K6796" s="13" t="n">
        <f aca="false">Sens!$K$6790/Sens!$K$6791</f>
        <v>0.300823304959505</v>
      </c>
      <c r="L6796" s="13" t="n">
        <f aca="false">Sens!$L$6790/Sens!$L$6791</f>
        <v>0.308263164529735</v>
      </c>
      <c r="M6796" s="13" t="n">
        <f aca="false">Sens!$M$6790/Sens!$M$6791</f>
        <v>0.308856517936036</v>
      </c>
      <c r="N6796" s="13" t="n">
        <f aca="false">Sens!$N$6790/Sens!$N$6791</f>
        <v>0.185979484737251</v>
      </c>
      <c r="O6796" s="13" t="n">
        <f aca="false">Sens!$O$6790/Sens!$O$6791</f>
        <v>0.174270432341096</v>
      </c>
    </row>
    <row r="6797" customFormat="false" ht="17.15" hidden="false" customHeight="false" outlineLevel="0" collapsed="false">
      <c r="A6797" s="0" t="s">
        <v>712</v>
      </c>
      <c r="B6797" s="0" t="s">
        <v>52</v>
      </c>
      <c r="C6797" s="13" t="n">
        <f aca="false">Sens!$C$6788/Sens!$C$6790</f>
        <v>0.0215795060896058</v>
      </c>
      <c r="D6797" s="13" t="n">
        <f aca="false">Sens!$D$6788/Sens!$D$6790</f>
        <v>0.0676152269462122</v>
      </c>
      <c r="E6797" s="13" t="n">
        <f aca="false">Sens!$E$6788/Sens!$E$6790</f>
        <v>0.106620641395783</v>
      </c>
      <c r="F6797" s="13" t="n">
        <f aca="false">Sens!$F$6788/Sens!$F$6790</f>
        <v>0.172523487401099</v>
      </c>
      <c r="G6797" s="13" t="n">
        <f aca="false">Sens!$G$6788/Sens!$G$6790</f>
        <v>0.140939911795589</v>
      </c>
      <c r="H6797" s="13" t="n">
        <f aca="false">Sens!$H$6788/Sens!$H$6790</f>
        <v>0.272018642937714</v>
      </c>
      <c r="I6797" s="13" t="n">
        <f aca="false">Sens!$I$6788/Sens!$I$6790</f>
        <v>0.362159512436497</v>
      </c>
      <c r="J6797" s="13" t="n">
        <f aca="false">Sens!$J$6788/Sens!$J$6790</f>
        <v>0.422151735934609</v>
      </c>
      <c r="K6797" s="13" t="n">
        <f aca="false">Sens!$K$6788/Sens!$K$6790</f>
        <v>0.45769342068485</v>
      </c>
      <c r="L6797" s="13" t="n">
        <f aca="false">Sens!$L$6788/Sens!$L$6790</f>
        <v>0.469047103913472</v>
      </c>
      <c r="M6797" s="13" t="n">
        <f aca="false">Sens!$M$6788/Sens!$M$6790</f>
        <v>0.463233328258093</v>
      </c>
      <c r="N6797" s="13" t="n">
        <f aca="false">Sens!$N$6788/Sens!$N$6790</f>
        <v>0.0506537999838362</v>
      </c>
      <c r="O6797" s="13" t="n">
        <f aca="false">Sens!$O$6788/Sens!$O$6790</f>
        <v>0.0824881615167056</v>
      </c>
    </row>
    <row r="6800" customFormat="false" ht="19.4" hidden="false" customHeight="false" outlineLevel="0" collapsed="false">
      <c r="A6800" s="31" t="s">
        <v>1289</v>
      </c>
    </row>
    <row r="6801" customFormat="false" ht="17.15" hidden="false" customHeight="false" outlineLevel="0" collapsed="false">
      <c r="A6801" s="6" t="s">
        <v>16</v>
      </c>
      <c r="B6801" s="6" t="s">
        <v>17</v>
      </c>
      <c r="C6801" s="20" t="s">
        <v>504</v>
      </c>
      <c r="D6801" s="20" t="s">
        <v>505</v>
      </c>
      <c r="E6801" s="20" t="s">
        <v>587</v>
      </c>
      <c r="F6801" s="20" t="s">
        <v>588</v>
      </c>
      <c r="G6801" s="20" t="s">
        <v>589</v>
      </c>
      <c r="H6801" s="20" t="s">
        <v>590</v>
      </c>
      <c r="I6801" s="20" t="s">
        <v>591</v>
      </c>
      <c r="J6801" s="20" t="s">
        <v>592</v>
      </c>
      <c r="K6801" s="20" t="s">
        <v>593</v>
      </c>
      <c r="L6801" s="20" t="s">
        <v>594</v>
      </c>
      <c r="M6801" s="20" t="s">
        <v>595</v>
      </c>
      <c r="N6801" s="20" t="s">
        <v>596</v>
      </c>
      <c r="O6801" s="20" t="s">
        <v>597</v>
      </c>
      <c r="P6801" s="6" t="s">
        <v>23</v>
      </c>
      <c r="R6801" s="20" t="n">
        <v>2023</v>
      </c>
      <c r="S6801" s="20" t="n">
        <v>2024</v>
      </c>
      <c r="T6801" s="20" t="n">
        <v>2025</v>
      </c>
      <c r="U6801" s="20" t="n">
        <v>2026</v>
      </c>
      <c r="V6801" s="20" t="n">
        <v>2027</v>
      </c>
      <c r="W6801" s="20" t="n">
        <v>2028</v>
      </c>
      <c r="X6801" s="20" t="n">
        <v>2029</v>
      </c>
      <c r="Y6801" s="20" t="n">
        <v>2030</v>
      </c>
      <c r="Z6801" s="20" t="n">
        <v>2031</v>
      </c>
      <c r="AA6801" s="20" t="n">
        <v>2032</v>
      </c>
    </row>
    <row r="6802" customFormat="false" ht="17.15" hidden="false" customHeight="false" outlineLevel="0" collapsed="false">
      <c r="A6802" s="1" t="s">
        <v>727</v>
      </c>
    </row>
    <row r="6803" customFormat="false" ht="15" hidden="false" customHeight="false" outlineLevel="0" collapsed="false">
      <c r="A6803" s="0" t="s">
        <v>526</v>
      </c>
      <c r="B6803" s="0" t="s">
        <v>86</v>
      </c>
      <c r="C6803" s="38" t="n">
        <f aca="false">Sens!$C$6705</f>
        <v>247.029</v>
      </c>
      <c r="D6803" s="38" t="n">
        <f aca="false">Sens!$D$6705</f>
        <v>269.287</v>
      </c>
      <c r="E6803" s="38" t="n">
        <f aca="false">Sens!$E$6705</f>
        <v>134.686</v>
      </c>
      <c r="F6803" s="38" t="n">
        <f aca="false">Sens!$F$6705</f>
        <v>158.293876822267</v>
      </c>
      <c r="G6803" s="38" t="n">
        <f aca="false">Sens!$G$6705</f>
        <v>292.979876822267</v>
      </c>
      <c r="H6803" s="38" t="n">
        <f aca="false">Sens!$H$6705</f>
        <v>318.184543087396</v>
      </c>
      <c r="I6803" s="38" t="n">
        <f aca="false">Sens!$I$6705</f>
        <v>341.736278761793</v>
      </c>
      <c r="J6803" s="38" t="n">
        <f aca="false">Sens!$J$6705</f>
        <v>362.927192787048</v>
      </c>
      <c r="K6803" s="38" t="n">
        <f aca="false">Sens!$K$6705</f>
        <v>381.0735524264</v>
      </c>
      <c r="L6803" s="38" t="n">
        <f aca="false">Sens!$L$6705</f>
        <v>400.12723004772</v>
      </c>
      <c r="M6803" s="38" t="n">
        <f aca="false">Sens!$M$6705</f>
        <v>420.133591550106</v>
      </c>
      <c r="N6803" s="38" t="n">
        <f aca="false">Sens!$N$6705</f>
        <v>118.892</v>
      </c>
      <c r="O6803" s="38" t="n">
        <f aca="false">Sens!$O$6705</f>
        <v>150.395</v>
      </c>
    </row>
    <row r="6804" customFormat="false" ht="15" hidden="false" customHeight="false" outlineLevel="0" collapsed="false">
      <c r="A6804" s="0" t="s">
        <v>527</v>
      </c>
      <c r="B6804" s="0" t="s">
        <v>86</v>
      </c>
      <c r="C6804" s="38" t="n">
        <f aca="false">Sens!$C$6707</f>
        <v>21.215</v>
      </c>
      <c r="D6804" s="38" t="n">
        <f aca="false">Sens!$D$6707</f>
        <v>22.561</v>
      </c>
      <c r="E6804" s="38" t="n">
        <f aca="false">Sens!$E$6707</f>
        <v>11.579</v>
      </c>
      <c r="F6804" s="38" t="n">
        <f aca="false">Sens!$F$6707</f>
        <v>11.5938724610325</v>
      </c>
      <c r="G6804" s="38" t="n">
        <f aca="false">Sens!$G$6707</f>
        <v>23.1728724610325</v>
      </c>
      <c r="H6804" s="38" t="n">
        <f aca="false">Sens!$H$6707</f>
        <v>24.353392759506</v>
      </c>
      <c r="I6804" s="38" t="n">
        <f aca="false">Sens!$I$6707</f>
        <v>25.4240338872015</v>
      </c>
      <c r="J6804" s="38" t="n">
        <f aca="false">Sens!$J$6707</f>
        <v>26.3642491017174</v>
      </c>
      <c r="K6804" s="38" t="n">
        <f aca="false">Sens!$K$6707</f>
        <v>27.155176574769</v>
      </c>
      <c r="L6804" s="38" t="n">
        <f aca="false">Sens!$L$6707</f>
        <v>27.969831872012</v>
      </c>
      <c r="M6804" s="38" t="n">
        <f aca="false">Sens!$M$6707</f>
        <v>28.8089268281724</v>
      </c>
      <c r="N6804" s="38" t="n">
        <f aca="false">Sens!$N$6707</f>
        <v>11.128</v>
      </c>
      <c r="O6804" s="38" t="n">
        <f aca="false">Sens!$O$6707</f>
        <v>11.433</v>
      </c>
    </row>
    <row r="6805" customFormat="false" ht="15" hidden="false" customHeight="false" outlineLevel="0" collapsed="false">
      <c r="A6805" s="0" t="s">
        <v>528</v>
      </c>
      <c r="B6805" s="0" t="s">
        <v>86</v>
      </c>
      <c r="C6805" s="38" t="n">
        <f aca="false">Sens!$C$6709</f>
        <v>156.146</v>
      </c>
      <c r="D6805" s="38" t="n">
        <f aca="false">Sens!$D$6709</f>
        <v>172.162</v>
      </c>
      <c r="E6805" s="38" t="n">
        <f aca="false">Sens!$E$6709</f>
        <v>88.358</v>
      </c>
      <c r="F6805" s="38" t="n">
        <f aca="false">Sens!$F$6709</f>
        <v>102.004388260171</v>
      </c>
      <c r="G6805" s="38" t="n">
        <f aca="false">Sens!$G$6709</f>
        <v>190.362388260171</v>
      </c>
      <c r="H6805" s="38" t="n">
        <f aca="false">Sens!$H$6709</f>
        <v>210.343106588311</v>
      </c>
      <c r="I6805" s="38" t="n">
        <f aca="false">Sens!$I$6709</f>
        <v>229.969728494648</v>
      </c>
      <c r="J6805" s="38" t="n">
        <f aca="false">Sens!$J$6709</f>
        <v>248.747636972598</v>
      </c>
      <c r="K6805" s="38" t="n">
        <f aca="false">Sens!$K$6709</f>
        <v>266.15997156068</v>
      </c>
      <c r="L6805" s="38" t="n">
        <f aca="false">Sens!$L$6709</f>
        <v>284.791169569927</v>
      </c>
      <c r="M6805" s="38" t="n">
        <f aca="false">Sens!$M$6709</f>
        <v>304.726551439822</v>
      </c>
      <c r="N6805" s="38" t="n">
        <f aca="false">Sens!$N$6709</f>
        <v>76.86</v>
      </c>
      <c r="O6805" s="38" t="n">
        <f aca="false">Sens!$O$6709</f>
        <v>95.302</v>
      </c>
    </row>
    <row r="6806" customFormat="false" ht="15" hidden="false" customHeight="false" outlineLevel="0" collapsed="false">
      <c r="A6806" s="0" t="s">
        <v>529</v>
      </c>
      <c r="B6806" s="0" t="s">
        <v>86</v>
      </c>
      <c r="C6806" s="38" t="n">
        <f aca="false">Sens!$C$6711</f>
        <v>56.214</v>
      </c>
      <c r="D6806" s="38" t="n">
        <f aca="false">Sens!$D$6711</f>
        <v>68.635</v>
      </c>
      <c r="E6806" s="38" t="n">
        <f aca="false">Sens!$E$6711</f>
        <v>37.052</v>
      </c>
      <c r="F6806" s="38" t="n">
        <f aca="false">Sens!$F$6711</f>
        <v>46.1572219944148</v>
      </c>
      <c r="G6806" s="38" t="n">
        <f aca="false">Sens!$G$6711</f>
        <v>83.2092219944148</v>
      </c>
      <c r="H6806" s="38" t="n">
        <f aca="false">Sens!$H$6711</f>
        <v>99.8969223878976</v>
      </c>
      <c r="I6806" s="38" t="n">
        <f aca="false">Sens!$I$6711</f>
        <v>116.583111095496</v>
      </c>
      <c r="J6806" s="38" t="n">
        <f aca="false">Sens!$J$6711</f>
        <v>132.148941941952</v>
      </c>
      <c r="K6806" s="38" t="n">
        <f aca="false">Sens!$K$6711</f>
        <v>145.363836136147</v>
      </c>
      <c r="L6806" s="38" t="n">
        <f aca="false">Sens!$L$6711</f>
        <v>159.900219749762</v>
      </c>
      <c r="M6806" s="38" t="n">
        <f aca="false">Sens!$M$6711</f>
        <v>175.890241724738</v>
      </c>
      <c r="N6806" s="38" t="n">
        <f aca="false">Sens!$N$6711</f>
        <v>29.615</v>
      </c>
      <c r="O6806" s="38" t="n">
        <f aca="false">Sens!$O$6711</f>
        <v>39.02</v>
      </c>
    </row>
    <row r="6807" customFormat="false" ht="15" hidden="false" customHeight="false" outlineLevel="0" collapsed="false">
      <c r="A6807" s="0" t="s">
        <v>530</v>
      </c>
      <c r="B6807" s="0" t="s">
        <v>86</v>
      </c>
      <c r="C6807" s="38" t="n">
        <f aca="false">Sens!$C$6713</f>
        <v>44.374</v>
      </c>
      <c r="D6807" s="38" t="n">
        <f aca="false">Sens!$D$6713</f>
        <v>49.619</v>
      </c>
      <c r="E6807" s="38" t="n">
        <f aca="false">Sens!$E$6713</f>
        <v>27.157</v>
      </c>
      <c r="F6807" s="38" t="n">
        <f aca="false">Sens!$F$6713</f>
        <v>27.7764165988154</v>
      </c>
      <c r="G6807" s="38" t="n">
        <f aca="false">Sens!$G$6713</f>
        <v>54.9334165988154</v>
      </c>
      <c r="H6807" s="38" t="n">
        <f aca="false">Sens!$H$6713</f>
        <v>61.1564112561829</v>
      </c>
      <c r="I6807" s="38" t="n">
        <f aca="false">Sens!$I$6713</f>
        <v>67.2020282103945</v>
      </c>
      <c r="J6807" s="38" t="n">
        <f aca="false">Sens!$J$6713</f>
        <v>72.8757274028885</v>
      </c>
      <c r="K6807" s="38" t="n">
        <f aca="false">Sens!$K$6713</f>
        <v>77.9770283210907</v>
      </c>
      <c r="L6807" s="38" t="n">
        <f aca="false">Sens!$L$6713</f>
        <v>83.4354203035671</v>
      </c>
      <c r="M6807" s="38" t="n">
        <f aca="false">Sens!$M$6713</f>
        <v>89.2758997248168</v>
      </c>
      <c r="N6807" s="38" t="n">
        <f aca="false">Sens!$N$6713</f>
        <v>23.923</v>
      </c>
      <c r="O6807" s="38" t="n">
        <f aca="false">Sens!$O$6713</f>
        <v>25.696</v>
      </c>
    </row>
    <row r="6808" customFormat="false" ht="15" hidden="false" customHeight="false" outlineLevel="0" collapsed="false">
      <c r="A6808" s="0" t="s">
        <v>531</v>
      </c>
      <c r="B6808" s="0" t="s">
        <v>86</v>
      </c>
      <c r="C6808" s="38" t="n">
        <f aca="false">Sens!$C$6715</f>
        <v>5.425</v>
      </c>
      <c r="D6808" s="38" t="n">
        <f aca="false">Sens!$D$6715</f>
        <v>5.935</v>
      </c>
      <c r="E6808" s="38" t="n">
        <f aca="false">Sens!$E$6715</f>
        <v>3.474</v>
      </c>
      <c r="F6808" s="38" t="n">
        <f aca="false">Sens!$F$6715</f>
        <v>3.22246550883619</v>
      </c>
      <c r="G6808" s="38" t="n">
        <f aca="false">Sens!$G$6715</f>
        <v>6.69646550883619</v>
      </c>
      <c r="H6808" s="38" t="n">
        <f aca="false">Sens!$H$6715</f>
        <v>7.16251344209196</v>
      </c>
      <c r="I6808" s="38" t="n">
        <f aca="false">Sens!$I$6715</f>
        <v>7.61421070299826</v>
      </c>
      <c r="J6808" s="38" t="n">
        <f aca="false">Sens!$J$6715</f>
        <v>8.04465753523932</v>
      </c>
      <c r="K6808" s="38" t="n">
        <f aca="false">Sens!$K$6715</f>
        <v>8.44689041200128</v>
      </c>
      <c r="L6808" s="38" t="n">
        <f aca="false">Sens!$L$6715</f>
        <v>8.86923493260135</v>
      </c>
      <c r="M6808" s="38" t="n">
        <f aca="false">Sens!$M$6715</f>
        <v>9.31269667923142</v>
      </c>
      <c r="N6808" s="38" t="n">
        <f aca="false">Sens!$N$6715</f>
        <v>2.811</v>
      </c>
      <c r="O6808" s="38" t="n">
        <f aca="false">Sens!$O$6715</f>
        <v>3.124</v>
      </c>
    </row>
    <row r="6809" customFormat="false" ht="17.15" hidden="false" customHeight="false" outlineLevel="0" collapsed="false">
      <c r="A6809" s="0" t="s">
        <v>728</v>
      </c>
      <c r="B6809" s="0" t="s">
        <v>86</v>
      </c>
      <c r="C6809" s="38" t="n">
        <f aca="false">Sens!$C$6790</f>
        <v>107.556</v>
      </c>
      <c r="D6809" s="38" t="n">
        <f aca="false">Sens!$D$6790</f>
        <v>128.725</v>
      </c>
      <c r="E6809" s="38" t="n">
        <f aca="false">Sens!$E$6790</f>
        <v>79.819</v>
      </c>
      <c r="F6809" s="38" t="n">
        <f aca="false">Sens!$F$6790</f>
        <v>86.7327334389669</v>
      </c>
      <c r="G6809" s="38" t="n">
        <f aca="false">Sens!$G$6790</f>
        <v>166.551733438967</v>
      </c>
      <c r="H6809" s="38" t="n">
        <f aca="false">Sens!$H$6790</f>
        <v>221.182967828978</v>
      </c>
      <c r="I6809" s="38" t="n">
        <f aca="false">Sens!$I$6790</f>
        <v>280.27345865789</v>
      </c>
      <c r="J6809" s="38" t="n">
        <f aca="false">Sens!$J$6790</f>
        <v>338.800945197185</v>
      </c>
      <c r="K6809" s="38" t="n">
        <f aca="false">Sens!$K$6790</f>
        <v>389.88570147276</v>
      </c>
      <c r="L6809" s="38" t="n">
        <f aca="false">Sens!$L$6790</f>
        <v>430.080689379143</v>
      </c>
      <c r="M6809" s="38" t="n">
        <f aca="false">Sens!$M$6790</f>
        <v>459.456235951751</v>
      </c>
      <c r="N6809" s="38" t="n">
        <f aca="false">Sens!$N$6790</f>
        <v>60.14</v>
      </c>
      <c r="O6809" s="38" t="n">
        <f aca="false">Sens!$O$6790</f>
        <v>68.585</v>
      </c>
    </row>
    <row r="6810" customFormat="false" ht="15" hidden="false" customHeight="false" outlineLevel="0" collapsed="false">
      <c r="A6810" s="1" t="s">
        <v>519</v>
      </c>
      <c r="B6810" s="8" t="s">
        <v>86</v>
      </c>
      <c r="C6810" s="38" t="n">
        <f aca="false">Sens!$C$6720</f>
        <v>387.497</v>
      </c>
      <c r="D6810" s="38" t="n">
        <f aca="false">Sens!$D$6720</f>
        <v>426.305</v>
      </c>
      <c r="E6810" s="38" t="n">
        <f aca="false">Sens!$E$6720</f>
        <v>220.32</v>
      </c>
      <c r="F6810" s="38" t="n">
        <f aca="false">Sens!$F$6720</f>
        <v>250.639773480586</v>
      </c>
      <c r="G6810" s="38" t="n">
        <f aca="false">Sens!$G$6720</f>
        <v>470.959773480586</v>
      </c>
      <c r="H6810" s="38" t="n">
        <f aca="false">Sens!$H$6720</f>
        <v>521.386990416437</v>
      </c>
      <c r="I6810" s="38" t="n">
        <f aca="false">Sens!$I$6720</f>
        <v>570.143862887555</v>
      </c>
      <c r="J6810" s="38" t="n">
        <f aca="false">Sens!$J$6720</f>
        <v>615.391435791933</v>
      </c>
      <c r="K6810" s="38" t="n">
        <f aca="false">Sens!$K$6720</f>
        <v>655.208227561543</v>
      </c>
      <c r="L6810" s="38" t="n">
        <f aca="false">Sens!$L$6720</f>
        <v>697.807739249767</v>
      </c>
      <c r="M6810" s="38" t="n">
        <f aca="false">Sens!$M$6720</f>
        <v>743.399328463592</v>
      </c>
      <c r="N6810" s="38" t="n">
        <f aca="false">Sens!$N$6720</f>
        <v>192.955</v>
      </c>
      <c r="O6810" s="38" t="n">
        <f aca="false">Sens!$O$6720</f>
        <v>233.35</v>
      </c>
    </row>
    <row r="6811" customFormat="false" ht="15" hidden="false" customHeight="false" outlineLevel="0" collapsed="false">
      <c r="A6811" s="1" t="s">
        <v>522</v>
      </c>
      <c r="B6811" s="8" t="s">
        <v>86</v>
      </c>
      <c r="C6811" s="38" t="n">
        <f aca="false">Sens!$C$6721</f>
        <v>142.906</v>
      </c>
      <c r="D6811" s="38" t="n">
        <f aca="false">Sens!$D$6721</f>
        <v>161.894</v>
      </c>
      <c r="E6811" s="38" t="n">
        <f aca="false">Sens!$E$6721</f>
        <v>81.986</v>
      </c>
      <c r="F6811" s="38" t="n">
        <f aca="false">Sens!$F$6721</f>
        <v>98.408468164951</v>
      </c>
      <c r="G6811" s="38" t="n">
        <f aca="false">Sens!$G$6721</f>
        <v>180.394468164951</v>
      </c>
      <c r="H6811" s="38" t="n">
        <f aca="false">Sens!$H$6721</f>
        <v>199.709899104949</v>
      </c>
      <c r="I6811" s="38" t="n">
        <f aca="false">Sens!$I$6721</f>
        <v>218.385528264976</v>
      </c>
      <c r="J6811" s="38" t="n">
        <f aca="false">Sens!$J$6721</f>
        <v>235.71696994951</v>
      </c>
      <c r="K6811" s="38" t="n">
        <f aca="false">Sens!$K$6721</f>
        <v>250.968227869545</v>
      </c>
      <c r="L6811" s="38" t="n">
        <f aca="false">Sens!$L$6721</f>
        <v>267.285367225822</v>
      </c>
      <c r="M6811" s="38" t="n">
        <f aca="false">Sens!$M$6721</f>
        <v>284.748579483295</v>
      </c>
      <c r="N6811" s="38" t="n">
        <f aca="false">Sens!$N$6721</f>
        <v>70.274</v>
      </c>
      <c r="O6811" s="38" t="n">
        <f aca="false">Sens!$O$6721</f>
        <v>91.62</v>
      </c>
    </row>
    <row r="6812" customFormat="false" ht="15" hidden="false" customHeight="false" outlineLevel="0" collapsed="false">
      <c r="A6812" s="1" t="s">
        <v>523</v>
      </c>
      <c r="B6812" s="8" t="s">
        <v>86</v>
      </c>
      <c r="C6812" s="38" t="n">
        <f aca="false">Sens!$C$6790</f>
        <v>107.556</v>
      </c>
      <c r="D6812" s="38" t="n">
        <f aca="false">Sens!$D$6790</f>
        <v>128.725</v>
      </c>
      <c r="E6812" s="38" t="n">
        <f aca="false">Sens!$E$6790</f>
        <v>79.819</v>
      </c>
      <c r="F6812" s="38" t="n">
        <f aca="false">Sens!$F$6790</f>
        <v>86.7327334389669</v>
      </c>
      <c r="G6812" s="38" t="n">
        <f aca="false">Sens!$G$6790</f>
        <v>166.551733438967</v>
      </c>
      <c r="H6812" s="38" t="n">
        <f aca="false">Sens!$H$6790</f>
        <v>221.182967828978</v>
      </c>
      <c r="I6812" s="38" t="n">
        <f aca="false">Sens!$I$6790</f>
        <v>280.27345865789</v>
      </c>
      <c r="J6812" s="38" t="n">
        <f aca="false">Sens!$J$6790</f>
        <v>338.800945197185</v>
      </c>
      <c r="K6812" s="38" t="n">
        <f aca="false">Sens!$K$6790</f>
        <v>389.88570147276</v>
      </c>
      <c r="L6812" s="38" t="n">
        <f aca="false">Sens!$L$6790</f>
        <v>430.080689379143</v>
      </c>
      <c r="M6812" s="38" t="n">
        <f aca="false">Sens!$M$6790</f>
        <v>459.456235951751</v>
      </c>
      <c r="N6812" s="38" t="n">
        <f aca="false">Sens!$N$6790</f>
        <v>60.14</v>
      </c>
      <c r="O6812" s="38" t="n">
        <f aca="false">Sens!$O$6790</f>
        <v>68.585</v>
      </c>
    </row>
    <row r="6813" customFormat="false" ht="17.15" hidden="false" customHeight="false" outlineLevel="0" collapsed="false">
      <c r="A6813" s="0" t="s">
        <v>702</v>
      </c>
      <c r="B6813" s="0" t="s">
        <v>86</v>
      </c>
      <c r="C6813" s="38" t="n">
        <f aca="false">Sens!$C$6788</f>
        <v>2.32100535697364</v>
      </c>
      <c r="D6813" s="38" t="n">
        <f aca="false">Sens!$D$6788</f>
        <v>8.70377008865116</v>
      </c>
      <c r="E6813" s="38" t="n">
        <f aca="false">Sens!$E$6788</f>
        <v>8.51035297557002</v>
      </c>
      <c r="F6813" s="38" t="n">
        <f aca="false">Sens!$F$6788</f>
        <v>14.9634336447205</v>
      </c>
      <c r="G6813" s="38" t="n">
        <f aca="false">Sens!$G$6788</f>
        <v>23.4737866202905</v>
      </c>
      <c r="H6813" s="38" t="n">
        <f aca="false">Sens!$H$6788</f>
        <v>60.1658907497746</v>
      </c>
      <c r="I6813" s="38" t="n">
        <f aca="false">Sens!$I$6788</f>
        <v>101.503699136432</v>
      </c>
      <c r="J6813" s="38" t="n">
        <f aca="false">Sens!$J$6788</f>
        <v>143.025407151278</v>
      </c>
      <c r="K6813" s="38" t="n">
        <f aca="false">Sens!$K$6788</f>
        <v>178.44812038318</v>
      </c>
      <c r="L6813" s="38" t="n">
        <f aca="false">Sens!$L$6788</f>
        <v>201.728101802396</v>
      </c>
      <c r="M6813" s="38" t="n">
        <f aca="false">Sens!$M$6788</f>
        <v>212.835441368865</v>
      </c>
      <c r="N6813" s="38" t="n">
        <f aca="false">Sens!$N$6788</f>
        <v>3.04631953102791</v>
      </c>
      <c r="O6813" s="38" t="n">
        <f aca="false">Sens!$O$6788</f>
        <v>5.65745055762326</v>
      </c>
    </row>
    <row r="6814" customFormat="false" ht="17.15" hidden="false" customHeight="false" outlineLevel="0" collapsed="false">
      <c r="A6814" s="0" t="s">
        <v>704</v>
      </c>
      <c r="B6814" s="0" t="s">
        <v>86</v>
      </c>
      <c r="C6814" s="38" t="n">
        <f aca="false">Sens!$C$6789</f>
        <v>105.234994643026</v>
      </c>
      <c r="D6814" s="38" t="n">
        <f aca="false">Sens!$D$6789</f>
        <v>120.021229911349</v>
      </c>
      <c r="E6814" s="38" t="n">
        <f aca="false">Sens!$E$6789</f>
        <v>71.30864702443</v>
      </c>
      <c r="F6814" s="38" t="n">
        <f aca="false">Sens!$F$6789</f>
        <v>71.7692997942464</v>
      </c>
      <c r="G6814" s="38" t="n">
        <f aca="false">Sens!$G$6789</f>
        <v>143.077946818676</v>
      </c>
      <c r="H6814" s="38" t="n">
        <f aca="false">Sens!$H$6789</f>
        <v>161.017077079203</v>
      </c>
      <c r="I6814" s="38" t="n">
        <f aca="false">Sens!$I$6789</f>
        <v>178.769759521457</v>
      </c>
      <c r="J6814" s="38" t="n">
        <f aca="false">Sens!$J$6789</f>
        <v>195.775538045907</v>
      </c>
      <c r="K6814" s="38" t="n">
        <f aca="false">Sens!$K$6789</f>
        <v>211.43758108958</v>
      </c>
      <c r="L6814" s="38" t="n">
        <f aca="false">Sens!$L$6789</f>
        <v>228.352587576746</v>
      </c>
      <c r="M6814" s="38" t="n">
        <f aca="false">Sens!$M$6789</f>
        <v>246.620794582886</v>
      </c>
      <c r="N6814" s="38" t="n">
        <f aca="false">Sens!$N$6789</f>
        <v>57.0936804689721</v>
      </c>
      <c r="O6814" s="38" t="n">
        <f aca="false">Sens!$O$6789</f>
        <v>62.9275494423768</v>
      </c>
    </row>
    <row r="6815" customFormat="false" ht="15" hidden="false" customHeight="false" outlineLevel="0" collapsed="false">
      <c r="A6815" s="3" t="s">
        <v>524</v>
      </c>
      <c r="B6815" s="8" t="s">
        <v>86</v>
      </c>
      <c r="C6815" s="38" t="n">
        <f aca="false">Sens!$C$6791</f>
        <v>637.959</v>
      </c>
      <c r="D6815" s="38" t="n">
        <f aca="false">Sens!$D$6791</f>
        <v>716.924</v>
      </c>
      <c r="E6815" s="38" t="n">
        <f aca="false">Sens!$E$6791</f>
        <v>382.125</v>
      </c>
      <c r="F6815" s="38" t="n">
        <f aca="false">Sens!$F$6791</f>
        <v>435.780975084504</v>
      </c>
      <c r="G6815" s="38" t="n">
        <f aca="false">Sens!$G$6791</f>
        <v>817.905975084504</v>
      </c>
      <c r="H6815" s="38" t="n">
        <f aca="false">Sens!$H$6791</f>
        <v>942.279857350364</v>
      </c>
      <c r="I6815" s="38" t="n">
        <f aca="false">Sens!$I$6791</f>
        <v>1068.80284981042</v>
      </c>
      <c r="J6815" s="38" t="n">
        <f aca="false">Sens!$J$6791</f>
        <v>1189.90935093863</v>
      </c>
      <c r="K6815" s="38" t="n">
        <f aca="false">Sens!$K$6791</f>
        <v>1296.06215690385</v>
      </c>
      <c r="L6815" s="38" t="n">
        <f aca="false">Sens!$L$6791</f>
        <v>1395.17379585473</v>
      </c>
      <c r="M6815" s="38" t="n">
        <f aca="false">Sens!$M$6791</f>
        <v>1487.60414389864</v>
      </c>
      <c r="N6815" s="38" t="n">
        <f aca="false">Sens!$N$6791</f>
        <v>323.369</v>
      </c>
      <c r="O6815" s="38" t="n">
        <f aca="false">Sens!$O$6791</f>
        <v>393.555</v>
      </c>
    </row>
    <row r="6816" customFormat="false" ht="17.15" hidden="false" customHeight="false" outlineLevel="0" collapsed="false">
      <c r="A6816" s="24" t="s">
        <v>714</v>
      </c>
      <c r="B6816" s="25" t="s">
        <v>86</v>
      </c>
      <c r="C6816" s="41" t="n">
        <f aca="false">Sens!$C$6803+Sens!$C$6804+Sens!$C$6805+Sens!$C$6806+Sens!$C$6807+Sens!$C$6808-(Sens!$C$6810+Sens!$C$6811)</f>
        <v>0</v>
      </c>
      <c r="D6816" s="41" t="n">
        <f aca="false">Sens!$D$6803+Sens!$D$6804+Sens!$D$6805+Sens!$D$6806+Sens!$D$6807+Sens!$D$6808-(Sens!$D$6810+Sens!$D$6811)</f>
        <v>0</v>
      </c>
      <c r="E6816" s="41" t="n">
        <f aca="false">Sens!$E$6803+Sens!$E$6804+Sens!$E$6805+Sens!$E$6806+Sens!$E$6807+Sens!$E$6808-(Sens!$E$6810+Sens!$E$6811)</f>
        <v>0</v>
      </c>
      <c r="F6816" s="41" t="n">
        <f aca="false">Sens!$F$6803+Sens!$F$6804+Sens!$F$6805+Sens!$F$6806+Sens!$F$6807+Sens!$F$6808-(Sens!$F$6810+Sens!$F$6811)</f>
        <v>0</v>
      </c>
      <c r="G6816" s="41" t="n">
        <f aca="false">Sens!$G$6803+Sens!$G$6804+Sens!$G$6805+Sens!$G$6806+Sens!$G$6807+Sens!$G$6808-(Sens!$G$6810+Sens!$G$6811)</f>
        <v>0</v>
      </c>
      <c r="H6816" s="41" t="n">
        <f aca="false">Sens!$H$6803+Sens!$H$6804+Sens!$H$6805+Sens!$H$6806+Sens!$H$6807+Sens!$H$6808-(Sens!$H$6810+Sens!$H$6811)</f>
        <v>0</v>
      </c>
      <c r="I6816" s="41" t="n">
        <f aca="false">Sens!$I$6803+Sens!$I$6804+Sens!$I$6805+Sens!$I$6806+Sens!$I$6807+Sens!$I$6808-(Sens!$I$6810+Sens!$I$6811)</f>
        <v>0</v>
      </c>
      <c r="J6816" s="41" t="n">
        <f aca="false">Sens!$J$6803+Sens!$J$6804+Sens!$J$6805+Sens!$J$6806+Sens!$J$6807+Sens!$J$6808-(Sens!$J$6810+Sens!$J$6811)</f>
        <v>0</v>
      </c>
      <c r="K6816" s="41" t="n">
        <f aca="false">Sens!$K$6803+Sens!$K$6804+Sens!$K$6805+Sens!$K$6806+Sens!$K$6807+Sens!$K$6808-(Sens!$K$6810+Sens!$K$6811)</f>
        <v>0</v>
      </c>
      <c r="L6816" s="41" t="n">
        <f aca="false">Sens!$L$6803+Sens!$L$6804+Sens!$L$6805+Sens!$L$6806+Sens!$L$6807+Sens!$L$6808-(Sens!$L$6810+Sens!$L$6811)</f>
        <v>0</v>
      </c>
      <c r="M6816" s="41" t="n">
        <f aca="false">Sens!$M$6803+Sens!$M$6804+Sens!$M$6805+Sens!$M$6806+Sens!$M$6807+Sens!$M$6808-(Sens!$M$6810+Sens!$M$6811)</f>
        <v>0</v>
      </c>
      <c r="N6816" s="41" t="n">
        <f aca="false">Sens!$N$6803+Sens!$N$6804+Sens!$N$6805+Sens!$N$6806+Sens!$N$6807+Sens!$N$6808-(Sens!$N$6810+Sens!$N$6811)</f>
        <v>0</v>
      </c>
      <c r="O6816" s="41" t="n">
        <f aca="false">Sens!$O$6803+Sens!$O$6804+Sens!$O$6805+Sens!$O$6806+Sens!$O$6807+Sens!$O$6808-(Sens!$O$6810+Sens!$O$6811)</f>
        <v>0</v>
      </c>
    </row>
    <row r="6817" customFormat="false" ht="17.15" hidden="false" customHeight="false" outlineLevel="0" collapsed="false">
      <c r="A6817" s="24" t="s">
        <v>715</v>
      </c>
      <c r="B6817" s="25" t="s">
        <v>86</v>
      </c>
      <c r="C6817" s="41" t="n">
        <f aca="false">Sens!$C$6813+Sens!$C$6814-Sens!$C$6812</f>
        <v>0</v>
      </c>
      <c r="D6817" s="41" t="n">
        <f aca="false">Sens!$D$6813+Sens!$D$6814-Sens!$D$6812</f>
        <v>0</v>
      </c>
      <c r="E6817" s="41" t="n">
        <f aca="false">Sens!$E$6813+Sens!$E$6814-Sens!$E$6812</f>
        <v>0</v>
      </c>
      <c r="F6817" s="41" t="n">
        <f aca="false">Sens!$F$6813+Sens!$F$6814-Sens!$F$6812</f>
        <v>0</v>
      </c>
      <c r="G6817" s="41" t="n">
        <f aca="false">Sens!$G$6813+Sens!$G$6814-Sens!$G$6812</f>
        <v>0</v>
      </c>
      <c r="H6817" s="41" t="n">
        <f aca="false">Sens!$H$6813+Sens!$H$6814-Sens!$H$6812</f>
        <v>0</v>
      </c>
      <c r="I6817" s="41" t="n">
        <f aca="false">Sens!$I$6813+Sens!$I$6814-Sens!$I$6812</f>
        <v>0</v>
      </c>
      <c r="J6817" s="41" t="n">
        <f aca="false">Sens!$J$6813+Sens!$J$6814-Sens!$J$6812</f>
        <v>0</v>
      </c>
      <c r="K6817" s="41" t="n">
        <f aca="false">Sens!$K$6813+Sens!$K$6814-Sens!$K$6812</f>
        <v>0</v>
      </c>
      <c r="L6817" s="41" t="n">
        <f aca="false">Sens!$L$6813+Sens!$L$6814-Sens!$L$6812</f>
        <v>0</v>
      </c>
      <c r="M6817" s="41" t="n">
        <f aca="false">Sens!$M$6813+Sens!$M$6814-Sens!$M$6812</f>
        <v>0</v>
      </c>
      <c r="N6817" s="41" t="n">
        <f aca="false">Sens!$N$6813+Sens!$N$6814-Sens!$N$6812</f>
        <v>0</v>
      </c>
      <c r="O6817" s="41" t="n">
        <f aca="false">Sens!$O$6813+Sens!$O$6814-Sens!$O$6812</f>
        <v>0</v>
      </c>
    </row>
    <row r="6818" customFormat="false" ht="17.15" hidden="false" customHeight="false" outlineLevel="0" collapsed="false">
      <c r="A6818" s="24" t="s">
        <v>774</v>
      </c>
      <c r="B6818" s="25" t="s">
        <v>86</v>
      </c>
      <c r="C6818" s="41" t="n">
        <f aca="false">Sens!$C$6803+Sens!$C$6804+Sens!$C$6805+Sens!$C$6806+Sens!$C$6807+Sens!$C$6808+Sens!$C$6809-Sens!$C$6815</f>
        <v>0</v>
      </c>
      <c r="D6818" s="41" t="n">
        <f aca="false">Sens!$D$6803+Sens!$D$6804+Sens!$D$6805+Sens!$D$6806+Sens!$D$6807+Sens!$D$6808+Sens!$D$6809-Sens!$D$6815</f>
        <v>0</v>
      </c>
      <c r="E6818" s="41" t="n">
        <f aca="false">Sens!$E$6803+Sens!$E$6804+Sens!$E$6805+Sens!$E$6806+Sens!$E$6807+Sens!$E$6808+Sens!$E$6809-Sens!$E$6815</f>
        <v>0</v>
      </c>
      <c r="F6818" s="41" t="n">
        <f aca="false">Sens!$F$6803+Sens!$F$6804+Sens!$F$6805+Sens!$F$6806+Sens!$F$6807+Sens!$F$6808+Sens!$F$6809-Sens!$F$6815</f>
        <v>0</v>
      </c>
      <c r="G6818" s="41" t="n">
        <f aca="false">Sens!$G$6803+Sens!$G$6804+Sens!$G$6805+Sens!$G$6806+Sens!$G$6807+Sens!$G$6808+Sens!$G$6809-Sens!$G$6815</f>
        <v>0</v>
      </c>
      <c r="H6818" s="41" t="n">
        <f aca="false">Sens!$H$6803+Sens!$H$6804+Sens!$H$6805+Sens!$H$6806+Sens!$H$6807+Sens!$H$6808+Sens!$H$6809-Sens!$H$6815</f>
        <v>0</v>
      </c>
      <c r="I6818" s="41" t="n">
        <f aca="false">Sens!$I$6803+Sens!$I$6804+Sens!$I$6805+Sens!$I$6806+Sens!$I$6807+Sens!$I$6808+Sens!$I$6809-Sens!$I$6815</f>
        <v>0</v>
      </c>
      <c r="J6818" s="41" t="n">
        <f aca="false">Sens!$J$6803+Sens!$J$6804+Sens!$J$6805+Sens!$J$6806+Sens!$J$6807+Sens!$J$6808+Sens!$J$6809-Sens!$J$6815</f>
        <v>0</v>
      </c>
      <c r="K6818" s="41" t="n">
        <f aca="false">Sens!$K$6803+Sens!$K$6804+Sens!$K$6805+Sens!$K$6806+Sens!$K$6807+Sens!$K$6808+Sens!$K$6809-Sens!$K$6815</f>
        <v>0</v>
      </c>
      <c r="L6818" s="41" t="n">
        <f aca="false">Sens!$L$6803+Sens!$L$6804+Sens!$L$6805+Sens!$L$6806+Sens!$L$6807+Sens!$L$6808+Sens!$L$6809-Sens!$L$6815</f>
        <v>0</v>
      </c>
      <c r="M6818" s="41" t="n">
        <f aca="false">Sens!$M$6803+Sens!$M$6804+Sens!$M$6805+Sens!$M$6806+Sens!$M$6807+Sens!$M$6808+Sens!$M$6809-Sens!$M$6815</f>
        <v>0</v>
      </c>
      <c r="N6818" s="41" t="n">
        <f aca="false">Sens!$N$6803+Sens!$N$6804+Sens!$N$6805+Sens!$N$6806+Sens!$N$6807+Sens!$N$6808+Sens!$N$6809-Sens!$N$6815</f>
        <v>0</v>
      </c>
      <c r="O6818" s="41" t="n">
        <f aca="false">Sens!$O$6803+Sens!$O$6804+Sens!$O$6805+Sens!$O$6806+Sens!$O$6807+Sens!$O$6808+Sens!$O$6809-Sens!$O$6815</f>
        <v>0</v>
      </c>
    </row>
    <row r="6819" customFormat="false" ht="17.15" hidden="false" customHeight="false" outlineLevel="0" collapsed="false">
      <c r="A6819" s="24" t="s">
        <v>716</v>
      </c>
      <c r="B6819" s="25" t="s">
        <v>86</v>
      </c>
      <c r="C6819" s="41" t="n">
        <f aca="false">Sens!$C$6810+Sens!$C$6811+Sens!$C$6812-Sens!$C$6815</f>
        <v>0</v>
      </c>
      <c r="D6819" s="41" t="n">
        <f aca="false">Sens!$D$6810+Sens!$D$6811+Sens!$D$6812-Sens!$D$6815</f>
        <v>0</v>
      </c>
      <c r="E6819" s="41" t="n">
        <f aca="false">Sens!$E$6810+Sens!$E$6811+Sens!$E$6812-Sens!$E$6815</f>
        <v>0</v>
      </c>
      <c r="F6819" s="41" t="n">
        <f aca="false">Sens!$F$6810+Sens!$F$6811+Sens!$F$6812-Sens!$F$6815</f>
        <v>0</v>
      </c>
      <c r="G6819" s="41" t="n">
        <f aca="false">Sens!$G$6810+Sens!$G$6811+Sens!$G$6812-Sens!$G$6815</f>
        <v>0</v>
      </c>
      <c r="H6819" s="41" t="n">
        <f aca="false">Sens!$H$6810+Sens!$H$6811+Sens!$H$6812-Sens!$H$6815</f>
        <v>0</v>
      </c>
      <c r="I6819" s="41" t="n">
        <f aca="false">Sens!$I$6810+Sens!$I$6811+Sens!$I$6812-Sens!$I$6815</f>
        <v>0</v>
      </c>
      <c r="J6819" s="41" t="n">
        <f aca="false">Sens!$J$6810+Sens!$J$6811+Sens!$J$6812-Sens!$J$6815</f>
        <v>0</v>
      </c>
      <c r="K6819" s="41" t="n">
        <f aca="false">Sens!$K$6810+Sens!$K$6811+Sens!$K$6812-Sens!$K$6815</f>
        <v>0</v>
      </c>
      <c r="L6819" s="41" t="n">
        <f aca="false">Sens!$L$6810+Sens!$L$6811+Sens!$L$6812-Sens!$L$6815</f>
        <v>0</v>
      </c>
      <c r="M6819" s="41" t="n">
        <f aca="false">Sens!$M$6810+Sens!$M$6811+Sens!$M$6812-Sens!$M$6815</f>
        <v>0</v>
      </c>
      <c r="N6819" s="41" t="n">
        <f aca="false">Sens!$N$6810+Sens!$N$6811+Sens!$N$6812-Sens!$N$6815</f>
        <v>0</v>
      </c>
      <c r="O6819" s="41" t="n">
        <f aca="false">Sens!$O$6810+Sens!$O$6811+Sens!$O$6812-Sens!$O$6815</f>
        <v>0</v>
      </c>
    </row>
    <row r="6820" customFormat="false" ht="17.15" hidden="false" customHeight="false" outlineLevel="0" collapsed="false">
      <c r="A6820" s="1" t="s">
        <v>730</v>
      </c>
    </row>
    <row r="6821" customFormat="false" ht="17.15" hidden="false" customHeight="false" outlineLevel="0" collapsed="false">
      <c r="A6821" s="0" t="s">
        <v>731</v>
      </c>
      <c r="B6821" s="0" t="s">
        <v>86</v>
      </c>
      <c r="C6821" s="38" t="n">
        <f aca="false">Sens!$C$6722*m_ad</f>
        <v>20.5341564414228</v>
      </c>
      <c r="D6821" s="38" t="n">
        <f aca="false">Sens!$D$6722*m_ad</f>
        <v>24.8720617299587</v>
      </c>
      <c r="E6821" s="38" t="n">
        <f aca="false">Sens!$E$6722*m_ad</f>
        <v>13.5017112462207</v>
      </c>
      <c r="F6821" s="38" t="n">
        <f aca="false">Sens!$F$6722*m_ad</f>
        <v>16.5719724165257</v>
      </c>
      <c r="G6821" s="38" t="n">
        <f aca="false">Sens!$G$6722*m_ad</f>
        <v>30.0820919220415</v>
      </c>
      <c r="H6821" s="38" t="n">
        <f aca="false">Sens!$H$6722*m_ad</f>
        <v>36.1150883276314</v>
      </c>
      <c r="I6821" s="38" t="n">
        <f aca="false">Sens!$I$6722*m_ad</f>
        <v>42.1475382231996</v>
      </c>
      <c r="J6821" s="38" t="n">
        <f aca="false">Sens!$J$6722*m_ad</f>
        <v>47.7749523864693</v>
      </c>
      <c r="K6821" s="38" t="n">
        <f aca="false">Sens!$K$6722*m_ad</f>
        <v>52.5524476251162</v>
      </c>
      <c r="L6821" s="38" t="n">
        <f aca="false">Sens!$L$6722*m_ad</f>
        <v>57.8076923876279</v>
      </c>
      <c r="M6821" s="38" t="n">
        <f aca="false">Sens!$M$6722*m_ad</f>
        <v>63.5884616263907</v>
      </c>
      <c r="N6821" s="38" t="n">
        <f aca="false">Sens!$N$6722*m_ad</f>
        <v>10.8543555706248</v>
      </c>
      <c r="O6821" s="38" t="n">
        <f aca="false">Sens!$O$6722*m_ad</f>
        <v>14.0094731821399</v>
      </c>
    </row>
    <row r="6822" customFormat="false" ht="17.15" hidden="false" customHeight="false" outlineLevel="0" collapsed="false">
      <c r="A6822" s="0" t="s">
        <v>732</v>
      </c>
      <c r="B6822" s="0" t="s">
        <v>86</v>
      </c>
      <c r="C6822" s="38" t="n">
        <f aca="false">Sens!$C$6720-Sens!$C$6722</f>
        <v>346.428687117154</v>
      </c>
      <c r="D6822" s="38" t="n">
        <f aca="false">Sens!$D$6720-Sens!$D$6722</f>
        <v>376.560876540083</v>
      </c>
      <c r="E6822" s="38" t="n">
        <f aca="false">Sens!$E$6720-Sens!$E$6722</f>
        <v>193.316577507559</v>
      </c>
      <c r="F6822" s="38" t="n">
        <f aca="false">Sens!$F$6720-Sens!$F$6722</f>
        <v>217.495828647535</v>
      </c>
      <c r="G6822" s="38" t="n">
        <f aca="false">Sens!$G$6720-Sens!$G$6722</f>
        <v>410.795589636503</v>
      </c>
      <c r="H6822" s="38" t="n">
        <f aca="false">Sens!$H$6720-Sens!$H$6722</f>
        <v>449.156813761174</v>
      </c>
      <c r="I6822" s="38" t="n">
        <f aca="false">Sens!$I$6720-Sens!$I$6722</f>
        <v>485.848786441156</v>
      </c>
      <c r="J6822" s="38" t="n">
        <f aca="false">Sens!$J$6720-Sens!$J$6722</f>
        <v>519.841531018994</v>
      </c>
      <c r="K6822" s="38" t="n">
        <f aca="false">Sens!$K$6720-Sens!$K$6722</f>
        <v>550.103332311311</v>
      </c>
      <c r="L6822" s="38" t="n">
        <f aca="false">Sens!$L$6720-Sens!$L$6722</f>
        <v>582.192354474511</v>
      </c>
      <c r="M6822" s="38" t="n">
        <f aca="false">Sens!$M$6720-Sens!$M$6722</f>
        <v>616.22240521081</v>
      </c>
      <c r="N6822" s="38" t="n">
        <f aca="false">Sens!$N$6720-Sens!$N$6722</f>
        <v>171.24628885875</v>
      </c>
      <c r="O6822" s="38" t="n">
        <f aca="false">Sens!$O$6720-Sens!$O$6722</f>
        <v>205.33105363572</v>
      </c>
    </row>
    <row r="6823" customFormat="false" ht="17.15" hidden="false" customHeight="false" outlineLevel="0" collapsed="false">
      <c r="A6823" s="0" t="s">
        <v>733</v>
      </c>
      <c r="B6823" s="0" t="s">
        <v>86</v>
      </c>
      <c r="C6823" s="38" t="n">
        <f aca="false">Sens!$C$6774*Sens!$C$6719</f>
        <v>0.123617442257179</v>
      </c>
      <c r="D6823" s="38" t="n">
        <f aca="false">Sens!$D$6774*Sens!$D$6719</f>
        <v>0.600198046024689</v>
      </c>
      <c r="E6823" s="38" t="n">
        <f aca="false">Sens!$E$6774*Sens!$E$6719</f>
        <v>1.10840000750276</v>
      </c>
      <c r="F6823" s="38" t="n">
        <f aca="false">Sens!$F$6774*Sens!$F$6719</f>
        <v>1.33595298721025</v>
      </c>
      <c r="G6823" s="38" t="n">
        <f aca="false">Sens!$G$6774*Sens!$G$6719</f>
        <v>2.44487335052545</v>
      </c>
      <c r="H6823" s="38" t="n">
        <f aca="false">Sens!$H$6774*Sens!$H$6719</f>
        <v>6.63132711939388</v>
      </c>
      <c r="I6823" s="38" t="n">
        <f aca="false">Sens!$I$6774*Sens!$I$6719</f>
        <v>12.7486799258504</v>
      </c>
      <c r="J6823" s="38" t="n">
        <f aca="false">Sens!$J$6774*Sens!$J$6719</f>
        <v>18.4074045299415</v>
      </c>
      <c r="K6823" s="38" t="n">
        <f aca="false">Sens!$K$6774*Sens!$K$6719</f>
        <v>23.9455472348705</v>
      </c>
      <c r="L6823" s="38" t="n">
        <f aca="false">Sens!$L$6774*Sens!$L$6719</f>
        <v>27.78179156216</v>
      </c>
      <c r="M6823" s="38" t="n">
        <f aca="false">Sens!$M$6774*Sens!$M$6719</f>
        <v>29.9029027327362</v>
      </c>
      <c r="N6823" s="38" t="n">
        <f aca="false">Sens!$N$6774*Sens!$N$6719</f>
        <v>0.25053229484398</v>
      </c>
      <c r="O6823" s="38" t="n">
        <f aca="false">Sens!$O$6774*Sens!$O$6719</f>
        <v>0.349234376756897</v>
      </c>
    </row>
    <row r="6824" customFormat="false" ht="17.15" hidden="false" customHeight="false" outlineLevel="0" collapsed="false">
      <c r="A6824" s="0" t="s">
        <v>734</v>
      </c>
      <c r="B6824" s="0" t="s">
        <v>52</v>
      </c>
      <c r="C6824" s="28" t="n">
        <f aca="false">(Sens!$C$6825-Sens!$C$6821+Sens!$C$6823)/Sens!$C$6822</f>
        <v>0.0131526665379575</v>
      </c>
      <c r="D6824" s="28" t="n">
        <f aca="false">(Sens!$D$6825-Sens!$D$6821+Sens!$D$6823)/Sens!$D$6822</f>
        <v>0.0141999252954702</v>
      </c>
      <c r="E6824" s="28" t="n">
        <f aca="false">(Sens!$E$6825-Sens!$E$6821+Sens!$E$6823)/Sens!$E$6822</f>
        <v>0.0258471819939326</v>
      </c>
      <c r="F6824" s="28" t="n">
        <f aca="false">Sens!$O$6824+(Sens!$E$6824-Sens!$N$6824)</f>
        <v>0.0224302350712874</v>
      </c>
      <c r="G6824" s="28" t="n">
        <f aca="false">(Sens!$G$6825-Sens!$G$6821+Sens!$G$6823)/Sens!$G$6822</f>
        <v>0.0240199351461372</v>
      </c>
      <c r="H6824" s="28" t="n">
        <f aca="false">Sens!$G$6824+step_na</f>
        <v>0.0270199351461372</v>
      </c>
      <c r="I6824" s="28" t="n">
        <f aca="false">Sens!$H$6824+step_na</f>
        <v>0.0300199351461372</v>
      </c>
      <c r="J6824" s="28" t="n">
        <f aca="false">Sens!$I$6824+step_na</f>
        <v>0.0330199351461372</v>
      </c>
      <c r="K6824" s="28" t="n">
        <f aca="false">Sens!$J$6824+step_na</f>
        <v>0.0360199351461372</v>
      </c>
      <c r="L6824" s="28" t="n">
        <f aca="false">Sens!$K$6824</f>
        <v>0.0360199351461372</v>
      </c>
      <c r="M6824" s="28" t="n">
        <f aca="false">Sens!$L$6824</f>
        <v>0.0360199351461372</v>
      </c>
      <c r="N6824" s="28" t="n">
        <f aca="false">(Sens!$N$6825-Sens!$N$6821+Sens!$N$6823)/Sens!$N$6822</f>
        <v>0.0160831323269779</v>
      </c>
      <c r="O6824" s="28" t="n">
        <f aca="false">(Sens!$O$6825-Sens!$O$6821+Sens!$O$6823)/Sens!$O$6822</f>
        <v>0.0126661854043327</v>
      </c>
      <c r="P6824" s="8" t="s">
        <v>735</v>
      </c>
    </row>
    <row r="6825" customFormat="false" ht="17.15" hidden="false" customHeight="false" outlineLevel="0" collapsed="false">
      <c r="A6825" s="1" t="s">
        <v>736</v>
      </c>
      <c r="B6825" s="8" t="s">
        <v>86</v>
      </c>
      <c r="C6825" s="38" t="n">
        <f aca="false">Q!$D$22</f>
        <v>24.967</v>
      </c>
      <c r="D6825" s="38" t="n">
        <f aca="false">Q!$E$22</f>
        <v>29.619</v>
      </c>
      <c r="E6825" s="38" t="n">
        <f aca="false">Q!$P$22</f>
        <v>17.39</v>
      </c>
      <c r="F6825" s="38" t="n">
        <f aca="false">Sens!$F$6821+Sens!$F$6822*Sens!$F$6824-Sens!$F$6823</f>
        <v>20.1145019929041</v>
      </c>
      <c r="G6825" s="38" t="n">
        <f aca="false">Sens!$E$6825+Sens!$F$6825</f>
        <v>37.5045019929041</v>
      </c>
      <c r="H6825" s="38" t="n">
        <f aca="false">Sens!$H$6821+Sens!$H$6822*Sens!$H$6824-Sens!$H$6823</f>
        <v>41.6199491865101</v>
      </c>
      <c r="I6825" s="38" t="n">
        <f aca="false">Sens!$I$6821+Sens!$I$6822*Sens!$I$6824-Sens!$I$6823</f>
        <v>43.9840073571422</v>
      </c>
      <c r="J6825" s="38" t="n">
        <f aca="false">Sens!$J$6821+Sens!$J$6822*Sens!$J$6824-Sens!$J$6823</f>
        <v>46.5326814970436</v>
      </c>
      <c r="K6825" s="38" t="n">
        <f aca="false">Sens!$K$6821+Sens!$K$6822*Sens!$K$6824-Sens!$K$6823</f>
        <v>48.4215867437731</v>
      </c>
      <c r="L6825" s="38" t="n">
        <f aca="false">Sens!$L$6821+Sens!$L$6822*Sens!$L$6824-Sens!$L$6823</f>
        <v>50.9964316762167</v>
      </c>
      <c r="M6825" s="38" t="n">
        <f aca="false">Sens!$M$6821+Sens!$M$6822*Sens!$M$6824-Sens!$M$6823</f>
        <v>55.8818499649445</v>
      </c>
      <c r="N6825" s="38" t="n">
        <f aca="false">Q!$N$22</f>
        <v>13.358</v>
      </c>
      <c r="O6825" s="38" t="n">
        <f aca="false">Q!$O$22</f>
        <v>16.261</v>
      </c>
    </row>
    <row r="6826" customFormat="false" ht="17.15" hidden="false" customHeight="false" outlineLevel="0" collapsed="false">
      <c r="A6826" s="0" t="s">
        <v>737</v>
      </c>
      <c r="B6826" s="0" t="s">
        <v>86</v>
      </c>
      <c r="C6826" s="38" t="n">
        <f aca="false">Sens!$C$6723*m_ad</f>
        <v>7.57284355857716</v>
      </c>
      <c r="D6826" s="38" t="n">
        <f aca="false">Sens!$D$6723*m_ad</f>
        <v>9.44543827004127</v>
      </c>
      <c r="E6826" s="38" t="n">
        <f aca="false">Sens!$E$6723*m_ad</f>
        <v>5.02428875377928</v>
      </c>
      <c r="F6826" s="38" t="n">
        <f aca="false">Sens!$F$6723*m_ad</f>
        <v>6.50663858068173</v>
      </c>
      <c r="G6826" s="38" t="n">
        <f aca="false">Sens!$G$6723*m_ad</f>
        <v>11.5225190751659</v>
      </c>
      <c r="H6826" s="38" t="n">
        <f aca="false">Sens!$H$6723*m_ad</f>
        <v>13.8333728663174</v>
      </c>
      <c r="I6826" s="38" t="n">
        <f aca="false">Sens!$I$6723*m_ad</f>
        <v>16.1440173245485</v>
      </c>
      <c r="J6826" s="38" t="n">
        <f aca="false">Sens!$J$6723*m_ad</f>
        <v>18.2995185845066</v>
      </c>
      <c r="K6826" s="38" t="n">
        <f aca="false">Sens!$K$6723*m_ad</f>
        <v>20.1294704429572</v>
      </c>
      <c r="L6826" s="38" t="n">
        <f aca="false">Sens!$L$6723*m_ad</f>
        <v>22.142417487253</v>
      </c>
      <c r="M6826" s="38" t="n">
        <f aca="false">Sens!$M$6723*m_ad</f>
        <v>24.3566592359783</v>
      </c>
      <c r="N6826" s="38" t="n">
        <f aca="false">Sens!$N$6723*m_ad</f>
        <v>3.95314442937518</v>
      </c>
      <c r="O6826" s="38" t="n">
        <f aca="false">Sens!$O$6723*m_ad</f>
        <v>5.50052681786011</v>
      </c>
    </row>
    <row r="6827" customFormat="false" ht="17.15" hidden="false" customHeight="false" outlineLevel="0" collapsed="false">
      <c r="A6827" s="0" t="s">
        <v>738</v>
      </c>
      <c r="B6827" s="0" t="s">
        <v>86</v>
      </c>
      <c r="C6827" s="38" t="n">
        <f aca="false">Sens!$C$6721-Sens!$C$6723</f>
        <v>127.760312882846</v>
      </c>
      <c r="D6827" s="38" t="n">
        <f aca="false">Sens!$D$6721-Sens!$D$6723</f>
        <v>143.003123459917</v>
      </c>
      <c r="E6827" s="38" t="n">
        <f aca="false">Sens!$E$6721-Sens!$E$6723</f>
        <v>71.9374224924414</v>
      </c>
      <c r="F6827" s="38" t="n">
        <f aca="false">Sens!$F$6721-Sens!$F$6723</f>
        <v>85.3951910035875</v>
      </c>
      <c r="G6827" s="38" t="n">
        <f aca="false">Sens!$G$6721-Sens!$G$6723</f>
        <v>157.349430014619</v>
      </c>
      <c r="H6827" s="38" t="n">
        <f aca="false">Sens!$H$6721-Sens!$H$6723</f>
        <v>172.043153372315</v>
      </c>
      <c r="I6827" s="38" t="n">
        <f aca="false">Sens!$I$6721-Sens!$I$6723</f>
        <v>186.097493615879</v>
      </c>
      <c r="J6827" s="38" t="n">
        <f aca="false">Sens!$J$6721-Sens!$J$6723</f>
        <v>199.117932780497</v>
      </c>
      <c r="K6827" s="38" t="n">
        <f aca="false">Sens!$K$6721-Sens!$K$6723</f>
        <v>210.70928698363</v>
      </c>
      <c r="L6827" s="38" t="n">
        <f aca="false">Sens!$L$6721-Sens!$L$6723</f>
        <v>223.000532251316</v>
      </c>
      <c r="M6827" s="38" t="n">
        <f aca="false">Sens!$M$6721-Sens!$M$6723</f>
        <v>236.035261011339</v>
      </c>
      <c r="N6827" s="38" t="n">
        <f aca="false">Sens!$N$6721-Sens!$N$6723</f>
        <v>62.3677111412496</v>
      </c>
      <c r="O6827" s="38" t="n">
        <f aca="false">Sens!$O$6721-Sens!$O$6723</f>
        <v>80.6189463642798</v>
      </c>
    </row>
    <row r="6828" customFormat="false" ht="17.15" hidden="false" customHeight="false" outlineLevel="0" collapsed="false">
      <c r="A6828" s="0" t="s">
        <v>739</v>
      </c>
      <c r="B6828" s="0" t="s">
        <v>86</v>
      </c>
      <c r="C6828" s="38" t="n">
        <f aca="false">Sens!$C$6774*(1-Sens!$C$6719)</f>
        <v>0.0455891896019953</v>
      </c>
      <c r="D6828" s="38" t="n">
        <f aca="false">Sens!$D$6774*(1-Sens!$D$6719)</f>
        <v>0.227931791705753</v>
      </c>
      <c r="E6828" s="38" t="n">
        <f aca="false">Sens!$E$6774*(1-Sens!$E$6719)</f>
        <v>0.412460434890711</v>
      </c>
      <c r="F6828" s="38" t="n">
        <f aca="false">Sens!$F$6774*(1-Sens!$F$6719)</f>
        <v>0.524534016233997</v>
      </c>
      <c r="G6828" s="38" t="n">
        <f aca="false">Sens!$G$6774*(1-Sens!$G$6719)</f>
        <v>0.936474095312266</v>
      </c>
      <c r="H6828" s="38" t="n">
        <f aca="false">Sens!$H$6774*(1-Sens!$H$6719)</f>
        <v>2.54003589327823</v>
      </c>
      <c r="I6828" s="38" t="n">
        <f aca="false">Sens!$I$6774*(1-Sens!$I$6719)</f>
        <v>4.88320120852905</v>
      </c>
      <c r="J6828" s="38" t="n">
        <f aca="false">Sens!$J$6774*(1-Sens!$J$6719)</f>
        <v>7.05069548920359</v>
      </c>
      <c r="K6828" s="38" t="n">
        <f aca="false">Sens!$K$6774*(1-Sens!$K$6719)</f>
        <v>9.17200258193867</v>
      </c>
      <c r="L6828" s="38" t="n">
        <f aca="false">Sens!$L$6774*(1-Sens!$L$6719)</f>
        <v>10.6414216154535</v>
      </c>
      <c r="M6828" s="38" t="n">
        <f aca="false">Sens!$M$6774*(1-Sens!$M$6719)</f>
        <v>11.4538831951485</v>
      </c>
      <c r="N6828" s="38" t="n">
        <f aca="false">Sens!$N$6774*(1-Sens!$N$6719)</f>
        <v>0.0912435878202994</v>
      </c>
      <c r="O6828" s="38" t="n">
        <f aca="false">Sens!$O$6774*(1-Sens!$O$6719)</f>
        <v>0.137119578309265</v>
      </c>
    </row>
    <row r="6829" customFormat="false" ht="17.15" hidden="false" customHeight="false" outlineLevel="0" collapsed="false">
      <c r="A6829" s="0" t="s">
        <v>740</v>
      </c>
      <c r="B6829" s="0" t="s">
        <v>52</v>
      </c>
      <c r="C6829" s="28" t="n">
        <f aca="false">(Sens!$C$6830-Sens!$C$6826+Sens!$C$6828)/Sens!$C$6827</f>
        <v>-0.0292364215826579</v>
      </c>
      <c r="D6829" s="28" t="n">
        <f aca="false">(Sens!$D$6830-Sens!$D$6826+Sens!$D$6828)/Sens!$D$6827</f>
        <v>-0.0312406216748665</v>
      </c>
      <c r="E6829" s="28" t="n">
        <f aca="false">(Sens!$E$6830-Sens!$E$6826+Sens!$E$6828)/Sens!$E$6827</f>
        <v>-0.0204459413185552</v>
      </c>
      <c r="F6829" s="28" t="n">
        <f aca="false">Sens!$O$6829+(Sens!$E$6829-Sens!$N$6829)</f>
        <v>-0.0375409290246314</v>
      </c>
      <c r="G6829" s="28" t="n">
        <f aca="false">(Sens!$G$6830-Sens!$G$6826+Sens!$G$6828)/Sens!$G$6827</f>
        <v>-0.0296712560031684</v>
      </c>
      <c r="H6829" s="28" t="n">
        <f aca="false">Sens!$G$6829+step_in</f>
        <v>-0.0296712560031684</v>
      </c>
      <c r="I6829" s="28" t="n">
        <f aca="false">Sens!$H$6829+step_in</f>
        <v>-0.0296712560031684</v>
      </c>
      <c r="J6829" s="28" t="n">
        <f aca="false">Sens!$I$6829+step_in</f>
        <v>-0.0296712560031684</v>
      </c>
      <c r="K6829" s="28" t="n">
        <f aca="false">Sens!$J$6829+step_in</f>
        <v>-0.0296712560031684</v>
      </c>
      <c r="L6829" s="28" t="n">
        <f aca="false">Sens!$K$6829</f>
        <v>-0.0296712560031684</v>
      </c>
      <c r="M6829" s="28" t="n">
        <f aca="false">Sens!$L$6829</f>
        <v>-0.0296712560031684</v>
      </c>
      <c r="N6829" s="28" t="n">
        <f aca="false">(Sens!$N$6830-Sens!$N$6826+Sens!$N$6828)/Sens!$N$6827</f>
        <v>-0.0216602600421776</v>
      </c>
      <c r="O6829" s="28" t="n">
        <f aca="false">(Sens!$O$6830-Sens!$O$6826+Sens!$O$6828)/Sens!$O$6827</f>
        <v>-0.0387552477482538</v>
      </c>
      <c r="P6829" s="8" t="s">
        <v>735</v>
      </c>
    </row>
    <row r="6830" customFormat="false" ht="17.15" hidden="false" customHeight="false" outlineLevel="0" collapsed="false">
      <c r="A6830" s="1" t="s">
        <v>741</v>
      </c>
      <c r="B6830" s="8" t="s">
        <v>86</v>
      </c>
      <c r="C6830" s="38" t="n">
        <f aca="false">Q!$D$23</f>
        <v>3.792</v>
      </c>
      <c r="D6830" s="38" t="n">
        <f aca="false">Q!$E$23</f>
        <v>4.75</v>
      </c>
      <c r="E6830" s="38" t="n">
        <f aca="false">Q!$P$23</f>
        <v>3.141</v>
      </c>
      <c r="F6830" s="38" t="n">
        <f aca="false">Sens!$F$6826+Sens!$F$6827*Sens!$F$6829-Sens!$F$6828</f>
        <v>2.77628975993721</v>
      </c>
      <c r="G6830" s="38" t="n">
        <f aca="false">Sens!$E$6830+Sens!$F$6830</f>
        <v>5.91728975993721</v>
      </c>
      <c r="H6830" s="38" t="n">
        <f aca="false">Sens!$H$6826+Sens!$H$6827*Sens!$H$6829-Sens!$H$6828</f>
        <v>6.18860052573681</v>
      </c>
      <c r="I6830" s="38" t="n">
        <f aca="false">Sens!$I$6826+Sens!$I$6827*Sens!$I$6829-Sens!$I$6828</f>
        <v>5.73906974139474</v>
      </c>
      <c r="J6830" s="38" t="n">
        <f aca="false">Sens!$J$6826+Sens!$J$6827*Sens!$J$6829-Sens!$J$6828</f>
        <v>5.34074393695119</v>
      </c>
      <c r="K6830" s="38" t="n">
        <f aca="false">Sens!$K$6826+Sens!$K$6827*Sens!$K$6829-Sens!$K$6828</f>
        <v>4.7054586646822</v>
      </c>
      <c r="L6830" s="38" t="n">
        <f aca="false">Sens!$L$6826+Sens!$L$6827*Sens!$L$6829-Sens!$L$6828</f>
        <v>4.88428999052786</v>
      </c>
      <c r="M6830" s="38" t="n">
        <f aca="false">Sens!$M$6826+Sens!$M$6827*Sens!$M$6829-Sens!$M$6828</f>
        <v>5.89931338558769</v>
      </c>
      <c r="N6830" s="38" t="n">
        <f aca="false">Q!$N$23</f>
        <v>2.511</v>
      </c>
      <c r="O6830" s="38" t="n">
        <f aca="false">Q!$O$23</f>
        <v>2.239</v>
      </c>
    </row>
    <row r="6831" customFormat="false" ht="17.15" hidden="false" customHeight="false" outlineLevel="0" collapsed="false">
      <c r="A6831" s="0" t="s">
        <v>742</v>
      </c>
      <c r="B6831" s="0" t="s">
        <v>86</v>
      </c>
      <c r="C6831" s="38" t="n">
        <f aca="false">Sens!$C$6771</f>
        <v>1.64417882953695</v>
      </c>
      <c r="D6831" s="38" t="n">
        <f aca="false">Sens!$D$6771</f>
        <v>5.39125073772939</v>
      </c>
      <c r="E6831" s="38" t="n">
        <f aca="false">Sens!$E$6771</f>
        <v>2.42691120599613</v>
      </c>
      <c r="F6831" s="38" t="n">
        <f aca="false">Sens!$F$6771</f>
        <v>7.52148563094346</v>
      </c>
      <c r="G6831" s="38" t="n">
        <f aca="false">Sens!$G$6771</f>
        <v>9.94839683693959</v>
      </c>
      <c r="H6831" s="38" t="n">
        <f aca="false">Sens!$H$6771</f>
        <v>23.4804386990861</v>
      </c>
      <c r="I6831" s="38" t="n">
        <f aca="false">Sens!$I$6771</f>
        <v>30.9761745989143</v>
      </c>
      <c r="J6831" s="38" t="n">
        <f aca="false">Sens!$J$6771</f>
        <v>41.1930070746977</v>
      </c>
      <c r="K6831" s="38" t="n">
        <f aca="false">Sens!$K$6771</f>
        <v>45.9779211159428</v>
      </c>
      <c r="L6831" s="38" t="n">
        <f aca="false">Sens!$L$6771</f>
        <v>48.0352490919424</v>
      </c>
      <c r="M6831" s="38" t="n">
        <f aca="false">Sens!$M$6771</f>
        <v>47.4082976573265</v>
      </c>
      <c r="N6831" s="38" t="n">
        <f aca="false">Sens!$N$6771</f>
        <v>1.67921600037079</v>
      </c>
      <c r="O6831" s="38" t="n">
        <f aca="false">Sens!$O$6771</f>
        <v>3.71203473735861</v>
      </c>
    </row>
    <row r="6832" customFormat="false" ht="17.15" hidden="false" customHeight="false" outlineLevel="0" collapsed="false">
      <c r="A6832" s="0" t="s">
        <v>660</v>
      </c>
      <c r="B6832" s="0" t="s">
        <v>86</v>
      </c>
      <c r="C6832" s="38" t="n">
        <f aca="false">Sens!$C$6776</f>
        <v>38.1898211704631</v>
      </c>
      <c r="D6832" s="38" t="n">
        <f aca="false">Sens!$D$6776</f>
        <v>40.2147492622706</v>
      </c>
      <c r="E6832" s="38" t="n">
        <f aca="false">Sens!$E$6776</f>
        <v>28.3550887940039</v>
      </c>
      <c r="F6832" s="38" t="n">
        <f aca="false">Sens!$F$6776</f>
        <v>25.9529793149447</v>
      </c>
      <c r="G6832" s="38" t="n">
        <f aca="false">Sens!$G$6776</f>
        <v>54.3080681089486</v>
      </c>
      <c r="H6832" s="38" t="n">
        <f aca="false">Sens!$H$6776</f>
        <v>58.2264684589333</v>
      </c>
      <c r="I6832" s="38" t="n">
        <f aca="false">Sens!$I$6776</f>
        <v>64.6461353851744</v>
      </c>
      <c r="J6832" s="38" t="n">
        <f aca="false">Sens!$J$6776</f>
        <v>70.7957093610231</v>
      </c>
      <c r="K6832" s="38" t="n">
        <f aca="false">Sens!$K$6776</f>
        <v>76.4593661099049</v>
      </c>
      <c r="L6832" s="38" t="n">
        <f aca="false">Sens!$L$6776</f>
        <v>82.5761153986973</v>
      </c>
      <c r="M6832" s="38" t="n">
        <f aca="false">Sens!$M$6776</f>
        <v>89.1822046305931</v>
      </c>
      <c r="N6832" s="38" t="n">
        <f aca="false">Sens!$N$6776</f>
        <v>20.0277839996292</v>
      </c>
      <c r="O6832" s="38" t="n">
        <f aca="false">Sens!$O$6776</f>
        <v>20.1869652626414</v>
      </c>
    </row>
    <row r="6833" customFormat="false" ht="17.15" hidden="false" customHeight="false" outlineLevel="0" collapsed="false">
      <c r="A6833" s="1" t="s">
        <v>743</v>
      </c>
      <c r="B6833" s="8" t="s">
        <v>86</v>
      </c>
      <c r="C6833" s="38" t="n">
        <f aca="false">Q!$D$24</f>
        <v>39.834</v>
      </c>
      <c r="D6833" s="38" t="n">
        <f aca="false">Q!$E$24</f>
        <v>45.606</v>
      </c>
      <c r="E6833" s="38" t="n">
        <f aca="false">Q!$P$24</f>
        <v>30.782</v>
      </c>
      <c r="F6833" s="38" t="n">
        <f aca="false">Sens!$F$6831+Sens!$F$6832</f>
        <v>33.4744649458882</v>
      </c>
      <c r="G6833" s="38" t="n">
        <f aca="false">Sens!$G$6831+Sens!$G$6832</f>
        <v>64.2564649458882</v>
      </c>
      <c r="H6833" s="38" t="n">
        <f aca="false">Sens!$H$6831+Sens!$H$6832</f>
        <v>81.7069071580194</v>
      </c>
      <c r="I6833" s="38" t="n">
        <f aca="false">Sens!$I$6831+Sens!$I$6832</f>
        <v>95.6223099840887</v>
      </c>
      <c r="J6833" s="38" t="n">
        <f aca="false">Sens!$J$6831+Sens!$J$6832</f>
        <v>111.988716435721</v>
      </c>
      <c r="K6833" s="38" t="n">
        <f aca="false">Sens!$K$6831+Sens!$K$6832</f>
        <v>122.437287225848</v>
      </c>
      <c r="L6833" s="38" t="n">
        <f aca="false">Sens!$L$6831+Sens!$L$6832</f>
        <v>130.61136449064</v>
      </c>
      <c r="M6833" s="38" t="n">
        <f aca="false">Sens!$M$6831+Sens!$M$6832</f>
        <v>136.59050228792</v>
      </c>
      <c r="N6833" s="38" t="n">
        <f aca="false">Q!$N$24</f>
        <v>21.707</v>
      </c>
      <c r="O6833" s="38" t="n">
        <f aca="false">Q!$O$24</f>
        <v>23.899</v>
      </c>
    </row>
    <row r="6834" customFormat="false" ht="17.15" hidden="false" customHeight="false" outlineLevel="0" collapsed="false">
      <c r="A6834" s="5" t="s">
        <v>744</v>
      </c>
      <c r="B6834" s="0" t="s">
        <v>86</v>
      </c>
      <c r="C6834" s="38" t="n">
        <f aca="false">Q!$D$26</f>
        <v>0</v>
      </c>
      <c r="D6834" s="38" t="n">
        <f aca="false">Q!$E$26</f>
        <v>0</v>
      </c>
      <c r="E6834" s="38" t="n">
        <f aca="false">Q!$P$26</f>
        <v>0</v>
      </c>
      <c r="F6834" s="39" t="n">
        <v>0</v>
      </c>
      <c r="G6834" s="38" t="n">
        <f aca="false">Sens!$E$6834+Sens!$F$6834</f>
        <v>0</v>
      </c>
      <c r="H6834" s="39" t="n">
        <v>0</v>
      </c>
      <c r="I6834" s="39" t="n">
        <v>0</v>
      </c>
      <c r="J6834" s="39" t="n">
        <v>0</v>
      </c>
      <c r="K6834" s="39" t="n">
        <v>0</v>
      </c>
      <c r="L6834" s="39" t="n">
        <v>0</v>
      </c>
      <c r="M6834" s="39" t="n">
        <v>0</v>
      </c>
      <c r="N6834" s="38" t="n">
        <f aca="false">Q!$N$26</f>
        <v>0</v>
      </c>
      <c r="O6834" s="38" t="n">
        <f aca="false">Q!$O$26</f>
        <v>0</v>
      </c>
    </row>
    <row r="6835" customFormat="false" ht="15" hidden="false" customHeight="false" outlineLevel="0" collapsed="false">
      <c r="A6835" s="3" t="s">
        <v>541</v>
      </c>
      <c r="B6835" s="8" t="s">
        <v>86</v>
      </c>
      <c r="C6835" s="38" t="n">
        <f aca="false">Q!$D$25</f>
        <v>68.593</v>
      </c>
      <c r="D6835" s="38" t="n">
        <f aca="false">Q!$E$25</f>
        <v>79.975</v>
      </c>
      <c r="E6835" s="38" t="n">
        <f aca="false">Q!$P$25</f>
        <v>51.313</v>
      </c>
      <c r="F6835" s="38" t="n">
        <f aca="false">Sens!$F$6825+Sens!$F$6830+Sens!$F$6833+Sens!$F$6834</f>
        <v>56.3652566987294</v>
      </c>
      <c r="G6835" s="38" t="n">
        <f aca="false">Sens!$G$6825+Sens!$G$6830+Sens!$G$6833+Sens!$G$6834</f>
        <v>107.678256698729</v>
      </c>
      <c r="H6835" s="38" t="n">
        <f aca="false">Sens!$H$6825+Sens!$H$6830+Sens!$H$6833+Sens!$H$6834</f>
        <v>129.515456870266</v>
      </c>
      <c r="I6835" s="38" t="n">
        <f aca="false">Sens!$I$6825+Sens!$I$6830+Sens!$I$6833+Sens!$I$6834</f>
        <v>145.345387082626</v>
      </c>
      <c r="J6835" s="38" t="n">
        <f aca="false">Sens!$J$6825+Sens!$J$6830+Sens!$J$6833+Sens!$J$6834</f>
        <v>163.862141869716</v>
      </c>
      <c r="K6835" s="38" t="n">
        <f aca="false">Sens!$K$6825+Sens!$K$6830+Sens!$K$6833+Sens!$K$6834</f>
        <v>175.564332634303</v>
      </c>
      <c r="L6835" s="38" t="n">
        <f aca="false">Sens!$L$6825+Sens!$L$6830+Sens!$L$6833+Sens!$L$6834</f>
        <v>186.492086157384</v>
      </c>
      <c r="M6835" s="38" t="n">
        <f aca="false">Sens!$M$6825+Sens!$M$6830+Sens!$M$6833+Sens!$M$6834</f>
        <v>198.371665638452</v>
      </c>
      <c r="N6835" s="38" t="n">
        <f aca="false">Q!$N$25</f>
        <v>37.576</v>
      </c>
      <c r="O6835" s="38" t="n">
        <f aca="false">Q!$O$25</f>
        <v>42.399</v>
      </c>
    </row>
    <row r="6836" customFormat="false" ht="17.15" hidden="false" customHeight="false" outlineLevel="0" collapsed="false">
      <c r="A6836" s="24" t="s">
        <v>775</v>
      </c>
      <c r="B6836" s="25" t="s">
        <v>86</v>
      </c>
      <c r="C6836" s="41" t="n">
        <f aca="false">Sens!$C$6825+Sens!$C$6830+Sens!$C$6833+Sens!$C$6834-Sens!$C$6835</f>
        <v>0</v>
      </c>
      <c r="D6836" s="41" t="n">
        <f aca="false">Sens!$D$6825+Sens!$D$6830+Sens!$D$6833+Sens!$D$6834-Sens!$D$6835</f>
        <v>0</v>
      </c>
      <c r="E6836" s="41" t="n">
        <f aca="false">Sens!$E$6825+Sens!$E$6830+Sens!$E$6833+Sens!$E$6834-Sens!$E$6835</f>
        <v>0</v>
      </c>
      <c r="F6836" s="41" t="n">
        <f aca="false">Sens!$F$6825+Sens!$F$6830+Sens!$F$6833+Sens!$F$6834-Sens!$F$6835</f>
        <v>0</v>
      </c>
      <c r="G6836" s="41" t="n">
        <f aca="false">Sens!$G$6825+Sens!$G$6830+Sens!$G$6833+Sens!$G$6834-Sens!$G$6835</f>
        <v>0</v>
      </c>
      <c r="H6836" s="41" t="n">
        <f aca="false">Sens!$H$6825+Sens!$H$6830+Sens!$H$6833+Sens!$H$6834-Sens!$H$6835</f>
        <v>0</v>
      </c>
      <c r="I6836" s="41" t="n">
        <f aca="false">Sens!$I$6825+Sens!$I$6830+Sens!$I$6833+Sens!$I$6834-Sens!$I$6835</f>
        <v>0</v>
      </c>
      <c r="J6836" s="41" t="n">
        <f aca="false">Sens!$J$6825+Sens!$J$6830+Sens!$J$6833+Sens!$J$6834-Sens!$J$6835</f>
        <v>0</v>
      </c>
      <c r="K6836" s="41" t="n">
        <f aca="false">Sens!$K$6825+Sens!$K$6830+Sens!$K$6833+Sens!$K$6834-Sens!$K$6835</f>
        <v>0</v>
      </c>
      <c r="L6836" s="41" t="n">
        <f aca="false">Sens!$L$6825+Sens!$L$6830+Sens!$L$6833+Sens!$L$6834-Sens!$L$6835</f>
        <v>0</v>
      </c>
      <c r="M6836" s="41" t="n">
        <f aca="false">Sens!$M$6825+Sens!$M$6830+Sens!$M$6833+Sens!$M$6834-Sens!$M$6835</f>
        <v>0</v>
      </c>
      <c r="N6836" s="41" t="n">
        <f aca="false">Sens!$N$6825+Sens!$N$6830+Sens!$N$6833+Sens!$N$6834-Sens!$N$6835</f>
        <v>0</v>
      </c>
      <c r="O6836" s="41" t="n">
        <f aca="false">Sens!$O$6825+Sens!$O$6830+Sens!$O$6833+Sens!$O$6834-Sens!$O$6835</f>
        <v>0</v>
      </c>
    </row>
    <row r="6837" customFormat="false" ht="17.15" hidden="false" customHeight="false" outlineLevel="0" collapsed="false">
      <c r="A6837" s="5" t="s">
        <v>746</v>
      </c>
      <c r="B6837" s="0" t="s">
        <v>86</v>
      </c>
      <c r="C6837" s="38" t="n">
        <f aca="false">Sens!$C$6773</f>
        <v>0</v>
      </c>
      <c r="D6837" s="38" t="n">
        <f aca="false">Sens!$D$6773</f>
        <v>0</v>
      </c>
      <c r="E6837" s="38" t="n">
        <f aca="false">Sens!$E$6773</f>
        <v>0</v>
      </c>
      <c r="F6837" s="38" t="n">
        <f aca="false">Sens!$F$6773</f>
        <v>3.77122048175818</v>
      </c>
      <c r="G6837" s="38" t="n">
        <f aca="false">Sens!$G$6773</f>
        <v>3.77122048175818</v>
      </c>
      <c r="H6837" s="38" t="n">
        <f aca="false">Sens!$H$6773</f>
        <v>15.1635543609893</v>
      </c>
      <c r="I6837" s="38" t="n">
        <f aca="false">Sens!$I$6773</f>
        <v>25.5818843619889</v>
      </c>
      <c r="J6837" s="38" t="n">
        <f aca="false">Sens!$J$6773</f>
        <v>36.0465624179122</v>
      </c>
      <c r="K6837" s="38" t="n">
        <f aca="false">Sens!$K$6773</f>
        <v>44.9741164026038</v>
      </c>
      <c r="L6837" s="38" t="n">
        <f aca="false">Sens!$L$6773</f>
        <v>50.8413488057813</v>
      </c>
      <c r="M6837" s="38" t="n">
        <f aca="false">Sens!$M$6773</f>
        <v>53.6407214274315</v>
      </c>
      <c r="N6837" s="38" t="n">
        <f aca="false">Sens!$N$6773</f>
        <v>0</v>
      </c>
      <c r="O6837" s="38" t="n">
        <f aca="false">Sens!$O$6773</f>
        <v>0</v>
      </c>
      <c r="P6837" s="5" t="s">
        <v>747</v>
      </c>
    </row>
    <row r="6838" customFormat="false" ht="17.15" hidden="false" customHeight="false" outlineLevel="0" collapsed="false">
      <c r="A6838" s="5" t="s">
        <v>748</v>
      </c>
      <c r="B6838" s="0" t="s">
        <v>86</v>
      </c>
      <c r="C6838" s="38" t="n">
        <f aca="false">Sens!$C$6835+Sens!$C$6837</f>
        <v>68.593</v>
      </c>
      <c r="D6838" s="38" t="n">
        <f aca="false">Sens!$D$6835+Sens!$D$6837</f>
        <v>79.975</v>
      </c>
      <c r="E6838" s="38" t="n">
        <f aca="false">Sens!$E$6835+Sens!$E$6837</f>
        <v>51.313</v>
      </c>
      <c r="F6838" s="38" t="n">
        <f aca="false">Sens!$F$6835+Sens!$F$6837</f>
        <v>60.1364771804876</v>
      </c>
      <c r="G6838" s="38" t="n">
        <f aca="false">Sens!$G$6835+Sens!$G$6837</f>
        <v>111.449477180488</v>
      </c>
      <c r="H6838" s="38" t="n">
        <f aca="false">Sens!$H$6835+Sens!$H$6837</f>
        <v>144.679011231256</v>
      </c>
      <c r="I6838" s="38" t="n">
        <f aca="false">Sens!$I$6835+Sens!$I$6837</f>
        <v>170.927271444615</v>
      </c>
      <c r="J6838" s="38" t="n">
        <f aca="false">Sens!$J$6835+Sens!$J$6837</f>
        <v>199.908704287628</v>
      </c>
      <c r="K6838" s="38" t="n">
        <f aca="false">Sens!$K$6835+Sens!$K$6837</f>
        <v>220.538449036907</v>
      </c>
      <c r="L6838" s="38" t="n">
        <f aca="false">Sens!$L$6835+Sens!$L$6837</f>
        <v>237.333434963166</v>
      </c>
      <c r="M6838" s="38" t="n">
        <f aca="false">Sens!$M$6835+Sens!$M$6837</f>
        <v>252.012387065883</v>
      </c>
      <c r="N6838" s="38" t="n">
        <f aca="false">Sens!$N$6835+Sens!$N$6837</f>
        <v>37.576</v>
      </c>
      <c r="O6838" s="38" t="n">
        <f aca="false">Sens!$O$6835+Sens!$O$6837</f>
        <v>42.399</v>
      </c>
    </row>
    <row r="6839" customFormat="false" ht="17.15" hidden="false" customHeight="false" outlineLevel="0" collapsed="false">
      <c r="A6839" s="0" t="s">
        <v>749</v>
      </c>
      <c r="B6839" s="0" t="s">
        <v>52</v>
      </c>
      <c r="C6839" s="13" t="n">
        <f aca="false">Sens!$C$6825/Sens!$C$6810</f>
        <v>0.0644314665661928</v>
      </c>
      <c r="D6839" s="13" t="n">
        <f aca="false">Sens!$D$6825/Sens!$D$6810</f>
        <v>0.0694784250712518</v>
      </c>
      <c r="E6839" s="13" t="n">
        <f aca="false">Sens!$E$6825/Sens!$E$6810</f>
        <v>0.0789306463326071</v>
      </c>
      <c r="F6839" s="13" t="n">
        <f aca="false">Sens!$F$6825/Sens!$F$6810</f>
        <v>0.0802526339438384</v>
      </c>
      <c r="G6839" s="13" t="n">
        <f aca="false">Sens!$G$6825/Sens!$G$6810</f>
        <v>0.0796341940538369</v>
      </c>
      <c r="H6839" s="13" t="n">
        <f aca="false">Sens!$H$6825/Sens!$H$6810</f>
        <v>0.0798254462645258</v>
      </c>
      <c r="I6839" s="13" t="n">
        <f aca="false">Sens!$I$6825/Sens!$I$6810</f>
        <v>0.0771454543672196</v>
      </c>
      <c r="J6839" s="13" t="n">
        <f aca="false">Sens!$J$6825/Sens!$J$6810</f>
        <v>0.0756147693819656</v>
      </c>
      <c r="K6839" s="13" t="n">
        <f aca="false">Sens!$K$6825/Sens!$K$6810</f>
        <v>0.0739025926520816</v>
      </c>
      <c r="L6839" s="13" t="n">
        <f aca="false">Sens!$L$6825/Sens!$L$6810</f>
        <v>0.0730809201558074</v>
      </c>
      <c r="M6839" s="13" t="n">
        <f aca="false">Sens!$M$6825/Sens!$M$6810</f>
        <v>0.0751707027775199</v>
      </c>
      <c r="N6839" s="13" t="n">
        <f aca="false">Sens!$N$6825/Sens!$N$6810</f>
        <v>0.069228576611127</v>
      </c>
      <c r="O6839" s="13" t="n">
        <f aca="false">Sens!$O$6825/Sens!$O$6810</f>
        <v>0.069685022498393</v>
      </c>
    </row>
    <row r="6840" customFormat="false" ht="17.15" hidden="false" customHeight="false" outlineLevel="0" collapsed="false">
      <c r="A6840" s="0" t="s">
        <v>750</v>
      </c>
      <c r="B6840" s="0" t="s">
        <v>52</v>
      </c>
      <c r="C6840" s="13" t="n">
        <f aca="false">Sens!$C$6830/Sens!$C$6811</f>
        <v>0.026534925055631</v>
      </c>
      <c r="D6840" s="13" t="n">
        <f aca="false">Sens!$D$6830/Sens!$D$6811</f>
        <v>0.0293401855535103</v>
      </c>
      <c r="E6840" s="13" t="n">
        <f aca="false">Sens!$E$6830/Sens!$E$6811</f>
        <v>0.03831141902276</v>
      </c>
      <c r="F6840" s="13" t="n">
        <f aca="false">Sens!$F$6830/Sens!$F$6811</f>
        <v>0.0282118989524726</v>
      </c>
      <c r="G6840" s="13" t="n">
        <f aca="false">Sens!$G$6830/Sens!$G$6811</f>
        <v>0.0328019468674976</v>
      </c>
      <c r="H6840" s="13" t="n">
        <f aca="false">Sens!$H$6830/Sens!$H$6811</f>
        <v>0.0309879507899839</v>
      </c>
      <c r="I6840" s="13" t="n">
        <f aca="false">Sens!$I$6830/Sens!$I$6811</f>
        <v>0.0262795332043765</v>
      </c>
      <c r="J6840" s="13" t="n">
        <f aca="false">Sens!$J$6830/Sens!$J$6811</f>
        <v>0.0226574435353346</v>
      </c>
      <c r="K6840" s="13" t="n">
        <f aca="false">Sens!$K$6830/Sens!$K$6811</f>
        <v>0.0187492205871101</v>
      </c>
      <c r="L6840" s="13" t="n">
        <f aca="false">Sens!$L$6830/Sens!$L$6811</f>
        <v>0.018273690180732</v>
      </c>
      <c r="M6840" s="13" t="n">
        <f aca="false">Sens!$M$6830/Sens!$M$6811</f>
        <v>0.0207176218272716</v>
      </c>
      <c r="N6840" s="13" t="n">
        <f aca="false">Sens!$N$6830/Sens!$N$6811</f>
        <v>0.0357315650169337</v>
      </c>
      <c r="O6840" s="13" t="n">
        <f aca="false">Sens!$O$6830/Sens!$O$6811</f>
        <v>0.0244378956559703</v>
      </c>
    </row>
    <row r="6841" customFormat="false" ht="17.15" hidden="false" customHeight="false" outlineLevel="0" collapsed="false">
      <c r="A6841" s="14" t="s">
        <v>751</v>
      </c>
      <c r="B6841" s="14" t="s">
        <v>52</v>
      </c>
      <c r="C6841" s="17" t="n">
        <f aca="false">Sens!$C$6833/Sens!$C$6812</f>
        <v>0.370355907620217</v>
      </c>
      <c r="D6841" s="17" t="n">
        <f aca="false">Sens!$D$6833/Sens!$D$6812</f>
        <v>0.35429015342785</v>
      </c>
      <c r="E6841" s="17" t="n">
        <f aca="false">Sens!$E$6833/Sens!$E$6812</f>
        <v>0.385647527531039</v>
      </c>
      <c r="F6841" s="17" t="n">
        <f aca="false">Sens!$F$6833/Sens!$F$6812</f>
        <v>0.385949613469105</v>
      </c>
      <c r="G6841" s="17" t="n">
        <f aca="false">Sens!$G$6833/Sens!$G$6812</f>
        <v>0.385804840448779</v>
      </c>
      <c r="H6841" s="17" t="n">
        <f aca="false">Sens!$H$6833/Sens!$H$6812</f>
        <v>0.369408675360557</v>
      </c>
      <c r="I6841" s="17" t="n">
        <f aca="false">Sens!$I$6833/Sens!$I$6812</f>
        <v>0.34117504540738</v>
      </c>
      <c r="J6841" s="17" t="n">
        <f aca="false">Sens!$J$6833/Sens!$J$6812</f>
        <v>0.330544285732563</v>
      </c>
      <c r="K6841" s="17" t="n">
        <f aca="false">Sens!$K$6833/Sens!$K$6812</f>
        <v>0.314033796990635</v>
      </c>
      <c r="L6841" s="17" t="n">
        <f aca="false">Sens!$L$6833/Sens!$L$6812</f>
        <v>0.303690371867633</v>
      </c>
      <c r="M6841" s="17" t="n">
        <f aca="false">Sens!$M$6833/Sens!$M$6812</f>
        <v>0.297287296590884</v>
      </c>
      <c r="N6841" s="17" t="n">
        <f aca="false">Sens!$N$6833/Sens!$N$6812</f>
        <v>0.360941137346192</v>
      </c>
      <c r="O6841" s="17" t="n">
        <f aca="false">Sens!$O$6833/Sens!$O$6812</f>
        <v>0.348458117664212</v>
      </c>
    </row>
    <row r="6842" customFormat="false" ht="17.15" hidden="false" customHeight="false" outlineLevel="0" collapsed="false">
      <c r="A6842" s="0" t="s">
        <v>752</v>
      </c>
      <c r="B6842" s="0" t="s">
        <v>52</v>
      </c>
      <c r="C6842" s="13" t="n">
        <f aca="false">Sens!$C$6831/Sens!$C$6813</f>
        <v>0.708390794789371</v>
      </c>
      <c r="D6842" s="13" t="n">
        <f aca="false">Sens!$D$6831/Sens!$D$6813</f>
        <v>0.619415573115729</v>
      </c>
      <c r="E6842" s="13" t="n">
        <f aca="false">Sens!$E$6831/Sens!$E$6813</f>
        <v>0.285171627189009</v>
      </c>
      <c r="F6842" s="13" t="n">
        <f aca="false">Sens!$F$6831/Sens!$F$6813</f>
        <v>0.502657732812366</v>
      </c>
      <c r="G6842" s="13" t="n">
        <f aca="false">Sens!$G$6831/Sens!$G$6813</f>
        <v>0.423808778611812</v>
      </c>
      <c r="H6842" s="13" t="n">
        <f aca="false">Sens!$H$6831/Sens!$H$6813</f>
        <v>0.390261631739809</v>
      </c>
      <c r="I6842" s="13" t="n">
        <f aca="false">Sens!$I$6831/Sens!$I$6813</f>
        <v>0.305172864264572</v>
      </c>
      <c r="J6842" s="13" t="n">
        <f aca="false">Sens!$J$6831/Sens!$J$6813</f>
        <v>0.288011814789856</v>
      </c>
      <c r="K6842" s="13" t="n">
        <f aca="false">Sens!$K$6831/Sens!$K$6813</f>
        <v>0.25765427518774</v>
      </c>
      <c r="L6842" s="13" t="n">
        <f aca="false">Sens!$L$6831/Sens!$L$6813</f>
        <v>0.238118778012374</v>
      </c>
      <c r="M6842" s="13" t="n">
        <f aca="false">Sens!$M$6831/Sens!$M$6813</f>
        <v>0.222746255757109</v>
      </c>
      <c r="N6842" s="13" t="n">
        <f aca="false">Sens!$N$6831/Sens!$N$6813</f>
        <v>0.551227795793364</v>
      </c>
      <c r="O6842" s="13" t="n">
        <f aca="false">Sens!$O$6831/Sens!$O$6813</f>
        <v>0.656132068597002</v>
      </c>
    </row>
    <row r="6843" customFormat="false" ht="15" hidden="false" customHeight="false" outlineLevel="0" collapsed="false">
      <c r="A6843" s="5" t="s">
        <v>753</v>
      </c>
      <c r="B6843" s="0" t="s">
        <v>52</v>
      </c>
      <c r="C6843" s="13" t="n">
        <f aca="false">Sens!$C$6835/Sens!$C$6815</f>
        <v>0.107519448742004</v>
      </c>
      <c r="D6843" s="13" t="n">
        <f aca="false">Sens!$D$6835/Sens!$D$6815</f>
        <v>0.111552967957552</v>
      </c>
      <c r="E6843" s="13" t="n">
        <f aca="false">Sens!$E$6835/Sens!$E$6815</f>
        <v>0.13428328426562</v>
      </c>
      <c r="F6843" s="13" t="n">
        <f aca="false">Sens!$F$6835/Sens!$F$6815</f>
        <v>0.129343087287827</v>
      </c>
      <c r="G6843" s="13" t="n">
        <f aca="false">Sens!$G$6835/Sens!$G$6815</f>
        <v>0.131651143259596</v>
      </c>
      <c r="H6843" s="13" t="n">
        <f aca="false">Sens!$H$6835/Sens!$H$6815</f>
        <v>0.137449034763893</v>
      </c>
      <c r="I6843" s="13" t="n">
        <f aca="false">Sens!$I$6835/Sens!$I$6815</f>
        <v>0.13598895915033</v>
      </c>
      <c r="J6843" s="13" t="n">
        <f aca="false">Sens!$J$6835/Sens!$J$6815</f>
        <v>0.137709769017663</v>
      </c>
      <c r="K6843" s="13" t="n">
        <f aca="false">Sens!$K$6835/Sens!$K$6815</f>
        <v>0.135459809314784</v>
      </c>
      <c r="L6843" s="13" t="n">
        <f aca="false">Sens!$L$6835/Sens!$L$6815</f>
        <v>0.133669430082102</v>
      </c>
      <c r="M6843" s="13" t="n">
        <f aca="false">Sens!$M$6835/Sens!$M$6815</f>
        <v>0.133349766772341</v>
      </c>
      <c r="N6843" s="13" t="n">
        <f aca="false">Sens!$N$6835/Sens!$N$6815</f>
        <v>0.116201614873411</v>
      </c>
      <c r="O6843" s="13" t="n">
        <f aca="false">Sens!$O$6835/Sens!$O$6815</f>
        <v>0.107733353660861</v>
      </c>
    </row>
    <row r="6844" customFormat="false" ht="17.15" hidden="false" customHeight="false" outlineLevel="0" collapsed="false">
      <c r="A6844" s="1" t="s">
        <v>754</v>
      </c>
    </row>
    <row r="6845" customFormat="false" ht="17.15" hidden="false" customHeight="false" outlineLevel="0" collapsed="false">
      <c r="A6845" s="5" t="s">
        <v>755</v>
      </c>
      <c r="B6845" s="0" t="s">
        <v>52</v>
      </c>
      <c r="D6845" s="28" t="n">
        <f aca="false">(Q!$E$29+Q!$E$30-(1-ext_sh)*Sens!$D$6767)/Sens!$D$6718</f>
        <v>0.0341105596409988</v>
      </c>
    </row>
    <row r="6846" customFormat="false" ht="17.15" hidden="false" customHeight="false" outlineLevel="0" collapsed="false">
      <c r="A6846" s="0" t="s">
        <v>545</v>
      </c>
      <c r="B6846" s="0" t="s">
        <v>86</v>
      </c>
      <c r="C6846" s="38" t="n">
        <f aca="false">Q!$D$29</f>
        <v>14.285</v>
      </c>
      <c r="D6846" s="38" t="n">
        <f aca="false">Q!$E$29</f>
        <v>15.503</v>
      </c>
      <c r="E6846" s="38" t="n">
        <f aca="false">Q!$P$29</f>
        <v>8.78</v>
      </c>
      <c r="F6846" s="38" t="n">
        <f aca="false">(Sens!$D$6845*Sens!$F$6718+(1-ext_sh)*Sens!$F$6767)*Sens!$F$6719</f>
        <v>9.30317620449232</v>
      </c>
      <c r="G6846" s="38" t="n">
        <f aca="false">Sens!$E$6846+Sens!$F$6846</f>
        <v>18.0831762044923</v>
      </c>
      <c r="H6846" s="38" t="n">
        <f aca="false">(Sens!$D$6845*Sens!$H$6718+(1-ext_sh)*Sens!$H$6767)*Sens!$H$6719</f>
        <v>22.1297245338482</v>
      </c>
      <c r="I6846" s="38" t="n">
        <f aca="false">(Sens!$D$6845*Sens!$I$6718+(1-ext_sh)*Sens!$I$6767)*Sens!$I$6719</f>
        <v>28.409695984391</v>
      </c>
      <c r="J6846" s="38" t="n">
        <f aca="false">(Sens!$D$6845*Sens!$J$6718+(1-ext_sh)*Sens!$J$6767)*Sens!$J$6719</f>
        <v>34.1085606174579</v>
      </c>
      <c r="K6846" s="38" t="n">
        <f aca="false">(Sens!$D$6845*Sens!$K$6718+(1-ext_sh)*Sens!$K$6767)*Sens!$K$6719</f>
        <v>39.7218983009068</v>
      </c>
      <c r="L6846" s="38" t="n">
        <f aca="false">(Sens!$D$6845*Sens!$L$6718+(1-ext_sh)*Sens!$L$6767)*Sens!$L$6719</f>
        <v>44.1680279486684</v>
      </c>
      <c r="M6846" s="38" t="n">
        <f aca="false">(Sens!$D$6845*Sens!$M$6718+(1-ext_sh)*Sens!$M$6767)*Sens!$M$6719</f>
        <v>47.4413073313286</v>
      </c>
      <c r="N6846" s="38" t="n">
        <f aca="false">Q!$N$29</f>
        <v>7.272</v>
      </c>
      <c r="O6846" s="38" t="n">
        <f aca="false">Q!$O$29</f>
        <v>8.231</v>
      </c>
    </row>
    <row r="6847" customFormat="false" ht="17.15" hidden="false" customHeight="false" outlineLevel="0" collapsed="false">
      <c r="A6847" s="0" t="s">
        <v>547</v>
      </c>
      <c r="B6847" s="0" t="s">
        <v>86</v>
      </c>
      <c r="C6847" s="38" t="n">
        <f aca="false">Q!$D$30</f>
        <v>4.462</v>
      </c>
      <c r="D6847" s="38" t="n">
        <f aca="false">Q!$E$30</f>
        <v>4.907</v>
      </c>
      <c r="E6847" s="38" t="n">
        <f aca="false">Q!$P$30</f>
        <v>2.57</v>
      </c>
      <c r="F6847" s="38" t="n">
        <f aca="false">(Sens!$D$6845*Sens!$F$6718+(1-ext_sh)*Sens!$F$6767)*(1-Sens!$F$6719)</f>
        <v>3.6526976809753</v>
      </c>
      <c r="G6847" s="38" t="n">
        <f aca="false">Sens!$E$6847+Sens!$F$6847</f>
        <v>6.2226976809753</v>
      </c>
      <c r="H6847" s="38" t="n">
        <f aca="false">(Sens!$D$6845*Sens!$H$6718+(1-ext_sh)*Sens!$H$6767)*(1-Sens!$H$6719)</f>
        <v>8.4764774248495</v>
      </c>
      <c r="I6847" s="38" t="n">
        <f aca="false">(Sens!$D$6845*Sens!$I$6718+(1-ext_sh)*Sens!$I$6767)*(1-Sens!$I$6719)</f>
        <v>10.881931507561</v>
      </c>
      <c r="J6847" s="38" t="n">
        <f aca="false">(Sens!$D$6845*Sens!$J$6718+(1-ext_sh)*Sens!$J$6767)*(1-Sens!$J$6719)</f>
        <v>13.0648008575874</v>
      </c>
      <c r="K6847" s="38" t="n">
        <f aca="false">(Sens!$D$6845*Sens!$K$6718+(1-ext_sh)*Sens!$K$6767)*(1-Sens!$K$6719)</f>
        <v>15.2149103214008</v>
      </c>
      <c r="L6847" s="38" t="n">
        <f aca="false">(Sens!$D$6845*Sens!$L$6718+(1-ext_sh)*Sens!$L$6767)*(1-Sens!$L$6719)</f>
        <v>16.9179372854085</v>
      </c>
      <c r="M6847" s="38" t="n">
        <f aca="false">(Sens!$D$6845*Sens!$M$6718+(1-ext_sh)*Sens!$M$6767)*(1-Sens!$M$6719)</f>
        <v>18.1717205735785</v>
      </c>
      <c r="N6847" s="38" t="n">
        <f aca="false">Q!$N$30</f>
        <v>2.316</v>
      </c>
      <c r="O6847" s="38" t="n">
        <f aca="false">Q!$O$30</f>
        <v>2.591</v>
      </c>
    </row>
    <row r="6848" customFormat="false" ht="17.15" hidden="false" customHeight="false" outlineLevel="0" collapsed="false">
      <c r="A6848" s="0" t="s">
        <v>548</v>
      </c>
      <c r="B6848" s="0" t="s">
        <v>86</v>
      </c>
      <c r="C6848" s="38" t="n">
        <f aca="false">Sens!$C$6779</f>
        <v>13.32</v>
      </c>
      <c r="D6848" s="38" t="n">
        <f aca="false">Sens!$D$6779</f>
        <v>21.45</v>
      </c>
      <c r="E6848" s="38" t="n">
        <f aca="false">Sens!$E$6779</f>
        <v>15.353</v>
      </c>
      <c r="F6848" s="38" t="n">
        <f aca="false">Sens!$F$6779</f>
        <v>16.1969869840094</v>
      </c>
      <c r="G6848" s="38" t="n">
        <f aca="false">Sens!$G$6779</f>
        <v>31.5499869840094</v>
      </c>
      <c r="H6848" s="38" t="n">
        <f aca="false">Sens!$H$6779</f>
        <v>50.9556213609176</v>
      </c>
      <c r="I6848" s="38" t="n">
        <f aca="false">Sens!$I$6779</f>
        <v>79.464581248252</v>
      </c>
      <c r="J6848" s="38" t="n">
        <f aca="false">Sens!$J$6779</f>
        <v>105.296127931746</v>
      </c>
      <c r="K6848" s="38" t="n">
        <f aca="false">Sens!$K$6779</f>
        <v>131.454694001511</v>
      </c>
      <c r="L6848" s="38" t="n">
        <f aca="false">Sens!$L$6779</f>
        <v>150.840456981405</v>
      </c>
      <c r="M6848" s="38" t="n">
        <f aca="false">Sens!$M$6779</f>
        <v>163.399454192999</v>
      </c>
      <c r="N6848" s="38" t="n">
        <f aca="false">Sens!$N$6779</f>
        <v>9.234</v>
      </c>
      <c r="O6848" s="38" t="n">
        <f aca="false">Sens!$O$6779</f>
        <v>12.216</v>
      </c>
    </row>
    <row r="6849" customFormat="false" ht="17.15" hidden="false" customHeight="false" outlineLevel="0" collapsed="false">
      <c r="A6849" s="5" t="s">
        <v>756</v>
      </c>
      <c r="B6849" s="0" t="s">
        <v>86</v>
      </c>
      <c r="C6849" s="38" t="n">
        <f aca="false">Sens!$C$6846+Sens!$C$6847+Sens!$C$6848</f>
        <v>32.067</v>
      </c>
      <c r="D6849" s="38" t="n">
        <f aca="false">Sens!$D$6846+Sens!$D$6847+Sens!$D$6848</f>
        <v>41.86</v>
      </c>
      <c r="E6849" s="38" t="n">
        <f aca="false">Sens!$E$6846+Sens!$E$6847+Sens!$E$6848</f>
        <v>26.703</v>
      </c>
      <c r="F6849" s="38" t="n">
        <f aca="false">Sens!$F$6846+Sens!$F$6847+Sens!$F$6848</f>
        <v>29.152860869477</v>
      </c>
      <c r="G6849" s="38" t="n">
        <f aca="false">Sens!$G$6846+Sens!$G$6847+Sens!$G$6848</f>
        <v>55.855860869477</v>
      </c>
      <c r="H6849" s="38" t="n">
        <f aca="false">Sens!$H$6846+Sens!$H$6847+Sens!$H$6848</f>
        <v>81.5618233196153</v>
      </c>
      <c r="I6849" s="38" t="n">
        <f aca="false">Sens!$I$6846+Sens!$I$6847+Sens!$I$6848</f>
        <v>118.756208740204</v>
      </c>
      <c r="J6849" s="38" t="n">
        <f aca="false">Sens!$J$6846+Sens!$J$6847+Sens!$J$6848</f>
        <v>152.469489406791</v>
      </c>
      <c r="K6849" s="38" t="n">
        <f aca="false">Sens!$K$6846+Sens!$K$6847+Sens!$K$6848</f>
        <v>186.391502623819</v>
      </c>
      <c r="L6849" s="38" t="n">
        <f aca="false">Sens!$L$6846+Sens!$L$6847+Sens!$L$6848</f>
        <v>211.926422215482</v>
      </c>
      <c r="M6849" s="38" t="n">
        <f aca="false">Sens!$M$6846+Sens!$M$6847+Sens!$M$6848</f>
        <v>229.012482097906</v>
      </c>
      <c r="N6849" s="38" t="n">
        <f aca="false">Sens!$N$6846+Sens!$N$6847+Sens!$N$6848</f>
        <v>18.822</v>
      </c>
      <c r="O6849" s="38" t="n">
        <f aca="false">Sens!$O$6846+Sens!$O$6847+Sens!$O$6848</f>
        <v>23.038</v>
      </c>
    </row>
    <row r="6850" customFormat="false" ht="17.15" hidden="false" customHeight="false" outlineLevel="0" collapsed="false">
      <c r="A6850" s="0" t="s">
        <v>757</v>
      </c>
      <c r="B6850" s="0" t="s">
        <v>86</v>
      </c>
      <c r="C6850" s="38" t="n">
        <f aca="false">Sens!$C$6821+Sens!$C$6826</f>
        <v>28.107</v>
      </c>
      <c r="D6850" s="38" t="n">
        <f aca="false">Sens!$D$6821+Sens!$D$6826</f>
        <v>34.3175</v>
      </c>
      <c r="E6850" s="38" t="n">
        <f aca="false">Sens!$E$6821+Sens!$E$6826</f>
        <v>18.526</v>
      </c>
      <c r="F6850" s="38" t="n">
        <f aca="false">Sens!$F$6821+Sens!$F$6826</f>
        <v>23.0786109972074</v>
      </c>
      <c r="G6850" s="38" t="n">
        <f aca="false">Sens!$G$6821+Sens!$G$6826</f>
        <v>41.6046109972074</v>
      </c>
      <c r="H6850" s="38" t="n">
        <f aca="false">Sens!$H$6821+Sens!$H$6826</f>
        <v>49.9484611939488</v>
      </c>
      <c r="I6850" s="38" t="n">
        <f aca="false">Sens!$I$6821+Sens!$I$6826</f>
        <v>58.2915555477481</v>
      </c>
      <c r="J6850" s="38" t="n">
        <f aca="false">Sens!$J$6821+Sens!$J$6826</f>
        <v>66.0744709709759</v>
      </c>
      <c r="K6850" s="38" t="n">
        <f aca="false">Sens!$K$6821+Sens!$K$6826</f>
        <v>72.6819180680735</v>
      </c>
      <c r="L6850" s="38" t="n">
        <f aca="false">Sens!$L$6821+Sens!$L$6826</f>
        <v>79.9501098748808</v>
      </c>
      <c r="M6850" s="38" t="n">
        <f aca="false">Sens!$M$6821+Sens!$M$6826</f>
        <v>87.9451208623689</v>
      </c>
      <c r="N6850" s="38" t="n">
        <f aca="false">Sens!$N$6821+Sens!$N$6826</f>
        <v>14.8075</v>
      </c>
      <c r="O6850" s="38" t="n">
        <f aca="false">Sens!$O$6821+Sens!$O$6826</f>
        <v>19.51</v>
      </c>
    </row>
    <row r="6851" customFormat="false" ht="17.15" hidden="false" customHeight="false" outlineLevel="0" collapsed="false">
      <c r="A6851" s="0" t="s">
        <v>758</v>
      </c>
      <c r="B6851" s="0" t="s">
        <v>86</v>
      </c>
      <c r="C6851" s="38" t="n">
        <f aca="false">Sens!$C$6825+Sens!$C$6830+Sens!$C$6846+Sens!$C$6847-Sens!$C$6850</f>
        <v>19.399</v>
      </c>
      <c r="D6851" s="38" t="n">
        <f aca="false">Sens!$D$6825+Sens!$D$6830+Sens!$D$6846+Sens!$D$6847-Sens!$D$6850</f>
        <v>20.4615</v>
      </c>
      <c r="E6851" s="38" t="n">
        <f aca="false">Sens!$E$6825+Sens!$E$6830+Sens!$E$6846+Sens!$E$6847-Sens!$E$6850</f>
        <v>13.355</v>
      </c>
      <c r="F6851" s="38" t="n">
        <f aca="false">Sens!$F$6825+Sens!$F$6830+Sens!$F$6846+Sens!$F$6847-Sens!$F$6850</f>
        <v>12.7680546411015</v>
      </c>
      <c r="G6851" s="38" t="n">
        <f aca="false">Sens!$G$6825+Sens!$G$6830+Sens!$G$6846+Sens!$G$6847-Sens!$G$6850</f>
        <v>26.1230546411015</v>
      </c>
      <c r="H6851" s="38" t="n">
        <f aca="false">Sens!$H$6825+Sens!$H$6830+Sens!$H$6846+Sens!$H$6847-Sens!$H$6850</f>
        <v>28.4662904769959</v>
      </c>
      <c r="I6851" s="38" t="n">
        <f aca="false">Sens!$I$6825+Sens!$I$6830+Sens!$I$6846+Sens!$I$6847-Sens!$I$6850</f>
        <v>30.7231490427408</v>
      </c>
      <c r="J6851" s="38" t="n">
        <f aca="false">Sens!$J$6825+Sens!$J$6830+Sens!$J$6846+Sens!$J$6847-Sens!$J$6850</f>
        <v>32.9723159380642</v>
      </c>
      <c r="K6851" s="38" t="n">
        <f aca="false">Sens!$K$6825+Sens!$K$6830+Sens!$K$6846+Sens!$K$6847-Sens!$K$6850</f>
        <v>35.3819359626894</v>
      </c>
      <c r="L6851" s="38" t="n">
        <f aca="false">Sens!$L$6825+Sens!$L$6830+Sens!$L$6846+Sens!$L$6847-Sens!$L$6850</f>
        <v>37.0165770259405</v>
      </c>
      <c r="M6851" s="38" t="n">
        <f aca="false">Sens!$M$6825+Sens!$M$6830+Sens!$M$6846+Sens!$M$6847-Sens!$M$6850</f>
        <v>39.4490703930704</v>
      </c>
      <c r="N6851" s="38" t="n">
        <f aca="false">Sens!$N$6825+Sens!$N$6830+Sens!$N$6846+Sens!$N$6847-Sens!$N$6850</f>
        <v>10.6495</v>
      </c>
      <c r="O6851" s="38" t="n">
        <f aca="false">Sens!$O$6825+Sens!$O$6830+Sens!$O$6846+Sens!$O$6847-Sens!$O$6850</f>
        <v>9.81200000000001</v>
      </c>
    </row>
    <row r="6852" customFormat="false" ht="17.15" hidden="false" customHeight="false" outlineLevel="0" collapsed="false">
      <c r="A6852" s="0" t="s">
        <v>759</v>
      </c>
      <c r="B6852" s="0" t="s">
        <v>86</v>
      </c>
      <c r="C6852" s="38" t="n">
        <f aca="false">Sens!$C$6832+Sens!$C$6848-ext_sh*Sens!$C$6767</f>
        <v>51.3470500115664</v>
      </c>
      <c r="D6852" s="38" t="n">
        <f aca="false">Sens!$D$6832+Sens!$D$6848-ext_sh*Sens!$D$6767</f>
        <v>60.2799375433739</v>
      </c>
      <c r="E6852" s="38" t="n">
        <f aca="false">Sens!$E$6832+Sens!$E$6848-ext_sh*Sens!$E$6767</f>
        <v>39.5095167090767</v>
      </c>
      <c r="F6852" s="38" t="n">
        <f aca="false">Sens!$F$6832+Sens!$F$6848-ext_sh*Sens!$F$6767</f>
        <v>37.951394214027</v>
      </c>
      <c r="G6852" s="38" t="n">
        <f aca="false">Sens!$G$6832+Sens!$G$6848-ext_sh*Sens!$G$6767</f>
        <v>77.4609109231037</v>
      </c>
      <c r="H6852" s="38" t="n">
        <f aca="false">Sens!$H$6832+Sens!$H$6848-ext_sh*Sens!$H$6767</f>
        <v>85.1453558128916</v>
      </c>
      <c r="I6852" s="38" t="n">
        <f aca="false">Sens!$I$6832+Sens!$I$6848-ext_sh*Sens!$I$6767</f>
        <v>94.532921967974</v>
      </c>
      <c r="J6852" s="38" t="n">
        <f aca="false">Sens!$J$6832+Sens!$J$6848-ext_sh*Sens!$J$6767</f>
        <v>103.525527532583</v>
      </c>
      <c r="K6852" s="38" t="n">
        <f aca="false">Sens!$K$6832+Sens!$K$6848-ext_sh*Sens!$K$6767</f>
        <v>111.80756973519</v>
      </c>
      <c r="L6852" s="38" t="n">
        <f aca="false">Sens!$L$6832+Sens!$L$6848-ext_sh*Sens!$L$6767</f>
        <v>120.752175314005</v>
      </c>
      <c r="M6852" s="38" t="n">
        <f aca="false">Sens!$M$6832+Sens!$M$6848-ext_sh*Sens!$M$6767</f>
        <v>130.412349339125</v>
      </c>
      <c r="N6852" s="38" t="n">
        <f aca="false">Sens!$N$6832+Sens!$N$6848-ext_sh*Sens!$N$6767</f>
        <v>28.5693781401809</v>
      </c>
      <c r="O6852" s="38" t="n">
        <f aca="false">Sens!$O$6832+Sens!$O$6848-ext_sh*Sens!$O$6767</f>
        <v>31.7105594031931</v>
      </c>
    </row>
    <row r="6853" customFormat="false" ht="17.15" hidden="false" customHeight="false" outlineLevel="0" collapsed="false">
      <c r="A6853" s="0" t="s">
        <v>760</v>
      </c>
      <c r="B6853" s="0" t="s">
        <v>86</v>
      </c>
      <c r="C6853" s="38" t="n">
        <f aca="false">Sens!$C$6770</f>
        <v>1.80694998843362</v>
      </c>
      <c r="D6853" s="38" t="n">
        <f aca="false">Sens!$D$6770</f>
        <v>6.77606245662607</v>
      </c>
      <c r="E6853" s="38" t="n">
        <f aca="false">Sens!$E$6770</f>
        <v>6.62548329092326</v>
      </c>
      <c r="F6853" s="38" t="n">
        <f aca="false">Sens!$F$6770</f>
        <v>11.7200577158706</v>
      </c>
      <c r="G6853" s="38" t="n">
        <f aca="false">Sens!$G$6770</f>
        <v>18.3455410067939</v>
      </c>
      <c r="H6853" s="38" t="n">
        <f aca="false">Sens!$H$6770</f>
        <v>47.5171727060453</v>
      </c>
      <c r="I6853" s="38" t="n">
        <f aca="false">Sens!$I$6770</f>
        <v>80.5539692643667</v>
      </c>
      <c r="J6853" s="38" t="n">
        <f aca="false">Sens!$J$6770</f>
        <v>113.759316834883</v>
      </c>
      <c r="K6853" s="38" t="n">
        <f aca="false">Sens!$K$6770</f>
        <v>142.084411492169</v>
      </c>
      <c r="L6853" s="38" t="n">
        <f aca="false">Sens!$L$6770</f>
        <v>160.69964615804</v>
      </c>
      <c r="M6853" s="38" t="n">
        <f aca="false">Sens!$M$6770</f>
        <v>169.577607141793</v>
      </c>
      <c r="N6853" s="38" t="n">
        <f aca="false">Sens!$N$6770</f>
        <v>2.37162185981912</v>
      </c>
      <c r="O6853" s="38" t="n">
        <f aca="false">Sens!$O$6770</f>
        <v>4.40444059680694</v>
      </c>
    </row>
    <row r="6854" customFormat="false" ht="17.15" hidden="false" customHeight="false" outlineLevel="0" collapsed="false">
      <c r="A6854" s="0" t="s">
        <v>761</v>
      </c>
      <c r="B6854" s="0" t="s">
        <v>86</v>
      </c>
      <c r="C6854" s="38" t="n">
        <f aca="false">Sens!$C$6835+Sens!$C$6849</f>
        <v>100.66</v>
      </c>
      <c r="D6854" s="38" t="n">
        <f aca="false">Sens!$D$6835+Sens!$D$6849</f>
        <v>121.835</v>
      </c>
      <c r="E6854" s="38" t="n">
        <f aca="false">Sens!$E$6835+Sens!$E$6849</f>
        <v>78.016</v>
      </c>
      <c r="F6854" s="38" t="n">
        <f aca="false">Sens!$F$6835+Sens!$F$6849</f>
        <v>85.5181175682064</v>
      </c>
      <c r="G6854" s="38" t="n">
        <f aca="false">Sens!$G$6835+Sens!$G$6849</f>
        <v>163.534117568206</v>
      </c>
      <c r="H6854" s="38" t="n">
        <f aca="false">Sens!$H$6835+Sens!$H$6849</f>
        <v>211.077280189882</v>
      </c>
      <c r="I6854" s="38" t="n">
        <f aca="false">Sens!$I$6835+Sens!$I$6849</f>
        <v>264.10159582283</v>
      </c>
      <c r="J6854" s="38" t="n">
        <f aca="false">Sens!$J$6835+Sens!$J$6849</f>
        <v>316.331631276507</v>
      </c>
      <c r="K6854" s="38" t="n">
        <f aca="false">Sens!$K$6835+Sens!$K$6849</f>
        <v>361.955835258122</v>
      </c>
      <c r="L6854" s="38" t="n">
        <f aca="false">Sens!$L$6835+Sens!$L$6849</f>
        <v>398.418508372866</v>
      </c>
      <c r="M6854" s="38" t="n">
        <f aca="false">Sens!$M$6835+Sens!$M$6849</f>
        <v>427.384147736358</v>
      </c>
      <c r="N6854" s="38" t="n">
        <f aca="false">Sens!$N$6835+Sens!$N$6849</f>
        <v>56.398</v>
      </c>
      <c r="O6854" s="38" t="n">
        <f aca="false">Sens!$O$6835+Sens!$O$6849</f>
        <v>65.437</v>
      </c>
    </row>
    <row r="6855" customFormat="false" ht="17.15" hidden="false" customHeight="false" outlineLevel="0" collapsed="false">
      <c r="A6855" s="1" t="s">
        <v>762</v>
      </c>
    </row>
    <row r="6856" customFormat="false" ht="15" hidden="false" customHeight="false" outlineLevel="0" collapsed="false">
      <c r="A6856" s="5" t="s">
        <v>551</v>
      </c>
      <c r="B6856" s="0" t="s">
        <v>86</v>
      </c>
      <c r="C6856" s="38" t="n">
        <f aca="false">Q!$D$34</f>
        <v>2.406</v>
      </c>
      <c r="D6856" s="38" t="n">
        <f aca="false">Q!$E$34</f>
        <v>2.274</v>
      </c>
      <c r="E6856" s="38" t="n">
        <f aca="false">Q!$P$34</f>
        <v>2.114</v>
      </c>
      <c r="F6856" s="38" t="n">
        <f aca="false">Sens!$F$6894</f>
        <v>3.24888962733561</v>
      </c>
      <c r="G6856" s="38" t="n">
        <f aca="false">Sens!$E$6856+Sens!$F$6856</f>
        <v>5.36288962733561</v>
      </c>
      <c r="H6856" s="38" t="n">
        <f aca="false">Sens!$H$6894</f>
        <v>7.42354172302123</v>
      </c>
      <c r="I6856" s="38" t="n">
        <f aca="false">Sens!$I$6894</f>
        <v>7.84418947693382</v>
      </c>
      <c r="J6856" s="38" t="n">
        <f aca="false">Sens!$J$6894</f>
        <v>8.79561318891235</v>
      </c>
      <c r="K6856" s="38" t="n">
        <f aca="false">Sens!$K$6894</f>
        <v>8.79561318891235</v>
      </c>
      <c r="L6856" s="38" t="n">
        <f aca="false">Sens!$L$6894</f>
        <v>8.79561318891235</v>
      </c>
      <c r="M6856" s="38" t="n">
        <f aca="false">Sens!$M$6894</f>
        <v>8.79561318891235</v>
      </c>
      <c r="N6856" s="38" t="n">
        <f aca="false">Q!$N$34</f>
        <v>1.057</v>
      </c>
      <c r="O6856" s="38" t="n">
        <f aca="false">Q!$O$34</f>
        <v>1.217</v>
      </c>
    </row>
    <row r="6857" customFormat="false" ht="15" hidden="false" customHeight="false" outlineLevel="0" collapsed="false">
      <c r="A6857" s="5" t="s">
        <v>763</v>
      </c>
      <c r="B6857" s="0" t="s">
        <v>86</v>
      </c>
      <c r="F6857" s="38" t="n">
        <f aca="false">Sens!$F$6895</f>
        <v>2.59</v>
      </c>
      <c r="H6857" s="38" t="n">
        <f aca="false">Sens!$H$6895</f>
        <v>4.1153774832261</v>
      </c>
      <c r="I6857" s="38" t="n">
        <f aca="false">Sens!$I$6895</f>
        <v>2.10589651022864</v>
      </c>
      <c r="J6857" s="38" t="n">
        <f aca="false">Sens!$J$6895</f>
        <v>2.10589651022864</v>
      </c>
      <c r="K6857" s="38" t="n">
        <f aca="false">Sens!$K$6895</f>
        <v>3.172800358404</v>
      </c>
      <c r="L6857" s="38" t="n">
        <f aca="false">Sens!$L$6895</f>
        <v>8.31037272592208</v>
      </c>
      <c r="M6857" s="38" t="n">
        <f aca="false">Sens!$M$6895</f>
        <v>15.9256588704093</v>
      </c>
    </row>
    <row r="6858" customFormat="false" ht="17.15" hidden="false" customHeight="false" outlineLevel="0" collapsed="false">
      <c r="A6858" s="5" t="s">
        <v>764</v>
      </c>
      <c r="B6858" s="0" t="s">
        <v>86</v>
      </c>
      <c r="C6858" s="38" t="n">
        <f aca="false">Q!$D$39</f>
        <v>2.427</v>
      </c>
      <c r="D6858" s="38" t="n">
        <f aca="false">Q!$E$39</f>
        <v>19.61</v>
      </c>
      <c r="E6858" s="38" t="n">
        <f aca="false">Q!$P$39</f>
        <v>71.492</v>
      </c>
      <c r="F6858" s="39" t="n">
        <v>0</v>
      </c>
      <c r="G6858" s="38" t="n">
        <f aca="false">Sens!$E$6858+Sens!$F$6858</f>
        <v>71.492</v>
      </c>
      <c r="H6858" s="39" t="n">
        <v>0</v>
      </c>
      <c r="I6858" s="39" t="n">
        <v>0</v>
      </c>
      <c r="J6858" s="39" t="n">
        <v>0</v>
      </c>
      <c r="K6858" s="39" t="n">
        <v>0</v>
      </c>
      <c r="L6858" s="39" t="n">
        <v>0</v>
      </c>
      <c r="M6858" s="39" t="n">
        <v>0</v>
      </c>
      <c r="N6858" s="38" t="n">
        <f aca="false">Q!$N$39</f>
        <v>6.017</v>
      </c>
      <c r="O6858" s="38" t="n">
        <f aca="false">Q!$O$39</f>
        <v>13.593</v>
      </c>
      <c r="P6858" s="5" t="s">
        <v>765</v>
      </c>
    </row>
    <row r="6859" customFormat="false" ht="15" hidden="false" customHeight="false" outlineLevel="0" collapsed="false">
      <c r="A6859" s="5" t="s">
        <v>554</v>
      </c>
      <c r="B6859" s="0" t="s">
        <v>86</v>
      </c>
      <c r="C6859" s="38" t="n">
        <f aca="false">Q!$D$36</f>
        <v>68.614</v>
      </c>
      <c r="D6859" s="38" t="n">
        <f aca="false">Q!$E$36</f>
        <v>97.311</v>
      </c>
      <c r="E6859" s="38" t="n">
        <f aca="false">Q!$P$36</f>
        <v>120.691</v>
      </c>
      <c r="F6859" s="38" t="n">
        <f aca="false">Sens!$F$6835-Sens!$F$6856+Sens!$F$6857+Sens!$F$6858</f>
        <v>55.7063670713938</v>
      </c>
      <c r="G6859" s="38" t="n">
        <f aca="false">Sens!$E$6859+Sens!$F$6859</f>
        <v>176.397367071394</v>
      </c>
      <c r="H6859" s="38" t="n">
        <f aca="false">Sens!$H$6835-Sens!$H$6856+Sens!$H$6857+Sens!$H$6858</f>
        <v>126.207292630471</v>
      </c>
      <c r="I6859" s="38" t="n">
        <f aca="false">Sens!$I$6835-Sens!$I$6856+Sens!$I$6857+Sens!$I$6858</f>
        <v>139.60709411592</v>
      </c>
      <c r="J6859" s="38" t="n">
        <f aca="false">Sens!$J$6835-Sens!$J$6856+Sens!$J$6857+Sens!$J$6858</f>
        <v>157.172425191032</v>
      </c>
      <c r="K6859" s="38" t="n">
        <f aca="false">Sens!$K$6835-Sens!$K$6856+Sens!$K$6857+Sens!$K$6858</f>
        <v>169.941519803795</v>
      </c>
      <c r="L6859" s="38" t="n">
        <f aca="false">Sens!$L$6835-Sens!$L$6856+Sens!$L$6857+Sens!$L$6858</f>
        <v>186.006845694394</v>
      </c>
      <c r="M6859" s="38" t="n">
        <f aca="false">Sens!$M$6835-Sens!$M$6856+Sens!$M$6857+Sens!$M$6858</f>
        <v>205.501711319949</v>
      </c>
      <c r="N6859" s="38" t="n">
        <f aca="false">Q!$N$36</f>
        <v>42.536</v>
      </c>
      <c r="O6859" s="38" t="n">
        <f aca="false">Q!$O$36</f>
        <v>54.775</v>
      </c>
    </row>
    <row r="6860" customFormat="false" ht="15" hidden="false" customHeight="false" outlineLevel="0" collapsed="false">
      <c r="A6860" s="5" t="s">
        <v>555</v>
      </c>
      <c r="B6860" s="0" t="s">
        <v>86</v>
      </c>
      <c r="C6860" s="38" t="n">
        <f aca="false">Q!$D$37</f>
        <v>9.265</v>
      </c>
      <c r="D6860" s="38" t="n">
        <f aca="false">Q!$E$37</f>
        <v>19.087</v>
      </c>
      <c r="E6860" s="38" t="n">
        <f aca="false">Q!$P$37</f>
        <v>27.759</v>
      </c>
      <c r="F6860" s="38" t="n">
        <f aca="false">Sens!$F$6859*tax</f>
        <v>9.669763357865</v>
      </c>
      <c r="G6860" s="38" t="n">
        <f aca="false">Sens!$E$6860+Sens!$F$6860</f>
        <v>37.428763357865</v>
      </c>
      <c r="H6860" s="38" t="n">
        <f aca="false">Sens!$H$6859*tax</f>
        <v>21.9076331473816</v>
      </c>
      <c r="I6860" s="38" t="n">
        <f aca="false">Sens!$I$6859*tax</f>
        <v>24.2336313450491</v>
      </c>
      <c r="J6860" s="38" t="n">
        <f aca="false">Sens!$J$6859*tax</f>
        <v>27.2827010246639</v>
      </c>
      <c r="K6860" s="38" t="n">
        <f aca="false">Sens!$K$6859*tax</f>
        <v>29.4992182683994</v>
      </c>
      <c r="L6860" s="38" t="n">
        <f aca="false">Sens!$L$6859*tax</f>
        <v>32.2879102581316</v>
      </c>
      <c r="M6860" s="38" t="n">
        <f aca="false">Sens!$M$6859*tax</f>
        <v>35.671917279284</v>
      </c>
      <c r="N6860" s="38" t="n">
        <f aca="false">Q!$N$37</f>
        <v>7.231</v>
      </c>
      <c r="O6860" s="38" t="n">
        <f aca="false">Q!$O$37</f>
        <v>11.856</v>
      </c>
    </row>
    <row r="6861" customFormat="false" ht="15" hidden="false" customHeight="false" outlineLevel="0" collapsed="false">
      <c r="A6861" s="3" t="s">
        <v>556</v>
      </c>
      <c r="B6861" s="8" t="s">
        <v>86</v>
      </c>
      <c r="C6861" s="38" t="n">
        <f aca="false">Q!$D$38</f>
        <v>59.248</v>
      </c>
      <c r="D6861" s="38" t="n">
        <f aca="false">Q!$E$38</f>
        <v>77.67</v>
      </c>
      <c r="E6861" s="38" t="n">
        <f aca="false">Q!$P$38</f>
        <v>92.902</v>
      </c>
      <c r="F6861" s="38" t="n">
        <f aca="false">Sens!$F$6859-Sens!$F$6860</f>
        <v>46.0366037135288</v>
      </c>
      <c r="G6861" s="38" t="n">
        <f aca="false">Sens!$E$6861+Sens!$F$6861</f>
        <v>138.938603713529</v>
      </c>
      <c r="H6861" s="38" t="n">
        <f aca="false">Sens!$H$6859-Sens!$H$6860</f>
        <v>104.29965948309</v>
      </c>
      <c r="I6861" s="38" t="n">
        <f aca="false">Sens!$I$6859-Sens!$I$6860</f>
        <v>115.373462770871</v>
      </c>
      <c r="J6861" s="38" t="n">
        <f aca="false">Sens!$J$6859-Sens!$J$6860</f>
        <v>129.889724166368</v>
      </c>
      <c r="K6861" s="38" t="n">
        <f aca="false">Sens!$K$6859-Sens!$K$6860</f>
        <v>140.442301535395</v>
      </c>
      <c r="L6861" s="38" t="n">
        <f aca="false">Sens!$L$6859-Sens!$L$6860</f>
        <v>153.718935436262</v>
      </c>
      <c r="M6861" s="38" t="n">
        <f aca="false">Sens!$M$6859-Sens!$M$6860</f>
        <v>169.829794040665</v>
      </c>
      <c r="N6861" s="38" t="n">
        <f aca="false">Q!$N$38</f>
        <v>35.291</v>
      </c>
      <c r="O6861" s="38" t="n">
        <f aca="false">Q!$O$38</f>
        <v>42.379</v>
      </c>
    </row>
    <row r="6862" customFormat="false" ht="17.15" hidden="false" customHeight="false" outlineLevel="0" collapsed="false">
      <c r="A6862" s="5" t="s">
        <v>559</v>
      </c>
      <c r="B6862" s="5" t="s">
        <v>33</v>
      </c>
      <c r="C6862" s="22" t="n">
        <f aca="false">Q!$D$41</f>
        <v>10.721</v>
      </c>
      <c r="D6862" s="22" t="n">
        <f aca="false">Q!$E$41</f>
        <v>10.827</v>
      </c>
      <c r="E6862" s="22" t="n">
        <f aca="false">(Q!$L$41+Q!$M$41)/2</f>
        <v>10.8885</v>
      </c>
      <c r="F6862" s="22" t="n">
        <f aca="false">Sens!$G$6862</f>
        <v>10.924806</v>
      </c>
      <c r="G6862" s="22" t="n">
        <f aca="false">Q!$M$41*(1+sh_g*0.25)</f>
        <v>10.924806</v>
      </c>
      <c r="H6862" s="22" t="n">
        <f aca="false">Sens!$G$6862*(1+sh_g)</f>
        <v>11.012204448</v>
      </c>
      <c r="I6862" s="22" t="n">
        <f aca="false">Sens!$H$6862*(1+sh_g)</f>
        <v>11.100302083584</v>
      </c>
      <c r="J6862" s="22" t="n">
        <f aca="false">Sens!$I$6862*(1+sh_g)</f>
        <v>11.1891045002527</v>
      </c>
      <c r="K6862" s="22" t="n">
        <f aca="false">Sens!$J$6862*(1+sh_g)</f>
        <v>11.2786173362547</v>
      </c>
      <c r="L6862" s="22" t="n">
        <f aca="false">Sens!$K$6862*(1+sh_g)</f>
        <v>11.3688462749447</v>
      </c>
      <c r="M6862" s="22" t="n">
        <f aca="false">Sens!$L$6862*(1+sh_g)</f>
        <v>11.4597970451443</v>
      </c>
      <c r="P6862" s="5" t="s">
        <v>766</v>
      </c>
    </row>
    <row r="6863" customFormat="false" ht="17.15" hidden="false" customHeight="false" outlineLevel="0" collapsed="false">
      <c r="A6863" s="5" t="s">
        <v>767</v>
      </c>
      <c r="B6863" s="0" t="s">
        <v>86</v>
      </c>
      <c r="C6863" s="38" t="n">
        <f aca="false">Sens!$C$6861+Sens!$C$6837*(1-tax)</f>
        <v>59.248</v>
      </c>
      <c r="D6863" s="38" t="n">
        <f aca="false">Sens!$D$6861+Sens!$D$6837*(1-tax)</f>
        <v>77.67</v>
      </c>
      <c r="E6863" s="38" t="n">
        <f aca="false">Sens!$E$6861+Sens!$E$6837*(1-tax)</f>
        <v>92.902</v>
      </c>
      <c r="F6863" s="38" t="n">
        <f aca="false">Sens!$F$6861+Sens!$F$6837*(1-tax)</f>
        <v>49.1531986731775</v>
      </c>
      <c r="G6863" s="38" t="n">
        <f aca="false">Sens!$G$6861+Sens!$G$6837*(1-tax)</f>
        <v>142.055198673178</v>
      </c>
      <c r="H6863" s="38" t="n">
        <f aca="false">Sens!$H$6861+Sens!$H$6837*(1-tax)</f>
        <v>116.831055438434</v>
      </c>
      <c r="I6863" s="38" t="n">
        <f aca="false">Sens!$I$6861+Sens!$I$6837*(1-tax)</f>
        <v>136.514727845811</v>
      </c>
      <c r="J6863" s="38" t="n">
        <f aca="false">Sens!$J$6861+Sens!$J$6837*(1-tax)</f>
        <v>159.679161110652</v>
      </c>
      <c r="K6863" s="38" t="n">
        <f aca="false">Sens!$K$6861+Sens!$K$6837*(1-tax)</f>
        <v>177.609607232054</v>
      </c>
      <c r="L6863" s="38" t="n">
        <f aca="false">Sens!$L$6861+Sens!$L$6837*(1-tax)</f>
        <v>195.735012776818</v>
      </c>
      <c r="M6863" s="38" t="n">
        <f aca="false">Sens!$M$6861+Sens!$M$6837*(1-tax)</f>
        <v>214.159316231505</v>
      </c>
      <c r="N6863" s="38" t="n">
        <f aca="false">Sens!$N$6861+Sens!$N$6837*(1-tax)</f>
        <v>35.291</v>
      </c>
      <c r="O6863" s="38" t="n">
        <f aca="false">Sens!$O$6861+Sens!$O$6837*(1-tax)</f>
        <v>42.379</v>
      </c>
    </row>
    <row r="6864" customFormat="false" ht="17.15" hidden="false" customHeight="false" outlineLevel="0" collapsed="false">
      <c r="A6864" s="43" t="s">
        <v>768</v>
      </c>
      <c r="B6864" s="14" t="s">
        <v>27</v>
      </c>
      <c r="C6864" s="44" t="n">
        <f aca="false">Sens!$C$6863/Sens!$C$6862</f>
        <v>5.52635015390355</v>
      </c>
      <c r="D6864" s="44" t="n">
        <f aca="false">Sens!$D$6863/Sens!$D$6862</f>
        <v>7.1737323358271</v>
      </c>
      <c r="E6864" s="44" t="n">
        <f aca="false">Sens!$E$6863/Sens!$E$6862</f>
        <v>8.53212104513937</v>
      </c>
      <c r="F6864" s="14"/>
      <c r="G6864" s="44" t="n">
        <f aca="false">Sens!$G$6863/Sens!$G$6862</f>
        <v>13.0029950804781</v>
      </c>
      <c r="H6864" s="44" t="n">
        <f aca="false">Sens!$H$6863/Sens!$H$6862</f>
        <v>10.6092341447268</v>
      </c>
      <c r="I6864" s="44" t="n">
        <f aca="false">Sens!$I$6863/Sens!$I$6862</f>
        <v>12.298289435537</v>
      </c>
      <c r="J6864" s="44" t="n">
        <f aca="false">Sens!$J$6863/Sens!$J$6862</f>
        <v>14.2709509154236</v>
      </c>
      <c r="K6864" s="44" t="n">
        <f aca="false">Sens!$K$6863/Sens!$K$6862</f>
        <v>15.7474628260624</v>
      </c>
      <c r="L6864" s="44" t="n">
        <f aca="false">Sens!$L$6863/Sens!$L$6862</f>
        <v>17.2167877059072</v>
      </c>
      <c r="M6864" s="44" t="n">
        <f aca="false">Sens!$M$6863/Sens!$M$6862</f>
        <v>18.6878803688978</v>
      </c>
      <c r="N6864" s="14"/>
      <c r="O6864" s="14"/>
    </row>
    <row r="6865" customFormat="false" ht="17.15" hidden="false" customHeight="false" outlineLevel="0" collapsed="false">
      <c r="A6865" s="0" t="s">
        <v>769</v>
      </c>
      <c r="B6865" s="0" t="s">
        <v>27</v>
      </c>
      <c r="C6865" s="30" t="n">
        <f aca="false">Sens!$C$6861/Sens!$C$6862</f>
        <v>5.52635015390355</v>
      </c>
      <c r="D6865" s="30" t="n">
        <f aca="false">Sens!$D$6861/Sens!$D$6862</f>
        <v>7.1737323358271</v>
      </c>
      <c r="E6865" s="30" t="n">
        <f aca="false">Sens!$E$6861/Sens!$E$6862</f>
        <v>8.53212104513937</v>
      </c>
      <c r="G6865" s="30" t="n">
        <f aca="false">Sens!$G$6861/Sens!$G$6862</f>
        <v>12.7177181648378</v>
      </c>
      <c r="H6865" s="30" t="n">
        <f aca="false">Sens!$H$6861/Sens!$H$6862</f>
        <v>9.47127888658407</v>
      </c>
      <c r="I6865" s="30" t="n">
        <f aca="false">Sens!$I$6861/Sens!$I$6862</f>
        <v>10.3937227925981</v>
      </c>
      <c r="J6865" s="30" t="n">
        <f aca="false">Sens!$J$6861/Sens!$J$6862</f>
        <v>11.6085897815536</v>
      </c>
      <c r="K6865" s="30" t="n">
        <f aca="false">Sens!$K$6861/Sens!$K$6862</f>
        <v>12.4520849806606</v>
      </c>
      <c r="L6865" s="30" t="n">
        <f aca="false">Sens!$L$6861/Sens!$L$6862</f>
        <v>13.5210672849924</v>
      </c>
      <c r="M6865" s="30" t="n">
        <f aca="false">Sens!$M$6861/Sens!$M$6862</f>
        <v>14.8196162088773</v>
      </c>
    </row>
    <row r="6866" customFormat="false" ht="17.15" hidden="false" customHeight="false" outlineLevel="0" collapsed="false">
      <c r="A6866" s="0" t="s">
        <v>770</v>
      </c>
      <c r="B6866" s="0" t="s">
        <v>27</v>
      </c>
      <c r="C6866" s="30" t="n">
        <f aca="false">(Sens!$C$6861-Sens!$C$6858*(1-tax))/Sens!$C$6862</f>
        <v>5.33926775917445</v>
      </c>
      <c r="D6866" s="30" t="n">
        <f aca="false">(Sens!$D$6861-Sens!$D$6858*(1-tax))/Sens!$D$6862</f>
        <v>5.67691812755503</v>
      </c>
      <c r="E6866" s="30" t="n">
        <f aca="false">(Sens!$E$6861-Sens!$E$6858*(1-tax))/Sens!$E$6862</f>
        <v>3.10602057006846</v>
      </c>
      <c r="G6866" s="30" t="n">
        <f aca="false">(Sens!$G$6861-Sens!$G$6858*(1-tax))/Sens!$G$6862</f>
        <v>7.30965004694081</v>
      </c>
      <c r="H6866" s="30" t="n">
        <f aca="false">(Sens!$H$6861-Sens!$H$6858*(1-tax))/Sens!$H$6862</f>
        <v>9.47127888658407</v>
      </c>
      <c r="I6866" s="30" t="n">
        <f aca="false">(Sens!$I$6861-Sens!$I$6858*(1-tax))/Sens!$I$6862</f>
        <v>10.3937227925981</v>
      </c>
      <c r="J6866" s="30" t="n">
        <f aca="false">(Sens!$J$6861-Sens!$J$6858*(1-tax))/Sens!$J$6862</f>
        <v>11.6085897815536</v>
      </c>
      <c r="K6866" s="30" t="n">
        <f aca="false">(Sens!$K$6861-Sens!$K$6858*(1-tax))/Sens!$K$6862</f>
        <v>12.4520849806606</v>
      </c>
      <c r="L6866" s="30" t="n">
        <f aca="false">(Sens!$L$6861-Sens!$L$6858*(1-tax))/Sens!$L$6862</f>
        <v>13.5210672849924</v>
      </c>
      <c r="M6866" s="30" t="n">
        <f aca="false">(Sens!$M$6861-Sens!$M$6858*(1-tax))/Sens!$M$6862</f>
        <v>14.8196162088773</v>
      </c>
      <c r="P6866" s="5" t="s">
        <v>771</v>
      </c>
    </row>
    <row r="6867" customFormat="false" ht="17.15" hidden="false" customHeight="false" outlineLevel="0" collapsed="false">
      <c r="A6867" s="0" t="s">
        <v>772</v>
      </c>
      <c r="B6867" s="0" t="s">
        <v>52</v>
      </c>
      <c r="H6867" s="13" t="n">
        <f aca="false">Sens!$H$6864/Sens!$G$6864-1</f>
        <v>-0.184093043251635</v>
      </c>
      <c r="I6867" s="13" t="n">
        <f aca="false">Sens!$I$6864/Sens!$H$6864-1</f>
        <v>0.159206147000695</v>
      </c>
      <c r="J6867" s="13" t="n">
        <f aca="false">Sens!$J$6864/Sens!$I$6864-1</f>
        <v>0.160401289157047</v>
      </c>
      <c r="K6867" s="13" t="n">
        <f aca="false">Sens!$K$6864/Sens!$J$6864-1</f>
        <v>0.103462755873053</v>
      </c>
      <c r="L6867" s="13" t="n">
        <f aca="false">Sens!$L$6864/Sens!$K$6864-1</f>
        <v>0.093305499182575</v>
      </c>
      <c r="M6867" s="13" t="n">
        <f aca="false">Sens!$M$6864/Sens!$L$6864-1</f>
        <v>0.0854452461236912</v>
      </c>
    </row>
    <row r="6870" customFormat="false" ht="19.4" hidden="false" customHeight="false" outlineLevel="0" collapsed="false">
      <c r="A6870" s="31" t="s">
        <v>1290</v>
      </c>
    </row>
    <row r="6871" customFormat="false" ht="17.15" hidden="false" customHeight="false" outlineLevel="0" collapsed="false">
      <c r="A6871" s="6" t="s">
        <v>16</v>
      </c>
      <c r="B6871" s="6" t="s">
        <v>17</v>
      </c>
      <c r="C6871" s="20" t="s">
        <v>504</v>
      </c>
      <c r="D6871" s="20" t="s">
        <v>505</v>
      </c>
      <c r="E6871" s="20" t="s">
        <v>587</v>
      </c>
      <c r="F6871" s="20" t="s">
        <v>588</v>
      </c>
      <c r="G6871" s="20" t="s">
        <v>589</v>
      </c>
      <c r="H6871" s="20" t="s">
        <v>590</v>
      </c>
      <c r="I6871" s="20" t="s">
        <v>591</v>
      </c>
      <c r="J6871" s="20" t="s">
        <v>592</v>
      </c>
      <c r="K6871" s="20" t="s">
        <v>593</v>
      </c>
      <c r="L6871" s="20" t="s">
        <v>594</v>
      </c>
      <c r="M6871" s="20" t="s">
        <v>595</v>
      </c>
      <c r="N6871" s="20" t="s">
        <v>596</v>
      </c>
      <c r="O6871" s="20" t="s">
        <v>597</v>
      </c>
      <c r="P6871" s="6" t="s">
        <v>23</v>
      </c>
      <c r="R6871" s="20" t="n">
        <v>2023</v>
      </c>
      <c r="S6871" s="20" t="n">
        <v>2024</v>
      </c>
      <c r="T6871" s="20" t="n">
        <v>2025</v>
      </c>
      <c r="U6871" s="20" t="n">
        <v>2026</v>
      </c>
      <c r="V6871" s="20" t="n">
        <v>2027</v>
      </c>
      <c r="W6871" s="20" t="n">
        <v>2028</v>
      </c>
      <c r="X6871" s="20" t="n">
        <v>2029</v>
      </c>
      <c r="Y6871" s="20" t="n">
        <v>2030</v>
      </c>
      <c r="Z6871" s="20" t="n">
        <v>2031</v>
      </c>
      <c r="AA6871" s="20" t="n">
        <v>2032</v>
      </c>
    </row>
    <row r="6872" customFormat="false" ht="15" hidden="false" customHeight="false" outlineLevel="0" collapsed="false">
      <c r="A6872" s="5" t="s">
        <v>556</v>
      </c>
      <c r="B6872" s="0" t="s">
        <v>86</v>
      </c>
      <c r="C6872" s="38" t="n">
        <f aca="false">Sens!$C$6861</f>
        <v>59.248</v>
      </c>
      <c r="D6872" s="38" t="n">
        <f aca="false">Sens!$D$6861</f>
        <v>77.67</v>
      </c>
      <c r="E6872" s="38" t="n">
        <f aca="false">Sens!$E$6861</f>
        <v>92.902</v>
      </c>
      <c r="F6872" s="38" t="n">
        <f aca="false">Sens!$F$6861</f>
        <v>46.0366037135288</v>
      </c>
      <c r="G6872" s="38" t="n">
        <f aca="false">Sens!$G$6861</f>
        <v>138.938603713529</v>
      </c>
      <c r="H6872" s="38" t="n">
        <f aca="false">Sens!$H$6861</f>
        <v>104.29965948309</v>
      </c>
      <c r="I6872" s="38" t="n">
        <f aca="false">Sens!$I$6861</f>
        <v>115.373462770871</v>
      </c>
      <c r="J6872" s="38" t="n">
        <f aca="false">Sens!$J$6861</f>
        <v>129.889724166368</v>
      </c>
      <c r="K6872" s="38" t="n">
        <f aca="false">Sens!$K$6861</f>
        <v>140.442301535395</v>
      </c>
      <c r="L6872" s="38" t="n">
        <f aca="false">Sens!$L$6861</f>
        <v>153.718935436262</v>
      </c>
      <c r="M6872" s="38" t="n">
        <f aca="false">Sens!$M$6861</f>
        <v>169.829794040665</v>
      </c>
    </row>
    <row r="6873" customFormat="false" ht="17.15" hidden="false" customHeight="false" outlineLevel="0" collapsed="false">
      <c r="A6873" s="5" t="s">
        <v>795</v>
      </c>
      <c r="B6873" s="0" t="s">
        <v>86</v>
      </c>
      <c r="C6873" s="38" t="n">
        <f aca="false">Sens!$C$6849</f>
        <v>32.067</v>
      </c>
      <c r="D6873" s="38" t="n">
        <f aca="false">Sens!$D$6849</f>
        <v>41.86</v>
      </c>
      <c r="E6873" s="38" t="n">
        <f aca="false">Sens!$E$6849</f>
        <v>26.703</v>
      </c>
      <c r="F6873" s="38" t="n">
        <f aca="false">Sens!$F$6849</f>
        <v>29.152860869477</v>
      </c>
      <c r="G6873" s="38" t="n">
        <f aca="false">Sens!$G$6849</f>
        <v>55.855860869477</v>
      </c>
      <c r="H6873" s="38" t="n">
        <f aca="false">Sens!$H$6849</f>
        <v>81.5618233196153</v>
      </c>
      <c r="I6873" s="38" t="n">
        <f aca="false">Sens!$I$6849</f>
        <v>118.756208740204</v>
      </c>
      <c r="J6873" s="38" t="n">
        <f aca="false">Sens!$J$6849</f>
        <v>152.469489406791</v>
      </c>
      <c r="K6873" s="38" t="n">
        <f aca="false">Sens!$K$6849</f>
        <v>186.391502623819</v>
      </c>
      <c r="L6873" s="38" t="n">
        <f aca="false">Sens!$L$6849</f>
        <v>211.926422215482</v>
      </c>
      <c r="M6873" s="38" t="n">
        <f aca="false">Sens!$M$6849</f>
        <v>229.012482097906</v>
      </c>
    </row>
    <row r="6874" customFormat="false" ht="15" hidden="false" customHeight="false" outlineLevel="0" collapsed="false">
      <c r="A6874" s="5" t="s">
        <v>796</v>
      </c>
      <c r="B6874" s="0" t="s">
        <v>86</v>
      </c>
      <c r="C6874" s="38" t="n">
        <f aca="false">Q!$D$48</f>
        <v>22.011</v>
      </c>
      <c r="D6874" s="38" t="n">
        <f aca="false">Q!$E$48</f>
        <v>19.467</v>
      </c>
      <c r="E6874" s="38" t="n">
        <f aca="false">Q!$P$48</f>
        <v>10.07</v>
      </c>
      <c r="F6874" s="38" t="n">
        <f aca="false">sbc_r*Sens!$F$6791</f>
        <v>10.8507035798037</v>
      </c>
      <c r="G6874" s="38" t="n">
        <f aca="false">Sens!$E$6874+Sens!$F$6874</f>
        <v>20.9207035798037</v>
      </c>
      <c r="H6874" s="38" t="n">
        <f aca="false">sbc_r*Sens!$H$6791</f>
        <v>23.46224366345</v>
      </c>
      <c r="I6874" s="38" t="n">
        <f aca="false">sbc_r*Sens!$I$6791</f>
        <v>26.6125957111676</v>
      </c>
      <c r="J6874" s="38" t="n">
        <f aca="false">sbc_r*Sens!$J$6791</f>
        <v>29.6280801413323</v>
      </c>
      <c r="K6874" s="38" t="n">
        <f aca="false">sbc_r*Sens!$K$6791</f>
        <v>32.2712258901105</v>
      </c>
      <c r="L6874" s="38" t="n">
        <f aca="false">sbc_r*Sens!$L$6791</f>
        <v>34.7390505016737</v>
      </c>
      <c r="M6874" s="38" t="n">
        <f aca="false">sbc_r*Sens!$M$6791</f>
        <v>37.0405146906692</v>
      </c>
    </row>
    <row r="6875" customFormat="false" ht="17.15" hidden="false" customHeight="false" outlineLevel="0" collapsed="false">
      <c r="A6875" s="5" t="s">
        <v>797</v>
      </c>
      <c r="B6875" s="0" t="s">
        <v>86</v>
      </c>
      <c r="C6875" s="38" t="n">
        <f aca="false">Q!$D$44-Sens!$C$6872-Sens!$C$6873-Sens!$C$6874</f>
        <v>2.551</v>
      </c>
      <c r="D6875" s="38" t="n">
        <f aca="false">Q!$E$44-Sens!$D$6872-Sens!$D$6873-Sens!$D$6874</f>
        <v>0.51700000000001</v>
      </c>
      <c r="E6875" s="38" t="n">
        <f aca="false">Q!$P$44-Sens!$E$6872-Sens!$E$6873-Sens!$E$6874</f>
        <v>-58.256</v>
      </c>
      <c r="F6875" s="38" t="n">
        <f aca="false">oth_r*Sens!$F$6791</f>
        <v>5.22265251035878</v>
      </c>
      <c r="G6875" s="38" t="n">
        <f aca="false">Sens!$E$6875+Sens!$F$6875</f>
        <v>-53.0333474896412</v>
      </c>
      <c r="H6875" s="38" t="n">
        <f aca="false">oth_r*Sens!$H$6791</f>
        <v>11.2928295263397</v>
      </c>
      <c r="I6875" s="38" t="n">
        <f aca="false">oth_r*Sens!$I$6791</f>
        <v>12.8091546115766</v>
      </c>
      <c r="J6875" s="38" t="n">
        <f aca="false">oth_r*Sens!$J$6791</f>
        <v>14.2605653162668</v>
      </c>
      <c r="K6875" s="38" t="n">
        <f aca="false">oth_r*Sens!$K$6791</f>
        <v>15.5327622460396</v>
      </c>
      <c r="L6875" s="38" t="n">
        <f aca="false">oth_r*Sens!$L$6791</f>
        <v>16.720573737517</v>
      </c>
      <c r="M6875" s="38" t="n">
        <f aca="false">oth_r*Sens!$M$6791</f>
        <v>17.8283127551536</v>
      </c>
      <c r="P6875" s="8" t="s">
        <v>798</v>
      </c>
    </row>
    <row r="6876" customFormat="false" ht="15" hidden="false" customHeight="false" outlineLevel="0" collapsed="false">
      <c r="A6876" s="3" t="s">
        <v>562</v>
      </c>
      <c r="B6876" s="8" t="s">
        <v>86</v>
      </c>
      <c r="C6876" s="38" t="n">
        <f aca="false">Q!$D$44</f>
        <v>115.877</v>
      </c>
      <c r="D6876" s="38" t="n">
        <f aca="false">Q!$E$44</f>
        <v>139.514</v>
      </c>
      <c r="E6876" s="38" t="n">
        <f aca="false">Q!$P$44</f>
        <v>71.419</v>
      </c>
      <c r="F6876" s="38" t="n">
        <f aca="false">Sens!$F$6872+Sens!$F$6873+Sens!$F$6874+Sens!$F$6875</f>
        <v>91.2628206731683</v>
      </c>
      <c r="G6876" s="38" t="n">
        <f aca="false">Sens!$E$6876+Sens!$F$6876</f>
        <v>162.681820673168</v>
      </c>
      <c r="H6876" s="38" t="n">
        <f aca="false">Sens!$H$6872+Sens!$H$6873+Sens!$H$6874+Sens!$H$6875</f>
        <v>220.616555992495</v>
      </c>
      <c r="I6876" s="38" t="n">
        <f aca="false">Sens!$I$6872+Sens!$I$6873+Sens!$I$6874+Sens!$I$6875</f>
        <v>273.55142183382</v>
      </c>
      <c r="J6876" s="38" t="n">
        <f aca="false">Sens!$J$6872+Sens!$J$6873+Sens!$J$6874+Sens!$J$6875</f>
        <v>326.247859030758</v>
      </c>
      <c r="K6876" s="38" t="n">
        <f aca="false">Sens!$K$6872+Sens!$K$6873+Sens!$K$6874+Sens!$K$6875</f>
        <v>374.637792295364</v>
      </c>
      <c r="L6876" s="38" t="n">
        <f aca="false">Sens!$L$6872+Sens!$L$6873+Sens!$L$6874+Sens!$L$6875</f>
        <v>417.104981890935</v>
      </c>
      <c r="M6876" s="38" t="n">
        <f aca="false">Sens!$M$6872+Sens!$M$6873+Sens!$M$6874+Sens!$M$6875</f>
        <v>453.711103584394</v>
      </c>
    </row>
    <row r="6877" customFormat="false" ht="17.15" hidden="false" customHeight="false" outlineLevel="0" collapsed="false">
      <c r="A6877" s="5" t="s">
        <v>799</v>
      </c>
      <c r="B6877" s="0" t="s">
        <v>86</v>
      </c>
      <c r="C6877" s="38" t="n">
        <f aca="false">Sens!$C$6755</f>
        <v>25.2781053077374</v>
      </c>
      <c r="D6877" s="38" t="n">
        <f aca="false">Sens!$D$6755</f>
        <v>69.5686316310026</v>
      </c>
      <c r="E6877" s="38" t="n">
        <f aca="false">Sens!$E$6755</f>
        <v>64.1899206485108</v>
      </c>
      <c r="F6877" s="38" t="n">
        <f aca="false">Sens!$F$6755</f>
        <v>88.7165504612134</v>
      </c>
      <c r="G6877" s="38" t="n">
        <f aca="false">Sens!$G$6755</f>
        <v>152.906471109724</v>
      </c>
      <c r="H6877" s="38" t="n">
        <f aca="false">Sens!$H$6755</f>
        <v>198.57136494475</v>
      </c>
      <c r="I6877" s="38" t="n">
        <f aca="false">Sens!$I$6755</f>
        <v>204.6464699105</v>
      </c>
      <c r="J6877" s="38" t="n">
        <f aca="false">Sens!$J$6755</f>
        <v>209.8832381105</v>
      </c>
      <c r="K6877" s="38" t="n">
        <f aca="false">Sens!$K$6755</f>
        <v>155.238385275201</v>
      </c>
      <c r="L6877" s="38" t="n">
        <f aca="false">Sens!$L$6755</f>
        <v>132.014141639902</v>
      </c>
      <c r="M6877" s="38" t="n">
        <f aca="false">Sens!$M$6755</f>
        <v>132.230981659852</v>
      </c>
    </row>
    <row r="6878" customFormat="false" ht="17.15" hidden="false" customHeight="false" outlineLevel="0" collapsed="false">
      <c r="A6878" s="5" t="s">
        <v>800</v>
      </c>
      <c r="B6878" s="0" t="s">
        <v>86</v>
      </c>
      <c r="C6878" s="38" t="n">
        <f aca="false">cx_awso*Sens!$C$6789</f>
        <v>21.0469989286053</v>
      </c>
      <c r="D6878" s="38" t="n">
        <f aca="false">cx_awso*Sens!$D$6789</f>
        <v>24.0042459822698</v>
      </c>
      <c r="E6878" s="38" t="n">
        <f aca="false">cx_awso*Sens!$E$6789</f>
        <v>14.261729404886</v>
      </c>
      <c r="F6878" s="38" t="n">
        <f aca="false">cx_awso*Sens!$F$6789</f>
        <v>14.3538599588493</v>
      </c>
      <c r="G6878" s="38" t="n">
        <f aca="false">Sens!$E$6878+Sens!$F$6878</f>
        <v>28.6155893637353</v>
      </c>
      <c r="H6878" s="38" t="n">
        <f aca="false">cx_awso*Sens!$H$6789</f>
        <v>32.2034154158406</v>
      </c>
      <c r="I6878" s="38" t="n">
        <f aca="false">cx_awso*Sens!$I$6789</f>
        <v>35.7539519042915</v>
      </c>
      <c r="J6878" s="38" t="n">
        <f aca="false">cx_awso*Sens!$J$6789</f>
        <v>39.1551076091815</v>
      </c>
      <c r="K6878" s="38" t="n">
        <f aca="false">cx_awso*Sens!$K$6789</f>
        <v>42.287516217916</v>
      </c>
      <c r="L6878" s="38" t="n">
        <f aca="false">cx_awso*Sens!$L$6789</f>
        <v>45.6705175153492</v>
      </c>
      <c r="M6878" s="38" t="n">
        <f aca="false">cx_awso*Sens!$M$6789</f>
        <v>49.3241589165772</v>
      </c>
    </row>
    <row r="6879" customFormat="false" ht="17.15" hidden="false" customHeight="false" outlineLevel="0" collapsed="false">
      <c r="A6879" s="5" t="s">
        <v>801</v>
      </c>
      <c r="B6879" s="0" t="s">
        <v>86</v>
      </c>
      <c r="C6879" s="38" t="n">
        <f aca="false">Q!$D$46-Sens!$C$6877-Sens!$C$6878</f>
        <v>31.3328957636573</v>
      </c>
      <c r="D6879" s="38" t="n">
        <f aca="false">Q!$E$46-Sens!$D$6877-Sens!$D$6878</f>
        <v>34.7471223867276</v>
      </c>
      <c r="E6879" s="38" t="n">
        <f aca="false">Q!$P$46-Sens!$E$6877-Sens!$E$6878</f>
        <v>17.8583499466032</v>
      </c>
      <c r="F6879" s="38" t="n">
        <f aca="false">cx_rt*Sens!$F$6718</f>
        <v>20.6195895799373</v>
      </c>
      <c r="G6879" s="38" t="n">
        <f aca="false">Sens!$E$6879+Sens!$F$6879</f>
        <v>38.4779395265405</v>
      </c>
      <c r="H6879" s="38" t="n">
        <f aca="false">cx_rt*Sens!$H$6718</f>
        <v>42.5978994743075</v>
      </c>
      <c r="I6879" s="38" t="n">
        <f aca="false">cx_rt*Sens!$I$6718</f>
        <v>46.5813904136335</v>
      </c>
      <c r="J6879" s="38" t="n">
        <f aca="false">cx_rt*Sens!$J$6718</f>
        <v>50.2781676586844</v>
      </c>
      <c r="K6879" s="38" t="n">
        <f aca="false">cx_rt*Sens!$K$6718</f>
        <v>53.5312440191755</v>
      </c>
      <c r="L6879" s="38" t="n">
        <f aca="false">cx_rt*Sens!$L$6718</f>
        <v>57.0116717051447</v>
      </c>
      <c r="M6879" s="38" t="n">
        <f aca="false">cx_rt*Sens!$M$6718</f>
        <v>60.7365554669226</v>
      </c>
    </row>
    <row r="6880" customFormat="false" ht="15" hidden="false" customHeight="false" outlineLevel="0" collapsed="false">
      <c r="A6880" s="3" t="s">
        <v>802</v>
      </c>
      <c r="B6880" s="8" t="s">
        <v>86</v>
      </c>
      <c r="C6880" s="38" t="n">
        <f aca="false">Q!$D$46</f>
        <v>77.658</v>
      </c>
      <c r="D6880" s="38" t="n">
        <f aca="false">Q!$E$46</f>
        <v>128.32</v>
      </c>
      <c r="E6880" s="38" t="n">
        <f aca="false">Q!$P$46</f>
        <v>96.31</v>
      </c>
      <c r="F6880" s="38" t="n">
        <f aca="false">Sens!$F$6877+Sens!$F$6878+Sens!$F$6879</f>
        <v>123.69</v>
      </c>
      <c r="G6880" s="38" t="n">
        <f aca="false">Sens!$E$6880+Sens!$F$6880</f>
        <v>220</v>
      </c>
      <c r="H6880" s="38" t="n">
        <f aca="false">Sens!$H$6877+Sens!$H$6878+Sens!$H$6879</f>
        <v>273.372679834898</v>
      </c>
      <c r="I6880" s="38" t="n">
        <f aca="false">Sens!$I$6877+Sens!$I$6878+Sens!$I$6879</f>
        <v>286.981812228425</v>
      </c>
      <c r="J6880" s="38" t="n">
        <f aca="false">Sens!$J$6877+Sens!$J$6878+Sens!$J$6879</f>
        <v>299.316513378366</v>
      </c>
      <c r="K6880" s="38" t="n">
        <f aca="false">Sens!$K$6877+Sens!$K$6878+Sens!$K$6879</f>
        <v>251.057145512292</v>
      </c>
      <c r="L6880" s="38" t="n">
        <f aca="false">Sens!$L$6877+Sens!$L$6878+Sens!$L$6879</f>
        <v>234.696330860396</v>
      </c>
      <c r="M6880" s="38" t="n">
        <f aca="false">Sens!$M$6877+Sens!$M$6878+Sens!$M$6879</f>
        <v>242.291696043352</v>
      </c>
    </row>
    <row r="6881" customFormat="false" ht="17.15" hidden="false" customHeight="false" outlineLevel="0" collapsed="false">
      <c r="A6881" s="5" t="s">
        <v>570</v>
      </c>
      <c r="B6881" s="0" t="s">
        <v>86</v>
      </c>
      <c r="C6881" s="38" t="n">
        <f aca="false">Q!$D$50</f>
        <v>2.043</v>
      </c>
      <c r="D6881" s="38" t="n">
        <f aca="false">Q!$E$50</f>
        <v>1.557</v>
      </c>
      <c r="E6881" s="38" t="n">
        <f aca="false">lease_pr/2</f>
        <v>0.8</v>
      </c>
      <c r="F6881" s="38" t="n">
        <f aca="false">lease_pr/2</f>
        <v>0.8</v>
      </c>
      <c r="G6881" s="38" t="n">
        <f aca="false">Sens!$E$6881+Sens!$F$6881</f>
        <v>1.6</v>
      </c>
      <c r="H6881" s="38" t="n">
        <f aca="false">lease_pr</f>
        <v>1.6</v>
      </c>
      <c r="I6881" s="38" t="n">
        <f aca="false">lease_pr</f>
        <v>1.6</v>
      </c>
      <c r="J6881" s="38" t="n">
        <f aca="false">lease_pr</f>
        <v>1.6</v>
      </c>
      <c r="K6881" s="38" t="n">
        <f aca="false">lease_pr</f>
        <v>1.6</v>
      </c>
      <c r="L6881" s="38" t="n">
        <f aca="false">lease_pr</f>
        <v>1.6</v>
      </c>
      <c r="M6881" s="38" t="n">
        <f aca="false">lease_pr</f>
        <v>1.6</v>
      </c>
      <c r="P6881" s="8" t="s">
        <v>803</v>
      </c>
    </row>
    <row r="6882" customFormat="false" ht="15" hidden="false" customHeight="false" outlineLevel="0" collapsed="false">
      <c r="A6882" s="47" t="s">
        <v>804</v>
      </c>
      <c r="B6882" s="14" t="s">
        <v>86</v>
      </c>
      <c r="C6882" s="48" t="n">
        <f aca="false">Sens!$C$6876-Sens!$C$6880-Sens!$C$6881</f>
        <v>36.176</v>
      </c>
      <c r="D6882" s="48" t="n">
        <f aca="false">Sens!$D$6876-Sens!$D$6880-Sens!$D$6881</f>
        <v>9.63700000000002</v>
      </c>
      <c r="E6882" s="48" t="n">
        <f aca="false">Sens!$E$6876-Sens!$E$6880-Sens!$E$6881</f>
        <v>-25.691</v>
      </c>
      <c r="F6882" s="48" t="n">
        <f aca="false">Sens!$F$6876-Sens!$F$6880-Sens!$F$6881</f>
        <v>-33.2271793268317</v>
      </c>
      <c r="G6882" s="48" t="n">
        <f aca="false">Sens!$G$6876-Sens!$G$6880-Sens!$G$6881</f>
        <v>-58.9181793268317</v>
      </c>
      <c r="H6882" s="48" t="n">
        <f aca="false">Sens!$H$6876-Sens!$H$6880-Sens!$H$6881</f>
        <v>-54.3561238424036</v>
      </c>
      <c r="I6882" s="48" t="n">
        <f aca="false">Sens!$I$6876-Sens!$I$6880-Sens!$I$6881</f>
        <v>-15.0303903946055</v>
      </c>
      <c r="J6882" s="48" t="n">
        <f aca="false">Sens!$J$6876-Sens!$J$6880-Sens!$J$6881</f>
        <v>25.3313456523922</v>
      </c>
      <c r="K6882" s="48" t="n">
        <f aca="false">Sens!$K$6876-Sens!$K$6880-Sens!$K$6881</f>
        <v>121.980646783072</v>
      </c>
      <c r="L6882" s="48" t="n">
        <f aca="false">Sens!$L$6876-Sens!$L$6880-Sens!$L$6881</f>
        <v>180.80865103054</v>
      </c>
      <c r="M6882" s="48" t="n">
        <f aca="false">Sens!$M$6876-Sens!$M$6880-Sens!$M$6881</f>
        <v>209.819407541041</v>
      </c>
      <c r="N6882" s="14"/>
      <c r="O6882" s="14"/>
    </row>
    <row r="6883" customFormat="false" ht="17.15" hidden="false" customHeight="false" outlineLevel="0" collapsed="false">
      <c r="A6883" s="5" t="s">
        <v>805</v>
      </c>
      <c r="B6883" s="0" t="s">
        <v>86</v>
      </c>
      <c r="C6883" s="38" t="n">
        <f aca="false">dps*Sens!$C$6862</f>
        <v>0</v>
      </c>
      <c r="D6883" s="38" t="n">
        <f aca="false">dps*Sens!$D$6862</f>
        <v>0</v>
      </c>
      <c r="E6883" s="38" t="n">
        <f aca="false">dps*Sens!$E$6862</f>
        <v>0</v>
      </c>
      <c r="F6883" s="38" t="n">
        <f aca="false">0</f>
        <v>0</v>
      </c>
      <c r="G6883" s="38" t="n">
        <f aca="false">dps*Sens!$G$6862</f>
        <v>0</v>
      </c>
      <c r="H6883" s="38" t="n">
        <f aca="false">dps*Sens!$H$6862</f>
        <v>0</v>
      </c>
      <c r="I6883" s="38" t="n">
        <f aca="false">dps*Sens!$I$6862</f>
        <v>0</v>
      </c>
      <c r="J6883" s="38" t="n">
        <f aca="false">dps*Sens!$J$6862</f>
        <v>0</v>
      </c>
      <c r="K6883" s="38" t="n">
        <f aca="false">dps*Sens!$K$6862</f>
        <v>0</v>
      </c>
      <c r="L6883" s="38" t="n">
        <f aca="false">dps*Sens!$L$6862</f>
        <v>0</v>
      </c>
      <c r="M6883" s="38" t="n">
        <f aca="false">dps*Sens!$M$6862</f>
        <v>0</v>
      </c>
      <c r="P6883" s="8" t="s">
        <v>806</v>
      </c>
    </row>
    <row r="6884" customFormat="false" ht="17.15" hidden="false" customHeight="false" outlineLevel="0" collapsed="false">
      <c r="A6884" s="5" t="s">
        <v>807</v>
      </c>
      <c r="B6884" s="0" t="s">
        <v>86</v>
      </c>
      <c r="C6884" s="38" t="n">
        <f aca="false">0</f>
        <v>0</v>
      </c>
      <c r="D6884" s="38" t="n">
        <f aca="false">0</f>
        <v>0</v>
      </c>
      <c r="E6884" s="38" t="n">
        <f aca="false">0</f>
        <v>0</v>
      </c>
      <c r="F6884" s="38" t="n">
        <f aca="false">0</f>
        <v>0</v>
      </c>
      <c r="G6884" s="38" t="n">
        <f aca="false">0</f>
        <v>0</v>
      </c>
      <c r="H6884" s="38" t="n">
        <f aca="false">0</f>
        <v>0</v>
      </c>
      <c r="I6884" s="38" t="n">
        <f aca="false">0</f>
        <v>0</v>
      </c>
      <c r="J6884" s="38" t="n">
        <f aca="false">0</f>
        <v>0</v>
      </c>
      <c r="K6884" s="38" t="n">
        <f aca="false">0</f>
        <v>0</v>
      </c>
      <c r="L6884" s="38" t="n">
        <f aca="false">0</f>
        <v>0</v>
      </c>
      <c r="M6884" s="38" t="n">
        <f aca="false">0</f>
        <v>0</v>
      </c>
      <c r="P6884" s="8" t="s">
        <v>808</v>
      </c>
    </row>
    <row r="6885" customFormat="false" ht="15" hidden="false" customHeight="false" outlineLevel="0" collapsed="false">
      <c r="A6885" s="3" t="s">
        <v>809</v>
      </c>
      <c r="B6885" s="8" t="s">
        <v>86</v>
      </c>
      <c r="C6885" s="38" t="n">
        <f aca="false">Sens!$C$6882-Sens!$C$6883</f>
        <v>36.176</v>
      </c>
      <c r="D6885" s="38" t="n">
        <f aca="false">Sens!$D$6882-Sens!$D$6883</f>
        <v>9.63700000000002</v>
      </c>
      <c r="E6885" s="38" t="n">
        <f aca="false">Sens!$E$6882-Sens!$E$6883</f>
        <v>-25.691</v>
      </c>
      <c r="F6885" s="38" t="n">
        <f aca="false">Sens!$F$6882-Sens!$F$6883</f>
        <v>-33.2271793268317</v>
      </c>
      <c r="G6885" s="38" t="n">
        <f aca="false">Sens!$G$6882-Sens!$G$6883</f>
        <v>-58.9181793268317</v>
      </c>
      <c r="H6885" s="38" t="n">
        <f aca="false">Sens!$H$6882-Sens!$H$6883</f>
        <v>-54.3561238424036</v>
      </c>
      <c r="I6885" s="38" t="n">
        <f aca="false">Sens!$I$6882-Sens!$I$6883</f>
        <v>-15.0303903946055</v>
      </c>
      <c r="J6885" s="38" t="n">
        <f aca="false">Sens!$J$6882-Sens!$J$6883</f>
        <v>25.3313456523922</v>
      </c>
      <c r="K6885" s="38" t="n">
        <f aca="false">Sens!$K$6882-Sens!$K$6883</f>
        <v>121.980646783072</v>
      </c>
      <c r="L6885" s="38" t="n">
        <f aca="false">Sens!$L$6882-Sens!$L$6883</f>
        <v>180.80865103054</v>
      </c>
      <c r="M6885" s="38" t="n">
        <f aca="false">Sens!$M$6882-Sens!$M$6883</f>
        <v>209.819407541041</v>
      </c>
    </row>
    <row r="6886" customFormat="false" ht="17.15" hidden="false" customHeight="false" outlineLevel="0" collapsed="false">
      <c r="A6886" s="5" t="s">
        <v>810</v>
      </c>
      <c r="B6886" s="0" t="s">
        <v>86</v>
      </c>
      <c r="E6886" s="38" t="n">
        <f aca="false">Q!$P$53</f>
        <v>39.767</v>
      </c>
      <c r="F6886" s="38" t="n">
        <f aca="false">inv_2h26</f>
        <v>21.3</v>
      </c>
      <c r="G6886" s="38" t="n">
        <f aca="false">Sens!$E$6886+Sens!$F$6886</f>
        <v>61.067</v>
      </c>
      <c r="H6886" s="39" t="n">
        <v>0</v>
      </c>
      <c r="I6886" s="39" t="n">
        <v>0</v>
      </c>
      <c r="J6886" s="39" t="n">
        <v>0</v>
      </c>
      <c r="K6886" s="39" t="n">
        <v>0</v>
      </c>
      <c r="L6886" s="39" t="n">
        <v>0</v>
      </c>
      <c r="M6886" s="39" t="n">
        <v>0</v>
      </c>
    </row>
    <row r="6887" customFormat="false" ht="17.15" hidden="false" customHeight="false" outlineLevel="0" collapsed="false">
      <c r="A6887" s="5" t="s">
        <v>811</v>
      </c>
      <c r="B6887" s="0" t="s">
        <v>86</v>
      </c>
      <c r="F6887" s="38" t="n">
        <f aca="false">iss_2h26</f>
        <v>29.249999</v>
      </c>
      <c r="G6887" s="38" t="n">
        <f aca="false">Sens!$F$6887</f>
        <v>29.249999</v>
      </c>
      <c r="H6887" s="39" t="n">
        <v>0</v>
      </c>
      <c r="I6887" s="39" t="n">
        <v>0</v>
      </c>
      <c r="J6887" s="39" t="n">
        <v>0</v>
      </c>
      <c r="K6887" s="39" t="n">
        <v>0</v>
      </c>
      <c r="L6887" s="39" t="n">
        <v>0</v>
      </c>
      <c r="M6887" s="39" t="n">
        <v>0</v>
      </c>
    </row>
    <row r="6888" customFormat="false" ht="17.15" hidden="false" customHeight="false" outlineLevel="0" collapsed="false">
      <c r="A6888" s="5" t="s">
        <v>812</v>
      </c>
      <c r="B6888" s="0" t="s">
        <v>86</v>
      </c>
      <c r="F6888" s="38" t="n">
        <f aca="false">cash_q2</f>
        <v>122.988</v>
      </c>
      <c r="G6888" s="38" t="n">
        <f aca="false">cash_q2</f>
        <v>122.988</v>
      </c>
      <c r="H6888" s="38" t="n">
        <f aca="false">Sens!$G$6891</f>
        <v>97.7108196731683</v>
      </c>
      <c r="I6888" s="38" t="n">
        <f aca="false">Sens!$H$6891</f>
        <v>50</v>
      </c>
      <c r="J6888" s="38" t="n">
        <f aca="false">Sens!$I$6891</f>
        <v>50</v>
      </c>
      <c r="K6888" s="38" t="n">
        <f aca="false">Sens!$J$6891</f>
        <v>75.3313456523922</v>
      </c>
      <c r="L6888" s="38" t="n">
        <f aca="false">Sens!$K$6891</f>
        <v>197.311992435464</v>
      </c>
      <c r="M6888" s="38" t="n">
        <f aca="false">Sens!$L$6891</f>
        <v>378.120643466004</v>
      </c>
    </row>
    <row r="6889" customFormat="false" ht="15" hidden="false" customHeight="false" outlineLevel="0" collapsed="false">
      <c r="A6889" s="5" t="s">
        <v>813</v>
      </c>
      <c r="B6889" s="0" t="s">
        <v>86</v>
      </c>
      <c r="F6889" s="38" t="n">
        <f aca="false">Sens!$F$6888+Sens!$F$6885-Sens!$F$6884-Sens!$F$6886+Sens!$F$6887</f>
        <v>97.7108196731683</v>
      </c>
      <c r="H6889" s="38" t="n">
        <f aca="false">Sens!$H$6888+Sens!$H$6885-Sens!$H$6884-Sens!$H$6886+Sens!$H$6887</f>
        <v>43.3546958307647</v>
      </c>
      <c r="I6889" s="38" t="n">
        <f aca="false">Sens!$I$6888+Sens!$I$6885-Sens!$I$6884-Sens!$I$6886+Sens!$I$6887</f>
        <v>34.9696096053945</v>
      </c>
      <c r="J6889" s="38" t="n">
        <f aca="false">Sens!$J$6888+Sens!$J$6885-Sens!$J$6884-Sens!$J$6886+Sens!$J$6887</f>
        <v>75.3313456523922</v>
      </c>
      <c r="K6889" s="38" t="n">
        <f aca="false">Sens!$K$6888+Sens!$K$6885-Sens!$K$6884-Sens!$K$6886+Sens!$K$6887</f>
        <v>197.311992435464</v>
      </c>
      <c r="L6889" s="38" t="n">
        <f aca="false">Sens!$L$6888+Sens!$L$6885-Sens!$L$6884-Sens!$L$6886+Sens!$L$6887</f>
        <v>378.120643466004</v>
      </c>
      <c r="M6889" s="38" t="n">
        <f aca="false">Sens!$M$6888+Sens!$M$6885-Sens!$M$6884-Sens!$M$6886+Sens!$M$6887</f>
        <v>587.940051007045</v>
      </c>
    </row>
    <row r="6890" customFormat="false" ht="17.15" hidden="false" customHeight="false" outlineLevel="0" collapsed="false">
      <c r="A6890" s="5" t="s">
        <v>814</v>
      </c>
      <c r="B6890" s="0" t="s">
        <v>86</v>
      </c>
      <c r="F6890" s="38" t="n">
        <f aca="false">MAX(0,min_cash-Sens!$F$6889)</f>
        <v>0</v>
      </c>
      <c r="G6890" s="38" t="n">
        <f aca="false">Sens!$F$6890</f>
        <v>0</v>
      </c>
      <c r="H6890" s="38" t="n">
        <f aca="false">MAX(0,min_cash-Sens!$H$6889)</f>
        <v>6.64530416923528</v>
      </c>
      <c r="I6890" s="38" t="n">
        <f aca="false">MAX(0,min_cash-Sens!$I$6889)</f>
        <v>15.0303903946055</v>
      </c>
      <c r="J6890" s="38" t="n">
        <f aca="false">MAX(0,min_cash-Sens!$J$6889)</f>
        <v>0</v>
      </c>
      <c r="K6890" s="38" t="n">
        <f aca="false">MAX(0,min_cash-Sens!$K$6889)</f>
        <v>0</v>
      </c>
      <c r="L6890" s="38" t="n">
        <f aca="false">MAX(0,min_cash-Sens!$L$6889)</f>
        <v>0</v>
      </c>
      <c r="M6890" s="38" t="n">
        <f aca="false">MAX(0,min_cash-Sens!$M$6889)</f>
        <v>0</v>
      </c>
      <c r="P6890" s="5" t="s">
        <v>815</v>
      </c>
    </row>
    <row r="6891" customFormat="false" ht="15" hidden="false" customHeight="false" outlineLevel="0" collapsed="false">
      <c r="A6891" s="5" t="s">
        <v>816</v>
      </c>
      <c r="B6891" s="0" t="s">
        <v>86</v>
      </c>
      <c r="D6891" s="38" t="n">
        <f aca="false">Q!$E$61</f>
        <v>123.029</v>
      </c>
      <c r="E6891" s="38" t="n">
        <f aca="false">Q!$M$61</f>
        <v>122.988</v>
      </c>
      <c r="F6891" s="38" t="n">
        <f aca="false">Sens!$F$6889+Sens!$F$6890</f>
        <v>97.7108196731683</v>
      </c>
      <c r="G6891" s="38" t="n">
        <f aca="false">Sens!$F$6891</f>
        <v>97.7108196731683</v>
      </c>
      <c r="H6891" s="38" t="n">
        <f aca="false">Sens!$H$6889+Sens!$H$6890</f>
        <v>50</v>
      </c>
      <c r="I6891" s="38" t="n">
        <f aca="false">Sens!$I$6889+Sens!$I$6890</f>
        <v>50</v>
      </c>
      <c r="J6891" s="38" t="n">
        <f aca="false">Sens!$J$6889+Sens!$J$6890</f>
        <v>75.3313456523922</v>
      </c>
      <c r="K6891" s="38" t="n">
        <f aca="false">Sens!$K$6889+Sens!$K$6890</f>
        <v>197.311992435464</v>
      </c>
      <c r="L6891" s="38" t="n">
        <f aca="false">Sens!$L$6889+Sens!$L$6890</f>
        <v>378.120643466004</v>
      </c>
      <c r="M6891" s="38" t="n">
        <f aca="false">Sens!$M$6889+Sens!$M$6890</f>
        <v>587.940051007045</v>
      </c>
    </row>
    <row r="6892" customFormat="false" ht="15" hidden="false" customHeight="false" outlineLevel="0" collapsed="false">
      <c r="A6892" s="5" t="s">
        <v>817</v>
      </c>
      <c r="B6892" s="0" t="s">
        <v>86</v>
      </c>
      <c r="D6892" s="38" t="n">
        <f aca="false">Q!$E$62</f>
        <v>68.836</v>
      </c>
      <c r="E6892" s="38" t="n">
        <f aca="false">Q!$M$62</f>
        <v>132.995</v>
      </c>
      <c r="F6892" s="38" t="n">
        <f aca="false">debt_q2+Sens!$F$6887+Sens!$F$6890</f>
        <v>162.244999</v>
      </c>
      <c r="G6892" s="38" t="n">
        <f aca="false">Sens!$F$6892</f>
        <v>162.244999</v>
      </c>
      <c r="H6892" s="38" t="n">
        <f aca="false">Sens!$G$6892+Sens!$H$6890</f>
        <v>168.890303169235</v>
      </c>
      <c r="I6892" s="38" t="n">
        <f aca="false">Sens!$H$6892+Sens!$I$6890</f>
        <v>183.920693563841</v>
      </c>
      <c r="J6892" s="38" t="n">
        <f aca="false">Sens!$I$6892+Sens!$J$6890</f>
        <v>183.920693563841</v>
      </c>
      <c r="K6892" s="38" t="n">
        <f aca="false">Sens!$J$6892+Sens!$K$6890</f>
        <v>183.920693563841</v>
      </c>
      <c r="L6892" s="38" t="n">
        <f aca="false">Sens!$K$6892+Sens!$L$6890</f>
        <v>183.920693563841</v>
      </c>
      <c r="M6892" s="38" t="n">
        <f aca="false">Sens!$L$6892+Sens!$M$6890</f>
        <v>183.920693563841</v>
      </c>
    </row>
    <row r="6893" customFormat="false" ht="15" hidden="false" customHeight="false" outlineLevel="0" collapsed="false">
      <c r="A6893" s="5" t="s">
        <v>818</v>
      </c>
      <c r="B6893" s="0" t="s">
        <v>86</v>
      </c>
      <c r="D6893" s="38" t="n">
        <f aca="false">Sens!$D$6892-Sens!$D$6891</f>
        <v>-54.193</v>
      </c>
      <c r="E6893" s="38" t="n">
        <f aca="false">Sens!$E$6892-Sens!$E$6891</f>
        <v>10.007</v>
      </c>
      <c r="F6893" s="38" t="n">
        <f aca="false">Sens!$F$6892-Sens!$F$6891</f>
        <v>64.5341793268317</v>
      </c>
      <c r="G6893" s="38" t="n">
        <f aca="false">Sens!$G$6892-Sens!$G$6891</f>
        <v>64.5341793268317</v>
      </c>
      <c r="H6893" s="38" t="n">
        <f aca="false">Sens!$H$6892-Sens!$H$6891</f>
        <v>118.890303169235</v>
      </c>
      <c r="I6893" s="38" t="n">
        <f aca="false">Sens!$I$6892-Sens!$I$6891</f>
        <v>133.920693563841</v>
      </c>
      <c r="J6893" s="38" t="n">
        <f aca="false">Sens!$J$6892-Sens!$J$6891</f>
        <v>108.589347911449</v>
      </c>
      <c r="K6893" s="38" t="n">
        <f aca="false">Sens!$K$6892-Sens!$K$6891</f>
        <v>-13.3912988716235</v>
      </c>
      <c r="L6893" s="38" t="n">
        <f aca="false">Sens!$L$6892-Sens!$L$6891</f>
        <v>-194.199949902163</v>
      </c>
      <c r="M6893" s="38" t="n">
        <f aca="false">Sens!$M$6892-Sens!$M$6891</f>
        <v>-404.019357443204</v>
      </c>
    </row>
    <row r="6894" customFormat="false" ht="17.15" hidden="false" customHeight="false" outlineLevel="0" collapsed="false">
      <c r="A6894" s="5" t="s">
        <v>819</v>
      </c>
      <c r="B6894" s="0" t="s">
        <v>86</v>
      </c>
      <c r="F6894" s="38" t="n">
        <f aca="false">debt_q2*kd_book*0.5+iss_2h26*kd_new*iss_t</f>
        <v>3.24888962733561</v>
      </c>
      <c r="H6894" s="38" t="n">
        <f aca="false">debt_q2*kd_book+(Sens!$G$6892-debt_q2)*kd_new</f>
        <v>7.42354172302123</v>
      </c>
      <c r="I6894" s="38" t="n">
        <f aca="false">debt_q2*kd_book+(Sens!$H$6892-debt_q2)*kd_new</f>
        <v>7.84418947693382</v>
      </c>
      <c r="J6894" s="38" t="n">
        <f aca="false">debt_q2*kd_book+(Sens!$I$6892-debt_q2)*kd_new</f>
        <v>8.79561318891235</v>
      </c>
      <c r="K6894" s="38" t="n">
        <f aca="false">debt_q2*kd_book+(Sens!$J$6892-debt_q2)*kd_new</f>
        <v>8.79561318891235</v>
      </c>
      <c r="L6894" s="38" t="n">
        <f aca="false">debt_q2*kd_book+(Sens!$K$6892-debt_q2)*kd_new</f>
        <v>8.79561318891235</v>
      </c>
      <c r="M6894" s="38" t="n">
        <f aca="false">debt_q2*kd_book+(Sens!$L$6892-debt_q2)*kd_new</f>
        <v>8.79561318891235</v>
      </c>
    </row>
    <row r="6895" customFormat="false" ht="17.15" hidden="false" customHeight="false" outlineLevel="0" collapsed="false">
      <c r="A6895" s="5" t="s">
        <v>820</v>
      </c>
      <c r="B6895" s="0" t="s">
        <v>86</v>
      </c>
      <c r="F6895" s="38" t="n">
        <f aca="false">cash_q2*y_cash*0.5</f>
        <v>2.59</v>
      </c>
      <c r="H6895" s="38" t="n">
        <f aca="false">Sens!$G$6891*y_cash</f>
        <v>4.1153774832261</v>
      </c>
      <c r="I6895" s="38" t="n">
        <f aca="false">Sens!$H$6891*y_cash</f>
        <v>2.10589651022864</v>
      </c>
      <c r="J6895" s="38" t="n">
        <f aca="false">Sens!$I$6891*y_cash</f>
        <v>2.10589651022864</v>
      </c>
      <c r="K6895" s="38" t="n">
        <f aca="false">Sens!$J$6891*y_cash</f>
        <v>3.172800358404</v>
      </c>
      <c r="L6895" s="38" t="n">
        <f aca="false">Sens!$K$6891*y_cash</f>
        <v>8.31037272592208</v>
      </c>
      <c r="M6895" s="38" t="n">
        <f aca="false">Sens!$L$6891*y_cash</f>
        <v>15.9256588704093</v>
      </c>
    </row>
    <row r="6896" customFormat="false" ht="17.15" hidden="false" customHeight="false" outlineLevel="0" collapsed="false">
      <c r="A6896" s="47" t="s">
        <v>821</v>
      </c>
      <c r="B6896" s="14" t="s">
        <v>86</v>
      </c>
      <c r="C6896" s="14"/>
      <c r="D6896" s="14"/>
      <c r="E6896" s="14"/>
      <c r="F6896" s="14"/>
      <c r="G6896" s="48" t="n">
        <f aca="false">SUM(Sens!$G$6885:$K$6885)</f>
        <v>19.0072988716234</v>
      </c>
      <c r="H6896" s="14"/>
      <c r="I6896" s="14"/>
      <c r="J6896" s="14"/>
      <c r="K6896" s="14"/>
      <c r="L6896" s="14"/>
      <c r="M6896" s="14"/>
      <c r="N6896" s="14"/>
      <c r="O6896" s="14"/>
    </row>
    <row r="6897" customFormat="false" ht="17.15" hidden="false" customHeight="false" outlineLevel="0" collapsed="false">
      <c r="A6897" s="0" t="s">
        <v>787</v>
      </c>
      <c r="B6897" s="0" t="s">
        <v>86</v>
      </c>
      <c r="G6897" s="38" t="n">
        <f aca="false">SUM(Sens!$G$6890:$K$6890)</f>
        <v>21.6756945638408</v>
      </c>
    </row>
    <row r="6898" customFormat="false" ht="17.15" hidden="false" customHeight="false" outlineLevel="0" collapsed="false">
      <c r="A6898" s="24" t="s">
        <v>824</v>
      </c>
      <c r="B6898" s="25" t="s">
        <v>86</v>
      </c>
      <c r="C6898" s="25"/>
      <c r="D6898" s="25"/>
      <c r="E6898" s="25"/>
      <c r="F6898" s="25"/>
      <c r="G6898" s="41" t="n">
        <f aca="false">Sens!$G$6896-(Sens!$G$6885+Sens!$H$6885+Sens!$I$6885+Sens!$J$6885+Sens!$K$6885)</f>
        <v>0</v>
      </c>
      <c r="H6898" s="25"/>
      <c r="I6898" s="25"/>
      <c r="J6898" s="25"/>
      <c r="K6898" s="25"/>
      <c r="L6898" s="25"/>
      <c r="M6898" s="25"/>
      <c r="N6898" s="25"/>
      <c r="O6898" s="25"/>
    </row>
    <row r="6901" customFormat="false" ht="19.4" hidden="false" customHeight="false" outlineLevel="0" collapsed="false">
      <c r="A6901" s="31" t="s">
        <v>1291</v>
      </c>
    </row>
    <row r="6902" customFormat="false" ht="17.15" hidden="false" customHeight="false" outlineLevel="0" collapsed="false">
      <c r="A6902" s="6" t="s">
        <v>16</v>
      </c>
      <c r="B6902" s="6" t="s">
        <v>17</v>
      </c>
      <c r="C6902" s="20" t="s">
        <v>504</v>
      </c>
      <c r="D6902" s="20" t="s">
        <v>505</v>
      </c>
      <c r="E6902" s="20" t="s">
        <v>587</v>
      </c>
      <c r="F6902" s="20" t="s">
        <v>588</v>
      </c>
      <c r="G6902" s="20" t="s">
        <v>589</v>
      </c>
      <c r="H6902" s="20" t="s">
        <v>590</v>
      </c>
      <c r="I6902" s="20" t="s">
        <v>591</v>
      </c>
      <c r="J6902" s="20" t="s">
        <v>592</v>
      </c>
      <c r="K6902" s="20" t="s">
        <v>593</v>
      </c>
      <c r="L6902" s="20" t="s">
        <v>594</v>
      </c>
      <c r="M6902" s="20" t="s">
        <v>595</v>
      </c>
      <c r="N6902" s="20" t="s">
        <v>596</v>
      </c>
      <c r="O6902" s="20" t="s">
        <v>597</v>
      </c>
      <c r="P6902" s="6" t="s">
        <v>23</v>
      </c>
      <c r="R6902" s="20" t="n">
        <v>2023</v>
      </c>
      <c r="S6902" s="20" t="n">
        <v>2024</v>
      </c>
      <c r="T6902" s="20" t="n">
        <v>2025</v>
      </c>
      <c r="U6902" s="20" t="n">
        <v>2026</v>
      </c>
      <c r="V6902" s="20" t="n">
        <v>2027</v>
      </c>
      <c r="W6902" s="20" t="n">
        <v>2028</v>
      </c>
      <c r="X6902" s="20" t="n">
        <v>2029</v>
      </c>
      <c r="Y6902" s="20" t="n">
        <v>2030</v>
      </c>
      <c r="Z6902" s="20" t="n">
        <v>2031</v>
      </c>
      <c r="AA6902" s="20" t="n">
        <v>2032</v>
      </c>
    </row>
    <row r="6903" customFormat="false" ht="17.15" hidden="false" customHeight="false" outlineLevel="0" collapsed="false">
      <c r="A6903" s="1" t="s">
        <v>926</v>
      </c>
    </row>
    <row r="6904" customFormat="false" ht="17.15" hidden="false" customHeight="false" outlineLevel="0" collapsed="false">
      <c r="A6904" s="0" t="s">
        <v>927</v>
      </c>
      <c r="B6904" s="0" t="s">
        <v>86</v>
      </c>
      <c r="H6904" s="38" t="n">
        <f aca="false">Sens!$H$6838*(1-tax)</f>
        <v>119.56497355468</v>
      </c>
      <c r="I6904" s="38" t="n">
        <f aca="false">Sens!$I$6838*(1-tax)</f>
        <v>141.256941944278</v>
      </c>
      <c r="J6904" s="38" t="n">
        <f aca="false">Sens!$J$6838*(1-tax)</f>
        <v>165.207646486437</v>
      </c>
      <c r="K6904" s="38" t="n">
        <f aca="false">Sens!$K$6838*(1-tax)</f>
        <v>182.2563867591</v>
      </c>
      <c r="L6904" s="38" t="n">
        <f aca="false">Sens!$L$6838*(1-tax)</f>
        <v>196.136023003742</v>
      </c>
      <c r="M6904" s="38" t="n">
        <f aca="false">Sens!$M$6838*(1-tax)</f>
        <v>208.266936154417</v>
      </c>
    </row>
    <row r="6905" customFormat="false" ht="15" hidden="false" customHeight="false" outlineLevel="0" collapsed="false">
      <c r="A6905" s="5" t="s">
        <v>928</v>
      </c>
      <c r="B6905" s="0" t="s">
        <v>86</v>
      </c>
      <c r="H6905" s="38" t="n">
        <f aca="false">Sens!$H$6849</f>
        <v>81.5618233196153</v>
      </c>
      <c r="I6905" s="38" t="n">
        <f aca="false">Sens!$I$6849</f>
        <v>118.756208740204</v>
      </c>
      <c r="J6905" s="38" t="n">
        <f aca="false">Sens!$J$6849</f>
        <v>152.469489406791</v>
      </c>
      <c r="K6905" s="38" t="n">
        <f aca="false">Sens!$K$6849</f>
        <v>186.391502623819</v>
      </c>
      <c r="L6905" s="38" t="n">
        <f aca="false">Sens!$L$6849</f>
        <v>211.926422215482</v>
      </c>
      <c r="M6905" s="38" t="n">
        <f aca="false">Sens!$M$6849</f>
        <v>229.012482097906</v>
      </c>
    </row>
    <row r="6906" customFormat="false" ht="15" hidden="false" customHeight="false" outlineLevel="0" collapsed="false">
      <c r="A6906" s="5" t="s">
        <v>929</v>
      </c>
      <c r="B6906" s="0" t="s">
        <v>86</v>
      </c>
      <c r="H6906" s="38" t="n">
        <f aca="false">Sens!$H$6880</f>
        <v>273.372679834898</v>
      </c>
      <c r="I6906" s="38" t="n">
        <f aca="false">Sens!$I$6880</f>
        <v>286.981812228425</v>
      </c>
      <c r="J6906" s="38" t="n">
        <f aca="false">Sens!$J$6880</f>
        <v>299.316513378366</v>
      </c>
      <c r="K6906" s="38" t="n">
        <f aca="false">Sens!$K$6880</f>
        <v>251.057145512292</v>
      </c>
      <c r="L6906" s="38" t="n">
        <f aca="false">Sens!$L$6880</f>
        <v>234.696330860396</v>
      </c>
      <c r="M6906" s="38" t="n">
        <f aca="false">Sens!$M$6880</f>
        <v>242.291696043352</v>
      </c>
    </row>
    <row r="6907" customFormat="false" ht="15" hidden="false" customHeight="false" outlineLevel="0" collapsed="false">
      <c r="A6907" s="5" t="s">
        <v>930</v>
      </c>
      <c r="B6907" s="0" t="s">
        <v>86</v>
      </c>
      <c r="H6907" s="38" t="n">
        <f aca="false">Sens!$H$6881</f>
        <v>1.6</v>
      </c>
      <c r="I6907" s="38" t="n">
        <f aca="false">Sens!$I$6881</f>
        <v>1.6</v>
      </c>
      <c r="J6907" s="38" t="n">
        <f aca="false">Sens!$J$6881</f>
        <v>1.6</v>
      </c>
      <c r="K6907" s="38" t="n">
        <f aca="false">Sens!$K$6881</f>
        <v>1.6</v>
      </c>
      <c r="L6907" s="38" t="n">
        <f aca="false">Sens!$L$6881</f>
        <v>1.6</v>
      </c>
      <c r="M6907" s="38" t="n">
        <f aca="false">Sens!$M$6881</f>
        <v>1.6</v>
      </c>
    </row>
    <row r="6908" customFormat="false" ht="15" hidden="false" customHeight="false" outlineLevel="0" collapsed="false">
      <c r="A6908" s="5" t="s">
        <v>931</v>
      </c>
      <c r="B6908" s="0" t="s">
        <v>86</v>
      </c>
      <c r="H6908" s="38" t="n">
        <f aca="false">Sens!$H$6875</f>
        <v>11.2928295263397</v>
      </c>
      <c r="I6908" s="38" t="n">
        <f aca="false">Sens!$I$6875</f>
        <v>12.8091546115766</v>
      </c>
      <c r="J6908" s="38" t="n">
        <f aca="false">Sens!$J$6875</f>
        <v>14.2605653162668</v>
      </c>
      <c r="K6908" s="38" t="n">
        <f aca="false">Sens!$K$6875</f>
        <v>15.5327622460396</v>
      </c>
      <c r="L6908" s="38" t="n">
        <f aca="false">Sens!$L$6875</f>
        <v>16.720573737517</v>
      </c>
      <c r="M6908" s="38" t="n">
        <f aca="false">Sens!$M$6875</f>
        <v>17.8283127551536</v>
      </c>
    </row>
    <row r="6909" customFormat="false" ht="17.15" hidden="false" customHeight="false" outlineLevel="0" collapsed="false">
      <c r="A6909" s="1" t="s">
        <v>932</v>
      </c>
      <c r="B6909" s="8" t="s">
        <v>86</v>
      </c>
      <c r="H6909" s="38" t="n">
        <f aca="false">Sens!$H$6904+Sens!$H$6905-Sens!$H$6906-Sens!$H$6907+Sens!$H$6908</f>
        <v>-62.5530534342631</v>
      </c>
      <c r="I6909" s="38" t="n">
        <f aca="false">Sens!$I$6904+Sens!$I$6905-Sens!$I$6906-Sens!$I$6907+Sens!$I$6908</f>
        <v>-15.7595069323669</v>
      </c>
      <c r="J6909" s="38" t="n">
        <f aca="false">Sens!$J$6904+Sens!$J$6905-Sens!$J$6906-Sens!$J$6907+Sens!$J$6908</f>
        <v>31.0211878311291</v>
      </c>
      <c r="K6909" s="38" t="n">
        <f aca="false">Sens!$K$6904+Sens!$K$6905-Sens!$K$6906-Sens!$K$6907+Sens!$K$6908</f>
        <v>131.523506116666</v>
      </c>
      <c r="L6909" s="38" t="n">
        <f aca="false">Sens!$L$6904+Sens!$L$6905-Sens!$L$6906-Sens!$L$6907+Sens!$L$6908</f>
        <v>188.486688096346</v>
      </c>
      <c r="M6909" s="38" t="n">
        <f aca="false">Sens!$M$6904+Sens!$M$6905-Sens!$M$6906-Sens!$M$6907+Sens!$M$6908</f>
        <v>211.216034964125</v>
      </c>
    </row>
    <row r="6910" customFormat="false" ht="15" hidden="false" customHeight="false" outlineLevel="0" collapsed="false">
      <c r="A6910" s="5" t="s">
        <v>933</v>
      </c>
      <c r="B6910" s="0" t="s">
        <v>57</v>
      </c>
      <c r="H6910" s="40" t="n">
        <f aca="false">1/(1+wacc)^(2027-2026-0.5)</f>
        <v>0.947751320380232</v>
      </c>
      <c r="I6910" s="40" t="n">
        <f aca="false">1/(1+wacc)^(2028-2026-0.5)</f>
        <v>0.851301099754987</v>
      </c>
      <c r="J6910" s="40" t="n">
        <f aca="false">1/(1+wacc)^(2029-2026-0.5)</f>
        <v>0.764666370660713</v>
      </c>
      <c r="K6910" s="40" t="n">
        <f aca="false">1/(1+wacc)^(2030-2026-0.5)</f>
        <v>0.686848235703811</v>
      </c>
      <c r="L6910" s="40" t="n">
        <f aca="false">1/(1+wacc)^(2031-2026-0.5)</f>
        <v>0.616949452715975</v>
      </c>
      <c r="M6910" s="40" t="n">
        <f aca="false">1/(1+wacc)^(2032-2026-0.5)</f>
        <v>0.554164089562688</v>
      </c>
    </row>
    <row r="6911" customFormat="false" ht="15" hidden="false" customHeight="false" outlineLevel="0" collapsed="false">
      <c r="A6911" s="5" t="s">
        <v>934</v>
      </c>
      <c r="B6911" s="0" t="s">
        <v>86</v>
      </c>
      <c r="H6911" s="38" t="n">
        <f aca="false">Sens!$H$6909*Sens!$H$6910</f>
        <v>-59.2847389861381</v>
      </c>
      <c r="I6911" s="38" t="n">
        <f aca="false">Sens!$I$6909*Sens!$I$6910</f>
        <v>-13.4160855831203</v>
      </c>
      <c r="J6911" s="38" t="n">
        <f aca="false">Sens!$J$6909*Sens!$J$6910</f>
        <v>23.7208591124138</v>
      </c>
      <c r="K6911" s="38" t="n">
        <f aca="false">Sens!$K$6909*Sens!$K$6910</f>
        <v>90.3366881298116</v>
      </c>
      <c r="L6911" s="38" t="n">
        <f aca="false">Sens!$L$6909*Sens!$L$6910</f>
        <v>116.286759065287</v>
      </c>
      <c r="M6911" s="38" t="n">
        <f aca="false">Sens!$M$6909*Sens!$M$6910</f>
        <v>117.048341716935</v>
      </c>
    </row>
    <row r="6912" customFormat="false" ht="15" hidden="false" customHeight="false" outlineLevel="0" collapsed="false">
      <c r="A6912" s="5" t="s">
        <v>935</v>
      </c>
      <c r="B6912" s="0" t="s">
        <v>86</v>
      </c>
      <c r="C6912" s="38" t="n">
        <f aca="false">SUM(Sens!$H$6911:$M$6911)</f>
        <v>274.691823455189</v>
      </c>
    </row>
    <row r="6913" customFormat="false" ht="17.15" hidden="false" customHeight="false" outlineLevel="0" collapsed="false">
      <c r="A6913" s="5" t="s">
        <v>936</v>
      </c>
      <c r="B6913" s="0" t="s">
        <v>86</v>
      </c>
      <c r="C6913" s="38" t="n">
        <f aca="false">Sens!$M$6904*(1+tg)*(1-tg/ronic)/(wacc-tg)</f>
        <v>1893.37885139876</v>
      </c>
    </row>
    <row r="6914" customFormat="false" ht="15" hidden="false" customHeight="false" outlineLevel="0" collapsed="false">
      <c r="A6914" s="5" t="s">
        <v>937</v>
      </c>
      <c r="B6914" s="0" t="s">
        <v>86</v>
      </c>
      <c r="C6914" s="38" t="n">
        <f aca="false">Sens!$C$6913/(1+wacc)^6</f>
        <v>994.421028636041</v>
      </c>
    </row>
    <row r="6915" customFormat="false" ht="17.15" hidden="false" customHeight="false" outlineLevel="0" collapsed="false">
      <c r="A6915" s="5" t="s">
        <v>938</v>
      </c>
      <c r="B6915" s="0" t="s">
        <v>86</v>
      </c>
      <c r="C6915" s="38" t="n">
        <f aca="false">Sens!$C$6912+Sens!$C$6914</f>
        <v>1269.11285209123</v>
      </c>
    </row>
    <row r="6916" customFormat="false" ht="17.15" hidden="false" customHeight="false" outlineLevel="0" collapsed="false">
      <c r="A6916" s="5" t="s">
        <v>939</v>
      </c>
      <c r="B6916" s="0" t="s">
        <v>52</v>
      </c>
      <c r="C6916" s="13" t="n">
        <f aca="false">Sens!$C$6914/Sens!$C$6915</f>
        <v>0.783556030495984</v>
      </c>
    </row>
    <row r="6917" customFormat="false" ht="17.15" hidden="false" customHeight="false" outlineLevel="0" collapsed="false">
      <c r="A6917" s="5" t="s">
        <v>940</v>
      </c>
      <c r="B6917" s="0" t="s">
        <v>86</v>
      </c>
      <c r="C6917" s="38" t="n">
        <f aca="false">Sens!$G$6893+fin_debt</f>
        <v>89.0551793268317</v>
      </c>
    </row>
    <row r="6918" customFormat="false" ht="17.15" hidden="false" customHeight="false" outlineLevel="0" collapsed="false">
      <c r="A6918" s="5" t="s">
        <v>941</v>
      </c>
      <c r="B6918" s="0" t="s">
        <v>86</v>
      </c>
      <c r="C6918" s="38" t="n">
        <f aca="false">(ant_val*ant_sh+oai_val*oai_sh)*(1-liq_disc)</f>
        <v>178.944</v>
      </c>
    </row>
    <row r="6919" customFormat="false" ht="15" hidden="false" customHeight="false" outlineLevel="0" collapsed="false">
      <c r="A6919" s="5" t="s">
        <v>942</v>
      </c>
      <c r="B6919" s="0" t="s">
        <v>86</v>
      </c>
      <c r="C6919" s="38" t="n">
        <f aca="false">Sens!$C$6915-Sens!$C$6917+Sens!$C$6918</f>
        <v>1359.0016727644</v>
      </c>
    </row>
    <row r="6920" customFormat="false" ht="17.15" hidden="false" customHeight="false" outlineLevel="0" collapsed="false">
      <c r="A6920" s="5" t="s">
        <v>943</v>
      </c>
      <c r="B6920" s="0" t="s">
        <v>27</v>
      </c>
      <c r="C6920" s="30" t="n">
        <f aca="false">Sens!$C$6919/sh_out</f>
        <v>125.993149537868</v>
      </c>
    </row>
    <row r="6921" customFormat="false" ht="17.15" hidden="false" customHeight="false" outlineLevel="0" collapsed="false">
      <c r="A6921" s="1" t="s">
        <v>944</v>
      </c>
      <c r="B6921" s="8" t="s">
        <v>27</v>
      </c>
      <c r="C6921" s="30" t="n">
        <f aca="false">Sens!$C$6920*(1+ke)^tp_yf-dps*tp_yf</f>
        <v>138.008970873001</v>
      </c>
    </row>
    <row r="6922" customFormat="false" ht="17.15" hidden="false" customHeight="false" outlineLevel="0" collapsed="false">
      <c r="A6922" s="3" t="s">
        <v>945</v>
      </c>
    </row>
    <row r="6923" customFormat="false" ht="17.15" hidden="false" customHeight="false" outlineLevel="0" collapsed="false">
      <c r="A6923" s="5" t="s">
        <v>946</v>
      </c>
      <c r="B6923" s="0" t="s">
        <v>86</v>
      </c>
      <c r="C6923" s="38" t="n">
        <f aca="false">(1-tp_yf)*(Sens!$H$6850+sbc_ab*Sens!$H$6874*Sens!$H$6711/Sens!$H$6791)+tp_yf*(Sens!$I$6850+sbc_ab*Sens!$I$6874*Sens!$I$6711/Sens!$I$6791)</f>
        <v>59.634664536349</v>
      </c>
    </row>
    <row r="6924" customFormat="false" ht="15" hidden="false" customHeight="false" outlineLevel="0" collapsed="false">
      <c r="A6924" s="5" t="s">
        <v>947</v>
      </c>
      <c r="B6924" s="0" t="s">
        <v>57</v>
      </c>
      <c r="C6924" s="30" t="n">
        <f aca="false">m_ads*m_x_hi</f>
        <v>10.932</v>
      </c>
    </row>
    <row r="6925" customFormat="false" ht="17.15" hidden="false" customHeight="false" outlineLevel="0" collapsed="false">
      <c r="A6925" s="5" t="s">
        <v>948</v>
      </c>
      <c r="B6925" s="0" t="s">
        <v>86</v>
      </c>
      <c r="C6925" s="38" t="n">
        <f aca="false">Sens!$C$6923*Sens!$C$6924</f>
        <v>651.926152711367</v>
      </c>
    </row>
    <row r="6926" customFormat="false" ht="17.15" hidden="false" customHeight="false" outlineLevel="0" collapsed="false">
      <c r="A6926" s="5" t="s">
        <v>949</v>
      </c>
      <c r="B6926" s="0" t="s">
        <v>86</v>
      </c>
      <c r="C6926" s="38" t="n">
        <f aca="false">(1-tp_yf)*(Sens!$H$6851+sbc_ab*Sens!$H$6874*(Sens!$H$6718-Sens!$H$6711)/Sens!$H$6791+IF(internal_ai_reading=2,1,0)*(1-ext_sh)*Sens!$H$6748)+tp_yf*(Sens!$I$6851+sbc_ab*Sens!$I$6874*(Sens!$I$6718-Sens!$I$6711)/Sens!$I$6791+IF(internal_ai_reading=2,1,0)*(1-ext_sh)*Sens!$I$6748)</f>
        <v>51.6951811103438</v>
      </c>
    </row>
    <row r="6927" customFormat="false" ht="17.15" hidden="false" customHeight="false" outlineLevel="0" collapsed="false">
      <c r="A6927" s="5" t="s">
        <v>950</v>
      </c>
      <c r="B6927" s="0" t="s">
        <v>57</v>
      </c>
      <c r="C6927" s="30" t="n">
        <f aca="false">m_retail*m_x_hi</f>
        <v>21.264</v>
      </c>
    </row>
    <row r="6928" customFormat="false" ht="17.15" hidden="false" customHeight="false" outlineLevel="0" collapsed="false">
      <c r="A6928" s="5" t="s">
        <v>951</v>
      </c>
      <c r="B6928" s="0" t="s">
        <v>86</v>
      </c>
      <c r="C6928" s="38" t="n">
        <f aca="false">Sens!$C$6926*Sens!$C$6927</f>
        <v>1099.24633113035</v>
      </c>
    </row>
    <row r="6929" customFormat="false" ht="17.15" hidden="false" customHeight="false" outlineLevel="0" collapsed="false">
      <c r="A6929" s="0" t="s">
        <v>952</v>
      </c>
      <c r="B6929" s="0" t="s">
        <v>86</v>
      </c>
      <c r="C6929" s="38" t="n">
        <f aca="false">(1-tp_yf)*(Sens!$H$6852+sbc_ab*Sens!$H$6874*Sens!$H$6789/Sens!$H$6791)+tp_yf*(Sens!$I$6852+sbc_ab*Sens!$I$6874*Sens!$I$6789/Sens!$I$6791)</f>
        <v>97.2337130506861</v>
      </c>
    </row>
    <row r="6930" customFormat="false" ht="17.15" hidden="false" customHeight="false" outlineLevel="0" collapsed="false">
      <c r="A6930" s="0" t="s">
        <v>953</v>
      </c>
      <c r="B6930" s="0" t="s">
        <v>57</v>
      </c>
      <c r="C6930" s="30" t="n">
        <f aca="false">m_cloud*m_x_hi</f>
        <v>16.584</v>
      </c>
    </row>
    <row r="6931" customFormat="false" ht="17.15" hidden="false" customHeight="false" outlineLevel="0" collapsed="false">
      <c r="A6931" s="0" t="s">
        <v>954</v>
      </c>
      <c r="B6931" s="0" t="s">
        <v>86</v>
      </c>
      <c r="C6931" s="38" t="n">
        <f aca="false">Sens!$C$6929*Sens!$C$6930</f>
        <v>1612.52389723258</v>
      </c>
    </row>
    <row r="6932" customFormat="false" ht="17.15" hidden="false" customHeight="false" outlineLevel="0" collapsed="false">
      <c r="A6932" s="0" t="s">
        <v>955</v>
      </c>
      <c r="B6932" s="0" t="s">
        <v>86</v>
      </c>
      <c r="H6932" s="38" t="n">
        <f aca="false">Sens!$H$6770-tax*Sens!$H$6771-ext_sh*Sens!$H$6755</f>
        <v>-115.41576008619</v>
      </c>
      <c r="I6932" s="38" t="n">
        <f aca="false">Sens!$I$6770-tax*Sens!$I$6771-ext_sh*Sens!$I$6755</f>
        <v>-88.5401912683161</v>
      </c>
      <c r="J6932" s="38" t="n">
        <f aca="false">Sens!$J$6770-tax*Sens!$J$6771-ext_sh*Sens!$J$6755</f>
        <v>-61.2977422866746</v>
      </c>
      <c r="K6932" s="38" t="n">
        <f aca="false">Sens!$K$6770-tax*Sens!$K$6771-ext_sh*Sens!$K$6755</f>
        <v>9.91264760007891</v>
      </c>
      <c r="L6932" s="38" t="n">
        <f aca="false">Sens!$L$6770-tax*Sens!$L$6771-ext_sh*Sens!$L$6755</f>
        <v>46.750156871371</v>
      </c>
      <c r="M6932" s="38" t="n">
        <f aca="false">Sens!$M$6770-tax*Sens!$M$6771-ext_sh*Sens!$M$6755</f>
        <v>55.5634749071557</v>
      </c>
    </row>
    <row r="6933" customFormat="false" ht="17.15" hidden="false" customHeight="false" outlineLevel="0" collapsed="false">
      <c r="A6933" s="5" t="s">
        <v>956</v>
      </c>
      <c r="B6933" s="0" t="s">
        <v>86</v>
      </c>
      <c r="H6933" s="38" t="n">
        <f aca="false">Sens!$H$6932*Sens!$H$6910</f>
        <v>-109.385439014374</v>
      </c>
      <c r="I6933" s="38" t="n">
        <f aca="false">Sens!$I$6932*Sens!$I$6910</f>
        <v>-75.3743621992344</v>
      </c>
      <c r="J6933" s="38" t="n">
        <f aca="false">Sens!$J$6932*Sens!$J$6910</f>
        <v>-46.8723221240472</v>
      </c>
      <c r="K6933" s="38" t="n">
        <f aca="false">Sens!$K$6932*Sens!$K$6910</f>
        <v>6.80848451526782</v>
      </c>
      <c r="L6933" s="38" t="n">
        <f aca="false">Sens!$L$6932*Sens!$L$6910</f>
        <v>28.8424836961783</v>
      </c>
      <c r="M6933" s="38" t="n">
        <f aca="false">Sens!$M$6932*Sens!$M$6910</f>
        <v>30.7912824848632</v>
      </c>
    </row>
    <row r="6934" customFormat="false" ht="17.15" hidden="false" customHeight="false" outlineLevel="0" collapsed="false">
      <c r="A6934" s="5" t="s">
        <v>957</v>
      </c>
      <c r="B6934" s="0" t="s">
        <v>86</v>
      </c>
      <c r="C6934" s="38" t="n">
        <f aca="false">Sens!$M$6771*(1-tax)*(1+tg)*(1-tg/ronic)/(wacc-tg)</f>
        <v>356.180381489473</v>
      </c>
    </row>
    <row r="6935" customFormat="false" ht="17.15" hidden="false" customHeight="false" outlineLevel="0" collapsed="false">
      <c r="A6935" s="0" t="s">
        <v>958</v>
      </c>
      <c r="B6935" s="0" t="s">
        <v>86</v>
      </c>
      <c r="C6935" s="38" t="n">
        <f aca="false">(SUM(Sens!$I$6933:$M$6933)+Sens!$C$6934/(1+wacc)^6)*(1+wacc)^tp_yf</f>
        <v>143.3703803388</v>
      </c>
    </row>
    <row r="6936" customFormat="false" ht="17.15" hidden="false" customHeight="false" outlineLevel="0" collapsed="false">
      <c r="A6936" s="5" t="s">
        <v>959</v>
      </c>
      <c r="B6936" s="0" t="s">
        <v>86</v>
      </c>
      <c r="C6936" s="38" t="n">
        <f aca="false">(1-tp_yf)*(Sens!$H$6853)+tp_yf*(Sens!$I$6853)</f>
        <v>74.6707041238437</v>
      </c>
    </row>
    <row r="6937" customFormat="false" ht="17.15" hidden="false" customHeight="false" outlineLevel="0" collapsed="false">
      <c r="A6937" s="5" t="s">
        <v>960</v>
      </c>
      <c r="B6937" s="0" t="s">
        <v>86</v>
      </c>
      <c r="C6937" s="38" t="n">
        <f aca="false">Sens!$C$6936*m_ai</f>
        <v>448.024224743062</v>
      </c>
    </row>
    <row r="6938" customFormat="false" ht="17.15" hidden="false" customHeight="false" outlineLevel="0" collapsed="false">
      <c r="A6938" s="0" t="s">
        <v>961</v>
      </c>
      <c r="B6938" s="0" t="s">
        <v>86</v>
      </c>
      <c r="C6938" s="38" t="n">
        <f aca="false">IF(ai_leg=1,Sens!$C$6935,Sens!$C$6937)</f>
        <v>143.3703803388</v>
      </c>
    </row>
    <row r="6939" customFormat="false" ht="17.15" hidden="false" customHeight="false" outlineLevel="0" collapsed="false">
      <c r="A6939" s="5" t="s">
        <v>962</v>
      </c>
      <c r="B6939" s="0" t="s">
        <v>86</v>
      </c>
      <c r="C6939" s="38" t="n">
        <f aca="false">Sens!$C$6925+Sens!$C$6928+Sens!$C$6931+Sens!$C$6938</f>
        <v>3507.0667614131</v>
      </c>
    </row>
    <row r="6940" customFormat="false" ht="17.15" hidden="false" customHeight="false" outlineLevel="0" collapsed="false">
      <c r="A6940" s="5" t="s">
        <v>963</v>
      </c>
      <c r="B6940" s="0" t="s">
        <v>86</v>
      </c>
      <c r="C6940" s="38" t="n">
        <f aca="false">Sens!$H$6893+fin_debt</f>
        <v>143.411303169235</v>
      </c>
    </row>
    <row r="6941" customFormat="false" ht="15" hidden="false" customHeight="false" outlineLevel="0" collapsed="false">
      <c r="A6941" s="5" t="s">
        <v>964</v>
      </c>
      <c r="B6941" s="0" t="s">
        <v>86</v>
      </c>
      <c r="C6941" s="38" t="n">
        <f aca="false">Sens!$C$6939-Sens!$C$6940+Sens!$C$6918</f>
        <v>3542.59945824386</v>
      </c>
    </row>
    <row r="6942" customFormat="false" ht="15" hidden="false" customHeight="false" outlineLevel="0" collapsed="false">
      <c r="A6942" s="3" t="s">
        <v>965</v>
      </c>
      <c r="B6942" s="8" t="s">
        <v>27</v>
      </c>
      <c r="C6942" s="30" t="n">
        <f aca="false">Sens!$C$6941/sh_val</f>
        <v>321.169411699781</v>
      </c>
    </row>
    <row r="6943" customFormat="false" ht="17.15" hidden="false" customHeight="false" outlineLevel="0" collapsed="false">
      <c r="A6943" s="47" t="s">
        <v>966</v>
      </c>
      <c r="B6943" s="14" t="s">
        <v>27</v>
      </c>
      <c r="C6943" s="44" t="n">
        <f aca="false">w_dcf*Sens!$C$6921+(1-w_dcf)*Sens!$C$6942</f>
        <v>229.589191286391</v>
      </c>
      <c r="D6943" s="14"/>
      <c r="E6943" s="14"/>
      <c r="F6943" s="14"/>
      <c r="G6943" s="14"/>
      <c r="H6943" s="14"/>
      <c r="I6943" s="14"/>
      <c r="J6943" s="14"/>
      <c r="K6943" s="14"/>
      <c r="L6943" s="14"/>
      <c r="M6943" s="14"/>
      <c r="N6943" s="14"/>
      <c r="O6943" s="14"/>
    </row>
    <row r="6944" customFormat="false" ht="17.15" hidden="false" customHeight="false" outlineLevel="0" collapsed="false">
      <c r="A6944" s="5" t="s">
        <v>967</v>
      </c>
      <c r="B6944" s="0" t="s">
        <v>27</v>
      </c>
      <c r="C6944" s="30" t="n">
        <f aca="false">v022_wdcf*Sens!$C$6921+(1-v022_wdcf)*Sens!$C$6942</f>
        <v>238.74721332773</v>
      </c>
    </row>
    <row r="6945" customFormat="false" ht="17.15" hidden="false" customHeight="false" outlineLevel="0" collapsed="false">
      <c r="A6945" s="5" t="s">
        <v>968</v>
      </c>
      <c r="B6945" s="0" t="s">
        <v>27</v>
      </c>
      <c r="C6945" s="30" t="n">
        <f aca="false">(Sens!$C$6941-Sens!$C$6938+Sens!$C$6937)/sh_val</f>
        <v>348.789100894872</v>
      </c>
    </row>
    <row r="6948" customFormat="false" ht="19.4" hidden="false" customHeight="false" outlineLevel="0" collapsed="false">
      <c r="A6948" s="31" t="s">
        <v>1292</v>
      </c>
    </row>
    <row r="6949" customFormat="false" ht="17.15" hidden="false" customHeight="false" outlineLevel="0" collapsed="false">
      <c r="A6949" s="6" t="s">
        <v>16</v>
      </c>
      <c r="B6949" s="6" t="s">
        <v>17</v>
      </c>
      <c r="C6949" s="20" t="s">
        <v>504</v>
      </c>
      <c r="D6949" s="20" t="s">
        <v>505</v>
      </c>
      <c r="E6949" s="20" t="s">
        <v>587</v>
      </c>
      <c r="F6949" s="20" t="s">
        <v>588</v>
      </c>
      <c r="G6949" s="20" t="s">
        <v>589</v>
      </c>
      <c r="H6949" s="20" t="s">
        <v>590</v>
      </c>
      <c r="I6949" s="20" t="s">
        <v>591</v>
      </c>
      <c r="J6949" s="20" t="s">
        <v>592</v>
      </c>
      <c r="K6949" s="20" t="s">
        <v>593</v>
      </c>
      <c r="L6949" s="20" t="s">
        <v>594</v>
      </c>
      <c r="M6949" s="20" t="s">
        <v>595</v>
      </c>
      <c r="N6949" s="20" t="s">
        <v>596</v>
      </c>
      <c r="O6949" s="20" t="s">
        <v>597</v>
      </c>
      <c r="P6949" s="6" t="s">
        <v>23</v>
      </c>
      <c r="R6949" s="20" t="n">
        <v>2023</v>
      </c>
      <c r="S6949" s="20" t="n">
        <v>2024</v>
      </c>
      <c r="T6949" s="20" t="n">
        <v>2025</v>
      </c>
      <c r="U6949" s="20" t="n">
        <v>2026</v>
      </c>
      <c r="V6949" s="20" t="n">
        <v>2027</v>
      </c>
      <c r="W6949" s="20" t="n">
        <v>2028</v>
      </c>
      <c r="X6949" s="20" t="n">
        <v>2029</v>
      </c>
      <c r="Y6949" s="20" t="n">
        <v>2030</v>
      </c>
      <c r="Z6949" s="20" t="n">
        <v>2031</v>
      </c>
      <c r="AA6949" s="20" t="n">
        <v>2032</v>
      </c>
    </row>
    <row r="6950" customFormat="false" ht="17.15" hidden="false" customHeight="false" outlineLevel="0" collapsed="false">
      <c r="A6950" s="1" t="s">
        <v>677</v>
      </c>
    </row>
    <row r="6951" customFormat="false" ht="17.15" hidden="false" customHeight="false" outlineLevel="0" collapsed="false">
      <c r="A6951" s="0" t="s">
        <v>526</v>
      </c>
      <c r="B6951" s="0" t="s">
        <v>86</v>
      </c>
      <c r="C6951" s="38" t="n">
        <f aca="false">Q!$D$10</f>
        <v>247.029</v>
      </c>
      <c r="D6951" s="38" t="n">
        <f aca="false">Q!$E$10</f>
        <v>269.287</v>
      </c>
      <c r="E6951" s="38" t="n">
        <f aca="false">Q!$P$10</f>
        <v>134.686</v>
      </c>
      <c r="F6951" s="38" t="n">
        <f aca="false">Sens!$O$6951*(1+Sens!$F$6952)*Sens!$F$6963</f>
        <v>158.293876822267</v>
      </c>
      <c r="G6951" s="38" t="n">
        <f aca="false">Sens!$E$6951+Sens!$F$6951</f>
        <v>292.979876822267</v>
      </c>
      <c r="H6951" s="38" t="n">
        <f aca="false">Sens!$G$6951*(1+Sens!$H$6952)</f>
        <v>318.184543087396</v>
      </c>
      <c r="I6951" s="38" t="n">
        <f aca="false">Sens!$H$6951*(1+Sens!$I$6952)</f>
        <v>341.736278761793</v>
      </c>
      <c r="J6951" s="38" t="n">
        <f aca="false">Sens!$I$6951*(1+Sens!$J$6952)</f>
        <v>362.927192787048</v>
      </c>
      <c r="K6951" s="38" t="n">
        <f aca="false">Sens!$J$6951*(1+Sens!$K$6952)</f>
        <v>381.0735524264</v>
      </c>
      <c r="L6951" s="38" t="n">
        <f aca="false">Sens!$K$6951*(1+Sens!$L$6952)</f>
        <v>400.12723004772</v>
      </c>
      <c r="M6951" s="38" t="n">
        <f aca="false">Sens!$L$6951*(1+Sens!$M$6952)</f>
        <v>420.133591550106</v>
      </c>
      <c r="N6951" s="38" t="n">
        <f aca="false">Q!$N$10</f>
        <v>118.892</v>
      </c>
      <c r="O6951" s="38" t="n">
        <f aca="false">Q!$O$10</f>
        <v>150.395</v>
      </c>
      <c r="P6951" s="8" t="s">
        <v>678</v>
      </c>
    </row>
    <row r="6952" customFormat="false" ht="17.15" hidden="false" customHeight="false" outlineLevel="0" collapsed="false">
      <c r="A6952" s="0" t="s">
        <v>679</v>
      </c>
      <c r="B6952" s="0" t="s">
        <v>52</v>
      </c>
      <c r="E6952" s="13" t="n">
        <f aca="false">Sens!$E$6951/Sens!$N$6951-1</f>
        <v>0.132843252699929</v>
      </c>
      <c r="F6952" s="13" t="n">
        <f aca="false">Sens!$O$6951/(Q!$F$10+Q!$G$10)-1</f>
        <v>0.0980382135842941</v>
      </c>
      <c r="G6952" s="13" t="n">
        <f aca="false">Sens!$G$6951/Sens!$D$6951-1</f>
        <v>0.0879837378791657</v>
      </c>
      <c r="H6952" s="13" t="n">
        <f aca="false">Sens!$F$6952+(g_os-Sens!$F$6952)*1/4</f>
        <v>0.0860286601882206</v>
      </c>
      <c r="I6952" s="13" t="n">
        <f aca="false">Sens!$F$6952+(g_os-Sens!$F$6952)*2/4</f>
        <v>0.074019106792147</v>
      </c>
      <c r="J6952" s="13" t="n">
        <f aca="false">Sens!$F$6952+(g_os-Sens!$F$6952)*3/4</f>
        <v>0.0620095533960735</v>
      </c>
      <c r="K6952" s="13" t="n">
        <f aca="false">Sens!$F$6952+(g_os-Sens!$F$6952)*4/4</f>
        <v>0.05</v>
      </c>
      <c r="L6952" s="13" t="n">
        <f aca="false">g_os</f>
        <v>0.05</v>
      </c>
      <c r="M6952" s="13" t="n">
        <f aca="false">g_os</f>
        <v>0.05</v>
      </c>
      <c r="P6952" s="8" t="s">
        <v>680</v>
      </c>
    </row>
    <row r="6953" customFormat="false" ht="17.15" hidden="false" customHeight="false" outlineLevel="0" collapsed="false">
      <c r="A6953" s="0" t="s">
        <v>527</v>
      </c>
      <c r="B6953" s="0" t="s">
        <v>86</v>
      </c>
      <c r="C6953" s="38" t="n">
        <f aca="false">Q!$D$11</f>
        <v>21.215</v>
      </c>
      <c r="D6953" s="38" t="n">
        <f aca="false">Q!$E$11</f>
        <v>22.561</v>
      </c>
      <c r="E6953" s="38" t="n">
        <f aca="false">Q!$P$11</f>
        <v>11.579</v>
      </c>
      <c r="F6953" s="38" t="n">
        <f aca="false">Sens!$O$6953*(1+Sens!$F$6954)*Sens!$F$6963</f>
        <v>11.5938724610325</v>
      </c>
      <c r="G6953" s="38" t="n">
        <f aca="false">Sens!$E$6953+Sens!$F$6953</f>
        <v>23.1728724610325</v>
      </c>
      <c r="H6953" s="38" t="n">
        <f aca="false">Sens!$G$6953*(1+Sens!$H$6954)</f>
        <v>24.353392759506</v>
      </c>
      <c r="I6953" s="38" t="n">
        <f aca="false">Sens!$H$6953*(1+Sens!$I$6954)</f>
        <v>25.4240338872015</v>
      </c>
      <c r="J6953" s="38" t="n">
        <f aca="false">Sens!$I$6953*(1+Sens!$J$6954)</f>
        <v>26.3642491017174</v>
      </c>
      <c r="K6953" s="38" t="n">
        <f aca="false">Sens!$J$6953*(1+Sens!$K$6954)</f>
        <v>27.155176574769</v>
      </c>
      <c r="L6953" s="38" t="n">
        <f aca="false">Sens!$K$6953*(1+Sens!$L$6954)</f>
        <v>27.969831872012</v>
      </c>
      <c r="M6953" s="38" t="n">
        <f aca="false">Sens!$L$6953*(1+Sens!$M$6954)</f>
        <v>28.8089268281724</v>
      </c>
      <c r="N6953" s="38" t="n">
        <f aca="false">Q!$N$11</f>
        <v>11.128</v>
      </c>
      <c r="O6953" s="38" t="n">
        <f aca="false">Q!$O$11</f>
        <v>11.433</v>
      </c>
      <c r="P6953" s="8" t="s">
        <v>678</v>
      </c>
    </row>
    <row r="6954" customFormat="false" ht="17.15" hidden="false" customHeight="false" outlineLevel="0" collapsed="false">
      <c r="A6954" s="0" t="s">
        <v>681</v>
      </c>
      <c r="B6954" s="0" t="s">
        <v>52</v>
      </c>
      <c r="E6954" s="13" t="n">
        <f aca="false">Sens!$E$6953/Sens!$N$6953-1</f>
        <v>0.0405283968368082</v>
      </c>
      <c r="F6954" s="13" t="n">
        <f aca="false">Sens!$O$6953/(Q!$F$11+Q!$G$11)-1</f>
        <v>0.0579254187100955</v>
      </c>
      <c r="G6954" s="13" t="n">
        <f aca="false">Sens!$G$6953/Sens!$D$6953-1</f>
        <v>0.0271208040881397</v>
      </c>
      <c r="H6954" s="13" t="n">
        <f aca="false">Sens!$F$6954+(g_ps-Sens!$F$6954)*1/4</f>
        <v>0.0509440640325716</v>
      </c>
      <c r="I6954" s="13" t="n">
        <f aca="false">Sens!$F$6954+(g_ps-Sens!$F$6954)*2/4</f>
        <v>0.0439627093550477</v>
      </c>
      <c r="J6954" s="13" t="n">
        <f aca="false">Sens!$F$6954+(g_ps-Sens!$F$6954)*3/4</f>
        <v>0.0369813546775239</v>
      </c>
      <c r="K6954" s="13" t="n">
        <f aca="false">Sens!$F$6954+(g_ps-Sens!$F$6954)*4/4</f>
        <v>0.03</v>
      </c>
      <c r="L6954" s="13" t="n">
        <f aca="false">g_ps</f>
        <v>0.03</v>
      </c>
      <c r="M6954" s="13" t="n">
        <f aca="false">g_ps</f>
        <v>0.03</v>
      </c>
      <c r="P6954" s="8" t="s">
        <v>682</v>
      </c>
    </row>
    <row r="6955" customFormat="false" ht="17.15" hidden="false" customHeight="false" outlineLevel="0" collapsed="false">
      <c r="A6955" s="0" t="s">
        <v>528</v>
      </c>
      <c r="B6955" s="0" t="s">
        <v>86</v>
      </c>
      <c r="C6955" s="38" t="n">
        <f aca="false">Q!$D$12</f>
        <v>156.146</v>
      </c>
      <c r="D6955" s="38" t="n">
        <f aca="false">Q!$E$12</f>
        <v>172.162</v>
      </c>
      <c r="E6955" s="38" t="n">
        <f aca="false">Q!$P$12</f>
        <v>88.358</v>
      </c>
      <c r="F6955" s="38" t="n">
        <f aca="false">Sens!$O$6955*(1+Sens!$F$6956)*Sens!$F$6963</f>
        <v>102.004388260171</v>
      </c>
      <c r="G6955" s="38" t="n">
        <f aca="false">Sens!$E$6955+Sens!$F$6955</f>
        <v>190.362388260171</v>
      </c>
      <c r="H6955" s="38" t="n">
        <f aca="false">Sens!$G$6955*(1+Sens!$H$6956)</f>
        <v>210.343106588311</v>
      </c>
      <c r="I6955" s="38" t="n">
        <f aca="false">Sens!$H$6955*(1+Sens!$I$6956)</f>
        <v>229.969728494648</v>
      </c>
      <c r="J6955" s="38" t="n">
        <f aca="false">Sens!$I$6955*(1+Sens!$J$6956)</f>
        <v>248.747636972598</v>
      </c>
      <c r="K6955" s="38" t="n">
        <f aca="false">Sens!$J$6955*(1+Sens!$K$6956)</f>
        <v>266.15997156068</v>
      </c>
      <c r="L6955" s="38" t="n">
        <f aca="false">Sens!$K$6955*(1+Sens!$L$6956)</f>
        <v>284.791169569927</v>
      </c>
      <c r="M6955" s="38" t="n">
        <f aca="false">Sens!$L$6955*(1+Sens!$M$6956)</f>
        <v>304.726551439822</v>
      </c>
      <c r="N6955" s="38" t="n">
        <f aca="false">Q!$N$12</f>
        <v>76.86</v>
      </c>
      <c r="O6955" s="38" t="n">
        <f aca="false">Q!$O$12</f>
        <v>95.302</v>
      </c>
      <c r="P6955" s="8" t="s">
        <v>678</v>
      </c>
    </row>
    <row r="6956" customFormat="false" ht="17.15" hidden="false" customHeight="false" outlineLevel="0" collapsed="false">
      <c r="A6956" s="0" t="s">
        <v>683</v>
      </c>
      <c r="B6956" s="0" t="s">
        <v>52</v>
      </c>
      <c r="E6956" s="13" t="n">
        <f aca="false">Sens!$E$6955/Sens!$N$6955-1</f>
        <v>0.1495966692688</v>
      </c>
      <c r="F6956" s="13" t="n">
        <f aca="false">Sens!$O$6955/(Q!$F$12+Q!$G$12)-1</f>
        <v>0.11661530890813</v>
      </c>
      <c r="G6956" s="13" t="n">
        <f aca="false">Sens!$G$6955/Sens!$D$6955-1</f>
        <v>0.105716640490767</v>
      </c>
      <c r="H6956" s="13" t="n">
        <f aca="false">Sens!$F$6956+(g_sp-Sens!$F$6956)*1/4</f>
        <v>0.104961481681098</v>
      </c>
      <c r="I6956" s="13" t="n">
        <f aca="false">Sens!$F$6956+(g_sp-Sens!$F$6956)*2/4</f>
        <v>0.0933076544540651</v>
      </c>
      <c r="J6956" s="13" t="n">
        <f aca="false">Sens!$F$6956+(g_sp-Sens!$F$6956)*3/4</f>
        <v>0.0816538272270325</v>
      </c>
      <c r="K6956" s="13" t="n">
        <f aca="false">Sens!$F$6956+(g_sp-Sens!$F$6956)*4/4</f>
        <v>0.07</v>
      </c>
      <c r="L6956" s="13" t="n">
        <f aca="false">g_sp</f>
        <v>0.07</v>
      </c>
      <c r="M6956" s="13" t="n">
        <f aca="false">g_sp</f>
        <v>0.07</v>
      </c>
      <c r="P6956" s="8" t="s">
        <v>684</v>
      </c>
    </row>
    <row r="6957" customFormat="false" ht="17.15" hidden="false" customHeight="false" outlineLevel="0" collapsed="false">
      <c r="A6957" s="0" t="s">
        <v>529</v>
      </c>
      <c r="B6957" s="0" t="s">
        <v>86</v>
      </c>
      <c r="C6957" s="38" t="n">
        <f aca="false">Q!$D$13</f>
        <v>56.214</v>
      </c>
      <c r="D6957" s="38" t="n">
        <f aca="false">Q!$E$13</f>
        <v>68.635</v>
      </c>
      <c r="E6957" s="38" t="n">
        <f aca="false">Q!$P$13</f>
        <v>37.052</v>
      </c>
      <c r="F6957" s="38" t="n">
        <f aca="false">Sens!$O$6957*(1+Sens!$F$6958)*Sens!$F$6963</f>
        <v>46.1572219944148</v>
      </c>
      <c r="G6957" s="38" t="n">
        <f aca="false">Sens!$E$6957+Sens!$F$6957</f>
        <v>83.2092219944148</v>
      </c>
      <c r="H6957" s="38" t="n">
        <f aca="false">Sens!$G$6957*(1+Sens!$H$6958)</f>
        <v>99.8969223878976</v>
      </c>
      <c r="I6957" s="38" t="n">
        <f aca="false">Sens!$H$6957*(1+Sens!$I$6958)</f>
        <v>116.583111095496</v>
      </c>
      <c r="J6957" s="38" t="n">
        <f aca="false">Sens!$I$6957*(1+Sens!$J$6958)</f>
        <v>132.148941941952</v>
      </c>
      <c r="K6957" s="38" t="n">
        <f aca="false">Sens!$J$6957*(1+Sens!$K$6958)</f>
        <v>145.363836136147</v>
      </c>
      <c r="L6957" s="38" t="n">
        <f aca="false">Sens!$K$6957*(1+Sens!$L$6958)</f>
        <v>159.900219749762</v>
      </c>
      <c r="M6957" s="38" t="n">
        <f aca="false">Sens!$L$6957*(1+Sens!$M$6958)</f>
        <v>175.890241724738</v>
      </c>
      <c r="N6957" s="38" t="n">
        <f aca="false">Q!$N$13</f>
        <v>29.615</v>
      </c>
      <c r="O6957" s="38" t="n">
        <f aca="false">Q!$O$13</f>
        <v>39.02</v>
      </c>
      <c r="P6957" s="8" t="s">
        <v>678</v>
      </c>
    </row>
    <row r="6958" customFormat="false" ht="17.15" hidden="false" customHeight="false" outlineLevel="0" collapsed="false">
      <c r="A6958" s="0" t="s">
        <v>685</v>
      </c>
      <c r="B6958" s="0" t="s">
        <v>52</v>
      </c>
      <c r="E6958" s="13" t="n">
        <f aca="false">Sens!$E$6957/Sens!$N$6957-1</f>
        <v>0.25112274185379</v>
      </c>
      <c r="F6958" s="13" t="n">
        <f aca="false">Sens!$O$6957/(Q!$F$13+Q!$G$13)-1</f>
        <v>0.234068123596572</v>
      </c>
      <c r="G6958" s="13" t="n">
        <f aca="false">Sens!$G$6957/Sens!$D$6957-1</f>
        <v>0.212343876949294</v>
      </c>
      <c r="H6958" s="13" t="n">
        <f aca="false">Sens!$F$6958+(g_ad-Sens!$F$6958)*1/4</f>
        <v>0.200551092697429</v>
      </c>
      <c r="I6958" s="13" t="n">
        <f aca="false">Sens!$F$6958+(g_ad-Sens!$F$6958)*2/4</f>
        <v>0.167034061798286</v>
      </c>
      <c r="J6958" s="13" t="n">
        <f aca="false">Sens!$F$6958+(g_ad-Sens!$F$6958)*3/4</f>
        <v>0.133517030899143</v>
      </c>
      <c r="K6958" s="13" t="n">
        <f aca="false">Sens!$F$6958+(g_ad-Sens!$F$6958)*4/4</f>
        <v>0.1</v>
      </c>
      <c r="L6958" s="13" t="n">
        <f aca="false">g_ad</f>
        <v>0.1</v>
      </c>
      <c r="M6958" s="13" t="n">
        <f aca="false">g_ad</f>
        <v>0.1</v>
      </c>
      <c r="P6958" s="8" t="s">
        <v>686</v>
      </c>
    </row>
    <row r="6959" customFormat="false" ht="17.15" hidden="false" customHeight="false" outlineLevel="0" collapsed="false">
      <c r="A6959" s="0" t="s">
        <v>530</v>
      </c>
      <c r="B6959" s="0" t="s">
        <v>86</v>
      </c>
      <c r="C6959" s="38" t="n">
        <f aca="false">Q!$D$14</f>
        <v>44.374</v>
      </c>
      <c r="D6959" s="38" t="n">
        <f aca="false">Q!$E$14</f>
        <v>49.619</v>
      </c>
      <c r="E6959" s="38" t="n">
        <f aca="false">Q!$P$14</f>
        <v>27.157</v>
      </c>
      <c r="F6959" s="38" t="n">
        <f aca="false">Sens!$O$6959*(1+Sens!$F$6960)*Sens!$F$6963</f>
        <v>27.7764165988154</v>
      </c>
      <c r="G6959" s="38" t="n">
        <f aca="false">Sens!$E$6959+Sens!$F$6959</f>
        <v>54.9334165988154</v>
      </c>
      <c r="H6959" s="38" t="n">
        <f aca="false">Sens!$G$6959*(1+Sens!$H$6960)</f>
        <v>61.1564112561829</v>
      </c>
      <c r="I6959" s="38" t="n">
        <f aca="false">Sens!$H$6959*(1+Sens!$I$6960)</f>
        <v>67.2020282103945</v>
      </c>
      <c r="J6959" s="38" t="n">
        <f aca="false">Sens!$I$6959*(1+Sens!$J$6960)</f>
        <v>72.8757274028885</v>
      </c>
      <c r="K6959" s="38" t="n">
        <f aca="false">Sens!$J$6959*(1+Sens!$K$6960)</f>
        <v>77.9770283210907</v>
      </c>
      <c r="L6959" s="38" t="n">
        <f aca="false">Sens!$K$6959*(1+Sens!$L$6960)</f>
        <v>83.4354203035671</v>
      </c>
      <c r="M6959" s="38" t="n">
        <f aca="false">Sens!$L$6959*(1+Sens!$M$6960)</f>
        <v>89.2758997248168</v>
      </c>
      <c r="N6959" s="38" t="n">
        <f aca="false">Q!$N$14</f>
        <v>23.923</v>
      </c>
      <c r="O6959" s="38" t="n">
        <f aca="false">Q!$O$14</f>
        <v>25.696</v>
      </c>
      <c r="P6959" s="8" t="s">
        <v>678</v>
      </c>
    </row>
    <row r="6960" customFormat="false" ht="17.15" hidden="false" customHeight="false" outlineLevel="0" collapsed="false">
      <c r="A6960" s="0" t="s">
        <v>687</v>
      </c>
      <c r="B6960" s="0" t="s">
        <v>52</v>
      </c>
      <c r="E6960" s="13" t="n">
        <f aca="false">Sens!$E$6959/Sens!$N$6959-1</f>
        <v>0.135183714417088</v>
      </c>
      <c r="F6960" s="13" t="n">
        <f aca="false">Sens!$O$6959/(Q!$F$14+Q!$G$14)-1</f>
        <v>0.127709997366804</v>
      </c>
      <c r="G6960" s="13" t="n">
        <f aca="false">Sens!$G$6959/Sens!$D$6959-1</f>
        <v>0.107104468022641</v>
      </c>
      <c r="H6960" s="13" t="n">
        <f aca="false">Sens!$F$6960+(g_sub-Sens!$F$6960)*1/4</f>
        <v>0.113282498025103</v>
      </c>
      <c r="I6960" s="13" t="n">
        <f aca="false">Sens!$F$6960+(g_sub-Sens!$F$6960)*2/4</f>
        <v>0.0988549986834021</v>
      </c>
      <c r="J6960" s="13" t="n">
        <f aca="false">Sens!$F$6960+(g_sub-Sens!$F$6960)*3/4</f>
        <v>0.084427499341701</v>
      </c>
      <c r="K6960" s="13" t="n">
        <f aca="false">Sens!$F$6960+(g_sub-Sens!$F$6960)*4/4</f>
        <v>0.07</v>
      </c>
      <c r="L6960" s="13" t="n">
        <f aca="false">g_sub</f>
        <v>0.07</v>
      </c>
      <c r="M6960" s="13" t="n">
        <f aca="false">g_sub</f>
        <v>0.07</v>
      </c>
      <c r="P6960" s="8" t="s">
        <v>688</v>
      </c>
    </row>
    <row r="6961" customFormat="false" ht="17.15" hidden="false" customHeight="false" outlineLevel="0" collapsed="false">
      <c r="A6961" s="0" t="s">
        <v>531</v>
      </c>
      <c r="B6961" s="0" t="s">
        <v>86</v>
      </c>
      <c r="C6961" s="38" t="n">
        <f aca="false">Q!$D$15</f>
        <v>5.425</v>
      </c>
      <c r="D6961" s="38" t="n">
        <f aca="false">Q!$E$15</f>
        <v>5.935</v>
      </c>
      <c r="E6961" s="38" t="n">
        <f aca="false">Q!$P$15</f>
        <v>3.474</v>
      </c>
      <c r="F6961" s="38" t="n">
        <f aca="false">Sens!$O$6961*(1+Sens!$F$6962)*Sens!$F$6963</f>
        <v>3.22246550883619</v>
      </c>
      <c r="G6961" s="38" t="n">
        <f aca="false">Sens!$E$6961+Sens!$F$6961</f>
        <v>6.69646550883619</v>
      </c>
      <c r="H6961" s="38" t="n">
        <f aca="false">Sens!$G$6961*(1+Sens!$H$6962)</f>
        <v>7.16251344209196</v>
      </c>
      <c r="I6961" s="38" t="n">
        <f aca="false">Sens!$H$6961*(1+Sens!$I$6962)</f>
        <v>7.61421070299826</v>
      </c>
      <c r="J6961" s="38" t="n">
        <f aca="false">Sens!$I$6961*(1+Sens!$J$6962)</f>
        <v>8.04465753523932</v>
      </c>
      <c r="K6961" s="38" t="n">
        <f aca="false">Sens!$J$6961*(1+Sens!$K$6962)</f>
        <v>8.44689041200128</v>
      </c>
      <c r="L6961" s="38" t="n">
        <f aca="false">Sens!$K$6961*(1+Sens!$L$6962)</f>
        <v>8.86923493260135</v>
      </c>
      <c r="M6961" s="38" t="n">
        <f aca="false">Sens!$L$6961*(1+Sens!$M$6962)</f>
        <v>9.31269667923142</v>
      </c>
      <c r="N6961" s="38" t="n">
        <f aca="false">Q!$N$15</f>
        <v>2.811</v>
      </c>
      <c r="O6961" s="38" t="n">
        <f aca="false">Q!$O$15</f>
        <v>3.124</v>
      </c>
      <c r="P6961" s="8" t="s">
        <v>678</v>
      </c>
    </row>
    <row r="6962" customFormat="false" ht="17.15" hidden="false" customHeight="false" outlineLevel="0" collapsed="false">
      <c r="A6962" s="0" t="s">
        <v>689</v>
      </c>
      <c r="B6962" s="0" t="s">
        <v>52</v>
      </c>
      <c r="E6962" s="13" t="n">
        <f aca="false">Sens!$E$6961/Sens!$N$6961-1</f>
        <v>0.235859124866596</v>
      </c>
      <c r="F6962" s="13" t="n">
        <f aca="false">Sens!$O$6961/(Q!$F$15+Q!$G$15)-1</f>
        <v>0.0761281433000345</v>
      </c>
      <c r="G6962" s="13" t="n">
        <f aca="false">Sens!$G$6961/Sens!$D$6961-1</f>
        <v>0.128300843948811</v>
      </c>
      <c r="H6962" s="13" t="n">
        <f aca="false">Sens!$F$6962+(g_ot-Sens!$F$6962)*1/4</f>
        <v>0.0695961074750259</v>
      </c>
      <c r="I6962" s="13" t="n">
        <f aca="false">Sens!$F$6962+(g_ot-Sens!$F$6962)*2/4</f>
        <v>0.0630640716500172</v>
      </c>
      <c r="J6962" s="13" t="n">
        <f aca="false">Sens!$F$6962+(g_ot-Sens!$F$6962)*3/4</f>
        <v>0.0565320358250086</v>
      </c>
      <c r="K6962" s="13" t="n">
        <f aca="false">Sens!$F$6962+(g_ot-Sens!$F$6962)*4/4</f>
        <v>0.05</v>
      </c>
      <c r="L6962" s="13" t="n">
        <f aca="false">g_ot</f>
        <v>0.05</v>
      </c>
      <c r="M6962" s="13" t="n">
        <f aca="false">g_ot</f>
        <v>0.05</v>
      </c>
      <c r="P6962" s="8" t="s">
        <v>690</v>
      </c>
    </row>
    <row r="6963" customFormat="false" ht="17.15" hidden="false" customHeight="false" outlineLevel="0" collapsed="false">
      <c r="A6963" s="0" t="s">
        <v>691</v>
      </c>
      <c r="B6963" s="0" t="s">
        <v>57</v>
      </c>
      <c r="F6963" s="40" t="n">
        <f aca="false">(g26q3_mid*Q!$O$8/Q!$J$8-Thesis!$F$89-Thesis!$F$93)/(Sens!$O$6951*(1+Sens!$F$6952)+Sens!$O$6953*(1+Sens!$F$6954)+Sens!$O$6955*(1+Sens!$F$6956)+Sens!$O$6957*(1+Sens!$F$6958)+Sens!$O$6959*(1+Sens!$F$6960)+Sens!$O$6961*(1+Sens!$F$6962))</f>
        <v>0.958546670622329</v>
      </c>
      <c r="P6963" s="8" t="s">
        <v>692</v>
      </c>
    </row>
    <row r="6964" customFormat="false" ht="17.15" hidden="false" customHeight="false" outlineLevel="0" collapsed="false">
      <c r="A6964" s="3" t="s">
        <v>693</v>
      </c>
      <c r="B6964" s="8" t="s">
        <v>86</v>
      </c>
      <c r="C6964" s="38" t="n">
        <f aca="false">Sens!$C$6951+Sens!$C$6953+Sens!$C$6955+Sens!$C$6957+Sens!$C$6959+Sens!$C$6961</f>
        <v>530.403</v>
      </c>
      <c r="D6964" s="38" t="n">
        <f aca="false">Sens!$D$6951+Sens!$D$6953+Sens!$D$6955+Sens!$D$6957+Sens!$D$6959+Sens!$D$6961</f>
        <v>588.199</v>
      </c>
      <c r="E6964" s="38" t="n">
        <f aca="false">Sens!$E$6951+Sens!$E$6953+Sens!$E$6955+Sens!$E$6957+Sens!$E$6959+Sens!$E$6961</f>
        <v>302.306</v>
      </c>
      <c r="F6964" s="38" t="n">
        <f aca="false">Sens!$F$6951+Sens!$F$6953+Sens!$F$6955+Sens!$F$6957+Sens!$F$6959+Sens!$F$6961</f>
        <v>349.048241645537</v>
      </c>
      <c r="G6964" s="38" t="n">
        <f aca="false">Sens!$G$6951+Sens!$G$6953+Sens!$G$6955+Sens!$G$6957+Sens!$G$6959+Sens!$G$6961</f>
        <v>651.354241645537</v>
      </c>
      <c r="H6964" s="38" t="n">
        <f aca="false">Sens!$H$6951+Sens!$H$6953+Sens!$H$6955+Sens!$H$6957+Sens!$H$6959+Sens!$H$6961</f>
        <v>721.096889521386</v>
      </c>
      <c r="I6964" s="38" t="n">
        <f aca="false">Sens!$I$6951+Sens!$I$6953+Sens!$I$6955+Sens!$I$6957+Sens!$I$6959+Sens!$I$6961</f>
        <v>788.529391152531</v>
      </c>
      <c r="J6964" s="38" t="n">
        <f aca="false">Sens!$J$6951+Sens!$J$6953+Sens!$J$6955+Sens!$J$6957+Sens!$J$6959+Sens!$J$6961</f>
        <v>851.108405741443</v>
      </c>
      <c r="K6964" s="38" t="n">
        <f aca="false">Sens!$K$6951+Sens!$K$6953+Sens!$K$6955+Sens!$K$6957+Sens!$K$6959+Sens!$K$6961</f>
        <v>906.176455431088</v>
      </c>
      <c r="L6964" s="38" t="n">
        <f aca="false">Sens!$L$6951+Sens!$L$6953+Sens!$L$6955+Sens!$L$6957+Sens!$L$6959+Sens!$L$6961</f>
        <v>965.093106475589</v>
      </c>
      <c r="M6964" s="38" t="n">
        <f aca="false">Sens!$M$6951+Sens!$M$6953+Sens!$M$6955+Sens!$M$6957+Sens!$M$6959+Sens!$M$6961</f>
        <v>1028.14790794689</v>
      </c>
      <c r="N6964" s="38" t="n">
        <f aca="false">Sens!$N$6951+Sens!$N$6953+Sens!$N$6955+Sens!$N$6957+Sens!$N$6959+Sens!$N$6961</f>
        <v>263.229</v>
      </c>
      <c r="O6964" s="38" t="n">
        <f aca="false">Sens!$O$6951+Sens!$O$6953+Sens!$O$6955+Sens!$O$6957+Sens!$O$6959+Sens!$O$6961</f>
        <v>324.97</v>
      </c>
    </row>
    <row r="6965" customFormat="false" ht="17.15" hidden="false" customHeight="false" outlineLevel="0" collapsed="false">
      <c r="A6965" s="5" t="s">
        <v>694</v>
      </c>
      <c r="B6965" s="0" t="s">
        <v>52</v>
      </c>
      <c r="C6965" s="13" t="n">
        <f aca="false">Q!$D$5/(Q!$D$5+Q!$D$6)</f>
        <v>0.730570905519011</v>
      </c>
      <c r="D6965" s="13" t="n">
        <f aca="false">Q!$E$5/(Q!$E$5+Q!$E$6)</f>
        <v>0.724763217890544</v>
      </c>
      <c r="E6965" s="13" t="n">
        <f aca="false">Q!$P$5/(Q!$P$5+Q!$P$6)</f>
        <v>0.728797972914861</v>
      </c>
      <c r="F6965" s="13" t="n">
        <f aca="false">Sens!$O$6965</f>
        <v>0.718066283041511</v>
      </c>
      <c r="G6965" s="13" t="n">
        <f aca="false">Sens!$G$6966/Sens!$G$6964</f>
        <v>0.723047066202847</v>
      </c>
      <c r="H6965" s="13" t="n">
        <f aca="false">Sens!$G$6965</f>
        <v>0.723047066202847</v>
      </c>
      <c r="I6965" s="13" t="n">
        <f aca="false">Sens!$G$6965</f>
        <v>0.723047066202847</v>
      </c>
      <c r="J6965" s="13" t="n">
        <f aca="false">Sens!$G$6965</f>
        <v>0.723047066202847</v>
      </c>
      <c r="K6965" s="13" t="n">
        <f aca="false">Sens!$G$6965</f>
        <v>0.723047066202847</v>
      </c>
      <c r="L6965" s="13" t="n">
        <f aca="false">Sens!$G$6965</f>
        <v>0.723047066202847</v>
      </c>
      <c r="M6965" s="13" t="n">
        <f aca="false">Sens!$G$6965</f>
        <v>0.723047066202847</v>
      </c>
      <c r="N6965" s="13" t="n">
        <f aca="false">Q!$N$5/(Q!$N$5+Q!$N$6)</f>
        <v>0.733030935041352</v>
      </c>
      <c r="O6965" s="13" t="n">
        <f aca="false">Q!$O$5/(Q!$O$5+Q!$O$6)</f>
        <v>0.718066283041511</v>
      </c>
      <c r="P6965" s="8" t="s">
        <v>695</v>
      </c>
    </row>
    <row r="6966" customFormat="false" ht="17.15" hidden="false" customHeight="false" outlineLevel="0" collapsed="false">
      <c r="A6966" s="1" t="s">
        <v>519</v>
      </c>
      <c r="B6966" s="8" t="s">
        <v>86</v>
      </c>
      <c r="C6966" s="38" t="n">
        <f aca="false">Q!$D$5</f>
        <v>387.497</v>
      </c>
      <c r="D6966" s="38" t="n">
        <f aca="false">Q!$E$5</f>
        <v>426.305</v>
      </c>
      <c r="E6966" s="38" t="n">
        <f aca="false">Q!$P$5</f>
        <v>220.32</v>
      </c>
      <c r="F6966" s="38" t="n">
        <f aca="false">Sens!$F$6964*Sens!$F$6965</f>
        <v>250.639773480586</v>
      </c>
      <c r="G6966" s="38" t="n">
        <f aca="false">Sens!$E$6966+Sens!$F$6966</f>
        <v>470.959773480586</v>
      </c>
      <c r="H6966" s="38" t="n">
        <f aca="false">Sens!$H$6964*Sens!$H$6965</f>
        <v>521.386990416437</v>
      </c>
      <c r="I6966" s="38" t="n">
        <f aca="false">Sens!$I$6964*Sens!$I$6965</f>
        <v>570.143862887555</v>
      </c>
      <c r="J6966" s="38" t="n">
        <f aca="false">Sens!$J$6964*Sens!$J$6965</f>
        <v>615.391435791933</v>
      </c>
      <c r="K6966" s="38" t="n">
        <f aca="false">Sens!$K$6964*Sens!$K$6965</f>
        <v>655.208227561543</v>
      </c>
      <c r="L6966" s="38" t="n">
        <f aca="false">Sens!$L$6964*Sens!$L$6965</f>
        <v>697.807739249767</v>
      </c>
      <c r="M6966" s="38" t="n">
        <f aca="false">Sens!$M$6964*Sens!$M$6965</f>
        <v>743.399328463592</v>
      </c>
      <c r="N6966" s="38" t="n">
        <f aca="false">Q!$N$5</f>
        <v>192.955</v>
      </c>
      <c r="O6966" s="38" t="n">
        <f aca="false">Q!$O$5</f>
        <v>233.35</v>
      </c>
      <c r="P6966" s="5" t="s">
        <v>696</v>
      </c>
    </row>
    <row r="6967" customFormat="false" ht="17.15" hidden="false" customHeight="false" outlineLevel="0" collapsed="false">
      <c r="A6967" s="1" t="s">
        <v>522</v>
      </c>
      <c r="B6967" s="8" t="s">
        <v>86</v>
      </c>
      <c r="C6967" s="38" t="n">
        <f aca="false">Q!$D$6</f>
        <v>142.906</v>
      </c>
      <c r="D6967" s="38" t="n">
        <f aca="false">Q!$E$6</f>
        <v>161.894</v>
      </c>
      <c r="E6967" s="38" t="n">
        <f aca="false">Q!$P$6</f>
        <v>81.986</v>
      </c>
      <c r="F6967" s="38" t="n">
        <f aca="false">Sens!$F$6964*(1-Sens!$F$6965)</f>
        <v>98.408468164951</v>
      </c>
      <c r="G6967" s="38" t="n">
        <f aca="false">Sens!$E$6967+Sens!$F$6967</f>
        <v>180.394468164951</v>
      </c>
      <c r="H6967" s="38" t="n">
        <f aca="false">Sens!$H$6964*(1-Sens!$H$6965)</f>
        <v>199.709899104949</v>
      </c>
      <c r="I6967" s="38" t="n">
        <f aca="false">Sens!$I$6964*(1-Sens!$I$6965)</f>
        <v>218.385528264976</v>
      </c>
      <c r="J6967" s="38" t="n">
        <f aca="false">Sens!$J$6964*(1-Sens!$J$6965)</f>
        <v>235.71696994951</v>
      </c>
      <c r="K6967" s="38" t="n">
        <f aca="false">Sens!$K$6964*(1-Sens!$K$6965)</f>
        <v>250.968227869545</v>
      </c>
      <c r="L6967" s="38" t="n">
        <f aca="false">Sens!$L$6964*(1-Sens!$L$6965)</f>
        <v>267.285367225822</v>
      </c>
      <c r="M6967" s="38" t="n">
        <f aca="false">Sens!$M$6964*(1-Sens!$M$6965)</f>
        <v>284.748579483295</v>
      </c>
      <c r="N6967" s="38" t="n">
        <f aca="false">Q!$N$6</f>
        <v>70.274</v>
      </c>
      <c r="O6967" s="38" t="n">
        <f aca="false">Q!$O$6</f>
        <v>91.62</v>
      </c>
      <c r="P6967" s="5" t="s">
        <v>697</v>
      </c>
    </row>
    <row r="6968" customFormat="false" ht="17.15" hidden="false" customHeight="false" outlineLevel="0" collapsed="false">
      <c r="A6968" s="5" t="s">
        <v>698</v>
      </c>
      <c r="B6968" s="0" t="s">
        <v>86</v>
      </c>
      <c r="C6968" s="38" t="n">
        <f aca="false">Sens!$C$6957*Sens!$C$6965</f>
        <v>41.0683128828457</v>
      </c>
      <c r="D6968" s="38" t="n">
        <f aca="false">Sens!$D$6957*Sens!$D$6965</f>
        <v>49.7441234599175</v>
      </c>
      <c r="E6968" s="38" t="n">
        <f aca="false">Sens!$E$6957*Sens!$E$6965</f>
        <v>27.0034224924414</v>
      </c>
      <c r="F6968" s="38" t="n">
        <f aca="false">Sens!$F$6957*Sens!$F$6965</f>
        <v>33.1439448330513</v>
      </c>
      <c r="G6968" s="38" t="n">
        <f aca="false">Sens!$G$6957*Sens!$G$6965</f>
        <v>60.164183844083</v>
      </c>
      <c r="H6968" s="38" t="n">
        <f aca="false">Sens!$H$6957*Sens!$H$6965</f>
        <v>72.2301766552629</v>
      </c>
      <c r="I6968" s="38" t="n">
        <f aca="false">Sens!$I$6957*Sens!$I$6965</f>
        <v>84.2950764463991</v>
      </c>
      <c r="J6968" s="38" t="n">
        <f aca="false">Sens!$J$6957*Sens!$J$6965</f>
        <v>95.5499047729386</v>
      </c>
      <c r="K6968" s="38" t="n">
        <f aca="false">Sens!$K$6957*Sens!$K$6965</f>
        <v>105.104895250232</v>
      </c>
      <c r="L6968" s="38" t="n">
        <f aca="false">Sens!$L$6957*Sens!$L$6965</f>
        <v>115.615384775256</v>
      </c>
      <c r="M6968" s="38" t="n">
        <f aca="false">Sens!$M$6957*Sens!$M$6965</f>
        <v>127.176923252781</v>
      </c>
      <c r="N6968" s="38" t="n">
        <f aca="false">Sens!$N$6957*Sens!$N$6965</f>
        <v>21.7087111412496</v>
      </c>
      <c r="O6968" s="38" t="n">
        <f aca="false">Sens!$O$6957*Sens!$O$6965</f>
        <v>28.0189463642798</v>
      </c>
      <c r="P6968" s="5" t="s">
        <v>699</v>
      </c>
    </row>
    <row r="6969" customFormat="false" ht="15" hidden="false" customHeight="false" outlineLevel="0" collapsed="false">
      <c r="A6969" s="5" t="s">
        <v>700</v>
      </c>
      <c r="B6969" s="0" t="s">
        <v>86</v>
      </c>
      <c r="C6969" s="38" t="n">
        <f aca="false">Sens!$C$6957-Sens!$C$6968</f>
        <v>15.1456871171543</v>
      </c>
      <c r="D6969" s="38" t="n">
        <f aca="false">Sens!$D$6957-Sens!$D$6968</f>
        <v>18.8908765400825</v>
      </c>
      <c r="E6969" s="38" t="n">
        <f aca="false">Sens!$E$6957-Sens!$E$6968</f>
        <v>10.0485775075586</v>
      </c>
      <c r="F6969" s="38" t="n">
        <f aca="false">Sens!$F$6957-Sens!$F$6968</f>
        <v>13.0132771613635</v>
      </c>
      <c r="G6969" s="38" t="n">
        <f aca="false">Sens!$G$6957-Sens!$G$6968</f>
        <v>23.0450381503318</v>
      </c>
      <c r="H6969" s="38" t="n">
        <f aca="false">Sens!$H$6957-Sens!$H$6968</f>
        <v>27.6667457326347</v>
      </c>
      <c r="I6969" s="38" t="n">
        <f aca="false">Sens!$I$6957-Sens!$I$6968</f>
        <v>32.2880346490971</v>
      </c>
      <c r="J6969" s="38" t="n">
        <f aca="false">Sens!$J$6957-Sens!$J$6968</f>
        <v>36.5990371690132</v>
      </c>
      <c r="K6969" s="38" t="n">
        <f aca="false">Sens!$K$6957-Sens!$K$6968</f>
        <v>40.2589408859145</v>
      </c>
      <c r="L6969" s="38" t="n">
        <f aca="false">Sens!$L$6957-Sens!$L$6968</f>
        <v>44.2848349745059</v>
      </c>
      <c r="M6969" s="38" t="n">
        <f aca="false">Sens!$M$6957-Sens!$M$6968</f>
        <v>48.7133184719565</v>
      </c>
      <c r="N6969" s="38" t="n">
        <f aca="false">Sens!$N$6957-Sens!$N$6968</f>
        <v>7.90628885875037</v>
      </c>
      <c r="O6969" s="38" t="n">
        <f aca="false">Sens!$O$6957-Sens!$O$6968</f>
        <v>11.0010536357202</v>
      </c>
    </row>
    <row r="6970" customFormat="false" ht="19.4" hidden="false" customHeight="false" outlineLevel="0" collapsed="false">
      <c r="A6970" s="31" t="s">
        <v>1293</v>
      </c>
    </row>
    <row r="6971" customFormat="false" ht="17.15" hidden="false" customHeight="false" outlineLevel="0" collapsed="false">
      <c r="A6971" s="6" t="s">
        <v>16</v>
      </c>
      <c r="B6971" s="6" t="s">
        <v>17</v>
      </c>
      <c r="C6971" s="20" t="s">
        <v>504</v>
      </c>
      <c r="D6971" s="20" t="s">
        <v>505</v>
      </c>
      <c r="E6971" s="20" t="s">
        <v>587</v>
      </c>
      <c r="F6971" s="20" t="s">
        <v>588</v>
      </c>
      <c r="G6971" s="20" t="s">
        <v>589</v>
      </c>
      <c r="H6971" s="20" t="s">
        <v>590</v>
      </c>
      <c r="I6971" s="20" t="s">
        <v>591</v>
      </c>
      <c r="J6971" s="20" t="s">
        <v>592</v>
      </c>
      <c r="K6971" s="20" t="s">
        <v>593</v>
      </c>
      <c r="L6971" s="20" t="s">
        <v>594</v>
      </c>
      <c r="M6971" s="20" t="s">
        <v>595</v>
      </c>
      <c r="N6971" s="20" t="s">
        <v>596</v>
      </c>
      <c r="O6971" s="20" t="s">
        <v>597</v>
      </c>
      <c r="P6971" s="6" t="s">
        <v>23</v>
      </c>
      <c r="R6971" s="20" t="n">
        <v>2023</v>
      </c>
      <c r="S6971" s="20" t="n">
        <v>2024</v>
      </c>
      <c r="T6971" s="20" t="n">
        <v>2025</v>
      </c>
      <c r="U6971" s="20" t="n">
        <v>2026</v>
      </c>
      <c r="V6971" s="20" t="n">
        <v>2027</v>
      </c>
      <c r="W6971" s="20" t="n">
        <v>2028</v>
      </c>
      <c r="X6971" s="20" t="n">
        <v>2029</v>
      </c>
      <c r="Y6971" s="20" t="n">
        <v>2030</v>
      </c>
      <c r="Z6971" s="20" t="n">
        <v>2031</v>
      </c>
      <c r="AA6971" s="20" t="n">
        <v>2032</v>
      </c>
    </row>
    <row r="6972" customFormat="false" ht="17.15" hidden="false" customHeight="false" outlineLevel="0" collapsed="false">
      <c r="A6972" s="1" t="s">
        <v>598</v>
      </c>
    </row>
    <row r="6973" customFormat="false" ht="17.15" hidden="false" customHeight="false" outlineLevel="0" collapsed="false">
      <c r="A6973" s="5" t="s">
        <v>599</v>
      </c>
      <c r="B6973" s="0" t="s">
        <v>144</v>
      </c>
      <c r="H6973" s="32" t="n">
        <f aca="false">pace_B</f>
        <v>3634.3</v>
      </c>
      <c r="I6973" s="32" t="n">
        <f aca="false">pace_B</f>
        <v>3634.3</v>
      </c>
      <c r="J6973" s="32" t="n">
        <f aca="false">pace_B</f>
        <v>3634.3</v>
      </c>
      <c r="K6973" s="32" t="n">
        <f aca="false">pace_B+(Sens!$J$6974*tg-pace_B)*1/3</f>
        <v>2570.86716666667</v>
      </c>
      <c r="L6973" s="32" t="n">
        <f aca="false">pace_B+(Sens!$J$6974*tg-pace_B)*2/3</f>
        <v>1507.43433333333</v>
      </c>
      <c r="M6973" s="32" t="n">
        <f aca="false">pace_B+(Sens!$J$6974*tg-pace_B)*3/3</f>
        <v>444.0015</v>
      </c>
      <c r="P6973" s="5" t="s">
        <v>600</v>
      </c>
    </row>
    <row r="6974" customFormat="false" ht="17.15" hidden="false" customHeight="false" outlineLevel="0" collapsed="false">
      <c r="A6974" s="15" t="s">
        <v>601</v>
      </c>
      <c r="B6974" s="14" t="s">
        <v>129</v>
      </c>
      <c r="C6974" s="33" t="n">
        <f aca="false">mw_ye24</f>
        <v>360</v>
      </c>
      <c r="D6974" s="33" t="n">
        <f aca="false">mw_ye25</f>
        <v>1440</v>
      </c>
      <c r="E6974" s="33" t="n">
        <f aca="false">mw_open</f>
        <v>2080</v>
      </c>
      <c r="F6974" s="33" t="n">
        <f aca="false">Sens!$E$6974+pace_B*0.5</f>
        <v>3897.15</v>
      </c>
      <c r="G6974" s="33" t="n">
        <f aca="false">Sens!$F$6974</f>
        <v>3897.15</v>
      </c>
      <c r="H6974" s="33" t="n">
        <f aca="false">Sens!$G$6974+Sens!$H$6973</f>
        <v>7531.45</v>
      </c>
      <c r="I6974" s="33" t="n">
        <f aca="false">Sens!$H$6974+Sens!$I$6973</f>
        <v>11165.75</v>
      </c>
      <c r="J6974" s="33" t="n">
        <f aca="false">Sens!$I$6974+Sens!$J$6973</f>
        <v>14800.05</v>
      </c>
      <c r="K6974" s="33" t="n">
        <f aca="false">Sens!$J$6974+Sens!$K$6973</f>
        <v>17370.9171666667</v>
      </c>
      <c r="L6974" s="33" t="n">
        <f aca="false">Sens!$K$6974+Sens!$L$6973</f>
        <v>18878.3515</v>
      </c>
      <c r="M6974" s="33" t="n">
        <f aca="false">Sens!$L$6974+Sens!$M$6973</f>
        <v>19322.353</v>
      </c>
      <c r="N6974" s="33" t="n">
        <f aca="false">(mw_ye24+mw_ye25)/2</f>
        <v>900</v>
      </c>
      <c r="O6974" s="33" t="n">
        <f aca="false">mw_ye25</f>
        <v>1440</v>
      </c>
      <c r="P6974" s="5" t="s">
        <v>602</v>
      </c>
    </row>
    <row r="6975" customFormat="false" ht="17.15" hidden="false" customHeight="false" outlineLevel="0" collapsed="false">
      <c r="A6975" s="5" t="s">
        <v>603</v>
      </c>
      <c r="B6975" s="0" t="s">
        <v>129</v>
      </c>
      <c r="C6975" s="32" t="n">
        <f aca="false">(mw_ye23+mw_ye24)/2</f>
        <v>240</v>
      </c>
      <c r="D6975" s="32" t="n">
        <f aca="false">(Sens!$C$6974+Sens!$D$6974)/2</f>
        <v>900</v>
      </c>
      <c r="E6975" s="32" t="n">
        <f aca="false">(Sens!$D$6974+Sens!$E$6974)/2</f>
        <v>1760</v>
      </c>
      <c r="F6975" s="32" t="n">
        <f aca="false">(Sens!$E$6974+Sens!$F$6974)/2</f>
        <v>2988.575</v>
      </c>
      <c r="G6975" s="32" t="n">
        <f aca="false">(Sens!$E$6975+Sens!$F$6975)/2</f>
        <v>2374.2875</v>
      </c>
      <c r="H6975" s="32" t="n">
        <f aca="false">(Sens!$G$6974+Sens!$H$6974)/2</f>
        <v>5714.3</v>
      </c>
      <c r="I6975" s="32" t="n">
        <f aca="false">(Sens!$H$6974+Sens!$I$6974)/2</f>
        <v>9348.6</v>
      </c>
      <c r="J6975" s="32" t="n">
        <f aca="false">(Sens!$I$6974+Sens!$J$6974)/2</f>
        <v>12982.9</v>
      </c>
      <c r="K6975" s="32" t="n">
        <f aca="false">(Sens!$J$6974+Sens!$K$6974)/2</f>
        <v>16085.4835833333</v>
      </c>
      <c r="L6975" s="32" t="n">
        <f aca="false">(Sens!$K$6974+Sens!$L$6974)/2</f>
        <v>18124.6343333333</v>
      </c>
      <c r="M6975" s="32" t="n">
        <f aca="false">(Sens!$L$6974+Sens!$M$6974)/2</f>
        <v>19100.35225</v>
      </c>
      <c r="N6975" s="32" t="n">
        <f aca="false">(Sens!$C$6974+Sens!$N$6974)/2</f>
        <v>630</v>
      </c>
      <c r="O6975" s="32" t="n">
        <f aca="false">(Sens!$N$6974+Sens!$O$6974)/2</f>
        <v>1170</v>
      </c>
    </row>
    <row r="6976" customFormat="false" ht="15" hidden="false" customHeight="false" outlineLevel="0" collapsed="false">
      <c r="A6976" s="5" t="s">
        <v>604</v>
      </c>
      <c r="B6976" s="5" t="s">
        <v>123</v>
      </c>
      <c r="C6976" s="34" t="n">
        <v>1</v>
      </c>
      <c r="D6976" s="34" t="n">
        <v>1</v>
      </c>
      <c r="E6976" s="34" t="n">
        <v>0.5</v>
      </c>
      <c r="F6976" s="34" t="n">
        <v>0.5</v>
      </c>
      <c r="G6976" s="34" t="n">
        <v>1</v>
      </c>
      <c r="H6976" s="34" t="n">
        <v>1</v>
      </c>
      <c r="I6976" s="34" t="n">
        <v>1</v>
      </c>
      <c r="J6976" s="34" t="n">
        <v>1</v>
      </c>
      <c r="K6976" s="34" t="n">
        <v>1</v>
      </c>
      <c r="L6976" s="34" t="n">
        <v>1</v>
      </c>
      <c r="M6976" s="34" t="n">
        <v>1</v>
      </c>
      <c r="N6976" s="34" t="n">
        <v>0.5</v>
      </c>
      <c r="O6976" s="34" t="n">
        <v>0.5</v>
      </c>
    </row>
    <row r="6977" customFormat="false" ht="17.15" hidden="false" customHeight="false" outlineLevel="0" collapsed="false">
      <c r="A6977" s="5" t="s">
        <v>605</v>
      </c>
      <c r="B6977" s="0" t="s">
        <v>129</v>
      </c>
      <c r="C6977" s="32" t="n">
        <f aca="false">Sens!$C$6974-mw_ye23</f>
        <v>240</v>
      </c>
      <c r="D6977" s="32" t="n">
        <f aca="false">Sens!$D$6974-Sens!$C$6974</f>
        <v>1080</v>
      </c>
      <c r="E6977" s="32" t="n">
        <f aca="false">Sens!$E$6974-Sens!$D$6974</f>
        <v>640</v>
      </c>
      <c r="F6977" s="32" t="n">
        <f aca="false">Sens!$F$6974-Sens!$E$6974</f>
        <v>1817.15</v>
      </c>
      <c r="G6977" s="32" t="n">
        <f aca="false">Sens!$E$6977+Sens!$F$6977</f>
        <v>2457.15</v>
      </c>
      <c r="H6977" s="32" t="n">
        <f aca="false">Sens!$H$6974-Sens!$G$6974</f>
        <v>3634.3</v>
      </c>
      <c r="I6977" s="32" t="n">
        <f aca="false">Sens!$I$6974-Sens!$H$6974</f>
        <v>3634.3</v>
      </c>
      <c r="J6977" s="32" t="n">
        <f aca="false">Sens!$J$6974-Sens!$I$6974</f>
        <v>3634.3</v>
      </c>
      <c r="K6977" s="32" t="n">
        <f aca="false">Sens!$K$6974-Sens!$J$6974</f>
        <v>2570.86716666667</v>
      </c>
      <c r="L6977" s="32" t="n">
        <f aca="false">Sens!$L$6974-Sens!$K$6974</f>
        <v>1507.43433333333</v>
      </c>
      <c r="M6977" s="32" t="n">
        <f aca="false">Sens!$M$6974-Sens!$L$6974</f>
        <v>444.001499999999</v>
      </c>
      <c r="N6977" s="32" t="n">
        <f aca="false">Sens!$N$6974-Sens!$C$6974</f>
        <v>540</v>
      </c>
      <c r="O6977" s="32" t="n">
        <f aca="false">Sens!$O$6974-Sens!$N$6974</f>
        <v>540</v>
      </c>
    </row>
    <row r="6978" customFormat="false" ht="17.15" hidden="false" customHeight="false" outlineLevel="0" collapsed="false">
      <c r="A6978" s="5" t="s">
        <v>606</v>
      </c>
      <c r="B6978" s="0" t="s">
        <v>129</v>
      </c>
      <c r="C6978" s="32" t="n">
        <f aca="false">Sens!$C$6977/ext_sh</f>
        <v>300</v>
      </c>
      <c r="D6978" s="32" t="n">
        <f aca="false">Sens!$D$6977/ext_sh</f>
        <v>1350</v>
      </c>
      <c r="E6978" s="32" t="n">
        <f aca="false">Sens!$E$6977/ext_sh</f>
        <v>800</v>
      </c>
      <c r="F6978" s="32" t="n">
        <f aca="false">Sens!$F$6977/ext_sh</f>
        <v>2271.4375</v>
      </c>
      <c r="G6978" s="32" t="n">
        <f aca="false">Sens!$G$6977/ext_sh</f>
        <v>3071.4375</v>
      </c>
      <c r="H6978" s="32" t="n">
        <f aca="false">Sens!$H$6977/ext_sh</f>
        <v>4542.875</v>
      </c>
      <c r="I6978" s="32" t="n">
        <f aca="false">Sens!$I$6977/ext_sh</f>
        <v>4542.875</v>
      </c>
      <c r="J6978" s="32" t="n">
        <f aca="false">Sens!$J$6977/ext_sh</f>
        <v>4542.875</v>
      </c>
      <c r="K6978" s="32" t="n">
        <f aca="false">Sens!$K$6977/ext_sh</f>
        <v>3213.58395833333</v>
      </c>
      <c r="L6978" s="32" t="n">
        <f aca="false">Sens!$L$6977/ext_sh</f>
        <v>1884.29291666667</v>
      </c>
      <c r="M6978" s="32" t="n">
        <f aca="false">Sens!$M$6977/ext_sh</f>
        <v>555.001874999998</v>
      </c>
      <c r="N6978" s="32" t="n">
        <f aca="false">Sens!$N$6977/ext_sh</f>
        <v>675</v>
      </c>
      <c r="O6978" s="32" t="n">
        <f aca="false">Sens!$O$6977/ext_sh</f>
        <v>675</v>
      </c>
      <c r="P6978" s="8" t="s">
        <v>607</v>
      </c>
      <c r="R6978" s="32" t="n">
        <f aca="false">mw_ye23/ext_sh</f>
        <v>150</v>
      </c>
      <c r="S6978" s="32" t="n">
        <f aca="false">Sens!$C$6978</f>
        <v>300</v>
      </c>
      <c r="T6978" s="32" t="n">
        <f aca="false">Sens!$D$6978</f>
        <v>1350</v>
      </c>
      <c r="U6978" s="32" t="n">
        <f aca="false">Sens!$G$6978</f>
        <v>3071.4375</v>
      </c>
      <c r="V6978" s="32" t="n">
        <f aca="false">Sens!$H$6978</f>
        <v>4542.875</v>
      </c>
      <c r="W6978" s="32" t="n">
        <f aca="false">Sens!$I$6978</f>
        <v>4542.875</v>
      </c>
      <c r="X6978" s="32" t="n">
        <f aca="false">Sens!$J$6978</f>
        <v>4542.875</v>
      </c>
      <c r="Y6978" s="32" t="n">
        <f aca="false">Sens!$K$6978</f>
        <v>3213.58395833333</v>
      </c>
      <c r="Z6978" s="32" t="n">
        <f aca="false">Sens!$L$6978</f>
        <v>1884.29291666667</v>
      </c>
      <c r="AA6978" s="32" t="n">
        <f aca="false">Sens!$M$6978</f>
        <v>555.001874999998</v>
      </c>
    </row>
    <row r="6979" customFormat="false" ht="17.15" hidden="false" customHeight="false" outlineLevel="0" collapsed="false">
      <c r="A6979" s="1" t="s">
        <v>608</v>
      </c>
    </row>
    <row r="6980" customFormat="false" ht="17.15" hidden="false" customHeight="false" outlineLevel="0" collapsed="false">
      <c r="A6980" s="0" t="s">
        <v>609</v>
      </c>
      <c r="B6980" s="0" t="s">
        <v>52</v>
      </c>
      <c r="F6980" s="35" t="n">
        <f aca="false">na_vr26</f>
        <v>0</v>
      </c>
      <c r="G6980" s="35" t="n">
        <f aca="false">na_vr26</f>
        <v>0</v>
      </c>
      <c r="H6980" s="35" t="n">
        <f aca="false">na_vr27</f>
        <v>0.5</v>
      </c>
      <c r="I6980" s="35" t="n">
        <f aca="false">na_vr28</f>
        <v>1</v>
      </c>
      <c r="J6980" s="35" t="n">
        <f aca="false">na_vr28</f>
        <v>1</v>
      </c>
      <c r="K6980" s="35" t="n">
        <f aca="false">na_vr28</f>
        <v>1</v>
      </c>
      <c r="L6980" s="35" t="n">
        <f aca="false">na_vr28</f>
        <v>1</v>
      </c>
      <c r="M6980" s="35" t="n">
        <f aca="false">na_vr28</f>
        <v>1</v>
      </c>
    </row>
    <row r="6981" customFormat="false" ht="17.15" hidden="false" customHeight="false" outlineLevel="0" collapsed="false">
      <c r="A6981" s="5" t="s">
        <v>610</v>
      </c>
      <c r="B6981" s="0" t="s">
        <v>173</v>
      </c>
      <c r="F6981" s="36" t="n">
        <f aca="false">cust_sh*tk_he_gb300*cf_chip+(1-cust_sh)*((1-Sens!$F$6980)*tk_he_gb300+Sens!$F$6980*tk_he_vr200)</f>
        <v>10.8864110021101</v>
      </c>
      <c r="G6981" s="36" t="n">
        <f aca="false">cust_sh*tk_he_gb300*cf_chip+(1-cust_sh)*((1-Sens!$G$6980)*tk_he_gb300+Sens!$G$6980*tk_he_vr200)</f>
        <v>10.8864110021101</v>
      </c>
      <c r="H6981" s="36" t="n">
        <f aca="false">cust_sh*tk_he_gb300*cf_chip+(1-cust_sh)*((1-Sens!$H$6980)*tk_he_gb300+Sens!$H$6980*tk_he_vr200)</f>
        <v>11.2211760027286</v>
      </c>
      <c r="I6981" s="36" t="n">
        <f aca="false">cust_sh*tk_he_gb300*cf_chip+(1-cust_sh)*((1-Sens!$I$6980)*tk_he_gb300+Sens!$I$6980*tk_he_vr200)</f>
        <v>11.5559410033471</v>
      </c>
      <c r="J6981" s="36" t="n">
        <f aca="false">cust_sh*tk_he_gb300*cf_chip+(1-cust_sh)*((1-Sens!$J$6980)*tk_he_gb300+Sens!$J$6980*tk_he_vr200)</f>
        <v>11.5559410033471</v>
      </c>
      <c r="K6981" s="36" t="n">
        <f aca="false">cust_sh*tk_he_gb300*cf_chip+(1-cust_sh)*((1-Sens!$K$6980)*tk_he_gb300+Sens!$K$6980*tk_he_vr200)</f>
        <v>11.5559410033471</v>
      </c>
      <c r="L6981" s="36" t="n">
        <f aca="false">cust_sh*tk_he_gb300*cf_chip+(1-cust_sh)*((1-Sens!$L$6980)*tk_he_gb300+Sens!$L$6980*tk_he_vr200)</f>
        <v>11.5559410033471</v>
      </c>
      <c r="M6981" s="36" t="n">
        <f aca="false">cust_sh*tk_he_gb300*cf_chip+(1-cust_sh)*((1-Sens!$M$6980)*tk_he_gb300+Sens!$M$6980*tk_he_vr200)</f>
        <v>11.5559410033471</v>
      </c>
    </row>
    <row r="6982" customFormat="false" ht="17.15" hidden="false" customHeight="false" outlineLevel="0" collapsed="false">
      <c r="A6982" s="5" t="s">
        <v>611</v>
      </c>
      <c r="B6982" s="0" t="s">
        <v>173</v>
      </c>
      <c r="F6982" s="36" t="n">
        <f aca="false">cust_sh*tk_ox_gb300+(1-cust_sh)*((1-Sens!$F$6980)*tk_ox_gb300+Sens!$F$6980*tk_ox_vr200)</f>
        <v>1.98263481314457</v>
      </c>
      <c r="G6982" s="36" t="n">
        <f aca="false">cust_sh*tk_ox_gb300+(1-cust_sh)*((1-Sens!$G$6980)*tk_ox_gb300+Sens!$G$6980*tk_ox_vr200)</f>
        <v>1.98263481314457</v>
      </c>
      <c r="H6982" s="36" t="n">
        <f aca="false">cust_sh*tk_ox_gb300+(1-cust_sh)*((1-Sens!$H$6980)*tk_ox_gb300+Sens!$H$6980*tk_ox_vr200)</f>
        <v>2.01034999693694</v>
      </c>
      <c r="I6982" s="36" t="n">
        <f aca="false">cust_sh*tk_ox_gb300+(1-cust_sh)*((1-Sens!$I$6980)*tk_ox_gb300+Sens!$I$6980*tk_ox_vr200)</f>
        <v>2.0380651807293</v>
      </c>
      <c r="J6982" s="36" t="n">
        <f aca="false">cust_sh*tk_ox_gb300+(1-cust_sh)*((1-Sens!$J$6980)*tk_ox_gb300+Sens!$J$6980*tk_ox_vr200)</f>
        <v>2.0380651807293</v>
      </c>
      <c r="K6982" s="36" t="n">
        <f aca="false">cust_sh*tk_ox_gb300+(1-cust_sh)*((1-Sens!$K$6980)*tk_ox_gb300+Sens!$K$6980*tk_ox_vr200)</f>
        <v>2.0380651807293</v>
      </c>
      <c r="L6982" s="36" t="n">
        <f aca="false">cust_sh*tk_ox_gb300+(1-cust_sh)*((1-Sens!$L$6980)*tk_ox_gb300+Sens!$L$6980*tk_ox_vr200)</f>
        <v>2.0380651807293</v>
      </c>
      <c r="M6982" s="36" t="n">
        <f aca="false">cust_sh*tk_ox_gb300+(1-cust_sh)*((1-Sens!$M$6980)*tk_ox_gb300+Sens!$M$6980*tk_ox_vr200)</f>
        <v>2.0380651807293</v>
      </c>
    </row>
    <row r="6983" customFormat="false" ht="17.15" hidden="false" customHeight="false" outlineLevel="0" collapsed="false">
      <c r="A6983" s="5" t="s">
        <v>612</v>
      </c>
      <c r="B6983" s="0" t="s">
        <v>192</v>
      </c>
      <c r="F6983" s="36" t="n">
        <f aca="false">cust_sh*tk_cx_gb300*cf_cx+(1-cust_sh)*((1-Sens!$F$6980)*tk_cx_gb300+Sens!$F$6980*tk_cx_vr200)</f>
        <v>32.237224</v>
      </c>
      <c r="G6983" s="36" t="n">
        <f aca="false">cust_sh*tk_cx_gb300*cf_cx+(1-cust_sh)*((1-Sens!$G$6980)*tk_cx_gb300+Sens!$G$6980*tk_cx_vr200)</f>
        <v>32.237224</v>
      </c>
      <c r="H6983" s="36" t="n">
        <f aca="false">cust_sh*tk_cx_gb300*cf_cx+(1-cust_sh)*((1-Sens!$H$6980)*tk_cx_gb300+Sens!$H$6980*tk_cx_vr200)</f>
        <v>33.574506</v>
      </c>
      <c r="I6983" s="36" t="n">
        <f aca="false">cust_sh*tk_cx_gb300*cf_cx+(1-cust_sh)*((1-Sens!$I$6980)*tk_cx_gb300+Sens!$I$6980*tk_cx_vr200)</f>
        <v>34.911788</v>
      </c>
      <c r="J6983" s="36" t="n">
        <f aca="false">cust_sh*tk_cx_gb300*cf_cx+(1-cust_sh)*((1-Sens!$J$6980)*tk_cx_gb300+Sens!$J$6980*tk_cx_vr200)</f>
        <v>34.911788</v>
      </c>
      <c r="K6983" s="36" t="n">
        <f aca="false">cust_sh*tk_cx_gb300*cf_cx+(1-cust_sh)*((1-Sens!$K$6980)*tk_cx_gb300+Sens!$K$6980*tk_cx_vr200)</f>
        <v>34.911788</v>
      </c>
      <c r="L6983" s="36" t="n">
        <f aca="false">cust_sh*tk_cx_gb300*cf_cx+(1-cust_sh)*((1-Sens!$L$6980)*tk_cx_gb300+Sens!$L$6980*tk_cx_vr200)</f>
        <v>34.911788</v>
      </c>
      <c r="M6983" s="36" t="n">
        <f aca="false">cust_sh*tk_cx_gb300*cf_cx+(1-cust_sh)*((1-Sens!$M$6980)*tk_cx_gb300+Sens!$M$6980*tk_cx_vr200)</f>
        <v>34.911788</v>
      </c>
    </row>
    <row r="6984" customFormat="false" ht="17.15" hidden="false" customHeight="false" outlineLevel="0" collapsed="false">
      <c r="A6984" s="5" t="s">
        <v>613</v>
      </c>
      <c r="B6984" s="0" t="s">
        <v>129</v>
      </c>
      <c r="F6984" s="32" t="n">
        <f aca="false">Sens!$F$6974-mw_open</f>
        <v>1817.15</v>
      </c>
      <c r="G6984" s="32" t="n">
        <f aca="false">Sens!$F$6984</f>
        <v>1817.15</v>
      </c>
      <c r="H6984" s="32" t="n">
        <f aca="false">Sens!$H$6974-mw_open</f>
        <v>5451.45</v>
      </c>
      <c r="I6984" s="32" t="n">
        <f aca="false">Sens!$I$6974-mw_open</f>
        <v>9085.75</v>
      </c>
      <c r="J6984" s="32" t="n">
        <f aca="false">Sens!$J$6974-mw_open</f>
        <v>12720.05</v>
      </c>
      <c r="K6984" s="32" t="n">
        <f aca="false">Sens!$K$6974-mw_open</f>
        <v>15290.9171666667</v>
      </c>
      <c r="L6984" s="32" t="n">
        <f aca="false">Sens!$L$6974-mw_open</f>
        <v>16798.3515</v>
      </c>
      <c r="M6984" s="32" t="n">
        <f aca="false">Sens!$M$6974-mw_open</f>
        <v>17242.353</v>
      </c>
    </row>
    <row r="6985" customFormat="false" ht="17.15" hidden="false" customHeight="false" outlineLevel="0" collapsed="false">
      <c r="A6985" s="0" t="s">
        <v>614</v>
      </c>
      <c r="B6985" s="0" t="s">
        <v>615</v>
      </c>
      <c r="F6985" s="32" t="n">
        <f aca="false">Sens!$F$6977*Sens!$F$6981</f>
        <v>19782.2417524844</v>
      </c>
      <c r="G6985" s="32" t="n">
        <f aca="false">Sens!$F$6985</f>
        <v>19782.2417524844</v>
      </c>
      <c r="H6985" s="32" t="n">
        <f aca="false">Sens!$G$6985+Sens!$H$6977*Sens!$H$6981</f>
        <v>60563.3616992009</v>
      </c>
      <c r="I6985" s="32" t="n">
        <f aca="false">Sens!$H$6985+Sens!$I$6977*Sens!$I$6981</f>
        <v>102561.118087665</v>
      </c>
      <c r="J6985" s="32" t="n">
        <f aca="false">Sens!$I$6985+Sens!$J$6977*Sens!$J$6981</f>
        <v>144558.87447613</v>
      </c>
      <c r="K6985" s="32" t="n">
        <f aca="false">Sens!$J$6985+Sens!$K$6977*Sens!$K$6981</f>
        <v>174267.663781572</v>
      </c>
      <c r="L6985" s="32" t="n">
        <f aca="false">Sens!$K$6985+Sens!$L$6977*Sens!$L$6981</f>
        <v>191687.486003992</v>
      </c>
      <c r="M6985" s="32" t="n">
        <f aca="false">Sens!$L$6985+Sens!$M$6977*Sens!$M$6981</f>
        <v>196818.341143389</v>
      </c>
    </row>
    <row r="6986" customFormat="false" ht="17.15" hidden="false" customHeight="false" outlineLevel="0" collapsed="false">
      <c r="A6986" s="0" t="s">
        <v>616</v>
      </c>
      <c r="B6986" s="0" t="s">
        <v>615</v>
      </c>
      <c r="F6986" s="32" t="n">
        <f aca="false">Sens!$F$6977*Sens!$F$6982</f>
        <v>3602.74485070566</v>
      </c>
      <c r="G6986" s="32" t="n">
        <f aca="false">Sens!$F$6986</f>
        <v>3602.74485070566</v>
      </c>
      <c r="H6986" s="32" t="n">
        <f aca="false">Sens!$G$6986+Sens!$H$6977*Sens!$H$6982</f>
        <v>10908.9598445736</v>
      </c>
      <c r="I6986" s="32" t="n">
        <f aca="false">Sens!$H$6986+Sens!$I$6977*Sens!$I$6982</f>
        <v>18315.9001308981</v>
      </c>
      <c r="J6986" s="32" t="n">
        <f aca="false">Sens!$I$6986+Sens!$J$6977*Sens!$J$6982</f>
        <v>25722.8404172225</v>
      </c>
      <c r="K6986" s="32" t="n">
        <f aca="false">Sens!$J$6986+Sens!$K$6977*Sens!$K$6982</f>
        <v>30962.4352738861</v>
      </c>
      <c r="L6986" s="32" t="n">
        <f aca="false">Sens!$K$6986+Sens!$L$6977*Sens!$L$6982</f>
        <v>34034.6847008886</v>
      </c>
      <c r="M6986" s="32" t="n">
        <f aca="false">Sens!$L$6986+Sens!$M$6977*Sens!$M$6982</f>
        <v>34939.5886982302</v>
      </c>
    </row>
    <row r="6987" customFormat="false" ht="17.15" hidden="false" customHeight="false" outlineLevel="0" collapsed="false">
      <c r="A6987" s="5" t="s">
        <v>617</v>
      </c>
      <c r="B6987" s="0" t="s">
        <v>173</v>
      </c>
      <c r="F6987" s="36" t="n">
        <f aca="false">IF(Sens!$F$6984&gt;0,Sens!$F$6985/Sens!$F$6984,Sens!$F$6981)</f>
        <v>10.8864110021101</v>
      </c>
      <c r="G6987" s="36" t="n">
        <f aca="false">IF(Sens!$G$6984&gt;0,Sens!$G$6985/Sens!$G$6984,Sens!$G$6981)</f>
        <v>10.8864110021101</v>
      </c>
      <c r="H6987" s="36" t="n">
        <f aca="false">IF(Sens!$H$6984&gt;0,Sens!$H$6985/Sens!$H$6984,Sens!$H$6981)</f>
        <v>11.1095876691891</v>
      </c>
      <c r="I6987" s="36" t="n">
        <f aca="false">IF(Sens!$I$6984&gt;0,Sens!$I$6985/Sens!$I$6984,Sens!$I$6981)</f>
        <v>11.2881290028523</v>
      </c>
      <c r="J6987" s="36" t="n">
        <f aca="false">IF(Sens!$J$6984&gt;0,Sens!$J$6985/Sens!$J$6984,Sens!$J$6981)</f>
        <v>11.3646467172794</v>
      </c>
      <c r="K6987" s="36" t="n">
        <f aca="false">IF(Sens!$K$6984&gt;0,Sens!$K$6985/Sens!$K$6984,Sens!$K$6981)</f>
        <v>11.3968090914432</v>
      </c>
      <c r="L6987" s="36" t="n">
        <f aca="false">IF(Sens!$L$6984&gt;0,Sens!$L$6985/Sens!$L$6984,Sens!$L$6981)</f>
        <v>11.4110891181192</v>
      </c>
      <c r="M6987" s="36" t="n">
        <f aca="false">IF(Sens!$M$6984&gt;0,Sens!$M$6985/Sens!$M$6984,Sens!$M$6981)</f>
        <v>11.4148191458201</v>
      </c>
    </row>
    <row r="6988" customFormat="false" ht="17.15" hidden="false" customHeight="false" outlineLevel="0" collapsed="false">
      <c r="A6988" s="5" t="s">
        <v>618</v>
      </c>
      <c r="B6988" s="0" t="s">
        <v>173</v>
      </c>
      <c r="F6988" s="36" t="n">
        <f aca="false">IF(Sens!$F$6984&gt;0,Sens!$F$6986/Sens!$F$6984,Sens!$F$6982)</f>
        <v>1.98263481314457</v>
      </c>
      <c r="G6988" s="36" t="n">
        <f aca="false">IF(Sens!$G$6984&gt;0,Sens!$G$6986/Sens!$G$6984,Sens!$G$6982)</f>
        <v>1.98263481314457</v>
      </c>
      <c r="H6988" s="36" t="n">
        <f aca="false">IF(Sens!$H$6984&gt;0,Sens!$H$6986/Sens!$H$6984,Sens!$H$6982)</f>
        <v>2.00111160233948</v>
      </c>
      <c r="I6988" s="36" t="n">
        <f aca="false">IF(Sens!$I$6984&gt;0,Sens!$I$6986/Sens!$I$6984,Sens!$I$6982)</f>
        <v>2.01589303369541</v>
      </c>
      <c r="J6988" s="36" t="n">
        <f aca="false">IF(Sens!$J$6984&gt;0,Sens!$J$6986/Sens!$J$6984,Sens!$J$6982)</f>
        <v>2.02222793284795</v>
      </c>
      <c r="K6988" s="36" t="n">
        <f aca="false">IF(Sens!$K$6984&gt;0,Sens!$K$6986/Sens!$K$6984,Sens!$K$6982)</f>
        <v>2.02489065478573</v>
      </c>
      <c r="L6988" s="36" t="n">
        <f aca="false">IF(Sens!$L$6984&gt;0,Sens!$L$6986/Sens!$L$6984,Sens!$L$6982)</f>
        <v>2.0260728977417</v>
      </c>
      <c r="M6988" s="36" t="n">
        <f aca="false">IF(Sens!$M$6984&gt;0,Sens!$M$6986/Sens!$M$6984,Sens!$M$6982)</f>
        <v>2.02638170661685</v>
      </c>
    </row>
    <row r="6989" customFormat="false" ht="17.15" hidden="false" customHeight="false" outlineLevel="0" collapsed="false">
      <c r="A6989" s="15" t="s">
        <v>619</v>
      </c>
      <c r="B6989" s="14" t="s">
        <v>173</v>
      </c>
      <c r="C6989" s="14"/>
      <c r="D6989" s="14"/>
      <c r="E6989" s="14"/>
      <c r="F6989" s="37" t="n">
        <f aca="false">Sens!$F$6987*k_B</f>
        <v>10.7987645808025</v>
      </c>
      <c r="G6989" s="37" t="n">
        <f aca="false">Sens!$G$6987*k_B</f>
        <v>10.7987645808025</v>
      </c>
      <c r="H6989" s="37" t="n">
        <f aca="false">Sens!$H$6987*k_B</f>
        <v>11.0201444540452</v>
      </c>
      <c r="I6989" s="37" t="n">
        <f aca="false">Sens!$I$6987*k_B</f>
        <v>11.1972483526393</v>
      </c>
      <c r="J6989" s="37" t="n">
        <f aca="false">Sens!$J$6987*k_B</f>
        <v>11.2731500234653</v>
      </c>
      <c r="K6989" s="37" t="n">
        <f aca="false">Sens!$K$6987*k_B</f>
        <v>11.3050534585724</v>
      </c>
      <c r="L6989" s="37" t="n">
        <f aca="false">Sens!$L$6987*k_B</f>
        <v>11.3192185168503</v>
      </c>
      <c r="M6989" s="37" t="n">
        <f aca="false">Sens!$M$6987*k_B</f>
        <v>11.3229185141234</v>
      </c>
      <c r="N6989" s="14"/>
      <c r="O6989" s="14"/>
      <c r="P6989" s="5" t="s">
        <v>620</v>
      </c>
    </row>
    <row r="6990" customFormat="false" ht="17.15" hidden="false" customHeight="false" outlineLevel="0" collapsed="false">
      <c r="A6990" s="5" t="s">
        <v>621</v>
      </c>
      <c r="B6990" s="0" t="s">
        <v>129</v>
      </c>
      <c r="F6990" s="32" t="n">
        <f aca="false">Sens!$F$6984/2</f>
        <v>908.575</v>
      </c>
      <c r="H6990" s="32" t="n">
        <f aca="false">(Sens!$G$6984+Sens!$H$6984)/2</f>
        <v>3634.3</v>
      </c>
      <c r="I6990" s="32" t="n">
        <f aca="false">(Sens!$H$6984+Sens!$I$6984)/2</f>
        <v>7268.6</v>
      </c>
      <c r="J6990" s="32" t="n">
        <f aca="false">(Sens!$I$6984+Sens!$J$6984)/2</f>
        <v>10902.9</v>
      </c>
      <c r="K6990" s="32" t="n">
        <f aca="false">(Sens!$J$6984+Sens!$K$6984)/2</f>
        <v>14005.4835833333</v>
      </c>
      <c r="L6990" s="32" t="n">
        <f aca="false">(Sens!$K$6984+Sens!$L$6984)/2</f>
        <v>16044.6343333333</v>
      </c>
      <c r="M6990" s="32" t="n">
        <f aca="false">(Sens!$L$6984+Sens!$M$6984)/2</f>
        <v>17020.35225</v>
      </c>
    </row>
    <row r="6991" customFormat="false" ht="17.15" hidden="false" customHeight="false" outlineLevel="0" collapsed="false">
      <c r="A6991" s="1" t="s">
        <v>622</v>
      </c>
    </row>
    <row r="6992" customFormat="false" ht="17.15" hidden="false" customHeight="false" outlineLevel="0" collapsed="false">
      <c r="A6992" s="1" t="s">
        <v>623</v>
      </c>
      <c r="B6992" s="8" t="s">
        <v>86</v>
      </c>
      <c r="C6992" s="38" t="n">
        <f aca="false">Sens!$C$6975*rpm_open*Sens!$C$6976/1000</f>
        <v>2.32100535697364</v>
      </c>
      <c r="D6992" s="38" t="n">
        <f aca="false">Sens!$D$6975*rpm_open*Sens!$D$6976/1000</f>
        <v>8.70377008865116</v>
      </c>
      <c r="E6992" s="38" t="n">
        <f aca="false">Sens!$E$6975*rpm_open*Sens!$E$6976/1000</f>
        <v>8.51035297557002</v>
      </c>
      <c r="F6992" s="38" t="n">
        <f aca="false">(mw_open*rpm_open+Sens!$F$6990*Sens!$F$6989)*Sens!$F$6976/1000</f>
        <v>14.9634336447205</v>
      </c>
      <c r="G6992" s="38" t="n">
        <f aca="false">Sens!$E$6992+Sens!$F$6992</f>
        <v>23.4737866202905</v>
      </c>
      <c r="H6992" s="38" t="n">
        <f aca="false">(mw_open*rpm_open+Sens!$H$6990*Sens!$H$6989)/1000</f>
        <v>60.1658907497746</v>
      </c>
      <c r="I6992" s="38" t="n">
        <f aca="false">(mw_open*rpm_open+Sens!$I$6990*Sens!$I$6989)/1000</f>
        <v>101.503699136432</v>
      </c>
      <c r="J6992" s="38" t="n">
        <f aca="false">(mw_open*rpm_open+Sens!$J$6990*Sens!$J$6989)/1000</f>
        <v>143.025407151278</v>
      </c>
      <c r="K6992" s="38" t="n">
        <f aca="false">(mw_open*rpm_open+Sens!$K$6990*Sens!$K$6989)/1000</f>
        <v>178.44812038318</v>
      </c>
      <c r="L6992" s="38" t="n">
        <f aca="false">(mw_open*rpm_open+Sens!$L$6990*Sens!$L$6989)/1000</f>
        <v>201.728101802396</v>
      </c>
      <c r="M6992" s="38" t="n">
        <f aca="false">(mw_open*rpm_open+Sens!$M$6990*Sens!$M$6989)/1000</f>
        <v>212.835441368865</v>
      </c>
      <c r="N6992" s="38" t="n">
        <f aca="false">Sens!$N$6975*rpm_open*Sens!$N$6976/1000</f>
        <v>3.04631953102791</v>
      </c>
      <c r="O6992" s="38" t="n">
        <f aca="false">Sens!$O$6975*rpm_open*Sens!$O$6976/1000</f>
        <v>5.65745055762326</v>
      </c>
      <c r="P6992" s="5" t="s">
        <v>624</v>
      </c>
    </row>
    <row r="6993" customFormat="false" ht="17.15" hidden="false" customHeight="false" outlineLevel="0" collapsed="false">
      <c r="A6993" s="5" t="s">
        <v>625</v>
      </c>
      <c r="B6993" s="0" t="s">
        <v>173</v>
      </c>
      <c r="C6993" s="36" t="n">
        <f aca="false">Sens!$C$6992*1000/(Sens!$C$6975*Sens!$C$6976)</f>
        <v>9.67085565405685</v>
      </c>
      <c r="D6993" s="36" t="n">
        <f aca="false">Sens!$D$6992*1000/(Sens!$D$6975*Sens!$D$6976)</f>
        <v>9.67085565405685</v>
      </c>
      <c r="E6993" s="36" t="n">
        <f aca="false">Sens!$E$6992*1000/(Sens!$E$6975*Sens!$E$6976)</f>
        <v>9.67085565405685</v>
      </c>
      <c r="F6993" s="36" t="n">
        <f aca="false">Sens!$F$6992*1000/(Sens!$F$6975*Sens!$F$6976)</f>
        <v>10.0137581588017</v>
      </c>
      <c r="G6993" s="36" t="n">
        <f aca="false">Sens!$G$6992*1000/(Sens!$G$6975*Sens!$G$6976)</f>
        <v>9.88666562928478</v>
      </c>
      <c r="H6993" s="36" t="n">
        <f aca="false">Sens!$H$6992*1000/(Sens!$H$6975*Sens!$H$6976)</f>
        <v>10.5290045586992</v>
      </c>
      <c r="I6993" s="36" t="n">
        <f aca="false">Sens!$I$6992*1000/(Sens!$I$6975*Sens!$I$6976)</f>
        <v>10.8576363451674</v>
      </c>
      <c r="J6993" s="36" t="n">
        <f aca="false">Sens!$J$6992*1000/(Sens!$J$6975*Sens!$J$6976)</f>
        <v>11.0164452588619</v>
      </c>
      <c r="K6993" s="36" t="n">
        <f aca="false">Sens!$K$6992*1000/(Sens!$K$6975*Sens!$K$6976)</f>
        <v>11.0937367508227</v>
      </c>
      <c r="L6993" s="36" t="n">
        <f aca="false">Sens!$L$6992*1000/(Sens!$L$6975*Sens!$L$6976)</f>
        <v>11.1300508519168</v>
      </c>
      <c r="M6993" s="36" t="n">
        <f aca="false">Sens!$M$6992*1000/(Sens!$M$6975*Sens!$M$6976)</f>
        <v>11.1430113216297</v>
      </c>
      <c r="N6993" s="36" t="n">
        <f aca="false">Sens!$N$6992*1000/(Sens!$N$6975*Sens!$N$6976)</f>
        <v>9.67085565405685</v>
      </c>
      <c r="O6993" s="36" t="n">
        <f aca="false">Sens!$O$6992*1000/(Sens!$O$6975*Sens!$O$6976)</f>
        <v>9.67085565405685</v>
      </c>
    </row>
    <row r="6994" customFormat="false" ht="17.15" hidden="false" customHeight="false" outlineLevel="0" collapsed="false">
      <c r="A6994" s="0" t="s">
        <v>626</v>
      </c>
      <c r="B6994" s="0" t="s">
        <v>86</v>
      </c>
      <c r="C6994" s="38" t="n">
        <f aca="false">Sens!$C$6975/ext_sh*(ox_open+rent_mw)*Sens!$C$6976/1000</f>
        <v>0.642569210675032</v>
      </c>
      <c r="D6994" s="38" t="n">
        <f aca="false">Sens!$D$6975/ext_sh*(ox_open+rent_mw)*Sens!$D$6976/1000</f>
        <v>2.40963454003137</v>
      </c>
      <c r="E6994" s="38" t="n">
        <f aca="false">Sens!$E$6975/ext_sh*(ox_open+rent_mw)*Sens!$E$6976/1000</f>
        <v>2.35608710580845</v>
      </c>
      <c r="F6994" s="38" t="n">
        <f aca="false">((mw_open*ox_open+Sens!$F$6990*Sens!$F$6988)/ext_sh+Sens!$F$6975/ext_sh*rent_mw)*Sens!$F$6976/1000</f>
        <v>4.05421991106232</v>
      </c>
      <c r="G6994" s="38" t="n">
        <f aca="false">Sens!$E$6994+Sens!$F$6994</f>
        <v>6.41030701687077</v>
      </c>
      <c r="H6994" s="38" t="n">
        <f aca="false">((mw_open*ox_open+Sens!$H$6990*Sens!$H$6988)/ext_sh+Sens!$H$6975/ext_sh*rent_mw)*Sens!$H$6976/1000</f>
        <v>15.8108975546616</v>
      </c>
      <c r="I6994" s="38" t="n">
        <f aca="false">((mw_open*ox_open+Sens!$I$6990*Sens!$I$6988)/ext_sh+Sens!$I$6975/ext_sh*rent_mw)*Sens!$I$6976/1000</f>
        <v>26.1871623400817</v>
      </c>
      <c r="J6994" s="38" t="n">
        <f aca="false">((mw_open*ox_open+Sens!$J$6990*Sens!$J$6988)/ext_sh+Sens!$J$6975/ext_sh*rent_mw)*Sens!$J$6976/1000</f>
        <v>36.5826128954935</v>
      </c>
      <c r="K6994" s="38" t="n">
        <f aca="false">((mw_open*ox_open+Sens!$K$6990*Sens!$K$6988)/ext_sh+Sens!$K$6975/ext_sh*rent_mw)*Sens!$K$6976/1000</f>
        <v>45.4546361137628</v>
      </c>
      <c r="L6994" s="38" t="n">
        <f aca="false">((mw_open*ox_open+Sens!$L$6990*Sens!$L$6988)/ext_sh+Sens!$L$6975/ext_sh*rent_mw)*Sens!$L$6976/1000</f>
        <v>51.2855695554452</v>
      </c>
      <c r="M6994" s="38" t="n">
        <f aca="false">((mw_open*ox_open+Sens!$M$6990*Sens!$M$6988)/ext_sh+Sens!$M$6975/ext_sh*rent_mw)*Sens!$M$6976/1000</f>
        <v>54.0722927838398</v>
      </c>
      <c r="N6994" s="38" t="n">
        <f aca="false">Sens!$N$6975/ext_sh*(ox_open+rent_mw)*Sens!$N$6976/1000</f>
        <v>0.84337208901098</v>
      </c>
      <c r="O6994" s="38" t="n">
        <f aca="false">Sens!$O$6975/ext_sh*(ox_open+rent_mw)*Sens!$O$6976/1000</f>
        <v>1.56626245102039</v>
      </c>
    </row>
    <row r="6995" customFormat="false" ht="17.15" hidden="false" customHeight="false" outlineLevel="0" collapsed="false">
      <c r="A6995" s="0" t="s">
        <v>627</v>
      </c>
      <c r="B6995" s="0" t="s">
        <v>86</v>
      </c>
      <c r="C6995" s="38" t="n">
        <f aca="false">Q!$D$7</f>
        <v>107.556</v>
      </c>
      <c r="D6995" s="38" t="n">
        <f aca="false">Q!$E$7</f>
        <v>128.725</v>
      </c>
      <c r="E6995" s="38" t="n">
        <f aca="false">Q!$P$7</f>
        <v>79.819</v>
      </c>
      <c r="N6995" s="38" t="n">
        <f aca="false">Q!$N$7</f>
        <v>60.14</v>
      </c>
      <c r="O6995" s="38" t="n">
        <f aca="false">Q!$O$7</f>
        <v>68.585</v>
      </c>
    </row>
    <row r="6996" customFormat="false" ht="17.15" hidden="false" customHeight="false" outlineLevel="0" collapsed="false">
      <c r="A6996" s="1" t="s">
        <v>628</v>
      </c>
      <c r="B6996" s="8" t="s">
        <v>86</v>
      </c>
      <c r="C6996" s="38" t="n">
        <f aca="false">Sens!$C$6995-Sens!$C$6992</f>
        <v>105.234994643026</v>
      </c>
      <c r="D6996" s="38" t="n">
        <f aca="false">Sens!$D$6995-Sens!$D$6992</f>
        <v>120.021229911349</v>
      </c>
      <c r="E6996" s="38" t="n">
        <f aca="false">Sens!$E$6995-Sens!$E$6992</f>
        <v>71.30864702443</v>
      </c>
      <c r="F6996" s="38" t="n">
        <f aca="false">Sens!$O$6996*(1+Sens!$F$6997)</f>
        <v>71.7692997942464</v>
      </c>
      <c r="G6996" s="38" t="n">
        <f aca="false">Sens!$E$6996+Sens!$F$6996</f>
        <v>143.077946818676</v>
      </c>
      <c r="H6996" s="38" t="n">
        <f aca="false">Sens!$G$6996*(1+Sens!$H$6997)</f>
        <v>161.017077079203</v>
      </c>
      <c r="I6996" s="38" t="n">
        <f aca="false">Sens!$H$6996*(1+Sens!$I$6997)</f>
        <v>178.769759521457</v>
      </c>
      <c r="J6996" s="38" t="n">
        <f aca="false">Sens!$I$6996*(1+Sens!$J$6997)</f>
        <v>195.775538045907</v>
      </c>
      <c r="K6996" s="38" t="n">
        <f aca="false">Sens!$J$6996*(1+Sens!$K$6997)</f>
        <v>211.43758108958</v>
      </c>
      <c r="L6996" s="38" t="n">
        <f aca="false">Sens!$K$6996*(1+Sens!$L$6997)</f>
        <v>228.352587576746</v>
      </c>
      <c r="M6996" s="38" t="n">
        <f aca="false">Sens!$L$6996*(1+Sens!$M$6997)</f>
        <v>246.620794582886</v>
      </c>
      <c r="N6996" s="38" t="n">
        <f aca="false">Sens!$N$6995-Sens!$N$6992</f>
        <v>57.0936804689721</v>
      </c>
      <c r="O6996" s="38" t="n">
        <f aca="false">Sens!$O$6995-Sens!$O$6992</f>
        <v>62.9275494423768</v>
      </c>
      <c r="P6996" s="5" t="s">
        <v>629</v>
      </c>
    </row>
    <row r="6997" customFormat="false" ht="17.15" hidden="false" customHeight="false" outlineLevel="0" collapsed="false">
      <c r="A6997" s="0" t="s">
        <v>630</v>
      </c>
      <c r="B6997" s="0" t="s">
        <v>52</v>
      </c>
      <c r="D6997" s="13" t="n">
        <f aca="false">Sens!$D$6996/Sens!$C$6996-1</f>
        <v>0.140506827776062</v>
      </c>
      <c r="E6997" s="13" t="n">
        <f aca="false">Sens!$E$6996/Sens!$N$6996-1</f>
        <v>0.248976181579029</v>
      </c>
      <c r="F6997" s="13" t="n">
        <f aca="false">Sens!$D$6997</f>
        <v>0.140506827776062</v>
      </c>
      <c r="G6997" s="13" t="n">
        <f aca="false">Sens!$G$6996/Sens!$D$6996-1</f>
        <v>0.19210532106993</v>
      </c>
      <c r="H6997" s="13" t="n">
        <f aca="false">Sens!$F$6997+(g_awso_lt-Sens!$F$6997)*1/4</f>
        <v>0.125380120832046</v>
      </c>
      <c r="I6997" s="13" t="n">
        <f aca="false">Sens!$F$6997+(g_awso_lt-Sens!$F$6997)*2/4</f>
        <v>0.110253413888031</v>
      </c>
      <c r="J6997" s="13" t="n">
        <f aca="false">Sens!$F$6997+(g_awso_lt-Sens!$F$6997)*3/4</f>
        <v>0.0951267069440154</v>
      </c>
      <c r="K6997" s="13" t="n">
        <f aca="false">Sens!$F$6997+(g_awso_lt-Sens!$F$6997)*4/4</f>
        <v>0.08</v>
      </c>
      <c r="L6997" s="13" t="n">
        <f aca="false">g_awso_lt</f>
        <v>0.08</v>
      </c>
      <c r="M6997" s="13" t="n">
        <f aca="false">g_awso_lt</f>
        <v>0.08</v>
      </c>
      <c r="P6997" s="5" t="s">
        <v>631</v>
      </c>
    </row>
    <row r="6998" customFormat="false" ht="17.15" hidden="false" customHeight="false" outlineLevel="0" collapsed="false">
      <c r="A6998" s="1" t="s">
        <v>632</v>
      </c>
    </row>
    <row r="6999" customFormat="false" ht="17.15" hidden="false" customHeight="false" outlineLevel="0" collapsed="false">
      <c r="A6999" s="0" t="s">
        <v>633</v>
      </c>
      <c r="B6999" s="0" t="s">
        <v>86</v>
      </c>
      <c r="F6999" s="38" t="n">
        <f aca="false">cx_rt*Sens!$F$6964+cx_awso*Sens!$F$6996</f>
        <v>34.9734495387866</v>
      </c>
    </row>
    <row r="7000" customFormat="false" ht="17.15" hidden="false" customHeight="false" outlineLevel="0" collapsed="false">
      <c r="A7000" s="0" t="s">
        <v>634</v>
      </c>
      <c r="B7000" s="0" t="s">
        <v>52</v>
      </c>
      <c r="C7000" s="13" t="n">
        <f aca="false">tk_cx_h100/(tk_cx_h100+tk_fac*(1-colo_sh))</f>
        <v>0.730756458006641</v>
      </c>
      <c r="D7000" s="13" t="n">
        <f aca="false">tk_cx_h100/(tk_cx_h100+tk_fac*(1-colo_sh))</f>
        <v>0.730756458006641</v>
      </c>
      <c r="E7000" s="13" t="n">
        <f aca="false">Sens!$F$7000</f>
        <v>0.760792334328868</v>
      </c>
      <c r="F7000" s="13" t="n">
        <f aca="false">Sens!$F$6983/(Sens!$F$6983+tk_fac*(1-colo_sh))</f>
        <v>0.760792334328868</v>
      </c>
      <c r="G7000" s="13" t="n">
        <f aca="false">Sens!$G$6983/(Sens!$G$6983+tk_fac*(1-colo_sh))</f>
        <v>0.760792334328868</v>
      </c>
      <c r="H7000" s="13" t="n">
        <f aca="false">Sens!$H$6983/(Sens!$H$6983+tk_fac*(1-colo_sh))</f>
        <v>0.768110668862996</v>
      </c>
      <c r="I7000" s="13" t="n">
        <f aca="false">Sens!$I$6983/(Sens!$I$6983+tk_fac*(1-colo_sh))</f>
        <v>0.77499450139483</v>
      </c>
      <c r="J7000" s="13" t="n">
        <f aca="false">Sens!$J$6983/(Sens!$J$6983+tk_fac*(1-colo_sh))</f>
        <v>0.77499450139483</v>
      </c>
      <c r="K7000" s="13" t="n">
        <f aca="false">Sens!$K$6983/(Sens!$K$6983+tk_fac*(1-colo_sh))</f>
        <v>0.77499450139483</v>
      </c>
      <c r="L7000" s="13" t="n">
        <f aca="false">Sens!$L$6983/(Sens!$L$6983+tk_fac*(1-colo_sh))</f>
        <v>0.77499450139483</v>
      </c>
      <c r="M7000" s="13" t="n">
        <f aca="false">Sens!$M$6983/(Sens!$M$6983+tk_fac*(1-colo_sh))</f>
        <v>0.77499450139483</v>
      </c>
    </row>
    <row r="7001" customFormat="false" ht="17.15" hidden="false" customHeight="false" outlineLevel="0" collapsed="false">
      <c r="A7001" s="1" t="s">
        <v>635</v>
      </c>
      <c r="B7001" s="8" t="s">
        <v>86</v>
      </c>
      <c r="C7001" s="38" t="n">
        <f aca="false">Q!$D$46-cx_rt*Q!$D$16-cx_awso*Sens!$C$6996</f>
        <v>25.2781053077374</v>
      </c>
      <c r="D7001" s="38" t="n">
        <f aca="false">Q!$E$46-cx_rt*Q!$E$16-cx_awso*Sens!$D$6996</f>
        <v>69.5686316310026</v>
      </c>
      <c r="E7001" s="38" t="n">
        <f aca="false">Q!$P$46-cx_rt*Q!$P$16-cx_awso*Sens!$E$6996</f>
        <v>64.1899206485108</v>
      </c>
      <c r="F7001" s="38" t="n">
        <f aca="false">capex_g26-Q!$P$46-Sens!$F$6999</f>
        <v>88.7165504612134</v>
      </c>
      <c r="G7001" s="38" t="n">
        <f aca="false">Sens!$E$7001+Sens!$F$7001</f>
        <v>152.906471109724</v>
      </c>
      <c r="H7001" s="38" t="n">
        <f aca="false">Sens!$H$6978*(Sens!$H$6983+tk_fac*(1-colo_sh))/1000+Sens!$H$7002</f>
        <v>198.57136494475</v>
      </c>
      <c r="I7001" s="38" t="n">
        <f aca="false">Sens!$I$6978*(Sens!$I$6983+tk_fac*(1-colo_sh))/1000+Sens!$I$7002</f>
        <v>204.6464699105</v>
      </c>
      <c r="J7001" s="38" t="n">
        <f aca="false">Sens!$J$6978*(Sens!$J$6983+tk_fac*(1-colo_sh))/1000+Sens!$J$7002</f>
        <v>209.8832381105</v>
      </c>
      <c r="K7001" s="38" t="n">
        <f aca="false">Sens!$K$6978*(Sens!$K$6983+tk_fac*(1-colo_sh))/1000+Sens!$K$7002</f>
        <v>155.238385275201</v>
      </c>
      <c r="L7001" s="38" t="n">
        <f aca="false">Sens!$L$6978*(Sens!$L$6983+tk_fac*(1-colo_sh))/1000+Sens!$L$7002</f>
        <v>132.014141639902</v>
      </c>
      <c r="M7001" s="38" t="n">
        <f aca="false">Sens!$M$6978*(Sens!$M$6983+tk_fac*(1-colo_sh))/1000+Sens!$M$7002</f>
        <v>132.230981659852</v>
      </c>
      <c r="P7001" s="5" t="s">
        <v>636</v>
      </c>
      <c r="R7001" s="38" t="n">
        <f aca="false">Q!$C$46-cx_rt*Q!$C$16-cx_awso*(Q!$C$7-mw_ye23/2*rpm_open/1000)</f>
        <v>1.50429979529945</v>
      </c>
      <c r="S7001" s="38" t="n">
        <f aca="false">Sens!$C$7001</f>
        <v>25.2781053077374</v>
      </c>
      <c r="T7001" s="38" t="n">
        <f aca="false">Sens!$D$7001</f>
        <v>69.5686316310026</v>
      </c>
      <c r="U7001" s="38" t="n">
        <f aca="false">Sens!$G$7001</f>
        <v>152.906471109724</v>
      </c>
      <c r="V7001" s="38" t="n">
        <f aca="false">Sens!$H$7001</f>
        <v>198.57136494475</v>
      </c>
      <c r="W7001" s="38" t="n">
        <f aca="false">Sens!$I$7001</f>
        <v>204.6464699105</v>
      </c>
      <c r="X7001" s="38" t="n">
        <f aca="false">Sens!$J$7001</f>
        <v>209.8832381105</v>
      </c>
      <c r="Y7001" s="38" t="n">
        <f aca="false">Sens!$K$7001</f>
        <v>155.238385275201</v>
      </c>
      <c r="Z7001" s="38" t="n">
        <f aca="false">Sens!$L$7001</f>
        <v>132.014141639902</v>
      </c>
      <c r="AA7001" s="38" t="n">
        <f aca="false">Sens!$M$7001</f>
        <v>132.230981659852</v>
      </c>
    </row>
    <row r="7002" customFormat="false" ht="17.15" hidden="false" customHeight="false" outlineLevel="0" collapsed="false">
      <c r="A7002" s="0" t="s">
        <v>637</v>
      </c>
      <c r="B7002" s="0" t="s">
        <v>86</v>
      </c>
      <c r="H7002" s="38" t="n">
        <f aca="false">SUMPRODUCT(--(Sens!$R$6971:$AA$6971=2027-tk_life),Sens!$R$6978:$AA$6978)*Sens!$H$6983/1000</f>
        <v>0</v>
      </c>
      <c r="I7002" s="38" t="n">
        <f aca="false">SUMPRODUCT(--(Sens!$R$6971:$AA$6971=2028-tk_life),Sens!$R$6978:$AA$6978)*Sens!$I$6983/1000</f>
        <v>0</v>
      </c>
      <c r="J7002" s="38" t="n">
        <f aca="false">SUMPRODUCT(--(Sens!$R$6971:$AA$6971=2029-tk_life),Sens!$R$6978:$AA$6978)*Sens!$J$6983/1000</f>
        <v>5.2367682</v>
      </c>
      <c r="K7002" s="38" t="n">
        <f aca="false">SUMPRODUCT(--(Sens!$R$6971:$AA$6971=2030-tk_life),Sens!$R$6978:$AA$6978)*Sens!$K$6983/1000</f>
        <v>10.4735364</v>
      </c>
      <c r="L7002" s="38" t="n">
        <f aca="false">SUMPRODUCT(--(Sens!$R$6971:$AA$6971=2031-tk_life),Sens!$R$6978:$AA$6978)*Sens!$L$6983/1000</f>
        <v>47.1309138</v>
      </c>
      <c r="M7002" s="38" t="n">
        <f aca="false">SUMPRODUCT(--(Sens!$R$6971:$AA$6971=2032-tk_life),Sens!$R$6978:$AA$6978)*Sens!$M$6983/1000</f>
        <v>107.22937485525</v>
      </c>
    </row>
    <row r="7003" customFormat="false" ht="17.15" hidden="false" customHeight="false" outlineLevel="0" collapsed="false">
      <c r="A7003" s="0" t="s">
        <v>638</v>
      </c>
      <c r="B7003" s="0" t="s">
        <v>86</v>
      </c>
      <c r="C7003" s="38" t="n">
        <f aca="false">MIN(Sens!$C$7001,Sens!$C$6978*(tk_cx_h100+tk_fac*(1-colo_sh))/1000)</f>
        <v>11.2938642</v>
      </c>
      <c r="D7003" s="38" t="n">
        <f aca="false">MIN(Sens!$D$7001,Sens!$D$6978*(tk_cx_h100+tk_fac*(1-colo_sh))/1000)</f>
        <v>50.8223889</v>
      </c>
      <c r="E7003" s="38" t="n">
        <f aca="false">MIN(Sens!$E$7001,Sens!$E$6978*(Sens!$F$6983+tk_fac*(1-colo_sh))/1000)</f>
        <v>33.8985792</v>
      </c>
      <c r="F7003" s="38" t="n">
        <f aca="false">Sens!$F$7001</f>
        <v>88.7165504612134</v>
      </c>
      <c r="G7003" s="38" t="n">
        <f aca="false">Sens!$E$7003+Sens!$F$7003</f>
        <v>122.615129661213</v>
      </c>
      <c r="H7003" s="38" t="n">
        <f aca="false">Sens!$H$7001</f>
        <v>198.57136494475</v>
      </c>
      <c r="I7003" s="38" t="n">
        <f aca="false">Sens!$I$7001</f>
        <v>204.6464699105</v>
      </c>
      <c r="J7003" s="38" t="n">
        <f aca="false">Sens!$J$7001</f>
        <v>209.8832381105</v>
      </c>
      <c r="K7003" s="38" t="n">
        <f aca="false">Sens!$K$7001</f>
        <v>155.238385275201</v>
      </c>
      <c r="L7003" s="38" t="n">
        <f aca="false">Sens!$L$7001</f>
        <v>132.014141639902</v>
      </c>
      <c r="M7003" s="38" t="n">
        <f aca="false">Sens!$M$7001</f>
        <v>132.230981659852</v>
      </c>
      <c r="P7003" s="5" t="s">
        <v>639</v>
      </c>
      <c r="R7003" s="38" t="n">
        <f aca="false">MIN(Sens!$R$7001,Sens!$R$6978*(tk_cx_h100+tk_fac*(1-colo_sh))/1000)</f>
        <v>1.50429979529945</v>
      </c>
      <c r="S7003" s="38" t="n">
        <f aca="false">Sens!$C$7003</f>
        <v>11.2938642</v>
      </c>
      <c r="T7003" s="38" t="n">
        <f aca="false">Sens!$D$7003</f>
        <v>50.8223889</v>
      </c>
      <c r="U7003" s="38" t="n">
        <f aca="false">Sens!$G$7003</f>
        <v>122.615129661213</v>
      </c>
      <c r="V7003" s="38" t="n">
        <f aca="false">Sens!$H$7003</f>
        <v>198.57136494475</v>
      </c>
      <c r="W7003" s="38" t="n">
        <f aca="false">Sens!$I$7003</f>
        <v>204.6464699105</v>
      </c>
      <c r="X7003" s="38" t="n">
        <f aca="false">Sens!$J$7003</f>
        <v>209.8832381105</v>
      </c>
      <c r="Y7003" s="38" t="n">
        <f aca="false">Sens!$K$7003</f>
        <v>155.238385275201</v>
      </c>
      <c r="Z7003" s="38" t="n">
        <f aca="false">Sens!$L$7003</f>
        <v>132.014141639902</v>
      </c>
      <c r="AA7003" s="38" t="n">
        <f aca="false">Sens!$M$7003</f>
        <v>132.230981659852</v>
      </c>
    </row>
    <row r="7004" customFormat="false" ht="17.15" hidden="false" customHeight="false" outlineLevel="0" collapsed="false">
      <c r="A7004" s="5" t="s">
        <v>640</v>
      </c>
      <c r="B7004" s="0" t="s">
        <v>86</v>
      </c>
      <c r="C7004" s="38" t="n">
        <f aca="false">Sens!$C$7001-Sens!$C$7003</f>
        <v>13.9842411077374</v>
      </c>
      <c r="D7004" s="38" t="n">
        <f aca="false">Sens!$D$7001-Sens!$D$7003</f>
        <v>18.7462427310026</v>
      </c>
      <c r="E7004" s="38" t="n">
        <f aca="false">Sens!$E$7001-Sens!$E$7003</f>
        <v>30.2913414485108</v>
      </c>
      <c r="F7004" s="38" t="n">
        <f aca="false">Sens!$F$7001-Sens!$F$7003</f>
        <v>0</v>
      </c>
      <c r="G7004" s="38" t="n">
        <f aca="false">Sens!$G$7001-Sens!$G$7003</f>
        <v>30.2913414485108</v>
      </c>
      <c r="H7004" s="38" t="n">
        <f aca="false">Sens!$H$7001-Sens!$H$7003</f>
        <v>0</v>
      </c>
      <c r="I7004" s="38" t="n">
        <f aca="false">Sens!$I$7001-Sens!$I$7003</f>
        <v>0</v>
      </c>
      <c r="J7004" s="38" t="n">
        <f aca="false">Sens!$J$7001-Sens!$J$7003</f>
        <v>0</v>
      </c>
      <c r="K7004" s="38" t="n">
        <f aca="false">Sens!$K$7001-Sens!$K$7003</f>
        <v>0</v>
      </c>
      <c r="L7004" s="38" t="n">
        <f aca="false">Sens!$L$7001-Sens!$L$7003</f>
        <v>0</v>
      </c>
      <c r="M7004" s="38" t="n">
        <f aca="false">Sens!$M$7001-Sens!$M$7003</f>
        <v>0</v>
      </c>
      <c r="P7004" s="5" t="s">
        <v>641</v>
      </c>
      <c r="R7004" s="38" t="n">
        <f aca="false">Sens!$R$7001-Sens!$R$7003</f>
        <v>0</v>
      </c>
      <c r="S7004" s="38" t="n">
        <f aca="false">Sens!$S$7001-Sens!$S$7003</f>
        <v>13.9842411077374</v>
      </c>
      <c r="T7004" s="38" t="n">
        <f aca="false">Sens!$T$7001-Sens!$T$7003</f>
        <v>18.7462427310026</v>
      </c>
      <c r="U7004" s="38" t="n">
        <f aca="false">Sens!$U$7001-Sens!$U$7003</f>
        <v>30.2913414485108</v>
      </c>
      <c r="V7004" s="38" t="n">
        <f aca="false">Sens!$V$7001-Sens!$V$7003</f>
        <v>0</v>
      </c>
      <c r="W7004" s="38" t="n">
        <f aca="false">Sens!$W$7001-Sens!$W$7003</f>
        <v>0</v>
      </c>
      <c r="X7004" s="38" t="n">
        <f aca="false">Sens!$X$7001-Sens!$X$7003</f>
        <v>0</v>
      </c>
      <c r="Y7004" s="38" t="n">
        <f aca="false">Sens!$Y$7001-Sens!$Y$7003</f>
        <v>0</v>
      </c>
      <c r="Z7004" s="38" t="n">
        <f aca="false">Sens!$Z$7001-Sens!$Z$7003</f>
        <v>0</v>
      </c>
      <c r="AA7004" s="38" t="n">
        <f aca="false">Sens!$AA$7001-Sens!$AA$7003</f>
        <v>0</v>
      </c>
    </row>
    <row r="7005" customFormat="false" ht="17.15" hidden="false" customHeight="false" outlineLevel="0" collapsed="false">
      <c r="A7005" s="5" t="s">
        <v>642</v>
      </c>
      <c r="B7005" s="0" t="s">
        <v>86</v>
      </c>
      <c r="R7005" s="38" t="n">
        <f aca="false">Sens!$R$7004*Sens!$C$7000</f>
        <v>0</v>
      </c>
      <c r="S7005" s="38" t="n">
        <f aca="false">Sens!$S$7004*Sens!$C$7000</f>
        <v>10.219074499801</v>
      </c>
      <c r="T7005" s="38" t="n">
        <f aca="false">Sens!$T$7004*Sens!$C$7000</f>
        <v>13.6989379390402</v>
      </c>
      <c r="U7005" s="38" t="n">
        <f aca="false">Sens!$U$7004*Sens!$E$7000</f>
        <v>23.0454203705653</v>
      </c>
      <c r="V7005" s="38" t="n">
        <f aca="false">Sens!$V$7004*Sens!$E$7000</f>
        <v>0</v>
      </c>
      <c r="W7005" s="38" t="n">
        <f aca="false">Sens!$W$7004*Sens!$E$7000</f>
        <v>0</v>
      </c>
      <c r="X7005" s="38" t="n">
        <f aca="false">Sens!$X$7004*Sens!$E$7000</f>
        <v>0</v>
      </c>
      <c r="Y7005" s="38" t="n">
        <f aca="false">Sens!$Y$7004*Sens!$E$7000</f>
        <v>0</v>
      </c>
      <c r="Z7005" s="38" t="n">
        <f aca="false">Sens!$Z$7004*Sens!$E$7000</f>
        <v>0</v>
      </c>
      <c r="AA7005" s="38" t="n">
        <f aca="false">Sens!$AA$7004*Sens!$E$7000</f>
        <v>0</v>
      </c>
    </row>
    <row r="7006" customFormat="false" ht="17.15" hidden="false" customHeight="false" outlineLevel="0" collapsed="false">
      <c r="A7006" s="5" t="s">
        <v>643</v>
      </c>
      <c r="B7006" s="0" t="s">
        <v>86</v>
      </c>
      <c r="R7006" s="38" t="n">
        <f aca="false">SUMPRODUCT(--(Sens!$R$6971:$AA$6971=2023-cip_lag),Sens!$R$7005:$AA$7005)</f>
        <v>0</v>
      </c>
      <c r="S7006" s="38" t="n">
        <f aca="false">SUMPRODUCT(--(Sens!$R$6971:$AA$6971=2024-cip_lag),Sens!$R$7005:$AA$7005)</f>
        <v>0</v>
      </c>
      <c r="T7006" s="38" t="n">
        <f aca="false">SUMPRODUCT(--(Sens!$R$6971:$AA$6971=2025-cip_lag),Sens!$R$7005:$AA$7005)</f>
        <v>10.219074499801</v>
      </c>
      <c r="U7006" s="38" t="n">
        <f aca="false">SUMPRODUCT(--(Sens!$R$6971:$AA$6971=2026-cip_lag),Sens!$R$7005:$AA$7005)</f>
        <v>13.6989379390402</v>
      </c>
      <c r="V7006" s="38" t="n">
        <f aca="false">SUMPRODUCT(--(Sens!$R$6971:$AA$6971=2027-cip_lag),Sens!$R$7005:$AA$7005)</f>
        <v>23.0454203705653</v>
      </c>
      <c r="W7006" s="38" t="n">
        <f aca="false">SUMPRODUCT(--(Sens!$R$6971:$AA$6971=2028-cip_lag),Sens!$R$7005:$AA$7005)</f>
        <v>0</v>
      </c>
      <c r="X7006" s="38" t="n">
        <f aca="false">SUMPRODUCT(--(Sens!$R$6971:$AA$6971=2029-cip_lag),Sens!$R$7005:$AA$7005)</f>
        <v>0</v>
      </c>
      <c r="Y7006" s="38" t="n">
        <f aca="false">SUMPRODUCT(--(Sens!$R$6971:$AA$6971=2030-cip_lag),Sens!$R$7005:$AA$7005)</f>
        <v>0</v>
      </c>
      <c r="Z7006" s="38" t="n">
        <f aca="false">SUMPRODUCT(--(Sens!$R$6971:$AA$6971=2031-cip_lag),Sens!$R$7005:$AA$7005)</f>
        <v>0</v>
      </c>
      <c r="AA7006" s="38" t="n">
        <f aca="false">SUMPRODUCT(--(Sens!$R$6971:$AA$6971=2032-cip_lag),Sens!$R$7005:$AA$7005)</f>
        <v>0</v>
      </c>
    </row>
    <row r="7007" customFormat="false" ht="15" hidden="false" customHeight="false" outlineLevel="0" collapsed="false">
      <c r="A7007" s="5" t="s">
        <v>644</v>
      </c>
      <c r="B7007" s="0" t="s">
        <v>86</v>
      </c>
      <c r="R7007" s="38" t="n">
        <f aca="false">SUMPRODUCT(--(Sens!$R$6971:$AA$6971=2023-cip_lag),Sens!$R$7004:$AA$7004)-Sens!$R$7006</f>
        <v>0</v>
      </c>
      <c r="S7007" s="38" t="n">
        <f aca="false">SUMPRODUCT(--(Sens!$R$6971:$AA$6971=2024-cip_lag),Sens!$R$7004:$AA$7004)-Sens!$S$7006</f>
        <v>0</v>
      </c>
      <c r="T7007" s="38" t="n">
        <f aca="false">SUMPRODUCT(--(Sens!$R$6971:$AA$6971=2025-cip_lag),Sens!$R$7004:$AA$7004)-Sens!$T$7006</f>
        <v>3.76516660793636</v>
      </c>
      <c r="U7007" s="38" t="n">
        <f aca="false">SUMPRODUCT(--(Sens!$R$6971:$AA$6971=2026-cip_lag),Sens!$R$7004:$AA$7004)-Sens!$U$7006</f>
        <v>5.04730479196242</v>
      </c>
      <c r="V7007" s="38" t="n">
        <f aca="false">SUMPRODUCT(--(Sens!$R$6971:$AA$6971=2027-cip_lag),Sens!$R$7004:$AA$7004)-Sens!$V$7006</f>
        <v>7.24592107794548</v>
      </c>
      <c r="W7007" s="38" t="n">
        <f aca="false">SUMPRODUCT(--(Sens!$R$6971:$AA$6971=2028-cip_lag),Sens!$R$7004:$AA$7004)-Sens!$W$7006</f>
        <v>0</v>
      </c>
      <c r="X7007" s="38" t="n">
        <f aca="false">SUMPRODUCT(--(Sens!$R$6971:$AA$6971=2029-cip_lag),Sens!$R$7004:$AA$7004)-Sens!$X$7006</f>
        <v>0</v>
      </c>
      <c r="Y7007" s="38" t="n">
        <f aca="false">SUMPRODUCT(--(Sens!$R$6971:$AA$6971=2030-cip_lag),Sens!$R$7004:$AA$7004)-Sens!$Y$7006</f>
        <v>0</v>
      </c>
      <c r="Z7007" s="38" t="n">
        <f aca="false">SUMPRODUCT(--(Sens!$R$6971:$AA$6971=2031-cip_lag),Sens!$R$7004:$AA$7004)-Sens!$Z$7006</f>
        <v>0</v>
      </c>
      <c r="AA7007" s="38" t="n">
        <f aca="false">SUMPRODUCT(--(Sens!$R$6971:$AA$6971=2032-cip_lag),Sens!$R$7004:$AA$7004)-Sens!$AA$7006</f>
        <v>0</v>
      </c>
    </row>
    <row r="7008" customFormat="false" ht="17.15" hidden="false" customHeight="false" outlineLevel="0" collapsed="false">
      <c r="A7008" s="5" t="s">
        <v>645</v>
      </c>
      <c r="B7008" s="0" t="s">
        <v>86</v>
      </c>
      <c r="C7008" s="38" t="n">
        <f aca="false">Sens!$C$7003*Sens!$C$7000</f>
        <v>8.2530642</v>
      </c>
      <c r="D7008" s="38" t="n">
        <f aca="false">Sens!$D$7003*Sens!$D$7000</f>
        <v>37.1387889</v>
      </c>
      <c r="E7008" s="38" t="n">
        <f aca="false">Sens!$E$7003*Sens!$E$7000</f>
        <v>25.7897792</v>
      </c>
      <c r="F7008" s="38" t="n">
        <f aca="false">Sens!$F$7003*Sens!$F$7000</f>
        <v>67.4948715189913</v>
      </c>
      <c r="G7008" s="38" t="n">
        <f aca="false">Sens!$E$7008+Sens!$F$7008</f>
        <v>93.2846507189913</v>
      </c>
      <c r="H7008" s="38" t="n">
        <f aca="false">(Sens!$H$7003-Sens!$H$7002)*Sens!$H$7000+Sens!$H$7002</f>
        <v>152.52478394475</v>
      </c>
      <c r="I7008" s="38" t="n">
        <f aca="false">(Sens!$I$7003-Sens!$I$7002)*Sens!$I$7000+Sens!$I$7002</f>
        <v>158.5998889105</v>
      </c>
      <c r="J7008" s="38" t="n">
        <f aca="false">(Sens!$J$7003-Sens!$J$7002)*Sens!$J$7000+Sens!$J$7002</f>
        <v>163.8366571105</v>
      </c>
      <c r="K7008" s="38" t="n">
        <f aca="false">(Sens!$K$7003-Sens!$K$7002)*Sens!$K$7000+Sens!$K$7002</f>
        <v>122.665498273534</v>
      </c>
      <c r="L7008" s="38" t="n">
        <f aca="false">(Sens!$L$7003-Sens!$L$7002)*Sens!$L$7000+Sens!$L$7002</f>
        <v>112.914948636568</v>
      </c>
      <c r="M7008" s="38" t="n">
        <f aca="false">(Sens!$M$7003-Sens!$M$7002)*Sens!$M$7000+Sens!$M$7002</f>
        <v>126.605482654852</v>
      </c>
      <c r="R7008" s="38" t="n">
        <f aca="false">Sens!$R$7003*Sens!$C$7000</f>
        <v>1.09927679019314</v>
      </c>
      <c r="S7008" s="38" t="n">
        <f aca="false">Sens!$C$7008</f>
        <v>8.2530642</v>
      </c>
      <c r="T7008" s="38" t="n">
        <f aca="false">Sens!$D$7008</f>
        <v>37.1387889</v>
      </c>
      <c r="U7008" s="38" t="n">
        <f aca="false">Sens!$G$7008</f>
        <v>93.2846507189913</v>
      </c>
      <c r="V7008" s="38" t="n">
        <f aca="false">Sens!$H$7008</f>
        <v>152.52478394475</v>
      </c>
      <c r="W7008" s="38" t="n">
        <f aca="false">Sens!$I$7008</f>
        <v>158.5998889105</v>
      </c>
      <c r="X7008" s="38" t="n">
        <f aca="false">Sens!$J$7008</f>
        <v>163.8366571105</v>
      </c>
      <c r="Y7008" s="38" t="n">
        <f aca="false">Sens!$K$7008</f>
        <v>122.665498273534</v>
      </c>
      <c r="Z7008" s="38" t="n">
        <f aca="false">Sens!$L$7008</f>
        <v>112.914948636568</v>
      </c>
      <c r="AA7008" s="38" t="n">
        <f aca="false">Sens!$M$7008</f>
        <v>126.605482654852</v>
      </c>
    </row>
    <row r="7009" customFormat="false" ht="15" hidden="false" customHeight="false" outlineLevel="0" collapsed="false">
      <c r="A7009" s="5" t="s">
        <v>646</v>
      </c>
      <c r="B7009" s="0" t="s">
        <v>86</v>
      </c>
      <c r="C7009" s="38" t="n">
        <f aca="false">Sens!$C$7003-Sens!$C$7008</f>
        <v>3.0408</v>
      </c>
      <c r="D7009" s="38" t="n">
        <f aca="false">Sens!$D$7003-Sens!$D$7008</f>
        <v>13.6836</v>
      </c>
      <c r="E7009" s="38" t="n">
        <f aca="false">Sens!$E$7003-Sens!$E$7008</f>
        <v>8.1088</v>
      </c>
      <c r="F7009" s="38" t="n">
        <f aca="false">Sens!$F$7003-Sens!$F$7008</f>
        <v>21.2216789422221</v>
      </c>
      <c r="G7009" s="38" t="n">
        <f aca="false">Sens!$G$7003-Sens!$G$7008</f>
        <v>29.3304789422221</v>
      </c>
      <c r="H7009" s="38" t="n">
        <f aca="false">Sens!$H$7003-Sens!$H$7008</f>
        <v>46.046581</v>
      </c>
      <c r="I7009" s="38" t="n">
        <f aca="false">Sens!$I$7003-Sens!$I$7008</f>
        <v>46.046581</v>
      </c>
      <c r="J7009" s="38" t="n">
        <f aca="false">Sens!$J$7003-Sens!$J$7008</f>
        <v>46.046581</v>
      </c>
      <c r="K7009" s="38" t="n">
        <f aca="false">Sens!$K$7003-Sens!$K$7008</f>
        <v>32.5728870016667</v>
      </c>
      <c r="L7009" s="38" t="n">
        <f aca="false">Sens!$L$7003-Sens!$L$7008</f>
        <v>19.0991930033334</v>
      </c>
      <c r="M7009" s="38" t="n">
        <f aca="false">Sens!$M$7003-Sens!$M$7008</f>
        <v>5.62549900499998</v>
      </c>
      <c r="R7009" s="38" t="n">
        <f aca="false">Sens!$R$7003-Sens!$R$7008</f>
        <v>0.405023005106309</v>
      </c>
      <c r="S7009" s="38" t="n">
        <f aca="false">Sens!$S$7003-Sens!$S$7008</f>
        <v>3.0408</v>
      </c>
      <c r="T7009" s="38" t="n">
        <f aca="false">Sens!$T$7003-Sens!$T$7008</f>
        <v>13.6836</v>
      </c>
      <c r="U7009" s="38" t="n">
        <f aca="false">Sens!$U$7003-Sens!$U$7008</f>
        <v>29.3304789422221</v>
      </c>
      <c r="V7009" s="38" t="n">
        <f aca="false">Sens!$V$7003-Sens!$V$7008</f>
        <v>46.046581</v>
      </c>
      <c r="W7009" s="38" t="n">
        <f aca="false">Sens!$W$7003-Sens!$W$7008</f>
        <v>46.046581</v>
      </c>
      <c r="X7009" s="38" t="n">
        <f aca="false">Sens!$X$7003-Sens!$X$7008</f>
        <v>46.046581</v>
      </c>
      <c r="Y7009" s="38" t="n">
        <f aca="false">Sens!$Y$7003-Sens!$Y$7008</f>
        <v>32.5728870016667</v>
      </c>
      <c r="Z7009" s="38" t="n">
        <f aca="false">Sens!$Z$7003-Sens!$Z$7008</f>
        <v>19.0991930033334</v>
      </c>
      <c r="AA7009" s="38" t="n">
        <f aca="false">Sens!$AA$7003-Sens!$AA$7008</f>
        <v>5.62549900499998</v>
      </c>
    </row>
    <row r="7010" customFormat="false" ht="17.15" hidden="false" customHeight="false" outlineLevel="0" collapsed="false">
      <c r="A7010" s="0" t="s">
        <v>647</v>
      </c>
      <c r="B7010" s="0" t="s">
        <v>52</v>
      </c>
      <c r="C7010" s="13" t="n">
        <f aca="false">Sens!$C$7001/Sens!$C$7126</f>
        <v>0.325505489553393</v>
      </c>
      <c r="D7010" s="13" t="n">
        <f aca="false">Sens!$D$7001/Sens!$D$7126</f>
        <v>0.54214956071542</v>
      </c>
      <c r="E7010" s="13" t="n">
        <f aca="false">Sens!$E$7001/Sens!$E$7126</f>
        <v>0.666492790452817</v>
      </c>
      <c r="F7010" s="13" t="n">
        <f aca="false">Sens!$F$7001/Sens!$F$7126</f>
        <v>0.71724917504417</v>
      </c>
      <c r="G7010" s="13" t="n">
        <f aca="false">Sens!$G$7001/Sens!$G$7126</f>
        <v>0.69502941413511</v>
      </c>
      <c r="H7010" s="13" t="n">
        <f aca="false">Sens!$H$7001/Sens!$H$7126</f>
        <v>0.726376041178204</v>
      </c>
      <c r="I7010" s="13" t="n">
        <f aca="false">Sens!$I$7001/Sens!$I$7126</f>
        <v>0.713099092661699</v>
      </c>
      <c r="J7010" s="13" t="n">
        <f aca="false">Sens!$J$7001/Sens!$J$7126</f>
        <v>0.701208348786245</v>
      </c>
      <c r="K7010" s="13" t="n">
        <f aca="false">Sens!$K$7001/Sens!$K$7126</f>
        <v>0.618338844562383</v>
      </c>
      <c r="L7010" s="13" t="n">
        <f aca="false">Sens!$L$7001/Sens!$L$7126</f>
        <v>0.562489158462506</v>
      </c>
      <c r="M7010" s="13" t="n">
        <f aca="false">Sens!$M$7001/Sens!$M$7126</f>
        <v>0.545751190895923</v>
      </c>
    </row>
    <row r="7011" customFormat="false" ht="17.15" hidden="false" customHeight="false" outlineLevel="0" collapsed="false">
      <c r="A7011" s="0" t="s">
        <v>648</v>
      </c>
      <c r="B7011" s="0" t="s">
        <v>86</v>
      </c>
      <c r="C7011" s="38" t="n">
        <f aca="false">Sens!$S$7011</f>
        <v>0.183212798365523</v>
      </c>
      <c r="D7011" s="38" t="n">
        <f aca="false">Sens!$T$7011</f>
        <v>1.55872349836552</v>
      </c>
      <c r="E7011" s="38" t="n">
        <f aca="false">Sens!$G$7011/2</f>
        <v>4.72585036583285</v>
      </c>
      <c r="F7011" s="38" t="n">
        <f aca="false">Sens!$G$7011/2</f>
        <v>4.72585036583285</v>
      </c>
      <c r="G7011" s="38" t="n">
        <f aca="false">Sens!$U$7011</f>
        <v>9.4517007316657</v>
      </c>
      <c r="H7011" s="38" t="n">
        <f aca="false">Sens!$V$7011</f>
        <v>27.2822988413376</v>
      </c>
      <c r="I7011" s="38" t="n">
        <f aca="false">Sens!$W$7011</f>
        <v>56.5439995605568</v>
      </c>
      <c r="J7011" s="38" t="n">
        <f aca="false">Sens!$X$7011</f>
        <v>82.9773143789735</v>
      </c>
      <c r="K7011" s="38" t="n">
        <f aca="false">Sens!$Y$7011</f>
        <v>110.100211099025</v>
      </c>
      <c r="L7011" s="38" t="n">
        <f aca="false">Sens!$Z$7011</f>
        <v>129.16895011128</v>
      </c>
      <c r="M7011" s="38" t="n">
        <f aca="false">Sens!$AA$7011</f>
        <v>140.095130984075</v>
      </c>
      <c r="N7011" s="38" t="n">
        <f aca="false">Sens!$D$7011/2</f>
        <v>0.779361749182762</v>
      </c>
      <c r="O7011" s="38" t="n">
        <f aca="false">Sens!$D$7011/2</f>
        <v>0.779361749182762</v>
      </c>
      <c r="R7011" s="38" t="n">
        <f aca="false">(SUMPRODUCT(--(Sens!$R$6971:$AA$6971&lt;Sens!R$6971),--(Sens!$R$6971:$AA$6971&gt;=Sens!R$6971-tk_life),Sens!$R$7008:$AA$7008)+SUMPRODUCT(--(Sens!$R$6971:$AA$6971&lt;Sens!R$6971),--(Sens!$R$6971:$AA$6971&gt;=Sens!R$6971-tk_life),Sens!$R$7006:$AA$7006))/tk_life</f>
        <v>0</v>
      </c>
      <c r="S7011" s="38" t="n">
        <f aca="false">(SUMPRODUCT(--(Sens!$R$6971:$AA$6971&lt;Sens!S$6971),--(Sens!$R$6971:$AA$6971&gt;=Sens!S$6971-tk_life),Sens!$R$7008:$AA$7008)+SUMPRODUCT(--(Sens!$R$6971:$AA$6971&lt;Sens!S$6971),--(Sens!$R$6971:$AA$6971&gt;=Sens!S$6971-tk_life),Sens!$R$7006:$AA$7006))/tk_life</f>
        <v>0.183212798365523</v>
      </c>
      <c r="T7011" s="38" t="n">
        <f aca="false">(SUMPRODUCT(--(Sens!$R$6971:$AA$6971&lt;Sens!T$6971),--(Sens!$R$6971:$AA$6971&gt;=Sens!T$6971-tk_life),Sens!$R$7008:$AA$7008)+SUMPRODUCT(--(Sens!$R$6971:$AA$6971&lt;Sens!T$6971),--(Sens!$R$6971:$AA$6971&gt;=Sens!T$6971-tk_life),Sens!$R$7006:$AA$7006))/tk_life</f>
        <v>1.55872349836552</v>
      </c>
      <c r="U7011" s="38" t="n">
        <f aca="false">(SUMPRODUCT(--(Sens!$R$6971:$AA$6971&lt;Sens!U$6971),--(Sens!$R$6971:$AA$6971&gt;=Sens!U$6971-tk_life),Sens!$R$7008:$AA$7008)+SUMPRODUCT(--(Sens!$R$6971:$AA$6971&lt;Sens!U$6971),--(Sens!$R$6971:$AA$6971&gt;=Sens!U$6971-tk_life),Sens!$R$7006:$AA$7006))/tk_life</f>
        <v>9.4517007316657</v>
      </c>
      <c r="V7011" s="38" t="n">
        <f aca="false">(SUMPRODUCT(--(Sens!$R$6971:$AA$6971&lt;Sens!V$6971),--(Sens!$R$6971:$AA$6971&gt;=Sens!V$6971-tk_life),Sens!$R$7008:$AA$7008)+SUMPRODUCT(--(Sens!$R$6971:$AA$6971&lt;Sens!V$6971),--(Sens!$R$6971:$AA$6971&gt;=Sens!V$6971-tk_life),Sens!$R$7006:$AA$7006))/tk_life</f>
        <v>27.2822988413376</v>
      </c>
      <c r="W7011" s="38" t="n">
        <f aca="false">(SUMPRODUCT(--(Sens!$R$6971:$AA$6971&lt;Sens!W$6971),--(Sens!$R$6971:$AA$6971&gt;=Sens!W$6971-tk_life),Sens!$R$7008:$AA$7008)+SUMPRODUCT(--(Sens!$R$6971:$AA$6971&lt;Sens!W$6971),--(Sens!$R$6971:$AA$6971&gt;=Sens!W$6971-tk_life),Sens!$R$7006:$AA$7006))/tk_life</f>
        <v>56.5439995605568</v>
      </c>
      <c r="X7011" s="38" t="n">
        <f aca="false">(SUMPRODUCT(--(Sens!$R$6971:$AA$6971&lt;Sens!X$6971),--(Sens!$R$6971:$AA$6971&gt;=Sens!X$6971-tk_life),Sens!$R$7008:$AA$7008)+SUMPRODUCT(--(Sens!$R$6971:$AA$6971&lt;Sens!X$6971),--(Sens!$R$6971:$AA$6971&gt;=Sens!X$6971-tk_life),Sens!$R$7006:$AA$7006))/tk_life</f>
        <v>82.9773143789735</v>
      </c>
      <c r="Y7011" s="38" t="n">
        <f aca="false">(SUMPRODUCT(--(Sens!$R$6971:$AA$6971&lt;Sens!Y$6971),--(Sens!$R$6971:$AA$6971&gt;=Sens!Y$6971-tk_life),Sens!$R$7008:$AA$7008)+SUMPRODUCT(--(Sens!$R$6971:$AA$6971&lt;Sens!Y$6971),--(Sens!$R$6971:$AA$6971&gt;=Sens!Y$6971-tk_life),Sens!$R$7006:$AA$7006))/tk_life</f>
        <v>110.100211099025</v>
      </c>
      <c r="Z7011" s="38" t="n">
        <f aca="false">(SUMPRODUCT(--(Sens!$R$6971:$AA$6971&lt;Sens!Z$6971),--(Sens!$R$6971:$AA$6971&gt;=Sens!Z$6971-tk_life),Sens!$R$7008:$AA$7008)+SUMPRODUCT(--(Sens!$R$6971:$AA$6971&lt;Sens!Z$6971),--(Sens!$R$6971:$AA$6971&gt;=Sens!Z$6971-tk_life),Sens!$R$7006:$AA$7006))/tk_life</f>
        <v>129.16895011128</v>
      </c>
      <c r="AA7011" s="38" t="n">
        <f aca="false">(SUMPRODUCT(--(Sens!$R$6971:$AA$6971&lt;Sens!AA$6971),--(Sens!$R$6971:$AA$6971&gt;=Sens!AA$6971-tk_life),Sens!$R$7008:$AA$7008)+SUMPRODUCT(--(Sens!$R$6971:$AA$6971&lt;Sens!AA$6971),--(Sens!$R$6971:$AA$6971&gt;=Sens!AA$6971-tk_life),Sens!$R$7006:$AA$7006))/tk_life</f>
        <v>140.095130984075</v>
      </c>
    </row>
    <row r="7012" customFormat="false" ht="17.15" hidden="false" customHeight="false" outlineLevel="0" collapsed="false">
      <c r="A7012" s="0" t="s">
        <v>649</v>
      </c>
      <c r="B7012" s="0" t="s">
        <v>86</v>
      </c>
      <c r="C7012" s="38" t="n">
        <f aca="false">Sens!$S$7012</f>
        <v>0.0202511502553155</v>
      </c>
      <c r="D7012" s="38" t="n">
        <f aca="false">Sens!$T$7012</f>
        <v>0.172291150255315</v>
      </c>
      <c r="E7012" s="38" t="n">
        <f aca="false">Sens!$G$7012/2</f>
        <v>0.522364740326067</v>
      </c>
      <c r="F7012" s="38" t="n">
        <f aca="false">Sens!$G$7012/2</f>
        <v>0.522364740326067</v>
      </c>
      <c r="G7012" s="38" t="n">
        <f aca="false">Sens!$U$7012</f>
        <v>1.04472948065213</v>
      </c>
      <c r="H7012" s="38" t="n">
        <f aca="false">Sens!$V$7012</f>
        <v>2.76361866736136</v>
      </c>
      <c r="I7012" s="38" t="n">
        <f aca="false">Sens!$W$7012</f>
        <v>5.42824377125863</v>
      </c>
      <c r="J7012" s="38" t="n">
        <f aca="false">Sens!$X$7012</f>
        <v>7.73057282125864</v>
      </c>
      <c r="K7012" s="38" t="n">
        <f aca="false">Sens!$Y$7012</f>
        <v>10.0329018712586</v>
      </c>
      <c r="L7012" s="38" t="n">
        <f aca="false">Sens!$Z$7012</f>
        <v>11.661546221342</v>
      </c>
      <c r="M7012" s="38" t="n">
        <f aca="false">Sens!$AA$7012</f>
        <v>12.6165058715086</v>
      </c>
      <c r="N7012" s="38" t="n">
        <f aca="false">Sens!$D$7012/2</f>
        <v>0.0861455751276577</v>
      </c>
      <c r="O7012" s="38" t="n">
        <f aca="false">Sens!$D$7012/2</f>
        <v>0.0861455751276577</v>
      </c>
      <c r="R7012" s="38" t="n">
        <f aca="false">(SUMPRODUCT(--(Sens!$R$6971:$AA$6971&lt;Sens!R$6971),Sens!$R$7009:$AA$7009)+SUMPRODUCT(--(Sens!$R$6971:$AA$6971&lt;Sens!R$6971),Sens!$R$7007:$AA$7007))/fac_life</f>
        <v>0</v>
      </c>
      <c r="S7012" s="38" t="n">
        <f aca="false">(SUMPRODUCT(--(Sens!$R$6971:$AA$6971&lt;Sens!S$6971),Sens!$R$7009:$AA$7009)+SUMPRODUCT(--(Sens!$R$6971:$AA$6971&lt;Sens!S$6971),Sens!$R$7007:$AA$7007))/fac_life</f>
        <v>0.0202511502553155</v>
      </c>
      <c r="T7012" s="38" t="n">
        <f aca="false">(SUMPRODUCT(--(Sens!$R$6971:$AA$6971&lt;Sens!T$6971),Sens!$R$7009:$AA$7009)+SUMPRODUCT(--(Sens!$R$6971:$AA$6971&lt;Sens!T$6971),Sens!$R$7007:$AA$7007))/fac_life</f>
        <v>0.172291150255315</v>
      </c>
      <c r="U7012" s="38" t="n">
        <f aca="false">(SUMPRODUCT(--(Sens!$R$6971:$AA$6971&lt;Sens!U$6971),Sens!$R$7009:$AA$7009)+SUMPRODUCT(--(Sens!$R$6971:$AA$6971&lt;Sens!U$6971),Sens!$R$7007:$AA$7007))/fac_life</f>
        <v>1.04472948065213</v>
      </c>
      <c r="V7012" s="38" t="n">
        <f aca="false">(SUMPRODUCT(--(Sens!$R$6971:$AA$6971&lt;Sens!V$6971),Sens!$R$7009:$AA$7009)+SUMPRODUCT(--(Sens!$R$6971:$AA$6971&lt;Sens!V$6971),Sens!$R$7007:$AA$7007))/fac_life</f>
        <v>2.76361866736136</v>
      </c>
      <c r="W7012" s="38" t="n">
        <f aca="false">(SUMPRODUCT(--(Sens!$R$6971:$AA$6971&lt;Sens!W$6971),Sens!$R$7009:$AA$7009)+SUMPRODUCT(--(Sens!$R$6971:$AA$6971&lt;Sens!W$6971),Sens!$R$7007:$AA$7007))/fac_life</f>
        <v>5.42824377125863</v>
      </c>
      <c r="X7012" s="38" t="n">
        <f aca="false">(SUMPRODUCT(--(Sens!$R$6971:$AA$6971&lt;Sens!X$6971),Sens!$R$7009:$AA$7009)+SUMPRODUCT(--(Sens!$R$6971:$AA$6971&lt;Sens!X$6971),Sens!$R$7007:$AA$7007))/fac_life</f>
        <v>7.73057282125864</v>
      </c>
      <c r="Y7012" s="38" t="n">
        <f aca="false">(SUMPRODUCT(--(Sens!$R$6971:$AA$6971&lt;Sens!Y$6971),Sens!$R$7009:$AA$7009)+SUMPRODUCT(--(Sens!$R$6971:$AA$6971&lt;Sens!Y$6971),Sens!$R$7007:$AA$7007))/fac_life</f>
        <v>10.0329018712586</v>
      </c>
      <c r="Z7012" s="38" t="n">
        <f aca="false">(SUMPRODUCT(--(Sens!$R$6971:$AA$6971&lt;Sens!Z$6971),Sens!$R$7009:$AA$7009)+SUMPRODUCT(--(Sens!$R$6971:$AA$6971&lt;Sens!Z$6971),Sens!$R$7007:$AA$7007))/fac_life</f>
        <v>11.661546221342</v>
      </c>
      <c r="AA7012" s="38" t="n">
        <f aca="false">(SUMPRODUCT(--(Sens!$R$6971:$AA$6971&lt;Sens!AA$6971),Sens!$R$7009:$AA$7009)+SUMPRODUCT(--(Sens!$R$6971:$AA$6971&lt;Sens!AA$6971),Sens!$R$7007:$AA$7007))/fac_life</f>
        <v>12.6165058715086</v>
      </c>
    </row>
    <row r="7013" customFormat="false" ht="17.15" hidden="false" customHeight="false" outlineLevel="0" collapsed="false">
      <c r="A7013" s="1" t="s">
        <v>650</v>
      </c>
      <c r="B7013" s="8" t="s">
        <v>86</v>
      </c>
      <c r="C7013" s="38" t="n">
        <f aca="false">Sens!$C$7011+Sens!$C$7012</f>
        <v>0.203463948620839</v>
      </c>
      <c r="D7013" s="38" t="n">
        <f aca="false">Sens!$D$7011+Sens!$D$7012</f>
        <v>1.73101464862084</v>
      </c>
      <c r="E7013" s="38" t="n">
        <f aca="false">Sens!$E$7011+Sens!$E$7012</f>
        <v>5.24821510615892</v>
      </c>
      <c r="F7013" s="38" t="n">
        <f aca="false">Sens!$F$7011+Sens!$F$7012</f>
        <v>5.24821510615892</v>
      </c>
      <c r="G7013" s="38" t="n">
        <f aca="false">Sens!$G$7011+Sens!$G$7012</f>
        <v>10.4964302123178</v>
      </c>
      <c r="H7013" s="38" t="n">
        <f aca="false">Sens!$H$7011+Sens!$H$7012</f>
        <v>30.045917508699</v>
      </c>
      <c r="I7013" s="38" t="n">
        <f aca="false">Sens!$I$7011+Sens!$I$7012</f>
        <v>61.9722433318155</v>
      </c>
      <c r="J7013" s="38" t="n">
        <f aca="false">Sens!$J$7011+Sens!$J$7012</f>
        <v>90.7078872002321</v>
      </c>
      <c r="K7013" s="38" t="n">
        <f aca="false">Sens!$K$7011+Sens!$K$7012</f>
        <v>120.133112970283</v>
      </c>
      <c r="L7013" s="38" t="n">
        <f aca="false">Sens!$L$7011+Sens!$L$7012</f>
        <v>140.830496332622</v>
      </c>
      <c r="M7013" s="38" t="n">
        <f aca="false">Sens!$M$7011+Sens!$M$7012</f>
        <v>152.711636855584</v>
      </c>
      <c r="N7013" s="38" t="n">
        <f aca="false">Sens!$N$7011+Sens!$N$7012</f>
        <v>0.865507324310419</v>
      </c>
      <c r="O7013" s="38" t="n">
        <f aca="false">Sens!$O$7011+Sens!$O$7012</f>
        <v>0.865507324310419</v>
      </c>
      <c r="R7013" s="38" t="n">
        <f aca="false">Sens!$R$7011+Sens!$R$7012</f>
        <v>0</v>
      </c>
      <c r="S7013" s="38" t="n">
        <f aca="false">Sens!$S$7011+Sens!$S$7012</f>
        <v>0.203463948620839</v>
      </c>
      <c r="T7013" s="38" t="n">
        <f aca="false">Sens!$T$7011+Sens!$T$7012</f>
        <v>1.73101464862084</v>
      </c>
      <c r="U7013" s="38" t="n">
        <f aca="false">Sens!$U$7011+Sens!$U$7012</f>
        <v>10.4964302123178</v>
      </c>
      <c r="V7013" s="38" t="n">
        <f aca="false">Sens!$V$7011+Sens!$V$7012</f>
        <v>30.045917508699</v>
      </c>
      <c r="W7013" s="38" t="n">
        <f aca="false">Sens!$W$7011+Sens!$W$7012</f>
        <v>61.9722433318155</v>
      </c>
      <c r="X7013" s="38" t="n">
        <f aca="false">Sens!$X$7011+Sens!$X$7012</f>
        <v>90.7078872002321</v>
      </c>
      <c r="Y7013" s="38" t="n">
        <f aca="false">Sens!$Y$7011+Sens!$Y$7012</f>
        <v>120.133112970283</v>
      </c>
      <c r="Z7013" s="38" t="n">
        <f aca="false">Sens!$Z$7011+Sens!$Z$7012</f>
        <v>140.830496332622</v>
      </c>
      <c r="AA7013" s="38" t="n">
        <f aca="false">Sens!$AA$7011+Sens!$AA$7012</f>
        <v>152.711636855584</v>
      </c>
    </row>
    <row r="7014" customFormat="false" ht="17.15" hidden="false" customHeight="false" outlineLevel="0" collapsed="false">
      <c r="A7014" s="0" t="s">
        <v>651</v>
      </c>
      <c r="B7014" s="0" t="s">
        <v>86</v>
      </c>
      <c r="C7014" s="38" t="n">
        <f aca="false">Sens!$S$7014</f>
        <v>26.578941154416</v>
      </c>
      <c r="D7014" s="38" t="n">
        <f aca="false">Sens!$T$7014</f>
        <v>94.4165581367978</v>
      </c>
      <c r="G7014" s="38" t="n">
        <f aca="false">Sens!$U$7014</f>
        <v>236.826599034204</v>
      </c>
      <c r="H7014" s="38" t="n">
        <f aca="false">Sens!$V$7014</f>
        <v>405.352046470255</v>
      </c>
      <c r="I7014" s="38" t="n">
        <f aca="false">Sens!$W$7014</f>
        <v>548.02627304894</v>
      </c>
      <c r="J7014" s="38" t="n">
        <f aca="false">Sens!$X$7014</f>
        <v>667.201623959208</v>
      </c>
      <c r="K7014" s="38" t="n">
        <f aca="false">Sens!$Y$7014</f>
        <v>702.306896264125</v>
      </c>
      <c r="L7014" s="38" t="n">
        <f aca="false">Sens!$Z$7014</f>
        <v>693.490541571405</v>
      </c>
      <c r="M7014" s="38" t="n">
        <f aca="false">Sens!$AA$7014</f>
        <v>673.009886375674</v>
      </c>
      <c r="R7014" s="38" t="n">
        <f aca="false">SUM(Sens!$R$7001:$R$7001)-SUM(Sens!$R$7013:$R$7013)</f>
        <v>1.50429979529945</v>
      </c>
      <c r="S7014" s="38" t="n">
        <f aca="false">SUM(Sens!$R$7001:$S$7001)-SUM(Sens!$R$7013:$S$7013)</f>
        <v>26.578941154416</v>
      </c>
      <c r="T7014" s="38" t="n">
        <f aca="false">SUM(Sens!$R$7001:$T$7001)-SUM(Sens!$R$7013:$T$7013)</f>
        <v>94.4165581367978</v>
      </c>
      <c r="U7014" s="38" t="n">
        <f aca="false">SUM(Sens!$R$7001:$U$7001)-SUM(Sens!$R$7013:$U$7013)</f>
        <v>236.826599034204</v>
      </c>
      <c r="V7014" s="38" t="n">
        <f aca="false">SUM(Sens!$R$7001:$V$7001)-SUM(Sens!$R$7013:$V$7013)</f>
        <v>405.352046470255</v>
      </c>
      <c r="W7014" s="38" t="n">
        <f aca="false">SUM(Sens!$R$7001:$W$7001)-SUM(Sens!$R$7013:$W$7013)</f>
        <v>548.02627304894</v>
      </c>
      <c r="X7014" s="38" t="n">
        <f aca="false">SUM(Sens!$R$7001:$X$7001)-SUM(Sens!$R$7013:$X$7013)</f>
        <v>667.201623959208</v>
      </c>
      <c r="Y7014" s="38" t="n">
        <f aca="false">SUM(Sens!$R$7001:$Y$7001)-SUM(Sens!$R$7013:$Y$7013)</f>
        <v>702.306896264125</v>
      </c>
      <c r="Z7014" s="38" t="n">
        <f aca="false">SUM(Sens!$R$7001:$Z$7001)-SUM(Sens!$R$7013:$Z$7013)</f>
        <v>693.490541571405</v>
      </c>
      <c r="AA7014" s="38" t="n">
        <f aca="false">SUM(Sens!$R$7001:$AA$7001)-SUM(Sens!$R$7013:$AA$7013)</f>
        <v>673.009886375674</v>
      </c>
    </row>
    <row r="7015" customFormat="false" ht="17.15" hidden="false" customHeight="false" outlineLevel="0" collapsed="false">
      <c r="A7015" s="1" t="s">
        <v>652</v>
      </c>
    </row>
    <row r="7016" customFormat="false" ht="17.15" hidden="false" customHeight="false" outlineLevel="0" collapsed="false">
      <c r="A7016" s="0" t="s">
        <v>653</v>
      </c>
      <c r="B7016" s="0" t="s">
        <v>86</v>
      </c>
      <c r="C7016" s="38" t="n">
        <f aca="false">Sens!$C$6992-ext_sh*Sens!$C$6994</f>
        <v>1.80694998843362</v>
      </c>
      <c r="D7016" s="38" t="n">
        <f aca="false">Sens!$D$6992-ext_sh*Sens!$D$6994</f>
        <v>6.77606245662607</v>
      </c>
      <c r="E7016" s="38" t="n">
        <f aca="false">Sens!$E$6992-ext_sh*Sens!$E$6994</f>
        <v>6.62548329092326</v>
      </c>
      <c r="F7016" s="38" t="n">
        <f aca="false">Sens!$F$6992-ext_sh*Sens!$F$6994</f>
        <v>11.7200577158706</v>
      </c>
      <c r="G7016" s="38" t="n">
        <f aca="false">Sens!$G$6992-ext_sh*Sens!$G$6994</f>
        <v>18.3455410067939</v>
      </c>
      <c r="H7016" s="38" t="n">
        <f aca="false">Sens!$H$6992-ext_sh*Sens!$H$6994</f>
        <v>47.5171727060453</v>
      </c>
      <c r="I7016" s="38" t="n">
        <f aca="false">Sens!$I$6992-ext_sh*Sens!$I$6994</f>
        <v>80.5539692643667</v>
      </c>
      <c r="J7016" s="38" t="n">
        <f aca="false">Sens!$J$6992-ext_sh*Sens!$J$6994</f>
        <v>113.759316834883</v>
      </c>
      <c r="K7016" s="38" t="n">
        <f aca="false">Sens!$K$6992-ext_sh*Sens!$K$6994</f>
        <v>142.084411492169</v>
      </c>
      <c r="L7016" s="38" t="n">
        <f aca="false">Sens!$L$6992-ext_sh*Sens!$L$6994</f>
        <v>160.69964615804</v>
      </c>
      <c r="M7016" s="38" t="n">
        <f aca="false">Sens!$M$6992-ext_sh*Sens!$M$6994</f>
        <v>169.577607141793</v>
      </c>
      <c r="N7016" s="38" t="n">
        <f aca="false">Sens!$N$6992-ext_sh*Sens!$N$6994</f>
        <v>2.37162185981912</v>
      </c>
      <c r="O7016" s="38" t="n">
        <f aca="false">Sens!$O$6992-ext_sh*Sens!$O$6994</f>
        <v>4.40444059680694</v>
      </c>
    </row>
    <row r="7017" customFormat="false" ht="17.15" hidden="false" customHeight="false" outlineLevel="0" collapsed="false">
      <c r="A7017" s="1" t="s">
        <v>654</v>
      </c>
      <c r="B7017" s="8" t="s">
        <v>86</v>
      </c>
      <c r="C7017" s="38" t="n">
        <f aca="false">Sens!$C$7016-ext_sh*Sens!$C$7013</f>
        <v>1.64417882953695</v>
      </c>
      <c r="D7017" s="38" t="n">
        <f aca="false">Sens!$D$7016-ext_sh*Sens!$D$7013</f>
        <v>5.39125073772939</v>
      </c>
      <c r="E7017" s="38" t="n">
        <f aca="false">Sens!$E$7016-ext_sh*Sens!$E$7013</f>
        <v>2.42691120599613</v>
      </c>
      <c r="F7017" s="38" t="n">
        <f aca="false">Sens!$F$7016-ext_sh*Sens!$F$7013</f>
        <v>7.52148563094346</v>
      </c>
      <c r="G7017" s="38" t="n">
        <f aca="false">Sens!$G$7016-ext_sh*Sens!$G$7013</f>
        <v>9.94839683693959</v>
      </c>
      <c r="H7017" s="38" t="n">
        <f aca="false">Sens!$H$7016-ext_sh*Sens!$H$7013</f>
        <v>23.4804386990861</v>
      </c>
      <c r="I7017" s="38" t="n">
        <f aca="false">Sens!$I$7016-ext_sh*Sens!$I$7013</f>
        <v>30.9761745989143</v>
      </c>
      <c r="J7017" s="38" t="n">
        <f aca="false">Sens!$J$7016-ext_sh*Sens!$J$7013</f>
        <v>41.1930070746977</v>
      </c>
      <c r="K7017" s="38" t="n">
        <f aca="false">Sens!$K$7016-ext_sh*Sens!$K$7013</f>
        <v>45.9779211159428</v>
      </c>
      <c r="L7017" s="38" t="n">
        <f aca="false">Sens!$L$7016-ext_sh*Sens!$L$7013</f>
        <v>48.0352490919424</v>
      </c>
      <c r="M7017" s="38" t="n">
        <f aca="false">Sens!$M$7016-ext_sh*Sens!$M$7013</f>
        <v>47.4082976573265</v>
      </c>
      <c r="N7017" s="38" t="n">
        <f aca="false">Sens!$N$7016-ext_sh*Sens!$N$7013</f>
        <v>1.67921600037079</v>
      </c>
      <c r="O7017" s="38" t="n">
        <f aca="false">Sens!$O$7016-ext_sh*Sens!$O$7013</f>
        <v>3.71203473735861</v>
      </c>
    </row>
    <row r="7018" customFormat="false" ht="17.15" hidden="false" customHeight="false" outlineLevel="0" collapsed="false">
      <c r="A7018" s="0" t="s">
        <v>655</v>
      </c>
      <c r="B7018" s="0" t="s">
        <v>52</v>
      </c>
      <c r="C7018" s="13" t="n">
        <f aca="false">Sens!$C$7017/Sens!$C$6992</f>
        <v>0.708390794789371</v>
      </c>
      <c r="D7018" s="13" t="n">
        <f aca="false">Sens!$D$7017/Sens!$D$6992</f>
        <v>0.619415573115729</v>
      </c>
      <c r="E7018" s="13" t="n">
        <f aca="false">Sens!$E$7017/Sens!$E$6992</f>
        <v>0.285171627189009</v>
      </c>
      <c r="F7018" s="13" t="n">
        <f aca="false">Sens!$F$7017/Sens!$F$6992</f>
        <v>0.502657732812366</v>
      </c>
      <c r="G7018" s="13" t="n">
        <f aca="false">Sens!$G$7017/Sens!$G$6992</f>
        <v>0.423808778611812</v>
      </c>
      <c r="H7018" s="13" t="n">
        <f aca="false">Sens!$H$7017/Sens!$H$6992</f>
        <v>0.390261631739809</v>
      </c>
      <c r="I7018" s="13" t="n">
        <f aca="false">Sens!$I$7017/Sens!$I$6992</f>
        <v>0.305172864264572</v>
      </c>
      <c r="J7018" s="13" t="n">
        <f aca="false">Sens!$J$7017/Sens!$J$6992</f>
        <v>0.288011814789856</v>
      </c>
      <c r="K7018" s="13" t="n">
        <f aca="false">Sens!$K$7017/Sens!$K$6992</f>
        <v>0.25765427518774</v>
      </c>
      <c r="L7018" s="13" t="n">
        <f aca="false">Sens!$L$7017/Sens!$L$6992</f>
        <v>0.238118778012374</v>
      </c>
      <c r="M7018" s="13" t="n">
        <f aca="false">Sens!$M$7017/Sens!$M$6992</f>
        <v>0.222746255757109</v>
      </c>
      <c r="N7018" s="13" t="n">
        <f aca="false">Sens!$N$7017/Sens!$N$6992</f>
        <v>0.551227795793364</v>
      </c>
      <c r="O7018" s="13" t="n">
        <f aca="false">Sens!$O$7017/Sens!$O$6992</f>
        <v>0.656132068597002</v>
      </c>
    </row>
    <row r="7019" customFormat="false" ht="17.15" hidden="false" customHeight="false" outlineLevel="0" collapsed="false">
      <c r="A7019" s="5" t="s">
        <v>656</v>
      </c>
      <c r="B7019" s="0" t="s">
        <v>86</v>
      </c>
      <c r="C7019" s="39" t="n">
        <v>0</v>
      </c>
      <c r="D7019" s="39" t="n">
        <v>0</v>
      </c>
      <c r="E7019" s="39" t="n">
        <v>0</v>
      </c>
      <c r="F7019" s="38" t="n">
        <f aca="false">IF(internal_ai_reading=2,1,0)*(1-ext_sh)/ext_sh*(mw_open*he_open+Sens!$F$6990*Sens!$F$6987)*Sens!$F$6976/1000</f>
        <v>3.77122048175818</v>
      </c>
      <c r="G7019" s="38" t="n">
        <f aca="false">Sens!$E$7019+Sens!$F$7019</f>
        <v>3.77122048175818</v>
      </c>
      <c r="H7019" s="38" t="n">
        <f aca="false">IF(internal_ai_reading=2,1,0)*(1-ext_sh)/ext_sh*(mw_open*he_open+Sens!$H$6990*Sens!$H$6987)*Sens!$H$6976/1000</f>
        <v>15.1635543609893</v>
      </c>
      <c r="I7019" s="38" t="n">
        <f aca="false">IF(internal_ai_reading=2,1,0)*(1-ext_sh)/ext_sh*(mw_open*he_open+Sens!$I$6990*Sens!$I$6987)*Sens!$I$6976/1000</f>
        <v>25.5818843619889</v>
      </c>
      <c r="J7019" s="38" t="n">
        <f aca="false">IF(internal_ai_reading=2,1,0)*(1-ext_sh)/ext_sh*(mw_open*he_open+Sens!$J$6990*Sens!$J$6987)*Sens!$J$6976/1000</f>
        <v>36.0465624179122</v>
      </c>
      <c r="K7019" s="38" t="n">
        <f aca="false">IF(internal_ai_reading=2,1,0)*(1-ext_sh)/ext_sh*(mw_open*he_open+Sens!$K$6990*Sens!$K$6987)*Sens!$K$6976/1000</f>
        <v>44.9741164026038</v>
      </c>
      <c r="L7019" s="38" t="n">
        <f aca="false">IF(internal_ai_reading=2,1,0)*(1-ext_sh)/ext_sh*(mw_open*he_open+Sens!$L$6990*Sens!$L$6987)*Sens!$L$6976/1000</f>
        <v>50.8413488057813</v>
      </c>
      <c r="M7019" s="38" t="n">
        <f aca="false">IF(internal_ai_reading=2,1,0)*(1-ext_sh)/ext_sh*(mw_open*he_open+Sens!$M$6990*Sens!$M$6987)*Sens!$M$6976/1000</f>
        <v>53.6407214274315</v>
      </c>
      <c r="N7019" s="39" t="n">
        <v>0</v>
      </c>
      <c r="O7019" s="39" t="n">
        <v>0</v>
      </c>
      <c r="P7019" s="8" t="s">
        <v>657</v>
      </c>
    </row>
    <row r="7020" customFormat="false" ht="17.15" hidden="false" customHeight="false" outlineLevel="0" collapsed="false">
      <c r="A7020" s="5" t="s">
        <v>658</v>
      </c>
      <c r="B7020" s="0" t="s">
        <v>86</v>
      </c>
      <c r="C7020" s="38" t="n">
        <f aca="false">(1-ext_sh)*(Sens!$C$6994+Sens!$C$7013)</f>
        <v>0.169206631859174</v>
      </c>
      <c r="D7020" s="38" t="n">
        <f aca="false">(1-ext_sh)*(Sens!$D$6994+Sens!$D$7013)</f>
        <v>0.828129837730442</v>
      </c>
      <c r="E7020" s="38" t="n">
        <f aca="false">(1-ext_sh)*(Sens!$E$6994+Sens!$E$7013)</f>
        <v>1.52086044239347</v>
      </c>
      <c r="F7020" s="38" t="n">
        <f aca="false">(1-ext_sh)*(Sens!$F$6994+Sens!$F$7013)</f>
        <v>1.86048700344425</v>
      </c>
      <c r="G7020" s="38" t="n">
        <f aca="false">(1-ext_sh)*(Sens!$G$6994+Sens!$G$7013)</f>
        <v>3.38134744583772</v>
      </c>
      <c r="H7020" s="38" t="n">
        <f aca="false">(1-ext_sh)*(Sens!$H$6994+Sens!$H$7013)</f>
        <v>9.17136301267211</v>
      </c>
      <c r="I7020" s="38" t="n">
        <f aca="false">(1-ext_sh)*(Sens!$I$6994+Sens!$I$7013)</f>
        <v>17.6318811343794</v>
      </c>
      <c r="J7020" s="38" t="n">
        <f aca="false">(1-ext_sh)*(Sens!$J$6994+Sens!$J$7013)</f>
        <v>25.4581000191451</v>
      </c>
      <c r="K7020" s="38" t="n">
        <f aca="false">(1-ext_sh)*(Sens!$K$6994+Sens!$K$7013)</f>
        <v>33.1175498168092</v>
      </c>
      <c r="L7020" s="38" t="n">
        <f aca="false">(1-ext_sh)*(Sens!$L$6994+Sens!$L$7013)</f>
        <v>38.4232131776135</v>
      </c>
      <c r="M7020" s="38" t="n">
        <f aca="false">(1-ext_sh)*(Sens!$M$6994+Sens!$M$7013)</f>
        <v>41.3567859278847</v>
      </c>
      <c r="N7020" s="38" t="n">
        <f aca="false">(1-ext_sh)*(Sens!$N$6994+Sens!$N$7013)</f>
        <v>0.34177588266428</v>
      </c>
      <c r="O7020" s="38" t="n">
        <f aca="false">(1-ext_sh)*(Sens!$O$6994+Sens!$O$7013)</f>
        <v>0.486353955066162</v>
      </c>
    </row>
    <row r="7021" customFormat="false" ht="17.15" hidden="false" customHeight="false" outlineLevel="0" collapsed="false">
      <c r="A7021" s="0" t="s">
        <v>659</v>
      </c>
      <c r="B7021" s="0" t="s">
        <v>86</v>
      </c>
      <c r="C7021" s="38" t="n">
        <f aca="false">Q!$D$24</f>
        <v>39.834</v>
      </c>
      <c r="D7021" s="38" t="n">
        <f aca="false">Q!$E$24</f>
        <v>45.606</v>
      </c>
      <c r="E7021" s="38" t="n">
        <f aca="false">Q!$P$24</f>
        <v>30.782</v>
      </c>
      <c r="N7021" s="38" t="n">
        <f aca="false">Q!$N$24</f>
        <v>21.707</v>
      </c>
      <c r="O7021" s="38" t="n">
        <f aca="false">Q!$O$24</f>
        <v>23.899</v>
      </c>
    </row>
    <row r="7022" customFormat="false" ht="17.15" hidden="false" customHeight="false" outlineLevel="0" collapsed="false">
      <c r="A7022" s="0" t="s">
        <v>660</v>
      </c>
      <c r="B7022" s="0" t="s">
        <v>86</v>
      </c>
      <c r="C7022" s="38" t="n">
        <f aca="false">Sens!$C$7021-Sens!$C$7017</f>
        <v>38.1898211704631</v>
      </c>
      <c r="D7022" s="38" t="n">
        <f aca="false">Sens!$D$7021-Sens!$D$7017</f>
        <v>40.2147492622706</v>
      </c>
      <c r="E7022" s="38" t="n">
        <f aca="false">Sens!$E$7021-Sens!$E$7017</f>
        <v>28.3550887940039</v>
      </c>
      <c r="F7022" s="38" t="n">
        <f aca="false">Sens!$F$6996*Sens!$F$7023</f>
        <v>25.9529793149447</v>
      </c>
      <c r="G7022" s="38" t="n">
        <f aca="false">Sens!$E$7022+Sens!$F$7022</f>
        <v>54.3080681089486</v>
      </c>
      <c r="H7022" s="38" t="n">
        <f aca="false">Sens!$H$6996*Sens!$H$7023</f>
        <v>58.2264684589333</v>
      </c>
      <c r="I7022" s="38" t="n">
        <f aca="false">Sens!$I$6996*Sens!$I$7023</f>
        <v>64.6461353851744</v>
      </c>
      <c r="J7022" s="38" t="n">
        <f aca="false">Sens!$J$6996*Sens!$J$7023</f>
        <v>70.7957093610231</v>
      </c>
      <c r="K7022" s="38" t="n">
        <f aca="false">Sens!$K$6996*Sens!$K$7023</f>
        <v>76.4593661099049</v>
      </c>
      <c r="L7022" s="38" t="n">
        <f aca="false">Sens!$L$6996*Sens!$L$7023</f>
        <v>82.5761153986973</v>
      </c>
      <c r="M7022" s="38" t="n">
        <f aca="false">Sens!$M$6996*Sens!$M$7023</f>
        <v>89.1822046305931</v>
      </c>
      <c r="N7022" s="38" t="n">
        <f aca="false">Sens!$N$7021-Sens!$N$7017</f>
        <v>20.0277839996292</v>
      </c>
      <c r="O7022" s="38" t="n">
        <f aca="false">Sens!$O$7021-Sens!$O$7017</f>
        <v>20.1869652626414</v>
      </c>
      <c r="P7022" s="5" t="s">
        <v>661</v>
      </c>
    </row>
    <row r="7023" customFormat="false" ht="17.15" hidden="false" customHeight="false" outlineLevel="0" collapsed="false">
      <c r="A7023" s="0" t="s">
        <v>662</v>
      </c>
      <c r="B7023" s="0" t="s">
        <v>52</v>
      </c>
      <c r="C7023" s="13" t="n">
        <f aca="false">Sens!$C$7022/Sens!$C$6996</f>
        <v>0.362900395443635</v>
      </c>
      <c r="D7023" s="13" t="n">
        <f aca="false">Sens!$D$7022/Sens!$D$6996</f>
        <v>0.335063632425483</v>
      </c>
      <c r="E7023" s="13" t="n">
        <f aca="false">Sens!$E$7022/Sens!$E$6996</f>
        <v>0.397638855555478</v>
      </c>
      <c r="F7023" s="13" t="n">
        <f aca="false">(Sens!$O$7022+Sens!$E$7022)/(Sens!$O$6996+Sens!$E$6996)</f>
        <v>0.361616727338133</v>
      </c>
      <c r="G7023" s="13" t="n">
        <f aca="false">Sens!$G$7022/Sens!$G$6996</f>
        <v>0.379569803149143</v>
      </c>
      <c r="H7023" s="13" t="n">
        <f aca="false">Sens!$F$7023</f>
        <v>0.361616727338133</v>
      </c>
      <c r="I7023" s="13" t="n">
        <f aca="false">Sens!$F$7023</f>
        <v>0.361616727338133</v>
      </c>
      <c r="J7023" s="13" t="n">
        <f aca="false">Sens!$F$7023</f>
        <v>0.361616727338133</v>
      </c>
      <c r="K7023" s="13" t="n">
        <f aca="false">Sens!$F$7023</f>
        <v>0.361616727338133</v>
      </c>
      <c r="L7023" s="13" t="n">
        <f aca="false">Sens!$F$7023</f>
        <v>0.361616727338133</v>
      </c>
      <c r="M7023" s="13" t="n">
        <f aca="false">Sens!$F$7023</f>
        <v>0.361616727338133</v>
      </c>
      <c r="N7023" s="13" t="n">
        <f aca="false">Sens!$N$7022/Sens!$N$6996</f>
        <v>0.35078810535806</v>
      </c>
      <c r="O7023" s="13" t="n">
        <f aca="false">Sens!$O$7022/Sens!$O$6996</f>
        <v>0.320796939361619</v>
      </c>
      <c r="P7023" s="8" t="s">
        <v>663</v>
      </c>
    </row>
    <row r="7024" customFormat="false" ht="17.15" hidden="false" customHeight="false" outlineLevel="0" collapsed="false">
      <c r="A7024" s="0" t="s">
        <v>664</v>
      </c>
      <c r="B7024" s="0" t="s">
        <v>52</v>
      </c>
      <c r="D7024" s="13" t="n">
        <f aca="false">(Q!$E$31-ext_sh*Sens!$D$7013)/Sens!$D$6996</f>
        <v>0.167180325480118</v>
      </c>
    </row>
    <row r="7025" customFormat="false" ht="17.15" hidden="false" customHeight="false" outlineLevel="0" collapsed="false">
      <c r="A7025" s="0" t="s">
        <v>665</v>
      </c>
      <c r="B7025" s="0" t="s">
        <v>86</v>
      </c>
      <c r="C7025" s="38" t="n">
        <f aca="false">Q!$D$31</f>
        <v>13.32</v>
      </c>
      <c r="D7025" s="38" t="n">
        <f aca="false">Q!$E$31</f>
        <v>21.45</v>
      </c>
      <c r="E7025" s="38" t="n">
        <f aca="false">Q!$P$31</f>
        <v>15.353</v>
      </c>
      <c r="F7025" s="38" t="n">
        <f aca="false">ext_sh*Sens!$F$7013+Sens!$D$7024*Sens!$F$6996</f>
        <v>16.1969869840094</v>
      </c>
      <c r="G7025" s="38" t="n">
        <f aca="false">Sens!$E$7025+Sens!$F$7025</f>
        <v>31.5499869840094</v>
      </c>
      <c r="H7025" s="38" t="n">
        <f aca="false">ext_sh*Sens!$H$7013+Sens!$D$7024*Sens!$H$6996</f>
        <v>50.9556213609176</v>
      </c>
      <c r="I7025" s="38" t="n">
        <f aca="false">ext_sh*Sens!$I$7013+Sens!$D$7024*Sens!$I$6996</f>
        <v>79.464581248252</v>
      </c>
      <c r="J7025" s="38" t="n">
        <f aca="false">ext_sh*Sens!$J$7013+Sens!$D$7024*Sens!$J$6996</f>
        <v>105.296127931746</v>
      </c>
      <c r="K7025" s="38" t="n">
        <f aca="false">ext_sh*Sens!$K$7013+Sens!$D$7024*Sens!$K$6996</f>
        <v>131.454694001511</v>
      </c>
      <c r="L7025" s="38" t="n">
        <f aca="false">ext_sh*Sens!$L$7013+Sens!$D$7024*Sens!$L$6996</f>
        <v>150.840456981405</v>
      </c>
      <c r="M7025" s="38" t="n">
        <f aca="false">ext_sh*Sens!$M$7013+Sens!$D$7024*Sens!$M$6996</f>
        <v>163.399454192999</v>
      </c>
      <c r="N7025" s="38" t="n">
        <f aca="false">Q!$N$31</f>
        <v>9.234</v>
      </c>
      <c r="O7025" s="38" t="n">
        <f aca="false">Q!$O$31</f>
        <v>12.216</v>
      </c>
    </row>
    <row r="7026" customFormat="false" ht="17.15" hidden="false" customHeight="false" outlineLevel="0" collapsed="false">
      <c r="A7026" s="1" t="s">
        <v>666</v>
      </c>
    </row>
    <row r="7027" customFormat="false" ht="17.15" hidden="false" customHeight="false" outlineLevel="0" collapsed="false">
      <c r="A7027" s="15" t="s">
        <v>667</v>
      </c>
      <c r="B7027" s="14" t="s">
        <v>52</v>
      </c>
      <c r="C7027" s="14"/>
      <c r="D7027" s="14"/>
      <c r="E7027" s="14"/>
      <c r="F7027" s="14"/>
      <c r="G7027" s="17" t="n">
        <f aca="false">Sens!$G$7017*(1-tax)/(ext_sh*(Sens!$D$7014+Sens!$G$7014)/2)</f>
        <v>0.0620504069546486</v>
      </c>
      <c r="H7027" s="17" t="n">
        <f aca="false">Sens!$H$7017*(1-tax)/(ext_sh*(Sens!$G$7014+Sens!$H$7014)/2)</f>
        <v>0.0755420551527686</v>
      </c>
      <c r="I7027" s="17" t="n">
        <f aca="false">Sens!$I$7017*(1-tax)/(ext_sh*(Sens!$H$7014+Sens!$I$7014)/2)</f>
        <v>0.067127575356291</v>
      </c>
      <c r="J7027" s="17" t="n">
        <f aca="false">Sens!$J$7017*(1-tax)/(ext_sh*(Sens!$I$7014+Sens!$J$7014)/2)</f>
        <v>0.0700332392906535</v>
      </c>
      <c r="K7027" s="17" t="n">
        <f aca="false">Sens!$K$7017*(1-tax)/(ext_sh*(Sens!$J$7014+Sens!$K$7014)/2)</f>
        <v>0.0693622290093833</v>
      </c>
      <c r="L7027" s="17" t="n">
        <f aca="false">Sens!$L$7017*(1-tax)/(ext_sh*(Sens!$K$7014+Sens!$L$7014)/2)</f>
        <v>0.0711010638813626</v>
      </c>
      <c r="M7027" s="17" t="n">
        <f aca="false">Sens!$M$7017*(1-tax)/(ext_sh*(Sens!$L$7014+Sens!$M$7014)/2)</f>
        <v>0.071677531066401</v>
      </c>
      <c r="N7027" s="14"/>
      <c r="O7027" s="14"/>
      <c r="P7027" s="8" t="s">
        <v>668</v>
      </c>
    </row>
    <row r="7028" customFormat="false" ht="17.15" hidden="false" customHeight="false" outlineLevel="0" collapsed="false">
      <c r="A7028" s="5" t="s">
        <v>669</v>
      </c>
      <c r="B7028" s="0" t="s">
        <v>57</v>
      </c>
      <c r="H7028" s="36" t="n">
        <f aca="false">Sens!$H$6992*1000/(mw_open*he_open+Sens!$H$6990*Sens!$H$6987)</f>
        <v>0.991949006767191</v>
      </c>
      <c r="I7028" s="36" t="n">
        <f aca="false">Sens!$I$6992*1000/(mw_open*he_open+Sens!$I$6990*Sens!$I$6987)</f>
        <v>0.991949006767191</v>
      </c>
      <c r="J7028" s="36" t="n">
        <f aca="false">Sens!$J$6992*1000/(mw_open*he_open+Sens!$J$6990*Sens!$J$6987)</f>
        <v>0.991949006767191</v>
      </c>
      <c r="K7028" s="36" t="n">
        <f aca="false">Sens!$K$6992*1000/(mw_open*he_open+Sens!$K$6990*Sens!$K$6987)</f>
        <v>0.991949006767191</v>
      </c>
      <c r="L7028" s="36" t="n">
        <f aca="false">Sens!$L$6992*1000/(mw_open*he_open+Sens!$L$6990*Sens!$L$6987)</f>
        <v>0.991949006767191</v>
      </c>
      <c r="M7028" s="36" t="n">
        <f aca="false">Sens!$M$6992*1000/(mw_open*he_open+Sens!$M$6990*Sens!$M$6987)</f>
        <v>0.991949006767191</v>
      </c>
    </row>
    <row r="7029" customFormat="false" ht="17.15" hidden="false" customHeight="false" outlineLevel="0" collapsed="false">
      <c r="A7029" s="5" t="s">
        <v>670</v>
      </c>
      <c r="B7029" s="0" t="s">
        <v>57</v>
      </c>
      <c r="H7029" s="36" t="n">
        <f aca="false">Sens!$H$7028*(Sens!$H$6992+wacc*ext_sh*(Sens!$G$7014+Sens!$H$7014)/2/(1-tax)-Sens!$H$7017)/Sens!$H$6992</f>
        <v>1.18542857552197</v>
      </c>
      <c r="I7029" s="36" t="n">
        <f aca="false">Sens!$I$7028*(Sens!$I$6992+wacc*ext_sh*(Sens!$H$7014+Sens!$I$7014)/2/(1-tax)-Sens!$I$7017)/Sens!$I$6992</f>
        <v>1.20015476648903</v>
      </c>
      <c r="J7029" s="36" t="n">
        <f aca="false">Sens!$J$7028*(Sens!$J$6992+wacc*ext_sh*(Sens!$I$7014+Sens!$J$7014)/2/(1-tax)-Sens!$J$7017)/Sens!$J$6992</f>
        <v>1.16844056931249</v>
      </c>
      <c r="K7029" s="36" t="n">
        <f aca="false">Sens!$K$7028*(Sens!$K$6992+wacc*ext_sh*(Sens!$J$7014+Sens!$K$7014)/2/(1-tax)-Sens!$K$7017)/Sens!$K$6992</f>
        <v>1.15383758356873</v>
      </c>
      <c r="L7029" s="36" t="n">
        <f aca="false">Sens!$L$7028*(Sens!$L$6992+wacc*ext_sh*(Sens!$K$7014+Sens!$L$7014)/2/(1-tax)-Sens!$L$7017)/Sens!$L$6992</f>
        <v>1.13212765595665</v>
      </c>
      <c r="M7029" s="36" t="n">
        <f aca="false">Sens!$M$7028*(Sens!$M$6992+wacc*ext_sh*(Sens!$L$7014+Sens!$M$7014)/2/(1-tax)-Sens!$M$7017)/Sens!$M$6992</f>
        <v>1.12024635139935</v>
      </c>
    </row>
    <row r="7030" customFormat="false" ht="17.15" hidden="false" customHeight="false" outlineLevel="0" collapsed="false">
      <c r="A7030" s="5" t="s">
        <v>671</v>
      </c>
      <c r="B7030" s="0" t="s">
        <v>52</v>
      </c>
      <c r="C7030" s="13" t="n">
        <f aca="false">Sens!$C$6993/tk_pq</f>
        <v>0.195316432429398</v>
      </c>
      <c r="D7030" s="13" t="n">
        <f aca="false">Sens!$D$6993/tk_pq</f>
        <v>0.195316432429398</v>
      </c>
      <c r="E7030" s="13" t="n">
        <f aca="false">Sens!$E$6993/tk_pq</f>
        <v>0.195316432429398</v>
      </c>
      <c r="F7030" s="13" t="n">
        <f aca="false">Sens!$F$6993/tk_pq</f>
        <v>0.202241827274866</v>
      </c>
      <c r="G7030" s="13" t="n">
        <f aca="false">Sens!$G$6993/tk_pq</f>
        <v>0.199675016194063</v>
      </c>
      <c r="H7030" s="13" t="n">
        <f aca="false">Sens!$H$6993/tk_pq</f>
        <v>0.212647947710325</v>
      </c>
      <c r="I7030" s="13" t="n">
        <f aca="false">Sens!$I$6993/tk_pq</f>
        <v>0.219285125475351</v>
      </c>
      <c r="J7030" s="13" t="n">
        <f aca="false">Sens!$J$6993/tk_pq</f>
        <v>0.222492493217189</v>
      </c>
      <c r="K7030" s="13" t="n">
        <f aca="false">Sens!$K$6993/tk_pq</f>
        <v>0.224053502812094</v>
      </c>
      <c r="L7030" s="13" t="n">
        <f aca="false">Sens!$L$6993/tk_pq</f>
        <v>0.224786916785614</v>
      </c>
      <c r="M7030" s="13" t="n">
        <f aca="false">Sens!$M$6993/tk_pq</f>
        <v>0.225048671566937</v>
      </c>
      <c r="N7030" s="13" t="n">
        <f aca="false">Sens!$N$6993/tk_pq</f>
        <v>0.195316432429398</v>
      </c>
      <c r="O7030" s="13" t="n">
        <f aca="false">Sens!$O$6993/tk_pq</f>
        <v>0.195316432429398</v>
      </c>
      <c r="P7030" s="5" t="s">
        <v>672</v>
      </c>
    </row>
    <row r="7033" customFormat="false" ht="17.15" hidden="false" customHeight="false" outlineLevel="0" collapsed="false">
      <c r="A7033" s="1" t="s">
        <v>701</v>
      </c>
    </row>
    <row r="7034" customFormat="false" ht="17.15" hidden="false" customHeight="false" outlineLevel="0" collapsed="false">
      <c r="A7034" s="0" t="s">
        <v>702</v>
      </c>
      <c r="B7034" s="0" t="s">
        <v>86</v>
      </c>
      <c r="C7034" s="38" t="n">
        <f aca="false">Sens!$C$6992</f>
        <v>2.32100535697364</v>
      </c>
      <c r="D7034" s="38" t="n">
        <f aca="false">Sens!$D$6992</f>
        <v>8.70377008865116</v>
      </c>
      <c r="E7034" s="38" t="n">
        <f aca="false">Sens!$E$6992</f>
        <v>8.51035297557002</v>
      </c>
      <c r="F7034" s="38" t="n">
        <f aca="false">Sens!$F$6992</f>
        <v>14.9634336447205</v>
      </c>
      <c r="G7034" s="38" t="n">
        <f aca="false">Sens!$G$6992</f>
        <v>23.4737866202905</v>
      </c>
      <c r="H7034" s="38" t="n">
        <f aca="false">Sens!$H$6992</f>
        <v>60.1658907497746</v>
      </c>
      <c r="I7034" s="38" t="n">
        <f aca="false">Sens!$I$6992</f>
        <v>101.503699136432</v>
      </c>
      <c r="J7034" s="38" t="n">
        <f aca="false">Sens!$J$6992</f>
        <v>143.025407151278</v>
      </c>
      <c r="K7034" s="38" t="n">
        <f aca="false">Sens!$K$6992</f>
        <v>178.44812038318</v>
      </c>
      <c r="L7034" s="38" t="n">
        <f aca="false">Sens!$L$6992</f>
        <v>201.728101802396</v>
      </c>
      <c r="M7034" s="38" t="n">
        <f aca="false">Sens!$M$6992</f>
        <v>212.835441368865</v>
      </c>
      <c r="N7034" s="38" t="n">
        <f aca="false">Sens!$N$6992</f>
        <v>3.04631953102791</v>
      </c>
      <c r="O7034" s="38" t="n">
        <f aca="false">Sens!$O$6992</f>
        <v>5.65745055762326</v>
      </c>
      <c r="P7034" s="8" t="s">
        <v>703</v>
      </c>
    </row>
    <row r="7035" customFormat="false" ht="17.15" hidden="false" customHeight="false" outlineLevel="0" collapsed="false">
      <c r="A7035" s="0" t="s">
        <v>704</v>
      </c>
      <c r="B7035" s="0" t="s">
        <v>86</v>
      </c>
      <c r="C7035" s="38" t="n">
        <f aca="false">Sens!$C$6996</f>
        <v>105.234994643026</v>
      </c>
      <c r="D7035" s="38" t="n">
        <f aca="false">Sens!$D$6996</f>
        <v>120.021229911349</v>
      </c>
      <c r="E7035" s="38" t="n">
        <f aca="false">Sens!$E$6996</f>
        <v>71.30864702443</v>
      </c>
      <c r="F7035" s="38" t="n">
        <f aca="false">Sens!$F$6996</f>
        <v>71.7692997942464</v>
      </c>
      <c r="G7035" s="38" t="n">
        <f aca="false">Sens!$G$6996</f>
        <v>143.077946818676</v>
      </c>
      <c r="H7035" s="38" t="n">
        <f aca="false">Sens!$H$6996</f>
        <v>161.017077079203</v>
      </c>
      <c r="I7035" s="38" t="n">
        <f aca="false">Sens!$I$6996</f>
        <v>178.769759521457</v>
      </c>
      <c r="J7035" s="38" t="n">
        <f aca="false">Sens!$J$6996</f>
        <v>195.775538045907</v>
      </c>
      <c r="K7035" s="38" t="n">
        <f aca="false">Sens!$K$6996</f>
        <v>211.43758108958</v>
      </c>
      <c r="L7035" s="38" t="n">
        <f aca="false">Sens!$L$6996</f>
        <v>228.352587576746</v>
      </c>
      <c r="M7035" s="38" t="n">
        <f aca="false">Sens!$M$6996</f>
        <v>246.620794582886</v>
      </c>
      <c r="N7035" s="38" t="n">
        <f aca="false">Sens!$N$6996</f>
        <v>57.0936804689721</v>
      </c>
      <c r="O7035" s="38" t="n">
        <f aca="false">Sens!$O$6996</f>
        <v>62.9275494423768</v>
      </c>
      <c r="P7035" s="8" t="s">
        <v>703</v>
      </c>
    </row>
    <row r="7036" customFormat="false" ht="17.15" hidden="false" customHeight="false" outlineLevel="0" collapsed="false">
      <c r="A7036" s="1" t="s">
        <v>523</v>
      </c>
      <c r="B7036" s="8" t="s">
        <v>86</v>
      </c>
      <c r="C7036" s="38" t="n">
        <f aca="false">Q!$D$7</f>
        <v>107.556</v>
      </c>
      <c r="D7036" s="38" t="n">
        <f aca="false">Q!$E$7</f>
        <v>128.725</v>
      </c>
      <c r="E7036" s="38" t="n">
        <f aca="false">Q!$P$7</f>
        <v>79.819</v>
      </c>
      <c r="F7036" s="38" t="n">
        <f aca="false">Sens!$F$7034+Sens!$F$7035</f>
        <v>86.7327334389669</v>
      </c>
      <c r="G7036" s="38" t="n">
        <f aca="false">Sens!$G$7034+Sens!$G$7035</f>
        <v>166.551733438967</v>
      </c>
      <c r="H7036" s="38" t="n">
        <f aca="false">Sens!$H$7034+Sens!$H$7035</f>
        <v>221.182967828978</v>
      </c>
      <c r="I7036" s="38" t="n">
        <f aca="false">Sens!$I$7034+Sens!$I$7035</f>
        <v>280.27345865789</v>
      </c>
      <c r="J7036" s="38" t="n">
        <f aca="false">Sens!$J$7034+Sens!$J$7035</f>
        <v>338.800945197185</v>
      </c>
      <c r="K7036" s="38" t="n">
        <f aca="false">Sens!$K$7034+Sens!$K$7035</f>
        <v>389.88570147276</v>
      </c>
      <c r="L7036" s="38" t="n">
        <f aca="false">Sens!$L$7034+Sens!$L$7035</f>
        <v>430.080689379143</v>
      </c>
      <c r="M7036" s="38" t="n">
        <f aca="false">Sens!$M$7034+Sens!$M$7035</f>
        <v>459.456235951751</v>
      </c>
      <c r="N7036" s="38" t="n">
        <f aca="false">Q!$N$7</f>
        <v>60.14</v>
      </c>
      <c r="O7036" s="38" t="n">
        <f aca="false">Q!$O$7</f>
        <v>68.585</v>
      </c>
      <c r="P7036" s="5" t="s">
        <v>705</v>
      </c>
    </row>
    <row r="7037" customFormat="false" ht="15" hidden="false" customHeight="false" outlineLevel="0" collapsed="false">
      <c r="A7037" s="3" t="s">
        <v>706</v>
      </c>
      <c r="B7037" s="8" t="s">
        <v>86</v>
      </c>
      <c r="C7037" s="38" t="n">
        <f aca="false">Q!$D$8</f>
        <v>637.959</v>
      </c>
      <c r="D7037" s="38" t="n">
        <f aca="false">Q!$E$8</f>
        <v>716.924</v>
      </c>
      <c r="E7037" s="38" t="n">
        <f aca="false">Q!$P$8</f>
        <v>382.125</v>
      </c>
      <c r="F7037" s="38" t="n">
        <f aca="false">Sens!$F$6964+Sens!$F$7036</f>
        <v>435.780975084504</v>
      </c>
      <c r="G7037" s="38" t="n">
        <f aca="false">Sens!$G$6964+Sens!$G$7036</f>
        <v>817.905975084504</v>
      </c>
      <c r="H7037" s="38" t="n">
        <f aca="false">Sens!$H$6964+Sens!$H$7036</f>
        <v>942.279857350364</v>
      </c>
      <c r="I7037" s="38" t="n">
        <f aca="false">Sens!$I$6964+Sens!$I$7036</f>
        <v>1068.80284981042</v>
      </c>
      <c r="J7037" s="38" t="n">
        <f aca="false">Sens!$J$6964+Sens!$J$7036</f>
        <v>1189.90935093863</v>
      </c>
      <c r="K7037" s="38" t="n">
        <f aca="false">Sens!$K$6964+Sens!$K$7036</f>
        <v>1296.06215690385</v>
      </c>
      <c r="L7037" s="38" t="n">
        <f aca="false">Sens!$L$6964+Sens!$L$7036</f>
        <v>1395.17379585473</v>
      </c>
      <c r="M7037" s="38" t="n">
        <f aca="false">Sens!$M$6964+Sens!$M$7036</f>
        <v>1487.60414389864</v>
      </c>
      <c r="N7037" s="38" t="n">
        <f aca="false">Q!$N$8</f>
        <v>323.369</v>
      </c>
      <c r="O7037" s="38" t="n">
        <f aca="false">Q!$O$8</f>
        <v>393.555</v>
      </c>
    </row>
    <row r="7038" customFormat="false" ht="17.15" hidden="false" customHeight="false" outlineLevel="0" collapsed="false">
      <c r="A7038" s="24" t="s">
        <v>714</v>
      </c>
      <c r="B7038" s="25" t="s">
        <v>86</v>
      </c>
      <c r="C7038" s="41" t="n">
        <f aca="false">Sens!$C$6964-(Sens!$C$6966+Sens!$C$6967)</f>
        <v>0</v>
      </c>
      <c r="D7038" s="41" t="n">
        <f aca="false">Sens!$D$6964-(Sens!$D$6966+Sens!$D$6967)</f>
        <v>0</v>
      </c>
      <c r="E7038" s="41" t="n">
        <f aca="false">Sens!$E$6964-(Sens!$E$6966+Sens!$E$6967)</f>
        <v>0</v>
      </c>
      <c r="F7038" s="41" t="n">
        <f aca="false">Sens!$F$6964-(Sens!$F$6966+Sens!$F$6967)</f>
        <v>0</v>
      </c>
      <c r="G7038" s="41" t="n">
        <f aca="false">Sens!$G$6964-(Sens!$G$6966+Sens!$G$6967)</f>
        <v>0</v>
      </c>
      <c r="H7038" s="41" t="n">
        <f aca="false">Sens!$H$6964-(Sens!$H$6966+Sens!$H$6967)</f>
        <v>0</v>
      </c>
      <c r="I7038" s="41" t="n">
        <f aca="false">Sens!$I$6964-(Sens!$I$6966+Sens!$I$6967)</f>
        <v>0</v>
      </c>
      <c r="J7038" s="41" t="n">
        <f aca="false">Sens!$J$6964-(Sens!$J$6966+Sens!$J$6967)</f>
        <v>0</v>
      </c>
      <c r="K7038" s="41" t="n">
        <f aca="false">Sens!$K$6964-(Sens!$K$6966+Sens!$K$6967)</f>
        <v>0</v>
      </c>
      <c r="L7038" s="41" t="n">
        <f aca="false">Sens!$L$6964-(Sens!$L$6966+Sens!$L$6967)</f>
        <v>0</v>
      </c>
      <c r="M7038" s="41" t="n">
        <f aca="false">Sens!$M$6964-(Sens!$M$6966+Sens!$M$6967)</f>
        <v>0</v>
      </c>
      <c r="N7038" s="41" t="n">
        <f aca="false">Sens!$N$6964-(Sens!$N$6966+Sens!$N$6967)</f>
        <v>0</v>
      </c>
      <c r="O7038" s="41" t="n">
        <f aca="false">Sens!$O$6964-(Sens!$O$6966+Sens!$O$6967)</f>
        <v>0</v>
      </c>
    </row>
    <row r="7039" customFormat="false" ht="17.15" hidden="false" customHeight="false" outlineLevel="0" collapsed="false">
      <c r="A7039" s="24" t="s">
        <v>715</v>
      </c>
      <c r="B7039" s="25" t="s">
        <v>86</v>
      </c>
      <c r="C7039" s="41" t="n">
        <f aca="false">Sens!$C$7034+Sens!$C$7035-Sens!$C$7036</f>
        <v>0</v>
      </c>
      <c r="D7039" s="41" t="n">
        <f aca="false">Sens!$D$7034+Sens!$D$7035-Sens!$D$7036</f>
        <v>0</v>
      </c>
      <c r="E7039" s="41" t="n">
        <f aca="false">Sens!$E$7034+Sens!$E$7035-Sens!$E$7036</f>
        <v>0</v>
      </c>
      <c r="F7039" s="41" t="n">
        <f aca="false">Sens!$F$7034+Sens!$F$7035-Sens!$F$7036</f>
        <v>0</v>
      </c>
      <c r="G7039" s="41" t="n">
        <f aca="false">Sens!$G$7034+Sens!$G$7035-Sens!$G$7036</f>
        <v>0</v>
      </c>
      <c r="H7039" s="41" t="n">
        <f aca="false">Sens!$H$7034+Sens!$H$7035-Sens!$H$7036</f>
        <v>0</v>
      </c>
      <c r="I7039" s="41" t="n">
        <f aca="false">Sens!$I$7034+Sens!$I$7035-Sens!$I$7036</f>
        <v>0</v>
      </c>
      <c r="J7039" s="41" t="n">
        <f aca="false">Sens!$J$7034+Sens!$J$7035-Sens!$J$7036</f>
        <v>0</v>
      </c>
      <c r="K7039" s="41" t="n">
        <f aca="false">Sens!$K$7034+Sens!$K$7035-Sens!$K$7036</f>
        <v>0</v>
      </c>
      <c r="L7039" s="41" t="n">
        <f aca="false">Sens!$L$7034+Sens!$L$7035-Sens!$L$7036</f>
        <v>0</v>
      </c>
      <c r="M7039" s="41" t="n">
        <f aca="false">Sens!$M$7034+Sens!$M$7035-Sens!$M$7036</f>
        <v>0</v>
      </c>
      <c r="N7039" s="41" t="n">
        <f aca="false">Sens!$N$7034+Sens!$N$7035-Sens!$N$7036</f>
        <v>0</v>
      </c>
      <c r="O7039" s="41" t="n">
        <f aca="false">Sens!$O$7034+Sens!$O$7035-Sens!$O$7036</f>
        <v>0</v>
      </c>
    </row>
    <row r="7040" customFormat="false" ht="17.15" hidden="false" customHeight="false" outlineLevel="0" collapsed="false">
      <c r="A7040" s="24" t="s">
        <v>716</v>
      </c>
      <c r="B7040" s="25" t="s">
        <v>86</v>
      </c>
      <c r="C7040" s="41" t="n">
        <f aca="false">Sens!$C$6966+Sens!$C$6967+Sens!$C$7036-Sens!$C$7037</f>
        <v>0</v>
      </c>
      <c r="D7040" s="41" t="n">
        <f aca="false">Sens!$D$6966+Sens!$D$6967+Sens!$D$7036-Sens!$D$7037</f>
        <v>0</v>
      </c>
      <c r="E7040" s="41" t="n">
        <f aca="false">Sens!$E$6966+Sens!$E$6967+Sens!$E$7036-Sens!$E$7037</f>
        <v>0</v>
      </c>
      <c r="F7040" s="41" t="n">
        <f aca="false">Sens!$F$6966+Sens!$F$6967+Sens!$F$7036-Sens!$F$7037</f>
        <v>0</v>
      </c>
      <c r="G7040" s="41" t="n">
        <f aca="false">Sens!$G$6966+Sens!$G$6967+Sens!$G$7036-Sens!$G$7037</f>
        <v>0</v>
      </c>
      <c r="H7040" s="41" t="n">
        <f aca="false">Sens!$H$6966+Sens!$H$6967+Sens!$H$7036-Sens!$H$7037</f>
        <v>0</v>
      </c>
      <c r="I7040" s="41" t="n">
        <f aca="false">Sens!$I$6966+Sens!$I$6967+Sens!$I$7036-Sens!$I$7037</f>
        <v>0</v>
      </c>
      <c r="J7040" s="41" t="n">
        <f aca="false">Sens!$J$6966+Sens!$J$6967+Sens!$J$7036-Sens!$J$7037</f>
        <v>0</v>
      </c>
      <c r="K7040" s="41" t="n">
        <f aca="false">Sens!$K$6966+Sens!$K$6967+Sens!$K$7036-Sens!$K$7037</f>
        <v>0</v>
      </c>
      <c r="L7040" s="41" t="n">
        <f aca="false">Sens!$L$6966+Sens!$L$6967+Sens!$L$7036-Sens!$L$7037</f>
        <v>0</v>
      </c>
      <c r="M7040" s="41" t="n">
        <f aca="false">Sens!$M$6966+Sens!$M$6967+Sens!$M$7036-Sens!$M$7037</f>
        <v>0</v>
      </c>
      <c r="N7040" s="41" t="n">
        <f aca="false">Sens!$N$6966+Sens!$N$6967+Sens!$N$7036-Sens!$N$7037</f>
        <v>0</v>
      </c>
      <c r="O7040" s="41" t="n">
        <f aca="false">Sens!$O$6966+Sens!$O$6967+Sens!$O$7036-Sens!$O$7037</f>
        <v>0</v>
      </c>
    </row>
    <row r="7041" customFormat="false" ht="15" hidden="false" customHeight="false" outlineLevel="0" collapsed="false">
      <c r="A7041" s="5" t="s">
        <v>710</v>
      </c>
      <c r="B7041" s="0" t="s">
        <v>52</v>
      </c>
      <c r="G7041" s="13" t="n">
        <f aca="false">Sens!$G$7037/Sens!$D$7037-1</f>
        <v>0.140854504918937</v>
      </c>
      <c r="H7041" s="13" t="n">
        <f aca="false">Sens!$H$7037/Sens!$G$7037-1</f>
        <v>0.152063789793209</v>
      </c>
      <c r="I7041" s="13" t="n">
        <f aca="false">Sens!$I$7037/Sens!$H$7037-1</f>
        <v>0.134273264437417</v>
      </c>
      <c r="J7041" s="13" t="n">
        <f aca="false">Sens!$J$7037/Sens!$I$7037-1</f>
        <v>0.113310421234083</v>
      </c>
      <c r="K7041" s="13" t="n">
        <f aca="false">Sens!$K$7037/Sens!$J$7037-1</f>
        <v>0.0892108343223652</v>
      </c>
      <c r="L7041" s="13" t="n">
        <f aca="false">Sens!$L$7037/Sens!$K$7037-1</f>
        <v>0.076471362444261</v>
      </c>
      <c r="M7041" s="13" t="n">
        <f aca="false">Sens!$M$7037/Sens!$L$7037-1</f>
        <v>0.066250060256672</v>
      </c>
    </row>
    <row r="7042" customFormat="false" ht="17.15" hidden="false" customHeight="false" outlineLevel="0" collapsed="false">
      <c r="A7042" s="0" t="s">
        <v>711</v>
      </c>
      <c r="B7042" s="0" t="s">
        <v>52</v>
      </c>
      <c r="C7042" s="13" t="n">
        <f aca="false">Sens!$C$7036/Sens!$C$7037</f>
        <v>0.168593906504964</v>
      </c>
      <c r="D7042" s="13" t="n">
        <f aca="false">Sens!$D$7036/Sens!$D$7037</f>
        <v>0.179551807444025</v>
      </c>
      <c r="E7042" s="13" t="n">
        <f aca="false">Sens!$E$7036/Sens!$E$7037</f>
        <v>0.208881910369643</v>
      </c>
      <c r="F7042" s="13" t="n">
        <f aca="false">Sens!$F$7036/Sens!$F$7037</f>
        <v>0.199028269699356</v>
      </c>
      <c r="G7042" s="13" t="n">
        <f aca="false">Sens!$G$7036/Sens!$G$7037</f>
        <v>0.203631882529968</v>
      </c>
      <c r="H7042" s="13" t="n">
        <f aca="false">Sens!$H$7036/Sens!$H$7037</f>
        <v>0.234731715958496</v>
      </c>
      <c r="I7042" s="13" t="n">
        <f aca="false">Sens!$I$7036/Sens!$I$7037</f>
        <v>0.262231204480418</v>
      </c>
      <c r="J7042" s="13" t="n">
        <f aca="false">Sens!$J$7036/Sens!$J$7037</f>
        <v>0.284728366013706</v>
      </c>
      <c r="K7042" s="13" t="n">
        <f aca="false">Sens!$K$7036/Sens!$K$7037</f>
        <v>0.300823304959505</v>
      </c>
      <c r="L7042" s="13" t="n">
        <f aca="false">Sens!$L$7036/Sens!$L$7037</f>
        <v>0.308263164529735</v>
      </c>
      <c r="M7042" s="13" t="n">
        <f aca="false">Sens!$M$7036/Sens!$M$7037</f>
        <v>0.308856517936036</v>
      </c>
      <c r="N7042" s="13" t="n">
        <f aca="false">Sens!$N$7036/Sens!$N$7037</f>
        <v>0.185979484737251</v>
      </c>
      <c r="O7042" s="13" t="n">
        <f aca="false">Sens!$O$7036/Sens!$O$7037</f>
        <v>0.174270432341096</v>
      </c>
    </row>
    <row r="7043" customFormat="false" ht="17.15" hidden="false" customHeight="false" outlineLevel="0" collapsed="false">
      <c r="A7043" s="0" t="s">
        <v>712</v>
      </c>
      <c r="B7043" s="0" t="s">
        <v>52</v>
      </c>
      <c r="C7043" s="13" t="n">
        <f aca="false">Sens!$C$7034/Sens!$C$7036</f>
        <v>0.0215795060896058</v>
      </c>
      <c r="D7043" s="13" t="n">
        <f aca="false">Sens!$D$7034/Sens!$D$7036</f>
        <v>0.0676152269462122</v>
      </c>
      <c r="E7043" s="13" t="n">
        <f aca="false">Sens!$E$7034/Sens!$E$7036</f>
        <v>0.106620641395783</v>
      </c>
      <c r="F7043" s="13" t="n">
        <f aca="false">Sens!$F$7034/Sens!$F$7036</f>
        <v>0.172523487401099</v>
      </c>
      <c r="G7043" s="13" t="n">
        <f aca="false">Sens!$G$7034/Sens!$G$7036</f>
        <v>0.140939911795589</v>
      </c>
      <c r="H7043" s="13" t="n">
        <f aca="false">Sens!$H$7034/Sens!$H$7036</f>
        <v>0.272018642937714</v>
      </c>
      <c r="I7043" s="13" t="n">
        <f aca="false">Sens!$I$7034/Sens!$I$7036</f>
        <v>0.362159512436497</v>
      </c>
      <c r="J7043" s="13" t="n">
        <f aca="false">Sens!$J$7034/Sens!$J$7036</f>
        <v>0.422151735934609</v>
      </c>
      <c r="K7043" s="13" t="n">
        <f aca="false">Sens!$K$7034/Sens!$K$7036</f>
        <v>0.45769342068485</v>
      </c>
      <c r="L7043" s="13" t="n">
        <f aca="false">Sens!$L$7034/Sens!$L$7036</f>
        <v>0.469047103913472</v>
      </c>
      <c r="M7043" s="13" t="n">
        <f aca="false">Sens!$M$7034/Sens!$M$7036</f>
        <v>0.463233328258093</v>
      </c>
      <c r="N7043" s="13" t="n">
        <f aca="false">Sens!$N$7034/Sens!$N$7036</f>
        <v>0.0506537999838362</v>
      </c>
      <c r="O7043" s="13" t="n">
        <f aca="false">Sens!$O$7034/Sens!$O$7036</f>
        <v>0.0824881615167056</v>
      </c>
    </row>
    <row r="7046" customFormat="false" ht="19.4" hidden="false" customHeight="false" outlineLevel="0" collapsed="false">
      <c r="A7046" s="31" t="s">
        <v>1294</v>
      </c>
    </row>
    <row r="7047" customFormat="false" ht="17.15" hidden="false" customHeight="false" outlineLevel="0" collapsed="false">
      <c r="A7047" s="6" t="s">
        <v>16</v>
      </c>
      <c r="B7047" s="6" t="s">
        <v>17</v>
      </c>
      <c r="C7047" s="20" t="s">
        <v>504</v>
      </c>
      <c r="D7047" s="20" t="s">
        <v>505</v>
      </c>
      <c r="E7047" s="20" t="s">
        <v>587</v>
      </c>
      <c r="F7047" s="20" t="s">
        <v>588</v>
      </c>
      <c r="G7047" s="20" t="s">
        <v>589</v>
      </c>
      <c r="H7047" s="20" t="s">
        <v>590</v>
      </c>
      <c r="I7047" s="20" t="s">
        <v>591</v>
      </c>
      <c r="J7047" s="20" t="s">
        <v>592</v>
      </c>
      <c r="K7047" s="20" t="s">
        <v>593</v>
      </c>
      <c r="L7047" s="20" t="s">
        <v>594</v>
      </c>
      <c r="M7047" s="20" t="s">
        <v>595</v>
      </c>
      <c r="N7047" s="20" t="s">
        <v>596</v>
      </c>
      <c r="O7047" s="20" t="s">
        <v>597</v>
      </c>
      <c r="P7047" s="6" t="s">
        <v>23</v>
      </c>
      <c r="R7047" s="20" t="n">
        <v>2023</v>
      </c>
      <c r="S7047" s="20" t="n">
        <v>2024</v>
      </c>
      <c r="T7047" s="20" t="n">
        <v>2025</v>
      </c>
      <c r="U7047" s="20" t="n">
        <v>2026</v>
      </c>
      <c r="V7047" s="20" t="n">
        <v>2027</v>
      </c>
      <c r="W7047" s="20" t="n">
        <v>2028</v>
      </c>
      <c r="X7047" s="20" t="n">
        <v>2029</v>
      </c>
      <c r="Y7047" s="20" t="n">
        <v>2030</v>
      </c>
      <c r="Z7047" s="20" t="n">
        <v>2031</v>
      </c>
      <c r="AA7047" s="20" t="n">
        <v>2032</v>
      </c>
    </row>
    <row r="7048" customFormat="false" ht="17.15" hidden="false" customHeight="false" outlineLevel="0" collapsed="false">
      <c r="A7048" s="1" t="s">
        <v>727</v>
      </c>
    </row>
    <row r="7049" customFormat="false" ht="15" hidden="false" customHeight="false" outlineLevel="0" collapsed="false">
      <c r="A7049" s="0" t="s">
        <v>526</v>
      </c>
      <c r="B7049" s="0" t="s">
        <v>86</v>
      </c>
      <c r="C7049" s="38" t="n">
        <f aca="false">Sens!$C$6951</f>
        <v>247.029</v>
      </c>
      <c r="D7049" s="38" t="n">
        <f aca="false">Sens!$D$6951</f>
        <v>269.287</v>
      </c>
      <c r="E7049" s="38" t="n">
        <f aca="false">Sens!$E$6951</f>
        <v>134.686</v>
      </c>
      <c r="F7049" s="38" t="n">
        <f aca="false">Sens!$F$6951</f>
        <v>158.293876822267</v>
      </c>
      <c r="G7049" s="38" t="n">
        <f aca="false">Sens!$G$6951</f>
        <v>292.979876822267</v>
      </c>
      <c r="H7049" s="38" t="n">
        <f aca="false">Sens!$H$6951</f>
        <v>318.184543087396</v>
      </c>
      <c r="I7049" s="38" t="n">
        <f aca="false">Sens!$I$6951</f>
        <v>341.736278761793</v>
      </c>
      <c r="J7049" s="38" t="n">
        <f aca="false">Sens!$J$6951</f>
        <v>362.927192787048</v>
      </c>
      <c r="K7049" s="38" t="n">
        <f aca="false">Sens!$K$6951</f>
        <v>381.0735524264</v>
      </c>
      <c r="L7049" s="38" t="n">
        <f aca="false">Sens!$L$6951</f>
        <v>400.12723004772</v>
      </c>
      <c r="M7049" s="38" t="n">
        <f aca="false">Sens!$M$6951</f>
        <v>420.133591550106</v>
      </c>
      <c r="N7049" s="38" t="n">
        <f aca="false">Sens!$N$6951</f>
        <v>118.892</v>
      </c>
      <c r="O7049" s="38" t="n">
        <f aca="false">Sens!$O$6951</f>
        <v>150.395</v>
      </c>
    </row>
    <row r="7050" customFormat="false" ht="15" hidden="false" customHeight="false" outlineLevel="0" collapsed="false">
      <c r="A7050" s="0" t="s">
        <v>527</v>
      </c>
      <c r="B7050" s="0" t="s">
        <v>86</v>
      </c>
      <c r="C7050" s="38" t="n">
        <f aca="false">Sens!$C$6953</f>
        <v>21.215</v>
      </c>
      <c r="D7050" s="38" t="n">
        <f aca="false">Sens!$D$6953</f>
        <v>22.561</v>
      </c>
      <c r="E7050" s="38" t="n">
        <f aca="false">Sens!$E$6953</f>
        <v>11.579</v>
      </c>
      <c r="F7050" s="38" t="n">
        <f aca="false">Sens!$F$6953</f>
        <v>11.5938724610325</v>
      </c>
      <c r="G7050" s="38" t="n">
        <f aca="false">Sens!$G$6953</f>
        <v>23.1728724610325</v>
      </c>
      <c r="H7050" s="38" t="n">
        <f aca="false">Sens!$H$6953</f>
        <v>24.353392759506</v>
      </c>
      <c r="I7050" s="38" t="n">
        <f aca="false">Sens!$I$6953</f>
        <v>25.4240338872015</v>
      </c>
      <c r="J7050" s="38" t="n">
        <f aca="false">Sens!$J$6953</f>
        <v>26.3642491017174</v>
      </c>
      <c r="K7050" s="38" t="n">
        <f aca="false">Sens!$K$6953</f>
        <v>27.155176574769</v>
      </c>
      <c r="L7050" s="38" t="n">
        <f aca="false">Sens!$L$6953</f>
        <v>27.969831872012</v>
      </c>
      <c r="M7050" s="38" t="n">
        <f aca="false">Sens!$M$6953</f>
        <v>28.8089268281724</v>
      </c>
      <c r="N7050" s="38" t="n">
        <f aca="false">Sens!$N$6953</f>
        <v>11.128</v>
      </c>
      <c r="O7050" s="38" t="n">
        <f aca="false">Sens!$O$6953</f>
        <v>11.433</v>
      </c>
    </row>
    <row r="7051" customFormat="false" ht="15" hidden="false" customHeight="false" outlineLevel="0" collapsed="false">
      <c r="A7051" s="0" t="s">
        <v>528</v>
      </c>
      <c r="B7051" s="0" t="s">
        <v>86</v>
      </c>
      <c r="C7051" s="38" t="n">
        <f aca="false">Sens!$C$6955</f>
        <v>156.146</v>
      </c>
      <c r="D7051" s="38" t="n">
        <f aca="false">Sens!$D$6955</f>
        <v>172.162</v>
      </c>
      <c r="E7051" s="38" t="n">
        <f aca="false">Sens!$E$6955</f>
        <v>88.358</v>
      </c>
      <c r="F7051" s="38" t="n">
        <f aca="false">Sens!$F$6955</f>
        <v>102.004388260171</v>
      </c>
      <c r="G7051" s="38" t="n">
        <f aca="false">Sens!$G$6955</f>
        <v>190.362388260171</v>
      </c>
      <c r="H7051" s="38" t="n">
        <f aca="false">Sens!$H$6955</f>
        <v>210.343106588311</v>
      </c>
      <c r="I7051" s="38" t="n">
        <f aca="false">Sens!$I$6955</f>
        <v>229.969728494648</v>
      </c>
      <c r="J7051" s="38" t="n">
        <f aca="false">Sens!$J$6955</f>
        <v>248.747636972598</v>
      </c>
      <c r="K7051" s="38" t="n">
        <f aca="false">Sens!$K$6955</f>
        <v>266.15997156068</v>
      </c>
      <c r="L7051" s="38" t="n">
        <f aca="false">Sens!$L$6955</f>
        <v>284.791169569927</v>
      </c>
      <c r="M7051" s="38" t="n">
        <f aca="false">Sens!$M$6955</f>
        <v>304.726551439822</v>
      </c>
      <c r="N7051" s="38" t="n">
        <f aca="false">Sens!$N$6955</f>
        <v>76.86</v>
      </c>
      <c r="O7051" s="38" t="n">
        <f aca="false">Sens!$O$6955</f>
        <v>95.302</v>
      </c>
    </row>
    <row r="7052" customFormat="false" ht="15" hidden="false" customHeight="false" outlineLevel="0" collapsed="false">
      <c r="A7052" s="0" t="s">
        <v>529</v>
      </c>
      <c r="B7052" s="0" t="s">
        <v>86</v>
      </c>
      <c r="C7052" s="38" t="n">
        <f aca="false">Sens!$C$6957</f>
        <v>56.214</v>
      </c>
      <c r="D7052" s="38" t="n">
        <f aca="false">Sens!$D$6957</f>
        <v>68.635</v>
      </c>
      <c r="E7052" s="38" t="n">
        <f aca="false">Sens!$E$6957</f>
        <v>37.052</v>
      </c>
      <c r="F7052" s="38" t="n">
        <f aca="false">Sens!$F$6957</f>
        <v>46.1572219944148</v>
      </c>
      <c r="G7052" s="38" t="n">
        <f aca="false">Sens!$G$6957</f>
        <v>83.2092219944148</v>
      </c>
      <c r="H7052" s="38" t="n">
        <f aca="false">Sens!$H$6957</f>
        <v>99.8969223878976</v>
      </c>
      <c r="I7052" s="38" t="n">
        <f aca="false">Sens!$I$6957</f>
        <v>116.583111095496</v>
      </c>
      <c r="J7052" s="38" t="n">
        <f aca="false">Sens!$J$6957</f>
        <v>132.148941941952</v>
      </c>
      <c r="K7052" s="38" t="n">
        <f aca="false">Sens!$K$6957</f>
        <v>145.363836136147</v>
      </c>
      <c r="L7052" s="38" t="n">
        <f aca="false">Sens!$L$6957</f>
        <v>159.900219749762</v>
      </c>
      <c r="M7052" s="38" t="n">
        <f aca="false">Sens!$M$6957</f>
        <v>175.890241724738</v>
      </c>
      <c r="N7052" s="38" t="n">
        <f aca="false">Sens!$N$6957</f>
        <v>29.615</v>
      </c>
      <c r="O7052" s="38" t="n">
        <f aca="false">Sens!$O$6957</f>
        <v>39.02</v>
      </c>
    </row>
    <row r="7053" customFormat="false" ht="15" hidden="false" customHeight="false" outlineLevel="0" collapsed="false">
      <c r="A7053" s="0" t="s">
        <v>530</v>
      </c>
      <c r="B7053" s="0" t="s">
        <v>86</v>
      </c>
      <c r="C7053" s="38" t="n">
        <f aca="false">Sens!$C$6959</f>
        <v>44.374</v>
      </c>
      <c r="D7053" s="38" t="n">
        <f aca="false">Sens!$D$6959</f>
        <v>49.619</v>
      </c>
      <c r="E7053" s="38" t="n">
        <f aca="false">Sens!$E$6959</f>
        <v>27.157</v>
      </c>
      <c r="F7053" s="38" t="n">
        <f aca="false">Sens!$F$6959</f>
        <v>27.7764165988154</v>
      </c>
      <c r="G7053" s="38" t="n">
        <f aca="false">Sens!$G$6959</f>
        <v>54.9334165988154</v>
      </c>
      <c r="H7053" s="38" t="n">
        <f aca="false">Sens!$H$6959</f>
        <v>61.1564112561829</v>
      </c>
      <c r="I7053" s="38" t="n">
        <f aca="false">Sens!$I$6959</f>
        <v>67.2020282103945</v>
      </c>
      <c r="J7053" s="38" t="n">
        <f aca="false">Sens!$J$6959</f>
        <v>72.8757274028885</v>
      </c>
      <c r="K7053" s="38" t="n">
        <f aca="false">Sens!$K$6959</f>
        <v>77.9770283210907</v>
      </c>
      <c r="L7053" s="38" t="n">
        <f aca="false">Sens!$L$6959</f>
        <v>83.4354203035671</v>
      </c>
      <c r="M7053" s="38" t="n">
        <f aca="false">Sens!$M$6959</f>
        <v>89.2758997248168</v>
      </c>
      <c r="N7053" s="38" t="n">
        <f aca="false">Sens!$N$6959</f>
        <v>23.923</v>
      </c>
      <c r="O7053" s="38" t="n">
        <f aca="false">Sens!$O$6959</f>
        <v>25.696</v>
      </c>
    </row>
    <row r="7054" customFormat="false" ht="15" hidden="false" customHeight="false" outlineLevel="0" collapsed="false">
      <c r="A7054" s="0" t="s">
        <v>531</v>
      </c>
      <c r="B7054" s="0" t="s">
        <v>86</v>
      </c>
      <c r="C7054" s="38" t="n">
        <f aca="false">Sens!$C$6961</f>
        <v>5.425</v>
      </c>
      <c r="D7054" s="38" t="n">
        <f aca="false">Sens!$D$6961</f>
        <v>5.935</v>
      </c>
      <c r="E7054" s="38" t="n">
        <f aca="false">Sens!$E$6961</f>
        <v>3.474</v>
      </c>
      <c r="F7054" s="38" t="n">
        <f aca="false">Sens!$F$6961</f>
        <v>3.22246550883619</v>
      </c>
      <c r="G7054" s="38" t="n">
        <f aca="false">Sens!$G$6961</f>
        <v>6.69646550883619</v>
      </c>
      <c r="H7054" s="38" t="n">
        <f aca="false">Sens!$H$6961</f>
        <v>7.16251344209196</v>
      </c>
      <c r="I7054" s="38" t="n">
        <f aca="false">Sens!$I$6961</f>
        <v>7.61421070299826</v>
      </c>
      <c r="J7054" s="38" t="n">
        <f aca="false">Sens!$J$6961</f>
        <v>8.04465753523932</v>
      </c>
      <c r="K7054" s="38" t="n">
        <f aca="false">Sens!$K$6961</f>
        <v>8.44689041200128</v>
      </c>
      <c r="L7054" s="38" t="n">
        <f aca="false">Sens!$L$6961</f>
        <v>8.86923493260135</v>
      </c>
      <c r="M7054" s="38" t="n">
        <f aca="false">Sens!$M$6961</f>
        <v>9.31269667923142</v>
      </c>
      <c r="N7054" s="38" t="n">
        <f aca="false">Sens!$N$6961</f>
        <v>2.811</v>
      </c>
      <c r="O7054" s="38" t="n">
        <f aca="false">Sens!$O$6961</f>
        <v>3.124</v>
      </c>
    </row>
    <row r="7055" customFormat="false" ht="17.15" hidden="false" customHeight="false" outlineLevel="0" collapsed="false">
      <c r="A7055" s="0" t="s">
        <v>728</v>
      </c>
      <c r="B7055" s="0" t="s">
        <v>86</v>
      </c>
      <c r="C7055" s="38" t="n">
        <f aca="false">Sens!$C$7036</f>
        <v>107.556</v>
      </c>
      <c r="D7055" s="38" t="n">
        <f aca="false">Sens!$D$7036</f>
        <v>128.725</v>
      </c>
      <c r="E7055" s="38" t="n">
        <f aca="false">Sens!$E$7036</f>
        <v>79.819</v>
      </c>
      <c r="F7055" s="38" t="n">
        <f aca="false">Sens!$F$7036</f>
        <v>86.7327334389669</v>
      </c>
      <c r="G7055" s="38" t="n">
        <f aca="false">Sens!$G$7036</f>
        <v>166.551733438967</v>
      </c>
      <c r="H7055" s="38" t="n">
        <f aca="false">Sens!$H$7036</f>
        <v>221.182967828978</v>
      </c>
      <c r="I7055" s="38" t="n">
        <f aca="false">Sens!$I$7036</f>
        <v>280.27345865789</v>
      </c>
      <c r="J7055" s="38" t="n">
        <f aca="false">Sens!$J$7036</f>
        <v>338.800945197185</v>
      </c>
      <c r="K7055" s="38" t="n">
        <f aca="false">Sens!$K$7036</f>
        <v>389.88570147276</v>
      </c>
      <c r="L7055" s="38" t="n">
        <f aca="false">Sens!$L$7036</f>
        <v>430.080689379143</v>
      </c>
      <c r="M7055" s="38" t="n">
        <f aca="false">Sens!$M$7036</f>
        <v>459.456235951751</v>
      </c>
      <c r="N7055" s="38" t="n">
        <f aca="false">Sens!$N$7036</f>
        <v>60.14</v>
      </c>
      <c r="O7055" s="38" t="n">
        <f aca="false">Sens!$O$7036</f>
        <v>68.585</v>
      </c>
    </row>
    <row r="7056" customFormat="false" ht="15" hidden="false" customHeight="false" outlineLevel="0" collapsed="false">
      <c r="A7056" s="1" t="s">
        <v>519</v>
      </c>
      <c r="B7056" s="8" t="s">
        <v>86</v>
      </c>
      <c r="C7056" s="38" t="n">
        <f aca="false">Sens!$C$6966</f>
        <v>387.497</v>
      </c>
      <c r="D7056" s="38" t="n">
        <f aca="false">Sens!$D$6966</f>
        <v>426.305</v>
      </c>
      <c r="E7056" s="38" t="n">
        <f aca="false">Sens!$E$6966</f>
        <v>220.32</v>
      </c>
      <c r="F7056" s="38" t="n">
        <f aca="false">Sens!$F$6966</f>
        <v>250.639773480586</v>
      </c>
      <c r="G7056" s="38" t="n">
        <f aca="false">Sens!$G$6966</f>
        <v>470.959773480586</v>
      </c>
      <c r="H7056" s="38" t="n">
        <f aca="false">Sens!$H$6966</f>
        <v>521.386990416437</v>
      </c>
      <c r="I7056" s="38" t="n">
        <f aca="false">Sens!$I$6966</f>
        <v>570.143862887555</v>
      </c>
      <c r="J7056" s="38" t="n">
        <f aca="false">Sens!$J$6966</f>
        <v>615.391435791933</v>
      </c>
      <c r="K7056" s="38" t="n">
        <f aca="false">Sens!$K$6966</f>
        <v>655.208227561543</v>
      </c>
      <c r="L7056" s="38" t="n">
        <f aca="false">Sens!$L$6966</f>
        <v>697.807739249767</v>
      </c>
      <c r="M7056" s="38" t="n">
        <f aca="false">Sens!$M$6966</f>
        <v>743.399328463592</v>
      </c>
      <c r="N7056" s="38" t="n">
        <f aca="false">Sens!$N$6966</f>
        <v>192.955</v>
      </c>
      <c r="O7056" s="38" t="n">
        <f aca="false">Sens!$O$6966</f>
        <v>233.35</v>
      </c>
    </row>
    <row r="7057" customFormat="false" ht="15" hidden="false" customHeight="false" outlineLevel="0" collapsed="false">
      <c r="A7057" s="1" t="s">
        <v>522</v>
      </c>
      <c r="B7057" s="8" t="s">
        <v>86</v>
      </c>
      <c r="C7057" s="38" t="n">
        <f aca="false">Sens!$C$6967</f>
        <v>142.906</v>
      </c>
      <c r="D7057" s="38" t="n">
        <f aca="false">Sens!$D$6967</f>
        <v>161.894</v>
      </c>
      <c r="E7057" s="38" t="n">
        <f aca="false">Sens!$E$6967</f>
        <v>81.986</v>
      </c>
      <c r="F7057" s="38" t="n">
        <f aca="false">Sens!$F$6967</f>
        <v>98.408468164951</v>
      </c>
      <c r="G7057" s="38" t="n">
        <f aca="false">Sens!$G$6967</f>
        <v>180.394468164951</v>
      </c>
      <c r="H7057" s="38" t="n">
        <f aca="false">Sens!$H$6967</f>
        <v>199.709899104949</v>
      </c>
      <c r="I7057" s="38" t="n">
        <f aca="false">Sens!$I$6967</f>
        <v>218.385528264976</v>
      </c>
      <c r="J7057" s="38" t="n">
        <f aca="false">Sens!$J$6967</f>
        <v>235.71696994951</v>
      </c>
      <c r="K7057" s="38" t="n">
        <f aca="false">Sens!$K$6967</f>
        <v>250.968227869545</v>
      </c>
      <c r="L7057" s="38" t="n">
        <f aca="false">Sens!$L$6967</f>
        <v>267.285367225822</v>
      </c>
      <c r="M7057" s="38" t="n">
        <f aca="false">Sens!$M$6967</f>
        <v>284.748579483295</v>
      </c>
      <c r="N7057" s="38" t="n">
        <f aca="false">Sens!$N$6967</f>
        <v>70.274</v>
      </c>
      <c r="O7057" s="38" t="n">
        <f aca="false">Sens!$O$6967</f>
        <v>91.62</v>
      </c>
    </row>
    <row r="7058" customFormat="false" ht="15" hidden="false" customHeight="false" outlineLevel="0" collapsed="false">
      <c r="A7058" s="1" t="s">
        <v>523</v>
      </c>
      <c r="B7058" s="8" t="s">
        <v>86</v>
      </c>
      <c r="C7058" s="38" t="n">
        <f aca="false">Sens!$C$7036</f>
        <v>107.556</v>
      </c>
      <c r="D7058" s="38" t="n">
        <f aca="false">Sens!$D$7036</f>
        <v>128.725</v>
      </c>
      <c r="E7058" s="38" t="n">
        <f aca="false">Sens!$E$7036</f>
        <v>79.819</v>
      </c>
      <c r="F7058" s="38" t="n">
        <f aca="false">Sens!$F$7036</f>
        <v>86.7327334389669</v>
      </c>
      <c r="G7058" s="38" t="n">
        <f aca="false">Sens!$G$7036</f>
        <v>166.551733438967</v>
      </c>
      <c r="H7058" s="38" t="n">
        <f aca="false">Sens!$H$7036</f>
        <v>221.182967828978</v>
      </c>
      <c r="I7058" s="38" t="n">
        <f aca="false">Sens!$I$7036</f>
        <v>280.27345865789</v>
      </c>
      <c r="J7058" s="38" t="n">
        <f aca="false">Sens!$J$7036</f>
        <v>338.800945197185</v>
      </c>
      <c r="K7058" s="38" t="n">
        <f aca="false">Sens!$K$7036</f>
        <v>389.88570147276</v>
      </c>
      <c r="L7058" s="38" t="n">
        <f aca="false">Sens!$L$7036</f>
        <v>430.080689379143</v>
      </c>
      <c r="M7058" s="38" t="n">
        <f aca="false">Sens!$M$7036</f>
        <v>459.456235951751</v>
      </c>
      <c r="N7058" s="38" t="n">
        <f aca="false">Sens!$N$7036</f>
        <v>60.14</v>
      </c>
      <c r="O7058" s="38" t="n">
        <f aca="false">Sens!$O$7036</f>
        <v>68.585</v>
      </c>
    </row>
    <row r="7059" customFormat="false" ht="17.15" hidden="false" customHeight="false" outlineLevel="0" collapsed="false">
      <c r="A7059" s="0" t="s">
        <v>702</v>
      </c>
      <c r="B7059" s="0" t="s">
        <v>86</v>
      </c>
      <c r="C7059" s="38" t="n">
        <f aca="false">Sens!$C$7034</f>
        <v>2.32100535697364</v>
      </c>
      <c r="D7059" s="38" t="n">
        <f aca="false">Sens!$D$7034</f>
        <v>8.70377008865116</v>
      </c>
      <c r="E7059" s="38" t="n">
        <f aca="false">Sens!$E$7034</f>
        <v>8.51035297557002</v>
      </c>
      <c r="F7059" s="38" t="n">
        <f aca="false">Sens!$F$7034</f>
        <v>14.9634336447205</v>
      </c>
      <c r="G7059" s="38" t="n">
        <f aca="false">Sens!$G$7034</f>
        <v>23.4737866202905</v>
      </c>
      <c r="H7059" s="38" t="n">
        <f aca="false">Sens!$H$7034</f>
        <v>60.1658907497746</v>
      </c>
      <c r="I7059" s="38" t="n">
        <f aca="false">Sens!$I$7034</f>
        <v>101.503699136432</v>
      </c>
      <c r="J7059" s="38" t="n">
        <f aca="false">Sens!$J$7034</f>
        <v>143.025407151278</v>
      </c>
      <c r="K7059" s="38" t="n">
        <f aca="false">Sens!$K$7034</f>
        <v>178.44812038318</v>
      </c>
      <c r="L7059" s="38" t="n">
        <f aca="false">Sens!$L$7034</f>
        <v>201.728101802396</v>
      </c>
      <c r="M7059" s="38" t="n">
        <f aca="false">Sens!$M$7034</f>
        <v>212.835441368865</v>
      </c>
      <c r="N7059" s="38" t="n">
        <f aca="false">Sens!$N$7034</f>
        <v>3.04631953102791</v>
      </c>
      <c r="O7059" s="38" t="n">
        <f aca="false">Sens!$O$7034</f>
        <v>5.65745055762326</v>
      </c>
    </row>
    <row r="7060" customFormat="false" ht="17.15" hidden="false" customHeight="false" outlineLevel="0" collapsed="false">
      <c r="A7060" s="0" t="s">
        <v>704</v>
      </c>
      <c r="B7060" s="0" t="s">
        <v>86</v>
      </c>
      <c r="C7060" s="38" t="n">
        <f aca="false">Sens!$C$7035</f>
        <v>105.234994643026</v>
      </c>
      <c r="D7060" s="38" t="n">
        <f aca="false">Sens!$D$7035</f>
        <v>120.021229911349</v>
      </c>
      <c r="E7060" s="38" t="n">
        <f aca="false">Sens!$E$7035</f>
        <v>71.30864702443</v>
      </c>
      <c r="F7060" s="38" t="n">
        <f aca="false">Sens!$F$7035</f>
        <v>71.7692997942464</v>
      </c>
      <c r="G7060" s="38" t="n">
        <f aca="false">Sens!$G$7035</f>
        <v>143.077946818676</v>
      </c>
      <c r="H7060" s="38" t="n">
        <f aca="false">Sens!$H$7035</f>
        <v>161.017077079203</v>
      </c>
      <c r="I7060" s="38" t="n">
        <f aca="false">Sens!$I$7035</f>
        <v>178.769759521457</v>
      </c>
      <c r="J7060" s="38" t="n">
        <f aca="false">Sens!$J$7035</f>
        <v>195.775538045907</v>
      </c>
      <c r="K7060" s="38" t="n">
        <f aca="false">Sens!$K$7035</f>
        <v>211.43758108958</v>
      </c>
      <c r="L7060" s="38" t="n">
        <f aca="false">Sens!$L$7035</f>
        <v>228.352587576746</v>
      </c>
      <c r="M7060" s="38" t="n">
        <f aca="false">Sens!$M$7035</f>
        <v>246.620794582886</v>
      </c>
      <c r="N7060" s="38" t="n">
        <f aca="false">Sens!$N$7035</f>
        <v>57.0936804689721</v>
      </c>
      <c r="O7060" s="38" t="n">
        <f aca="false">Sens!$O$7035</f>
        <v>62.9275494423768</v>
      </c>
    </row>
    <row r="7061" customFormat="false" ht="15" hidden="false" customHeight="false" outlineLevel="0" collapsed="false">
      <c r="A7061" s="3" t="s">
        <v>524</v>
      </c>
      <c r="B7061" s="8" t="s">
        <v>86</v>
      </c>
      <c r="C7061" s="38" t="n">
        <f aca="false">Sens!$C$7037</f>
        <v>637.959</v>
      </c>
      <c r="D7061" s="38" t="n">
        <f aca="false">Sens!$D$7037</f>
        <v>716.924</v>
      </c>
      <c r="E7061" s="38" t="n">
        <f aca="false">Sens!$E$7037</f>
        <v>382.125</v>
      </c>
      <c r="F7061" s="38" t="n">
        <f aca="false">Sens!$F$7037</f>
        <v>435.780975084504</v>
      </c>
      <c r="G7061" s="38" t="n">
        <f aca="false">Sens!$G$7037</f>
        <v>817.905975084504</v>
      </c>
      <c r="H7061" s="38" t="n">
        <f aca="false">Sens!$H$7037</f>
        <v>942.279857350364</v>
      </c>
      <c r="I7061" s="38" t="n">
        <f aca="false">Sens!$I$7037</f>
        <v>1068.80284981042</v>
      </c>
      <c r="J7061" s="38" t="n">
        <f aca="false">Sens!$J$7037</f>
        <v>1189.90935093863</v>
      </c>
      <c r="K7061" s="38" t="n">
        <f aca="false">Sens!$K$7037</f>
        <v>1296.06215690385</v>
      </c>
      <c r="L7061" s="38" t="n">
        <f aca="false">Sens!$L$7037</f>
        <v>1395.17379585473</v>
      </c>
      <c r="M7061" s="38" t="n">
        <f aca="false">Sens!$M$7037</f>
        <v>1487.60414389864</v>
      </c>
      <c r="N7061" s="38" t="n">
        <f aca="false">Sens!$N$7037</f>
        <v>323.369</v>
      </c>
      <c r="O7061" s="38" t="n">
        <f aca="false">Sens!$O$7037</f>
        <v>393.555</v>
      </c>
    </row>
    <row r="7062" customFormat="false" ht="17.15" hidden="false" customHeight="false" outlineLevel="0" collapsed="false">
      <c r="A7062" s="24" t="s">
        <v>714</v>
      </c>
      <c r="B7062" s="25" t="s">
        <v>86</v>
      </c>
      <c r="C7062" s="41" t="n">
        <f aca="false">Sens!$C$7049+Sens!$C$7050+Sens!$C$7051+Sens!$C$7052+Sens!$C$7053+Sens!$C$7054-(Sens!$C$7056+Sens!$C$7057)</f>
        <v>0</v>
      </c>
      <c r="D7062" s="41" t="n">
        <f aca="false">Sens!$D$7049+Sens!$D$7050+Sens!$D$7051+Sens!$D$7052+Sens!$D$7053+Sens!$D$7054-(Sens!$D$7056+Sens!$D$7057)</f>
        <v>0</v>
      </c>
      <c r="E7062" s="41" t="n">
        <f aca="false">Sens!$E$7049+Sens!$E$7050+Sens!$E$7051+Sens!$E$7052+Sens!$E$7053+Sens!$E$7054-(Sens!$E$7056+Sens!$E$7057)</f>
        <v>0</v>
      </c>
      <c r="F7062" s="41" t="n">
        <f aca="false">Sens!$F$7049+Sens!$F$7050+Sens!$F$7051+Sens!$F$7052+Sens!$F$7053+Sens!$F$7054-(Sens!$F$7056+Sens!$F$7057)</f>
        <v>0</v>
      </c>
      <c r="G7062" s="41" t="n">
        <f aca="false">Sens!$G$7049+Sens!$G$7050+Sens!$G$7051+Sens!$G$7052+Sens!$G$7053+Sens!$G$7054-(Sens!$G$7056+Sens!$G$7057)</f>
        <v>0</v>
      </c>
      <c r="H7062" s="41" t="n">
        <f aca="false">Sens!$H$7049+Sens!$H$7050+Sens!$H$7051+Sens!$H$7052+Sens!$H$7053+Sens!$H$7054-(Sens!$H$7056+Sens!$H$7057)</f>
        <v>0</v>
      </c>
      <c r="I7062" s="41" t="n">
        <f aca="false">Sens!$I$7049+Sens!$I$7050+Sens!$I$7051+Sens!$I$7052+Sens!$I$7053+Sens!$I$7054-(Sens!$I$7056+Sens!$I$7057)</f>
        <v>0</v>
      </c>
      <c r="J7062" s="41" t="n">
        <f aca="false">Sens!$J$7049+Sens!$J$7050+Sens!$J$7051+Sens!$J$7052+Sens!$J$7053+Sens!$J$7054-(Sens!$J$7056+Sens!$J$7057)</f>
        <v>0</v>
      </c>
      <c r="K7062" s="41" t="n">
        <f aca="false">Sens!$K$7049+Sens!$K$7050+Sens!$K$7051+Sens!$K$7052+Sens!$K$7053+Sens!$K$7054-(Sens!$K$7056+Sens!$K$7057)</f>
        <v>0</v>
      </c>
      <c r="L7062" s="41" t="n">
        <f aca="false">Sens!$L$7049+Sens!$L$7050+Sens!$L$7051+Sens!$L$7052+Sens!$L$7053+Sens!$L$7054-(Sens!$L$7056+Sens!$L$7057)</f>
        <v>0</v>
      </c>
      <c r="M7062" s="41" t="n">
        <f aca="false">Sens!$M$7049+Sens!$M$7050+Sens!$M$7051+Sens!$M$7052+Sens!$M$7053+Sens!$M$7054-(Sens!$M$7056+Sens!$M$7057)</f>
        <v>0</v>
      </c>
      <c r="N7062" s="41" t="n">
        <f aca="false">Sens!$N$7049+Sens!$N$7050+Sens!$N$7051+Sens!$N$7052+Sens!$N$7053+Sens!$N$7054-(Sens!$N$7056+Sens!$N$7057)</f>
        <v>0</v>
      </c>
      <c r="O7062" s="41" t="n">
        <f aca="false">Sens!$O$7049+Sens!$O$7050+Sens!$O$7051+Sens!$O$7052+Sens!$O$7053+Sens!$O$7054-(Sens!$O$7056+Sens!$O$7057)</f>
        <v>0</v>
      </c>
    </row>
    <row r="7063" customFormat="false" ht="17.15" hidden="false" customHeight="false" outlineLevel="0" collapsed="false">
      <c r="A7063" s="24" t="s">
        <v>715</v>
      </c>
      <c r="B7063" s="25" t="s">
        <v>86</v>
      </c>
      <c r="C7063" s="41" t="n">
        <f aca="false">Sens!$C$7059+Sens!$C$7060-Sens!$C$7058</f>
        <v>0</v>
      </c>
      <c r="D7063" s="41" t="n">
        <f aca="false">Sens!$D$7059+Sens!$D$7060-Sens!$D$7058</f>
        <v>0</v>
      </c>
      <c r="E7063" s="41" t="n">
        <f aca="false">Sens!$E$7059+Sens!$E$7060-Sens!$E$7058</f>
        <v>0</v>
      </c>
      <c r="F7063" s="41" t="n">
        <f aca="false">Sens!$F$7059+Sens!$F$7060-Sens!$F$7058</f>
        <v>0</v>
      </c>
      <c r="G7063" s="41" t="n">
        <f aca="false">Sens!$G$7059+Sens!$G$7060-Sens!$G$7058</f>
        <v>0</v>
      </c>
      <c r="H7063" s="41" t="n">
        <f aca="false">Sens!$H$7059+Sens!$H$7060-Sens!$H$7058</f>
        <v>0</v>
      </c>
      <c r="I7063" s="41" t="n">
        <f aca="false">Sens!$I$7059+Sens!$I$7060-Sens!$I$7058</f>
        <v>0</v>
      </c>
      <c r="J7063" s="41" t="n">
        <f aca="false">Sens!$J$7059+Sens!$J$7060-Sens!$J$7058</f>
        <v>0</v>
      </c>
      <c r="K7063" s="41" t="n">
        <f aca="false">Sens!$K$7059+Sens!$K$7060-Sens!$K$7058</f>
        <v>0</v>
      </c>
      <c r="L7063" s="41" t="n">
        <f aca="false">Sens!$L$7059+Sens!$L$7060-Sens!$L$7058</f>
        <v>0</v>
      </c>
      <c r="M7063" s="41" t="n">
        <f aca="false">Sens!$M$7059+Sens!$M$7060-Sens!$M$7058</f>
        <v>0</v>
      </c>
      <c r="N7063" s="41" t="n">
        <f aca="false">Sens!$N$7059+Sens!$N$7060-Sens!$N$7058</f>
        <v>0</v>
      </c>
      <c r="O7063" s="41" t="n">
        <f aca="false">Sens!$O$7059+Sens!$O$7060-Sens!$O$7058</f>
        <v>0</v>
      </c>
    </row>
    <row r="7064" customFormat="false" ht="17.15" hidden="false" customHeight="false" outlineLevel="0" collapsed="false">
      <c r="A7064" s="24" t="s">
        <v>774</v>
      </c>
      <c r="B7064" s="25" t="s">
        <v>86</v>
      </c>
      <c r="C7064" s="41" t="n">
        <f aca="false">Sens!$C$7049+Sens!$C$7050+Sens!$C$7051+Sens!$C$7052+Sens!$C$7053+Sens!$C$7054+Sens!$C$7055-Sens!$C$7061</f>
        <v>0</v>
      </c>
      <c r="D7064" s="41" t="n">
        <f aca="false">Sens!$D$7049+Sens!$D$7050+Sens!$D$7051+Sens!$D$7052+Sens!$D$7053+Sens!$D$7054+Sens!$D$7055-Sens!$D$7061</f>
        <v>0</v>
      </c>
      <c r="E7064" s="41" t="n">
        <f aca="false">Sens!$E$7049+Sens!$E$7050+Sens!$E$7051+Sens!$E$7052+Sens!$E$7053+Sens!$E$7054+Sens!$E$7055-Sens!$E$7061</f>
        <v>0</v>
      </c>
      <c r="F7064" s="41" t="n">
        <f aca="false">Sens!$F$7049+Sens!$F$7050+Sens!$F$7051+Sens!$F$7052+Sens!$F$7053+Sens!$F$7054+Sens!$F$7055-Sens!$F$7061</f>
        <v>0</v>
      </c>
      <c r="G7064" s="41" t="n">
        <f aca="false">Sens!$G$7049+Sens!$G$7050+Sens!$G$7051+Sens!$G$7052+Sens!$G$7053+Sens!$G$7054+Sens!$G$7055-Sens!$G$7061</f>
        <v>0</v>
      </c>
      <c r="H7064" s="41" t="n">
        <f aca="false">Sens!$H$7049+Sens!$H$7050+Sens!$H$7051+Sens!$H$7052+Sens!$H$7053+Sens!$H$7054+Sens!$H$7055-Sens!$H$7061</f>
        <v>0</v>
      </c>
      <c r="I7064" s="41" t="n">
        <f aca="false">Sens!$I$7049+Sens!$I$7050+Sens!$I$7051+Sens!$I$7052+Sens!$I$7053+Sens!$I$7054+Sens!$I$7055-Sens!$I$7061</f>
        <v>0</v>
      </c>
      <c r="J7064" s="41" t="n">
        <f aca="false">Sens!$J$7049+Sens!$J$7050+Sens!$J$7051+Sens!$J$7052+Sens!$J$7053+Sens!$J$7054+Sens!$J$7055-Sens!$J$7061</f>
        <v>0</v>
      </c>
      <c r="K7064" s="41" t="n">
        <f aca="false">Sens!$K$7049+Sens!$K$7050+Sens!$K$7051+Sens!$K$7052+Sens!$K$7053+Sens!$K$7054+Sens!$K$7055-Sens!$K$7061</f>
        <v>0</v>
      </c>
      <c r="L7064" s="41" t="n">
        <f aca="false">Sens!$L$7049+Sens!$L$7050+Sens!$L$7051+Sens!$L$7052+Sens!$L$7053+Sens!$L$7054+Sens!$L$7055-Sens!$L$7061</f>
        <v>0</v>
      </c>
      <c r="M7064" s="41" t="n">
        <f aca="false">Sens!$M$7049+Sens!$M$7050+Sens!$M$7051+Sens!$M$7052+Sens!$M$7053+Sens!$M$7054+Sens!$M$7055-Sens!$M$7061</f>
        <v>0</v>
      </c>
      <c r="N7064" s="41" t="n">
        <f aca="false">Sens!$N$7049+Sens!$N$7050+Sens!$N$7051+Sens!$N$7052+Sens!$N$7053+Sens!$N$7054+Sens!$N$7055-Sens!$N$7061</f>
        <v>0</v>
      </c>
      <c r="O7064" s="41" t="n">
        <f aca="false">Sens!$O$7049+Sens!$O$7050+Sens!$O$7051+Sens!$O$7052+Sens!$O$7053+Sens!$O$7054+Sens!$O$7055-Sens!$O$7061</f>
        <v>0</v>
      </c>
    </row>
    <row r="7065" customFormat="false" ht="17.15" hidden="false" customHeight="false" outlineLevel="0" collapsed="false">
      <c r="A7065" s="24" t="s">
        <v>716</v>
      </c>
      <c r="B7065" s="25" t="s">
        <v>86</v>
      </c>
      <c r="C7065" s="41" t="n">
        <f aca="false">Sens!$C$7056+Sens!$C$7057+Sens!$C$7058-Sens!$C$7061</f>
        <v>0</v>
      </c>
      <c r="D7065" s="41" t="n">
        <f aca="false">Sens!$D$7056+Sens!$D$7057+Sens!$D$7058-Sens!$D$7061</f>
        <v>0</v>
      </c>
      <c r="E7065" s="41" t="n">
        <f aca="false">Sens!$E$7056+Sens!$E$7057+Sens!$E$7058-Sens!$E$7061</f>
        <v>0</v>
      </c>
      <c r="F7065" s="41" t="n">
        <f aca="false">Sens!$F$7056+Sens!$F$7057+Sens!$F$7058-Sens!$F$7061</f>
        <v>0</v>
      </c>
      <c r="G7065" s="41" t="n">
        <f aca="false">Sens!$G$7056+Sens!$G$7057+Sens!$G$7058-Sens!$G$7061</f>
        <v>0</v>
      </c>
      <c r="H7065" s="41" t="n">
        <f aca="false">Sens!$H$7056+Sens!$H$7057+Sens!$H$7058-Sens!$H$7061</f>
        <v>0</v>
      </c>
      <c r="I7065" s="41" t="n">
        <f aca="false">Sens!$I$7056+Sens!$I$7057+Sens!$I$7058-Sens!$I$7061</f>
        <v>0</v>
      </c>
      <c r="J7065" s="41" t="n">
        <f aca="false">Sens!$J$7056+Sens!$J$7057+Sens!$J$7058-Sens!$J$7061</f>
        <v>0</v>
      </c>
      <c r="K7065" s="41" t="n">
        <f aca="false">Sens!$K$7056+Sens!$K$7057+Sens!$K$7058-Sens!$K$7061</f>
        <v>0</v>
      </c>
      <c r="L7065" s="41" t="n">
        <f aca="false">Sens!$L$7056+Sens!$L$7057+Sens!$L$7058-Sens!$L$7061</f>
        <v>0</v>
      </c>
      <c r="M7065" s="41" t="n">
        <f aca="false">Sens!$M$7056+Sens!$M$7057+Sens!$M$7058-Sens!$M$7061</f>
        <v>0</v>
      </c>
      <c r="N7065" s="41" t="n">
        <f aca="false">Sens!$N$7056+Sens!$N$7057+Sens!$N$7058-Sens!$N$7061</f>
        <v>0</v>
      </c>
      <c r="O7065" s="41" t="n">
        <f aca="false">Sens!$O$7056+Sens!$O$7057+Sens!$O$7058-Sens!$O$7061</f>
        <v>0</v>
      </c>
    </row>
    <row r="7066" customFormat="false" ht="17.15" hidden="false" customHeight="false" outlineLevel="0" collapsed="false">
      <c r="A7066" s="1" t="s">
        <v>730</v>
      </c>
    </row>
    <row r="7067" customFormat="false" ht="17.15" hidden="false" customHeight="false" outlineLevel="0" collapsed="false">
      <c r="A7067" s="0" t="s">
        <v>731</v>
      </c>
      <c r="B7067" s="0" t="s">
        <v>86</v>
      </c>
      <c r="C7067" s="38" t="n">
        <f aca="false">Sens!$C$6968*m_ad</f>
        <v>20.5341564414228</v>
      </c>
      <c r="D7067" s="38" t="n">
        <f aca="false">Sens!$D$6968*m_ad</f>
        <v>24.8720617299587</v>
      </c>
      <c r="E7067" s="38" t="n">
        <f aca="false">Sens!$E$6968*m_ad</f>
        <v>13.5017112462207</v>
      </c>
      <c r="F7067" s="38" t="n">
        <f aca="false">Sens!$F$6968*m_ad</f>
        <v>16.5719724165257</v>
      </c>
      <c r="G7067" s="38" t="n">
        <f aca="false">Sens!$G$6968*m_ad</f>
        <v>30.0820919220415</v>
      </c>
      <c r="H7067" s="38" t="n">
        <f aca="false">Sens!$H$6968*m_ad</f>
        <v>36.1150883276314</v>
      </c>
      <c r="I7067" s="38" t="n">
        <f aca="false">Sens!$I$6968*m_ad</f>
        <v>42.1475382231996</v>
      </c>
      <c r="J7067" s="38" t="n">
        <f aca="false">Sens!$J$6968*m_ad</f>
        <v>47.7749523864693</v>
      </c>
      <c r="K7067" s="38" t="n">
        <f aca="false">Sens!$K$6968*m_ad</f>
        <v>52.5524476251162</v>
      </c>
      <c r="L7067" s="38" t="n">
        <f aca="false">Sens!$L$6968*m_ad</f>
        <v>57.8076923876279</v>
      </c>
      <c r="M7067" s="38" t="n">
        <f aca="false">Sens!$M$6968*m_ad</f>
        <v>63.5884616263907</v>
      </c>
      <c r="N7067" s="38" t="n">
        <f aca="false">Sens!$N$6968*m_ad</f>
        <v>10.8543555706248</v>
      </c>
      <c r="O7067" s="38" t="n">
        <f aca="false">Sens!$O$6968*m_ad</f>
        <v>14.0094731821399</v>
      </c>
    </row>
    <row r="7068" customFormat="false" ht="17.15" hidden="false" customHeight="false" outlineLevel="0" collapsed="false">
      <c r="A7068" s="0" t="s">
        <v>732</v>
      </c>
      <c r="B7068" s="0" t="s">
        <v>86</v>
      </c>
      <c r="C7068" s="38" t="n">
        <f aca="false">Sens!$C$6966-Sens!$C$6968</f>
        <v>346.428687117154</v>
      </c>
      <c r="D7068" s="38" t="n">
        <f aca="false">Sens!$D$6966-Sens!$D$6968</f>
        <v>376.560876540083</v>
      </c>
      <c r="E7068" s="38" t="n">
        <f aca="false">Sens!$E$6966-Sens!$E$6968</f>
        <v>193.316577507559</v>
      </c>
      <c r="F7068" s="38" t="n">
        <f aca="false">Sens!$F$6966-Sens!$F$6968</f>
        <v>217.495828647535</v>
      </c>
      <c r="G7068" s="38" t="n">
        <f aca="false">Sens!$G$6966-Sens!$G$6968</f>
        <v>410.795589636503</v>
      </c>
      <c r="H7068" s="38" t="n">
        <f aca="false">Sens!$H$6966-Sens!$H$6968</f>
        <v>449.156813761174</v>
      </c>
      <c r="I7068" s="38" t="n">
        <f aca="false">Sens!$I$6966-Sens!$I$6968</f>
        <v>485.848786441156</v>
      </c>
      <c r="J7068" s="38" t="n">
        <f aca="false">Sens!$J$6966-Sens!$J$6968</f>
        <v>519.841531018994</v>
      </c>
      <c r="K7068" s="38" t="n">
        <f aca="false">Sens!$K$6966-Sens!$K$6968</f>
        <v>550.103332311311</v>
      </c>
      <c r="L7068" s="38" t="n">
        <f aca="false">Sens!$L$6966-Sens!$L$6968</f>
        <v>582.192354474511</v>
      </c>
      <c r="M7068" s="38" t="n">
        <f aca="false">Sens!$M$6966-Sens!$M$6968</f>
        <v>616.22240521081</v>
      </c>
      <c r="N7068" s="38" t="n">
        <f aca="false">Sens!$N$6966-Sens!$N$6968</f>
        <v>171.24628885875</v>
      </c>
      <c r="O7068" s="38" t="n">
        <f aca="false">Sens!$O$6966-Sens!$O$6968</f>
        <v>205.33105363572</v>
      </c>
    </row>
    <row r="7069" customFormat="false" ht="17.15" hidden="false" customHeight="false" outlineLevel="0" collapsed="false">
      <c r="A7069" s="0" t="s">
        <v>733</v>
      </c>
      <c r="B7069" s="0" t="s">
        <v>86</v>
      </c>
      <c r="C7069" s="38" t="n">
        <f aca="false">Sens!$C$7020*Sens!$C$6965</f>
        <v>0.123617442257179</v>
      </c>
      <c r="D7069" s="38" t="n">
        <f aca="false">Sens!$D$7020*Sens!$D$6965</f>
        <v>0.600198046024689</v>
      </c>
      <c r="E7069" s="38" t="n">
        <f aca="false">Sens!$E$7020*Sens!$E$6965</f>
        <v>1.10840000750276</v>
      </c>
      <c r="F7069" s="38" t="n">
        <f aca="false">Sens!$F$7020*Sens!$F$6965</f>
        <v>1.33595298721025</v>
      </c>
      <c r="G7069" s="38" t="n">
        <f aca="false">Sens!$G$7020*Sens!$G$6965</f>
        <v>2.44487335052545</v>
      </c>
      <c r="H7069" s="38" t="n">
        <f aca="false">Sens!$H$7020*Sens!$H$6965</f>
        <v>6.63132711939388</v>
      </c>
      <c r="I7069" s="38" t="n">
        <f aca="false">Sens!$I$7020*Sens!$I$6965</f>
        <v>12.7486799258504</v>
      </c>
      <c r="J7069" s="38" t="n">
        <f aca="false">Sens!$J$7020*Sens!$J$6965</f>
        <v>18.4074045299415</v>
      </c>
      <c r="K7069" s="38" t="n">
        <f aca="false">Sens!$K$7020*Sens!$K$6965</f>
        <v>23.9455472348705</v>
      </c>
      <c r="L7069" s="38" t="n">
        <f aca="false">Sens!$L$7020*Sens!$L$6965</f>
        <v>27.78179156216</v>
      </c>
      <c r="M7069" s="38" t="n">
        <f aca="false">Sens!$M$7020*Sens!$M$6965</f>
        <v>29.9029027327362</v>
      </c>
      <c r="N7069" s="38" t="n">
        <f aca="false">Sens!$N$7020*Sens!$N$6965</f>
        <v>0.25053229484398</v>
      </c>
      <c r="O7069" s="38" t="n">
        <f aca="false">Sens!$O$7020*Sens!$O$6965</f>
        <v>0.349234376756897</v>
      </c>
    </row>
    <row r="7070" customFormat="false" ht="17.15" hidden="false" customHeight="false" outlineLevel="0" collapsed="false">
      <c r="A7070" s="0" t="s">
        <v>734</v>
      </c>
      <c r="B7070" s="0" t="s">
        <v>52</v>
      </c>
      <c r="C7070" s="28" t="n">
        <f aca="false">(Sens!$C$7071-Sens!$C$7067+Sens!$C$7069)/Sens!$C$7068</f>
        <v>0.0131526665379575</v>
      </c>
      <c r="D7070" s="28" t="n">
        <f aca="false">(Sens!$D$7071-Sens!$D$7067+Sens!$D$7069)/Sens!$D$7068</f>
        <v>0.0141999252954702</v>
      </c>
      <c r="E7070" s="28" t="n">
        <f aca="false">(Sens!$E$7071-Sens!$E$7067+Sens!$E$7069)/Sens!$E$7068</f>
        <v>0.0258471819939326</v>
      </c>
      <c r="F7070" s="28" t="n">
        <f aca="false">Sens!$O$7070+(Sens!$E$7070-Sens!$N$7070)</f>
        <v>0.0224302350712874</v>
      </c>
      <c r="G7070" s="28" t="n">
        <f aca="false">(Sens!$G$7071-Sens!$G$7067+Sens!$G$7069)/Sens!$G$7068</f>
        <v>0.0240199351461372</v>
      </c>
      <c r="H7070" s="28" t="n">
        <f aca="false">Sens!$G$7070+step_na</f>
        <v>0.0270199351461372</v>
      </c>
      <c r="I7070" s="28" t="n">
        <f aca="false">Sens!$H$7070+step_na</f>
        <v>0.0300199351461372</v>
      </c>
      <c r="J7070" s="28" t="n">
        <f aca="false">Sens!$I$7070+step_na</f>
        <v>0.0330199351461372</v>
      </c>
      <c r="K7070" s="28" t="n">
        <f aca="false">Sens!$J$7070+step_na</f>
        <v>0.0360199351461372</v>
      </c>
      <c r="L7070" s="28" t="n">
        <f aca="false">Sens!$K$7070</f>
        <v>0.0360199351461372</v>
      </c>
      <c r="M7070" s="28" t="n">
        <f aca="false">Sens!$L$7070</f>
        <v>0.0360199351461372</v>
      </c>
      <c r="N7070" s="28" t="n">
        <f aca="false">(Sens!$N$7071-Sens!$N$7067+Sens!$N$7069)/Sens!$N$7068</f>
        <v>0.0160831323269779</v>
      </c>
      <c r="O7070" s="28" t="n">
        <f aca="false">(Sens!$O$7071-Sens!$O$7067+Sens!$O$7069)/Sens!$O$7068</f>
        <v>0.0126661854043327</v>
      </c>
      <c r="P7070" s="8" t="s">
        <v>735</v>
      </c>
    </row>
    <row r="7071" customFormat="false" ht="17.15" hidden="false" customHeight="false" outlineLevel="0" collapsed="false">
      <c r="A7071" s="1" t="s">
        <v>736</v>
      </c>
      <c r="B7071" s="8" t="s">
        <v>86</v>
      </c>
      <c r="C7071" s="38" t="n">
        <f aca="false">Q!$D$22</f>
        <v>24.967</v>
      </c>
      <c r="D7071" s="38" t="n">
        <f aca="false">Q!$E$22</f>
        <v>29.619</v>
      </c>
      <c r="E7071" s="38" t="n">
        <f aca="false">Q!$P$22</f>
        <v>17.39</v>
      </c>
      <c r="F7071" s="38" t="n">
        <f aca="false">Sens!$F$7067+Sens!$F$7068*Sens!$F$7070-Sens!$F$7069</f>
        <v>20.1145019929041</v>
      </c>
      <c r="G7071" s="38" t="n">
        <f aca="false">Sens!$E$7071+Sens!$F$7071</f>
        <v>37.5045019929041</v>
      </c>
      <c r="H7071" s="38" t="n">
        <f aca="false">Sens!$H$7067+Sens!$H$7068*Sens!$H$7070-Sens!$H$7069</f>
        <v>41.6199491865101</v>
      </c>
      <c r="I7071" s="38" t="n">
        <f aca="false">Sens!$I$7067+Sens!$I$7068*Sens!$I$7070-Sens!$I$7069</f>
        <v>43.9840073571422</v>
      </c>
      <c r="J7071" s="38" t="n">
        <f aca="false">Sens!$J$7067+Sens!$J$7068*Sens!$J$7070-Sens!$J$7069</f>
        <v>46.5326814970436</v>
      </c>
      <c r="K7071" s="38" t="n">
        <f aca="false">Sens!$K$7067+Sens!$K$7068*Sens!$K$7070-Sens!$K$7069</f>
        <v>48.4215867437731</v>
      </c>
      <c r="L7071" s="38" t="n">
        <f aca="false">Sens!$L$7067+Sens!$L$7068*Sens!$L$7070-Sens!$L$7069</f>
        <v>50.9964316762167</v>
      </c>
      <c r="M7071" s="38" t="n">
        <f aca="false">Sens!$M$7067+Sens!$M$7068*Sens!$M$7070-Sens!$M$7069</f>
        <v>55.8818499649445</v>
      </c>
      <c r="N7071" s="38" t="n">
        <f aca="false">Q!$N$22</f>
        <v>13.358</v>
      </c>
      <c r="O7071" s="38" t="n">
        <f aca="false">Q!$O$22</f>
        <v>16.261</v>
      </c>
    </row>
    <row r="7072" customFormat="false" ht="17.15" hidden="false" customHeight="false" outlineLevel="0" collapsed="false">
      <c r="A7072" s="0" t="s">
        <v>737</v>
      </c>
      <c r="B7072" s="0" t="s">
        <v>86</v>
      </c>
      <c r="C7072" s="38" t="n">
        <f aca="false">Sens!$C$6969*m_ad</f>
        <v>7.57284355857716</v>
      </c>
      <c r="D7072" s="38" t="n">
        <f aca="false">Sens!$D$6969*m_ad</f>
        <v>9.44543827004127</v>
      </c>
      <c r="E7072" s="38" t="n">
        <f aca="false">Sens!$E$6969*m_ad</f>
        <v>5.02428875377928</v>
      </c>
      <c r="F7072" s="38" t="n">
        <f aca="false">Sens!$F$6969*m_ad</f>
        <v>6.50663858068173</v>
      </c>
      <c r="G7072" s="38" t="n">
        <f aca="false">Sens!$G$6969*m_ad</f>
        <v>11.5225190751659</v>
      </c>
      <c r="H7072" s="38" t="n">
        <f aca="false">Sens!$H$6969*m_ad</f>
        <v>13.8333728663174</v>
      </c>
      <c r="I7072" s="38" t="n">
        <f aca="false">Sens!$I$6969*m_ad</f>
        <v>16.1440173245485</v>
      </c>
      <c r="J7072" s="38" t="n">
        <f aca="false">Sens!$J$6969*m_ad</f>
        <v>18.2995185845066</v>
      </c>
      <c r="K7072" s="38" t="n">
        <f aca="false">Sens!$K$6969*m_ad</f>
        <v>20.1294704429572</v>
      </c>
      <c r="L7072" s="38" t="n">
        <f aca="false">Sens!$L$6969*m_ad</f>
        <v>22.142417487253</v>
      </c>
      <c r="M7072" s="38" t="n">
        <f aca="false">Sens!$M$6969*m_ad</f>
        <v>24.3566592359783</v>
      </c>
      <c r="N7072" s="38" t="n">
        <f aca="false">Sens!$N$6969*m_ad</f>
        <v>3.95314442937518</v>
      </c>
      <c r="O7072" s="38" t="n">
        <f aca="false">Sens!$O$6969*m_ad</f>
        <v>5.50052681786011</v>
      </c>
    </row>
    <row r="7073" customFormat="false" ht="17.15" hidden="false" customHeight="false" outlineLevel="0" collapsed="false">
      <c r="A7073" s="0" t="s">
        <v>738</v>
      </c>
      <c r="B7073" s="0" t="s">
        <v>86</v>
      </c>
      <c r="C7073" s="38" t="n">
        <f aca="false">Sens!$C$6967-Sens!$C$6969</f>
        <v>127.760312882846</v>
      </c>
      <c r="D7073" s="38" t="n">
        <f aca="false">Sens!$D$6967-Sens!$D$6969</f>
        <v>143.003123459917</v>
      </c>
      <c r="E7073" s="38" t="n">
        <f aca="false">Sens!$E$6967-Sens!$E$6969</f>
        <v>71.9374224924414</v>
      </c>
      <c r="F7073" s="38" t="n">
        <f aca="false">Sens!$F$6967-Sens!$F$6969</f>
        <v>85.3951910035875</v>
      </c>
      <c r="G7073" s="38" t="n">
        <f aca="false">Sens!$G$6967-Sens!$G$6969</f>
        <v>157.349430014619</v>
      </c>
      <c r="H7073" s="38" t="n">
        <f aca="false">Sens!$H$6967-Sens!$H$6969</f>
        <v>172.043153372315</v>
      </c>
      <c r="I7073" s="38" t="n">
        <f aca="false">Sens!$I$6967-Sens!$I$6969</f>
        <v>186.097493615879</v>
      </c>
      <c r="J7073" s="38" t="n">
        <f aca="false">Sens!$J$6967-Sens!$J$6969</f>
        <v>199.117932780497</v>
      </c>
      <c r="K7073" s="38" t="n">
        <f aca="false">Sens!$K$6967-Sens!$K$6969</f>
        <v>210.70928698363</v>
      </c>
      <c r="L7073" s="38" t="n">
        <f aca="false">Sens!$L$6967-Sens!$L$6969</f>
        <v>223.000532251316</v>
      </c>
      <c r="M7073" s="38" t="n">
        <f aca="false">Sens!$M$6967-Sens!$M$6969</f>
        <v>236.035261011339</v>
      </c>
      <c r="N7073" s="38" t="n">
        <f aca="false">Sens!$N$6967-Sens!$N$6969</f>
        <v>62.3677111412496</v>
      </c>
      <c r="O7073" s="38" t="n">
        <f aca="false">Sens!$O$6967-Sens!$O$6969</f>
        <v>80.6189463642798</v>
      </c>
    </row>
    <row r="7074" customFormat="false" ht="17.15" hidden="false" customHeight="false" outlineLevel="0" collapsed="false">
      <c r="A7074" s="0" t="s">
        <v>739</v>
      </c>
      <c r="B7074" s="0" t="s">
        <v>86</v>
      </c>
      <c r="C7074" s="38" t="n">
        <f aca="false">Sens!$C$7020*(1-Sens!$C$6965)</f>
        <v>0.0455891896019953</v>
      </c>
      <c r="D7074" s="38" t="n">
        <f aca="false">Sens!$D$7020*(1-Sens!$D$6965)</f>
        <v>0.227931791705753</v>
      </c>
      <c r="E7074" s="38" t="n">
        <f aca="false">Sens!$E$7020*(1-Sens!$E$6965)</f>
        <v>0.412460434890711</v>
      </c>
      <c r="F7074" s="38" t="n">
        <f aca="false">Sens!$F$7020*(1-Sens!$F$6965)</f>
        <v>0.524534016233997</v>
      </c>
      <c r="G7074" s="38" t="n">
        <f aca="false">Sens!$G$7020*(1-Sens!$G$6965)</f>
        <v>0.936474095312266</v>
      </c>
      <c r="H7074" s="38" t="n">
        <f aca="false">Sens!$H$7020*(1-Sens!$H$6965)</f>
        <v>2.54003589327823</v>
      </c>
      <c r="I7074" s="38" t="n">
        <f aca="false">Sens!$I$7020*(1-Sens!$I$6965)</f>
        <v>4.88320120852905</v>
      </c>
      <c r="J7074" s="38" t="n">
        <f aca="false">Sens!$J$7020*(1-Sens!$J$6965)</f>
        <v>7.05069548920359</v>
      </c>
      <c r="K7074" s="38" t="n">
        <f aca="false">Sens!$K$7020*(1-Sens!$K$6965)</f>
        <v>9.17200258193867</v>
      </c>
      <c r="L7074" s="38" t="n">
        <f aca="false">Sens!$L$7020*(1-Sens!$L$6965)</f>
        <v>10.6414216154535</v>
      </c>
      <c r="M7074" s="38" t="n">
        <f aca="false">Sens!$M$7020*(1-Sens!$M$6965)</f>
        <v>11.4538831951485</v>
      </c>
      <c r="N7074" s="38" t="n">
        <f aca="false">Sens!$N$7020*(1-Sens!$N$6965)</f>
        <v>0.0912435878202994</v>
      </c>
      <c r="O7074" s="38" t="n">
        <f aca="false">Sens!$O$7020*(1-Sens!$O$6965)</f>
        <v>0.137119578309265</v>
      </c>
    </row>
    <row r="7075" customFormat="false" ht="17.15" hidden="false" customHeight="false" outlineLevel="0" collapsed="false">
      <c r="A7075" s="0" t="s">
        <v>740</v>
      </c>
      <c r="B7075" s="0" t="s">
        <v>52</v>
      </c>
      <c r="C7075" s="28" t="n">
        <f aca="false">(Sens!$C$7076-Sens!$C$7072+Sens!$C$7074)/Sens!$C$7073</f>
        <v>-0.0292364215826579</v>
      </c>
      <c r="D7075" s="28" t="n">
        <f aca="false">(Sens!$D$7076-Sens!$D$7072+Sens!$D$7074)/Sens!$D$7073</f>
        <v>-0.0312406216748665</v>
      </c>
      <c r="E7075" s="28" t="n">
        <f aca="false">(Sens!$E$7076-Sens!$E$7072+Sens!$E$7074)/Sens!$E$7073</f>
        <v>-0.0204459413185552</v>
      </c>
      <c r="F7075" s="28" t="n">
        <f aca="false">Sens!$O$7075+(Sens!$E$7075-Sens!$N$7075)</f>
        <v>-0.0375409290246314</v>
      </c>
      <c r="G7075" s="28" t="n">
        <f aca="false">(Sens!$G$7076-Sens!$G$7072+Sens!$G$7074)/Sens!$G$7073</f>
        <v>-0.0296712560031684</v>
      </c>
      <c r="H7075" s="28" t="n">
        <f aca="false">Sens!$G$7075+step_in</f>
        <v>-0.0296712560031684</v>
      </c>
      <c r="I7075" s="28" t="n">
        <f aca="false">Sens!$H$7075+step_in</f>
        <v>-0.0296712560031684</v>
      </c>
      <c r="J7075" s="28" t="n">
        <f aca="false">Sens!$I$7075+step_in</f>
        <v>-0.0296712560031684</v>
      </c>
      <c r="K7075" s="28" t="n">
        <f aca="false">Sens!$J$7075+step_in</f>
        <v>-0.0296712560031684</v>
      </c>
      <c r="L7075" s="28" t="n">
        <f aca="false">Sens!$K$7075</f>
        <v>-0.0296712560031684</v>
      </c>
      <c r="M7075" s="28" t="n">
        <f aca="false">Sens!$L$7075</f>
        <v>-0.0296712560031684</v>
      </c>
      <c r="N7075" s="28" t="n">
        <f aca="false">(Sens!$N$7076-Sens!$N$7072+Sens!$N$7074)/Sens!$N$7073</f>
        <v>-0.0216602600421776</v>
      </c>
      <c r="O7075" s="28" t="n">
        <f aca="false">(Sens!$O$7076-Sens!$O$7072+Sens!$O$7074)/Sens!$O$7073</f>
        <v>-0.0387552477482538</v>
      </c>
      <c r="P7075" s="8" t="s">
        <v>735</v>
      </c>
    </row>
    <row r="7076" customFormat="false" ht="17.15" hidden="false" customHeight="false" outlineLevel="0" collapsed="false">
      <c r="A7076" s="1" t="s">
        <v>741</v>
      </c>
      <c r="B7076" s="8" t="s">
        <v>86</v>
      </c>
      <c r="C7076" s="38" t="n">
        <f aca="false">Q!$D$23</f>
        <v>3.792</v>
      </c>
      <c r="D7076" s="38" t="n">
        <f aca="false">Q!$E$23</f>
        <v>4.75</v>
      </c>
      <c r="E7076" s="38" t="n">
        <f aca="false">Q!$P$23</f>
        <v>3.141</v>
      </c>
      <c r="F7076" s="38" t="n">
        <f aca="false">Sens!$F$7072+Sens!$F$7073*Sens!$F$7075-Sens!$F$7074</f>
        <v>2.77628975993721</v>
      </c>
      <c r="G7076" s="38" t="n">
        <f aca="false">Sens!$E$7076+Sens!$F$7076</f>
        <v>5.91728975993721</v>
      </c>
      <c r="H7076" s="38" t="n">
        <f aca="false">Sens!$H$7072+Sens!$H$7073*Sens!$H$7075-Sens!$H$7074</f>
        <v>6.18860052573681</v>
      </c>
      <c r="I7076" s="38" t="n">
        <f aca="false">Sens!$I$7072+Sens!$I$7073*Sens!$I$7075-Sens!$I$7074</f>
        <v>5.73906974139474</v>
      </c>
      <c r="J7076" s="38" t="n">
        <f aca="false">Sens!$J$7072+Sens!$J$7073*Sens!$J$7075-Sens!$J$7074</f>
        <v>5.34074393695119</v>
      </c>
      <c r="K7076" s="38" t="n">
        <f aca="false">Sens!$K$7072+Sens!$K$7073*Sens!$K$7075-Sens!$K$7074</f>
        <v>4.7054586646822</v>
      </c>
      <c r="L7076" s="38" t="n">
        <f aca="false">Sens!$L$7072+Sens!$L$7073*Sens!$L$7075-Sens!$L$7074</f>
        <v>4.88428999052786</v>
      </c>
      <c r="M7076" s="38" t="n">
        <f aca="false">Sens!$M$7072+Sens!$M$7073*Sens!$M$7075-Sens!$M$7074</f>
        <v>5.89931338558769</v>
      </c>
      <c r="N7076" s="38" t="n">
        <f aca="false">Q!$N$23</f>
        <v>2.511</v>
      </c>
      <c r="O7076" s="38" t="n">
        <f aca="false">Q!$O$23</f>
        <v>2.239</v>
      </c>
    </row>
    <row r="7077" customFormat="false" ht="17.15" hidden="false" customHeight="false" outlineLevel="0" collapsed="false">
      <c r="A7077" s="0" t="s">
        <v>742</v>
      </c>
      <c r="B7077" s="0" t="s">
        <v>86</v>
      </c>
      <c r="C7077" s="38" t="n">
        <f aca="false">Sens!$C$7017</f>
        <v>1.64417882953695</v>
      </c>
      <c r="D7077" s="38" t="n">
        <f aca="false">Sens!$D$7017</f>
        <v>5.39125073772939</v>
      </c>
      <c r="E7077" s="38" t="n">
        <f aca="false">Sens!$E$7017</f>
        <v>2.42691120599613</v>
      </c>
      <c r="F7077" s="38" t="n">
        <f aca="false">Sens!$F$7017</f>
        <v>7.52148563094346</v>
      </c>
      <c r="G7077" s="38" t="n">
        <f aca="false">Sens!$G$7017</f>
        <v>9.94839683693959</v>
      </c>
      <c r="H7077" s="38" t="n">
        <f aca="false">Sens!$H$7017</f>
        <v>23.4804386990861</v>
      </c>
      <c r="I7077" s="38" t="n">
        <f aca="false">Sens!$I$7017</f>
        <v>30.9761745989143</v>
      </c>
      <c r="J7077" s="38" t="n">
        <f aca="false">Sens!$J$7017</f>
        <v>41.1930070746977</v>
      </c>
      <c r="K7077" s="38" t="n">
        <f aca="false">Sens!$K$7017</f>
        <v>45.9779211159428</v>
      </c>
      <c r="L7077" s="38" t="n">
        <f aca="false">Sens!$L$7017</f>
        <v>48.0352490919424</v>
      </c>
      <c r="M7077" s="38" t="n">
        <f aca="false">Sens!$M$7017</f>
        <v>47.4082976573265</v>
      </c>
      <c r="N7077" s="38" t="n">
        <f aca="false">Sens!$N$7017</f>
        <v>1.67921600037079</v>
      </c>
      <c r="O7077" s="38" t="n">
        <f aca="false">Sens!$O$7017</f>
        <v>3.71203473735861</v>
      </c>
    </row>
    <row r="7078" customFormat="false" ht="17.15" hidden="false" customHeight="false" outlineLevel="0" collapsed="false">
      <c r="A7078" s="0" t="s">
        <v>660</v>
      </c>
      <c r="B7078" s="0" t="s">
        <v>86</v>
      </c>
      <c r="C7078" s="38" t="n">
        <f aca="false">Sens!$C$7022</f>
        <v>38.1898211704631</v>
      </c>
      <c r="D7078" s="38" t="n">
        <f aca="false">Sens!$D$7022</f>
        <v>40.2147492622706</v>
      </c>
      <c r="E7078" s="38" t="n">
        <f aca="false">Sens!$E$7022</f>
        <v>28.3550887940039</v>
      </c>
      <c r="F7078" s="38" t="n">
        <f aca="false">Sens!$F$7022</f>
        <v>25.9529793149447</v>
      </c>
      <c r="G7078" s="38" t="n">
        <f aca="false">Sens!$G$7022</f>
        <v>54.3080681089486</v>
      </c>
      <c r="H7078" s="38" t="n">
        <f aca="false">Sens!$H$7022</f>
        <v>58.2264684589333</v>
      </c>
      <c r="I7078" s="38" t="n">
        <f aca="false">Sens!$I$7022</f>
        <v>64.6461353851744</v>
      </c>
      <c r="J7078" s="38" t="n">
        <f aca="false">Sens!$J$7022</f>
        <v>70.7957093610231</v>
      </c>
      <c r="K7078" s="38" t="n">
        <f aca="false">Sens!$K$7022</f>
        <v>76.4593661099049</v>
      </c>
      <c r="L7078" s="38" t="n">
        <f aca="false">Sens!$L$7022</f>
        <v>82.5761153986973</v>
      </c>
      <c r="M7078" s="38" t="n">
        <f aca="false">Sens!$M$7022</f>
        <v>89.1822046305931</v>
      </c>
      <c r="N7078" s="38" t="n">
        <f aca="false">Sens!$N$7022</f>
        <v>20.0277839996292</v>
      </c>
      <c r="O7078" s="38" t="n">
        <f aca="false">Sens!$O$7022</f>
        <v>20.1869652626414</v>
      </c>
    </row>
    <row r="7079" customFormat="false" ht="17.15" hidden="false" customHeight="false" outlineLevel="0" collapsed="false">
      <c r="A7079" s="1" t="s">
        <v>743</v>
      </c>
      <c r="B7079" s="8" t="s">
        <v>86</v>
      </c>
      <c r="C7079" s="38" t="n">
        <f aca="false">Q!$D$24</f>
        <v>39.834</v>
      </c>
      <c r="D7079" s="38" t="n">
        <f aca="false">Q!$E$24</f>
        <v>45.606</v>
      </c>
      <c r="E7079" s="38" t="n">
        <f aca="false">Q!$P$24</f>
        <v>30.782</v>
      </c>
      <c r="F7079" s="38" t="n">
        <f aca="false">Sens!$F$7077+Sens!$F$7078</f>
        <v>33.4744649458882</v>
      </c>
      <c r="G7079" s="38" t="n">
        <f aca="false">Sens!$G$7077+Sens!$G$7078</f>
        <v>64.2564649458882</v>
      </c>
      <c r="H7079" s="38" t="n">
        <f aca="false">Sens!$H$7077+Sens!$H$7078</f>
        <v>81.7069071580194</v>
      </c>
      <c r="I7079" s="38" t="n">
        <f aca="false">Sens!$I$7077+Sens!$I$7078</f>
        <v>95.6223099840887</v>
      </c>
      <c r="J7079" s="38" t="n">
        <f aca="false">Sens!$J$7077+Sens!$J$7078</f>
        <v>111.988716435721</v>
      </c>
      <c r="K7079" s="38" t="n">
        <f aca="false">Sens!$K$7077+Sens!$K$7078</f>
        <v>122.437287225848</v>
      </c>
      <c r="L7079" s="38" t="n">
        <f aca="false">Sens!$L$7077+Sens!$L$7078</f>
        <v>130.61136449064</v>
      </c>
      <c r="M7079" s="38" t="n">
        <f aca="false">Sens!$M$7077+Sens!$M$7078</f>
        <v>136.59050228792</v>
      </c>
      <c r="N7079" s="38" t="n">
        <f aca="false">Q!$N$24</f>
        <v>21.707</v>
      </c>
      <c r="O7079" s="38" t="n">
        <f aca="false">Q!$O$24</f>
        <v>23.899</v>
      </c>
    </row>
    <row r="7080" customFormat="false" ht="17.15" hidden="false" customHeight="false" outlineLevel="0" collapsed="false">
      <c r="A7080" s="5" t="s">
        <v>744</v>
      </c>
      <c r="B7080" s="0" t="s">
        <v>86</v>
      </c>
      <c r="C7080" s="38" t="n">
        <f aca="false">Q!$D$26</f>
        <v>0</v>
      </c>
      <c r="D7080" s="38" t="n">
        <f aca="false">Q!$E$26</f>
        <v>0</v>
      </c>
      <c r="E7080" s="38" t="n">
        <f aca="false">Q!$P$26</f>
        <v>0</v>
      </c>
      <c r="F7080" s="39" t="n">
        <v>0</v>
      </c>
      <c r="G7080" s="38" t="n">
        <f aca="false">Sens!$E$7080+Sens!$F$7080</f>
        <v>0</v>
      </c>
      <c r="H7080" s="39" t="n">
        <v>0</v>
      </c>
      <c r="I7080" s="39" t="n">
        <v>0</v>
      </c>
      <c r="J7080" s="39" t="n">
        <v>0</v>
      </c>
      <c r="K7080" s="39" t="n">
        <v>0</v>
      </c>
      <c r="L7080" s="39" t="n">
        <v>0</v>
      </c>
      <c r="M7080" s="39" t="n">
        <v>0</v>
      </c>
      <c r="N7080" s="38" t="n">
        <f aca="false">Q!$N$26</f>
        <v>0</v>
      </c>
      <c r="O7080" s="38" t="n">
        <f aca="false">Q!$O$26</f>
        <v>0</v>
      </c>
    </row>
    <row r="7081" customFormat="false" ht="15" hidden="false" customHeight="false" outlineLevel="0" collapsed="false">
      <c r="A7081" s="3" t="s">
        <v>541</v>
      </c>
      <c r="B7081" s="8" t="s">
        <v>86</v>
      </c>
      <c r="C7081" s="38" t="n">
        <f aca="false">Q!$D$25</f>
        <v>68.593</v>
      </c>
      <c r="D7081" s="38" t="n">
        <f aca="false">Q!$E$25</f>
        <v>79.975</v>
      </c>
      <c r="E7081" s="38" t="n">
        <f aca="false">Q!$P$25</f>
        <v>51.313</v>
      </c>
      <c r="F7081" s="38" t="n">
        <f aca="false">Sens!$F$7071+Sens!$F$7076+Sens!$F$7079+Sens!$F$7080</f>
        <v>56.3652566987294</v>
      </c>
      <c r="G7081" s="38" t="n">
        <f aca="false">Sens!$G$7071+Sens!$G$7076+Sens!$G$7079+Sens!$G$7080</f>
        <v>107.678256698729</v>
      </c>
      <c r="H7081" s="38" t="n">
        <f aca="false">Sens!$H$7071+Sens!$H$7076+Sens!$H$7079+Sens!$H$7080</f>
        <v>129.515456870266</v>
      </c>
      <c r="I7081" s="38" t="n">
        <f aca="false">Sens!$I$7071+Sens!$I$7076+Sens!$I$7079+Sens!$I$7080</f>
        <v>145.345387082626</v>
      </c>
      <c r="J7081" s="38" t="n">
        <f aca="false">Sens!$J$7071+Sens!$J$7076+Sens!$J$7079+Sens!$J$7080</f>
        <v>163.862141869716</v>
      </c>
      <c r="K7081" s="38" t="n">
        <f aca="false">Sens!$K$7071+Sens!$K$7076+Sens!$K$7079+Sens!$K$7080</f>
        <v>175.564332634303</v>
      </c>
      <c r="L7081" s="38" t="n">
        <f aca="false">Sens!$L$7071+Sens!$L$7076+Sens!$L$7079+Sens!$L$7080</f>
        <v>186.492086157384</v>
      </c>
      <c r="M7081" s="38" t="n">
        <f aca="false">Sens!$M$7071+Sens!$M$7076+Sens!$M$7079+Sens!$M$7080</f>
        <v>198.371665638452</v>
      </c>
      <c r="N7081" s="38" t="n">
        <f aca="false">Q!$N$25</f>
        <v>37.576</v>
      </c>
      <c r="O7081" s="38" t="n">
        <f aca="false">Q!$O$25</f>
        <v>42.399</v>
      </c>
    </row>
    <row r="7082" customFormat="false" ht="17.15" hidden="false" customHeight="false" outlineLevel="0" collapsed="false">
      <c r="A7082" s="24" t="s">
        <v>775</v>
      </c>
      <c r="B7082" s="25" t="s">
        <v>86</v>
      </c>
      <c r="C7082" s="41" t="n">
        <f aca="false">Sens!$C$7071+Sens!$C$7076+Sens!$C$7079+Sens!$C$7080-Sens!$C$7081</f>
        <v>0</v>
      </c>
      <c r="D7082" s="41" t="n">
        <f aca="false">Sens!$D$7071+Sens!$D$7076+Sens!$D$7079+Sens!$D$7080-Sens!$D$7081</f>
        <v>0</v>
      </c>
      <c r="E7082" s="41" t="n">
        <f aca="false">Sens!$E$7071+Sens!$E$7076+Sens!$E$7079+Sens!$E$7080-Sens!$E$7081</f>
        <v>0</v>
      </c>
      <c r="F7082" s="41" t="n">
        <f aca="false">Sens!$F$7071+Sens!$F$7076+Sens!$F$7079+Sens!$F$7080-Sens!$F$7081</f>
        <v>0</v>
      </c>
      <c r="G7082" s="41" t="n">
        <f aca="false">Sens!$G$7071+Sens!$G$7076+Sens!$G$7079+Sens!$G$7080-Sens!$G$7081</f>
        <v>0</v>
      </c>
      <c r="H7082" s="41" t="n">
        <f aca="false">Sens!$H$7071+Sens!$H$7076+Sens!$H$7079+Sens!$H$7080-Sens!$H$7081</f>
        <v>0</v>
      </c>
      <c r="I7082" s="41" t="n">
        <f aca="false">Sens!$I$7071+Sens!$I$7076+Sens!$I$7079+Sens!$I$7080-Sens!$I$7081</f>
        <v>0</v>
      </c>
      <c r="J7082" s="41" t="n">
        <f aca="false">Sens!$J$7071+Sens!$J$7076+Sens!$J$7079+Sens!$J$7080-Sens!$J$7081</f>
        <v>0</v>
      </c>
      <c r="K7082" s="41" t="n">
        <f aca="false">Sens!$K$7071+Sens!$K$7076+Sens!$K$7079+Sens!$K$7080-Sens!$K$7081</f>
        <v>0</v>
      </c>
      <c r="L7082" s="41" t="n">
        <f aca="false">Sens!$L$7071+Sens!$L$7076+Sens!$L$7079+Sens!$L$7080-Sens!$L$7081</f>
        <v>0</v>
      </c>
      <c r="M7082" s="41" t="n">
        <f aca="false">Sens!$M$7071+Sens!$M$7076+Sens!$M$7079+Sens!$M$7080-Sens!$M$7081</f>
        <v>0</v>
      </c>
      <c r="N7082" s="41" t="n">
        <f aca="false">Sens!$N$7071+Sens!$N$7076+Sens!$N$7079+Sens!$N$7080-Sens!$N$7081</f>
        <v>0</v>
      </c>
      <c r="O7082" s="41" t="n">
        <f aca="false">Sens!$O$7071+Sens!$O$7076+Sens!$O$7079+Sens!$O$7080-Sens!$O$7081</f>
        <v>0</v>
      </c>
    </row>
    <row r="7083" customFormat="false" ht="17.15" hidden="false" customHeight="false" outlineLevel="0" collapsed="false">
      <c r="A7083" s="5" t="s">
        <v>746</v>
      </c>
      <c r="B7083" s="0" t="s">
        <v>86</v>
      </c>
      <c r="C7083" s="38" t="n">
        <f aca="false">Sens!$C$7019</f>
        <v>0</v>
      </c>
      <c r="D7083" s="38" t="n">
        <f aca="false">Sens!$D$7019</f>
        <v>0</v>
      </c>
      <c r="E7083" s="38" t="n">
        <f aca="false">Sens!$E$7019</f>
        <v>0</v>
      </c>
      <c r="F7083" s="38" t="n">
        <f aca="false">Sens!$F$7019</f>
        <v>3.77122048175818</v>
      </c>
      <c r="G7083" s="38" t="n">
        <f aca="false">Sens!$G$7019</f>
        <v>3.77122048175818</v>
      </c>
      <c r="H7083" s="38" t="n">
        <f aca="false">Sens!$H$7019</f>
        <v>15.1635543609893</v>
      </c>
      <c r="I7083" s="38" t="n">
        <f aca="false">Sens!$I$7019</f>
        <v>25.5818843619889</v>
      </c>
      <c r="J7083" s="38" t="n">
        <f aca="false">Sens!$J$7019</f>
        <v>36.0465624179122</v>
      </c>
      <c r="K7083" s="38" t="n">
        <f aca="false">Sens!$K$7019</f>
        <v>44.9741164026038</v>
      </c>
      <c r="L7083" s="38" t="n">
        <f aca="false">Sens!$L$7019</f>
        <v>50.8413488057813</v>
      </c>
      <c r="M7083" s="38" t="n">
        <f aca="false">Sens!$M$7019</f>
        <v>53.6407214274315</v>
      </c>
      <c r="N7083" s="38" t="n">
        <f aca="false">Sens!$N$7019</f>
        <v>0</v>
      </c>
      <c r="O7083" s="38" t="n">
        <f aca="false">Sens!$O$7019</f>
        <v>0</v>
      </c>
      <c r="P7083" s="5" t="s">
        <v>747</v>
      </c>
    </row>
    <row r="7084" customFormat="false" ht="17.15" hidden="false" customHeight="false" outlineLevel="0" collapsed="false">
      <c r="A7084" s="5" t="s">
        <v>748</v>
      </c>
      <c r="B7084" s="0" t="s">
        <v>86</v>
      </c>
      <c r="C7084" s="38" t="n">
        <f aca="false">Sens!$C$7081+Sens!$C$7083</f>
        <v>68.593</v>
      </c>
      <c r="D7084" s="38" t="n">
        <f aca="false">Sens!$D$7081+Sens!$D$7083</f>
        <v>79.975</v>
      </c>
      <c r="E7084" s="38" t="n">
        <f aca="false">Sens!$E$7081+Sens!$E$7083</f>
        <v>51.313</v>
      </c>
      <c r="F7084" s="38" t="n">
        <f aca="false">Sens!$F$7081+Sens!$F$7083</f>
        <v>60.1364771804876</v>
      </c>
      <c r="G7084" s="38" t="n">
        <f aca="false">Sens!$G$7081+Sens!$G$7083</f>
        <v>111.449477180488</v>
      </c>
      <c r="H7084" s="38" t="n">
        <f aca="false">Sens!$H$7081+Sens!$H$7083</f>
        <v>144.679011231256</v>
      </c>
      <c r="I7084" s="38" t="n">
        <f aca="false">Sens!$I$7081+Sens!$I$7083</f>
        <v>170.927271444615</v>
      </c>
      <c r="J7084" s="38" t="n">
        <f aca="false">Sens!$J$7081+Sens!$J$7083</f>
        <v>199.908704287628</v>
      </c>
      <c r="K7084" s="38" t="n">
        <f aca="false">Sens!$K$7081+Sens!$K$7083</f>
        <v>220.538449036907</v>
      </c>
      <c r="L7084" s="38" t="n">
        <f aca="false">Sens!$L$7081+Sens!$L$7083</f>
        <v>237.333434963166</v>
      </c>
      <c r="M7084" s="38" t="n">
        <f aca="false">Sens!$M$7081+Sens!$M$7083</f>
        <v>252.012387065883</v>
      </c>
      <c r="N7084" s="38" t="n">
        <f aca="false">Sens!$N$7081+Sens!$N$7083</f>
        <v>37.576</v>
      </c>
      <c r="O7084" s="38" t="n">
        <f aca="false">Sens!$O$7081+Sens!$O$7083</f>
        <v>42.399</v>
      </c>
    </row>
    <row r="7085" customFormat="false" ht="17.15" hidden="false" customHeight="false" outlineLevel="0" collapsed="false">
      <c r="A7085" s="0" t="s">
        <v>749</v>
      </c>
      <c r="B7085" s="0" t="s">
        <v>52</v>
      </c>
      <c r="C7085" s="13" t="n">
        <f aca="false">Sens!$C$7071/Sens!$C$7056</f>
        <v>0.0644314665661928</v>
      </c>
      <c r="D7085" s="13" t="n">
        <f aca="false">Sens!$D$7071/Sens!$D$7056</f>
        <v>0.0694784250712518</v>
      </c>
      <c r="E7085" s="13" t="n">
        <f aca="false">Sens!$E$7071/Sens!$E$7056</f>
        <v>0.0789306463326071</v>
      </c>
      <c r="F7085" s="13" t="n">
        <f aca="false">Sens!$F$7071/Sens!$F$7056</f>
        <v>0.0802526339438384</v>
      </c>
      <c r="G7085" s="13" t="n">
        <f aca="false">Sens!$G$7071/Sens!$G$7056</f>
        <v>0.0796341940538369</v>
      </c>
      <c r="H7085" s="13" t="n">
        <f aca="false">Sens!$H$7071/Sens!$H$7056</f>
        <v>0.0798254462645258</v>
      </c>
      <c r="I7085" s="13" t="n">
        <f aca="false">Sens!$I$7071/Sens!$I$7056</f>
        <v>0.0771454543672196</v>
      </c>
      <c r="J7085" s="13" t="n">
        <f aca="false">Sens!$J$7071/Sens!$J$7056</f>
        <v>0.0756147693819656</v>
      </c>
      <c r="K7085" s="13" t="n">
        <f aca="false">Sens!$K$7071/Sens!$K$7056</f>
        <v>0.0739025926520816</v>
      </c>
      <c r="L7085" s="13" t="n">
        <f aca="false">Sens!$L$7071/Sens!$L$7056</f>
        <v>0.0730809201558074</v>
      </c>
      <c r="M7085" s="13" t="n">
        <f aca="false">Sens!$M$7071/Sens!$M$7056</f>
        <v>0.0751707027775199</v>
      </c>
      <c r="N7085" s="13" t="n">
        <f aca="false">Sens!$N$7071/Sens!$N$7056</f>
        <v>0.069228576611127</v>
      </c>
      <c r="O7085" s="13" t="n">
        <f aca="false">Sens!$O$7071/Sens!$O$7056</f>
        <v>0.069685022498393</v>
      </c>
    </row>
    <row r="7086" customFormat="false" ht="17.15" hidden="false" customHeight="false" outlineLevel="0" collapsed="false">
      <c r="A7086" s="0" t="s">
        <v>750</v>
      </c>
      <c r="B7086" s="0" t="s">
        <v>52</v>
      </c>
      <c r="C7086" s="13" t="n">
        <f aca="false">Sens!$C$7076/Sens!$C$7057</f>
        <v>0.026534925055631</v>
      </c>
      <c r="D7086" s="13" t="n">
        <f aca="false">Sens!$D$7076/Sens!$D$7057</f>
        <v>0.0293401855535103</v>
      </c>
      <c r="E7086" s="13" t="n">
        <f aca="false">Sens!$E$7076/Sens!$E$7057</f>
        <v>0.03831141902276</v>
      </c>
      <c r="F7086" s="13" t="n">
        <f aca="false">Sens!$F$7076/Sens!$F$7057</f>
        <v>0.0282118989524726</v>
      </c>
      <c r="G7086" s="13" t="n">
        <f aca="false">Sens!$G$7076/Sens!$G$7057</f>
        <v>0.0328019468674976</v>
      </c>
      <c r="H7086" s="13" t="n">
        <f aca="false">Sens!$H$7076/Sens!$H$7057</f>
        <v>0.0309879507899839</v>
      </c>
      <c r="I7086" s="13" t="n">
        <f aca="false">Sens!$I$7076/Sens!$I$7057</f>
        <v>0.0262795332043765</v>
      </c>
      <c r="J7086" s="13" t="n">
        <f aca="false">Sens!$J$7076/Sens!$J$7057</f>
        <v>0.0226574435353346</v>
      </c>
      <c r="K7086" s="13" t="n">
        <f aca="false">Sens!$K$7076/Sens!$K$7057</f>
        <v>0.0187492205871101</v>
      </c>
      <c r="L7086" s="13" t="n">
        <f aca="false">Sens!$L$7076/Sens!$L$7057</f>
        <v>0.018273690180732</v>
      </c>
      <c r="M7086" s="13" t="n">
        <f aca="false">Sens!$M$7076/Sens!$M$7057</f>
        <v>0.0207176218272716</v>
      </c>
      <c r="N7086" s="13" t="n">
        <f aca="false">Sens!$N$7076/Sens!$N$7057</f>
        <v>0.0357315650169337</v>
      </c>
      <c r="O7086" s="13" t="n">
        <f aca="false">Sens!$O$7076/Sens!$O$7057</f>
        <v>0.0244378956559703</v>
      </c>
    </row>
    <row r="7087" customFormat="false" ht="17.15" hidden="false" customHeight="false" outlineLevel="0" collapsed="false">
      <c r="A7087" s="14" t="s">
        <v>751</v>
      </c>
      <c r="B7087" s="14" t="s">
        <v>52</v>
      </c>
      <c r="C7087" s="17" t="n">
        <f aca="false">Sens!$C$7079/Sens!$C$7058</f>
        <v>0.370355907620217</v>
      </c>
      <c r="D7087" s="17" t="n">
        <f aca="false">Sens!$D$7079/Sens!$D$7058</f>
        <v>0.35429015342785</v>
      </c>
      <c r="E7087" s="17" t="n">
        <f aca="false">Sens!$E$7079/Sens!$E$7058</f>
        <v>0.385647527531039</v>
      </c>
      <c r="F7087" s="17" t="n">
        <f aca="false">Sens!$F$7079/Sens!$F$7058</f>
        <v>0.385949613469105</v>
      </c>
      <c r="G7087" s="17" t="n">
        <f aca="false">Sens!$G$7079/Sens!$G$7058</f>
        <v>0.385804840448779</v>
      </c>
      <c r="H7087" s="17" t="n">
        <f aca="false">Sens!$H$7079/Sens!$H$7058</f>
        <v>0.369408675360557</v>
      </c>
      <c r="I7087" s="17" t="n">
        <f aca="false">Sens!$I$7079/Sens!$I$7058</f>
        <v>0.34117504540738</v>
      </c>
      <c r="J7087" s="17" t="n">
        <f aca="false">Sens!$J$7079/Sens!$J$7058</f>
        <v>0.330544285732563</v>
      </c>
      <c r="K7087" s="17" t="n">
        <f aca="false">Sens!$K$7079/Sens!$K$7058</f>
        <v>0.314033796990635</v>
      </c>
      <c r="L7087" s="17" t="n">
        <f aca="false">Sens!$L$7079/Sens!$L$7058</f>
        <v>0.303690371867633</v>
      </c>
      <c r="M7087" s="17" t="n">
        <f aca="false">Sens!$M$7079/Sens!$M$7058</f>
        <v>0.297287296590884</v>
      </c>
      <c r="N7087" s="17" t="n">
        <f aca="false">Sens!$N$7079/Sens!$N$7058</f>
        <v>0.360941137346192</v>
      </c>
      <c r="O7087" s="17" t="n">
        <f aca="false">Sens!$O$7079/Sens!$O$7058</f>
        <v>0.348458117664212</v>
      </c>
    </row>
    <row r="7088" customFormat="false" ht="17.15" hidden="false" customHeight="false" outlineLevel="0" collapsed="false">
      <c r="A7088" s="0" t="s">
        <v>752</v>
      </c>
      <c r="B7088" s="0" t="s">
        <v>52</v>
      </c>
      <c r="C7088" s="13" t="n">
        <f aca="false">Sens!$C$7077/Sens!$C$7059</f>
        <v>0.708390794789371</v>
      </c>
      <c r="D7088" s="13" t="n">
        <f aca="false">Sens!$D$7077/Sens!$D$7059</f>
        <v>0.619415573115729</v>
      </c>
      <c r="E7088" s="13" t="n">
        <f aca="false">Sens!$E$7077/Sens!$E$7059</f>
        <v>0.285171627189009</v>
      </c>
      <c r="F7088" s="13" t="n">
        <f aca="false">Sens!$F$7077/Sens!$F$7059</f>
        <v>0.502657732812366</v>
      </c>
      <c r="G7088" s="13" t="n">
        <f aca="false">Sens!$G$7077/Sens!$G$7059</f>
        <v>0.423808778611812</v>
      </c>
      <c r="H7088" s="13" t="n">
        <f aca="false">Sens!$H$7077/Sens!$H$7059</f>
        <v>0.390261631739809</v>
      </c>
      <c r="I7088" s="13" t="n">
        <f aca="false">Sens!$I$7077/Sens!$I$7059</f>
        <v>0.305172864264572</v>
      </c>
      <c r="J7088" s="13" t="n">
        <f aca="false">Sens!$J$7077/Sens!$J$7059</f>
        <v>0.288011814789856</v>
      </c>
      <c r="K7088" s="13" t="n">
        <f aca="false">Sens!$K$7077/Sens!$K$7059</f>
        <v>0.25765427518774</v>
      </c>
      <c r="L7088" s="13" t="n">
        <f aca="false">Sens!$L$7077/Sens!$L$7059</f>
        <v>0.238118778012374</v>
      </c>
      <c r="M7088" s="13" t="n">
        <f aca="false">Sens!$M$7077/Sens!$M$7059</f>
        <v>0.222746255757109</v>
      </c>
      <c r="N7088" s="13" t="n">
        <f aca="false">Sens!$N$7077/Sens!$N$7059</f>
        <v>0.551227795793364</v>
      </c>
      <c r="O7088" s="13" t="n">
        <f aca="false">Sens!$O$7077/Sens!$O$7059</f>
        <v>0.656132068597002</v>
      </c>
    </row>
    <row r="7089" customFormat="false" ht="15" hidden="false" customHeight="false" outlineLevel="0" collapsed="false">
      <c r="A7089" s="5" t="s">
        <v>753</v>
      </c>
      <c r="B7089" s="0" t="s">
        <v>52</v>
      </c>
      <c r="C7089" s="13" t="n">
        <f aca="false">Sens!$C$7081/Sens!$C$7061</f>
        <v>0.107519448742004</v>
      </c>
      <c r="D7089" s="13" t="n">
        <f aca="false">Sens!$D$7081/Sens!$D$7061</f>
        <v>0.111552967957552</v>
      </c>
      <c r="E7089" s="13" t="n">
        <f aca="false">Sens!$E$7081/Sens!$E$7061</f>
        <v>0.13428328426562</v>
      </c>
      <c r="F7089" s="13" t="n">
        <f aca="false">Sens!$F$7081/Sens!$F$7061</f>
        <v>0.129343087287827</v>
      </c>
      <c r="G7089" s="13" t="n">
        <f aca="false">Sens!$G$7081/Sens!$G$7061</f>
        <v>0.131651143259596</v>
      </c>
      <c r="H7089" s="13" t="n">
        <f aca="false">Sens!$H$7081/Sens!$H$7061</f>
        <v>0.137449034763893</v>
      </c>
      <c r="I7089" s="13" t="n">
        <f aca="false">Sens!$I$7081/Sens!$I$7061</f>
        <v>0.13598895915033</v>
      </c>
      <c r="J7089" s="13" t="n">
        <f aca="false">Sens!$J$7081/Sens!$J$7061</f>
        <v>0.137709769017663</v>
      </c>
      <c r="K7089" s="13" t="n">
        <f aca="false">Sens!$K$7081/Sens!$K$7061</f>
        <v>0.135459809314784</v>
      </c>
      <c r="L7089" s="13" t="n">
        <f aca="false">Sens!$L$7081/Sens!$L$7061</f>
        <v>0.133669430082102</v>
      </c>
      <c r="M7089" s="13" t="n">
        <f aca="false">Sens!$M$7081/Sens!$M$7061</f>
        <v>0.133349766772341</v>
      </c>
      <c r="N7089" s="13" t="n">
        <f aca="false">Sens!$N$7081/Sens!$N$7061</f>
        <v>0.116201614873411</v>
      </c>
      <c r="O7089" s="13" t="n">
        <f aca="false">Sens!$O$7081/Sens!$O$7061</f>
        <v>0.107733353660861</v>
      </c>
    </row>
    <row r="7090" customFormat="false" ht="17.15" hidden="false" customHeight="false" outlineLevel="0" collapsed="false">
      <c r="A7090" s="1" t="s">
        <v>754</v>
      </c>
    </row>
    <row r="7091" customFormat="false" ht="17.15" hidden="false" customHeight="false" outlineLevel="0" collapsed="false">
      <c r="A7091" s="5" t="s">
        <v>755</v>
      </c>
      <c r="B7091" s="0" t="s">
        <v>52</v>
      </c>
      <c r="D7091" s="28" t="n">
        <f aca="false">(Q!$E$29+Q!$E$30-(1-ext_sh)*Sens!$D$7013)/Sens!$D$6964</f>
        <v>0.0341105596409988</v>
      </c>
    </row>
    <row r="7092" customFormat="false" ht="17.15" hidden="false" customHeight="false" outlineLevel="0" collapsed="false">
      <c r="A7092" s="0" t="s">
        <v>545</v>
      </c>
      <c r="B7092" s="0" t="s">
        <v>86</v>
      </c>
      <c r="C7092" s="38" t="n">
        <f aca="false">Q!$D$29</f>
        <v>14.285</v>
      </c>
      <c r="D7092" s="38" t="n">
        <f aca="false">Q!$E$29</f>
        <v>15.503</v>
      </c>
      <c r="E7092" s="38" t="n">
        <f aca="false">Q!$P$29</f>
        <v>8.78</v>
      </c>
      <c r="F7092" s="38" t="n">
        <f aca="false">(Sens!$D$7091*Sens!$F$6964+(1-ext_sh)*Sens!$F$7013)*Sens!$F$6965</f>
        <v>9.30317620449232</v>
      </c>
      <c r="G7092" s="38" t="n">
        <f aca="false">Sens!$E$7092+Sens!$F$7092</f>
        <v>18.0831762044923</v>
      </c>
      <c r="H7092" s="38" t="n">
        <f aca="false">(Sens!$D$7091*Sens!$H$6964+(1-ext_sh)*Sens!$H$7013)*Sens!$H$6965</f>
        <v>22.1297245338482</v>
      </c>
      <c r="I7092" s="38" t="n">
        <f aca="false">(Sens!$D$7091*Sens!$I$6964+(1-ext_sh)*Sens!$I$7013)*Sens!$I$6965</f>
        <v>28.409695984391</v>
      </c>
      <c r="J7092" s="38" t="n">
        <f aca="false">(Sens!$D$7091*Sens!$J$6964+(1-ext_sh)*Sens!$J$7013)*Sens!$J$6965</f>
        <v>34.1085606174579</v>
      </c>
      <c r="K7092" s="38" t="n">
        <f aca="false">(Sens!$D$7091*Sens!$K$6964+(1-ext_sh)*Sens!$K$7013)*Sens!$K$6965</f>
        <v>39.7218983009068</v>
      </c>
      <c r="L7092" s="38" t="n">
        <f aca="false">(Sens!$D$7091*Sens!$L$6964+(1-ext_sh)*Sens!$L$7013)*Sens!$L$6965</f>
        <v>44.1680279486684</v>
      </c>
      <c r="M7092" s="38" t="n">
        <f aca="false">(Sens!$D$7091*Sens!$M$6964+(1-ext_sh)*Sens!$M$7013)*Sens!$M$6965</f>
        <v>47.4413073313286</v>
      </c>
      <c r="N7092" s="38" t="n">
        <f aca="false">Q!$N$29</f>
        <v>7.272</v>
      </c>
      <c r="O7092" s="38" t="n">
        <f aca="false">Q!$O$29</f>
        <v>8.231</v>
      </c>
    </row>
    <row r="7093" customFormat="false" ht="17.15" hidden="false" customHeight="false" outlineLevel="0" collapsed="false">
      <c r="A7093" s="0" t="s">
        <v>547</v>
      </c>
      <c r="B7093" s="0" t="s">
        <v>86</v>
      </c>
      <c r="C7093" s="38" t="n">
        <f aca="false">Q!$D$30</f>
        <v>4.462</v>
      </c>
      <c r="D7093" s="38" t="n">
        <f aca="false">Q!$E$30</f>
        <v>4.907</v>
      </c>
      <c r="E7093" s="38" t="n">
        <f aca="false">Q!$P$30</f>
        <v>2.57</v>
      </c>
      <c r="F7093" s="38" t="n">
        <f aca="false">(Sens!$D$7091*Sens!$F$6964+(1-ext_sh)*Sens!$F$7013)*(1-Sens!$F$6965)</f>
        <v>3.6526976809753</v>
      </c>
      <c r="G7093" s="38" t="n">
        <f aca="false">Sens!$E$7093+Sens!$F$7093</f>
        <v>6.2226976809753</v>
      </c>
      <c r="H7093" s="38" t="n">
        <f aca="false">(Sens!$D$7091*Sens!$H$6964+(1-ext_sh)*Sens!$H$7013)*(1-Sens!$H$6965)</f>
        <v>8.4764774248495</v>
      </c>
      <c r="I7093" s="38" t="n">
        <f aca="false">(Sens!$D$7091*Sens!$I$6964+(1-ext_sh)*Sens!$I$7013)*(1-Sens!$I$6965)</f>
        <v>10.881931507561</v>
      </c>
      <c r="J7093" s="38" t="n">
        <f aca="false">(Sens!$D$7091*Sens!$J$6964+(1-ext_sh)*Sens!$J$7013)*(1-Sens!$J$6965)</f>
        <v>13.0648008575874</v>
      </c>
      <c r="K7093" s="38" t="n">
        <f aca="false">(Sens!$D$7091*Sens!$K$6964+(1-ext_sh)*Sens!$K$7013)*(1-Sens!$K$6965)</f>
        <v>15.2149103214008</v>
      </c>
      <c r="L7093" s="38" t="n">
        <f aca="false">(Sens!$D$7091*Sens!$L$6964+(1-ext_sh)*Sens!$L$7013)*(1-Sens!$L$6965)</f>
        <v>16.9179372854085</v>
      </c>
      <c r="M7093" s="38" t="n">
        <f aca="false">(Sens!$D$7091*Sens!$M$6964+(1-ext_sh)*Sens!$M$7013)*(1-Sens!$M$6965)</f>
        <v>18.1717205735785</v>
      </c>
      <c r="N7093" s="38" t="n">
        <f aca="false">Q!$N$30</f>
        <v>2.316</v>
      </c>
      <c r="O7093" s="38" t="n">
        <f aca="false">Q!$O$30</f>
        <v>2.591</v>
      </c>
    </row>
    <row r="7094" customFormat="false" ht="17.15" hidden="false" customHeight="false" outlineLevel="0" collapsed="false">
      <c r="A7094" s="0" t="s">
        <v>548</v>
      </c>
      <c r="B7094" s="0" t="s">
        <v>86</v>
      </c>
      <c r="C7094" s="38" t="n">
        <f aca="false">Sens!$C$7025</f>
        <v>13.32</v>
      </c>
      <c r="D7094" s="38" t="n">
        <f aca="false">Sens!$D$7025</f>
        <v>21.45</v>
      </c>
      <c r="E7094" s="38" t="n">
        <f aca="false">Sens!$E$7025</f>
        <v>15.353</v>
      </c>
      <c r="F7094" s="38" t="n">
        <f aca="false">Sens!$F$7025</f>
        <v>16.1969869840094</v>
      </c>
      <c r="G7094" s="38" t="n">
        <f aca="false">Sens!$G$7025</f>
        <v>31.5499869840094</v>
      </c>
      <c r="H7094" s="38" t="n">
        <f aca="false">Sens!$H$7025</f>
        <v>50.9556213609176</v>
      </c>
      <c r="I7094" s="38" t="n">
        <f aca="false">Sens!$I$7025</f>
        <v>79.464581248252</v>
      </c>
      <c r="J7094" s="38" t="n">
        <f aca="false">Sens!$J$7025</f>
        <v>105.296127931746</v>
      </c>
      <c r="K7094" s="38" t="n">
        <f aca="false">Sens!$K$7025</f>
        <v>131.454694001511</v>
      </c>
      <c r="L7094" s="38" t="n">
        <f aca="false">Sens!$L$7025</f>
        <v>150.840456981405</v>
      </c>
      <c r="M7094" s="38" t="n">
        <f aca="false">Sens!$M$7025</f>
        <v>163.399454192999</v>
      </c>
      <c r="N7094" s="38" t="n">
        <f aca="false">Sens!$N$7025</f>
        <v>9.234</v>
      </c>
      <c r="O7094" s="38" t="n">
        <f aca="false">Sens!$O$7025</f>
        <v>12.216</v>
      </c>
    </row>
    <row r="7095" customFormat="false" ht="17.15" hidden="false" customHeight="false" outlineLevel="0" collapsed="false">
      <c r="A7095" s="5" t="s">
        <v>756</v>
      </c>
      <c r="B7095" s="0" t="s">
        <v>86</v>
      </c>
      <c r="C7095" s="38" t="n">
        <f aca="false">Sens!$C$7092+Sens!$C$7093+Sens!$C$7094</f>
        <v>32.067</v>
      </c>
      <c r="D7095" s="38" t="n">
        <f aca="false">Sens!$D$7092+Sens!$D$7093+Sens!$D$7094</f>
        <v>41.86</v>
      </c>
      <c r="E7095" s="38" t="n">
        <f aca="false">Sens!$E$7092+Sens!$E$7093+Sens!$E$7094</f>
        <v>26.703</v>
      </c>
      <c r="F7095" s="38" t="n">
        <f aca="false">Sens!$F$7092+Sens!$F$7093+Sens!$F$7094</f>
        <v>29.152860869477</v>
      </c>
      <c r="G7095" s="38" t="n">
        <f aca="false">Sens!$G$7092+Sens!$G$7093+Sens!$G$7094</f>
        <v>55.855860869477</v>
      </c>
      <c r="H7095" s="38" t="n">
        <f aca="false">Sens!$H$7092+Sens!$H$7093+Sens!$H$7094</f>
        <v>81.5618233196153</v>
      </c>
      <c r="I7095" s="38" t="n">
        <f aca="false">Sens!$I$7092+Sens!$I$7093+Sens!$I$7094</f>
        <v>118.756208740204</v>
      </c>
      <c r="J7095" s="38" t="n">
        <f aca="false">Sens!$J$7092+Sens!$J$7093+Sens!$J$7094</f>
        <v>152.469489406791</v>
      </c>
      <c r="K7095" s="38" t="n">
        <f aca="false">Sens!$K$7092+Sens!$K$7093+Sens!$K$7094</f>
        <v>186.391502623819</v>
      </c>
      <c r="L7095" s="38" t="n">
        <f aca="false">Sens!$L$7092+Sens!$L$7093+Sens!$L$7094</f>
        <v>211.926422215482</v>
      </c>
      <c r="M7095" s="38" t="n">
        <f aca="false">Sens!$M$7092+Sens!$M$7093+Sens!$M$7094</f>
        <v>229.012482097906</v>
      </c>
      <c r="N7095" s="38" t="n">
        <f aca="false">Sens!$N$7092+Sens!$N$7093+Sens!$N$7094</f>
        <v>18.822</v>
      </c>
      <c r="O7095" s="38" t="n">
        <f aca="false">Sens!$O$7092+Sens!$O$7093+Sens!$O$7094</f>
        <v>23.038</v>
      </c>
    </row>
    <row r="7096" customFormat="false" ht="17.15" hidden="false" customHeight="false" outlineLevel="0" collapsed="false">
      <c r="A7096" s="0" t="s">
        <v>757</v>
      </c>
      <c r="B7096" s="0" t="s">
        <v>86</v>
      </c>
      <c r="C7096" s="38" t="n">
        <f aca="false">Sens!$C$7067+Sens!$C$7072</f>
        <v>28.107</v>
      </c>
      <c r="D7096" s="38" t="n">
        <f aca="false">Sens!$D$7067+Sens!$D$7072</f>
        <v>34.3175</v>
      </c>
      <c r="E7096" s="38" t="n">
        <f aca="false">Sens!$E$7067+Sens!$E$7072</f>
        <v>18.526</v>
      </c>
      <c r="F7096" s="38" t="n">
        <f aca="false">Sens!$F$7067+Sens!$F$7072</f>
        <v>23.0786109972074</v>
      </c>
      <c r="G7096" s="38" t="n">
        <f aca="false">Sens!$G$7067+Sens!$G$7072</f>
        <v>41.6046109972074</v>
      </c>
      <c r="H7096" s="38" t="n">
        <f aca="false">Sens!$H$7067+Sens!$H$7072</f>
        <v>49.9484611939488</v>
      </c>
      <c r="I7096" s="38" t="n">
        <f aca="false">Sens!$I$7067+Sens!$I$7072</f>
        <v>58.2915555477481</v>
      </c>
      <c r="J7096" s="38" t="n">
        <f aca="false">Sens!$J$7067+Sens!$J$7072</f>
        <v>66.0744709709759</v>
      </c>
      <c r="K7096" s="38" t="n">
        <f aca="false">Sens!$K$7067+Sens!$K$7072</f>
        <v>72.6819180680735</v>
      </c>
      <c r="L7096" s="38" t="n">
        <f aca="false">Sens!$L$7067+Sens!$L$7072</f>
        <v>79.9501098748808</v>
      </c>
      <c r="M7096" s="38" t="n">
        <f aca="false">Sens!$M$7067+Sens!$M$7072</f>
        <v>87.9451208623689</v>
      </c>
      <c r="N7096" s="38" t="n">
        <f aca="false">Sens!$N$7067+Sens!$N$7072</f>
        <v>14.8075</v>
      </c>
      <c r="O7096" s="38" t="n">
        <f aca="false">Sens!$O$7067+Sens!$O$7072</f>
        <v>19.51</v>
      </c>
    </row>
    <row r="7097" customFormat="false" ht="17.15" hidden="false" customHeight="false" outlineLevel="0" collapsed="false">
      <c r="A7097" s="0" t="s">
        <v>758</v>
      </c>
      <c r="B7097" s="0" t="s">
        <v>86</v>
      </c>
      <c r="C7097" s="38" t="n">
        <f aca="false">Sens!$C$7071+Sens!$C$7076+Sens!$C$7092+Sens!$C$7093-Sens!$C$7096</f>
        <v>19.399</v>
      </c>
      <c r="D7097" s="38" t="n">
        <f aca="false">Sens!$D$7071+Sens!$D$7076+Sens!$D$7092+Sens!$D$7093-Sens!$D$7096</f>
        <v>20.4615</v>
      </c>
      <c r="E7097" s="38" t="n">
        <f aca="false">Sens!$E$7071+Sens!$E$7076+Sens!$E$7092+Sens!$E$7093-Sens!$E$7096</f>
        <v>13.355</v>
      </c>
      <c r="F7097" s="38" t="n">
        <f aca="false">Sens!$F$7071+Sens!$F$7076+Sens!$F$7092+Sens!$F$7093-Sens!$F$7096</f>
        <v>12.7680546411015</v>
      </c>
      <c r="G7097" s="38" t="n">
        <f aca="false">Sens!$G$7071+Sens!$G$7076+Sens!$G$7092+Sens!$G$7093-Sens!$G$7096</f>
        <v>26.1230546411015</v>
      </c>
      <c r="H7097" s="38" t="n">
        <f aca="false">Sens!$H$7071+Sens!$H$7076+Sens!$H$7092+Sens!$H$7093-Sens!$H$7096</f>
        <v>28.4662904769959</v>
      </c>
      <c r="I7097" s="38" t="n">
        <f aca="false">Sens!$I$7071+Sens!$I$7076+Sens!$I$7092+Sens!$I$7093-Sens!$I$7096</f>
        <v>30.7231490427408</v>
      </c>
      <c r="J7097" s="38" t="n">
        <f aca="false">Sens!$J$7071+Sens!$J$7076+Sens!$J$7092+Sens!$J$7093-Sens!$J$7096</f>
        <v>32.9723159380642</v>
      </c>
      <c r="K7097" s="38" t="n">
        <f aca="false">Sens!$K$7071+Sens!$K$7076+Sens!$K$7092+Sens!$K$7093-Sens!$K$7096</f>
        <v>35.3819359626894</v>
      </c>
      <c r="L7097" s="38" t="n">
        <f aca="false">Sens!$L$7071+Sens!$L$7076+Sens!$L$7092+Sens!$L$7093-Sens!$L$7096</f>
        <v>37.0165770259405</v>
      </c>
      <c r="M7097" s="38" t="n">
        <f aca="false">Sens!$M$7071+Sens!$M$7076+Sens!$M$7092+Sens!$M$7093-Sens!$M$7096</f>
        <v>39.4490703930704</v>
      </c>
      <c r="N7097" s="38" t="n">
        <f aca="false">Sens!$N$7071+Sens!$N$7076+Sens!$N$7092+Sens!$N$7093-Sens!$N$7096</f>
        <v>10.6495</v>
      </c>
      <c r="O7097" s="38" t="n">
        <f aca="false">Sens!$O$7071+Sens!$O$7076+Sens!$O$7092+Sens!$O$7093-Sens!$O$7096</f>
        <v>9.81200000000001</v>
      </c>
    </row>
    <row r="7098" customFormat="false" ht="17.15" hidden="false" customHeight="false" outlineLevel="0" collapsed="false">
      <c r="A7098" s="0" t="s">
        <v>759</v>
      </c>
      <c r="B7098" s="0" t="s">
        <v>86</v>
      </c>
      <c r="C7098" s="38" t="n">
        <f aca="false">Sens!$C$7078+Sens!$C$7094-ext_sh*Sens!$C$7013</f>
        <v>51.3470500115664</v>
      </c>
      <c r="D7098" s="38" t="n">
        <f aca="false">Sens!$D$7078+Sens!$D$7094-ext_sh*Sens!$D$7013</f>
        <v>60.2799375433739</v>
      </c>
      <c r="E7098" s="38" t="n">
        <f aca="false">Sens!$E$7078+Sens!$E$7094-ext_sh*Sens!$E$7013</f>
        <v>39.5095167090767</v>
      </c>
      <c r="F7098" s="38" t="n">
        <f aca="false">Sens!$F$7078+Sens!$F$7094-ext_sh*Sens!$F$7013</f>
        <v>37.951394214027</v>
      </c>
      <c r="G7098" s="38" t="n">
        <f aca="false">Sens!$G$7078+Sens!$G$7094-ext_sh*Sens!$G$7013</f>
        <v>77.4609109231037</v>
      </c>
      <c r="H7098" s="38" t="n">
        <f aca="false">Sens!$H$7078+Sens!$H$7094-ext_sh*Sens!$H$7013</f>
        <v>85.1453558128916</v>
      </c>
      <c r="I7098" s="38" t="n">
        <f aca="false">Sens!$I$7078+Sens!$I$7094-ext_sh*Sens!$I$7013</f>
        <v>94.532921967974</v>
      </c>
      <c r="J7098" s="38" t="n">
        <f aca="false">Sens!$J$7078+Sens!$J$7094-ext_sh*Sens!$J$7013</f>
        <v>103.525527532583</v>
      </c>
      <c r="K7098" s="38" t="n">
        <f aca="false">Sens!$K$7078+Sens!$K$7094-ext_sh*Sens!$K$7013</f>
        <v>111.80756973519</v>
      </c>
      <c r="L7098" s="38" t="n">
        <f aca="false">Sens!$L$7078+Sens!$L$7094-ext_sh*Sens!$L$7013</f>
        <v>120.752175314005</v>
      </c>
      <c r="M7098" s="38" t="n">
        <f aca="false">Sens!$M$7078+Sens!$M$7094-ext_sh*Sens!$M$7013</f>
        <v>130.412349339125</v>
      </c>
      <c r="N7098" s="38" t="n">
        <f aca="false">Sens!$N$7078+Sens!$N$7094-ext_sh*Sens!$N$7013</f>
        <v>28.5693781401809</v>
      </c>
      <c r="O7098" s="38" t="n">
        <f aca="false">Sens!$O$7078+Sens!$O$7094-ext_sh*Sens!$O$7013</f>
        <v>31.7105594031931</v>
      </c>
    </row>
    <row r="7099" customFormat="false" ht="17.15" hidden="false" customHeight="false" outlineLevel="0" collapsed="false">
      <c r="A7099" s="0" t="s">
        <v>760</v>
      </c>
      <c r="B7099" s="0" t="s">
        <v>86</v>
      </c>
      <c r="C7099" s="38" t="n">
        <f aca="false">Sens!$C$7016</f>
        <v>1.80694998843362</v>
      </c>
      <c r="D7099" s="38" t="n">
        <f aca="false">Sens!$D$7016</f>
        <v>6.77606245662607</v>
      </c>
      <c r="E7099" s="38" t="n">
        <f aca="false">Sens!$E$7016</f>
        <v>6.62548329092326</v>
      </c>
      <c r="F7099" s="38" t="n">
        <f aca="false">Sens!$F$7016</f>
        <v>11.7200577158706</v>
      </c>
      <c r="G7099" s="38" t="n">
        <f aca="false">Sens!$G$7016</f>
        <v>18.3455410067939</v>
      </c>
      <c r="H7099" s="38" t="n">
        <f aca="false">Sens!$H$7016</f>
        <v>47.5171727060453</v>
      </c>
      <c r="I7099" s="38" t="n">
        <f aca="false">Sens!$I$7016</f>
        <v>80.5539692643667</v>
      </c>
      <c r="J7099" s="38" t="n">
        <f aca="false">Sens!$J$7016</f>
        <v>113.759316834883</v>
      </c>
      <c r="K7099" s="38" t="n">
        <f aca="false">Sens!$K$7016</f>
        <v>142.084411492169</v>
      </c>
      <c r="L7099" s="38" t="n">
        <f aca="false">Sens!$L$7016</f>
        <v>160.69964615804</v>
      </c>
      <c r="M7099" s="38" t="n">
        <f aca="false">Sens!$M$7016</f>
        <v>169.577607141793</v>
      </c>
      <c r="N7099" s="38" t="n">
        <f aca="false">Sens!$N$7016</f>
        <v>2.37162185981912</v>
      </c>
      <c r="O7099" s="38" t="n">
        <f aca="false">Sens!$O$7016</f>
        <v>4.40444059680694</v>
      </c>
    </row>
    <row r="7100" customFormat="false" ht="17.15" hidden="false" customHeight="false" outlineLevel="0" collapsed="false">
      <c r="A7100" s="0" t="s">
        <v>761</v>
      </c>
      <c r="B7100" s="0" t="s">
        <v>86</v>
      </c>
      <c r="C7100" s="38" t="n">
        <f aca="false">Sens!$C$7081+Sens!$C$7095</f>
        <v>100.66</v>
      </c>
      <c r="D7100" s="38" t="n">
        <f aca="false">Sens!$D$7081+Sens!$D$7095</f>
        <v>121.835</v>
      </c>
      <c r="E7100" s="38" t="n">
        <f aca="false">Sens!$E$7081+Sens!$E$7095</f>
        <v>78.016</v>
      </c>
      <c r="F7100" s="38" t="n">
        <f aca="false">Sens!$F$7081+Sens!$F$7095</f>
        <v>85.5181175682064</v>
      </c>
      <c r="G7100" s="38" t="n">
        <f aca="false">Sens!$G$7081+Sens!$G$7095</f>
        <v>163.534117568206</v>
      </c>
      <c r="H7100" s="38" t="n">
        <f aca="false">Sens!$H$7081+Sens!$H$7095</f>
        <v>211.077280189882</v>
      </c>
      <c r="I7100" s="38" t="n">
        <f aca="false">Sens!$I$7081+Sens!$I$7095</f>
        <v>264.10159582283</v>
      </c>
      <c r="J7100" s="38" t="n">
        <f aca="false">Sens!$J$7081+Sens!$J$7095</f>
        <v>316.331631276507</v>
      </c>
      <c r="K7100" s="38" t="n">
        <f aca="false">Sens!$K$7081+Sens!$K$7095</f>
        <v>361.955835258122</v>
      </c>
      <c r="L7100" s="38" t="n">
        <f aca="false">Sens!$L$7081+Sens!$L$7095</f>
        <v>398.418508372866</v>
      </c>
      <c r="M7100" s="38" t="n">
        <f aca="false">Sens!$M$7081+Sens!$M$7095</f>
        <v>427.384147736358</v>
      </c>
      <c r="N7100" s="38" t="n">
        <f aca="false">Sens!$N$7081+Sens!$N$7095</f>
        <v>56.398</v>
      </c>
      <c r="O7100" s="38" t="n">
        <f aca="false">Sens!$O$7081+Sens!$O$7095</f>
        <v>65.437</v>
      </c>
    </row>
    <row r="7101" customFormat="false" ht="17.15" hidden="false" customHeight="false" outlineLevel="0" collapsed="false">
      <c r="A7101" s="1" t="s">
        <v>762</v>
      </c>
    </row>
    <row r="7102" customFormat="false" ht="15" hidden="false" customHeight="false" outlineLevel="0" collapsed="false">
      <c r="A7102" s="5" t="s">
        <v>551</v>
      </c>
      <c r="B7102" s="0" t="s">
        <v>86</v>
      </c>
      <c r="C7102" s="38" t="n">
        <f aca="false">Q!$D$34</f>
        <v>2.406</v>
      </c>
      <c r="D7102" s="38" t="n">
        <f aca="false">Q!$E$34</f>
        <v>2.274</v>
      </c>
      <c r="E7102" s="38" t="n">
        <f aca="false">Q!$P$34</f>
        <v>2.114</v>
      </c>
      <c r="F7102" s="38" t="n">
        <f aca="false">Sens!$F$7140</f>
        <v>3.24888962733561</v>
      </c>
      <c r="G7102" s="38" t="n">
        <f aca="false">Sens!$E$7102+Sens!$F$7102</f>
        <v>5.36288962733561</v>
      </c>
      <c r="H7102" s="38" t="n">
        <f aca="false">Sens!$H$7140</f>
        <v>7.42354172302123</v>
      </c>
      <c r="I7102" s="38" t="n">
        <f aca="false">Sens!$I$7140</f>
        <v>7.84418947693382</v>
      </c>
      <c r="J7102" s="38" t="n">
        <f aca="false">Sens!$J$7140</f>
        <v>8.79561318891235</v>
      </c>
      <c r="K7102" s="38" t="n">
        <f aca="false">Sens!$K$7140</f>
        <v>8.79561318891235</v>
      </c>
      <c r="L7102" s="38" t="n">
        <f aca="false">Sens!$L$7140</f>
        <v>8.79561318891235</v>
      </c>
      <c r="M7102" s="38" t="n">
        <f aca="false">Sens!$M$7140</f>
        <v>8.79561318891235</v>
      </c>
      <c r="N7102" s="38" t="n">
        <f aca="false">Q!$N$34</f>
        <v>1.057</v>
      </c>
      <c r="O7102" s="38" t="n">
        <f aca="false">Q!$O$34</f>
        <v>1.217</v>
      </c>
    </row>
    <row r="7103" customFormat="false" ht="15" hidden="false" customHeight="false" outlineLevel="0" collapsed="false">
      <c r="A7103" s="5" t="s">
        <v>763</v>
      </c>
      <c r="B7103" s="0" t="s">
        <v>86</v>
      </c>
      <c r="F7103" s="38" t="n">
        <f aca="false">Sens!$F$7141</f>
        <v>2.59</v>
      </c>
      <c r="H7103" s="38" t="n">
        <f aca="false">Sens!$H$7141</f>
        <v>4.1153774832261</v>
      </c>
      <c r="I7103" s="38" t="n">
        <f aca="false">Sens!$I$7141</f>
        <v>2.10589651022864</v>
      </c>
      <c r="J7103" s="38" t="n">
        <f aca="false">Sens!$J$7141</f>
        <v>2.10589651022864</v>
      </c>
      <c r="K7103" s="38" t="n">
        <f aca="false">Sens!$K$7141</f>
        <v>3.172800358404</v>
      </c>
      <c r="L7103" s="38" t="n">
        <f aca="false">Sens!$L$7141</f>
        <v>8.31037272592208</v>
      </c>
      <c r="M7103" s="38" t="n">
        <f aca="false">Sens!$M$7141</f>
        <v>15.9256588704093</v>
      </c>
    </row>
    <row r="7104" customFormat="false" ht="17.15" hidden="false" customHeight="false" outlineLevel="0" collapsed="false">
      <c r="A7104" s="5" t="s">
        <v>764</v>
      </c>
      <c r="B7104" s="0" t="s">
        <v>86</v>
      </c>
      <c r="C7104" s="38" t="n">
        <f aca="false">Q!$D$39</f>
        <v>2.427</v>
      </c>
      <c r="D7104" s="38" t="n">
        <f aca="false">Q!$E$39</f>
        <v>19.61</v>
      </c>
      <c r="E7104" s="38" t="n">
        <f aca="false">Q!$P$39</f>
        <v>71.492</v>
      </c>
      <c r="F7104" s="39" t="n">
        <v>0</v>
      </c>
      <c r="G7104" s="38" t="n">
        <f aca="false">Sens!$E$7104+Sens!$F$7104</f>
        <v>71.492</v>
      </c>
      <c r="H7104" s="39" t="n">
        <v>0</v>
      </c>
      <c r="I7104" s="39" t="n">
        <v>0</v>
      </c>
      <c r="J7104" s="39" t="n">
        <v>0</v>
      </c>
      <c r="K7104" s="39" t="n">
        <v>0</v>
      </c>
      <c r="L7104" s="39" t="n">
        <v>0</v>
      </c>
      <c r="M7104" s="39" t="n">
        <v>0</v>
      </c>
      <c r="N7104" s="38" t="n">
        <f aca="false">Q!$N$39</f>
        <v>6.017</v>
      </c>
      <c r="O7104" s="38" t="n">
        <f aca="false">Q!$O$39</f>
        <v>13.593</v>
      </c>
      <c r="P7104" s="5" t="s">
        <v>765</v>
      </c>
    </row>
    <row r="7105" customFormat="false" ht="15" hidden="false" customHeight="false" outlineLevel="0" collapsed="false">
      <c r="A7105" s="5" t="s">
        <v>554</v>
      </c>
      <c r="B7105" s="0" t="s">
        <v>86</v>
      </c>
      <c r="C7105" s="38" t="n">
        <f aca="false">Q!$D$36</f>
        <v>68.614</v>
      </c>
      <c r="D7105" s="38" t="n">
        <f aca="false">Q!$E$36</f>
        <v>97.311</v>
      </c>
      <c r="E7105" s="38" t="n">
        <f aca="false">Q!$P$36</f>
        <v>120.691</v>
      </c>
      <c r="F7105" s="38" t="n">
        <f aca="false">Sens!$F$7081-Sens!$F$7102+Sens!$F$7103+Sens!$F$7104</f>
        <v>55.7063670713938</v>
      </c>
      <c r="G7105" s="38" t="n">
        <f aca="false">Sens!$E$7105+Sens!$F$7105</f>
        <v>176.397367071394</v>
      </c>
      <c r="H7105" s="38" t="n">
        <f aca="false">Sens!$H$7081-Sens!$H$7102+Sens!$H$7103+Sens!$H$7104</f>
        <v>126.207292630471</v>
      </c>
      <c r="I7105" s="38" t="n">
        <f aca="false">Sens!$I$7081-Sens!$I$7102+Sens!$I$7103+Sens!$I$7104</f>
        <v>139.60709411592</v>
      </c>
      <c r="J7105" s="38" t="n">
        <f aca="false">Sens!$J$7081-Sens!$J$7102+Sens!$J$7103+Sens!$J$7104</f>
        <v>157.172425191032</v>
      </c>
      <c r="K7105" s="38" t="n">
        <f aca="false">Sens!$K$7081-Sens!$K$7102+Sens!$K$7103+Sens!$K$7104</f>
        <v>169.941519803795</v>
      </c>
      <c r="L7105" s="38" t="n">
        <f aca="false">Sens!$L$7081-Sens!$L$7102+Sens!$L$7103+Sens!$L$7104</f>
        <v>186.006845694394</v>
      </c>
      <c r="M7105" s="38" t="n">
        <f aca="false">Sens!$M$7081-Sens!$M$7102+Sens!$M$7103+Sens!$M$7104</f>
        <v>205.501711319949</v>
      </c>
      <c r="N7105" s="38" t="n">
        <f aca="false">Q!$N$36</f>
        <v>42.536</v>
      </c>
      <c r="O7105" s="38" t="n">
        <f aca="false">Q!$O$36</f>
        <v>54.775</v>
      </c>
    </row>
    <row r="7106" customFormat="false" ht="15" hidden="false" customHeight="false" outlineLevel="0" collapsed="false">
      <c r="A7106" s="5" t="s">
        <v>555</v>
      </c>
      <c r="B7106" s="0" t="s">
        <v>86</v>
      </c>
      <c r="C7106" s="38" t="n">
        <f aca="false">Q!$D$37</f>
        <v>9.265</v>
      </c>
      <c r="D7106" s="38" t="n">
        <f aca="false">Q!$E$37</f>
        <v>19.087</v>
      </c>
      <c r="E7106" s="38" t="n">
        <f aca="false">Q!$P$37</f>
        <v>27.759</v>
      </c>
      <c r="F7106" s="38" t="n">
        <f aca="false">Sens!$F$7105*tax</f>
        <v>9.669763357865</v>
      </c>
      <c r="G7106" s="38" t="n">
        <f aca="false">Sens!$E$7106+Sens!$F$7106</f>
        <v>37.428763357865</v>
      </c>
      <c r="H7106" s="38" t="n">
        <f aca="false">Sens!$H$7105*tax</f>
        <v>21.9076331473816</v>
      </c>
      <c r="I7106" s="38" t="n">
        <f aca="false">Sens!$I$7105*tax</f>
        <v>24.2336313450491</v>
      </c>
      <c r="J7106" s="38" t="n">
        <f aca="false">Sens!$J$7105*tax</f>
        <v>27.2827010246639</v>
      </c>
      <c r="K7106" s="38" t="n">
        <f aca="false">Sens!$K$7105*tax</f>
        <v>29.4992182683994</v>
      </c>
      <c r="L7106" s="38" t="n">
        <f aca="false">Sens!$L$7105*tax</f>
        <v>32.2879102581316</v>
      </c>
      <c r="M7106" s="38" t="n">
        <f aca="false">Sens!$M$7105*tax</f>
        <v>35.671917279284</v>
      </c>
      <c r="N7106" s="38" t="n">
        <f aca="false">Q!$N$37</f>
        <v>7.231</v>
      </c>
      <c r="O7106" s="38" t="n">
        <f aca="false">Q!$O$37</f>
        <v>11.856</v>
      </c>
    </row>
    <row r="7107" customFormat="false" ht="15" hidden="false" customHeight="false" outlineLevel="0" collapsed="false">
      <c r="A7107" s="3" t="s">
        <v>556</v>
      </c>
      <c r="B7107" s="8" t="s">
        <v>86</v>
      </c>
      <c r="C7107" s="38" t="n">
        <f aca="false">Q!$D$38</f>
        <v>59.248</v>
      </c>
      <c r="D7107" s="38" t="n">
        <f aca="false">Q!$E$38</f>
        <v>77.67</v>
      </c>
      <c r="E7107" s="38" t="n">
        <f aca="false">Q!$P$38</f>
        <v>92.902</v>
      </c>
      <c r="F7107" s="38" t="n">
        <f aca="false">Sens!$F$7105-Sens!$F$7106</f>
        <v>46.0366037135288</v>
      </c>
      <c r="G7107" s="38" t="n">
        <f aca="false">Sens!$E$7107+Sens!$F$7107</f>
        <v>138.938603713529</v>
      </c>
      <c r="H7107" s="38" t="n">
        <f aca="false">Sens!$H$7105-Sens!$H$7106</f>
        <v>104.29965948309</v>
      </c>
      <c r="I7107" s="38" t="n">
        <f aca="false">Sens!$I$7105-Sens!$I$7106</f>
        <v>115.373462770871</v>
      </c>
      <c r="J7107" s="38" t="n">
        <f aca="false">Sens!$J$7105-Sens!$J$7106</f>
        <v>129.889724166368</v>
      </c>
      <c r="K7107" s="38" t="n">
        <f aca="false">Sens!$K$7105-Sens!$K$7106</f>
        <v>140.442301535395</v>
      </c>
      <c r="L7107" s="38" t="n">
        <f aca="false">Sens!$L$7105-Sens!$L$7106</f>
        <v>153.718935436262</v>
      </c>
      <c r="M7107" s="38" t="n">
        <f aca="false">Sens!$M$7105-Sens!$M$7106</f>
        <v>169.829794040665</v>
      </c>
      <c r="N7107" s="38" t="n">
        <f aca="false">Q!$N$38</f>
        <v>35.291</v>
      </c>
      <c r="O7107" s="38" t="n">
        <f aca="false">Q!$O$38</f>
        <v>42.379</v>
      </c>
    </row>
    <row r="7108" customFormat="false" ht="17.15" hidden="false" customHeight="false" outlineLevel="0" collapsed="false">
      <c r="A7108" s="5" t="s">
        <v>559</v>
      </c>
      <c r="B7108" s="5" t="s">
        <v>33</v>
      </c>
      <c r="C7108" s="22" t="n">
        <f aca="false">Q!$D$41</f>
        <v>10.721</v>
      </c>
      <c r="D7108" s="22" t="n">
        <f aca="false">Q!$E$41</f>
        <v>10.827</v>
      </c>
      <c r="E7108" s="22" t="n">
        <f aca="false">(Q!$L$41+Q!$M$41)/2</f>
        <v>10.8885</v>
      </c>
      <c r="F7108" s="22" t="n">
        <f aca="false">Sens!$G$7108</f>
        <v>10.924806</v>
      </c>
      <c r="G7108" s="22" t="n">
        <f aca="false">Q!$M$41*(1+sh_g*0.25)</f>
        <v>10.924806</v>
      </c>
      <c r="H7108" s="22" t="n">
        <f aca="false">Sens!$G$7108*(1+sh_g)</f>
        <v>11.012204448</v>
      </c>
      <c r="I7108" s="22" t="n">
        <f aca="false">Sens!$H$7108*(1+sh_g)</f>
        <v>11.100302083584</v>
      </c>
      <c r="J7108" s="22" t="n">
        <f aca="false">Sens!$I$7108*(1+sh_g)</f>
        <v>11.1891045002527</v>
      </c>
      <c r="K7108" s="22" t="n">
        <f aca="false">Sens!$J$7108*(1+sh_g)</f>
        <v>11.2786173362547</v>
      </c>
      <c r="L7108" s="22" t="n">
        <f aca="false">Sens!$K$7108*(1+sh_g)</f>
        <v>11.3688462749447</v>
      </c>
      <c r="M7108" s="22" t="n">
        <f aca="false">Sens!$L$7108*(1+sh_g)</f>
        <v>11.4597970451443</v>
      </c>
      <c r="P7108" s="5" t="s">
        <v>766</v>
      </c>
    </row>
    <row r="7109" customFormat="false" ht="17.15" hidden="false" customHeight="false" outlineLevel="0" collapsed="false">
      <c r="A7109" s="5" t="s">
        <v>767</v>
      </c>
      <c r="B7109" s="0" t="s">
        <v>86</v>
      </c>
      <c r="C7109" s="38" t="n">
        <f aca="false">Sens!$C$7107+Sens!$C$7083*(1-tax)</f>
        <v>59.248</v>
      </c>
      <c r="D7109" s="38" t="n">
        <f aca="false">Sens!$D$7107+Sens!$D$7083*(1-tax)</f>
        <v>77.67</v>
      </c>
      <c r="E7109" s="38" t="n">
        <f aca="false">Sens!$E$7107+Sens!$E$7083*(1-tax)</f>
        <v>92.902</v>
      </c>
      <c r="F7109" s="38" t="n">
        <f aca="false">Sens!$F$7107+Sens!$F$7083*(1-tax)</f>
        <v>49.1531986731775</v>
      </c>
      <c r="G7109" s="38" t="n">
        <f aca="false">Sens!$G$7107+Sens!$G$7083*(1-tax)</f>
        <v>142.055198673178</v>
      </c>
      <c r="H7109" s="38" t="n">
        <f aca="false">Sens!$H$7107+Sens!$H$7083*(1-tax)</f>
        <v>116.831055438434</v>
      </c>
      <c r="I7109" s="38" t="n">
        <f aca="false">Sens!$I$7107+Sens!$I$7083*(1-tax)</f>
        <v>136.514727845811</v>
      </c>
      <c r="J7109" s="38" t="n">
        <f aca="false">Sens!$J$7107+Sens!$J$7083*(1-tax)</f>
        <v>159.679161110652</v>
      </c>
      <c r="K7109" s="38" t="n">
        <f aca="false">Sens!$K$7107+Sens!$K$7083*(1-tax)</f>
        <v>177.609607232054</v>
      </c>
      <c r="L7109" s="38" t="n">
        <f aca="false">Sens!$L$7107+Sens!$L$7083*(1-tax)</f>
        <v>195.735012776818</v>
      </c>
      <c r="M7109" s="38" t="n">
        <f aca="false">Sens!$M$7107+Sens!$M$7083*(1-tax)</f>
        <v>214.159316231505</v>
      </c>
      <c r="N7109" s="38" t="n">
        <f aca="false">Sens!$N$7107+Sens!$N$7083*(1-tax)</f>
        <v>35.291</v>
      </c>
      <c r="O7109" s="38" t="n">
        <f aca="false">Sens!$O$7107+Sens!$O$7083*(1-tax)</f>
        <v>42.379</v>
      </c>
    </row>
    <row r="7110" customFormat="false" ht="17.15" hidden="false" customHeight="false" outlineLevel="0" collapsed="false">
      <c r="A7110" s="43" t="s">
        <v>768</v>
      </c>
      <c r="B7110" s="14" t="s">
        <v>27</v>
      </c>
      <c r="C7110" s="44" t="n">
        <f aca="false">Sens!$C$7109/Sens!$C$7108</f>
        <v>5.52635015390355</v>
      </c>
      <c r="D7110" s="44" t="n">
        <f aca="false">Sens!$D$7109/Sens!$D$7108</f>
        <v>7.1737323358271</v>
      </c>
      <c r="E7110" s="44" t="n">
        <f aca="false">Sens!$E$7109/Sens!$E$7108</f>
        <v>8.53212104513937</v>
      </c>
      <c r="F7110" s="14"/>
      <c r="G7110" s="44" t="n">
        <f aca="false">Sens!$G$7109/Sens!$G$7108</f>
        <v>13.0029950804781</v>
      </c>
      <c r="H7110" s="44" t="n">
        <f aca="false">Sens!$H$7109/Sens!$H$7108</f>
        <v>10.6092341447268</v>
      </c>
      <c r="I7110" s="44" t="n">
        <f aca="false">Sens!$I$7109/Sens!$I$7108</f>
        <v>12.298289435537</v>
      </c>
      <c r="J7110" s="44" t="n">
        <f aca="false">Sens!$J$7109/Sens!$J$7108</f>
        <v>14.2709509154236</v>
      </c>
      <c r="K7110" s="44" t="n">
        <f aca="false">Sens!$K$7109/Sens!$K$7108</f>
        <v>15.7474628260624</v>
      </c>
      <c r="L7110" s="44" t="n">
        <f aca="false">Sens!$L$7109/Sens!$L$7108</f>
        <v>17.2167877059072</v>
      </c>
      <c r="M7110" s="44" t="n">
        <f aca="false">Sens!$M$7109/Sens!$M$7108</f>
        <v>18.6878803688978</v>
      </c>
      <c r="N7110" s="14"/>
      <c r="O7110" s="14"/>
    </row>
    <row r="7111" customFormat="false" ht="17.15" hidden="false" customHeight="false" outlineLevel="0" collapsed="false">
      <c r="A7111" s="0" t="s">
        <v>769</v>
      </c>
      <c r="B7111" s="0" t="s">
        <v>27</v>
      </c>
      <c r="C7111" s="30" t="n">
        <f aca="false">Sens!$C$7107/Sens!$C$7108</f>
        <v>5.52635015390355</v>
      </c>
      <c r="D7111" s="30" t="n">
        <f aca="false">Sens!$D$7107/Sens!$D$7108</f>
        <v>7.1737323358271</v>
      </c>
      <c r="E7111" s="30" t="n">
        <f aca="false">Sens!$E$7107/Sens!$E$7108</f>
        <v>8.53212104513937</v>
      </c>
      <c r="G7111" s="30" t="n">
        <f aca="false">Sens!$G$7107/Sens!$G$7108</f>
        <v>12.7177181648378</v>
      </c>
      <c r="H7111" s="30" t="n">
        <f aca="false">Sens!$H$7107/Sens!$H$7108</f>
        <v>9.47127888658407</v>
      </c>
      <c r="I7111" s="30" t="n">
        <f aca="false">Sens!$I$7107/Sens!$I$7108</f>
        <v>10.3937227925981</v>
      </c>
      <c r="J7111" s="30" t="n">
        <f aca="false">Sens!$J$7107/Sens!$J$7108</f>
        <v>11.6085897815536</v>
      </c>
      <c r="K7111" s="30" t="n">
        <f aca="false">Sens!$K$7107/Sens!$K$7108</f>
        <v>12.4520849806606</v>
      </c>
      <c r="L7111" s="30" t="n">
        <f aca="false">Sens!$L$7107/Sens!$L$7108</f>
        <v>13.5210672849924</v>
      </c>
      <c r="M7111" s="30" t="n">
        <f aca="false">Sens!$M$7107/Sens!$M$7108</f>
        <v>14.8196162088773</v>
      </c>
    </row>
    <row r="7112" customFormat="false" ht="17.15" hidden="false" customHeight="false" outlineLevel="0" collapsed="false">
      <c r="A7112" s="0" t="s">
        <v>770</v>
      </c>
      <c r="B7112" s="0" t="s">
        <v>27</v>
      </c>
      <c r="C7112" s="30" t="n">
        <f aca="false">(Sens!$C$7107-Sens!$C$7104*(1-tax))/Sens!$C$7108</f>
        <v>5.33926775917445</v>
      </c>
      <c r="D7112" s="30" t="n">
        <f aca="false">(Sens!$D$7107-Sens!$D$7104*(1-tax))/Sens!$D$7108</f>
        <v>5.67691812755503</v>
      </c>
      <c r="E7112" s="30" t="n">
        <f aca="false">(Sens!$E$7107-Sens!$E$7104*(1-tax))/Sens!$E$7108</f>
        <v>3.10602057006846</v>
      </c>
      <c r="G7112" s="30" t="n">
        <f aca="false">(Sens!$G$7107-Sens!$G$7104*(1-tax))/Sens!$G$7108</f>
        <v>7.30965004694081</v>
      </c>
      <c r="H7112" s="30" t="n">
        <f aca="false">(Sens!$H$7107-Sens!$H$7104*(1-tax))/Sens!$H$7108</f>
        <v>9.47127888658407</v>
      </c>
      <c r="I7112" s="30" t="n">
        <f aca="false">(Sens!$I$7107-Sens!$I$7104*(1-tax))/Sens!$I$7108</f>
        <v>10.3937227925981</v>
      </c>
      <c r="J7112" s="30" t="n">
        <f aca="false">(Sens!$J$7107-Sens!$J$7104*(1-tax))/Sens!$J$7108</f>
        <v>11.6085897815536</v>
      </c>
      <c r="K7112" s="30" t="n">
        <f aca="false">(Sens!$K$7107-Sens!$K$7104*(1-tax))/Sens!$K$7108</f>
        <v>12.4520849806606</v>
      </c>
      <c r="L7112" s="30" t="n">
        <f aca="false">(Sens!$L$7107-Sens!$L$7104*(1-tax))/Sens!$L$7108</f>
        <v>13.5210672849924</v>
      </c>
      <c r="M7112" s="30" t="n">
        <f aca="false">(Sens!$M$7107-Sens!$M$7104*(1-tax))/Sens!$M$7108</f>
        <v>14.8196162088773</v>
      </c>
      <c r="P7112" s="5" t="s">
        <v>771</v>
      </c>
    </row>
    <row r="7113" customFormat="false" ht="17.15" hidden="false" customHeight="false" outlineLevel="0" collapsed="false">
      <c r="A7113" s="0" t="s">
        <v>772</v>
      </c>
      <c r="B7113" s="0" t="s">
        <v>52</v>
      </c>
      <c r="H7113" s="13" t="n">
        <f aca="false">Sens!$H$7110/Sens!$G$7110-1</f>
        <v>-0.184093043251635</v>
      </c>
      <c r="I7113" s="13" t="n">
        <f aca="false">Sens!$I$7110/Sens!$H$7110-1</f>
        <v>0.159206147000695</v>
      </c>
      <c r="J7113" s="13" t="n">
        <f aca="false">Sens!$J$7110/Sens!$I$7110-1</f>
        <v>0.160401289157047</v>
      </c>
      <c r="K7113" s="13" t="n">
        <f aca="false">Sens!$K$7110/Sens!$J$7110-1</f>
        <v>0.103462755873053</v>
      </c>
      <c r="L7113" s="13" t="n">
        <f aca="false">Sens!$L$7110/Sens!$K$7110-1</f>
        <v>0.093305499182575</v>
      </c>
      <c r="M7113" s="13" t="n">
        <f aca="false">Sens!$M$7110/Sens!$L$7110-1</f>
        <v>0.0854452461236912</v>
      </c>
    </row>
    <row r="7116" customFormat="false" ht="19.4" hidden="false" customHeight="false" outlineLevel="0" collapsed="false">
      <c r="A7116" s="31" t="s">
        <v>1295</v>
      </c>
    </row>
    <row r="7117" customFormat="false" ht="17.15" hidden="false" customHeight="false" outlineLevel="0" collapsed="false">
      <c r="A7117" s="6" t="s">
        <v>16</v>
      </c>
      <c r="B7117" s="6" t="s">
        <v>17</v>
      </c>
      <c r="C7117" s="20" t="s">
        <v>504</v>
      </c>
      <c r="D7117" s="20" t="s">
        <v>505</v>
      </c>
      <c r="E7117" s="20" t="s">
        <v>587</v>
      </c>
      <c r="F7117" s="20" t="s">
        <v>588</v>
      </c>
      <c r="G7117" s="20" t="s">
        <v>589</v>
      </c>
      <c r="H7117" s="20" t="s">
        <v>590</v>
      </c>
      <c r="I7117" s="20" t="s">
        <v>591</v>
      </c>
      <c r="J7117" s="20" t="s">
        <v>592</v>
      </c>
      <c r="K7117" s="20" t="s">
        <v>593</v>
      </c>
      <c r="L7117" s="20" t="s">
        <v>594</v>
      </c>
      <c r="M7117" s="20" t="s">
        <v>595</v>
      </c>
      <c r="N7117" s="20" t="s">
        <v>596</v>
      </c>
      <c r="O7117" s="20" t="s">
        <v>597</v>
      </c>
      <c r="P7117" s="6" t="s">
        <v>23</v>
      </c>
      <c r="R7117" s="20" t="n">
        <v>2023</v>
      </c>
      <c r="S7117" s="20" t="n">
        <v>2024</v>
      </c>
      <c r="T7117" s="20" t="n">
        <v>2025</v>
      </c>
      <c r="U7117" s="20" t="n">
        <v>2026</v>
      </c>
      <c r="V7117" s="20" t="n">
        <v>2027</v>
      </c>
      <c r="W7117" s="20" t="n">
        <v>2028</v>
      </c>
      <c r="X7117" s="20" t="n">
        <v>2029</v>
      </c>
      <c r="Y7117" s="20" t="n">
        <v>2030</v>
      </c>
      <c r="Z7117" s="20" t="n">
        <v>2031</v>
      </c>
      <c r="AA7117" s="20" t="n">
        <v>2032</v>
      </c>
    </row>
    <row r="7118" customFormat="false" ht="15" hidden="false" customHeight="false" outlineLevel="0" collapsed="false">
      <c r="A7118" s="5" t="s">
        <v>556</v>
      </c>
      <c r="B7118" s="0" t="s">
        <v>86</v>
      </c>
      <c r="C7118" s="38" t="n">
        <f aca="false">Sens!$C$7107</f>
        <v>59.248</v>
      </c>
      <c r="D7118" s="38" t="n">
        <f aca="false">Sens!$D$7107</f>
        <v>77.67</v>
      </c>
      <c r="E7118" s="38" t="n">
        <f aca="false">Sens!$E$7107</f>
        <v>92.902</v>
      </c>
      <c r="F7118" s="38" t="n">
        <f aca="false">Sens!$F$7107</f>
        <v>46.0366037135288</v>
      </c>
      <c r="G7118" s="38" t="n">
        <f aca="false">Sens!$G$7107</f>
        <v>138.938603713529</v>
      </c>
      <c r="H7118" s="38" t="n">
        <f aca="false">Sens!$H$7107</f>
        <v>104.29965948309</v>
      </c>
      <c r="I7118" s="38" t="n">
        <f aca="false">Sens!$I$7107</f>
        <v>115.373462770871</v>
      </c>
      <c r="J7118" s="38" t="n">
        <f aca="false">Sens!$J$7107</f>
        <v>129.889724166368</v>
      </c>
      <c r="K7118" s="38" t="n">
        <f aca="false">Sens!$K$7107</f>
        <v>140.442301535395</v>
      </c>
      <c r="L7118" s="38" t="n">
        <f aca="false">Sens!$L$7107</f>
        <v>153.718935436262</v>
      </c>
      <c r="M7118" s="38" t="n">
        <f aca="false">Sens!$M$7107</f>
        <v>169.829794040665</v>
      </c>
    </row>
    <row r="7119" customFormat="false" ht="17.15" hidden="false" customHeight="false" outlineLevel="0" collapsed="false">
      <c r="A7119" s="5" t="s">
        <v>795</v>
      </c>
      <c r="B7119" s="0" t="s">
        <v>86</v>
      </c>
      <c r="C7119" s="38" t="n">
        <f aca="false">Sens!$C$7095</f>
        <v>32.067</v>
      </c>
      <c r="D7119" s="38" t="n">
        <f aca="false">Sens!$D$7095</f>
        <v>41.86</v>
      </c>
      <c r="E7119" s="38" t="n">
        <f aca="false">Sens!$E$7095</f>
        <v>26.703</v>
      </c>
      <c r="F7119" s="38" t="n">
        <f aca="false">Sens!$F$7095</f>
        <v>29.152860869477</v>
      </c>
      <c r="G7119" s="38" t="n">
        <f aca="false">Sens!$G$7095</f>
        <v>55.855860869477</v>
      </c>
      <c r="H7119" s="38" t="n">
        <f aca="false">Sens!$H$7095</f>
        <v>81.5618233196153</v>
      </c>
      <c r="I7119" s="38" t="n">
        <f aca="false">Sens!$I$7095</f>
        <v>118.756208740204</v>
      </c>
      <c r="J7119" s="38" t="n">
        <f aca="false">Sens!$J$7095</f>
        <v>152.469489406791</v>
      </c>
      <c r="K7119" s="38" t="n">
        <f aca="false">Sens!$K$7095</f>
        <v>186.391502623819</v>
      </c>
      <c r="L7119" s="38" t="n">
        <f aca="false">Sens!$L$7095</f>
        <v>211.926422215482</v>
      </c>
      <c r="M7119" s="38" t="n">
        <f aca="false">Sens!$M$7095</f>
        <v>229.012482097906</v>
      </c>
    </row>
    <row r="7120" customFormat="false" ht="15" hidden="false" customHeight="false" outlineLevel="0" collapsed="false">
      <c r="A7120" s="5" t="s">
        <v>796</v>
      </c>
      <c r="B7120" s="0" t="s">
        <v>86</v>
      </c>
      <c r="C7120" s="38" t="n">
        <f aca="false">Q!$D$48</f>
        <v>22.011</v>
      </c>
      <c r="D7120" s="38" t="n">
        <f aca="false">Q!$E$48</f>
        <v>19.467</v>
      </c>
      <c r="E7120" s="38" t="n">
        <f aca="false">Q!$P$48</f>
        <v>10.07</v>
      </c>
      <c r="F7120" s="38" t="n">
        <f aca="false">sbc_r*Sens!$F$7037</f>
        <v>10.8507035798037</v>
      </c>
      <c r="G7120" s="38" t="n">
        <f aca="false">Sens!$E$7120+Sens!$F$7120</f>
        <v>20.9207035798037</v>
      </c>
      <c r="H7120" s="38" t="n">
        <f aca="false">sbc_r*Sens!$H$7037</f>
        <v>23.46224366345</v>
      </c>
      <c r="I7120" s="38" t="n">
        <f aca="false">sbc_r*Sens!$I$7037</f>
        <v>26.6125957111676</v>
      </c>
      <c r="J7120" s="38" t="n">
        <f aca="false">sbc_r*Sens!$J$7037</f>
        <v>29.6280801413323</v>
      </c>
      <c r="K7120" s="38" t="n">
        <f aca="false">sbc_r*Sens!$K$7037</f>
        <v>32.2712258901105</v>
      </c>
      <c r="L7120" s="38" t="n">
        <f aca="false">sbc_r*Sens!$L$7037</f>
        <v>34.7390505016737</v>
      </c>
      <c r="M7120" s="38" t="n">
        <f aca="false">sbc_r*Sens!$M$7037</f>
        <v>37.0405146906692</v>
      </c>
    </row>
    <row r="7121" customFormat="false" ht="17.15" hidden="false" customHeight="false" outlineLevel="0" collapsed="false">
      <c r="A7121" s="5" t="s">
        <v>797</v>
      </c>
      <c r="B7121" s="0" t="s">
        <v>86</v>
      </c>
      <c r="C7121" s="38" t="n">
        <f aca="false">Q!$D$44-Sens!$C$7118-Sens!$C$7119-Sens!$C$7120</f>
        <v>2.551</v>
      </c>
      <c r="D7121" s="38" t="n">
        <f aca="false">Q!$E$44-Sens!$D$7118-Sens!$D$7119-Sens!$D$7120</f>
        <v>0.51700000000001</v>
      </c>
      <c r="E7121" s="38" t="n">
        <f aca="false">Q!$P$44-Sens!$E$7118-Sens!$E$7119-Sens!$E$7120</f>
        <v>-58.256</v>
      </c>
      <c r="F7121" s="38" t="n">
        <f aca="false">oth_r*Sens!$F$7037</f>
        <v>5.22265251035878</v>
      </c>
      <c r="G7121" s="38" t="n">
        <f aca="false">Sens!$E$7121+Sens!$F$7121</f>
        <v>-53.0333474896412</v>
      </c>
      <c r="H7121" s="38" t="n">
        <f aca="false">oth_r*Sens!$H$7037</f>
        <v>11.2928295263397</v>
      </c>
      <c r="I7121" s="38" t="n">
        <f aca="false">oth_r*Sens!$I$7037</f>
        <v>12.8091546115766</v>
      </c>
      <c r="J7121" s="38" t="n">
        <f aca="false">oth_r*Sens!$J$7037</f>
        <v>14.2605653162668</v>
      </c>
      <c r="K7121" s="38" t="n">
        <f aca="false">oth_r*Sens!$K$7037</f>
        <v>15.5327622460396</v>
      </c>
      <c r="L7121" s="38" t="n">
        <f aca="false">oth_r*Sens!$L$7037</f>
        <v>16.720573737517</v>
      </c>
      <c r="M7121" s="38" t="n">
        <f aca="false">oth_r*Sens!$M$7037</f>
        <v>17.8283127551536</v>
      </c>
      <c r="P7121" s="8" t="s">
        <v>798</v>
      </c>
    </row>
    <row r="7122" customFormat="false" ht="15" hidden="false" customHeight="false" outlineLevel="0" collapsed="false">
      <c r="A7122" s="3" t="s">
        <v>562</v>
      </c>
      <c r="B7122" s="8" t="s">
        <v>86</v>
      </c>
      <c r="C7122" s="38" t="n">
        <f aca="false">Q!$D$44</f>
        <v>115.877</v>
      </c>
      <c r="D7122" s="38" t="n">
        <f aca="false">Q!$E$44</f>
        <v>139.514</v>
      </c>
      <c r="E7122" s="38" t="n">
        <f aca="false">Q!$P$44</f>
        <v>71.419</v>
      </c>
      <c r="F7122" s="38" t="n">
        <f aca="false">Sens!$F$7118+Sens!$F$7119+Sens!$F$7120+Sens!$F$7121</f>
        <v>91.2628206731683</v>
      </c>
      <c r="G7122" s="38" t="n">
        <f aca="false">Sens!$E$7122+Sens!$F$7122</f>
        <v>162.681820673168</v>
      </c>
      <c r="H7122" s="38" t="n">
        <f aca="false">Sens!$H$7118+Sens!$H$7119+Sens!$H$7120+Sens!$H$7121</f>
        <v>220.616555992495</v>
      </c>
      <c r="I7122" s="38" t="n">
        <f aca="false">Sens!$I$7118+Sens!$I$7119+Sens!$I$7120+Sens!$I$7121</f>
        <v>273.55142183382</v>
      </c>
      <c r="J7122" s="38" t="n">
        <f aca="false">Sens!$J$7118+Sens!$J$7119+Sens!$J$7120+Sens!$J$7121</f>
        <v>326.247859030758</v>
      </c>
      <c r="K7122" s="38" t="n">
        <f aca="false">Sens!$K$7118+Sens!$K$7119+Sens!$K$7120+Sens!$K$7121</f>
        <v>374.637792295364</v>
      </c>
      <c r="L7122" s="38" t="n">
        <f aca="false">Sens!$L$7118+Sens!$L$7119+Sens!$L$7120+Sens!$L$7121</f>
        <v>417.104981890935</v>
      </c>
      <c r="M7122" s="38" t="n">
        <f aca="false">Sens!$M$7118+Sens!$M$7119+Sens!$M$7120+Sens!$M$7121</f>
        <v>453.711103584394</v>
      </c>
    </row>
    <row r="7123" customFormat="false" ht="17.15" hidden="false" customHeight="false" outlineLevel="0" collapsed="false">
      <c r="A7123" s="5" t="s">
        <v>799</v>
      </c>
      <c r="B7123" s="0" t="s">
        <v>86</v>
      </c>
      <c r="C7123" s="38" t="n">
        <f aca="false">Sens!$C$7001</f>
        <v>25.2781053077374</v>
      </c>
      <c r="D7123" s="38" t="n">
        <f aca="false">Sens!$D$7001</f>
        <v>69.5686316310026</v>
      </c>
      <c r="E7123" s="38" t="n">
        <f aca="false">Sens!$E$7001</f>
        <v>64.1899206485108</v>
      </c>
      <c r="F7123" s="38" t="n">
        <f aca="false">Sens!$F$7001</f>
        <v>88.7165504612134</v>
      </c>
      <c r="G7123" s="38" t="n">
        <f aca="false">Sens!$G$7001</f>
        <v>152.906471109724</v>
      </c>
      <c r="H7123" s="38" t="n">
        <f aca="false">Sens!$H$7001</f>
        <v>198.57136494475</v>
      </c>
      <c r="I7123" s="38" t="n">
        <f aca="false">Sens!$I$7001</f>
        <v>204.6464699105</v>
      </c>
      <c r="J7123" s="38" t="n">
        <f aca="false">Sens!$J$7001</f>
        <v>209.8832381105</v>
      </c>
      <c r="K7123" s="38" t="n">
        <f aca="false">Sens!$K$7001</f>
        <v>155.238385275201</v>
      </c>
      <c r="L7123" s="38" t="n">
        <f aca="false">Sens!$L$7001</f>
        <v>132.014141639902</v>
      </c>
      <c r="M7123" s="38" t="n">
        <f aca="false">Sens!$M$7001</f>
        <v>132.230981659852</v>
      </c>
    </row>
    <row r="7124" customFormat="false" ht="17.15" hidden="false" customHeight="false" outlineLevel="0" collapsed="false">
      <c r="A7124" s="5" t="s">
        <v>800</v>
      </c>
      <c r="B7124" s="0" t="s">
        <v>86</v>
      </c>
      <c r="C7124" s="38" t="n">
        <f aca="false">cx_awso*Sens!$C$7035</f>
        <v>21.0469989286053</v>
      </c>
      <c r="D7124" s="38" t="n">
        <f aca="false">cx_awso*Sens!$D$7035</f>
        <v>24.0042459822698</v>
      </c>
      <c r="E7124" s="38" t="n">
        <f aca="false">cx_awso*Sens!$E$7035</f>
        <v>14.261729404886</v>
      </c>
      <c r="F7124" s="38" t="n">
        <f aca="false">cx_awso*Sens!$F$7035</f>
        <v>14.3538599588493</v>
      </c>
      <c r="G7124" s="38" t="n">
        <f aca="false">Sens!$E$7124+Sens!$F$7124</f>
        <v>28.6155893637353</v>
      </c>
      <c r="H7124" s="38" t="n">
        <f aca="false">cx_awso*Sens!$H$7035</f>
        <v>32.2034154158406</v>
      </c>
      <c r="I7124" s="38" t="n">
        <f aca="false">cx_awso*Sens!$I$7035</f>
        <v>35.7539519042915</v>
      </c>
      <c r="J7124" s="38" t="n">
        <f aca="false">cx_awso*Sens!$J$7035</f>
        <v>39.1551076091815</v>
      </c>
      <c r="K7124" s="38" t="n">
        <f aca="false">cx_awso*Sens!$K$7035</f>
        <v>42.287516217916</v>
      </c>
      <c r="L7124" s="38" t="n">
        <f aca="false">cx_awso*Sens!$L$7035</f>
        <v>45.6705175153492</v>
      </c>
      <c r="M7124" s="38" t="n">
        <f aca="false">cx_awso*Sens!$M$7035</f>
        <v>49.3241589165772</v>
      </c>
    </row>
    <row r="7125" customFormat="false" ht="17.15" hidden="false" customHeight="false" outlineLevel="0" collapsed="false">
      <c r="A7125" s="5" t="s">
        <v>801</v>
      </c>
      <c r="B7125" s="0" t="s">
        <v>86</v>
      </c>
      <c r="C7125" s="38" t="n">
        <f aca="false">Q!$D$46-Sens!$C$7123-Sens!$C$7124</f>
        <v>31.3328957636573</v>
      </c>
      <c r="D7125" s="38" t="n">
        <f aca="false">Q!$E$46-Sens!$D$7123-Sens!$D$7124</f>
        <v>34.7471223867276</v>
      </c>
      <c r="E7125" s="38" t="n">
        <f aca="false">Q!$P$46-Sens!$E$7123-Sens!$E$7124</f>
        <v>17.8583499466032</v>
      </c>
      <c r="F7125" s="38" t="n">
        <f aca="false">cx_rt*Sens!$F$6964</f>
        <v>20.6195895799373</v>
      </c>
      <c r="G7125" s="38" t="n">
        <f aca="false">Sens!$E$7125+Sens!$F$7125</f>
        <v>38.4779395265405</v>
      </c>
      <c r="H7125" s="38" t="n">
        <f aca="false">cx_rt*Sens!$H$6964</f>
        <v>42.5978994743075</v>
      </c>
      <c r="I7125" s="38" t="n">
        <f aca="false">cx_rt*Sens!$I$6964</f>
        <v>46.5813904136335</v>
      </c>
      <c r="J7125" s="38" t="n">
        <f aca="false">cx_rt*Sens!$J$6964</f>
        <v>50.2781676586844</v>
      </c>
      <c r="K7125" s="38" t="n">
        <f aca="false">cx_rt*Sens!$K$6964</f>
        <v>53.5312440191755</v>
      </c>
      <c r="L7125" s="38" t="n">
        <f aca="false">cx_rt*Sens!$L$6964</f>
        <v>57.0116717051447</v>
      </c>
      <c r="M7125" s="38" t="n">
        <f aca="false">cx_rt*Sens!$M$6964</f>
        <v>60.7365554669226</v>
      </c>
    </row>
    <row r="7126" customFormat="false" ht="15" hidden="false" customHeight="false" outlineLevel="0" collapsed="false">
      <c r="A7126" s="3" t="s">
        <v>802</v>
      </c>
      <c r="B7126" s="8" t="s">
        <v>86</v>
      </c>
      <c r="C7126" s="38" t="n">
        <f aca="false">Q!$D$46</f>
        <v>77.658</v>
      </c>
      <c r="D7126" s="38" t="n">
        <f aca="false">Q!$E$46</f>
        <v>128.32</v>
      </c>
      <c r="E7126" s="38" t="n">
        <f aca="false">Q!$P$46</f>
        <v>96.31</v>
      </c>
      <c r="F7126" s="38" t="n">
        <f aca="false">Sens!$F$7123+Sens!$F$7124+Sens!$F$7125</f>
        <v>123.69</v>
      </c>
      <c r="G7126" s="38" t="n">
        <f aca="false">Sens!$E$7126+Sens!$F$7126</f>
        <v>220</v>
      </c>
      <c r="H7126" s="38" t="n">
        <f aca="false">Sens!$H$7123+Sens!$H$7124+Sens!$H$7125</f>
        <v>273.372679834898</v>
      </c>
      <c r="I7126" s="38" t="n">
        <f aca="false">Sens!$I$7123+Sens!$I$7124+Sens!$I$7125</f>
        <v>286.981812228425</v>
      </c>
      <c r="J7126" s="38" t="n">
        <f aca="false">Sens!$J$7123+Sens!$J$7124+Sens!$J$7125</f>
        <v>299.316513378366</v>
      </c>
      <c r="K7126" s="38" t="n">
        <f aca="false">Sens!$K$7123+Sens!$K$7124+Sens!$K$7125</f>
        <v>251.057145512292</v>
      </c>
      <c r="L7126" s="38" t="n">
        <f aca="false">Sens!$L$7123+Sens!$L$7124+Sens!$L$7125</f>
        <v>234.696330860396</v>
      </c>
      <c r="M7126" s="38" t="n">
        <f aca="false">Sens!$M$7123+Sens!$M$7124+Sens!$M$7125</f>
        <v>242.291696043352</v>
      </c>
    </row>
    <row r="7127" customFormat="false" ht="17.15" hidden="false" customHeight="false" outlineLevel="0" collapsed="false">
      <c r="A7127" s="5" t="s">
        <v>570</v>
      </c>
      <c r="B7127" s="0" t="s">
        <v>86</v>
      </c>
      <c r="C7127" s="38" t="n">
        <f aca="false">Q!$D$50</f>
        <v>2.043</v>
      </c>
      <c r="D7127" s="38" t="n">
        <f aca="false">Q!$E$50</f>
        <v>1.557</v>
      </c>
      <c r="E7127" s="38" t="n">
        <f aca="false">lease_pr/2</f>
        <v>0.8</v>
      </c>
      <c r="F7127" s="38" t="n">
        <f aca="false">lease_pr/2</f>
        <v>0.8</v>
      </c>
      <c r="G7127" s="38" t="n">
        <f aca="false">Sens!$E$7127+Sens!$F$7127</f>
        <v>1.6</v>
      </c>
      <c r="H7127" s="38" t="n">
        <f aca="false">lease_pr</f>
        <v>1.6</v>
      </c>
      <c r="I7127" s="38" t="n">
        <f aca="false">lease_pr</f>
        <v>1.6</v>
      </c>
      <c r="J7127" s="38" t="n">
        <f aca="false">lease_pr</f>
        <v>1.6</v>
      </c>
      <c r="K7127" s="38" t="n">
        <f aca="false">lease_pr</f>
        <v>1.6</v>
      </c>
      <c r="L7127" s="38" t="n">
        <f aca="false">lease_pr</f>
        <v>1.6</v>
      </c>
      <c r="M7127" s="38" t="n">
        <f aca="false">lease_pr</f>
        <v>1.6</v>
      </c>
      <c r="P7127" s="8" t="s">
        <v>803</v>
      </c>
    </row>
    <row r="7128" customFormat="false" ht="15" hidden="false" customHeight="false" outlineLevel="0" collapsed="false">
      <c r="A7128" s="47" t="s">
        <v>804</v>
      </c>
      <c r="B7128" s="14" t="s">
        <v>86</v>
      </c>
      <c r="C7128" s="48" t="n">
        <f aca="false">Sens!$C$7122-Sens!$C$7126-Sens!$C$7127</f>
        <v>36.176</v>
      </c>
      <c r="D7128" s="48" t="n">
        <f aca="false">Sens!$D$7122-Sens!$D$7126-Sens!$D$7127</f>
        <v>9.63700000000002</v>
      </c>
      <c r="E7128" s="48" t="n">
        <f aca="false">Sens!$E$7122-Sens!$E$7126-Sens!$E$7127</f>
        <v>-25.691</v>
      </c>
      <c r="F7128" s="48" t="n">
        <f aca="false">Sens!$F$7122-Sens!$F$7126-Sens!$F$7127</f>
        <v>-33.2271793268317</v>
      </c>
      <c r="G7128" s="48" t="n">
        <f aca="false">Sens!$G$7122-Sens!$G$7126-Sens!$G$7127</f>
        <v>-58.9181793268317</v>
      </c>
      <c r="H7128" s="48" t="n">
        <f aca="false">Sens!$H$7122-Sens!$H$7126-Sens!$H$7127</f>
        <v>-54.3561238424036</v>
      </c>
      <c r="I7128" s="48" t="n">
        <f aca="false">Sens!$I$7122-Sens!$I$7126-Sens!$I$7127</f>
        <v>-15.0303903946055</v>
      </c>
      <c r="J7128" s="48" t="n">
        <f aca="false">Sens!$J$7122-Sens!$J$7126-Sens!$J$7127</f>
        <v>25.3313456523922</v>
      </c>
      <c r="K7128" s="48" t="n">
        <f aca="false">Sens!$K$7122-Sens!$K$7126-Sens!$K$7127</f>
        <v>121.980646783072</v>
      </c>
      <c r="L7128" s="48" t="n">
        <f aca="false">Sens!$L$7122-Sens!$L$7126-Sens!$L$7127</f>
        <v>180.80865103054</v>
      </c>
      <c r="M7128" s="48" t="n">
        <f aca="false">Sens!$M$7122-Sens!$M$7126-Sens!$M$7127</f>
        <v>209.819407541041</v>
      </c>
      <c r="N7128" s="14"/>
      <c r="O7128" s="14"/>
    </row>
    <row r="7129" customFormat="false" ht="17.15" hidden="false" customHeight="false" outlineLevel="0" collapsed="false">
      <c r="A7129" s="5" t="s">
        <v>805</v>
      </c>
      <c r="B7129" s="0" t="s">
        <v>86</v>
      </c>
      <c r="C7129" s="38" t="n">
        <f aca="false">dps*Sens!$C$7108</f>
        <v>0</v>
      </c>
      <c r="D7129" s="38" t="n">
        <f aca="false">dps*Sens!$D$7108</f>
        <v>0</v>
      </c>
      <c r="E7129" s="38" t="n">
        <f aca="false">dps*Sens!$E$7108</f>
        <v>0</v>
      </c>
      <c r="F7129" s="38" t="n">
        <f aca="false">0</f>
        <v>0</v>
      </c>
      <c r="G7129" s="38" t="n">
        <f aca="false">dps*Sens!$G$7108</f>
        <v>0</v>
      </c>
      <c r="H7129" s="38" t="n">
        <f aca="false">dps*Sens!$H$7108</f>
        <v>0</v>
      </c>
      <c r="I7129" s="38" t="n">
        <f aca="false">dps*Sens!$I$7108</f>
        <v>0</v>
      </c>
      <c r="J7129" s="38" t="n">
        <f aca="false">dps*Sens!$J$7108</f>
        <v>0</v>
      </c>
      <c r="K7129" s="38" t="n">
        <f aca="false">dps*Sens!$K$7108</f>
        <v>0</v>
      </c>
      <c r="L7129" s="38" t="n">
        <f aca="false">dps*Sens!$L$7108</f>
        <v>0</v>
      </c>
      <c r="M7129" s="38" t="n">
        <f aca="false">dps*Sens!$M$7108</f>
        <v>0</v>
      </c>
      <c r="P7129" s="8" t="s">
        <v>806</v>
      </c>
    </row>
    <row r="7130" customFormat="false" ht="17.15" hidden="false" customHeight="false" outlineLevel="0" collapsed="false">
      <c r="A7130" s="5" t="s">
        <v>807</v>
      </c>
      <c r="B7130" s="0" t="s">
        <v>86</v>
      </c>
      <c r="C7130" s="38" t="n">
        <f aca="false">0</f>
        <v>0</v>
      </c>
      <c r="D7130" s="38" t="n">
        <f aca="false">0</f>
        <v>0</v>
      </c>
      <c r="E7130" s="38" t="n">
        <f aca="false">0</f>
        <v>0</v>
      </c>
      <c r="F7130" s="38" t="n">
        <f aca="false">0</f>
        <v>0</v>
      </c>
      <c r="G7130" s="38" t="n">
        <f aca="false">0</f>
        <v>0</v>
      </c>
      <c r="H7130" s="38" t="n">
        <f aca="false">0</f>
        <v>0</v>
      </c>
      <c r="I7130" s="38" t="n">
        <f aca="false">0</f>
        <v>0</v>
      </c>
      <c r="J7130" s="38" t="n">
        <f aca="false">0</f>
        <v>0</v>
      </c>
      <c r="K7130" s="38" t="n">
        <f aca="false">0</f>
        <v>0</v>
      </c>
      <c r="L7130" s="38" t="n">
        <f aca="false">0</f>
        <v>0</v>
      </c>
      <c r="M7130" s="38" t="n">
        <f aca="false">0</f>
        <v>0</v>
      </c>
      <c r="P7130" s="8" t="s">
        <v>808</v>
      </c>
    </row>
    <row r="7131" customFormat="false" ht="15" hidden="false" customHeight="false" outlineLevel="0" collapsed="false">
      <c r="A7131" s="3" t="s">
        <v>809</v>
      </c>
      <c r="B7131" s="8" t="s">
        <v>86</v>
      </c>
      <c r="C7131" s="38" t="n">
        <f aca="false">Sens!$C$7128-Sens!$C$7129</f>
        <v>36.176</v>
      </c>
      <c r="D7131" s="38" t="n">
        <f aca="false">Sens!$D$7128-Sens!$D$7129</f>
        <v>9.63700000000002</v>
      </c>
      <c r="E7131" s="38" t="n">
        <f aca="false">Sens!$E$7128-Sens!$E$7129</f>
        <v>-25.691</v>
      </c>
      <c r="F7131" s="38" t="n">
        <f aca="false">Sens!$F$7128-Sens!$F$7129</f>
        <v>-33.2271793268317</v>
      </c>
      <c r="G7131" s="38" t="n">
        <f aca="false">Sens!$G$7128-Sens!$G$7129</f>
        <v>-58.9181793268317</v>
      </c>
      <c r="H7131" s="38" t="n">
        <f aca="false">Sens!$H$7128-Sens!$H$7129</f>
        <v>-54.3561238424036</v>
      </c>
      <c r="I7131" s="38" t="n">
        <f aca="false">Sens!$I$7128-Sens!$I$7129</f>
        <v>-15.0303903946055</v>
      </c>
      <c r="J7131" s="38" t="n">
        <f aca="false">Sens!$J$7128-Sens!$J$7129</f>
        <v>25.3313456523922</v>
      </c>
      <c r="K7131" s="38" t="n">
        <f aca="false">Sens!$K$7128-Sens!$K$7129</f>
        <v>121.980646783072</v>
      </c>
      <c r="L7131" s="38" t="n">
        <f aca="false">Sens!$L$7128-Sens!$L$7129</f>
        <v>180.80865103054</v>
      </c>
      <c r="M7131" s="38" t="n">
        <f aca="false">Sens!$M$7128-Sens!$M$7129</f>
        <v>209.819407541041</v>
      </c>
    </row>
    <row r="7132" customFormat="false" ht="17.15" hidden="false" customHeight="false" outlineLevel="0" collapsed="false">
      <c r="A7132" s="5" t="s">
        <v>810</v>
      </c>
      <c r="B7132" s="0" t="s">
        <v>86</v>
      </c>
      <c r="E7132" s="38" t="n">
        <f aca="false">Q!$P$53</f>
        <v>39.767</v>
      </c>
      <c r="F7132" s="38" t="n">
        <f aca="false">inv_2h26</f>
        <v>21.3</v>
      </c>
      <c r="G7132" s="38" t="n">
        <f aca="false">Sens!$E$7132+Sens!$F$7132</f>
        <v>61.067</v>
      </c>
      <c r="H7132" s="39" t="n">
        <v>0</v>
      </c>
      <c r="I7132" s="39" t="n">
        <v>0</v>
      </c>
      <c r="J7132" s="39" t="n">
        <v>0</v>
      </c>
      <c r="K7132" s="39" t="n">
        <v>0</v>
      </c>
      <c r="L7132" s="39" t="n">
        <v>0</v>
      </c>
      <c r="M7132" s="39" t="n">
        <v>0</v>
      </c>
    </row>
    <row r="7133" customFormat="false" ht="17.15" hidden="false" customHeight="false" outlineLevel="0" collapsed="false">
      <c r="A7133" s="5" t="s">
        <v>811</v>
      </c>
      <c r="B7133" s="0" t="s">
        <v>86</v>
      </c>
      <c r="F7133" s="38" t="n">
        <f aca="false">iss_2h26</f>
        <v>29.249999</v>
      </c>
      <c r="G7133" s="38" t="n">
        <f aca="false">Sens!$F$7133</f>
        <v>29.249999</v>
      </c>
      <c r="H7133" s="39" t="n">
        <v>0</v>
      </c>
      <c r="I7133" s="39" t="n">
        <v>0</v>
      </c>
      <c r="J7133" s="39" t="n">
        <v>0</v>
      </c>
      <c r="K7133" s="39" t="n">
        <v>0</v>
      </c>
      <c r="L7133" s="39" t="n">
        <v>0</v>
      </c>
      <c r="M7133" s="39" t="n">
        <v>0</v>
      </c>
    </row>
    <row r="7134" customFormat="false" ht="17.15" hidden="false" customHeight="false" outlineLevel="0" collapsed="false">
      <c r="A7134" s="5" t="s">
        <v>812</v>
      </c>
      <c r="B7134" s="0" t="s">
        <v>86</v>
      </c>
      <c r="F7134" s="38" t="n">
        <f aca="false">cash_q2</f>
        <v>122.988</v>
      </c>
      <c r="G7134" s="38" t="n">
        <f aca="false">cash_q2</f>
        <v>122.988</v>
      </c>
      <c r="H7134" s="38" t="n">
        <f aca="false">Sens!$G$7137</f>
        <v>97.7108196731683</v>
      </c>
      <c r="I7134" s="38" t="n">
        <f aca="false">Sens!$H$7137</f>
        <v>50</v>
      </c>
      <c r="J7134" s="38" t="n">
        <f aca="false">Sens!$I$7137</f>
        <v>50</v>
      </c>
      <c r="K7134" s="38" t="n">
        <f aca="false">Sens!$J$7137</f>
        <v>75.3313456523922</v>
      </c>
      <c r="L7134" s="38" t="n">
        <f aca="false">Sens!$K$7137</f>
        <v>197.311992435464</v>
      </c>
      <c r="M7134" s="38" t="n">
        <f aca="false">Sens!$L$7137</f>
        <v>378.120643466004</v>
      </c>
    </row>
    <row r="7135" customFormat="false" ht="15" hidden="false" customHeight="false" outlineLevel="0" collapsed="false">
      <c r="A7135" s="5" t="s">
        <v>813</v>
      </c>
      <c r="B7135" s="0" t="s">
        <v>86</v>
      </c>
      <c r="F7135" s="38" t="n">
        <f aca="false">Sens!$F$7134+Sens!$F$7131-Sens!$F$7130-Sens!$F$7132+Sens!$F$7133</f>
        <v>97.7108196731683</v>
      </c>
      <c r="H7135" s="38" t="n">
        <f aca="false">Sens!$H$7134+Sens!$H$7131-Sens!$H$7130-Sens!$H$7132+Sens!$H$7133</f>
        <v>43.3546958307647</v>
      </c>
      <c r="I7135" s="38" t="n">
        <f aca="false">Sens!$I$7134+Sens!$I$7131-Sens!$I$7130-Sens!$I$7132+Sens!$I$7133</f>
        <v>34.9696096053945</v>
      </c>
      <c r="J7135" s="38" t="n">
        <f aca="false">Sens!$J$7134+Sens!$J$7131-Sens!$J$7130-Sens!$J$7132+Sens!$J$7133</f>
        <v>75.3313456523922</v>
      </c>
      <c r="K7135" s="38" t="n">
        <f aca="false">Sens!$K$7134+Sens!$K$7131-Sens!$K$7130-Sens!$K$7132+Sens!$K$7133</f>
        <v>197.311992435464</v>
      </c>
      <c r="L7135" s="38" t="n">
        <f aca="false">Sens!$L$7134+Sens!$L$7131-Sens!$L$7130-Sens!$L$7132+Sens!$L$7133</f>
        <v>378.120643466004</v>
      </c>
      <c r="M7135" s="38" t="n">
        <f aca="false">Sens!$M$7134+Sens!$M$7131-Sens!$M$7130-Sens!$M$7132+Sens!$M$7133</f>
        <v>587.940051007045</v>
      </c>
    </row>
    <row r="7136" customFormat="false" ht="17.15" hidden="false" customHeight="false" outlineLevel="0" collapsed="false">
      <c r="A7136" s="5" t="s">
        <v>814</v>
      </c>
      <c r="B7136" s="0" t="s">
        <v>86</v>
      </c>
      <c r="F7136" s="38" t="n">
        <f aca="false">MAX(0,min_cash-Sens!$F$7135)</f>
        <v>0</v>
      </c>
      <c r="G7136" s="38" t="n">
        <f aca="false">Sens!$F$7136</f>
        <v>0</v>
      </c>
      <c r="H7136" s="38" t="n">
        <f aca="false">MAX(0,min_cash-Sens!$H$7135)</f>
        <v>6.64530416923528</v>
      </c>
      <c r="I7136" s="38" t="n">
        <f aca="false">MAX(0,min_cash-Sens!$I$7135)</f>
        <v>15.0303903946055</v>
      </c>
      <c r="J7136" s="38" t="n">
        <f aca="false">MAX(0,min_cash-Sens!$J$7135)</f>
        <v>0</v>
      </c>
      <c r="K7136" s="38" t="n">
        <f aca="false">MAX(0,min_cash-Sens!$K$7135)</f>
        <v>0</v>
      </c>
      <c r="L7136" s="38" t="n">
        <f aca="false">MAX(0,min_cash-Sens!$L$7135)</f>
        <v>0</v>
      </c>
      <c r="M7136" s="38" t="n">
        <f aca="false">MAX(0,min_cash-Sens!$M$7135)</f>
        <v>0</v>
      </c>
      <c r="P7136" s="5" t="s">
        <v>815</v>
      </c>
    </row>
    <row r="7137" customFormat="false" ht="15" hidden="false" customHeight="false" outlineLevel="0" collapsed="false">
      <c r="A7137" s="5" t="s">
        <v>816</v>
      </c>
      <c r="B7137" s="0" t="s">
        <v>86</v>
      </c>
      <c r="D7137" s="38" t="n">
        <f aca="false">Q!$E$61</f>
        <v>123.029</v>
      </c>
      <c r="E7137" s="38" t="n">
        <f aca="false">Q!$M$61</f>
        <v>122.988</v>
      </c>
      <c r="F7137" s="38" t="n">
        <f aca="false">Sens!$F$7135+Sens!$F$7136</f>
        <v>97.7108196731683</v>
      </c>
      <c r="G7137" s="38" t="n">
        <f aca="false">Sens!$F$7137</f>
        <v>97.7108196731683</v>
      </c>
      <c r="H7137" s="38" t="n">
        <f aca="false">Sens!$H$7135+Sens!$H$7136</f>
        <v>50</v>
      </c>
      <c r="I7137" s="38" t="n">
        <f aca="false">Sens!$I$7135+Sens!$I$7136</f>
        <v>50</v>
      </c>
      <c r="J7137" s="38" t="n">
        <f aca="false">Sens!$J$7135+Sens!$J$7136</f>
        <v>75.3313456523922</v>
      </c>
      <c r="K7137" s="38" t="n">
        <f aca="false">Sens!$K$7135+Sens!$K$7136</f>
        <v>197.311992435464</v>
      </c>
      <c r="L7137" s="38" t="n">
        <f aca="false">Sens!$L$7135+Sens!$L$7136</f>
        <v>378.120643466004</v>
      </c>
      <c r="M7137" s="38" t="n">
        <f aca="false">Sens!$M$7135+Sens!$M$7136</f>
        <v>587.940051007045</v>
      </c>
    </row>
    <row r="7138" customFormat="false" ht="15" hidden="false" customHeight="false" outlineLevel="0" collapsed="false">
      <c r="A7138" s="5" t="s">
        <v>817</v>
      </c>
      <c r="B7138" s="0" t="s">
        <v>86</v>
      </c>
      <c r="D7138" s="38" t="n">
        <f aca="false">Q!$E$62</f>
        <v>68.836</v>
      </c>
      <c r="E7138" s="38" t="n">
        <f aca="false">Q!$M$62</f>
        <v>132.995</v>
      </c>
      <c r="F7138" s="38" t="n">
        <f aca="false">debt_q2+Sens!$F$7133+Sens!$F$7136</f>
        <v>162.244999</v>
      </c>
      <c r="G7138" s="38" t="n">
        <f aca="false">Sens!$F$7138</f>
        <v>162.244999</v>
      </c>
      <c r="H7138" s="38" t="n">
        <f aca="false">Sens!$G$7138+Sens!$H$7136</f>
        <v>168.890303169235</v>
      </c>
      <c r="I7138" s="38" t="n">
        <f aca="false">Sens!$H$7138+Sens!$I$7136</f>
        <v>183.920693563841</v>
      </c>
      <c r="J7138" s="38" t="n">
        <f aca="false">Sens!$I$7138+Sens!$J$7136</f>
        <v>183.920693563841</v>
      </c>
      <c r="K7138" s="38" t="n">
        <f aca="false">Sens!$J$7138+Sens!$K$7136</f>
        <v>183.920693563841</v>
      </c>
      <c r="L7138" s="38" t="n">
        <f aca="false">Sens!$K$7138+Sens!$L$7136</f>
        <v>183.920693563841</v>
      </c>
      <c r="M7138" s="38" t="n">
        <f aca="false">Sens!$L$7138+Sens!$M$7136</f>
        <v>183.920693563841</v>
      </c>
    </row>
    <row r="7139" customFormat="false" ht="15" hidden="false" customHeight="false" outlineLevel="0" collapsed="false">
      <c r="A7139" s="5" t="s">
        <v>818</v>
      </c>
      <c r="B7139" s="0" t="s">
        <v>86</v>
      </c>
      <c r="D7139" s="38" t="n">
        <f aca="false">Sens!$D$7138-Sens!$D$7137</f>
        <v>-54.193</v>
      </c>
      <c r="E7139" s="38" t="n">
        <f aca="false">Sens!$E$7138-Sens!$E$7137</f>
        <v>10.007</v>
      </c>
      <c r="F7139" s="38" t="n">
        <f aca="false">Sens!$F$7138-Sens!$F$7137</f>
        <v>64.5341793268317</v>
      </c>
      <c r="G7139" s="38" t="n">
        <f aca="false">Sens!$G$7138-Sens!$G$7137</f>
        <v>64.5341793268317</v>
      </c>
      <c r="H7139" s="38" t="n">
        <f aca="false">Sens!$H$7138-Sens!$H$7137</f>
        <v>118.890303169235</v>
      </c>
      <c r="I7139" s="38" t="n">
        <f aca="false">Sens!$I$7138-Sens!$I$7137</f>
        <v>133.920693563841</v>
      </c>
      <c r="J7139" s="38" t="n">
        <f aca="false">Sens!$J$7138-Sens!$J$7137</f>
        <v>108.589347911449</v>
      </c>
      <c r="K7139" s="38" t="n">
        <f aca="false">Sens!$K$7138-Sens!$K$7137</f>
        <v>-13.3912988716235</v>
      </c>
      <c r="L7139" s="38" t="n">
        <f aca="false">Sens!$L$7138-Sens!$L$7137</f>
        <v>-194.199949902163</v>
      </c>
      <c r="M7139" s="38" t="n">
        <f aca="false">Sens!$M$7138-Sens!$M$7137</f>
        <v>-404.019357443204</v>
      </c>
    </row>
    <row r="7140" customFormat="false" ht="17.15" hidden="false" customHeight="false" outlineLevel="0" collapsed="false">
      <c r="A7140" s="5" t="s">
        <v>819</v>
      </c>
      <c r="B7140" s="0" t="s">
        <v>86</v>
      </c>
      <c r="F7140" s="38" t="n">
        <f aca="false">debt_q2*kd_book*0.5+iss_2h26*kd_new*iss_t</f>
        <v>3.24888962733561</v>
      </c>
      <c r="H7140" s="38" t="n">
        <f aca="false">debt_q2*kd_book+(Sens!$G$7138-debt_q2)*kd_new</f>
        <v>7.42354172302123</v>
      </c>
      <c r="I7140" s="38" t="n">
        <f aca="false">debt_q2*kd_book+(Sens!$H$7138-debt_q2)*kd_new</f>
        <v>7.84418947693382</v>
      </c>
      <c r="J7140" s="38" t="n">
        <f aca="false">debt_q2*kd_book+(Sens!$I$7138-debt_q2)*kd_new</f>
        <v>8.79561318891235</v>
      </c>
      <c r="K7140" s="38" t="n">
        <f aca="false">debt_q2*kd_book+(Sens!$J$7138-debt_q2)*kd_new</f>
        <v>8.79561318891235</v>
      </c>
      <c r="L7140" s="38" t="n">
        <f aca="false">debt_q2*kd_book+(Sens!$K$7138-debt_q2)*kd_new</f>
        <v>8.79561318891235</v>
      </c>
      <c r="M7140" s="38" t="n">
        <f aca="false">debt_q2*kd_book+(Sens!$L$7138-debt_q2)*kd_new</f>
        <v>8.79561318891235</v>
      </c>
    </row>
    <row r="7141" customFormat="false" ht="17.15" hidden="false" customHeight="false" outlineLevel="0" collapsed="false">
      <c r="A7141" s="5" t="s">
        <v>820</v>
      </c>
      <c r="B7141" s="0" t="s">
        <v>86</v>
      </c>
      <c r="F7141" s="38" t="n">
        <f aca="false">cash_q2*y_cash*0.5</f>
        <v>2.59</v>
      </c>
      <c r="H7141" s="38" t="n">
        <f aca="false">Sens!$G$7137*y_cash</f>
        <v>4.1153774832261</v>
      </c>
      <c r="I7141" s="38" t="n">
        <f aca="false">Sens!$H$7137*y_cash</f>
        <v>2.10589651022864</v>
      </c>
      <c r="J7141" s="38" t="n">
        <f aca="false">Sens!$I$7137*y_cash</f>
        <v>2.10589651022864</v>
      </c>
      <c r="K7141" s="38" t="n">
        <f aca="false">Sens!$J$7137*y_cash</f>
        <v>3.172800358404</v>
      </c>
      <c r="L7141" s="38" t="n">
        <f aca="false">Sens!$K$7137*y_cash</f>
        <v>8.31037272592208</v>
      </c>
      <c r="M7141" s="38" t="n">
        <f aca="false">Sens!$L$7137*y_cash</f>
        <v>15.9256588704093</v>
      </c>
    </row>
    <row r="7142" customFormat="false" ht="17.15" hidden="false" customHeight="false" outlineLevel="0" collapsed="false">
      <c r="A7142" s="47" t="s">
        <v>821</v>
      </c>
      <c r="B7142" s="14" t="s">
        <v>86</v>
      </c>
      <c r="C7142" s="14"/>
      <c r="D7142" s="14"/>
      <c r="E7142" s="14"/>
      <c r="F7142" s="14"/>
      <c r="G7142" s="48" t="n">
        <f aca="false">SUM(Sens!$G$7131:$K$7131)</f>
        <v>19.0072988716234</v>
      </c>
      <c r="H7142" s="14"/>
      <c r="I7142" s="14"/>
      <c r="J7142" s="14"/>
      <c r="K7142" s="14"/>
      <c r="L7142" s="14"/>
      <c r="M7142" s="14"/>
      <c r="N7142" s="14"/>
      <c r="O7142" s="14"/>
    </row>
    <row r="7143" customFormat="false" ht="17.15" hidden="false" customHeight="false" outlineLevel="0" collapsed="false">
      <c r="A7143" s="0" t="s">
        <v>787</v>
      </c>
      <c r="B7143" s="0" t="s">
        <v>86</v>
      </c>
      <c r="G7143" s="38" t="n">
        <f aca="false">SUM(Sens!$G$7136:$K$7136)</f>
        <v>21.6756945638408</v>
      </c>
    </row>
    <row r="7144" customFormat="false" ht="17.15" hidden="false" customHeight="false" outlineLevel="0" collapsed="false">
      <c r="A7144" s="24" t="s">
        <v>824</v>
      </c>
      <c r="B7144" s="25" t="s">
        <v>86</v>
      </c>
      <c r="C7144" s="25"/>
      <c r="D7144" s="25"/>
      <c r="E7144" s="25"/>
      <c r="F7144" s="25"/>
      <c r="G7144" s="41" t="n">
        <f aca="false">Sens!$G$7142-(Sens!$G$7131+Sens!$H$7131+Sens!$I$7131+Sens!$J$7131+Sens!$K$7131)</f>
        <v>0</v>
      </c>
      <c r="H7144" s="25"/>
      <c r="I7144" s="25"/>
      <c r="J7144" s="25"/>
      <c r="K7144" s="25"/>
      <c r="L7144" s="25"/>
      <c r="M7144" s="25"/>
      <c r="N7144" s="25"/>
      <c r="O7144" s="25"/>
    </row>
    <row r="7147" customFormat="false" ht="19.4" hidden="false" customHeight="false" outlineLevel="0" collapsed="false">
      <c r="A7147" s="31" t="s">
        <v>1296</v>
      </c>
    </row>
    <row r="7148" customFormat="false" ht="17.15" hidden="false" customHeight="false" outlineLevel="0" collapsed="false">
      <c r="A7148" s="6" t="s">
        <v>16</v>
      </c>
      <c r="B7148" s="6" t="s">
        <v>17</v>
      </c>
      <c r="C7148" s="20" t="s">
        <v>504</v>
      </c>
      <c r="D7148" s="20" t="s">
        <v>505</v>
      </c>
      <c r="E7148" s="20" t="s">
        <v>587</v>
      </c>
      <c r="F7148" s="20" t="s">
        <v>588</v>
      </c>
      <c r="G7148" s="20" t="s">
        <v>589</v>
      </c>
      <c r="H7148" s="20" t="s">
        <v>590</v>
      </c>
      <c r="I7148" s="20" t="s">
        <v>591</v>
      </c>
      <c r="J7148" s="20" t="s">
        <v>592</v>
      </c>
      <c r="K7148" s="20" t="s">
        <v>593</v>
      </c>
      <c r="L7148" s="20" t="s">
        <v>594</v>
      </c>
      <c r="M7148" s="20" t="s">
        <v>595</v>
      </c>
      <c r="N7148" s="20" t="s">
        <v>596</v>
      </c>
      <c r="O7148" s="20" t="s">
        <v>597</v>
      </c>
      <c r="P7148" s="6" t="s">
        <v>23</v>
      </c>
      <c r="R7148" s="20" t="n">
        <v>2023</v>
      </c>
      <c r="S7148" s="20" t="n">
        <v>2024</v>
      </c>
      <c r="T7148" s="20" t="n">
        <v>2025</v>
      </c>
      <c r="U7148" s="20" t="n">
        <v>2026</v>
      </c>
      <c r="V7148" s="20" t="n">
        <v>2027</v>
      </c>
      <c r="W7148" s="20" t="n">
        <v>2028</v>
      </c>
      <c r="X7148" s="20" t="n">
        <v>2029</v>
      </c>
      <c r="Y7148" s="20" t="n">
        <v>2030</v>
      </c>
      <c r="Z7148" s="20" t="n">
        <v>2031</v>
      </c>
      <c r="AA7148" s="20" t="n">
        <v>2032</v>
      </c>
    </row>
    <row r="7149" customFormat="false" ht="17.15" hidden="false" customHeight="false" outlineLevel="0" collapsed="false">
      <c r="A7149" s="1" t="s">
        <v>926</v>
      </c>
    </row>
    <row r="7150" customFormat="false" ht="17.15" hidden="false" customHeight="false" outlineLevel="0" collapsed="false">
      <c r="A7150" s="0" t="s">
        <v>927</v>
      </c>
      <c r="B7150" s="0" t="s">
        <v>86</v>
      </c>
      <c r="H7150" s="38" t="n">
        <f aca="false">Sens!$H$7084*(1-tax)</f>
        <v>119.56497355468</v>
      </c>
      <c r="I7150" s="38" t="n">
        <f aca="false">Sens!$I$7084*(1-tax)</f>
        <v>141.256941944278</v>
      </c>
      <c r="J7150" s="38" t="n">
        <f aca="false">Sens!$J$7084*(1-tax)</f>
        <v>165.207646486437</v>
      </c>
      <c r="K7150" s="38" t="n">
        <f aca="false">Sens!$K$7084*(1-tax)</f>
        <v>182.2563867591</v>
      </c>
      <c r="L7150" s="38" t="n">
        <f aca="false">Sens!$L$7084*(1-tax)</f>
        <v>196.136023003742</v>
      </c>
      <c r="M7150" s="38" t="n">
        <f aca="false">Sens!$M$7084*(1-tax)</f>
        <v>208.266936154417</v>
      </c>
    </row>
    <row r="7151" customFormat="false" ht="15" hidden="false" customHeight="false" outlineLevel="0" collapsed="false">
      <c r="A7151" s="5" t="s">
        <v>928</v>
      </c>
      <c r="B7151" s="0" t="s">
        <v>86</v>
      </c>
      <c r="H7151" s="38" t="n">
        <f aca="false">Sens!$H$7095</f>
        <v>81.5618233196153</v>
      </c>
      <c r="I7151" s="38" t="n">
        <f aca="false">Sens!$I$7095</f>
        <v>118.756208740204</v>
      </c>
      <c r="J7151" s="38" t="n">
        <f aca="false">Sens!$J$7095</f>
        <v>152.469489406791</v>
      </c>
      <c r="K7151" s="38" t="n">
        <f aca="false">Sens!$K$7095</f>
        <v>186.391502623819</v>
      </c>
      <c r="L7151" s="38" t="n">
        <f aca="false">Sens!$L$7095</f>
        <v>211.926422215482</v>
      </c>
      <c r="M7151" s="38" t="n">
        <f aca="false">Sens!$M$7095</f>
        <v>229.012482097906</v>
      </c>
    </row>
    <row r="7152" customFormat="false" ht="15" hidden="false" customHeight="false" outlineLevel="0" collapsed="false">
      <c r="A7152" s="5" t="s">
        <v>929</v>
      </c>
      <c r="B7152" s="0" t="s">
        <v>86</v>
      </c>
      <c r="H7152" s="38" t="n">
        <f aca="false">Sens!$H$7126</f>
        <v>273.372679834898</v>
      </c>
      <c r="I7152" s="38" t="n">
        <f aca="false">Sens!$I$7126</f>
        <v>286.981812228425</v>
      </c>
      <c r="J7152" s="38" t="n">
        <f aca="false">Sens!$J$7126</f>
        <v>299.316513378366</v>
      </c>
      <c r="K7152" s="38" t="n">
        <f aca="false">Sens!$K$7126</f>
        <v>251.057145512292</v>
      </c>
      <c r="L7152" s="38" t="n">
        <f aca="false">Sens!$L$7126</f>
        <v>234.696330860396</v>
      </c>
      <c r="M7152" s="38" t="n">
        <f aca="false">Sens!$M$7126</f>
        <v>242.291696043352</v>
      </c>
    </row>
    <row r="7153" customFormat="false" ht="15" hidden="false" customHeight="false" outlineLevel="0" collapsed="false">
      <c r="A7153" s="5" t="s">
        <v>930</v>
      </c>
      <c r="B7153" s="0" t="s">
        <v>86</v>
      </c>
      <c r="H7153" s="38" t="n">
        <f aca="false">Sens!$H$7127</f>
        <v>1.6</v>
      </c>
      <c r="I7153" s="38" t="n">
        <f aca="false">Sens!$I$7127</f>
        <v>1.6</v>
      </c>
      <c r="J7153" s="38" t="n">
        <f aca="false">Sens!$J$7127</f>
        <v>1.6</v>
      </c>
      <c r="K7153" s="38" t="n">
        <f aca="false">Sens!$K$7127</f>
        <v>1.6</v>
      </c>
      <c r="L7153" s="38" t="n">
        <f aca="false">Sens!$L$7127</f>
        <v>1.6</v>
      </c>
      <c r="M7153" s="38" t="n">
        <f aca="false">Sens!$M$7127</f>
        <v>1.6</v>
      </c>
    </row>
    <row r="7154" customFormat="false" ht="15" hidden="false" customHeight="false" outlineLevel="0" collapsed="false">
      <c r="A7154" s="5" t="s">
        <v>931</v>
      </c>
      <c r="B7154" s="0" t="s">
        <v>86</v>
      </c>
      <c r="H7154" s="38" t="n">
        <f aca="false">Sens!$H$7121</f>
        <v>11.2928295263397</v>
      </c>
      <c r="I7154" s="38" t="n">
        <f aca="false">Sens!$I$7121</f>
        <v>12.8091546115766</v>
      </c>
      <c r="J7154" s="38" t="n">
        <f aca="false">Sens!$J$7121</f>
        <v>14.2605653162668</v>
      </c>
      <c r="K7154" s="38" t="n">
        <f aca="false">Sens!$K$7121</f>
        <v>15.5327622460396</v>
      </c>
      <c r="L7154" s="38" t="n">
        <f aca="false">Sens!$L$7121</f>
        <v>16.720573737517</v>
      </c>
      <c r="M7154" s="38" t="n">
        <f aca="false">Sens!$M$7121</f>
        <v>17.8283127551536</v>
      </c>
    </row>
    <row r="7155" customFormat="false" ht="17.15" hidden="false" customHeight="false" outlineLevel="0" collapsed="false">
      <c r="A7155" s="1" t="s">
        <v>932</v>
      </c>
      <c r="B7155" s="8" t="s">
        <v>86</v>
      </c>
      <c r="H7155" s="38" t="n">
        <f aca="false">Sens!$H$7150+Sens!$H$7151-Sens!$H$7152-Sens!$H$7153+Sens!$H$7154</f>
        <v>-62.5530534342631</v>
      </c>
      <c r="I7155" s="38" t="n">
        <f aca="false">Sens!$I$7150+Sens!$I$7151-Sens!$I$7152-Sens!$I$7153+Sens!$I$7154</f>
        <v>-15.7595069323669</v>
      </c>
      <c r="J7155" s="38" t="n">
        <f aca="false">Sens!$J$7150+Sens!$J$7151-Sens!$J$7152-Sens!$J$7153+Sens!$J$7154</f>
        <v>31.0211878311291</v>
      </c>
      <c r="K7155" s="38" t="n">
        <f aca="false">Sens!$K$7150+Sens!$K$7151-Sens!$K$7152-Sens!$K$7153+Sens!$K$7154</f>
        <v>131.523506116666</v>
      </c>
      <c r="L7155" s="38" t="n">
        <f aca="false">Sens!$L$7150+Sens!$L$7151-Sens!$L$7152-Sens!$L$7153+Sens!$L$7154</f>
        <v>188.486688096346</v>
      </c>
      <c r="M7155" s="38" t="n">
        <f aca="false">Sens!$M$7150+Sens!$M$7151-Sens!$M$7152-Sens!$M$7153+Sens!$M$7154</f>
        <v>211.216034964125</v>
      </c>
    </row>
    <row r="7156" customFormat="false" ht="15" hidden="false" customHeight="false" outlineLevel="0" collapsed="false">
      <c r="A7156" s="5" t="s">
        <v>933</v>
      </c>
      <c r="B7156" s="0" t="s">
        <v>57</v>
      </c>
      <c r="H7156" s="40" t="n">
        <f aca="false">1/(1+wacc)^(2027-2026-0.5)</f>
        <v>0.947751320380232</v>
      </c>
      <c r="I7156" s="40" t="n">
        <f aca="false">1/(1+wacc)^(2028-2026-0.5)</f>
        <v>0.851301099754987</v>
      </c>
      <c r="J7156" s="40" t="n">
        <f aca="false">1/(1+wacc)^(2029-2026-0.5)</f>
        <v>0.764666370660713</v>
      </c>
      <c r="K7156" s="40" t="n">
        <f aca="false">1/(1+wacc)^(2030-2026-0.5)</f>
        <v>0.686848235703811</v>
      </c>
      <c r="L7156" s="40" t="n">
        <f aca="false">1/(1+wacc)^(2031-2026-0.5)</f>
        <v>0.616949452715975</v>
      </c>
      <c r="M7156" s="40" t="n">
        <f aca="false">1/(1+wacc)^(2032-2026-0.5)</f>
        <v>0.554164089562688</v>
      </c>
    </row>
    <row r="7157" customFormat="false" ht="15" hidden="false" customHeight="false" outlineLevel="0" collapsed="false">
      <c r="A7157" s="5" t="s">
        <v>934</v>
      </c>
      <c r="B7157" s="0" t="s">
        <v>86</v>
      </c>
      <c r="H7157" s="38" t="n">
        <f aca="false">Sens!$H$7155*Sens!$H$7156</f>
        <v>-59.2847389861381</v>
      </c>
      <c r="I7157" s="38" t="n">
        <f aca="false">Sens!$I$7155*Sens!$I$7156</f>
        <v>-13.4160855831203</v>
      </c>
      <c r="J7157" s="38" t="n">
        <f aca="false">Sens!$J$7155*Sens!$J$7156</f>
        <v>23.7208591124138</v>
      </c>
      <c r="K7157" s="38" t="n">
        <f aca="false">Sens!$K$7155*Sens!$K$7156</f>
        <v>90.3366881298116</v>
      </c>
      <c r="L7157" s="38" t="n">
        <f aca="false">Sens!$L$7155*Sens!$L$7156</f>
        <v>116.286759065287</v>
      </c>
      <c r="M7157" s="38" t="n">
        <f aca="false">Sens!$M$7155*Sens!$M$7156</f>
        <v>117.048341716935</v>
      </c>
    </row>
    <row r="7158" customFormat="false" ht="15" hidden="false" customHeight="false" outlineLevel="0" collapsed="false">
      <c r="A7158" s="5" t="s">
        <v>935</v>
      </c>
      <c r="B7158" s="0" t="s">
        <v>86</v>
      </c>
      <c r="C7158" s="38" t="n">
        <f aca="false">SUM(Sens!$H$7157:$M$7157)</f>
        <v>274.691823455189</v>
      </c>
    </row>
    <row r="7159" customFormat="false" ht="17.15" hidden="false" customHeight="false" outlineLevel="0" collapsed="false">
      <c r="A7159" s="5" t="s">
        <v>936</v>
      </c>
      <c r="B7159" s="0" t="s">
        <v>86</v>
      </c>
      <c r="C7159" s="38" t="n">
        <f aca="false">Sens!$M$7150*(1+tg)*(1-tg/ronic)/(wacc-tg)</f>
        <v>1893.37885139876</v>
      </c>
    </row>
    <row r="7160" customFormat="false" ht="15" hidden="false" customHeight="false" outlineLevel="0" collapsed="false">
      <c r="A7160" s="5" t="s">
        <v>937</v>
      </c>
      <c r="B7160" s="0" t="s">
        <v>86</v>
      </c>
      <c r="C7160" s="38" t="n">
        <f aca="false">Sens!$C$7159/(1+wacc)^6</f>
        <v>994.421028636041</v>
      </c>
    </row>
    <row r="7161" customFormat="false" ht="17.15" hidden="false" customHeight="false" outlineLevel="0" collapsed="false">
      <c r="A7161" s="5" t="s">
        <v>938</v>
      </c>
      <c r="B7161" s="0" t="s">
        <v>86</v>
      </c>
      <c r="C7161" s="38" t="n">
        <f aca="false">Sens!$C$7158+Sens!$C$7160</f>
        <v>1269.11285209123</v>
      </c>
    </row>
    <row r="7162" customFormat="false" ht="17.15" hidden="false" customHeight="false" outlineLevel="0" collapsed="false">
      <c r="A7162" s="5" t="s">
        <v>939</v>
      </c>
      <c r="B7162" s="0" t="s">
        <v>52</v>
      </c>
      <c r="C7162" s="13" t="n">
        <f aca="false">Sens!$C$7160/Sens!$C$7161</f>
        <v>0.783556030495984</v>
      </c>
    </row>
    <row r="7163" customFormat="false" ht="17.15" hidden="false" customHeight="false" outlineLevel="0" collapsed="false">
      <c r="A7163" s="5" t="s">
        <v>940</v>
      </c>
      <c r="B7163" s="0" t="s">
        <v>86</v>
      </c>
      <c r="C7163" s="38" t="n">
        <f aca="false">Sens!$G$7139+fin_debt</f>
        <v>89.0551793268317</v>
      </c>
    </row>
    <row r="7164" customFormat="false" ht="17.15" hidden="false" customHeight="false" outlineLevel="0" collapsed="false">
      <c r="A7164" s="5" t="s">
        <v>941</v>
      </c>
      <c r="B7164" s="0" t="s">
        <v>86</v>
      </c>
      <c r="C7164" s="38" t="n">
        <f aca="false">(ant_val*ant_sh+oai_val*oai_sh)*(1-liq_disc)</f>
        <v>178.944</v>
      </c>
    </row>
    <row r="7165" customFormat="false" ht="15" hidden="false" customHeight="false" outlineLevel="0" collapsed="false">
      <c r="A7165" s="5" t="s">
        <v>942</v>
      </c>
      <c r="B7165" s="0" t="s">
        <v>86</v>
      </c>
      <c r="C7165" s="38" t="n">
        <f aca="false">Sens!$C$7161-Sens!$C$7163+Sens!$C$7164</f>
        <v>1359.0016727644</v>
      </c>
    </row>
    <row r="7166" customFormat="false" ht="17.15" hidden="false" customHeight="false" outlineLevel="0" collapsed="false">
      <c r="A7166" s="5" t="s">
        <v>943</v>
      </c>
      <c r="B7166" s="0" t="s">
        <v>27</v>
      </c>
      <c r="C7166" s="30" t="n">
        <f aca="false">Sens!$C$7165/sh_out</f>
        <v>125.993149537868</v>
      </c>
    </row>
    <row r="7167" customFormat="false" ht="17.15" hidden="false" customHeight="false" outlineLevel="0" collapsed="false">
      <c r="A7167" s="1" t="s">
        <v>944</v>
      </c>
      <c r="B7167" s="8" t="s">
        <v>27</v>
      </c>
      <c r="C7167" s="30" t="n">
        <f aca="false">Sens!$C$7166*(1+ke)^tp_yf-dps*tp_yf</f>
        <v>138.008970873001</v>
      </c>
    </row>
    <row r="7168" customFormat="false" ht="17.15" hidden="false" customHeight="false" outlineLevel="0" collapsed="false">
      <c r="A7168" s="3" t="s">
        <v>945</v>
      </c>
    </row>
    <row r="7169" customFormat="false" ht="17.15" hidden="false" customHeight="false" outlineLevel="0" collapsed="false">
      <c r="A7169" s="5" t="s">
        <v>946</v>
      </c>
      <c r="B7169" s="0" t="s">
        <v>86</v>
      </c>
      <c r="C7169" s="38" t="n">
        <f aca="false">(1-tp_yf)*(Sens!$H$7096+sbc_ab*Sens!$H$7120*Sens!$H$6957/Sens!$H$7037)+tp_yf*(Sens!$I$7096+sbc_ab*Sens!$I$7120*Sens!$I$6957/Sens!$I$7037)</f>
        <v>59.634664536349</v>
      </c>
    </row>
    <row r="7170" customFormat="false" ht="15" hidden="false" customHeight="false" outlineLevel="0" collapsed="false">
      <c r="A7170" s="5" t="s">
        <v>947</v>
      </c>
      <c r="B7170" s="0" t="s">
        <v>57</v>
      </c>
      <c r="C7170" s="30" t="n">
        <f aca="false">m_ads*m_x</f>
        <v>9.11</v>
      </c>
    </row>
    <row r="7171" customFormat="false" ht="17.15" hidden="false" customHeight="false" outlineLevel="0" collapsed="false">
      <c r="A7171" s="5" t="s">
        <v>948</v>
      </c>
      <c r="B7171" s="0" t="s">
        <v>86</v>
      </c>
      <c r="C7171" s="38" t="n">
        <f aca="false">Sens!$C$7169*Sens!$C$7170</f>
        <v>543.271793926139</v>
      </c>
    </row>
    <row r="7172" customFormat="false" ht="17.15" hidden="false" customHeight="false" outlineLevel="0" collapsed="false">
      <c r="A7172" s="5" t="s">
        <v>949</v>
      </c>
      <c r="B7172" s="0" t="s">
        <v>86</v>
      </c>
      <c r="C7172" s="38" t="n">
        <f aca="false">(1-tp_yf)*(Sens!$H$7097+sbc_ab*Sens!$H$7120*(Sens!$H$6964-Sens!$H$6957)/Sens!$H$7037+IF(internal_ai_reading=2,1,0)*(1-ext_sh)*Sens!$H$6994)+tp_yf*(Sens!$I$7097+sbc_ab*Sens!$I$7120*(Sens!$I$6964-Sens!$I$6957)/Sens!$I$7037+IF(internal_ai_reading=2,1,0)*(1-ext_sh)*Sens!$I$6994)</f>
        <v>51.6951811103438</v>
      </c>
    </row>
    <row r="7173" customFormat="false" ht="17.15" hidden="false" customHeight="false" outlineLevel="0" collapsed="false">
      <c r="A7173" s="5" t="s">
        <v>950</v>
      </c>
      <c r="B7173" s="0" t="s">
        <v>57</v>
      </c>
      <c r="C7173" s="30" t="n">
        <f aca="false">m_retail*m_x</f>
        <v>17.72</v>
      </c>
    </row>
    <row r="7174" customFormat="false" ht="17.15" hidden="false" customHeight="false" outlineLevel="0" collapsed="false">
      <c r="A7174" s="5" t="s">
        <v>951</v>
      </c>
      <c r="B7174" s="0" t="s">
        <v>86</v>
      </c>
      <c r="C7174" s="38" t="n">
        <f aca="false">Sens!$C$7172*Sens!$C$7173</f>
        <v>916.038609275292</v>
      </c>
    </row>
    <row r="7175" customFormat="false" ht="17.15" hidden="false" customHeight="false" outlineLevel="0" collapsed="false">
      <c r="A7175" s="0" t="s">
        <v>952</v>
      </c>
      <c r="B7175" s="0" t="s">
        <v>86</v>
      </c>
      <c r="C7175" s="38" t="n">
        <f aca="false">(1-tp_yf)*(Sens!$H$7098+sbc_ab*Sens!$H$7120*Sens!$H$7035/Sens!$H$7037)+tp_yf*(Sens!$I$7098+sbc_ab*Sens!$I$7120*Sens!$I$7035/Sens!$I$7037)</f>
        <v>97.2337130506861</v>
      </c>
    </row>
    <row r="7176" customFormat="false" ht="17.15" hidden="false" customHeight="false" outlineLevel="0" collapsed="false">
      <c r="A7176" s="0" t="s">
        <v>953</v>
      </c>
      <c r="B7176" s="0" t="s">
        <v>57</v>
      </c>
      <c r="C7176" s="30" t="n">
        <f aca="false">m_cloud*m_x</f>
        <v>13.82</v>
      </c>
    </row>
    <row r="7177" customFormat="false" ht="17.15" hidden="false" customHeight="false" outlineLevel="0" collapsed="false">
      <c r="A7177" s="0" t="s">
        <v>954</v>
      </c>
      <c r="B7177" s="0" t="s">
        <v>86</v>
      </c>
      <c r="C7177" s="38" t="n">
        <f aca="false">Sens!$C$7175*Sens!$C$7176</f>
        <v>1343.76991436048</v>
      </c>
    </row>
    <row r="7178" customFormat="false" ht="17.15" hidden="false" customHeight="false" outlineLevel="0" collapsed="false">
      <c r="A7178" s="0" t="s">
        <v>955</v>
      </c>
      <c r="B7178" s="0" t="s">
        <v>86</v>
      </c>
      <c r="H7178" s="38" t="n">
        <f aca="false">Sens!$H$7016-tax*Sens!$H$7017-ext_sh*Sens!$H$7001</f>
        <v>-115.41576008619</v>
      </c>
      <c r="I7178" s="38" t="n">
        <f aca="false">Sens!$I$7016-tax*Sens!$I$7017-ext_sh*Sens!$I$7001</f>
        <v>-88.5401912683161</v>
      </c>
      <c r="J7178" s="38" t="n">
        <f aca="false">Sens!$J$7016-tax*Sens!$J$7017-ext_sh*Sens!$J$7001</f>
        <v>-61.2977422866746</v>
      </c>
      <c r="K7178" s="38" t="n">
        <f aca="false">Sens!$K$7016-tax*Sens!$K$7017-ext_sh*Sens!$K$7001</f>
        <v>9.91264760007891</v>
      </c>
      <c r="L7178" s="38" t="n">
        <f aca="false">Sens!$L$7016-tax*Sens!$L$7017-ext_sh*Sens!$L$7001</f>
        <v>46.750156871371</v>
      </c>
      <c r="M7178" s="38" t="n">
        <f aca="false">Sens!$M$7016-tax*Sens!$M$7017-ext_sh*Sens!$M$7001</f>
        <v>55.5634749071557</v>
      </c>
    </row>
    <row r="7179" customFormat="false" ht="17.15" hidden="false" customHeight="false" outlineLevel="0" collapsed="false">
      <c r="A7179" s="5" t="s">
        <v>956</v>
      </c>
      <c r="B7179" s="0" t="s">
        <v>86</v>
      </c>
      <c r="H7179" s="38" t="n">
        <f aca="false">Sens!$H$7178*Sens!$H$7156</f>
        <v>-109.385439014374</v>
      </c>
      <c r="I7179" s="38" t="n">
        <f aca="false">Sens!$I$7178*Sens!$I$7156</f>
        <v>-75.3743621992344</v>
      </c>
      <c r="J7179" s="38" t="n">
        <f aca="false">Sens!$J$7178*Sens!$J$7156</f>
        <v>-46.8723221240472</v>
      </c>
      <c r="K7179" s="38" t="n">
        <f aca="false">Sens!$K$7178*Sens!$K$7156</f>
        <v>6.80848451526782</v>
      </c>
      <c r="L7179" s="38" t="n">
        <f aca="false">Sens!$L$7178*Sens!$L$7156</f>
        <v>28.8424836961783</v>
      </c>
      <c r="M7179" s="38" t="n">
        <f aca="false">Sens!$M$7178*Sens!$M$7156</f>
        <v>30.7912824848632</v>
      </c>
    </row>
    <row r="7180" customFormat="false" ht="17.15" hidden="false" customHeight="false" outlineLevel="0" collapsed="false">
      <c r="A7180" s="5" t="s">
        <v>957</v>
      </c>
      <c r="B7180" s="0" t="s">
        <v>86</v>
      </c>
      <c r="C7180" s="38" t="n">
        <f aca="false">Sens!$M$7017*(1-tax)*(1+tg)*(1-tg/ronic)/(wacc-tg)</f>
        <v>356.180381489473</v>
      </c>
    </row>
    <row r="7181" customFormat="false" ht="17.15" hidden="false" customHeight="false" outlineLevel="0" collapsed="false">
      <c r="A7181" s="0" t="s">
        <v>958</v>
      </c>
      <c r="B7181" s="0" t="s">
        <v>86</v>
      </c>
      <c r="C7181" s="38" t="n">
        <f aca="false">(SUM(Sens!$I$7179:$M$7179)+Sens!$C$7180/(1+wacc)^6)*(1+wacc)^tp_yf</f>
        <v>143.3703803388</v>
      </c>
    </row>
    <row r="7182" customFormat="false" ht="17.15" hidden="false" customHeight="false" outlineLevel="0" collapsed="false">
      <c r="A7182" s="5" t="s">
        <v>959</v>
      </c>
      <c r="B7182" s="0" t="s">
        <v>86</v>
      </c>
      <c r="C7182" s="38" t="n">
        <f aca="false">(1-tp_yf)*(Sens!$H$7099)+tp_yf*(Sens!$I$7099)</f>
        <v>74.6707041238437</v>
      </c>
    </row>
    <row r="7183" customFormat="false" ht="17.15" hidden="false" customHeight="false" outlineLevel="0" collapsed="false">
      <c r="A7183" s="5" t="s">
        <v>960</v>
      </c>
      <c r="B7183" s="0" t="s">
        <v>86</v>
      </c>
      <c r="C7183" s="38" t="n">
        <f aca="false">Sens!$C$7182*m_ai</f>
        <v>448.024224743062</v>
      </c>
    </row>
    <row r="7184" customFormat="false" ht="17.15" hidden="false" customHeight="false" outlineLevel="0" collapsed="false">
      <c r="A7184" s="0" t="s">
        <v>961</v>
      </c>
      <c r="B7184" s="0" t="s">
        <v>86</v>
      </c>
      <c r="C7184" s="38" t="n">
        <f aca="false">IF(0=1,Sens!$C$7181,Sens!$C$7183)</f>
        <v>448.024224743062</v>
      </c>
    </row>
    <row r="7185" customFormat="false" ht="17.15" hidden="false" customHeight="false" outlineLevel="0" collapsed="false">
      <c r="A7185" s="5" t="s">
        <v>962</v>
      </c>
      <c r="B7185" s="0" t="s">
        <v>86</v>
      </c>
      <c r="C7185" s="38" t="n">
        <f aca="false">Sens!$C$7171+Sens!$C$7174+Sens!$C$7177+Sens!$C$7184</f>
        <v>3251.10454230498</v>
      </c>
    </row>
    <row r="7186" customFormat="false" ht="17.15" hidden="false" customHeight="false" outlineLevel="0" collapsed="false">
      <c r="A7186" s="5" t="s">
        <v>963</v>
      </c>
      <c r="B7186" s="0" t="s">
        <v>86</v>
      </c>
      <c r="C7186" s="38" t="n">
        <f aca="false">Sens!$H$7139+fin_debt</f>
        <v>143.411303169235</v>
      </c>
    </row>
    <row r="7187" customFormat="false" ht="15" hidden="false" customHeight="false" outlineLevel="0" collapsed="false">
      <c r="A7187" s="5" t="s">
        <v>964</v>
      </c>
      <c r="B7187" s="0" t="s">
        <v>86</v>
      </c>
      <c r="C7187" s="38" t="n">
        <f aca="false">Sens!$C$7185-Sens!$C$7186+Sens!$C$7164</f>
        <v>3286.63723913574</v>
      </c>
    </row>
    <row r="7188" customFormat="false" ht="15" hidden="false" customHeight="false" outlineLevel="0" collapsed="false">
      <c r="A7188" s="3" t="s">
        <v>965</v>
      </c>
      <c r="B7188" s="8" t="s">
        <v>27</v>
      </c>
      <c r="C7188" s="30" t="n">
        <f aca="false">Sens!$C$7187/sh_val</f>
        <v>297.964068759578</v>
      </c>
    </row>
    <row r="7189" customFormat="false" ht="17.15" hidden="false" customHeight="false" outlineLevel="0" collapsed="false">
      <c r="A7189" s="47" t="s">
        <v>966</v>
      </c>
      <c r="B7189" s="14" t="s">
        <v>27</v>
      </c>
      <c r="C7189" s="44" t="n">
        <f aca="false">w_dcf*Sens!$C$7167+(1-w_dcf)*Sens!$C$7188</f>
        <v>217.98651981629</v>
      </c>
      <c r="D7189" s="14"/>
      <c r="E7189" s="14"/>
      <c r="F7189" s="14"/>
      <c r="G7189" s="14"/>
      <c r="H7189" s="14"/>
      <c r="I7189" s="14"/>
      <c r="J7189" s="14"/>
      <c r="K7189" s="14"/>
      <c r="L7189" s="14"/>
      <c r="M7189" s="14"/>
      <c r="N7189" s="14"/>
      <c r="O7189" s="14"/>
    </row>
    <row r="7190" customFormat="false" ht="17.15" hidden="false" customHeight="false" outlineLevel="0" collapsed="false">
      <c r="A7190" s="5" t="s">
        <v>967</v>
      </c>
      <c r="B7190" s="0" t="s">
        <v>27</v>
      </c>
      <c r="C7190" s="30" t="n">
        <f aca="false">v022_wdcf*Sens!$C$7167+(1-v022_wdcf)*Sens!$C$7188</f>
        <v>225.984274710618</v>
      </c>
    </row>
    <row r="7191" customFormat="false" ht="17.15" hidden="false" customHeight="false" outlineLevel="0" collapsed="false">
      <c r="A7191" s="5" t="s">
        <v>968</v>
      </c>
      <c r="B7191" s="0" t="s">
        <v>27</v>
      </c>
      <c r="C7191" s="30" t="n">
        <f aca="false">(Sens!$C$7187-Sens!$C$7184+Sens!$C$7183)/sh_val</f>
        <v>297.964068759578</v>
      </c>
    </row>
    <row r="7194" customFormat="false" ht="19.4" hidden="false" customHeight="false" outlineLevel="0" collapsed="false">
      <c r="A7194" s="31" t="s">
        <v>1297</v>
      </c>
    </row>
    <row r="7195" customFormat="false" ht="17.15" hidden="false" customHeight="false" outlineLevel="0" collapsed="false">
      <c r="A7195" s="6" t="s">
        <v>16</v>
      </c>
      <c r="B7195" s="6" t="s">
        <v>17</v>
      </c>
      <c r="C7195" s="20" t="s">
        <v>504</v>
      </c>
      <c r="D7195" s="20" t="s">
        <v>505</v>
      </c>
      <c r="E7195" s="20" t="s">
        <v>587</v>
      </c>
      <c r="F7195" s="20" t="s">
        <v>588</v>
      </c>
      <c r="G7195" s="20" t="s">
        <v>589</v>
      </c>
      <c r="H7195" s="20" t="s">
        <v>590</v>
      </c>
      <c r="I7195" s="20" t="s">
        <v>591</v>
      </c>
      <c r="J7195" s="20" t="s">
        <v>592</v>
      </c>
      <c r="K7195" s="20" t="s">
        <v>593</v>
      </c>
      <c r="L7195" s="20" t="s">
        <v>594</v>
      </c>
      <c r="M7195" s="20" t="s">
        <v>595</v>
      </c>
      <c r="N7195" s="20" t="s">
        <v>596</v>
      </c>
      <c r="O7195" s="20" t="s">
        <v>597</v>
      </c>
      <c r="P7195" s="6" t="s">
        <v>23</v>
      </c>
      <c r="R7195" s="20" t="n">
        <v>2023</v>
      </c>
      <c r="S7195" s="20" t="n">
        <v>2024</v>
      </c>
      <c r="T7195" s="20" t="n">
        <v>2025</v>
      </c>
      <c r="U7195" s="20" t="n">
        <v>2026</v>
      </c>
      <c r="V7195" s="20" t="n">
        <v>2027</v>
      </c>
      <c r="W7195" s="20" t="n">
        <v>2028</v>
      </c>
      <c r="X7195" s="20" t="n">
        <v>2029</v>
      </c>
      <c r="Y7195" s="20" t="n">
        <v>2030</v>
      </c>
      <c r="Z7195" s="20" t="n">
        <v>2031</v>
      </c>
      <c r="AA7195" s="20" t="n">
        <v>2032</v>
      </c>
    </row>
    <row r="7196" customFormat="false" ht="17.15" hidden="false" customHeight="false" outlineLevel="0" collapsed="false">
      <c r="A7196" s="1" t="s">
        <v>677</v>
      </c>
    </row>
    <row r="7197" customFormat="false" ht="17.15" hidden="false" customHeight="false" outlineLevel="0" collapsed="false">
      <c r="A7197" s="0" t="s">
        <v>526</v>
      </c>
      <c r="B7197" s="0" t="s">
        <v>86</v>
      </c>
      <c r="C7197" s="38" t="n">
        <f aca="false">Q!$D$10</f>
        <v>247.029</v>
      </c>
      <c r="D7197" s="38" t="n">
        <f aca="false">Q!$E$10</f>
        <v>269.287</v>
      </c>
      <c r="E7197" s="38" t="n">
        <f aca="false">Q!$P$10</f>
        <v>134.686</v>
      </c>
      <c r="F7197" s="38" t="n">
        <f aca="false">Sens!$O$7197*(1+Sens!$F$7198)*Sens!$F$7209</f>
        <v>158.293876822267</v>
      </c>
      <c r="G7197" s="38" t="n">
        <f aca="false">Sens!$E$7197+Sens!$F$7197</f>
        <v>292.979876822267</v>
      </c>
      <c r="H7197" s="38" t="n">
        <f aca="false">Sens!$G$7197*(1+Sens!$H$7198)</f>
        <v>318.184543087396</v>
      </c>
      <c r="I7197" s="38" t="n">
        <f aca="false">Sens!$H$7197*(1+Sens!$I$7198)</f>
        <v>341.736278761793</v>
      </c>
      <c r="J7197" s="38" t="n">
        <f aca="false">Sens!$I$7197*(1+Sens!$J$7198)</f>
        <v>362.927192787048</v>
      </c>
      <c r="K7197" s="38" t="n">
        <f aca="false">Sens!$J$7197*(1+Sens!$K$7198)</f>
        <v>381.0735524264</v>
      </c>
      <c r="L7197" s="38" t="n">
        <f aca="false">Sens!$K$7197*(1+Sens!$L$7198)</f>
        <v>400.12723004772</v>
      </c>
      <c r="M7197" s="38" t="n">
        <f aca="false">Sens!$L$7197*(1+Sens!$M$7198)</f>
        <v>420.133591550106</v>
      </c>
      <c r="N7197" s="38" t="n">
        <f aca="false">Q!$N$10</f>
        <v>118.892</v>
      </c>
      <c r="O7197" s="38" t="n">
        <f aca="false">Q!$O$10</f>
        <v>150.395</v>
      </c>
      <c r="P7197" s="8" t="s">
        <v>678</v>
      </c>
    </row>
    <row r="7198" customFormat="false" ht="17.15" hidden="false" customHeight="false" outlineLevel="0" collapsed="false">
      <c r="A7198" s="0" t="s">
        <v>679</v>
      </c>
      <c r="B7198" s="0" t="s">
        <v>52</v>
      </c>
      <c r="E7198" s="13" t="n">
        <f aca="false">Sens!$E$7197/Sens!$N$7197-1</f>
        <v>0.132843252699929</v>
      </c>
      <c r="F7198" s="13" t="n">
        <f aca="false">Sens!$O$7197/(Q!$F$10+Q!$G$10)-1</f>
        <v>0.0980382135842941</v>
      </c>
      <c r="G7198" s="13" t="n">
        <f aca="false">Sens!$G$7197/Sens!$D$7197-1</f>
        <v>0.0879837378791657</v>
      </c>
      <c r="H7198" s="13" t="n">
        <f aca="false">Sens!$F$7198+(g_os-Sens!$F$7198)*1/4</f>
        <v>0.0860286601882206</v>
      </c>
      <c r="I7198" s="13" t="n">
        <f aca="false">Sens!$F$7198+(g_os-Sens!$F$7198)*2/4</f>
        <v>0.074019106792147</v>
      </c>
      <c r="J7198" s="13" t="n">
        <f aca="false">Sens!$F$7198+(g_os-Sens!$F$7198)*3/4</f>
        <v>0.0620095533960735</v>
      </c>
      <c r="K7198" s="13" t="n">
        <f aca="false">Sens!$F$7198+(g_os-Sens!$F$7198)*4/4</f>
        <v>0.05</v>
      </c>
      <c r="L7198" s="13" t="n">
        <f aca="false">g_os</f>
        <v>0.05</v>
      </c>
      <c r="M7198" s="13" t="n">
        <f aca="false">g_os</f>
        <v>0.05</v>
      </c>
      <c r="P7198" s="8" t="s">
        <v>680</v>
      </c>
    </row>
    <row r="7199" customFormat="false" ht="17.15" hidden="false" customHeight="false" outlineLevel="0" collapsed="false">
      <c r="A7199" s="0" t="s">
        <v>527</v>
      </c>
      <c r="B7199" s="0" t="s">
        <v>86</v>
      </c>
      <c r="C7199" s="38" t="n">
        <f aca="false">Q!$D$11</f>
        <v>21.215</v>
      </c>
      <c r="D7199" s="38" t="n">
        <f aca="false">Q!$E$11</f>
        <v>22.561</v>
      </c>
      <c r="E7199" s="38" t="n">
        <f aca="false">Q!$P$11</f>
        <v>11.579</v>
      </c>
      <c r="F7199" s="38" t="n">
        <f aca="false">Sens!$O$7199*(1+Sens!$F$7200)*Sens!$F$7209</f>
        <v>11.5938724610325</v>
      </c>
      <c r="G7199" s="38" t="n">
        <f aca="false">Sens!$E$7199+Sens!$F$7199</f>
        <v>23.1728724610325</v>
      </c>
      <c r="H7199" s="38" t="n">
        <f aca="false">Sens!$G$7199*(1+Sens!$H$7200)</f>
        <v>24.353392759506</v>
      </c>
      <c r="I7199" s="38" t="n">
        <f aca="false">Sens!$H$7199*(1+Sens!$I$7200)</f>
        <v>25.4240338872015</v>
      </c>
      <c r="J7199" s="38" t="n">
        <f aca="false">Sens!$I$7199*(1+Sens!$J$7200)</f>
        <v>26.3642491017174</v>
      </c>
      <c r="K7199" s="38" t="n">
        <f aca="false">Sens!$J$7199*(1+Sens!$K$7200)</f>
        <v>27.155176574769</v>
      </c>
      <c r="L7199" s="38" t="n">
        <f aca="false">Sens!$K$7199*(1+Sens!$L$7200)</f>
        <v>27.969831872012</v>
      </c>
      <c r="M7199" s="38" t="n">
        <f aca="false">Sens!$L$7199*(1+Sens!$M$7200)</f>
        <v>28.8089268281724</v>
      </c>
      <c r="N7199" s="38" t="n">
        <f aca="false">Q!$N$11</f>
        <v>11.128</v>
      </c>
      <c r="O7199" s="38" t="n">
        <f aca="false">Q!$O$11</f>
        <v>11.433</v>
      </c>
      <c r="P7199" s="8" t="s">
        <v>678</v>
      </c>
    </row>
    <row r="7200" customFormat="false" ht="17.15" hidden="false" customHeight="false" outlineLevel="0" collapsed="false">
      <c r="A7200" s="0" t="s">
        <v>681</v>
      </c>
      <c r="B7200" s="0" t="s">
        <v>52</v>
      </c>
      <c r="E7200" s="13" t="n">
        <f aca="false">Sens!$E$7199/Sens!$N$7199-1</f>
        <v>0.0405283968368082</v>
      </c>
      <c r="F7200" s="13" t="n">
        <f aca="false">Sens!$O$7199/(Q!$F$11+Q!$G$11)-1</f>
        <v>0.0579254187100955</v>
      </c>
      <c r="G7200" s="13" t="n">
        <f aca="false">Sens!$G$7199/Sens!$D$7199-1</f>
        <v>0.0271208040881397</v>
      </c>
      <c r="H7200" s="13" t="n">
        <f aca="false">Sens!$F$7200+(g_ps-Sens!$F$7200)*1/4</f>
        <v>0.0509440640325716</v>
      </c>
      <c r="I7200" s="13" t="n">
        <f aca="false">Sens!$F$7200+(g_ps-Sens!$F$7200)*2/4</f>
        <v>0.0439627093550477</v>
      </c>
      <c r="J7200" s="13" t="n">
        <f aca="false">Sens!$F$7200+(g_ps-Sens!$F$7200)*3/4</f>
        <v>0.0369813546775239</v>
      </c>
      <c r="K7200" s="13" t="n">
        <f aca="false">Sens!$F$7200+(g_ps-Sens!$F$7200)*4/4</f>
        <v>0.03</v>
      </c>
      <c r="L7200" s="13" t="n">
        <f aca="false">g_ps</f>
        <v>0.03</v>
      </c>
      <c r="M7200" s="13" t="n">
        <f aca="false">g_ps</f>
        <v>0.03</v>
      </c>
      <c r="P7200" s="8" t="s">
        <v>682</v>
      </c>
    </row>
    <row r="7201" customFormat="false" ht="17.15" hidden="false" customHeight="false" outlineLevel="0" collapsed="false">
      <c r="A7201" s="0" t="s">
        <v>528</v>
      </c>
      <c r="B7201" s="0" t="s">
        <v>86</v>
      </c>
      <c r="C7201" s="38" t="n">
        <f aca="false">Q!$D$12</f>
        <v>156.146</v>
      </c>
      <c r="D7201" s="38" t="n">
        <f aca="false">Q!$E$12</f>
        <v>172.162</v>
      </c>
      <c r="E7201" s="38" t="n">
        <f aca="false">Q!$P$12</f>
        <v>88.358</v>
      </c>
      <c r="F7201" s="38" t="n">
        <f aca="false">Sens!$O$7201*(1+Sens!$F$7202)*Sens!$F$7209</f>
        <v>102.004388260171</v>
      </c>
      <c r="G7201" s="38" t="n">
        <f aca="false">Sens!$E$7201+Sens!$F$7201</f>
        <v>190.362388260171</v>
      </c>
      <c r="H7201" s="38" t="n">
        <f aca="false">Sens!$G$7201*(1+Sens!$H$7202)</f>
        <v>210.343106588311</v>
      </c>
      <c r="I7201" s="38" t="n">
        <f aca="false">Sens!$H$7201*(1+Sens!$I$7202)</f>
        <v>229.969728494648</v>
      </c>
      <c r="J7201" s="38" t="n">
        <f aca="false">Sens!$I$7201*(1+Sens!$J$7202)</f>
        <v>248.747636972598</v>
      </c>
      <c r="K7201" s="38" t="n">
        <f aca="false">Sens!$J$7201*(1+Sens!$K$7202)</f>
        <v>266.15997156068</v>
      </c>
      <c r="L7201" s="38" t="n">
        <f aca="false">Sens!$K$7201*(1+Sens!$L$7202)</f>
        <v>284.791169569927</v>
      </c>
      <c r="M7201" s="38" t="n">
        <f aca="false">Sens!$L$7201*(1+Sens!$M$7202)</f>
        <v>304.726551439822</v>
      </c>
      <c r="N7201" s="38" t="n">
        <f aca="false">Q!$N$12</f>
        <v>76.86</v>
      </c>
      <c r="O7201" s="38" t="n">
        <f aca="false">Q!$O$12</f>
        <v>95.302</v>
      </c>
      <c r="P7201" s="8" t="s">
        <v>678</v>
      </c>
    </row>
    <row r="7202" customFormat="false" ht="17.15" hidden="false" customHeight="false" outlineLevel="0" collapsed="false">
      <c r="A7202" s="0" t="s">
        <v>683</v>
      </c>
      <c r="B7202" s="0" t="s">
        <v>52</v>
      </c>
      <c r="E7202" s="13" t="n">
        <f aca="false">Sens!$E$7201/Sens!$N$7201-1</f>
        <v>0.1495966692688</v>
      </c>
      <c r="F7202" s="13" t="n">
        <f aca="false">Sens!$O$7201/(Q!$F$12+Q!$G$12)-1</f>
        <v>0.11661530890813</v>
      </c>
      <c r="G7202" s="13" t="n">
        <f aca="false">Sens!$G$7201/Sens!$D$7201-1</f>
        <v>0.105716640490767</v>
      </c>
      <c r="H7202" s="13" t="n">
        <f aca="false">Sens!$F$7202+(g_sp-Sens!$F$7202)*1/4</f>
        <v>0.104961481681098</v>
      </c>
      <c r="I7202" s="13" t="n">
        <f aca="false">Sens!$F$7202+(g_sp-Sens!$F$7202)*2/4</f>
        <v>0.0933076544540651</v>
      </c>
      <c r="J7202" s="13" t="n">
        <f aca="false">Sens!$F$7202+(g_sp-Sens!$F$7202)*3/4</f>
        <v>0.0816538272270325</v>
      </c>
      <c r="K7202" s="13" t="n">
        <f aca="false">Sens!$F$7202+(g_sp-Sens!$F$7202)*4/4</f>
        <v>0.07</v>
      </c>
      <c r="L7202" s="13" t="n">
        <f aca="false">g_sp</f>
        <v>0.07</v>
      </c>
      <c r="M7202" s="13" t="n">
        <f aca="false">g_sp</f>
        <v>0.07</v>
      </c>
      <c r="P7202" s="8" t="s">
        <v>684</v>
      </c>
    </row>
    <row r="7203" customFormat="false" ht="17.15" hidden="false" customHeight="false" outlineLevel="0" collapsed="false">
      <c r="A7203" s="0" t="s">
        <v>529</v>
      </c>
      <c r="B7203" s="0" t="s">
        <v>86</v>
      </c>
      <c r="C7203" s="38" t="n">
        <f aca="false">Q!$D$13</f>
        <v>56.214</v>
      </c>
      <c r="D7203" s="38" t="n">
        <f aca="false">Q!$E$13</f>
        <v>68.635</v>
      </c>
      <c r="E7203" s="38" t="n">
        <f aca="false">Q!$P$13</f>
        <v>37.052</v>
      </c>
      <c r="F7203" s="38" t="n">
        <f aca="false">Sens!$O$7203*(1+Sens!$F$7204)*Sens!$F$7209</f>
        <v>46.1572219944148</v>
      </c>
      <c r="G7203" s="38" t="n">
        <f aca="false">Sens!$E$7203+Sens!$F$7203</f>
        <v>83.2092219944148</v>
      </c>
      <c r="H7203" s="38" t="n">
        <f aca="false">Sens!$G$7203*(1+Sens!$H$7204)</f>
        <v>99.8969223878976</v>
      </c>
      <c r="I7203" s="38" t="n">
        <f aca="false">Sens!$H$7203*(1+Sens!$I$7204)</f>
        <v>116.583111095496</v>
      </c>
      <c r="J7203" s="38" t="n">
        <f aca="false">Sens!$I$7203*(1+Sens!$J$7204)</f>
        <v>132.148941941952</v>
      </c>
      <c r="K7203" s="38" t="n">
        <f aca="false">Sens!$J$7203*(1+Sens!$K$7204)</f>
        <v>145.363836136147</v>
      </c>
      <c r="L7203" s="38" t="n">
        <f aca="false">Sens!$K$7203*(1+Sens!$L$7204)</f>
        <v>159.900219749762</v>
      </c>
      <c r="M7203" s="38" t="n">
        <f aca="false">Sens!$L$7203*(1+Sens!$M$7204)</f>
        <v>175.890241724738</v>
      </c>
      <c r="N7203" s="38" t="n">
        <f aca="false">Q!$N$13</f>
        <v>29.615</v>
      </c>
      <c r="O7203" s="38" t="n">
        <f aca="false">Q!$O$13</f>
        <v>39.02</v>
      </c>
      <c r="P7203" s="8" t="s">
        <v>678</v>
      </c>
    </row>
    <row r="7204" customFormat="false" ht="17.15" hidden="false" customHeight="false" outlineLevel="0" collapsed="false">
      <c r="A7204" s="0" t="s">
        <v>685</v>
      </c>
      <c r="B7204" s="0" t="s">
        <v>52</v>
      </c>
      <c r="E7204" s="13" t="n">
        <f aca="false">Sens!$E$7203/Sens!$N$7203-1</f>
        <v>0.25112274185379</v>
      </c>
      <c r="F7204" s="13" t="n">
        <f aca="false">Sens!$O$7203/(Q!$F$13+Q!$G$13)-1</f>
        <v>0.234068123596572</v>
      </c>
      <c r="G7204" s="13" t="n">
        <f aca="false">Sens!$G$7203/Sens!$D$7203-1</f>
        <v>0.212343876949294</v>
      </c>
      <c r="H7204" s="13" t="n">
        <f aca="false">Sens!$F$7204+(g_ad-Sens!$F$7204)*1/4</f>
        <v>0.200551092697429</v>
      </c>
      <c r="I7204" s="13" t="n">
        <f aca="false">Sens!$F$7204+(g_ad-Sens!$F$7204)*2/4</f>
        <v>0.167034061798286</v>
      </c>
      <c r="J7204" s="13" t="n">
        <f aca="false">Sens!$F$7204+(g_ad-Sens!$F$7204)*3/4</f>
        <v>0.133517030899143</v>
      </c>
      <c r="K7204" s="13" t="n">
        <f aca="false">Sens!$F$7204+(g_ad-Sens!$F$7204)*4/4</f>
        <v>0.1</v>
      </c>
      <c r="L7204" s="13" t="n">
        <f aca="false">g_ad</f>
        <v>0.1</v>
      </c>
      <c r="M7204" s="13" t="n">
        <f aca="false">g_ad</f>
        <v>0.1</v>
      </c>
      <c r="P7204" s="8" t="s">
        <v>686</v>
      </c>
    </row>
    <row r="7205" customFormat="false" ht="17.15" hidden="false" customHeight="false" outlineLevel="0" collapsed="false">
      <c r="A7205" s="0" t="s">
        <v>530</v>
      </c>
      <c r="B7205" s="0" t="s">
        <v>86</v>
      </c>
      <c r="C7205" s="38" t="n">
        <f aca="false">Q!$D$14</f>
        <v>44.374</v>
      </c>
      <c r="D7205" s="38" t="n">
        <f aca="false">Q!$E$14</f>
        <v>49.619</v>
      </c>
      <c r="E7205" s="38" t="n">
        <f aca="false">Q!$P$14</f>
        <v>27.157</v>
      </c>
      <c r="F7205" s="38" t="n">
        <f aca="false">Sens!$O$7205*(1+Sens!$F$7206)*Sens!$F$7209</f>
        <v>27.7764165988154</v>
      </c>
      <c r="G7205" s="38" t="n">
        <f aca="false">Sens!$E$7205+Sens!$F$7205</f>
        <v>54.9334165988154</v>
      </c>
      <c r="H7205" s="38" t="n">
        <f aca="false">Sens!$G$7205*(1+Sens!$H$7206)</f>
        <v>61.1564112561829</v>
      </c>
      <c r="I7205" s="38" t="n">
        <f aca="false">Sens!$H$7205*(1+Sens!$I$7206)</f>
        <v>67.2020282103945</v>
      </c>
      <c r="J7205" s="38" t="n">
        <f aca="false">Sens!$I$7205*(1+Sens!$J$7206)</f>
        <v>72.8757274028885</v>
      </c>
      <c r="K7205" s="38" t="n">
        <f aca="false">Sens!$J$7205*(1+Sens!$K$7206)</f>
        <v>77.9770283210907</v>
      </c>
      <c r="L7205" s="38" t="n">
        <f aca="false">Sens!$K$7205*(1+Sens!$L$7206)</f>
        <v>83.4354203035671</v>
      </c>
      <c r="M7205" s="38" t="n">
        <f aca="false">Sens!$L$7205*(1+Sens!$M$7206)</f>
        <v>89.2758997248168</v>
      </c>
      <c r="N7205" s="38" t="n">
        <f aca="false">Q!$N$14</f>
        <v>23.923</v>
      </c>
      <c r="O7205" s="38" t="n">
        <f aca="false">Q!$O$14</f>
        <v>25.696</v>
      </c>
      <c r="P7205" s="8" t="s">
        <v>678</v>
      </c>
    </row>
    <row r="7206" customFormat="false" ht="17.15" hidden="false" customHeight="false" outlineLevel="0" collapsed="false">
      <c r="A7206" s="0" t="s">
        <v>687</v>
      </c>
      <c r="B7206" s="0" t="s">
        <v>52</v>
      </c>
      <c r="E7206" s="13" t="n">
        <f aca="false">Sens!$E$7205/Sens!$N$7205-1</f>
        <v>0.135183714417088</v>
      </c>
      <c r="F7206" s="13" t="n">
        <f aca="false">Sens!$O$7205/(Q!$F$14+Q!$G$14)-1</f>
        <v>0.127709997366804</v>
      </c>
      <c r="G7206" s="13" t="n">
        <f aca="false">Sens!$G$7205/Sens!$D$7205-1</f>
        <v>0.107104468022641</v>
      </c>
      <c r="H7206" s="13" t="n">
        <f aca="false">Sens!$F$7206+(g_sub-Sens!$F$7206)*1/4</f>
        <v>0.113282498025103</v>
      </c>
      <c r="I7206" s="13" t="n">
        <f aca="false">Sens!$F$7206+(g_sub-Sens!$F$7206)*2/4</f>
        <v>0.0988549986834021</v>
      </c>
      <c r="J7206" s="13" t="n">
        <f aca="false">Sens!$F$7206+(g_sub-Sens!$F$7206)*3/4</f>
        <v>0.084427499341701</v>
      </c>
      <c r="K7206" s="13" t="n">
        <f aca="false">Sens!$F$7206+(g_sub-Sens!$F$7206)*4/4</f>
        <v>0.07</v>
      </c>
      <c r="L7206" s="13" t="n">
        <f aca="false">g_sub</f>
        <v>0.07</v>
      </c>
      <c r="M7206" s="13" t="n">
        <f aca="false">g_sub</f>
        <v>0.07</v>
      </c>
      <c r="P7206" s="8" t="s">
        <v>688</v>
      </c>
    </row>
    <row r="7207" customFormat="false" ht="17.15" hidden="false" customHeight="false" outlineLevel="0" collapsed="false">
      <c r="A7207" s="0" t="s">
        <v>531</v>
      </c>
      <c r="B7207" s="0" t="s">
        <v>86</v>
      </c>
      <c r="C7207" s="38" t="n">
        <f aca="false">Q!$D$15</f>
        <v>5.425</v>
      </c>
      <c r="D7207" s="38" t="n">
        <f aca="false">Q!$E$15</f>
        <v>5.935</v>
      </c>
      <c r="E7207" s="38" t="n">
        <f aca="false">Q!$P$15</f>
        <v>3.474</v>
      </c>
      <c r="F7207" s="38" t="n">
        <f aca="false">Sens!$O$7207*(1+Sens!$F$7208)*Sens!$F$7209</f>
        <v>3.22246550883619</v>
      </c>
      <c r="G7207" s="38" t="n">
        <f aca="false">Sens!$E$7207+Sens!$F$7207</f>
        <v>6.69646550883619</v>
      </c>
      <c r="H7207" s="38" t="n">
        <f aca="false">Sens!$G$7207*(1+Sens!$H$7208)</f>
        <v>7.16251344209196</v>
      </c>
      <c r="I7207" s="38" t="n">
        <f aca="false">Sens!$H$7207*(1+Sens!$I$7208)</f>
        <v>7.61421070299826</v>
      </c>
      <c r="J7207" s="38" t="n">
        <f aca="false">Sens!$I$7207*(1+Sens!$J$7208)</f>
        <v>8.04465753523932</v>
      </c>
      <c r="K7207" s="38" t="n">
        <f aca="false">Sens!$J$7207*(1+Sens!$K$7208)</f>
        <v>8.44689041200128</v>
      </c>
      <c r="L7207" s="38" t="n">
        <f aca="false">Sens!$K$7207*(1+Sens!$L$7208)</f>
        <v>8.86923493260135</v>
      </c>
      <c r="M7207" s="38" t="n">
        <f aca="false">Sens!$L$7207*(1+Sens!$M$7208)</f>
        <v>9.31269667923142</v>
      </c>
      <c r="N7207" s="38" t="n">
        <f aca="false">Q!$N$15</f>
        <v>2.811</v>
      </c>
      <c r="O7207" s="38" t="n">
        <f aca="false">Q!$O$15</f>
        <v>3.124</v>
      </c>
      <c r="P7207" s="8" t="s">
        <v>678</v>
      </c>
    </row>
    <row r="7208" customFormat="false" ht="17.15" hidden="false" customHeight="false" outlineLevel="0" collapsed="false">
      <c r="A7208" s="0" t="s">
        <v>689</v>
      </c>
      <c r="B7208" s="0" t="s">
        <v>52</v>
      </c>
      <c r="E7208" s="13" t="n">
        <f aca="false">Sens!$E$7207/Sens!$N$7207-1</f>
        <v>0.235859124866596</v>
      </c>
      <c r="F7208" s="13" t="n">
        <f aca="false">Sens!$O$7207/(Q!$F$15+Q!$G$15)-1</f>
        <v>0.0761281433000345</v>
      </c>
      <c r="G7208" s="13" t="n">
        <f aca="false">Sens!$G$7207/Sens!$D$7207-1</f>
        <v>0.128300843948811</v>
      </c>
      <c r="H7208" s="13" t="n">
        <f aca="false">Sens!$F$7208+(g_ot-Sens!$F$7208)*1/4</f>
        <v>0.0695961074750259</v>
      </c>
      <c r="I7208" s="13" t="n">
        <f aca="false">Sens!$F$7208+(g_ot-Sens!$F$7208)*2/4</f>
        <v>0.0630640716500172</v>
      </c>
      <c r="J7208" s="13" t="n">
        <f aca="false">Sens!$F$7208+(g_ot-Sens!$F$7208)*3/4</f>
        <v>0.0565320358250086</v>
      </c>
      <c r="K7208" s="13" t="n">
        <f aca="false">Sens!$F$7208+(g_ot-Sens!$F$7208)*4/4</f>
        <v>0.05</v>
      </c>
      <c r="L7208" s="13" t="n">
        <f aca="false">g_ot</f>
        <v>0.05</v>
      </c>
      <c r="M7208" s="13" t="n">
        <f aca="false">g_ot</f>
        <v>0.05</v>
      </c>
      <c r="P7208" s="8" t="s">
        <v>690</v>
      </c>
    </row>
    <row r="7209" customFormat="false" ht="17.15" hidden="false" customHeight="false" outlineLevel="0" collapsed="false">
      <c r="A7209" s="0" t="s">
        <v>691</v>
      </c>
      <c r="B7209" s="0" t="s">
        <v>57</v>
      </c>
      <c r="F7209" s="40" t="n">
        <f aca="false">(g26q3_mid*Q!$O$8/Q!$J$8-Thesis!$F$89-Thesis!$F$93)/(Sens!$O$7197*(1+Sens!$F$7198)+Sens!$O$7199*(1+Sens!$F$7200)+Sens!$O$7201*(1+Sens!$F$7202)+Sens!$O$7203*(1+Sens!$F$7204)+Sens!$O$7205*(1+Sens!$F$7206)+Sens!$O$7207*(1+Sens!$F$7208))</f>
        <v>0.958546670622329</v>
      </c>
      <c r="P7209" s="8" t="s">
        <v>692</v>
      </c>
    </row>
    <row r="7210" customFormat="false" ht="17.15" hidden="false" customHeight="false" outlineLevel="0" collapsed="false">
      <c r="A7210" s="3" t="s">
        <v>693</v>
      </c>
      <c r="B7210" s="8" t="s">
        <v>86</v>
      </c>
      <c r="C7210" s="38" t="n">
        <f aca="false">Sens!$C$7197+Sens!$C$7199+Sens!$C$7201+Sens!$C$7203+Sens!$C$7205+Sens!$C$7207</f>
        <v>530.403</v>
      </c>
      <c r="D7210" s="38" t="n">
        <f aca="false">Sens!$D$7197+Sens!$D$7199+Sens!$D$7201+Sens!$D$7203+Sens!$D$7205+Sens!$D$7207</f>
        <v>588.199</v>
      </c>
      <c r="E7210" s="38" t="n">
        <f aca="false">Sens!$E$7197+Sens!$E$7199+Sens!$E$7201+Sens!$E$7203+Sens!$E$7205+Sens!$E$7207</f>
        <v>302.306</v>
      </c>
      <c r="F7210" s="38" t="n">
        <f aca="false">Sens!$F$7197+Sens!$F$7199+Sens!$F$7201+Sens!$F$7203+Sens!$F$7205+Sens!$F$7207</f>
        <v>349.048241645537</v>
      </c>
      <c r="G7210" s="38" t="n">
        <f aca="false">Sens!$G$7197+Sens!$G$7199+Sens!$G$7201+Sens!$G$7203+Sens!$G$7205+Sens!$G$7207</f>
        <v>651.354241645537</v>
      </c>
      <c r="H7210" s="38" t="n">
        <f aca="false">Sens!$H$7197+Sens!$H$7199+Sens!$H$7201+Sens!$H$7203+Sens!$H$7205+Sens!$H$7207</f>
        <v>721.096889521386</v>
      </c>
      <c r="I7210" s="38" t="n">
        <f aca="false">Sens!$I$7197+Sens!$I$7199+Sens!$I$7201+Sens!$I$7203+Sens!$I$7205+Sens!$I$7207</f>
        <v>788.529391152531</v>
      </c>
      <c r="J7210" s="38" t="n">
        <f aca="false">Sens!$J$7197+Sens!$J$7199+Sens!$J$7201+Sens!$J$7203+Sens!$J$7205+Sens!$J$7207</f>
        <v>851.108405741443</v>
      </c>
      <c r="K7210" s="38" t="n">
        <f aca="false">Sens!$K$7197+Sens!$K$7199+Sens!$K$7201+Sens!$K$7203+Sens!$K$7205+Sens!$K$7207</f>
        <v>906.176455431088</v>
      </c>
      <c r="L7210" s="38" t="n">
        <f aca="false">Sens!$L$7197+Sens!$L$7199+Sens!$L$7201+Sens!$L$7203+Sens!$L$7205+Sens!$L$7207</f>
        <v>965.093106475589</v>
      </c>
      <c r="M7210" s="38" t="n">
        <f aca="false">Sens!$M$7197+Sens!$M$7199+Sens!$M$7201+Sens!$M$7203+Sens!$M$7205+Sens!$M$7207</f>
        <v>1028.14790794689</v>
      </c>
      <c r="N7210" s="38" t="n">
        <f aca="false">Sens!$N$7197+Sens!$N$7199+Sens!$N$7201+Sens!$N$7203+Sens!$N$7205+Sens!$N$7207</f>
        <v>263.229</v>
      </c>
      <c r="O7210" s="38" t="n">
        <f aca="false">Sens!$O$7197+Sens!$O$7199+Sens!$O$7201+Sens!$O$7203+Sens!$O$7205+Sens!$O$7207</f>
        <v>324.97</v>
      </c>
    </row>
    <row r="7211" customFormat="false" ht="17.15" hidden="false" customHeight="false" outlineLevel="0" collapsed="false">
      <c r="A7211" s="5" t="s">
        <v>694</v>
      </c>
      <c r="B7211" s="0" t="s">
        <v>52</v>
      </c>
      <c r="C7211" s="13" t="n">
        <f aca="false">Q!$D$5/(Q!$D$5+Q!$D$6)</f>
        <v>0.730570905519011</v>
      </c>
      <c r="D7211" s="13" t="n">
        <f aca="false">Q!$E$5/(Q!$E$5+Q!$E$6)</f>
        <v>0.724763217890544</v>
      </c>
      <c r="E7211" s="13" t="n">
        <f aca="false">Q!$P$5/(Q!$P$5+Q!$P$6)</f>
        <v>0.728797972914861</v>
      </c>
      <c r="F7211" s="13" t="n">
        <f aca="false">Sens!$O$7211</f>
        <v>0.718066283041511</v>
      </c>
      <c r="G7211" s="13" t="n">
        <f aca="false">Sens!$G$7212/Sens!$G$7210</f>
        <v>0.723047066202847</v>
      </c>
      <c r="H7211" s="13" t="n">
        <f aca="false">Sens!$G$7211</f>
        <v>0.723047066202847</v>
      </c>
      <c r="I7211" s="13" t="n">
        <f aca="false">Sens!$G$7211</f>
        <v>0.723047066202847</v>
      </c>
      <c r="J7211" s="13" t="n">
        <f aca="false">Sens!$G$7211</f>
        <v>0.723047066202847</v>
      </c>
      <c r="K7211" s="13" t="n">
        <f aca="false">Sens!$G$7211</f>
        <v>0.723047066202847</v>
      </c>
      <c r="L7211" s="13" t="n">
        <f aca="false">Sens!$G$7211</f>
        <v>0.723047066202847</v>
      </c>
      <c r="M7211" s="13" t="n">
        <f aca="false">Sens!$G$7211</f>
        <v>0.723047066202847</v>
      </c>
      <c r="N7211" s="13" t="n">
        <f aca="false">Q!$N$5/(Q!$N$5+Q!$N$6)</f>
        <v>0.733030935041352</v>
      </c>
      <c r="O7211" s="13" t="n">
        <f aca="false">Q!$O$5/(Q!$O$5+Q!$O$6)</f>
        <v>0.718066283041511</v>
      </c>
      <c r="P7211" s="8" t="s">
        <v>695</v>
      </c>
    </row>
    <row r="7212" customFormat="false" ht="17.15" hidden="false" customHeight="false" outlineLevel="0" collapsed="false">
      <c r="A7212" s="1" t="s">
        <v>519</v>
      </c>
      <c r="B7212" s="8" t="s">
        <v>86</v>
      </c>
      <c r="C7212" s="38" t="n">
        <f aca="false">Q!$D$5</f>
        <v>387.497</v>
      </c>
      <c r="D7212" s="38" t="n">
        <f aca="false">Q!$E$5</f>
        <v>426.305</v>
      </c>
      <c r="E7212" s="38" t="n">
        <f aca="false">Q!$P$5</f>
        <v>220.32</v>
      </c>
      <c r="F7212" s="38" t="n">
        <f aca="false">Sens!$F$7210*Sens!$F$7211</f>
        <v>250.639773480586</v>
      </c>
      <c r="G7212" s="38" t="n">
        <f aca="false">Sens!$E$7212+Sens!$F$7212</f>
        <v>470.959773480586</v>
      </c>
      <c r="H7212" s="38" t="n">
        <f aca="false">Sens!$H$7210*Sens!$H$7211</f>
        <v>521.386990416437</v>
      </c>
      <c r="I7212" s="38" t="n">
        <f aca="false">Sens!$I$7210*Sens!$I$7211</f>
        <v>570.143862887555</v>
      </c>
      <c r="J7212" s="38" t="n">
        <f aca="false">Sens!$J$7210*Sens!$J$7211</f>
        <v>615.391435791933</v>
      </c>
      <c r="K7212" s="38" t="n">
        <f aca="false">Sens!$K$7210*Sens!$K$7211</f>
        <v>655.208227561543</v>
      </c>
      <c r="L7212" s="38" t="n">
        <f aca="false">Sens!$L$7210*Sens!$L$7211</f>
        <v>697.807739249767</v>
      </c>
      <c r="M7212" s="38" t="n">
        <f aca="false">Sens!$M$7210*Sens!$M$7211</f>
        <v>743.399328463592</v>
      </c>
      <c r="N7212" s="38" t="n">
        <f aca="false">Q!$N$5</f>
        <v>192.955</v>
      </c>
      <c r="O7212" s="38" t="n">
        <f aca="false">Q!$O$5</f>
        <v>233.35</v>
      </c>
      <c r="P7212" s="5" t="s">
        <v>696</v>
      </c>
    </row>
    <row r="7213" customFormat="false" ht="17.15" hidden="false" customHeight="false" outlineLevel="0" collapsed="false">
      <c r="A7213" s="1" t="s">
        <v>522</v>
      </c>
      <c r="B7213" s="8" t="s">
        <v>86</v>
      </c>
      <c r="C7213" s="38" t="n">
        <f aca="false">Q!$D$6</f>
        <v>142.906</v>
      </c>
      <c r="D7213" s="38" t="n">
        <f aca="false">Q!$E$6</f>
        <v>161.894</v>
      </c>
      <c r="E7213" s="38" t="n">
        <f aca="false">Q!$P$6</f>
        <v>81.986</v>
      </c>
      <c r="F7213" s="38" t="n">
        <f aca="false">Sens!$F$7210*(1-Sens!$F$7211)</f>
        <v>98.408468164951</v>
      </c>
      <c r="G7213" s="38" t="n">
        <f aca="false">Sens!$E$7213+Sens!$F$7213</f>
        <v>180.394468164951</v>
      </c>
      <c r="H7213" s="38" t="n">
        <f aca="false">Sens!$H$7210*(1-Sens!$H$7211)</f>
        <v>199.709899104949</v>
      </c>
      <c r="I7213" s="38" t="n">
        <f aca="false">Sens!$I$7210*(1-Sens!$I$7211)</f>
        <v>218.385528264976</v>
      </c>
      <c r="J7213" s="38" t="n">
        <f aca="false">Sens!$J$7210*(1-Sens!$J$7211)</f>
        <v>235.71696994951</v>
      </c>
      <c r="K7213" s="38" t="n">
        <f aca="false">Sens!$K$7210*(1-Sens!$K$7211)</f>
        <v>250.968227869545</v>
      </c>
      <c r="L7213" s="38" t="n">
        <f aca="false">Sens!$L$7210*(1-Sens!$L$7211)</f>
        <v>267.285367225822</v>
      </c>
      <c r="M7213" s="38" t="n">
        <f aca="false">Sens!$M$7210*(1-Sens!$M$7211)</f>
        <v>284.748579483295</v>
      </c>
      <c r="N7213" s="38" t="n">
        <f aca="false">Q!$N$6</f>
        <v>70.274</v>
      </c>
      <c r="O7213" s="38" t="n">
        <f aca="false">Q!$O$6</f>
        <v>91.62</v>
      </c>
      <c r="P7213" s="5" t="s">
        <v>697</v>
      </c>
    </row>
    <row r="7214" customFormat="false" ht="17.15" hidden="false" customHeight="false" outlineLevel="0" collapsed="false">
      <c r="A7214" s="5" t="s">
        <v>698</v>
      </c>
      <c r="B7214" s="0" t="s">
        <v>86</v>
      </c>
      <c r="C7214" s="38" t="n">
        <f aca="false">Sens!$C$7203*Sens!$C$7211</f>
        <v>41.0683128828457</v>
      </c>
      <c r="D7214" s="38" t="n">
        <f aca="false">Sens!$D$7203*Sens!$D$7211</f>
        <v>49.7441234599175</v>
      </c>
      <c r="E7214" s="38" t="n">
        <f aca="false">Sens!$E$7203*Sens!$E$7211</f>
        <v>27.0034224924414</v>
      </c>
      <c r="F7214" s="38" t="n">
        <f aca="false">Sens!$F$7203*Sens!$F$7211</f>
        <v>33.1439448330513</v>
      </c>
      <c r="G7214" s="38" t="n">
        <f aca="false">Sens!$G$7203*Sens!$G$7211</f>
        <v>60.164183844083</v>
      </c>
      <c r="H7214" s="38" t="n">
        <f aca="false">Sens!$H$7203*Sens!$H$7211</f>
        <v>72.2301766552629</v>
      </c>
      <c r="I7214" s="38" t="n">
        <f aca="false">Sens!$I$7203*Sens!$I$7211</f>
        <v>84.2950764463991</v>
      </c>
      <c r="J7214" s="38" t="n">
        <f aca="false">Sens!$J$7203*Sens!$J$7211</f>
        <v>95.5499047729386</v>
      </c>
      <c r="K7214" s="38" t="n">
        <f aca="false">Sens!$K$7203*Sens!$K$7211</f>
        <v>105.104895250232</v>
      </c>
      <c r="L7214" s="38" t="n">
        <f aca="false">Sens!$L$7203*Sens!$L$7211</f>
        <v>115.615384775256</v>
      </c>
      <c r="M7214" s="38" t="n">
        <f aca="false">Sens!$M$7203*Sens!$M$7211</f>
        <v>127.176923252781</v>
      </c>
      <c r="N7214" s="38" t="n">
        <f aca="false">Sens!$N$7203*Sens!$N$7211</f>
        <v>21.7087111412496</v>
      </c>
      <c r="O7214" s="38" t="n">
        <f aca="false">Sens!$O$7203*Sens!$O$7211</f>
        <v>28.0189463642798</v>
      </c>
      <c r="P7214" s="5" t="s">
        <v>699</v>
      </c>
    </row>
    <row r="7215" customFormat="false" ht="15" hidden="false" customHeight="false" outlineLevel="0" collapsed="false">
      <c r="A7215" s="5" t="s">
        <v>700</v>
      </c>
      <c r="B7215" s="0" t="s">
        <v>86</v>
      </c>
      <c r="C7215" s="38" t="n">
        <f aca="false">Sens!$C$7203-Sens!$C$7214</f>
        <v>15.1456871171543</v>
      </c>
      <c r="D7215" s="38" t="n">
        <f aca="false">Sens!$D$7203-Sens!$D$7214</f>
        <v>18.8908765400825</v>
      </c>
      <c r="E7215" s="38" t="n">
        <f aca="false">Sens!$E$7203-Sens!$E$7214</f>
        <v>10.0485775075586</v>
      </c>
      <c r="F7215" s="38" t="n">
        <f aca="false">Sens!$F$7203-Sens!$F$7214</f>
        <v>13.0132771613635</v>
      </c>
      <c r="G7215" s="38" t="n">
        <f aca="false">Sens!$G$7203-Sens!$G$7214</f>
        <v>23.0450381503318</v>
      </c>
      <c r="H7215" s="38" t="n">
        <f aca="false">Sens!$H$7203-Sens!$H$7214</f>
        <v>27.6667457326347</v>
      </c>
      <c r="I7215" s="38" t="n">
        <f aca="false">Sens!$I$7203-Sens!$I$7214</f>
        <v>32.2880346490971</v>
      </c>
      <c r="J7215" s="38" t="n">
        <f aca="false">Sens!$J$7203-Sens!$J$7214</f>
        <v>36.5990371690132</v>
      </c>
      <c r="K7215" s="38" t="n">
        <f aca="false">Sens!$K$7203-Sens!$K$7214</f>
        <v>40.2589408859145</v>
      </c>
      <c r="L7215" s="38" t="n">
        <f aca="false">Sens!$L$7203-Sens!$L$7214</f>
        <v>44.2848349745059</v>
      </c>
      <c r="M7215" s="38" t="n">
        <f aca="false">Sens!$M$7203-Sens!$M$7214</f>
        <v>48.7133184719565</v>
      </c>
      <c r="N7215" s="38" t="n">
        <f aca="false">Sens!$N$7203-Sens!$N$7214</f>
        <v>7.90628885875037</v>
      </c>
      <c r="O7215" s="38" t="n">
        <f aca="false">Sens!$O$7203-Sens!$O$7214</f>
        <v>11.0010536357202</v>
      </c>
    </row>
    <row r="7216" customFormat="false" ht="19.4" hidden="false" customHeight="false" outlineLevel="0" collapsed="false">
      <c r="A7216" s="31" t="s">
        <v>1298</v>
      </c>
    </row>
    <row r="7217" customFormat="false" ht="17.15" hidden="false" customHeight="false" outlineLevel="0" collapsed="false">
      <c r="A7217" s="6" t="s">
        <v>16</v>
      </c>
      <c r="B7217" s="6" t="s">
        <v>17</v>
      </c>
      <c r="C7217" s="20" t="s">
        <v>504</v>
      </c>
      <c r="D7217" s="20" t="s">
        <v>505</v>
      </c>
      <c r="E7217" s="20" t="s">
        <v>587</v>
      </c>
      <c r="F7217" s="20" t="s">
        <v>588</v>
      </c>
      <c r="G7217" s="20" t="s">
        <v>589</v>
      </c>
      <c r="H7217" s="20" t="s">
        <v>590</v>
      </c>
      <c r="I7217" s="20" t="s">
        <v>591</v>
      </c>
      <c r="J7217" s="20" t="s">
        <v>592</v>
      </c>
      <c r="K7217" s="20" t="s">
        <v>593</v>
      </c>
      <c r="L7217" s="20" t="s">
        <v>594</v>
      </c>
      <c r="M7217" s="20" t="s">
        <v>595</v>
      </c>
      <c r="N7217" s="20" t="s">
        <v>596</v>
      </c>
      <c r="O7217" s="20" t="s">
        <v>597</v>
      </c>
      <c r="P7217" s="6" t="s">
        <v>23</v>
      </c>
      <c r="R7217" s="20" t="n">
        <v>2023</v>
      </c>
      <c r="S7217" s="20" t="n">
        <v>2024</v>
      </c>
      <c r="T7217" s="20" t="n">
        <v>2025</v>
      </c>
      <c r="U7217" s="20" t="n">
        <v>2026</v>
      </c>
      <c r="V7217" s="20" t="n">
        <v>2027</v>
      </c>
      <c r="W7217" s="20" t="n">
        <v>2028</v>
      </c>
      <c r="X7217" s="20" t="n">
        <v>2029</v>
      </c>
      <c r="Y7217" s="20" t="n">
        <v>2030</v>
      </c>
      <c r="Z7217" s="20" t="n">
        <v>2031</v>
      </c>
      <c r="AA7217" s="20" t="n">
        <v>2032</v>
      </c>
    </row>
    <row r="7218" customFormat="false" ht="17.15" hidden="false" customHeight="false" outlineLevel="0" collapsed="false">
      <c r="A7218" s="1" t="s">
        <v>598</v>
      </c>
    </row>
    <row r="7219" customFormat="false" ht="17.15" hidden="false" customHeight="false" outlineLevel="0" collapsed="false">
      <c r="A7219" s="5" t="s">
        <v>599</v>
      </c>
      <c r="B7219" s="0" t="s">
        <v>144</v>
      </c>
      <c r="H7219" s="32" t="n">
        <f aca="false">pace_B</f>
        <v>3634.3</v>
      </c>
      <c r="I7219" s="32" t="n">
        <f aca="false">pace_B</f>
        <v>3634.3</v>
      </c>
      <c r="J7219" s="32" t="n">
        <f aca="false">pace_B</f>
        <v>3634.3</v>
      </c>
      <c r="K7219" s="32" t="n">
        <f aca="false">pace_B+(Sens!$J$7220*tg-pace_B)*1/3</f>
        <v>2570.86716666667</v>
      </c>
      <c r="L7219" s="32" t="n">
        <f aca="false">pace_B+(Sens!$J$7220*tg-pace_B)*2/3</f>
        <v>1507.43433333333</v>
      </c>
      <c r="M7219" s="32" t="n">
        <f aca="false">pace_B+(Sens!$J$7220*tg-pace_B)*3/3</f>
        <v>444.0015</v>
      </c>
      <c r="P7219" s="5" t="s">
        <v>600</v>
      </c>
    </row>
    <row r="7220" customFormat="false" ht="17.15" hidden="false" customHeight="false" outlineLevel="0" collapsed="false">
      <c r="A7220" s="15" t="s">
        <v>601</v>
      </c>
      <c r="B7220" s="14" t="s">
        <v>129</v>
      </c>
      <c r="C7220" s="33" t="n">
        <f aca="false">mw_ye24</f>
        <v>360</v>
      </c>
      <c r="D7220" s="33" t="n">
        <f aca="false">mw_ye25</f>
        <v>1440</v>
      </c>
      <c r="E7220" s="33" t="n">
        <f aca="false">mw_open</f>
        <v>2080</v>
      </c>
      <c r="F7220" s="33" t="n">
        <f aca="false">Sens!$E$7220+pace_B*0.5</f>
        <v>3897.15</v>
      </c>
      <c r="G7220" s="33" t="n">
        <f aca="false">Sens!$F$7220</f>
        <v>3897.15</v>
      </c>
      <c r="H7220" s="33" t="n">
        <f aca="false">Sens!$G$7220+Sens!$H$7219</f>
        <v>7531.45</v>
      </c>
      <c r="I7220" s="33" t="n">
        <f aca="false">Sens!$H$7220+Sens!$I$7219</f>
        <v>11165.75</v>
      </c>
      <c r="J7220" s="33" t="n">
        <f aca="false">Sens!$I$7220+Sens!$J$7219</f>
        <v>14800.05</v>
      </c>
      <c r="K7220" s="33" t="n">
        <f aca="false">Sens!$J$7220+Sens!$K$7219</f>
        <v>17370.9171666667</v>
      </c>
      <c r="L7220" s="33" t="n">
        <f aca="false">Sens!$K$7220+Sens!$L$7219</f>
        <v>18878.3515</v>
      </c>
      <c r="M7220" s="33" t="n">
        <f aca="false">Sens!$L$7220+Sens!$M$7219</f>
        <v>19322.353</v>
      </c>
      <c r="N7220" s="33" t="n">
        <f aca="false">(mw_ye24+mw_ye25)/2</f>
        <v>900</v>
      </c>
      <c r="O7220" s="33" t="n">
        <f aca="false">mw_ye25</f>
        <v>1440</v>
      </c>
      <c r="P7220" s="5" t="s">
        <v>602</v>
      </c>
    </row>
    <row r="7221" customFormat="false" ht="17.15" hidden="false" customHeight="false" outlineLevel="0" collapsed="false">
      <c r="A7221" s="5" t="s">
        <v>603</v>
      </c>
      <c r="B7221" s="0" t="s">
        <v>129</v>
      </c>
      <c r="C7221" s="32" t="n">
        <f aca="false">(mw_ye23+mw_ye24)/2</f>
        <v>240</v>
      </c>
      <c r="D7221" s="32" t="n">
        <f aca="false">(Sens!$C$7220+Sens!$D$7220)/2</f>
        <v>900</v>
      </c>
      <c r="E7221" s="32" t="n">
        <f aca="false">(Sens!$D$7220+Sens!$E$7220)/2</f>
        <v>1760</v>
      </c>
      <c r="F7221" s="32" t="n">
        <f aca="false">(Sens!$E$7220+Sens!$F$7220)/2</f>
        <v>2988.575</v>
      </c>
      <c r="G7221" s="32" t="n">
        <f aca="false">(Sens!$E$7221+Sens!$F$7221)/2</f>
        <v>2374.2875</v>
      </c>
      <c r="H7221" s="32" t="n">
        <f aca="false">(Sens!$G$7220+Sens!$H$7220)/2</f>
        <v>5714.3</v>
      </c>
      <c r="I7221" s="32" t="n">
        <f aca="false">(Sens!$H$7220+Sens!$I$7220)/2</f>
        <v>9348.6</v>
      </c>
      <c r="J7221" s="32" t="n">
        <f aca="false">(Sens!$I$7220+Sens!$J$7220)/2</f>
        <v>12982.9</v>
      </c>
      <c r="K7221" s="32" t="n">
        <f aca="false">(Sens!$J$7220+Sens!$K$7220)/2</f>
        <v>16085.4835833333</v>
      </c>
      <c r="L7221" s="32" t="n">
        <f aca="false">(Sens!$K$7220+Sens!$L$7220)/2</f>
        <v>18124.6343333333</v>
      </c>
      <c r="M7221" s="32" t="n">
        <f aca="false">(Sens!$L$7220+Sens!$M$7220)/2</f>
        <v>19100.35225</v>
      </c>
      <c r="N7221" s="32" t="n">
        <f aca="false">(Sens!$C$7220+Sens!$N$7220)/2</f>
        <v>630</v>
      </c>
      <c r="O7221" s="32" t="n">
        <f aca="false">(Sens!$N$7220+Sens!$O$7220)/2</f>
        <v>1170</v>
      </c>
    </row>
    <row r="7222" customFormat="false" ht="15" hidden="false" customHeight="false" outlineLevel="0" collapsed="false">
      <c r="A7222" s="5" t="s">
        <v>604</v>
      </c>
      <c r="B7222" s="5" t="s">
        <v>123</v>
      </c>
      <c r="C7222" s="34" t="n">
        <v>1</v>
      </c>
      <c r="D7222" s="34" t="n">
        <v>1</v>
      </c>
      <c r="E7222" s="34" t="n">
        <v>0.5</v>
      </c>
      <c r="F7222" s="34" t="n">
        <v>0.5</v>
      </c>
      <c r="G7222" s="34" t="n">
        <v>1</v>
      </c>
      <c r="H7222" s="34" t="n">
        <v>1</v>
      </c>
      <c r="I7222" s="34" t="n">
        <v>1</v>
      </c>
      <c r="J7222" s="34" t="n">
        <v>1</v>
      </c>
      <c r="K7222" s="34" t="n">
        <v>1</v>
      </c>
      <c r="L7222" s="34" t="n">
        <v>1</v>
      </c>
      <c r="M7222" s="34" t="n">
        <v>1</v>
      </c>
      <c r="N7222" s="34" t="n">
        <v>0.5</v>
      </c>
      <c r="O7222" s="34" t="n">
        <v>0.5</v>
      </c>
    </row>
    <row r="7223" customFormat="false" ht="17.15" hidden="false" customHeight="false" outlineLevel="0" collapsed="false">
      <c r="A7223" s="5" t="s">
        <v>605</v>
      </c>
      <c r="B7223" s="0" t="s">
        <v>129</v>
      </c>
      <c r="C7223" s="32" t="n">
        <f aca="false">Sens!$C$7220-mw_ye23</f>
        <v>240</v>
      </c>
      <c r="D7223" s="32" t="n">
        <f aca="false">Sens!$D$7220-Sens!$C$7220</f>
        <v>1080</v>
      </c>
      <c r="E7223" s="32" t="n">
        <f aca="false">Sens!$E$7220-Sens!$D$7220</f>
        <v>640</v>
      </c>
      <c r="F7223" s="32" t="n">
        <f aca="false">Sens!$F$7220-Sens!$E$7220</f>
        <v>1817.15</v>
      </c>
      <c r="G7223" s="32" t="n">
        <f aca="false">Sens!$E$7223+Sens!$F$7223</f>
        <v>2457.15</v>
      </c>
      <c r="H7223" s="32" t="n">
        <f aca="false">Sens!$H$7220-Sens!$G$7220</f>
        <v>3634.3</v>
      </c>
      <c r="I7223" s="32" t="n">
        <f aca="false">Sens!$I$7220-Sens!$H$7220</f>
        <v>3634.3</v>
      </c>
      <c r="J7223" s="32" t="n">
        <f aca="false">Sens!$J$7220-Sens!$I$7220</f>
        <v>3634.3</v>
      </c>
      <c r="K7223" s="32" t="n">
        <f aca="false">Sens!$K$7220-Sens!$J$7220</f>
        <v>2570.86716666667</v>
      </c>
      <c r="L7223" s="32" t="n">
        <f aca="false">Sens!$L$7220-Sens!$K$7220</f>
        <v>1507.43433333333</v>
      </c>
      <c r="M7223" s="32" t="n">
        <f aca="false">Sens!$M$7220-Sens!$L$7220</f>
        <v>444.001499999999</v>
      </c>
      <c r="N7223" s="32" t="n">
        <f aca="false">Sens!$N$7220-Sens!$C$7220</f>
        <v>540</v>
      </c>
      <c r="O7223" s="32" t="n">
        <f aca="false">Sens!$O$7220-Sens!$N$7220</f>
        <v>540</v>
      </c>
    </row>
    <row r="7224" customFormat="false" ht="17.15" hidden="false" customHeight="false" outlineLevel="0" collapsed="false">
      <c r="A7224" s="5" t="s">
        <v>606</v>
      </c>
      <c r="B7224" s="0" t="s">
        <v>129</v>
      </c>
      <c r="C7224" s="32" t="n">
        <f aca="false">Sens!$C$7223/ext_sh</f>
        <v>300</v>
      </c>
      <c r="D7224" s="32" t="n">
        <f aca="false">Sens!$D$7223/ext_sh</f>
        <v>1350</v>
      </c>
      <c r="E7224" s="32" t="n">
        <f aca="false">Sens!$E$7223/ext_sh</f>
        <v>800</v>
      </c>
      <c r="F7224" s="32" t="n">
        <f aca="false">Sens!$F$7223/ext_sh</f>
        <v>2271.4375</v>
      </c>
      <c r="G7224" s="32" t="n">
        <f aca="false">Sens!$G$7223/ext_sh</f>
        <v>3071.4375</v>
      </c>
      <c r="H7224" s="32" t="n">
        <f aca="false">Sens!$H$7223/ext_sh</f>
        <v>4542.875</v>
      </c>
      <c r="I7224" s="32" t="n">
        <f aca="false">Sens!$I$7223/ext_sh</f>
        <v>4542.875</v>
      </c>
      <c r="J7224" s="32" t="n">
        <f aca="false">Sens!$J$7223/ext_sh</f>
        <v>4542.875</v>
      </c>
      <c r="K7224" s="32" t="n">
        <f aca="false">Sens!$K$7223/ext_sh</f>
        <v>3213.58395833333</v>
      </c>
      <c r="L7224" s="32" t="n">
        <f aca="false">Sens!$L$7223/ext_sh</f>
        <v>1884.29291666667</v>
      </c>
      <c r="M7224" s="32" t="n">
        <f aca="false">Sens!$M$7223/ext_sh</f>
        <v>555.001874999998</v>
      </c>
      <c r="N7224" s="32" t="n">
        <f aca="false">Sens!$N$7223/ext_sh</f>
        <v>675</v>
      </c>
      <c r="O7224" s="32" t="n">
        <f aca="false">Sens!$O$7223/ext_sh</f>
        <v>675</v>
      </c>
      <c r="P7224" s="8" t="s">
        <v>607</v>
      </c>
      <c r="R7224" s="32" t="n">
        <f aca="false">mw_ye23/ext_sh</f>
        <v>150</v>
      </c>
      <c r="S7224" s="32" t="n">
        <f aca="false">Sens!$C$7224</f>
        <v>300</v>
      </c>
      <c r="T7224" s="32" t="n">
        <f aca="false">Sens!$D$7224</f>
        <v>1350</v>
      </c>
      <c r="U7224" s="32" t="n">
        <f aca="false">Sens!$G$7224</f>
        <v>3071.4375</v>
      </c>
      <c r="V7224" s="32" t="n">
        <f aca="false">Sens!$H$7224</f>
        <v>4542.875</v>
      </c>
      <c r="W7224" s="32" t="n">
        <f aca="false">Sens!$I$7224</f>
        <v>4542.875</v>
      </c>
      <c r="X7224" s="32" t="n">
        <f aca="false">Sens!$J$7224</f>
        <v>4542.875</v>
      </c>
      <c r="Y7224" s="32" t="n">
        <f aca="false">Sens!$K$7224</f>
        <v>3213.58395833333</v>
      </c>
      <c r="Z7224" s="32" t="n">
        <f aca="false">Sens!$L$7224</f>
        <v>1884.29291666667</v>
      </c>
      <c r="AA7224" s="32" t="n">
        <f aca="false">Sens!$M$7224</f>
        <v>555.001874999998</v>
      </c>
    </row>
    <row r="7225" customFormat="false" ht="17.15" hidden="false" customHeight="false" outlineLevel="0" collapsed="false">
      <c r="A7225" s="1" t="s">
        <v>608</v>
      </c>
    </row>
    <row r="7226" customFormat="false" ht="17.15" hidden="false" customHeight="false" outlineLevel="0" collapsed="false">
      <c r="A7226" s="0" t="s">
        <v>609</v>
      </c>
      <c r="B7226" s="0" t="s">
        <v>52</v>
      </c>
      <c r="F7226" s="35" t="n">
        <f aca="false">na_vr26</f>
        <v>0</v>
      </c>
      <c r="G7226" s="35" t="n">
        <f aca="false">na_vr26</f>
        <v>0</v>
      </c>
      <c r="H7226" s="35" t="n">
        <f aca="false">na_vr27</f>
        <v>0.5</v>
      </c>
      <c r="I7226" s="35" t="n">
        <f aca="false">na_vr28</f>
        <v>1</v>
      </c>
      <c r="J7226" s="35" t="n">
        <f aca="false">na_vr28</f>
        <v>1</v>
      </c>
      <c r="K7226" s="35" t="n">
        <f aca="false">na_vr28</f>
        <v>1</v>
      </c>
      <c r="L7226" s="35" t="n">
        <f aca="false">na_vr28</f>
        <v>1</v>
      </c>
      <c r="M7226" s="35" t="n">
        <f aca="false">na_vr28</f>
        <v>1</v>
      </c>
    </row>
    <row r="7227" customFormat="false" ht="17.15" hidden="false" customHeight="false" outlineLevel="0" collapsed="false">
      <c r="A7227" s="5" t="s">
        <v>610</v>
      </c>
      <c r="B7227" s="0" t="s">
        <v>173</v>
      </c>
      <c r="F7227" s="36" t="n">
        <f aca="false">cust_sh*tk_he_gb300*cf_chip+(1-cust_sh)*((1-Sens!$F$7226)*tk_he_gb300+Sens!$F$7226*tk_he_vr200)</f>
        <v>10.8864110021101</v>
      </c>
      <c r="G7227" s="36" t="n">
        <f aca="false">cust_sh*tk_he_gb300*cf_chip+(1-cust_sh)*((1-Sens!$G$7226)*tk_he_gb300+Sens!$G$7226*tk_he_vr200)</f>
        <v>10.8864110021101</v>
      </c>
      <c r="H7227" s="36" t="n">
        <f aca="false">cust_sh*tk_he_gb300*cf_chip+(1-cust_sh)*((1-Sens!$H$7226)*tk_he_gb300+Sens!$H$7226*tk_he_vr200)</f>
        <v>11.2211760027286</v>
      </c>
      <c r="I7227" s="36" t="n">
        <f aca="false">cust_sh*tk_he_gb300*cf_chip+(1-cust_sh)*((1-Sens!$I$7226)*tk_he_gb300+Sens!$I$7226*tk_he_vr200)</f>
        <v>11.5559410033471</v>
      </c>
      <c r="J7227" s="36" t="n">
        <f aca="false">cust_sh*tk_he_gb300*cf_chip+(1-cust_sh)*((1-Sens!$J$7226)*tk_he_gb300+Sens!$J$7226*tk_he_vr200)</f>
        <v>11.5559410033471</v>
      </c>
      <c r="K7227" s="36" t="n">
        <f aca="false">cust_sh*tk_he_gb300*cf_chip+(1-cust_sh)*((1-Sens!$K$7226)*tk_he_gb300+Sens!$K$7226*tk_he_vr200)</f>
        <v>11.5559410033471</v>
      </c>
      <c r="L7227" s="36" t="n">
        <f aca="false">cust_sh*tk_he_gb300*cf_chip+(1-cust_sh)*((1-Sens!$L$7226)*tk_he_gb300+Sens!$L$7226*tk_he_vr200)</f>
        <v>11.5559410033471</v>
      </c>
      <c r="M7227" s="36" t="n">
        <f aca="false">cust_sh*tk_he_gb300*cf_chip+(1-cust_sh)*((1-Sens!$M$7226)*tk_he_gb300+Sens!$M$7226*tk_he_vr200)</f>
        <v>11.5559410033471</v>
      </c>
    </row>
    <row r="7228" customFormat="false" ht="17.15" hidden="false" customHeight="false" outlineLevel="0" collapsed="false">
      <c r="A7228" s="5" t="s">
        <v>611</v>
      </c>
      <c r="B7228" s="0" t="s">
        <v>173</v>
      </c>
      <c r="F7228" s="36" t="n">
        <f aca="false">cust_sh*tk_ox_gb300+(1-cust_sh)*((1-Sens!$F$7226)*tk_ox_gb300+Sens!$F$7226*tk_ox_vr200)</f>
        <v>1.98263481314457</v>
      </c>
      <c r="G7228" s="36" t="n">
        <f aca="false">cust_sh*tk_ox_gb300+(1-cust_sh)*((1-Sens!$G$7226)*tk_ox_gb300+Sens!$G$7226*tk_ox_vr200)</f>
        <v>1.98263481314457</v>
      </c>
      <c r="H7228" s="36" t="n">
        <f aca="false">cust_sh*tk_ox_gb300+(1-cust_sh)*((1-Sens!$H$7226)*tk_ox_gb300+Sens!$H$7226*tk_ox_vr200)</f>
        <v>2.01034999693694</v>
      </c>
      <c r="I7228" s="36" t="n">
        <f aca="false">cust_sh*tk_ox_gb300+(1-cust_sh)*((1-Sens!$I$7226)*tk_ox_gb300+Sens!$I$7226*tk_ox_vr200)</f>
        <v>2.0380651807293</v>
      </c>
      <c r="J7228" s="36" t="n">
        <f aca="false">cust_sh*tk_ox_gb300+(1-cust_sh)*((1-Sens!$J$7226)*tk_ox_gb300+Sens!$J$7226*tk_ox_vr200)</f>
        <v>2.0380651807293</v>
      </c>
      <c r="K7228" s="36" t="n">
        <f aca="false">cust_sh*tk_ox_gb300+(1-cust_sh)*((1-Sens!$K$7226)*tk_ox_gb300+Sens!$K$7226*tk_ox_vr200)</f>
        <v>2.0380651807293</v>
      </c>
      <c r="L7228" s="36" t="n">
        <f aca="false">cust_sh*tk_ox_gb300+(1-cust_sh)*((1-Sens!$L$7226)*tk_ox_gb300+Sens!$L$7226*tk_ox_vr200)</f>
        <v>2.0380651807293</v>
      </c>
      <c r="M7228" s="36" t="n">
        <f aca="false">cust_sh*tk_ox_gb300+(1-cust_sh)*((1-Sens!$M$7226)*tk_ox_gb300+Sens!$M$7226*tk_ox_vr200)</f>
        <v>2.0380651807293</v>
      </c>
    </row>
    <row r="7229" customFormat="false" ht="17.15" hidden="false" customHeight="false" outlineLevel="0" collapsed="false">
      <c r="A7229" s="5" t="s">
        <v>612</v>
      </c>
      <c r="B7229" s="0" t="s">
        <v>192</v>
      </c>
      <c r="F7229" s="36" t="n">
        <f aca="false">cust_sh*tk_cx_gb300*cf_cx+(1-cust_sh)*((1-Sens!$F$7226)*tk_cx_gb300+Sens!$F$7226*tk_cx_vr200)</f>
        <v>32.237224</v>
      </c>
      <c r="G7229" s="36" t="n">
        <f aca="false">cust_sh*tk_cx_gb300*cf_cx+(1-cust_sh)*((1-Sens!$G$7226)*tk_cx_gb300+Sens!$G$7226*tk_cx_vr200)</f>
        <v>32.237224</v>
      </c>
      <c r="H7229" s="36" t="n">
        <f aca="false">cust_sh*tk_cx_gb300*cf_cx+(1-cust_sh)*((1-Sens!$H$7226)*tk_cx_gb300+Sens!$H$7226*tk_cx_vr200)</f>
        <v>33.574506</v>
      </c>
      <c r="I7229" s="36" t="n">
        <f aca="false">cust_sh*tk_cx_gb300*cf_cx+(1-cust_sh)*((1-Sens!$I$7226)*tk_cx_gb300+Sens!$I$7226*tk_cx_vr200)</f>
        <v>34.911788</v>
      </c>
      <c r="J7229" s="36" t="n">
        <f aca="false">cust_sh*tk_cx_gb300*cf_cx+(1-cust_sh)*((1-Sens!$J$7226)*tk_cx_gb300+Sens!$J$7226*tk_cx_vr200)</f>
        <v>34.911788</v>
      </c>
      <c r="K7229" s="36" t="n">
        <f aca="false">cust_sh*tk_cx_gb300*cf_cx+(1-cust_sh)*((1-Sens!$K$7226)*tk_cx_gb300+Sens!$K$7226*tk_cx_vr200)</f>
        <v>34.911788</v>
      </c>
      <c r="L7229" s="36" t="n">
        <f aca="false">cust_sh*tk_cx_gb300*cf_cx+(1-cust_sh)*((1-Sens!$L$7226)*tk_cx_gb300+Sens!$L$7226*tk_cx_vr200)</f>
        <v>34.911788</v>
      </c>
      <c r="M7229" s="36" t="n">
        <f aca="false">cust_sh*tk_cx_gb300*cf_cx+(1-cust_sh)*((1-Sens!$M$7226)*tk_cx_gb300+Sens!$M$7226*tk_cx_vr200)</f>
        <v>34.911788</v>
      </c>
    </row>
    <row r="7230" customFormat="false" ht="17.15" hidden="false" customHeight="false" outlineLevel="0" collapsed="false">
      <c r="A7230" s="5" t="s">
        <v>613</v>
      </c>
      <c r="B7230" s="0" t="s">
        <v>129</v>
      </c>
      <c r="F7230" s="32" t="n">
        <f aca="false">Sens!$F$7220-mw_open</f>
        <v>1817.15</v>
      </c>
      <c r="G7230" s="32" t="n">
        <f aca="false">Sens!$F$7230</f>
        <v>1817.15</v>
      </c>
      <c r="H7230" s="32" t="n">
        <f aca="false">Sens!$H$7220-mw_open</f>
        <v>5451.45</v>
      </c>
      <c r="I7230" s="32" t="n">
        <f aca="false">Sens!$I$7220-mw_open</f>
        <v>9085.75</v>
      </c>
      <c r="J7230" s="32" t="n">
        <f aca="false">Sens!$J$7220-mw_open</f>
        <v>12720.05</v>
      </c>
      <c r="K7230" s="32" t="n">
        <f aca="false">Sens!$K$7220-mw_open</f>
        <v>15290.9171666667</v>
      </c>
      <c r="L7230" s="32" t="n">
        <f aca="false">Sens!$L$7220-mw_open</f>
        <v>16798.3515</v>
      </c>
      <c r="M7230" s="32" t="n">
        <f aca="false">Sens!$M$7220-mw_open</f>
        <v>17242.353</v>
      </c>
    </row>
    <row r="7231" customFormat="false" ht="17.15" hidden="false" customHeight="false" outlineLevel="0" collapsed="false">
      <c r="A7231" s="0" t="s">
        <v>614</v>
      </c>
      <c r="B7231" s="0" t="s">
        <v>615</v>
      </c>
      <c r="F7231" s="32" t="n">
        <f aca="false">Sens!$F$7223*Sens!$F$7227</f>
        <v>19782.2417524844</v>
      </c>
      <c r="G7231" s="32" t="n">
        <f aca="false">Sens!$F$7231</f>
        <v>19782.2417524844</v>
      </c>
      <c r="H7231" s="32" t="n">
        <f aca="false">Sens!$G$7231+Sens!$H$7223*Sens!$H$7227</f>
        <v>60563.3616992009</v>
      </c>
      <c r="I7231" s="32" t="n">
        <f aca="false">Sens!$H$7231+Sens!$I$7223*Sens!$I$7227</f>
        <v>102561.118087665</v>
      </c>
      <c r="J7231" s="32" t="n">
        <f aca="false">Sens!$I$7231+Sens!$J$7223*Sens!$J$7227</f>
        <v>144558.87447613</v>
      </c>
      <c r="K7231" s="32" t="n">
        <f aca="false">Sens!$J$7231+Sens!$K$7223*Sens!$K$7227</f>
        <v>174267.663781572</v>
      </c>
      <c r="L7231" s="32" t="n">
        <f aca="false">Sens!$K$7231+Sens!$L$7223*Sens!$L$7227</f>
        <v>191687.486003992</v>
      </c>
      <c r="M7231" s="32" t="n">
        <f aca="false">Sens!$L$7231+Sens!$M$7223*Sens!$M$7227</f>
        <v>196818.341143389</v>
      </c>
    </row>
    <row r="7232" customFormat="false" ht="17.15" hidden="false" customHeight="false" outlineLevel="0" collapsed="false">
      <c r="A7232" s="0" t="s">
        <v>616</v>
      </c>
      <c r="B7232" s="0" t="s">
        <v>615</v>
      </c>
      <c r="F7232" s="32" t="n">
        <f aca="false">Sens!$F$7223*Sens!$F$7228</f>
        <v>3602.74485070566</v>
      </c>
      <c r="G7232" s="32" t="n">
        <f aca="false">Sens!$F$7232</f>
        <v>3602.74485070566</v>
      </c>
      <c r="H7232" s="32" t="n">
        <f aca="false">Sens!$G$7232+Sens!$H$7223*Sens!$H$7228</f>
        <v>10908.9598445736</v>
      </c>
      <c r="I7232" s="32" t="n">
        <f aca="false">Sens!$H$7232+Sens!$I$7223*Sens!$I$7228</f>
        <v>18315.9001308981</v>
      </c>
      <c r="J7232" s="32" t="n">
        <f aca="false">Sens!$I$7232+Sens!$J$7223*Sens!$J$7228</f>
        <v>25722.8404172225</v>
      </c>
      <c r="K7232" s="32" t="n">
        <f aca="false">Sens!$J$7232+Sens!$K$7223*Sens!$K$7228</f>
        <v>30962.4352738861</v>
      </c>
      <c r="L7232" s="32" t="n">
        <f aca="false">Sens!$K$7232+Sens!$L$7223*Sens!$L$7228</f>
        <v>34034.6847008886</v>
      </c>
      <c r="M7232" s="32" t="n">
        <f aca="false">Sens!$L$7232+Sens!$M$7223*Sens!$M$7228</f>
        <v>34939.5886982302</v>
      </c>
    </row>
    <row r="7233" customFormat="false" ht="17.15" hidden="false" customHeight="false" outlineLevel="0" collapsed="false">
      <c r="A7233" s="5" t="s">
        <v>617</v>
      </c>
      <c r="B7233" s="0" t="s">
        <v>173</v>
      </c>
      <c r="F7233" s="36" t="n">
        <f aca="false">IF(Sens!$F$7230&gt;0,Sens!$F$7231/Sens!$F$7230,Sens!$F$7227)</f>
        <v>10.8864110021101</v>
      </c>
      <c r="G7233" s="36" t="n">
        <f aca="false">IF(Sens!$G$7230&gt;0,Sens!$G$7231/Sens!$G$7230,Sens!$G$7227)</f>
        <v>10.8864110021101</v>
      </c>
      <c r="H7233" s="36" t="n">
        <f aca="false">IF(Sens!$H$7230&gt;0,Sens!$H$7231/Sens!$H$7230,Sens!$H$7227)</f>
        <v>11.1095876691891</v>
      </c>
      <c r="I7233" s="36" t="n">
        <f aca="false">IF(Sens!$I$7230&gt;0,Sens!$I$7231/Sens!$I$7230,Sens!$I$7227)</f>
        <v>11.2881290028523</v>
      </c>
      <c r="J7233" s="36" t="n">
        <f aca="false">IF(Sens!$J$7230&gt;0,Sens!$J$7231/Sens!$J$7230,Sens!$J$7227)</f>
        <v>11.3646467172794</v>
      </c>
      <c r="K7233" s="36" t="n">
        <f aca="false">IF(Sens!$K$7230&gt;0,Sens!$K$7231/Sens!$K$7230,Sens!$K$7227)</f>
        <v>11.3968090914432</v>
      </c>
      <c r="L7233" s="36" t="n">
        <f aca="false">IF(Sens!$L$7230&gt;0,Sens!$L$7231/Sens!$L$7230,Sens!$L$7227)</f>
        <v>11.4110891181192</v>
      </c>
      <c r="M7233" s="36" t="n">
        <f aca="false">IF(Sens!$M$7230&gt;0,Sens!$M$7231/Sens!$M$7230,Sens!$M$7227)</f>
        <v>11.4148191458201</v>
      </c>
    </row>
    <row r="7234" customFormat="false" ht="17.15" hidden="false" customHeight="false" outlineLevel="0" collapsed="false">
      <c r="A7234" s="5" t="s">
        <v>618</v>
      </c>
      <c r="B7234" s="0" t="s">
        <v>173</v>
      </c>
      <c r="F7234" s="36" t="n">
        <f aca="false">IF(Sens!$F$7230&gt;0,Sens!$F$7232/Sens!$F$7230,Sens!$F$7228)</f>
        <v>1.98263481314457</v>
      </c>
      <c r="G7234" s="36" t="n">
        <f aca="false">IF(Sens!$G$7230&gt;0,Sens!$G$7232/Sens!$G$7230,Sens!$G$7228)</f>
        <v>1.98263481314457</v>
      </c>
      <c r="H7234" s="36" t="n">
        <f aca="false">IF(Sens!$H$7230&gt;0,Sens!$H$7232/Sens!$H$7230,Sens!$H$7228)</f>
        <v>2.00111160233948</v>
      </c>
      <c r="I7234" s="36" t="n">
        <f aca="false">IF(Sens!$I$7230&gt;0,Sens!$I$7232/Sens!$I$7230,Sens!$I$7228)</f>
        <v>2.01589303369541</v>
      </c>
      <c r="J7234" s="36" t="n">
        <f aca="false">IF(Sens!$J$7230&gt;0,Sens!$J$7232/Sens!$J$7230,Sens!$J$7228)</f>
        <v>2.02222793284795</v>
      </c>
      <c r="K7234" s="36" t="n">
        <f aca="false">IF(Sens!$K$7230&gt;0,Sens!$K$7232/Sens!$K$7230,Sens!$K$7228)</f>
        <v>2.02489065478573</v>
      </c>
      <c r="L7234" s="36" t="n">
        <f aca="false">IF(Sens!$L$7230&gt;0,Sens!$L$7232/Sens!$L$7230,Sens!$L$7228)</f>
        <v>2.0260728977417</v>
      </c>
      <c r="M7234" s="36" t="n">
        <f aca="false">IF(Sens!$M$7230&gt;0,Sens!$M$7232/Sens!$M$7230,Sens!$M$7228)</f>
        <v>2.02638170661685</v>
      </c>
    </row>
    <row r="7235" customFormat="false" ht="17.15" hidden="false" customHeight="false" outlineLevel="0" collapsed="false">
      <c r="A7235" s="15" t="s">
        <v>619</v>
      </c>
      <c r="B7235" s="14" t="s">
        <v>173</v>
      </c>
      <c r="C7235" s="14"/>
      <c r="D7235" s="14"/>
      <c r="E7235" s="14"/>
      <c r="F7235" s="37" t="n">
        <f aca="false">Sens!$F$7233*k_B</f>
        <v>10.7987645808025</v>
      </c>
      <c r="G7235" s="37" t="n">
        <f aca="false">Sens!$G$7233*k_B</f>
        <v>10.7987645808025</v>
      </c>
      <c r="H7235" s="37" t="n">
        <f aca="false">Sens!$H$7233*k_B</f>
        <v>11.0201444540452</v>
      </c>
      <c r="I7235" s="37" t="n">
        <f aca="false">Sens!$I$7233*k_B</f>
        <v>11.1972483526393</v>
      </c>
      <c r="J7235" s="37" t="n">
        <f aca="false">Sens!$J$7233*k_B</f>
        <v>11.2731500234653</v>
      </c>
      <c r="K7235" s="37" t="n">
        <f aca="false">Sens!$K$7233*k_B</f>
        <v>11.3050534585724</v>
      </c>
      <c r="L7235" s="37" t="n">
        <f aca="false">Sens!$L$7233*k_B</f>
        <v>11.3192185168503</v>
      </c>
      <c r="M7235" s="37" t="n">
        <f aca="false">Sens!$M$7233*k_B</f>
        <v>11.3229185141234</v>
      </c>
      <c r="N7235" s="14"/>
      <c r="O7235" s="14"/>
      <c r="P7235" s="5" t="s">
        <v>620</v>
      </c>
    </row>
    <row r="7236" customFormat="false" ht="17.15" hidden="false" customHeight="false" outlineLevel="0" collapsed="false">
      <c r="A7236" s="5" t="s">
        <v>621</v>
      </c>
      <c r="B7236" s="0" t="s">
        <v>129</v>
      </c>
      <c r="F7236" s="32" t="n">
        <f aca="false">Sens!$F$7230/2</f>
        <v>908.575</v>
      </c>
      <c r="H7236" s="32" t="n">
        <f aca="false">(Sens!$G$7230+Sens!$H$7230)/2</f>
        <v>3634.3</v>
      </c>
      <c r="I7236" s="32" t="n">
        <f aca="false">(Sens!$H$7230+Sens!$I$7230)/2</f>
        <v>7268.6</v>
      </c>
      <c r="J7236" s="32" t="n">
        <f aca="false">(Sens!$I$7230+Sens!$J$7230)/2</f>
        <v>10902.9</v>
      </c>
      <c r="K7236" s="32" t="n">
        <f aca="false">(Sens!$J$7230+Sens!$K$7230)/2</f>
        <v>14005.4835833333</v>
      </c>
      <c r="L7236" s="32" t="n">
        <f aca="false">(Sens!$K$7230+Sens!$L$7230)/2</f>
        <v>16044.6343333333</v>
      </c>
      <c r="M7236" s="32" t="n">
        <f aca="false">(Sens!$L$7230+Sens!$M$7230)/2</f>
        <v>17020.35225</v>
      </c>
    </row>
    <row r="7237" customFormat="false" ht="17.15" hidden="false" customHeight="false" outlineLevel="0" collapsed="false">
      <c r="A7237" s="1" t="s">
        <v>622</v>
      </c>
    </row>
    <row r="7238" customFormat="false" ht="17.15" hidden="false" customHeight="false" outlineLevel="0" collapsed="false">
      <c r="A7238" s="1" t="s">
        <v>623</v>
      </c>
      <c r="B7238" s="8" t="s">
        <v>86</v>
      </c>
      <c r="C7238" s="38" t="n">
        <f aca="false">Sens!$C$7221*rpm_open*Sens!$C$7222/1000</f>
        <v>2.32100535697364</v>
      </c>
      <c r="D7238" s="38" t="n">
        <f aca="false">Sens!$D$7221*rpm_open*Sens!$D$7222/1000</f>
        <v>8.70377008865116</v>
      </c>
      <c r="E7238" s="38" t="n">
        <f aca="false">Sens!$E$7221*rpm_open*Sens!$E$7222/1000</f>
        <v>8.51035297557002</v>
      </c>
      <c r="F7238" s="38" t="n">
        <f aca="false">(mw_open*rpm_open+Sens!$F$7236*Sens!$F$7235)*Sens!$F$7222/1000</f>
        <v>14.9634336447205</v>
      </c>
      <c r="G7238" s="38" t="n">
        <f aca="false">Sens!$E$7238+Sens!$F$7238</f>
        <v>23.4737866202905</v>
      </c>
      <c r="H7238" s="38" t="n">
        <f aca="false">(mw_open*rpm_open+Sens!$H$7236*Sens!$H$7235)/1000</f>
        <v>60.1658907497746</v>
      </c>
      <c r="I7238" s="38" t="n">
        <f aca="false">(mw_open*rpm_open+Sens!$I$7236*Sens!$I$7235)/1000</f>
        <v>101.503699136432</v>
      </c>
      <c r="J7238" s="38" t="n">
        <f aca="false">(mw_open*rpm_open+Sens!$J$7236*Sens!$J$7235)/1000</f>
        <v>143.025407151278</v>
      </c>
      <c r="K7238" s="38" t="n">
        <f aca="false">(mw_open*rpm_open+Sens!$K$7236*Sens!$K$7235)/1000</f>
        <v>178.44812038318</v>
      </c>
      <c r="L7238" s="38" t="n">
        <f aca="false">(mw_open*rpm_open+Sens!$L$7236*Sens!$L$7235)/1000</f>
        <v>201.728101802396</v>
      </c>
      <c r="M7238" s="38" t="n">
        <f aca="false">(mw_open*rpm_open+Sens!$M$7236*Sens!$M$7235)/1000</f>
        <v>212.835441368865</v>
      </c>
      <c r="N7238" s="38" t="n">
        <f aca="false">Sens!$N$7221*rpm_open*Sens!$N$7222/1000</f>
        <v>3.04631953102791</v>
      </c>
      <c r="O7238" s="38" t="n">
        <f aca="false">Sens!$O$7221*rpm_open*Sens!$O$7222/1000</f>
        <v>5.65745055762326</v>
      </c>
      <c r="P7238" s="5" t="s">
        <v>624</v>
      </c>
    </row>
    <row r="7239" customFormat="false" ht="17.15" hidden="false" customHeight="false" outlineLevel="0" collapsed="false">
      <c r="A7239" s="5" t="s">
        <v>625</v>
      </c>
      <c r="B7239" s="0" t="s">
        <v>173</v>
      </c>
      <c r="C7239" s="36" t="n">
        <f aca="false">Sens!$C$7238*1000/(Sens!$C$7221*Sens!$C$7222)</f>
        <v>9.67085565405685</v>
      </c>
      <c r="D7239" s="36" t="n">
        <f aca="false">Sens!$D$7238*1000/(Sens!$D$7221*Sens!$D$7222)</f>
        <v>9.67085565405685</v>
      </c>
      <c r="E7239" s="36" t="n">
        <f aca="false">Sens!$E$7238*1000/(Sens!$E$7221*Sens!$E$7222)</f>
        <v>9.67085565405685</v>
      </c>
      <c r="F7239" s="36" t="n">
        <f aca="false">Sens!$F$7238*1000/(Sens!$F$7221*Sens!$F$7222)</f>
        <v>10.0137581588017</v>
      </c>
      <c r="G7239" s="36" t="n">
        <f aca="false">Sens!$G$7238*1000/(Sens!$G$7221*Sens!$G$7222)</f>
        <v>9.88666562928478</v>
      </c>
      <c r="H7239" s="36" t="n">
        <f aca="false">Sens!$H$7238*1000/(Sens!$H$7221*Sens!$H$7222)</f>
        <v>10.5290045586992</v>
      </c>
      <c r="I7239" s="36" t="n">
        <f aca="false">Sens!$I$7238*1000/(Sens!$I$7221*Sens!$I$7222)</f>
        <v>10.8576363451674</v>
      </c>
      <c r="J7239" s="36" t="n">
        <f aca="false">Sens!$J$7238*1000/(Sens!$J$7221*Sens!$J$7222)</f>
        <v>11.0164452588619</v>
      </c>
      <c r="K7239" s="36" t="n">
        <f aca="false">Sens!$K$7238*1000/(Sens!$K$7221*Sens!$K$7222)</f>
        <v>11.0937367508227</v>
      </c>
      <c r="L7239" s="36" t="n">
        <f aca="false">Sens!$L$7238*1000/(Sens!$L$7221*Sens!$L$7222)</f>
        <v>11.1300508519168</v>
      </c>
      <c r="M7239" s="36" t="n">
        <f aca="false">Sens!$M$7238*1000/(Sens!$M$7221*Sens!$M$7222)</f>
        <v>11.1430113216297</v>
      </c>
      <c r="N7239" s="36" t="n">
        <f aca="false">Sens!$N$7238*1000/(Sens!$N$7221*Sens!$N$7222)</f>
        <v>9.67085565405685</v>
      </c>
      <c r="O7239" s="36" t="n">
        <f aca="false">Sens!$O$7238*1000/(Sens!$O$7221*Sens!$O$7222)</f>
        <v>9.67085565405685</v>
      </c>
    </row>
    <row r="7240" customFormat="false" ht="17.15" hidden="false" customHeight="false" outlineLevel="0" collapsed="false">
      <c r="A7240" s="0" t="s">
        <v>626</v>
      </c>
      <c r="B7240" s="0" t="s">
        <v>86</v>
      </c>
      <c r="C7240" s="38" t="n">
        <f aca="false">Sens!$C$7221/ext_sh*(ox_open+rent_mw)*Sens!$C$7222/1000</f>
        <v>0.642569210675032</v>
      </c>
      <c r="D7240" s="38" t="n">
        <f aca="false">Sens!$D$7221/ext_sh*(ox_open+rent_mw)*Sens!$D$7222/1000</f>
        <v>2.40963454003137</v>
      </c>
      <c r="E7240" s="38" t="n">
        <f aca="false">Sens!$E$7221/ext_sh*(ox_open+rent_mw)*Sens!$E$7222/1000</f>
        <v>2.35608710580845</v>
      </c>
      <c r="F7240" s="38" t="n">
        <f aca="false">((mw_open*ox_open+Sens!$F$7236*Sens!$F$7234)/ext_sh+Sens!$F$7221/ext_sh*rent_mw)*Sens!$F$7222/1000</f>
        <v>4.05421991106232</v>
      </c>
      <c r="G7240" s="38" t="n">
        <f aca="false">Sens!$E$7240+Sens!$F$7240</f>
        <v>6.41030701687077</v>
      </c>
      <c r="H7240" s="38" t="n">
        <f aca="false">((mw_open*ox_open+Sens!$H$7236*Sens!$H$7234)/ext_sh+Sens!$H$7221/ext_sh*rent_mw)*Sens!$H$7222/1000</f>
        <v>15.8108975546616</v>
      </c>
      <c r="I7240" s="38" t="n">
        <f aca="false">((mw_open*ox_open+Sens!$I$7236*Sens!$I$7234)/ext_sh+Sens!$I$7221/ext_sh*rent_mw)*Sens!$I$7222/1000</f>
        <v>26.1871623400817</v>
      </c>
      <c r="J7240" s="38" t="n">
        <f aca="false">((mw_open*ox_open+Sens!$J$7236*Sens!$J$7234)/ext_sh+Sens!$J$7221/ext_sh*rent_mw)*Sens!$J$7222/1000</f>
        <v>36.5826128954935</v>
      </c>
      <c r="K7240" s="38" t="n">
        <f aca="false">((mw_open*ox_open+Sens!$K$7236*Sens!$K$7234)/ext_sh+Sens!$K$7221/ext_sh*rent_mw)*Sens!$K$7222/1000</f>
        <v>45.4546361137628</v>
      </c>
      <c r="L7240" s="38" t="n">
        <f aca="false">((mw_open*ox_open+Sens!$L$7236*Sens!$L$7234)/ext_sh+Sens!$L$7221/ext_sh*rent_mw)*Sens!$L$7222/1000</f>
        <v>51.2855695554452</v>
      </c>
      <c r="M7240" s="38" t="n">
        <f aca="false">((mw_open*ox_open+Sens!$M$7236*Sens!$M$7234)/ext_sh+Sens!$M$7221/ext_sh*rent_mw)*Sens!$M$7222/1000</f>
        <v>54.0722927838398</v>
      </c>
      <c r="N7240" s="38" t="n">
        <f aca="false">Sens!$N$7221/ext_sh*(ox_open+rent_mw)*Sens!$N$7222/1000</f>
        <v>0.84337208901098</v>
      </c>
      <c r="O7240" s="38" t="n">
        <f aca="false">Sens!$O$7221/ext_sh*(ox_open+rent_mw)*Sens!$O$7222/1000</f>
        <v>1.56626245102039</v>
      </c>
    </row>
    <row r="7241" customFormat="false" ht="17.15" hidden="false" customHeight="false" outlineLevel="0" collapsed="false">
      <c r="A7241" s="0" t="s">
        <v>627</v>
      </c>
      <c r="B7241" s="0" t="s">
        <v>86</v>
      </c>
      <c r="C7241" s="38" t="n">
        <f aca="false">Q!$D$7</f>
        <v>107.556</v>
      </c>
      <c r="D7241" s="38" t="n">
        <f aca="false">Q!$E$7</f>
        <v>128.725</v>
      </c>
      <c r="E7241" s="38" t="n">
        <f aca="false">Q!$P$7</f>
        <v>79.819</v>
      </c>
      <c r="N7241" s="38" t="n">
        <f aca="false">Q!$N$7</f>
        <v>60.14</v>
      </c>
      <c r="O7241" s="38" t="n">
        <f aca="false">Q!$O$7</f>
        <v>68.585</v>
      </c>
    </row>
    <row r="7242" customFormat="false" ht="17.15" hidden="false" customHeight="false" outlineLevel="0" collapsed="false">
      <c r="A7242" s="1" t="s">
        <v>628</v>
      </c>
      <c r="B7242" s="8" t="s">
        <v>86</v>
      </c>
      <c r="C7242" s="38" t="n">
        <f aca="false">Sens!$C$7241-Sens!$C$7238</f>
        <v>105.234994643026</v>
      </c>
      <c r="D7242" s="38" t="n">
        <f aca="false">Sens!$D$7241-Sens!$D$7238</f>
        <v>120.021229911349</v>
      </c>
      <c r="E7242" s="38" t="n">
        <f aca="false">Sens!$E$7241-Sens!$E$7238</f>
        <v>71.30864702443</v>
      </c>
      <c r="F7242" s="38" t="n">
        <f aca="false">Sens!$O$7242*(1+Sens!$F$7243)</f>
        <v>71.7692997942464</v>
      </c>
      <c r="G7242" s="38" t="n">
        <f aca="false">Sens!$E$7242+Sens!$F$7242</f>
        <v>143.077946818676</v>
      </c>
      <c r="H7242" s="38" t="n">
        <f aca="false">Sens!$G$7242*(1+Sens!$H$7243)</f>
        <v>161.017077079203</v>
      </c>
      <c r="I7242" s="38" t="n">
        <f aca="false">Sens!$H$7242*(1+Sens!$I$7243)</f>
        <v>178.769759521457</v>
      </c>
      <c r="J7242" s="38" t="n">
        <f aca="false">Sens!$I$7242*(1+Sens!$J$7243)</f>
        <v>195.775538045907</v>
      </c>
      <c r="K7242" s="38" t="n">
        <f aca="false">Sens!$J$7242*(1+Sens!$K$7243)</f>
        <v>211.43758108958</v>
      </c>
      <c r="L7242" s="38" t="n">
        <f aca="false">Sens!$K$7242*(1+Sens!$L$7243)</f>
        <v>228.352587576746</v>
      </c>
      <c r="M7242" s="38" t="n">
        <f aca="false">Sens!$L$7242*(1+Sens!$M$7243)</f>
        <v>246.620794582886</v>
      </c>
      <c r="N7242" s="38" t="n">
        <f aca="false">Sens!$N$7241-Sens!$N$7238</f>
        <v>57.0936804689721</v>
      </c>
      <c r="O7242" s="38" t="n">
        <f aca="false">Sens!$O$7241-Sens!$O$7238</f>
        <v>62.9275494423768</v>
      </c>
      <c r="P7242" s="5" t="s">
        <v>629</v>
      </c>
    </row>
    <row r="7243" customFormat="false" ht="17.15" hidden="false" customHeight="false" outlineLevel="0" collapsed="false">
      <c r="A7243" s="0" t="s">
        <v>630</v>
      </c>
      <c r="B7243" s="0" t="s">
        <v>52</v>
      </c>
      <c r="D7243" s="13" t="n">
        <f aca="false">Sens!$D$7242/Sens!$C$7242-1</f>
        <v>0.140506827776062</v>
      </c>
      <c r="E7243" s="13" t="n">
        <f aca="false">Sens!$E$7242/Sens!$N$7242-1</f>
        <v>0.248976181579029</v>
      </c>
      <c r="F7243" s="13" t="n">
        <f aca="false">Sens!$D$7243</f>
        <v>0.140506827776062</v>
      </c>
      <c r="G7243" s="13" t="n">
        <f aca="false">Sens!$G$7242/Sens!$D$7242-1</f>
        <v>0.19210532106993</v>
      </c>
      <c r="H7243" s="13" t="n">
        <f aca="false">Sens!$F$7243+(g_awso_lt-Sens!$F$7243)*1/4</f>
        <v>0.125380120832046</v>
      </c>
      <c r="I7243" s="13" t="n">
        <f aca="false">Sens!$F$7243+(g_awso_lt-Sens!$F$7243)*2/4</f>
        <v>0.110253413888031</v>
      </c>
      <c r="J7243" s="13" t="n">
        <f aca="false">Sens!$F$7243+(g_awso_lt-Sens!$F$7243)*3/4</f>
        <v>0.0951267069440154</v>
      </c>
      <c r="K7243" s="13" t="n">
        <f aca="false">Sens!$F$7243+(g_awso_lt-Sens!$F$7243)*4/4</f>
        <v>0.08</v>
      </c>
      <c r="L7243" s="13" t="n">
        <f aca="false">g_awso_lt</f>
        <v>0.08</v>
      </c>
      <c r="M7243" s="13" t="n">
        <f aca="false">g_awso_lt</f>
        <v>0.08</v>
      </c>
      <c r="P7243" s="5" t="s">
        <v>631</v>
      </c>
    </row>
    <row r="7244" customFormat="false" ht="17.15" hidden="false" customHeight="false" outlineLevel="0" collapsed="false">
      <c r="A7244" s="1" t="s">
        <v>632</v>
      </c>
    </row>
    <row r="7245" customFormat="false" ht="17.15" hidden="false" customHeight="false" outlineLevel="0" collapsed="false">
      <c r="A7245" s="0" t="s">
        <v>633</v>
      </c>
      <c r="B7245" s="0" t="s">
        <v>86</v>
      </c>
      <c r="F7245" s="38" t="n">
        <f aca="false">cx_rt*Sens!$F$7210+cx_awso*Sens!$F$7242</f>
        <v>34.9734495387866</v>
      </c>
    </row>
    <row r="7246" customFormat="false" ht="17.15" hidden="false" customHeight="false" outlineLevel="0" collapsed="false">
      <c r="A7246" s="0" t="s">
        <v>634</v>
      </c>
      <c r="B7246" s="0" t="s">
        <v>52</v>
      </c>
      <c r="C7246" s="13" t="n">
        <f aca="false">tk_cx_h100/(tk_cx_h100+tk_fac*(1-colo_sh))</f>
        <v>0.730756458006641</v>
      </c>
      <c r="D7246" s="13" t="n">
        <f aca="false">tk_cx_h100/(tk_cx_h100+tk_fac*(1-colo_sh))</f>
        <v>0.730756458006641</v>
      </c>
      <c r="E7246" s="13" t="n">
        <f aca="false">Sens!$F$7246</f>
        <v>0.760792334328868</v>
      </c>
      <c r="F7246" s="13" t="n">
        <f aca="false">Sens!$F$7229/(Sens!$F$7229+tk_fac*(1-colo_sh))</f>
        <v>0.760792334328868</v>
      </c>
      <c r="G7246" s="13" t="n">
        <f aca="false">Sens!$G$7229/(Sens!$G$7229+tk_fac*(1-colo_sh))</f>
        <v>0.760792334328868</v>
      </c>
      <c r="H7246" s="13" t="n">
        <f aca="false">Sens!$H$7229/(Sens!$H$7229+tk_fac*(1-colo_sh))</f>
        <v>0.768110668862996</v>
      </c>
      <c r="I7246" s="13" t="n">
        <f aca="false">Sens!$I$7229/(Sens!$I$7229+tk_fac*(1-colo_sh))</f>
        <v>0.77499450139483</v>
      </c>
      <c r="J7246" s="13" t="n">
        <f aca="false">Sens!$J$7229/(Sens!$J$7229+tk_fac*(1-colo_sh))</f>
        <v>0.77499450139483</v>
      </c>
      <c r="K7246" s="13" t="n">
        <f aca="false">Sens!$K$7229/(Sens!$K$7229+tk_fac*(1-colo_sh))</f>
        <v>0.77499450139483</v>
      </c>
      <c r="L7246" s="13" t="n">
        <f aca="false">Sens!$L$7229/(Sens!$L$7229+tk_fac*(1-colo_sh))</f>
        <v>0.77499450139483</v>
      </c>
      <c r="M7246" s="13" t="n">
        <f aca="false">Sens!$M$7229/(Sens!$M$7229+tk_fac*(1-colo_sh))</f>
        <v>0.77499450139483</v>
      </c>
    </row>
    <row r="7247" customFormat="false" ht="17.15" hidden="false" customHeight="false" outlineLevel="0" collapsed="false">
      <c r="A7247" s="1" t="s">
        <v>635</v>
      </c>
      <c r="B7247" s="8" t="s">
        <v>86</v>
      </c>
      <c r="C7247" s="38" t="n">
        <f aca="false">Q!$D$46-cx_rt*Q!$D$16-cx_awso*Sens!$C$7242</f>
        <v>25.2781053077374</v>
      </c>
      <c r="D7247" s="38" t="n">
        <f aca="false">Q!$E$46-cx_rt*Q!$E$16-cx_awso*Sens!$D$7242</f>
        <v>69.5686316310026</v>
      </c>
      <c r="E7247" s="38" t="n">
        <f aca="false">Q!$P$46-cx_rt*Q!$P$16-cx_awso*Sens!$E$7242</f>
        <v>64.1899206485108</v>
      </c>
      <c r="F7247" s="38" t="n">
        <f aca="false">capex_g26-Q!$P$46-Sens!$F$7245</f>
        <v>88.7165504612134</v>
      </c>
      <c r="G7247" s="38" t="n">
        <f aca="false">Sens!$E$7247+Sens!$F$7247</f>
        <v>152.906471109724</v>
      </c>
      <c r="H7247" s="38" t="n">
        <f aca="false">Sens!$H$7224*(Sens!$H$7229+tk_fac*(1-colo_sh))/1000+Sens!$H$7248</f>
        <v>198.57136494475</v>
      </c>
      <c r="I7247" s="38" t="n">
        <f aca="false">Sens!$I$7224*(Sens!$I$7229+tk_fac*(1-colo_sh))/1000+Sens!$I$7248</f>
        <v>204.6464699105</v>
      </c>
      <c r="J7247" s="38" t="n">
        <f aca="false">Sens!$J$7224*(Sens!$J$7229+tk_fac*(1-colo_sh))/1000+Sens!$J$7248</f>
        <v>209.8832381105</v>
      </c>
      <c r="K7247" s="38" t="n">
        <f aca="false">Sens!$K$7224*(Sens!$K$7229+tk_fac*(1-colo_sh))/1000+Sens!$K$7248</f>
        <v>155.238385275201</v>
      </c>
      <c r="L7247" s="38" t="n">
        <f aca="false">Sens!$L$7224*(Sens!$L$7229+tk_fac*(1-colo_sh))/1000+Sens!$L$7248</f>
        <v>132.014141639902</v>
      </c>
      <c r="M7247" s="38" t="n">
        <f aca="false">Sens!$M$7224*(Sens!$M$7229+tk_fac*(1-colo_sh))/1000+Sens!$M$7248</f>
        <v>132.230981659852</v>
      </c>
      <c r="P7247" s="5" t="s">
        <v>636</v>
      </c>
      <c r="R7247" s="38" t="n">
        <f aca="false">Q!$C$46-cx_rt*Q!$C$16-cx_awso*(Q!$C$7-mw_ye23/2*rpm_open/1000)</f>
        <v>1.50429979529945</v>
      </c>
      <c r="S7247" s="38" t="n">
        <f aca="false">Sens!$C$7247</f>
        <v>25.2781053077374</v>
      </c>
      <c r="T7247" s="38" t="n">
        <f aca="false">Sens!$D$7247</f>
        <v>69.5686316310026</v>
      </c>
      <c r="U7247" s="38" t="n">
        <f aca="false">Sens!$G$7247</f>
        <v>152.906471109724</v>
      </c>
      <c r="V7247" s="38" t="n">
        <f aca="false">Sens!$H$7247</f>
        <v>198.57136494475</v>
      </c>
      <c r="W7247" s="38" t="n">
        <f aca="false">Sens!$I$7247</f>
        <v>204.6464699105</v>
      </c>
      <c r="X7247" s="38" t="n">
        <f aca="false">Sens!$J$7247</f>
        <v>209.8832381105</v>
      </c>
      <c r="Y7247" s="38" t="n">
        <f aca="false">Sens!$K$7247</f>
        <v>155.238385275201</v>
      </c>
      <c r="Z7247" s="38" t="n">
        <f aca="false">Sens!$L$7247</f>
        <v>132.014141639902</v>
      </c>
      <c r="AA7247" s="38" t="n">
        <f aca="false">Sens!$M$7247</f>
        <v>132.230981659852</v>
      </c>
    </row>
    <row r="7248" customFormat="false" ht="17.15" hidden="false" customHeight="false" outlineLevel="0" collapsed="false">
      <c r="A7248" s="0" t="s">
        <v>637</v>
      </c>
      <c r="B7248" s="0" t="s">
        <v>86</v>
      </c>
      <c r="H7248" s="38" t="n">
        <f aca="false">SUMPRODUCT(--(Sens!$R$7217:$AA$7217=2027-tk_life),Sens!$R$7224:$AA$7224)*Sens!$H$7229/1000</f>
        <v>0</v>
      </c>
      <c r="I7248" s="38" t="n">
        <f aca="false">SUMPRODUCT(--(Sens!$R$7217:$AA$7217=2028-tk_life),Sens!$R$7224:$AA$7224)*Sens!$I$7229/1000</f>
        <v>0</v>
      </c>
      <c r="J7248" s="38" t="n">
        <f aca="false">SUMPRODUCT(--(Sens!$R$7217:$AA$7217=2029-tk_life),Sens!$R$7224:$AA$7224)*Sens!$J$7229/1000</f>
        <v>5.2367682</v>
      </c>
      <c r="K7248" s="38" t="n">
        <f aca="false">SUMPRODUCT(--(Sens!$R$7217:$AA$7217=2030-tk_life),Sens!$R$7224:$AA$7224)*Sens!$K$7229/1000</f>
        <v>10.4735364</v>
      </c>
      <c r="L7248" s="38" t="n">
        <f aca="false">SUMPRODUCT(--(Sens!$R$7217:$AA$7217=2031-tk_life),Sens!$R$7224:$AA$7224)*Sens!$L$7229/1000</f>
        <v>47.1309138</v>
      </c>
      <c r="M7248" s="38" t="n">
        <f aca="false">SUMPRODUCT(--(Sens!$R$7217:$AA$7217=2032-tk_life),Sens!$R$7224:$AA$7224)*Sens!$M$7229/1000</f>
        <v>107.22937485525</v>
      </c>
    </row>
    <row r="7249" customFormat="false" ht="17.15" hidden="false" customHeight="false" outlineLevel="0" collapsed="false">
      <c r="A7249" s="0" t="s">
        <v>638</v>
      </c>
      <c r="B7249" s="0" t="s">
        <v>86</v>
      </c>
      <c r="C7249" s="38" t="n">
        <f aca="false">MIN(Sens!$C$7247,Sens!$C$7224*(tk_cx_h100+tk_fac*(1-colo_sh))/1000)</f>
        <v>11.2938642</v>
      </c>
      <c r="D7249" s="38" t="n">
        <f aca="false">MIN(Sens!$D$7247,Sens!$D$7224*(tk_cx_h100+tk_fac*(1-colo_sh))/1000)</f>
        <v>50.8223889</v>
      </c>
      <c r="E7249" s="38" t="n">
        <f aca="false">MIN(Sens!$E$7247,Sens!$E$7224*(Sens!$F$7229+tk_fac*(1-colo_sh))/1000)</f>
        <v>33.8985792</v>
      </c>
      <c r="F7249" s="38" t="n">
        <f aca="false">Sens!$F$7247</f>
        <v>88.7165504612134</v>
      </c>
      <c r="G7249" s="38" t="n">
        <f aca="false">Sens!$E$7249+Sens!$F$7249</f>
        <v>122.615129661213</v>
      </c>
      <c r="H7249" s="38" t="n">
        <f aca="false">Sens!$H$7247</f>
        <v>198.57136494475</v>
      </c>
      <c r="I7249" s="38" t="n">
        <f aca="false">Sens!$I$7247</f>
        <v>204.6464699105</v>
      </c>
      <c r="J7249" s="38" t="n">
        <f aca="false">Sens!$J$7247</f>
        <v>209.8832381105</v>
      </c>
      <c r="K7249" s="38" t="n">
        <f aca="false">Sens!$K$7247</f>
        <v>155.238385275201</v>
      </c>
      <c r="L7249" s="38" t="n">
        <f aca="false">Sens!$L$7247</f>
        <v>132.014141639902</v>
      </c>
      <c r="M7249" s="38" t="n">
        <f aca="false">Sens!$M$7247</f>
        <v>132.230981659852</v>
      </c>
      <c r="P7249" s="5" t="s">
        <v>639</v>
      </c>
      <c r="R7249" s="38" t="n">
        <f aca="false">MIN(Sens!$R$7247,Sens!$R$7224*(tk_cx_h100+tk_fac*(1-colo_sh))/1000)</f>
        <v>1.50429979529945</v>
      </c>
      <c r="S7249" s="38" t="n">
        <f aca="false">Sens!$C$7249</f>
        <v>11.2938642</v>
      </c>
      <c r="T7249" s="38" t="n">
        <f aca="false">Sens!$D$7249</f>
        <v>50.8223889</v>
      </c>
      <c r="U7249" s="38" t="n">
        <f aca="false">Sens!$G$7249</f>
        <v>122.615129661213</v>
      </c>
      <c r="V7249" s="38" t="n">
        <f aca="false">Sens!$H$7249</f>
        <v>198.57136494475</v>
      </c>
      <c r="W7249" s="38" t="n">
        <f aca="false">Sens!$I$7249</f>
        <v>204.6464699105</v>
      </c>
      <c r="X7249" s="38" t="n">
        <f aca="false">Sens!$J$7249</f>
        <v>209.8832381105</v>
      </c>
      <c r="Y7249" s="38" t="n">
        <f aca="false">Sens!$K$7249</f>
        <v>155.238385275201</v>
      </c>
      <c r="Z7249" s="38" t="n">
        <f aca="false">Sens!$L$7249</f>
        <v>132.014141639902</v>
      </c>
      <c r="AA7249" s="38" t="n">
        <f aca="false">Sens!$M$7249</f>
        <v>132.230981659852</v>
      </c>
    </row>
    <row r="7250" customFormat="false" ht="17.15" hidden="false" customHeight="false" outlineLevel="0" collapsed="false">
      <c r="A7250" s="5" t="s">
        <v>640</v>
      </c>
      <c r="B7250" s="0" t="s">
        <v>86</v>
      </c>
      <c r="C7250" s="38" t="n">
        <f aca="false">Sens!$C$7247-Sens!$C$7249</f>
        <v>13.9842411077374</v>
      </c>
      <c r="D7250" s="38" t="n">
        <f aca="false">Sens!$D$7247-Sens!$D$7249</f>
        <v>18.7462427310026</v>
      </c>
      <c r="E7250" s="38" t="n">
        <f aca="false">Sens!$E$7247-Sens!$E$7249</f>
        <v>30.2913414485108</v>
      </c>
      <c r="F7250" s="38" t="n">
        <f aca="false">Sens!$F$7247-Sens!$F$7249</f>
        <v>0</v>
      </c>
      <c r="G7250" s="38" t="n">
        <f aca="false">Sens!$G$7247-Sens!$G$7249</f>
        <v>30.2913414485108</v>
      </c>
      <c r="H7250" s="38" t="n">
        <f aca="false">Sens!$H$7247-Sens!$H$7249</f>
        <v>0</v>
      </c>
      <c r="I7250" s="38" t="n">
        <f aca="false">Sens!$I$7247-Sens!$I$7249</f>
        <v>0</v>
      </c>
      <c r="J7250" s="38" t="n">
        <f aca="false">Sens!$J$7247-Sens!$J$7249</f>
        <v>0</v>
      </c>
      <c r="K7250" s="38" t="n">
        <f aca="false">Sens!$K$7247-Sens!$K$7249</f>
        <v>0</v>
      </c>
      <c r="L7250" s="38" t="n">
        <f aca="false">Sens!$L$7247-Sens!$L$7249</f>
        <v>0</v>
      </c>
      <c r="M7250" s="38" t="n">
        <f aca="false">Sens!$M$7247-Sens!$M$7249</f>
        <v>0</v>
      </c>
      <c r="P7250" s="5" t="s">
        <v>641</v>
      </c>
      <c r="R7250" s="38" t="n">
        <f aca="false">Sens!$R$7247-Sens!$R$7249</f>
        <v>0</v>
      </c>
      <c r="S7250" s="38" t="n">
        <f aca="false">Sens!$S$7247-Sens!$S$7249</f>
        <v>13.9842411077374</v>
      </c>
      <c r="T7250" s="38" t="n">
        <f aca="false">Sens!$T$7247-Sens!$T$7249</f>
        <v>18.7462427310026</v>
      </c>
      <c r="U7250" s="38" t="n">
        <f aca="false">Sens!$U$7247-Sens!$U$7249</f>
        <v>30.2913414485108</v>
      </c>
      <c r="V7250" s="38" t="n">
        <f aca="false">Sens!$V$7247-Sens!$V$7249</f>
        <v>0</v>
      </c>
      <c r="W7250" s="38" t="n">
        <f aca="false">Sens!$W$7247-Sens!$W$7249</f>
        <v>0</v>
      </c>
      <c r="X7250" s="38" t="n">
        <f aca="false">Sens!$X$7247-Sens!$X$7249</f>
        <v>0</v>
      </c>
      <c r="Y7250" s="38" t="n">
        <f aca="false">Sens!$Y$7247-Sens!$Y$7249</f>
        <v>0</v>
      </c>
      <c r="Z7250" s="38" t="n">
        <f aca="false">Sens!$Z$7247-Sens!$Z$7249</f>
        <v>0</v>
      </c>
      <c r="AA7250" s="38" t="n">
        <f aca="false">Sens!$AA$7247-Sens!$AA$7249</f>
        <v>0</v>
      </c>
    </row>
    <row r="7251" customFormat="false" ht="17.15" hidden="false" customHeight="false" outlineLevel="0" collapsed="false">
      <c r="A7251" s="5" t="s">
        <v>642</v>
      </c>
      <c r="B7251" s="0" t="s">
        <v>86</v>
      </c>
      <c r="R7251" s="38" t="n">
        <f aca="false">Sens!$R$7250*Sens!$C$7246</f>
        <v>0</v>
      </c>
      <c r="S7251" s="38" t="n">
        <f aca="false">Sens!$S$7250*Sens!$C$7246</f>
        <v>10.219074499801</v>
      </c>
      <c r="T7251" s="38" t="n">
        <f aca="false">Sens!$T$7250*Sens!$C$7246</f>
        <v>13.6989379390402</v>
      </c>
      <c r="U7251" s="38" t="n">
        <f aca="false">Sens!$U$7250*Sens!$E$7246</f>
        <v>23.0454203705653</v>
      </c>
      <c r="V7251" s="38" t="n">
        <f aca="false">Sens!$V$7250*Sens!$E$7246</f>
        <v>0</v>
      </c>
      <c r="W7251" s="38" t="n">
        <f aca="false">Sens!$W$7250*Sens!$E$7246</f>
        <v>0</v>
      </c>
      <c r="X7251" s="38" t="n">
        <f aca="false">Sens!$X$7250*Sens!$E$7246</f>
        <v>0</v>
      </c>
      <c r="Y7251" s="38" t="n">
        <f aca="false">Sens!$Y$7250*Sens!$E$7246</f>
        <v>0</v>
      </c>
      <c r="Z7251" s="38" t="n">
        <f aca="false">Sens!$Z$7250*Sens!$E$7246</f>
        <v>0</v>
      </c>
      <c r="AA7251" s="38" t="n">
        <f aca="false">Sens!$AA$7250*Sens!$E$7246</f>
        <v>0</v>
      </c>
    </row>
    <row r="7252" customFormat="false" ht="17.15" hidden="false" customHeight="false" outlineLevel="0" collapsed="false">
      <c r="A7252" s="5" t="s">
        <v>643</v>
      </c>
      <c r="B7252" s="0" t="s">
        <v>86</v>
      </c>
      <c r="R7252" s="38" t="n">
        <f aca="false">SUMPRODUCT(--(Sens!$R$7217:$AA$7217=2023-cip_lag),Sens!$R$7251:$AA$7251)</f>
        <v>0</v>
      </c>
      <c r="S7252" s="38" t="n">
        <f aca="false">SUMPRODUCT(--(Sens!$R$7217:$AA$7217=2024-cip_lag),Sens!$R$7251:$AA$7251)</f>
        <v>0</v>
      </c>
      <c r="T7252" s="38" t="n">
        <f aca="false">SUMPRODUCT(--(Sens!$R$7217:$AA$7217=2025-cip_lag),Sens!$R$7251:$AA$7251)</f>
        <v>10.219074499801</v>
      </c>
      <c r="U7252" s="38" t="n">
        <f aca="false">SUMPRODUCT(--(Sens!$R$7217:$AA$7217=2026-cip_lag),Sens!$R$7251:$AA$7251)</f>
        <v>13.6989379390402</v>
      </c>
      <c r="V7252" s="38" t="n">
        <f aca="false">SUMPRODUCT(--(Sens!$R$7217:$AA$7217=2027-cip_lag),Sens!$R$7251:$AA$7251)</f>
        <v>23.0454203705653</v>
      </c>
      <c r="W7252" s="38" t="n">
        <f aca="false">SUMPRODUCT(--(Sens!$R$7217:$AA$7217=2028-cip_lag),Sens!$R$7251:$AA$7251)</f>
        <v>0</v>
      </c>
      <c r="X7252" s="38" t="n">
        <f aca="false">SUMPRODUCT(--(Sens!$R$7217:$AA$7217=2029-cip_lag),Sens!$R$7251:$AA$7251)</f>
        <v>0</v>
      </c>
      <c r="Y7252" s="38" t="n">
        <f aca="false">SUMPRODUCT(--(Sens!$R$7217:$AA$7217=2030-cip_lag),Sens!$R$7251:$AA$7251)</f>
        <v>0</v>
      </c>
      <c r="Z7252" s="38" t="n">
        <f aca="false">SUMPRODUCT(--(Sens!$R$7217:$AA$7217=2031-cip_lag),Sens!$R$7251:$AA$7251)</f>
        <v>0</v>
      </c>
      <c r="AA7252" s="38" t="n">
        <f aca="false">SUMPRODUCT(--(Sens!$R$7217:$AA$7217=2032-cip_lag),Sens!$R$7251:$AA$7251)</f>
        <v>0</v>
      </c>
    </row>
    <row r="7253" customFormat="false" ht="15" hidden="false" customHeight="false" outlineLevel="0" collapsed="false">
      <c r="A7253" s="5" t="s">
        <v>644</v>
      </c>
      <c r="B7253" s="0" t="s">
        <v>86</v>
      </c>
      <c r="R7253" s="38" t="n">
        <f aca="false">SUMPRODUCT(--(Sens!$R$7217:$AA$7217=2023-cip_lag),Sens!$R$7250:$AA$7250)-Sens!$R$7252</f>
        <v>0</v>
      </c>
      <c r="S7253" s="38" t="n">
        <f aca="false">SUMPRODUCT(--(Sens!$R$7217:$AA$7217=2024-cip_lag),Sens!$R$7250:$AA$7250)-Sens!$S$7252</f>
        <v>0</v>
      </c>
      <c r="T7253" s="38" t="n">
        <f aca="false">SUMPRODUCT(--(Sens!$R$7217:$AA$7217=2025-cip_lag),Sens!$R$7250:$AA$7250)-Sens!$T$7252</f>
        <v>3.76516660793636</v>
      </c>
      <c r="U7253" s="38" t="n">
        <f aca="false">SUMPRODUCT(--(Sens!$R$7217:$AA$7217=2026-cip_lag),Sens!$R$7250:$AA$7250)-Sens!$U$7252</f>
        <v>5.04730479196242</v>
      </c>
      <c r="V7253" s="38" t="n">
        <f aca="false">SUMPRODUCT(--(Sens!$R$7217:$AA$7217=2027-cip_lag),Sens!$R$7250:$AA$7250)-Sens!$V$7252</f>
        <v>7.24592107794548</v>
      </c>
      <c r="W7253" s="38" t="n">
        <f aca="false">SUMPRODUCT(--(Sens!$R$7217:$AA$7217=2028-cip_lag),Sens!$R$7250:$AA$7250)-Sens!$W$7252</f>
        <v>0</v>
      </c>
      <c r="X7253" s="38" t="n">
        <f aca="false">SUMPRODUCT(--(Sens!$R$7217:$AA$7217=2029-cip_lag),Sens!$R$7250:$AA$7250)-Sens!$X$7252</f>
        <v>0</v>
      </c>
      <c r="Y7253" s="38" t="n">
        <f aca="false">SUMPRODUCT(--(Sens!$R$7217:$AA$7217=2030-cip_lag),Sens!$R$7250:$AA$7250)-Sens!$Y$7252</f>
        <v>0</v>
      </c>
      <c r="Z7253" s="38" t="n">
        <f aca="false">SUMPRODUCT(--(Sens!$R$7217:$AA$7217=2031-cip_lag),Sens!$R$7250:$AA$7250)-Sens!$Z$7252</f>
        <v>0</v>
      </c>
      <c r="AA7253" s="38" t="n">
        <f aca="false">SUMPRODUCT(--(Sens!$R$7217:$AA$7217=2032-cip_lag),Sens!$R$7250:$AA$7250)-Sens!$AA$7252</f>
        <v>0</v>
      </c>
    </row>
    <row r="7254" customFormat="false" ht="17.15" hidden="false" customHeight="false" outlineLevel="0" collapsed="false">
      <c r="A7254" s="5" t="s">
        <v>645</v>
      </c>
      <c r="B7254" s="0" t="s">
        <v>86</v>
      </c>
      <c r="C7254" s="38" t="n">
        <f aca="false">Sens!$C$7249*Sens!$C$7246</f>
        <v>8.2530642</v>
      </c>
      <c r="D7254" s="38" t="n">
        <f aca="false">Sens!$D$7249*Sens!$D$7246</f>
        <v>37.1387889</v>
      </c>
      <c r="E7254" s="38" t="n">
        <f aca="false">Sens!$E$7249*Sens!$E$7246</f>
        <v>25.7897792</v>
      </c>
      <c r="F7254" s="38" t="n">
        <f aca="false">Sens!$F$7249*Sens!$F$7246</f>
        <v>67.4948715189913</v>
      </c>
      <c r="G7254" s="38" t="n">
        <f aca="false">Sens!$E$7254+Sens!$F$7254</f>
        <v>93.2846507189913</v>
      </c>
      <c r="H7254" s="38" t="n">
        <f aca="false">(Sens!$H$7249-Sens!$H$7248)*Sens!$H$7246+Sens!$H$7248</f>
        <v>152.52478394475</v>
      </c>
      <c r="I7254" s="38" t="n">
        <f aca="false">(Sens!$I$7249-Sens!$I$7248)*Sens!$I$7246+Sens!$I$7248</f>
        <v>158.5998889105</v>
      </c>
      <c r="J7254" s="38" t="n">
        <f aca="false">(Sens!$J$7249-Sens!$J$7248)*Sens!$J$7246+Sens!$J$7248</f>
        <v>163.8366571105</v>
      </c>
      <c r="K7254" s="38" t="n">
        <f aca="false">(Sens!$K$7249-Sens!$K$7248)*Sens!$K$7246+Sens!$K$7248</f>
        <v>122.665498273534</v>
      </c>
      <c r="L7254" s="38" t="n">
        <f aca="false">(Sens!$L$7249-Sens!$L$7248)*Sens!$L$7246+Sens!$L$7248</f>
        <v>112.914948636568</v>
      </c>
      <c r="M7254" s="38" t="n">
        <f aca="false">(Sens!$M$7249-Sens!$M$7248)*Sens!$M$7246+Sens!$M$7248</f>
        <v>126.605482654852</v>
      </c>
      <c r="R7254" s="38" t="n">
        <f aca="false">Sens!$R$7249*Sens!$C$7246</f>
        <v>1.09927679019314</v>
      </c>
      <c r="S7254" s="38" t="n">
        <f aca="false">Sens!$C$7254</f>
        <v>8.2530642</v>
      </c>
      <c r="T7254" s="38" t="n">
        <f aca="false">Sens!$D$7254</f>
        <v>37.1387889</v>
      </c>
      <c r="U7254" s="38" t="n">
        <f aca="false">Sens!$G$7254</f>
        <v>93.2846507189913</v>
      </c>
      <c r="V7254" s="38" t="n">
        <f aca="false">Sens!$H$7254</f>
        <v>152.52478394475</v>
      </c>
      <c r="W7254" s="38" t="n">
        <f aca="false">Sens!$I$7254</f>
        <v>158.5998889105</v>
      </c>
      <c r="X7254" s="38" t="n">
        <f aca="false">Sens!$J$7254</f>
        <v>163.8366571105</v>
      </c>
      <c r="Y7254" s="38" t="n">
        <f aca="false">Sens!$K$7254</f>
        <v>122.665498273534</v>
      </c>
      <c r="Z7254" s="38" t="n">
        <f aca="false">Sens!$L$7254</f>
        <v>112.914948636568</v>
      </c>
      <c r="AA7254" s="38" t="n">
        <f aca="false">Sens!$M$7254</f>
        <v>126.605482654852</v>
      </c>
    </row>
    <row r="7255" customFormat="false" ht="15" hidden="false" customHeight="false" outlineLevel="0" collapsed="false">
      <c r="A7255" s="5" t="s">
        <v>646</v>
      </c>
      <c r="B7255" s="0" t="s">
        <v>86</v>
      </c>
      <c r="C7255" s="38" t="n">
        <f aca="false">Sens!$C$7249-Sens!$C$7254</f>
        <v>3.0408</v>
      </c>
      <c r="D7255" s="38" t="n">
        <f aca="false">Sens!$D$7249-Sens!$D$7254</f>
        <v>13.6836</v>
      </c>
      <c r="E7255" s="38" t="n">
        <f aca="false">Sens!$E$7249-Sens!$E$7254</f>
        <v>8.1088</v>
      </c>
      <c r="F7255" s="38" t="n">
        <f aca="false">Sens!$F$7249-Sens!$F$7254</f>
        <v>21.2216789422221</v>
      </c>
      <c r="G7255" s="38" t="n">
        <f aca="false">Sens!$G$7249-Sens!$G$7254</f>
        <v>29.3304789422221</v>
      </c>
      <c r="H7255" s="38" t="n">
        <f aca="false">Sens!$H$7249-Sens!$H$7254</f>
        <v>46.046581</v>
      </c>
      <c r="I7255" s="38" t="n">
        <f aca="false">Sens!$I$7249-Sens!$I$7254</f>
        <v>46.046581</v>
      </c>
      <c r="J7255" s="38" t="n">
        <f aca="false">Sens!$J$7249-Sens!$J$7254</f>
        <v>46.046581</v>
      </c>
      <c r="K7255" s="38" t="n">
        <f aca="false">Sens!$K$7249-Sens!$K$7254</f>
        <v>32.5728870016667</v>
      </c>
      <c r="L7255" s="38" t="n">
        <f aca="false">Sens!$L$7249-Sens!$L$7254</f>
        <v>19.0991930033334</v>
      </c>
      <c r="M7255" s="38" t="n">
        <f aca="false">Sens!$M$7249-Sens!$M$7254</f>
        <v>5.62549900499998</v>
      </c>
      <c r="R7255" s="38" t="n">
        <f aca="false">Sens!$R$7249-Sens!$R$7254</f>
        <v>0.405023005106309</v>
      </c>
      <c r="S7255" s="38" t="n">
        <f aca="false">Sens!$S$7249-Sens!$S$7254</f>
        <v>3.0408</v>
      </c>
      <c r="T7255" s="38" t="n">
        <f aca="false">Sens!$T$7249-Sens!$T$7254</f>
        <v>13.6836</v>
      </c>
      <c r="U7255" s="38" t="n">
        <f aca="false">Sens!$U$7249-Sens!$U$7254</f>
        <v>29.3304789422221</v>
      </c>
      <c r="V7255" s="38" t="n">
        <f aca="false">Sens!$V$7249-Sens!$V$7254</f>
        <v>46.046581</v>
      </c>
      <c r="W7255" s="38" t="n">
        <f aca="false">Sens!$W$7249-Sens!$W$7254</f>
        <v>46.046581</v>
      </c>
      <c r="X7255" s="38" t="n">
        <f aca="false">Sens!$X$7249-Sens!$X$7254</f>
        <v>46.046581</v>
      </c>
      <c r="Y7255" s="38" t="n">
        <f aca="false">Sens!$Y$7249-Sens!$Y$7254</f>
        <v>32.5728870016667</v>
      </c>
      <c r="Z7255" s="38" t="n">
        <f aca="false">Sens!$Z$7249-Sens!$Z$7254</f>
        <v>19.0991930033334</v>
      </c>
      <c r="AA7255" s="38" t="n">
        <f aca="false">Sens!$AA$7249-Sens!$AA$7254</f>
        <v>5.62549900499998</v>
      </c>
    </row>
    <row r="7256" customFormat="false" ht="17.15" hidden="false" customHeight="false" outlineLevel="0" collapsed="false">
      <c r="A7256" s="0" t="s">
        <v>647</v>
      </c>
      <c r="B7256" s="0" t="s">
        <v>52</v>
      </c>
      <c r="C7256" s="13" t="n">
        <f aca="false">Sens!$C$7247/Sens!$C$7372</f>
        <v>0.325505489553393</v>
      </c>
      <c r="D7256" s="13" t="n">
        <f aca="false">Sens!$D$7247/Sens!$D$7372</f>
        <v>0.54214956071542</v>
      </c>
      <c r="E7256" s="13" t="n">
        <f aca="false">Sens!$E$7247/Sens!$E$7372</f>
        <v>0.666492790452817</v>
      </c>
      <c r="F7256" s="13" t="n">
        <f aca="false">Sens!$F$7247/Sens!$F$7372</f>
        <v>0.71724917504417</v>
      </c>
      <c r="G7256" s="13" t="n">
        <f aca="false">Sens!$G$7247/Sens!$G$7372</f>
        <v>0.69502941413511</v>
      </c>
      <c r="H7256" s="13" t="n">
        <f aca="false">Sens!$H$7247/Sens!$H$7372</f>
        <v>0.726376041178204</v>
      </c>
      <c r="I7256" s="13" t="n">
        <f aca="false">Sens!$I$7247/Sens!$I$7372</f>
        <v>0.713099092661699</v>
      </c>
      <c r="J7256" s="13" t="n">
        <f aca="false">Sens!$J$7247/Sens!$J$7372</f>
        <v>0.701208348786245</v>
      </c>
      <c r="K7256" s="13" t="n">
        <f aca="false">Sens!$K$7247/Sens!$K$7372</f>
        <v>0.618338844562383</v>
      </c>
      <c r="L7256" s="13" t="n">
        <f aca="false">Sens!$L$7247/Sens!$L$7372</f>
        <v>0.562489158462506</v>
      </c>
      <c r="M7256" s="13" t="n">
        <f aca="false">Sens!$M$7247/Sens!$M$7372</f>
        <v>0.545751190895923</v>
      </c>
    </row>
    <row r="7257" customFormat="false" ht="17.15" hidden="false" customHeight="false" outlineLevel="0" collapsed="false">
      <c r="A7257" s="0" t="s">
        <v>648</v>
      </c>
      <c r="B7257" s="0" t="s">
        <v>86</v>
      </c>
      <c r="C7257" s="38" t="n">
        <f aca="false">Sens!$S$7257</f>
        <v>0.183212798365523</v>
      </c>
      <c r="D7257" s="38" t="n">
        <f aca="false">Sens!$T$7257</f>
        <v>1.55872349836552</v>
      </c>
      <c r="E7257" s="38" t="n">
        <f aca="false">Sens!$G$7257/2</f>
        <v>4.72585036583285</v>
      </c>
      <c r="F7257" s="38" t="n">
        <f aca="false">Sens!$G$7257/2</f>
        <v>4.72585036583285</v>
      </c>
      <c r="G7257" s="38" t="n">
        <f aca="false">Sens!$U$7257</f>
        <v>9.4517007316657</v>
      </c>
      <c r="H7257" s="38" t="n">
        <f aca="false">Sens!$V$7257</f>
        <v>27.2822988413376</v>
      </c>
      <c r="I7257" s="38" t="n">
        <f aca="false">Sens!$W$7257</f>
        <v>56.5439995605568</v>
      </c>
      <c r="J7257" s="38" t="n">
        <f aca="false">Sens!$X$7257</f>
        <v>82.9773143789735</v>
      </c>
      <c r="K7257" s="38" t="n">
        <f aca="false">Sens!$Y$7257</f>
        <v>110.100211099025</v>
      </c>
      <c r="L7257" s="38" t="n">
        <f aca="false">Sens!$Z$7257</f>
        <v>129.16895011128</v>
      </c>
      <c r="M7257" s="38" t="n">
        <f aca="false">Sens!$AA$7257</f>
        <v>140.095130984075</v>
      </c>
      <c r="N7257" s="38" t="n">
        <f aca="false">Sens!$D$7257/2</f>
        <v>0.779361749182762</v>
      </c>
      <c r="O7257" s="38" t="n">
        <f aca="false">Sens!$D$7257/2</f>
        <v>0.779361749182762</v>
      </c>
      <c r="R7257" s="38" t="n">
        <f aca="false">(SUMPRODUCT(--(Sens!$R$7217:$AA$7217&lt;Sens!R$7217),--(Sens!$R$7217:$AA$7217&gt;=Sens!R$7217-tk_life),Sens!$R$7254:$AA$7254)+SUMPRODUCT(--(Sens!$R$7217:$AA$7217&lt;Sens!R$7217),--(Sens!$R$7217:$AA$7217&gt;=Sens!R$7217-tk_life),Sens!$R$7252:$AA$7252))/tk_life</f>
        <v>0</v>
      </c>
      <c r="S7257" s="38" t="n">
        <f aca="false">(SUMPRODUCT(--(Sens!$R$7217:$AA$7217&lt;Sens!S$7217),--(Sens!$R$7217:$AA$7217&gt;=Sens!S$7217-tk_life),Sens!$R$7254:$AA$7254)+SUMPRODUCT(--(Sens!$R$7217:$AA$7217&lt;Sens!S$7217),--(Sens!$R$7217:$AA$7217&gt;=Sens!S$7217-tk_life),Sens!$R$7252:$AA$7252))/tk_life</f>
        <v>0.183212798365523</v>
      </c>
      <c r="T7257" s="38" t="n">
        <f aca="false">(SUMPRODUCT(--(Sens!$R$7217:$AA$7217&lt;Sens!T$7217),--(Sens!$R$7217:$AA$7217&gt;=Sens!T$7217-tk_life),Sens!$R$7254:$AA$7254)+SUMPRODUCT(--(Sens!$R$7217:$AA$7217&lt;Sens!T$7217),--(Sens!$R$7217:$AA$7217&gt;=Sens!T$7217-tk_life),Sens!$R$7252:$AA$7252))/tk_life</f>
        <v>1.55872349836552</v>
      </c>
      <c r="U7257" s="38" t="n">
        <f aca="false">(SUMPRODUCT(--(Sens!$R$7217:$AA$7217&lt;Sens!U$7217),--(Sens!$R$7217:$AA$7217&gt;=Sens!U$7217-tk_life),Sens!$R$7254:$AA$7254)+SUMPRODUCT(--(Sens!$R$7217:$AA$7217&lt;Sens!U$7217),--(Sens!$R$7217:$AA$7217&gt;=Sens!U$7217-tk_life),Sens!$R$7252:$AA$7252))/tk_life</f>
        <v>9.4517007316657</v>
      </c>
      <c r="V7257" s="38" t="n">
        <f aca="false">(SUMPRODUCT(--(Sens!$R$7217:$AA$7217&lt;Sens!V$7217),--(Sens!$R$7217:$AA$7217&gt;=Sens!V$7217-tk_life),Sens!$R$7254:$AA$7254)+SUMPRODUCT(--(Sens!$R$7217:$AA$7217&lt;Sens!V$7217),--(Sens!$R$7217:$AA$7217&gt;=Sens!V$7217-tk_life),Sens!$R$7252:$AA$7252))/tk_life</f>
        <v>27.2822988413376</v>
      </c>
      <c r="W7257" s="38" t="n">
        <f aca="false">(SUMPRODUCT(--(Sens!$R$7217:$AA$7217&lt;Sens!W$7217),--(Sens!$R$7217:$AA$7217&gt;=Sens!W$7217-tk_life),Sens!$R$7254:$AA$7254)+SUMPRODUCT(--(Sens!$R$7217:$AA$7217&lt;Sens!W$7217),--(Sens!$R$7217:$AA$7217&gt;=Sens!W$7217-tk_life),Sens!$R$7252:$AA$7252))/tk_life</f>
        <v>56.5439995605568</v>
      </c>
      <c r="X7257" s="38" t="n">
        <f aca="false">(SUMPRODUCT(--(Sens!$R$7217:$AA$7217&lt;Sens!X$7217),--(Sens!$R$7217:$AA$7217&gt;=Sens!X$7217-tk_life),Sens!$R$7254:$AA$7254)+SUMPRODUCT(--(Sens!$R$7217:$AA$7217&lt;Sens!X$7217),--(Sens!$R$7217:$AA$7217&gt;=Sens!X$7217-tk_life),Sens!$R$7252:$AA$7252))/tk_life</f>
        <v>82.9773143789735</v>
      </c>
      <c r="Y7257" s="38" t="n">
        <f aca="false">(SUMPRODUCT(--(Sens!$R$7217:$AA$7217&lt;Sens!Y$7217),--(Sens!$R$7217:$AA$7217&gt;=Sens!Y$7217-tk_life),Sens!$R$7254:$AA$7254)+SUMPRODUCT(--(Sens!$R$7217:$AA$7217&lt;Sens!Y$7217),--(Sens!$R$7217:$AA$7217&gt;=Sens!Y$7217-tk_life),Sens!$R$7252:$AA$7252))/tk_life</f>
        <v>110.100211099025</v>
      </c>
      <c r="Z7257" s="38" t="n">
        <f aca="false">(SUMPRODUCT(--(Sens!$R$7217:$AA$7217&lt;Sens!Z$7217),--(Sens!$R$7217:$AA$7217&gt;=Sens!Z$7217-tk_life),Sens!$R$7254:$AA$7254)+SUMPRODUCT(--(Sens!$R$7217:$AA$7217&lt;Sens!Z$7217),--(Sens!$R$7217:$AA$7217&gt;=Sens!Z$7217-tk_life),Sens!$R$7252:$AA$7252))/tk_life</f>
        <v>129.16895011128</v>
      </c>
      <c r="AA7257" s="38" t="n">
        <f aca="false">(SUMPRODUCT(--(Sens!$R$7217:$AA$7217&lt;Sens!AA$7217),--(Sens!$R$7217:$AA$7217&gt;=Sens!AA$7217-tk_life),Sens!$R$7254:$AA$7254)+SUMPRODUCT(--(Sens!$R$7217:$AA$7217&lt;Sens!AA$7217),--(Sens!$R$7217:$AA$7217&gt;=Sens!AA$7217-tk_life),Sens!$R$7252:$AA$7252))/tk_life</f>
        <v>140.095130984075</v>
      </c>
    </row>
    <row r="7258" customFormat="false" ht="17.15" hidden="false" customHeight="false" outlineLevel="0" collapsed="false">
      <c r="A7258" s="0" t="s">
        <v>649</v>
      </c>
      <c r="B7258" s="0" t="s">
        <v>86</v>
      </c>
      <c r="C7258" s="38" t="n">
        <f aca="false">Sens!$S$7258</f>
        <v>0.0202511502553155</v>
      </c>
      <c r="D7258" s="38" t="n">
        <f aca="false">Sens!$T$7258</f>
        <v>0.172291150255315</v>
      </c>
      <c r="E7258" s="38" t="n">
        <f aca="false">Sens!$G$7258/2</f>
        <v>0.522364740326067</v>
      </c>
      <c r="F7258" s="38" t="n">
        <f aca="false">Sens!$G$7258/2</f>
        <v>0.522364740326067</v>
      </c>
      <c r="G7258" s="38" t="n">
        <f aca="false">Sens!$U$7258</f>
        <v>1.04472948065213</v>
      </c>
      <c r="H7258" s="38" t="n">
        <f aca="false">Sens!$V$7258</f>
        <v>2.76361866736136</v>
      </c>
      <c r="I7258" s="38" t="n">
        <f aca="false">Sens!$W$7258</f>
        <v>5.42824377125863</v>
      </c>
      <c r="J7258" s="38" t="n">
        <f aca="false">Sens!$X$7258</f>
        <v>7.73057282125864</v>
      </c>
      <c r="K7258" s="38" t="n">
        <f aca="false">Sens!$Y$7258</f>
        <v>10.0329018712586</v>
      </c>
      <c r="L7258" s="38" t="n">
        <f aca="false">Sens!$Z$7258</f>
        <v>11.661546221342</v>
      </c>
      <c r="M7258" s="38" t="n">
        <f aca="false">Sens!$AA$7258</f>
        <v>12.6165058715086</v>
      </c>
      <c r="N7258" s="38" t="n">
        <f aca="false">Sens!$D$7258/2</f>
        <v>0.0861455751276577</v>
      </c>
      <c r="O7258" s="38" t="n">
        <f aca="false">Sens!$D$7258/2</f>
        <v>0.0861455751276577</v>
      </c>
      <c r="R7258" s="38" t="n">
        <f aca="false">(SUMPRODUCT(--(Sens!$R$7217:$AA$7217&lt;Sens!R$7217),Sens!$R$7255:$AA$7255)+SUMPRODUCT(--(Sens!$R$7217:$AA$7217&lt;Sens!R$7217),Sens!$R$7253:$AA$7253))/fac_life</f>
        <v>0</v>
      </c>
      <c r="S7258" s="38" t="n">
        <f aca="false">(SUMPRODUCT(--(Sens!$R$7217:$AA$7217&lt;Sens!S$7217),Sens!$R$7255:$AA$7255)+SUMPRODUCT(--(Sens!$R$7217:$AA$7217&lt;Sens!S$7217),Sens!$R$7253:$AA$7253))/fac_life</f>
        <v>0.0202511502553155</v>
      </c>
      <c r="T7258" s="38" t="n">
        <f aca="false">(SUMPRODUCT(--(Sens!$R$7217:$AA$7217&lt;Sens!T$7217),Sens!$R$7255:$AA$7255)+SUMPRODUCT(--(Sens!$R$7217:$AA$7217&lt;Sens!T$7217),Sens!$R$7253:$AA$7253))/fac_life</f>
        <v>0.172291150255315</v>
      </c>
      <c r="U7258" s="38" t="n">
        <f aca="false">(SUMPRODUCT(--(Sens!$R$7217:$AA$7217&lt;Sens!U$7217),Sens!$R$7255:$AA$7255)+SUMPRODUCT(--(Sens!$R$7217:$AA$7217&lt;Sens!U$7217),Sens!$R$7253:$AA$7253))/fac_life</f>
        <v>1.04472948065213</v>
      </c>
      <c r="V7258" s="38" t="n">
        <f aca="false">(SUMPRODUCT(--(Sens!$R$7217:$AA$7217&lt;Sens!V$7217),Sens!$R$7255:$AA$7255)+SUMPRODUCT(--(Sens!$R$7217:$AA$7217&lt;Sens!V$7217),Sens!$R$7253:$AA$7253))/fac_life</f>
        <v>2.76361866736136</v>
      </c>
      <c r="W7258" s="38" t="n">
        <f aca="false">(SUMPRODUCT(--(Sens!$R$7217:$AA$7217&lt;Sens!W$7217),Sens!$R$7255:$AA$7255)+SUMPRODUCT(--(Sens!$R$7217:$AA$7217&lt;Sens!W$7217),Sens!$R$7253:$AA$7253))/fac_life</f>
        <v>5.42824377125863</v>
      </c>
      <c r="X7258" s="38" t="n">
        <f aca="false">(SUMPRODUCT(--(Sens!$R$7217:$AA$7217&lt;Sens!X$7217),Sens!$R$7255:$AA$7255)+SUMPRODUCT(--(Sens!$R$7217:$AA$7217&lt;Sens!X$7217),Sens!$R$7253:$AA$7253))/fac_life</f>
        <v>7.73057282125864</v>
      </c>
      <c r="Y7258" s="38" t="n">
        <f aca="false">(SUMPRODUCT(--(Sens!$R$7217:$AA$7217&lt;Sens!Y$7217),Sens!$R$7255:$AA$7255)+SUMPRODUCT(--(Sens!$R$7217:$AA$7217&lt;Sens!Y$7217),Sens!$R$7253:$AA$7253))/fac_life</f>
        <v>10.0329018712586</v>
      </c>
      <c r="Z7258" s="38" t="n">
        <f aca="false">(SUMPRODUCT(--(Sens!$R$7217:$AA$7217&lt;Sens!Z$7217),Sens!$R$7255:$AA$7255)+SUMPRODUCT(--(Sens!$R$7217:$AA$7217&lt;Sens!Z$7217),Sens!$R$7253:$AA$7253))/fac_life</f>
        <v>11.661546221342</v>
      </c>
      <c r="AA7258" s="38" t="n">
        <f aca="false">(SUMPRODUCT(--(Sens!$R$7217:$AA$7217&lt;Sens!AA$7217),Sens!$R$7255:$AA$7255)+SUMPRODUCT(--(Sens!$R$7217:$AA$7217&lt;Sens!AA$7217),Sens!$R$7253:$AA$7253))/fac_life</f>
        <v>12.6165058715086</v>
      </c>
    </row>
    <row r="7259" customFormat="false" ht="17.15" hidden="false" customHeight="false" outlineLevel="0" collapsed="false">
      <c r="A7259" s="1" t="s">
        <v>650</v>
      </c>
      <c r="B7259" s="8" t="s">
        <v>86</v>
      </c>
      <c r="C7259" s="38" t="n">
        <f aca="false">Sens!$C$7257+Sens!$C$7258</f>
        <v>0.203463948620839</v>
      </c>
      <c r="D7259" s="38" t="n">
        <f aca="false">Sens!$D$7257+Sens!$D$7258</f>
        <v>1.73101464862084</v>
      </c>
      <c r="E7259" s="38" t="n">
        <f aca="false">Sens!$E$7257+Sens!$E$7258</f>
        <v>5.24821510615892</v>
      </c>
      <c r="F7259" s="38" t="n">
        <f aca="false">Sens!$F$7257+Sens!$F$7258</f>
        <v>5.24821510615892</v>
      </c>
      <c r="G7259" s="38" t="n">
        <f aca="false">Sens!$G$7257+Sens!$G$7258</f>
        <v>10.4964302123178</v>
      </c>
      <c r="H7259" s="38" t="n">
        <f aca="false">Sens!$H$7257+Sens!$H$7258</f>
        <v>30.045917508699</v>
      </c>
      <c r="I7259" s="38" t="n">
        <f aca="false">Sens!$I$7257+Sens!$I$7258</f>
        <v>61.9722433318155</v>
      </c>
      <c r="J7259" s="38" t="n">
        <f aca="false">Sens!$J$7257+Sens!$J$7258</f>
        <v>90.7078872002321</v>
      </c>
      <c r="K7259" s="38" t="n">
        <f aca="false">Sens!$K$7257+Sens!$K$7258</f>
        <v>120.133112970283</v>
      </c>
      <c r="L7259" s="38" t="n">
        <f aca="false">Sens!$L$7257+Sens!$L$7258</f>
        <v>140.830496332622</v>
      </c>
      <c r="M7259" s="38" t="n">
        <f aca="false">Sens!$M$7257+Sens!$M$7258</f>
        <v>152.711636855584</v>
      </c>
      <c r="N7259" s="38" t="n">
        <f aca="false">Sens!$N$7257+Sens!$N$7258</f>
        <v>0.865507324310419</v>
      </c>
      <c r="O7259" s="38" t="n">
        <f aca="false">Sens!$O$7257+Sens!$O$7258</f>
        <v>0.865507324310419</v>
      </c>
      <c r="R7259" s="38" t="n">
        <f aca="false">Sens!$R$7257+Sens!$R$7258</f>
        <v>0</v>
      </c>
      <c r="S7259" s="38" t="n">
        <f aca="false">Sens!$S$7257+Sens!$S$7258</f>
        <v>0.203463948620839</v>
      </c>
      <c r="T7259" s="38" t="n">
        <f aca="false">Sens!$T$7257+Sens!$T$7258</f>
        <v>1.73101464862084</v>
      </c>
      <c r="U7259" s="38" t="n">
        <f aca="false">Sens!$U$7257+Sens!$U$7258</f>
        <v>10.4964302123178</v>
      </c>
      <c r="V7259" s="38" t="n">
        <f aca="false">Sens!$V$7257+Sens!$V$7258</f>
        <v>30.045917508699</v>
      </c>
      <c r="W7259" s="38" t="n">
        <f aca="false">Sens!$W$7257+Sens!$W$7258</f>
        <v>61.9722433318155</v>
      </c>
      <c r="X7259" s="38" t="n">
        <f aca="false">Sens!$X$7257+Sens!$X$7258</f>
        <v>90.7078872002321</v>
      </c>
      <c r="Y7259" s="38" t="n">
        <f aca="false">Sens!$Y$7257+Sens!$Y$7258</f>
        <v>120.133112970283</v>
      </c>
      <c r="Z7259" s="38" t="n">
        <f aca="false">Sens!$Z$7257+Sens!$Z$7258</f>
        <v>140.830496332622</v>
      </c>
      <c r="AA7259" s="38" t="n">
        <f aca="false">Sens!$AA$7257+Sens!$AA$7258</f>
        <v>152.711636855584</v>
      </c>
    </row>
    <row r="7260" customFormat="false" ht="17.15" hidden="false" customHeight="false" outlineLevel="0" collapsed="false">
      <c r="A7260" s="0" t="s">
        <v>651</v>
      </c>
      <c r="B7260" s="0" t="s">
        <v>86</v>
      </c>
      <c r="C7260" s="38" t="n">
        <f aca="false">Sens!$S$7260</f>
        <v>26.578941154416</v>
      </c>
      <c r="D7260" s="38" t="n">
        <f aca="false">Sens!$T$7260</f>
        <v>94.4165581367978</v>
      </c>
      <c r="G7260" s="38" t="n">
        <f aca="false">Sens!$U$7260</f>
        <v>236.826599034204</v>
      </c>
      <c r="H7260" s="38" t="n">
        <f aca="false">Sens!$V$7260</f>
        <v>405.352046470255</v>
      </c>
      <c r="I7260" s="38" t="n">
        <f aca="false">Sens!$W$7260</f>
        <v>548.02627304894</v>
      </c>
      <c r="J7260" s="38" t="n">
        <f aca="false">Sens!$X$7260</f>
        <v>667.201623959208</v>
      </c>
      <c r="K7260" s="38" t="n">
        <f aca="false">Sens!$Y$7260</f>
        <v>702.306896264125</v>
      </c>
      <c r="L7260" s="38" t="n">
        <f aca="false">Sens!$Z$7260</f>
        <v>693.490541571405</v>
      </c>
      <c r="M7260" s="38" t="n">
        <f aca="false">Sens!$AA$7260</f>
        <v>673.009886375674</v>
      </c>
      <c r="R7260" s="38" t="n">
        <f aca="false">SUM(Sens!$R$7247:$R$7247)-SUM(Sens!$R$7259:$R$7259)</f>
        <v>1.50429979529945</v>
      </c>
      <c r="S7260" s="38" t="n">
        <f aca="false">SUM(Sens!$R$7247:$S$7247)-SUM(Sens!$R$7259:$S$7259)</f>
        <v>26.578941154416</v>
      </c>
      <c r="T7260" s="38" t="n">
        <f aca="false">SUM(Sens!$R$7247:$T$7247)-SUM(Sens!$R$7259:$T$7259)</f>
        <v>94.4165581367978</v>
      </c>
      <c r="U7260" s="38" t="n">
        <f aca="false">SUM(Sens!$R$7247:$U$7247)-SUM(Sens!$R$7259:$U$7259)</f>
        <v>236.826599034204</v>
      </c>
      <c r="V7260" s="38" t="n">
        <f aca="false">SUM(Sens!$R$7247:$V$7247)-SUM(Sens!$R$7259:$V$7259)</f>
        <v>405.352046470255</v>
      </c>
      <c r="W7260" s="38" t="n">
        <f aca="false">SUM(Sens!$R$7247:$W$7247)-SUM(Sens!$R$7259:$W$7259)</f>
        <v>548.02627304894</v>
      </c>
      <c r="X7260" s="38" t="n">
        <f aca="false">SUM(Sens!$R$7247:$X$7247)-SUM(Sens!$R$7259:$X$7259)</f>
        <v>667.201623959208</v>
      </c>
      <c r="Y7260" s="38" t="n">
        <f aca="false">SUM(Sens!$R$7247:$Y$7247)-SUM(Sens!$R$7259:$Y$7259)</f>
        <v>702.306896264125</v>
      </c>
      <c r="Z7260" s="38" t="n">
        <f aca="false">SUM(Sens!$R$7247:$Z$7247)-SUM(Sens!$R$7259:$Z$7259)</f>
        <v>693.490541571405</v>
      </c>
      <c r="AA7260" s="38" t="n">
        <f aca="false">SUM(Sens!$R$7247:$AA$7247)-SUM(Sens!$R$7259:$AA$7259)</f>
        <v>673.009886375674</v>
      </c>
    </row>
    <row r="7261" customFormat="false" ht="17.15" hidden="false" customHeight="false" outlineLevel="0" collapsed="false">
      <c r="A7261" s="1" t="s">
        <v>652</v>
      </c>
    </row>
    <row r="7262" customFormat="false" ht="17.15" hidden="false" customHeight="false" outlineLevel="0" collapsed="false">
      <c r="A7262" s="0" t="s">
        <v>653</v>
      </c>
      <c r="B7262" s="0" t="s">
        <v>86</v>
      </c>
      <c r="C7262" s="38" t="n">
        <f aca="false">Sens!$C$7238-ext_sh*Sens!$C$7240</f>
        <v>1.80694998843362</v>
      </c>
      <c r="D7262" s="38" t="n">
        <f aca="false">Sens!$D$7238-ext_sh*Sens!$D$7240</f>
        <v>6.77606245662607</v>
      </c>
      <c r="E7262" s="38" t="n">
        <f aca="false">Sens!$E$7238-ext_sh*Sens!$E$7240</f>
        <v>6.62548329092326</v>
      </c>
      <c r="F7262" s="38" t="n">
        <f aca="false">Sens!$F$7238-ext_sh*Sens!$F$7240</f>
        <v>11.7200577158706</v>
      </c>
      <c r="G7262" s="38" t="n">
        <f aca="false">Sens!$G$7238-ext_sh*Sens!$G$7240</f>
        <v>18.3455410067939</v>
      </c>
      <c r="H7262" s="38" t="n">
        <f aca="false">Sens!$H$7238-ext_sh*Sens!$H$7240</f>
        <v>47.5171727060453</v>
      </c>
      <c r="I7262" s="38" t="n">
        <f aca="false">Sens!$I$7238-ext_sh*Sens!$I$7240</f>
        <v>80.5539692643667</v>
      </c>
      <c r="J7262" s="38" t="n">
        <f aca="false">Sens!$J$7238-ext_sh*Sens!$J$7240</f>
        <v>113.759316834883</v>
      </c>
      <c r="K7262" s="38" t="n">
        <f aca="false">Sens!$K$7238-ext_sh*Sens!$K$7240</f>
        <v>142.084411492169</v>
      </c>
      <c r="L7262" s="38" t="n">
        <f aca="false">Sens!$L$7238-ext_sh*Sens!$L$7240</f>
        <v>160.69964615804</v>
      </c>
      <c r="M7262" s="38" t="n">
        <f aca="false">Sens!$M$7238-ext_sh*Sens!$M$7240</f>
        <v>169.577607141793</v>
      </c>
      <c r="N7262" s="38" t="n">
        <f aca="false">Sens!$N$7238-ext_sh*Sens!$N$7240</f>
        <v>2.37162185981912</v>
      </c>
      <c r="O7262" s="38" t="n">
        <f aca="false">Sens!$O$7238-ext_sh*Sens!$O$7240</f>
        <v>4.40444059680694</v>
      </c>
    </row>
    <row r="7263" customFormat="false" ht="17.15" hidden="false" customHeight="false" outlineLevel="0" collapsed="false">
      <c r="A7263" s="1" t="s">
        <v>654</v>
      </c>
      <c r="B7263" s="8" t="s">
        <v>86</v>
      </c>
      <c r="C7263" s="38" t="n">
        <f aca="false">Sens!$C$7262-ext_sh*Sens!$C$7259</f>
        <v>1.64417882953695</v>
      </c>
      <c r="D7263" s="38" t="n">
        <f aca="false">Sens!$D$7262-ext_sh*Sens!$D$7259</f>
        <v>5.39125073772939</v>
      </c>
      <c r="E7263" s="38" t="n">
        <f aca="false">Sens!$E$7262-ext_sh*Sens!$E$7259</f>
        <v>2.42691120599613</v>
      </c>
      <c r="F7263" s="38" t="n">
        <f aca="false">Sens!$F$7262-ext_sh*Sens!$F$7259</f>
        <v>7.52148563094346</v>
      </c>
      <c r="G7263" s="38" t="n">
        <f aca="false">Sens!$G$7262-ext_sh*Sens!$G$7259</f>
        <v>9.94839683693959</v>
      </c>
      <c r="H7263" s="38" t="n">
        <f aca="false">Sens!$H$7262-ext_sh*Sens!$H$7259</f>
        <v>23.4804386990861</v>
      </c>
      <c r="I7263" s="38" t="n">
        <f aca="false">Sens!$I$7262-ext_sh*Sens!$I$7259</f>
        <v>30.9761745989143</v>
      </c>
      <c r="J7263" s="38" t="n">
        <f aca="false">Sens!$J$7262-ext_sh*Sens!$J$7259</f>
        <v>41.1930070746977</v>
      </c>
      <c r="K7263" s="38" t="n">
        <f aca="false">Sens!$K$7262-ext_sh*Sens!$K$7259</f>
        <v>45.9779211159428</v>
      </c>
      <c r="L7263" s="38" t="n">
        <f aca="false">Sens!$L$7262-ext_sh*Sens!$L$7259</f>
        <v>48.0352490919424</v>
      </c>
      <c r="M7263" s="38" t="n">
        <f aca="false">Sens!$M$7262-ext_sh*Sens!$M$7259</f>
        <v>47.4082976573265</v>
      </c>
      <c r="N7263" s="38" t="n">
        <f aca="false">Sens!$N$7262-ext_sh*Sens!$N$7259</f>
        <v>1.67921600037079</v>
      </c>
      <c r="O7263" s="38" t="n">
        <f aca="false">Sens!$O$7262-ext_sh*Sens!$O$7259</f>
        <v>3.71203473735861</v>
      </c>
    </row>
    <row r="7264" customFormat="false" ht="17.15" hidden="false" customHeight="false" outlineLevel="0" collapsed="false">
      <c r="A7264" s="0" t="s">
        <v>655</v>
      </c>
      <c r="B7264" s="0" t="s">
        <v>52</v>
      </c>
      <c r="C7264" s="13" t="n">
        <f aca="false">Sens!$C$7263/Sens!$C$7238</f>
        <v>0.708390794789371</v>
      </c>
      <c r="D7264" s="13" t="n">
        <f aca="false">Sens!$D$7263/Sens!$D$7238</f>
        <v>0.619415573115729</v>
      </c>
      <c r="E7264" s="13" t="n">
        <f aca="false">Sens!$E$7263/Sens!$E$7238</f>
        <v>0.285171627189009</v>
      </c>
      <c r="F7264" s="13" t="n">
        <f aca="false">Sens!$F$7263/Sens!$F$7238</f>
        <v>0.502657732812366</v>
      </c>
      <c r="G7264" s="13" t="n">
        <f aca="false">Sens!$G$7263/Sens!$G$7238</f>
        <v>0.423808778611812</v>
      </c>
      <c r="H7264" s="13" t="n">
        <f aca="false">Sens!$H$7263/Sens!$H$7238</f>
        <v>0.390261631739809</v>
      </c>
      <c r="I7264" s="13" t="n">
        <f aca="false">Sens!$I$7263/Sens!$I$7238</f>
        <v>0.305172864264572</v>
      </c>
      <c r="J7264" s="13" t="n">
        <f aca="false">Sens!$J$7263/Sens!$J$7238</f>
        <v>0.288011814789856</v>
      </c>
      <c r="K7264" s="13" t="n">
        <f aca="false">Sens!$K$7263/Sens!$K$7238</f>
        <v>0.25765427518774</v>
      </c>
      <c r="L7264" s="13" t="n">
        <f aca="false">Sens!$L$7263/Sens!$L$7238</f>
        <v>0.238118778012374</v>
      </c>
      <c r="M7264" s="13" t="n">
        <f aca="false">Sens!$M$7263/Sens!$M$7238</f>
        <v>0.222746255757109</v>
      </c>
      <c r="N7264" s="13" t="n">
        <f aca="false">Sens!$N$7263/Sens!$N$7238</f>
        <v>0.551227795793364</v>
      </c>
      <c r="O7264" s="13" t="n">
        <f aca="false">Sens!$O$7263/Sens!$O$7238</f>
        <v>0.656132068597002</v>
      </c>
    </row>
    <row r="7265" customFormat="false" ht="17.15" hidden="false" customHeight="false" outlineLevel="0" collapsed="false">
      <c r="A7265" s="5" t="s">
        <v>656</v>
      </c>
      <c r="B7265" s="0" t="s">
        <v>86</v>
      </c>
      <c r="C7265" s="39" t="n">
        <v>0</v>
      </c>
      <c r="D7265" s="39" t="n">
        <v>0</v>
      </c>
      <c r="E7265" s="39" t="n">
        <v>0</v>
      </c>
      <c r="F7265" s="38" t="n">
        <f aca="false">IF(internal_ai_reading=2,1,0)*(1-ext_sh)/ext_sh*(mw_open*he_open+Sens!$F$7236*Sens!$F$7233)*Sens!$F$7222/1000</f>
        <v>3.77122048175818</v>
      </c>
      <c r="G7265" s="38" t="n">
        <f aca="false">Sens!$E$7265+Sens!$F$7265</f>
        <v>3.77122048175818</v>
      </c>
      <c r="H7265" s="38" t="n">
        <f aca="false">IF(internal_ai_reading=2,1,0)*(1-ext_sh)/ext_sh*(mw_open*he_open+Sens!$H$7236*Sens!$H$7233)*Sens!$H$7222/1000</f>
        <v>15.1635543609893</v>
      </c>
      <c r="I7265" s="38" t="n">
        <f aca="false">IF(internal_ai_reading=2,1,0)*(1-ext_sh)/ext_sh*(mw_open*he_open+Sens!$I$7236*Sens!$I$7233)*Sens!$I$7222/1000</f>
        <v>25.5818843619889</v>
      </c>
      <c r="J7265" s="38" t="n">
        <f aca="false">IF(internal_ai_reading=2,1,0)*(1-ext_sh)/ext_sh*(mw_open*he_open+Sens!$J$7236*Sens!$J$7233)*Sens!$J$7222/1000</f>
        <v>36.0465624179122</v>
      </c>
      <c r="K7265" s="38" t="n">
        <f aca="false">IF(internal_ai_reading=2,1,0)*(1-ext_sh)/ext_sh*(mw_open*he_open+Sens!$K$7236*Sens!$K$7233)*Sens!$K$7222/1000</f>
        <v>44.9741164026038</v>
      </c>
      <c r="L7265" s="38" t="n">
        <f aca="false">IF(internal_ai_reading=2,1,0)*(1-ext_sh)/ext_sh*(mw_open*he_open+Sens!$L$7236*Sens!$L$7233)*Sens!$L$7222/1000</f>
        <v>50.8413488057813</v>
      </c>
      <c r="M7265" s="38" t="n">
        <f aca="false">IF(internal_ai_reading=2,1,0)*(1-ext_sh)/ext_sh*(mw_open*he_open+Sens!$M$7236*Sens!$M$7233)*Sens!$M$7222/1000</f>
        <v>53.6407214274315</v>
      </c>
      <c r="N7265" s="39" t="n">
        <v>0</v>
      </c>
      <c r="O7265" s="39" t="n">
        <v>0</v>
      </c>
      <c r="P7265" s="8" t="s">
        <v>657</v>
      </c>
    </row>
    <row r="7266" customFormat="false" ht="17.15" hidden="false" customHeight="false" outlineLevel="0" collapsed="false">
      <c r="A7266" s="5" t="s">
        <v>658</v>
      </c>
      <c r="B7266" s="0" t="s">
        <v>86</v>
      </c>
      <c r="C7266" s="38" t="n">
        <f aca="false">(1-ext_sh)*(Sens!$C$7240+Sens!$C$7259)</f>
        <v>0.169206631859174</v>
      </c>
      <c r="D7266" s="38" t="n">
        <f aca="false">(1-ext_sh)*(Sens!$D$7240+Sens!$D$7259)</f>
        <v>0.828129837730442</v>
      </c>
      <c r="E7266" s="38" t="n">
        <f aca="false">(1-ext_sh)*(Sens!$E$7240+Sens!$E$7259)</f>
        <v>1.52086044239347</v>
      </c>
      <c r="F7266" s="38" t="n">
        <f aca="false">(1-ext_sh)*(Sens!$F$7240+Sens!$F$7259)</f>
        <v>1.86048700344425</v>
      </c>
      <c r="G7266" s="38" t="n">
        <f aca="false">(1-ext_sh)*(Sens!$G$7240+Sens!$G$7259)</f>
        <v>3.38134744583772</v>
      </c>
      <c r="H7266" s="38" t="n">
        <f aca="false">(1-ext_sh)*(Sens!$H$7240+Sens!$H$7259)</f>
        <v>9.17136301267211</v>
      </c>
      <c r="I7266" s="38" t="n">
        <f aca="false">(1-ext_sh)*(Sens!$I$7240+Sens!$I$7259)</f>
        <v>17.6318811343794</v>
      </c>
      <c r="J7266" s="38" t="n">
        <f aca="false">(1-ext_sh)*(Sens!$J$7240+Sens!$J$7259)</f>
        <v>25.4581000191451</v>
      </c>
      <c r="K7266" s="38" t="n">
        <f aca="false">(1-ext_sh)*(Sens!$K$7240+Sens!$K$7259)</f>
        <v>33.1175498168092</v>
      </c>
      <c r="L7266" s="38" t="n">
        <f aca="false">(1-ext_sh)*(Sens!$L$7240+Sens!$L$7259)</f>
        <v>38.4232131776135</v>
      </c>
      <c r="M7266" s="38" t="n">
        <f aca="false">(1-ext_sh)*(Sens!$M$7240+Sens!$M$7259)</f>
        <v>41.3567859278847</v>
      </c>
      <c r="N7266" s="38" t="n">
        <f aca="false">(1-ext_sh)*(Sens!$N$7240+Sens!$N$7259)</f>
        <v>0.34177588266428</v>
      </c>
      <c r="O7266" s="38" t="n">
        <f aca="false">(1-ext_sh)*(Sens!$O$7240+Sens!$O$7259)</f>
        <v>0.486353955066162</v>
      </c>
    </row>
    <row r="7267" customFormat="false" ht="17.15" hidden="false" customHeight="false" outlineLevel="0" collapsed="false">
      <c r="A7267" s="0" t="s">
        <v>659</v>
      </c>
      <c r="B7267" s="0" t="s">
        <v>86</v>
      </c>
      <c r="C7267" s="38" t="n">
        <f aca="false">Q!$D$24</f>
        <v>39.834</v>
      </c>
      <c r="D7267" s="38" t="n">
        <f aca="false">Q!$E$24</f>
        <v>45.606</v>
      </c>
      <c r="E7267" s="38" t="n">
        <f aca="false">Q!$P$24</f>
        <v>30.782</v>
      </c>
      <c r="N7267" s="38" t="n">
        <f aca="false">Q!$N$24</f>
        <v>21.707</v>
      </c>
      <c r="O7267" s="38" t="n">
        <f aca="false">Q!$O$24</f>
        <v>23.899</v>
      </c>
    </row>
    <row r="7268" customFormat="false" ht="17.15" hidden="false" customHeight="false" outlineLevel="0" collapsed="false">
      <c r="A7268" s="0" t="s">
        <v>660</v>
      </c>
      <c r="B7268" s="0" t="s">
        <v>86</v>
      </c>
      <c r="C7268" s="38" t="n">
        <f aca="false">Sens!$C$7267-Sens!$C$7263</f>
        <v>38.1898211704631</v>
      </c>
      <c r="D7268" s="38" t="n">
        <f aca="false">Sens!$D$7267-Sens!$D$7263</f>
        <v>40.2147492622706</v>
      </c>
      <c r="E7268" s="38" t="n">
        <f aca="false">Sens!$E$7267-Sens!$E$7263</f>
        <v>28.3550887940039</v>
      </c>
      <c r="F7268" s="38" t="n">
        <f aca="false">Sens!$F$7242*Sens!$F$7269</f>
        <v>25.9529793149447</v>
      </c>
      <c r="G7268" s="38" t="n">
        <f aca="false">Sens!$E$7268+Sens!$F$7268</f>
        <v>54.3080681089486</v>
      </c>
      <c r="H7268" s="38" t="n">
        <f aca="false">Sens!$H$7242*Sens!$H$7269</f>
        <v>58.2264684589333</v>
      </c>
      <c r="I7268" s="38" t="n">
        <f aca="false">Sens!$I$7242*Sens!$I$7269</f>
        <v>64.6461353851744</v>
      </c>
      <c r="J7268" s="38" t="n">
        <f aca="false">Sens!$J$7242*Sens!$J$7269</f>
        <v>70.7957093610231</v>
      </c>
      <c r="K7268" s="38" t="n">
        <f aca="false">Sens!$K$7242*Sens!$K$7269</f>
        <v>76.4593661099049</v>
      </c>
      <c r="L7268" s="38" t="n">
        <f aca="false">Sens!$L$7242*Sens!$L$7269</f>
        <v>82.5761153986973</v>
      </c>
      <c r="M7268" s="38" t="n">
        <f aca="false">Sens!$M$7242*Sens!$M$7269</f>
        <v>89.1822046305931</v>
      </c>
      <c r="N7268" s="38" t="n">
        <f aca="false">Sens!$N$7267-Sens!$N$7263</f>
        <v>20.0277839996292</v>
      </c>
      <c r="O7268" s="38" t="n">
        <f aca="false">Sens!$O$7267-Sens!$O$7263</f>
        <v>20.1869652626414</v>
      </c>
      <c r="P7268" s="5" t="s">
        <v>661</v>
      </c>
    </row>
    <row r="7269" customFormat="false" ht="17.15" hidden="false" customHeight="false" outlineLevel="0" collapsed="false">
      <c r="A7269" s="0" t="s">
        <v>662</v>
      </c>
      <c r="B7269" s="0" t="s">
        <v>52</v>
      </c>
      <c r="C7269" s="13" t="n">
        <f aca="false">Sens!$C$7268/Sens!$C$7242</f>
        <v>0.362900395443635</v>
      </c>
      <c r="D7269" s="13" t="n">
        <f aca="false">Sens!$D$7268/Sens!$D$7242</f>
        <v>0.335063632425483</v>
      </c>
      <c r="E7269" s="13" t="n">
        <f aca="false">Sens!$E$7268/Sens!$E$7242</f>
        <v>0.397638855555478</v>
      </c>
      <c r="F7269" s="13" t="n">
        <f aca="false">(Sens!$O$7268+Sens!$E$7268)/(Sens!$O$7242+Sens!$E$7242)</f>
        <v>0.361616727338133</v>
      </c>
      <c r="G7269" s="13" t="n">
        <f aca="false">Sens!$G$7268/Sens!$G$7242</f>
        <v>0.379569803149143</v>
      </c>
      <c r="H7269" s="13" t="n">
        <f aca="false">Sens!$F$7269</f>
        <v>0.361616727338133</v>
      </c>
      <c r="I7269" s="13" t="n">
        <f aca="false">Sens!$F$7269</f>
        <v>0.361616727338133</v>
      </c>
      <c r="J7269" s="13" t="n">
        <f aca="false">Sens!$F$7269</f>
        <v>0.361616727338133</v>
      </c>
      <c r="K7269" s="13" t="n">
        <f aca="false">Sens!$F$7269</f>
        <v>0.361616727338133</v>
      </c>
      <c r="L7269" s="13" t="n">
        <f aca="false">Sens!$F$7269</f>
        <v>0.361616727338133</v>
      </c>
      <c r="M7269" s="13" t="n">
        <f aca="false">Sens!$F$7269</f>
        <v>0.361616727338133</v>
      </c>
      <c r="N7269" s="13" t="n">
        <f aca="false">Sens!$N$7268/Sens!$N$7242</f>
        <v>0.35078810535806</v>
      </c>
      <c r="O7269" s="13" t="n">
        <f aca="false">Sens!$O$7268/Sens!$O$7242</f>
        <v>0.320796939361619</v>
      </c>
      <c r="P7269" s="8" t="s">
        <v>663</v>
      </c>
    </row>
    <row r="7270" customFormat="false" ht="17.15" hidden="false" customHeight="false" outlineLevel="0" collapsed="false">
      <c r="A7270" s="0" t="s">
        <v>664</v>
      </c>
      <c r="B7270" s="0" t="s">
        <v>52</v>
      </c>
      <c r="D7270" s="13" t="n">
        <f aca="false">(Q!$E$31-ext_sh*Sens!$D$7259)/Sens!$D$7242</f>
        <v>0.167180325480118</v>
      </c>
    </row>
    <row r="7271" customFormat="false" ht="17.15" hidden="false" customHeight="false" outlineLevel="0" collapsed="false">
      <c r="A7271" s="0" t="s">
        <v>665</v>
      </c>
      <c r="B7271" s="0" t="s">
        <v>86</v>
      </c>
      <c r="C7271" s="38" t="n">
        <f aca="false">Q!$D$31</f>
        <v>13.32</v>
      </c>
      <c r="D7271" s="38" t="n">
        <f aca="false">Q!$E$31</f>
        <v>21.45</v>
      </c>
      <c r="E7271" s="38" t="n">
        <f aca="false">Q!$P$31</f>
        <v>15.353</v>
      </c>
      <c r="F7271" s="38" t="n">
        <f aca="false">ext_sh*Sens!$F$7259+Sens!$D$7270*Sens!$F$7242</f>
        <v>16.1969869840094</v>
      </c>
      <c r="G7271" s="38" t="n">
        <f aca="false">Sens!$E$7271+Sens!$F$7271</f>
        <v>31.5499869840094</v>
      </c>
      <c r="H7271" s="38" t="n">
        <f aca="false">ext_sh*Sens!$H$7259+Sens!$D$7270*Sens!$H$7242</f>
        <v>50.9556213609176</v>
      </c>
      <c r="I7271" s="38" t="n">
        <f aca="false">ext_sh*Sens!$I$7259+Sens!$D$7270*Sens!$I$7242</f>
        <v>79.464581248252</v>
      </c>
      <c r="J7271" s="38" t="n">
        <f aca="false">ext_sh*Sens!$J$7259+Sens!$D$7270*Sens!$J$7242</f>
        <v>105.296127931746</v>
      </c>
      <c r="K7271" s="38" t="n">
        <f aca="false">ext_sh*Sens!$K$7259+Sens!$D$7270*Sens!$K$7242</f>
        <v>131.454694001511</v>
      </c>
      <c r="L7271" s="38" t="n">
        <f aca="false">ext_sh*Sens!$L$7259+Sens!$D$7270*Sens!$L$7242</f>
        <v>150.840456981405</v>
      </c>
      <c r="M7271" s="38" t="n">
        <f aca="false">ext_sh*Sens!$M$7259+Sens!$D$7270*Sens!$M$7242</f>
        <v>163.399454192999</v>
      </c>
      <c r="N7271" s="38" t="n">
        <f aca="false">Q!$N$31</f>
        <v>9.234</v>
      </c>
      <c r="O7271" s="38" t="n">
        <f aca="false">Q!$O$31</f>
        <v>12.216</v>
      </c>
    </row>
    <row r="7272" customFormat="false" ht="17.15" hidden="false" customHeight="false" outlineLevel="0" collapsed="false">
      <c r="A7272" s="1" t="s">
        <v>666</v>
      </c>
    </row>
    <row r="7273" customFormat="false" ht="17.15" hidden="false" customHeight="false" outlineLevel="0" collapsed="false">
      <c r="A7273" s="15" t="s">
        <v>667</v>
      </c>
      <c r="B7273" s="14" t="s">
        <v>52</v>
      </c>
      <c r="C7273" s="14"/>
      <c r="D7273" s="14"/>
      <c r="E7273" s="14"/>
      <c r="F7273" s="14"/>
      <c r="G7273" s="17" t="n">
        <f aca="false">Sens!$G$7263*(1-tax)/(ext_sh*(Sens!$D$7260+Sens!$G$7260)/2)</f>
        <v>0.0620504069546486</v>
      </c>
      <c r="H7273" s="17" t="n">
        <f aca="false">Sens!$H$7263*(1-tax)/(ext_sh*(Sens!$G$7260+Sens!$H$7260)/2)</f>
        <v>0.0755420551527686</v>
      </c>
      <c r="I7273" s="17" t="n">
        <f aca="false">Sens!$I$7263*(1-tax)/(ext_sh*(Sens!$H$7260+Sens!$I$7260)/2)</f>
        <v>0.067127575356291</v>
      </c>
      <c r="J7273" s="17" t="n">
        <f aca="false">Sens!$J$7263*(1-tax)/(ext_sh*(Sens!$I$7260+Sens!$J$7260)/2)</f>
        <v>0.0700332392906535</v>
      </c>
      <c r="K7273" s="17" t="n">
        <f aca="false">Sens!$K$7263*(1-tax)/(ext_sh*(Sens!$J$7260+Sens!$K$7260)/2)</f>
        <v>0.0693622290093833</v>
      </c>
      <c r="L7273" s="17" t="n">
        <f aca="false">Sens!$L$7263*(1-tax)/(ext_sh*(Sens!$K$7260+Sens!$L$7260)/2)</f>
        <v>0.0711010638813626</v>
      </c>
      <c r="M7273" s="17" t="n">
        <f aca="false">Sens!$M$7263*(1-tax)/(ext_sh*(Sens!$L$7260+Sens!$M$7260)/2)</f>
        <v>0.071677531066401</v>
      </c>
      <c r="N7273" s="14"/>
      <c r="O7273" s="14"/>
      <c r="P7273" s="8" t="s">
        <v>668</v>
      </c>
    </row>
    <row r="7274" customFormat="false" ht="17.15" hidden="false" customHeight="false" outlineLevel="0" collapsed="false">
      <c r="A7274" s="5" t="s">
        <v>669</v>
      </c>
      <c r="B7274" s="0" t="s">
        <v>57</v>
      </c>
      <c r="H7274" s="36" t="n">
        <f aca="false">Sens!$H$7238*1000/(mw_open*he_open+Sens!$H$7236*Sens!$H$7233)</f>
        <v>0.991949006767191</v>
      </c>
      <c r="I7274" s="36" t="n">
        <f aca="false">Sens!$I$7238*1000/(mw_open*he_open+Sens!$I$7236*Sens!$I$7233)</f>
        <v>0.991949006767191</v>
      </c>
      <c r="J7274" s="36" t="n">
        <f aca="false">Sens!$J$7238*1000/(mw_open*he_open+Sens!$J$7236*Sens!$J$7233)</f>
        <v>0.991949006767191</v>
      </c>
      <c r="K7274" s="36" t="n">
        <f aca="false">Sens!$K$7238*1000/(mw_open*he_open+Sens!$K$7236*Sens!$K$7233)</f>
        <v>0.991949006767191</v>
      </c>
      <c r="L7274" s="36" t="n">
        <f aca="false">Sens!$L$7238*1000/(mw_open*he_open+Sens!$L$7236*Sens!$L$7233)</f>
        <v>0.991949006767191</v>
      </c>
      <c r="M7274" s="36" t="n">
        <f aca="false">Sens!$M$7238*1000/(mw_open*he_open+Sens!$M$7236*Sens!$M$7233)</f>
        <v>0.991949006767191</v>
      </c>
    </row>
    <row r="7275" customFormat="false" ht="17.15" hidden="false" customHeight="false" outlineLevel="0" collapsed="false">
      <c r="A7275" s="5" t="s">
        <v>670</v>
      </c>
      <c r="B7275" s="0" t="s">
        <v>57</v>
      </c>
      <c r="H7275" s="36" t="n">
        <f aca="false">Sens!$H$7274*(Sens!$H$7238+wacc*ext_sh*(Sens!$G$7260+Sens!$H$7260)/2/(1-tax)-Sens!$H$7263)/Sens!$H$7238</f>
        <v>1.18542857552197</v>
      </c>
      <c r="I7275" s="36" t="n">
        <f aca="false">Sens!$I$7274*(Sens!$I$7238+wacc*ext_sh*(Sens!$H$7260+Sens!$I$7260)/2/(1-tax)-Sens!$I$7263)/Sens!$I$7238</f>
        <v>1.20015476648903</v>
      </c>
      <c r="J7275" s="36" t="n">
        <f aca="false">Sens!$J$7274*(Sens!$J$7238+wacc*ext_sh*(Sens!$I$7260+Sens!$J$7260)/2/(1-tax)-Sens!$J$7263)/Sens!$J$7238</f>
        <v>1.16844056931249</v>
      </c>
      <c r="K7275" s="36" t="n">
        <f aca="false">Sens!$K$7274*(Sens!$K$7238+wacc*ext_sh*(Sens!$J$7260+Sens!$K$7260)/2/(1-tax)-Sens!$K$7263)/Sens!$K$7238</f>
        <v>1.15383758356873</v>
      </c>
      <c r="L7275" s="36" t="n">
        <f aca="false">Sens!$L$7274*(Sens!$L$7238+wacc*ext_sh*(Sens!$K$7260+Sens!$L$7260)/2/(1-tax)-Sens!$L$7263)/Sens!$L$7238</f>
        <v>1.13212765595665</v>
      </c>
      <c r="M7275" s="36" t="n">
        <f aca="false">Sens!$M$7274*(Sens!$M$7238+wacc*ext_sh*(Sens!$L$7260+Sens!$M$7260)/2/(1-tax)-Sens!$M$7263)/Sens!$M$7238</f>
        <v>1.12024635139935</v>
      </c>
    </row>
    <row r="7276" customFormat="false" ht="17.15" hidden="false" customHeight="false" outlineLevel="0" collapsed="false">
      <c r="A7276" s="5" t="s">
        <v>671</v>
      </c>
      <c r="B7276" s="0" t="s">
        <v>52</v>
      </c>
      <c r="C7276" s="13" t="n">
        <f aca="false">Sens!$C$7239/tk_pq</f>
        <v>0.195316432429398</v>
      </c>
      <c r="D7276" s="13" t="n">
        <f aca="false">Sens!$D$7239/tk_pq</f>
        <v>0.195316432429398</v>
      </c>
      <c r="E7276" s="13" t="n">
        <f aca="false">Sens!$E$7239/tk_pq</f>
        <v>0.195316432429398</v>
      </c>
      <c r="F7276" s="13" t="n">
        <f aca="false">Sens!$F$7239/tk_pq</f>
        <v>0.202241827274866</v>
      </c>
      <c r="G7276" s="13" t="n">
        <f aca="false">Sens!$G$7239/tk_pq</f>
        <v>0.199675016194063</v>
      </c>
      <c r="H7276" s="13" t="n">
        <f aca="false">Sens!$H$7239/tk_pq</f>
        <v>0.212647947710325</v>
      </c>
      <c r="I7276" s="13" t="n">
        <f aca="false">Sens!$I$7239/tk_pq</f>
        <v>0.219285125475351</v>
      </c>
      <c r="J7276" s="13" t="n">
        <f aca="false">Sens!$J$7239/tk_pq</f>
        <v>0.222492493217189</v>
      </c>
      <c r="K7276" s="13" t="n">
        <f aca="false">Sens!$K$7239/tk_pq</f>
        <v>0.224053502812094</v>
      </c>
      <c r="L7276" s="13" t="n">
        <f aca="false">Sens!$L$7239/tk_pq</f>
        <v>0.224786916785614</v>
      </c>
      <c r="M7276" s="13" t="n">
        <f aca="false">Sens!$M$7239/tk_pq</f>
        <v>0.225048671566937</v>
      </c>
      <c r="N7276" s="13" t="n">
        <f aca="false">Sens!$N$7239/tk_pq</f>
        <v>0.195316432429398</v>
      </c>
      <c r="O7276" s="13" t="n">
        <f aca="false">Sens!$O$7239/tk_pq</f>
        <v>0.195316432429398</v>
      </c>
      <c r="P7276" s="5" t="s">
        <v>672</v>
      </c>
    </row>
    <row r="7279" customFormat="false" ht="17.15" hidden="false" customHeight="false" outlineLevel="0" collapsed="false">
      <c r="A7279" s="1" t="s">
        <v>701</v>
      </c>
    </row>
    <row r="7280" customFormat="false" ht="17.15" hidden="false" customHeight="false" outlineLevel="0" collapsed="false">
      <c r="A7280" s="0" t="s">
        <v>702</v>
      </c>
      <c r="B7280" s="0" t="s">
        <v>86</v>
      </c>
      <c r="C7280" s="38" t="n">
        <f aca="false">Sens!$C$7238</f>
        <v>2.32100535697364</v>
      </c>
      <c r="D7280" s="38" t="n">
        <f aca="false">Sens!$D$7238</f>
        <v>8.70377008865116</v>
      </c>
      <c r="E7280" s="38" t="n">
        <f aca="false">Sens!$E$7238</f>
        <v>8.51035297557002</v>
      </c>
      <c r="F7280" s="38" t="n">
        <f aca="false">Sens!$F$7238</f>
        <v>14.9634336447205</v>
      </c>
      <c r="G7280" s="38" t="n">
        <f aca="false">Sens!$G$7238</f>
        <v>23.4737866202905</v>
      </c>
      <c r="H7280" s="38" t="n">
        <f aca="false">Sens!$H$7238</f>
        <v>60.1658907497746</v>
      </c>
      <c r="I7280" s="38" t="n">
        <f aca="false">Sens!$I$7238</f>
        <v>101.503699136432</v>
      </c>
      <c r="J7280" s="38" t="n">
        <f aca="false">Sens!$J$7238</f>
        <v>143.025407151278</v>
      </c>
      <c r="K7280" s="38" t="n">
        <f aca="false">Sens!$K$7238</f>
        <v>178.44812038318</v>
      </c>
      <c r="L7280" s="38" t="n">
        <f aca="false">Sens!$L$7238</f>
        <v>201.728101802396</v>
      </c>
      <c r="M7280" s="38" t="n">
        <f aca="false">Sens!$M$7238</f>
        <v>212.835441368865</v>
      </c>
      <c r="N7280" s="38" t="n">
        <f aca="false">Sens!$N$7238</f>
        <v>3.04631953102791</v>
      </c>
      <c r="O7280" s="38" t="n">
        <f aca="false">Sens!$O$7238</f>
        <v>5.65745055762326</v>
      </c>
      <c r="P7280" s="8" t="s">
        <v>703</v>
      </c>
    </row>
    <row r="7281" customFormat="false" ht="17.15" hidden="false" customHeight="false" outlineLevel="0" collapsed="false">
      <c r="A7281" s="0" t="s">
        <v>704</v>
      </c>
      <c r="B7281" s="0" t="s">
        <v>86</v>
      </c>
      <c r="C7281" s="38" t="n">
        <f aca="false">Sens!$C$7242</f>
        <v>105.234994643026</v>
      </c>
      <c r="D7281" s="38" t="n">
        <f aca="false">Sens!$D$7242</f>
        <v>120.021229911349</v>
      </c>
      <c r="E7281" s="38" t="n">
        <f aca="false">Sens!$E$7242</f>
        <v>71.30864702443</v>
      </c>
      <c r="F7281" s="38" t="n">
        <f aca="false">Sens!$F$7242</f>
        <v>71.7692997942464</v>
      </c>
      <c r="G7281" s="38" t="n">
        <f aca="false">Sens!$G$7242</f>
        <v>143.077946818676</v>
      </c>
      <c r="H7281" s="38" t="n">
        <f aca="false">Sens!$H$7242</f>
        <v>161.017077079203</v>
      </c>
      <c r="I7281" s="38" t="n">
        <f aca="false">Sens!$I$7242</f>
        <v>178.769759521457</v>
      </c>
      <c r="J7281" s="38" t="n">
        <f aca="false">Sens!$J$7242</f>
        <v>195.775538045907</v>
      </c>
      <c r="K7281" s="38" t="n">
        <f aca="false">Sens!$K$7242</f>
        <v>211.43758108958</v>
      </c>
      <c r="L7281" s="38" t="n">
        <f aca="false">Sens!$L$7242</f>
        <v>228.352587576746</v>
      </c>
      <c r="M7281" s="38" t="n">
        <f aca="false">Sens!$M$7242</f>
        <v>246.620794582886</v>
      </c>
      <c r="N7281" s="38" t="n">
        <f aca="false">Sens!$N$7242</f>
        <v>57.0936804689721</v>
      </c>
      <c r="O7281" s="38" t="n">
        <f aca="false">Sens!$O$7242</f>
        <v>62.9275494423768</v>
      </c>
      <c r="P7281" s="8" t="s">
        <v>703</v>
      </c>
    </row>
    <row r="7282" customFormat="false" ht="17.15" hidden="false" customHeight="false" outlineLevel="0" collapsed="false">
      <c r="A7282" s="1" t="s">
        <v>523</v>
      </c>
      <c r="B7282" s="8" t="s">
        <v>86</v>
      </c>
      <c r="C7282" s="38" t="n">
        <f aca="false">Q!$D$7</f>
        <v>107.556</v>
      </c>
      <c r="D7282" s="38" t="n">
        <f aca="false">Q!$E$7</f>
        <v>128.725</v>
      </c>
      <c r="E7282" s="38" t="n">
        <f aca="false">Q!$P$7</f>
        <v>79.819</v>
      </c>
      <c r="F7282" s="38" t="n">
        <f aca="false">Sens!$F$7280+Sens!$F$7281</f>
        <v>86.7327334389669</v>
      </c>
      <c r="G7282" s="38" t="n">
        <f aca="false">Sens!$G$7280+Sens!$G$7281</f>
        <v>166.551733438967</v>
      </c>
      <c r="H7282" s="38" t="n">
        <f aca="false">Sens!$H$7280+Sens!$H$7281</f>
        <v>221.182967828978</v>
      </c>
      <c r="I7282" s="38" t="n">
        <f aca="false">Sens!$I$7280+Sens!$I$7281</f>
        <v>280.27345865789</v>
      </c>
      <c r="J7282" s="38" t="n">
        <f aca="false">Sens!$J$7280+Sens!$J$7281</f>
        <v>338.800945197185</v>
      </c>
      <c r="K7282" s="38" t="n">
        <f aca="false">Sens!$K$7280+Sens!$K$7281</f>
        <v>389.88570147276</v>
      </c>
      <c r="L7282" s="38" t="n">
        <f aca="false">Sens!$L$7280+Sens!$L$7281</f>
        <v>430.080689379143</v>
      </c>
      <c r="M7282" s="38" t="n">
        <f aca="false">Sens!$M$7280+Sens!$M$7281</f>
        <v>459.456235951751</v>
      </c>
      <c r="N7282" s="38" t="n">
        <f aca="false">Q!$N$7</f>
        <v>60.14</v>
      </c>
      <c r="O7282" s="38" t="n">
        <f aca="false">Q!$O$7</f>
        <v>68.585</v>
      </c>
      <c r="P7282" s="5" t="s">
        <v>705</v>
      </c>
    </row>
    <row r="7283" customFormat="false" ht="15" hidden="false" customHeight="false" outlineLevel="0" collapsed="false">
      <c r="A7283" s="3" t="s">
        <v>706</v>
      </c>
      <c r="B7283" s="8" t="s">
        <v>86</v>
      </c>
      <c r="C7283" s="38" t="n">
        <f aca="false">Q!$D$8</f>
        <v>637.959</v>
      </c>
      <c r="D7283" s="38" t="n">
        <f aca="false">Q!$E$8</f>
        <v>716.924</v>
      </c>
      <c r="E7283" s="38" t="n">
        <f aca="false">Q!$P$8</f>
        <v>382.125</v>
      </c>
      <c r="F7283" s="38" t="n">
        <f aca="false">Sens!$F$7210+Sens!$F$7282</f>
        <v>435.780975084504</v>
      </c>
      <c r="G7283" s="38" t="n">
        <f aca="false">Sens!$G$7210+Sens!$G$7282</f>
        <v>817.905975084504</v>
      </c>
      <c r="H7283" s="38" t="n">
        <f aca="false">Sens!$H$7210+Sens!$H$7282</f>
        <v>942.279857350364</v>
      </c>
      <c r="I7283" s="38" t="n">
        <f aca="false">Sens!$I$7210+Sens!$I$7282</f>
        <v>1068.80284981042</v>
      </c>
      <c r="J7283" s="38" t="n">
        <f aca="false">Sens!$J$7210+Sens!$J$7282</f>
        <v>1189.90935093863</v>
      </c>
      <c r="K7283" s="38" t="n">
        <f aca="false">Sens!$K$7210+Sens!$K$7282</f>
        <v>1296.06215690385</v>
      </c>
      <c r="L7283" s="38" t="n">
        <f aca="false">Sens!$L$7210+Sens!$L$7282</f>
        <v>1395.17379585473</v>
      </c>
      <c r="M7283" s="38" t="n">
        <f aca="false">Sens!$M$7210+Sens!$M$7282</f>
        <v>1487.60414389864</v>
      </c>
      <c r="N7283" s="38" t="n">
        <f aca="false">Q!$N$8</f>
        <v>323.369</v>
      </c>
      <c r="O7283" s="38" t="n">
        <f aca="false">Q!$O$8</f>
        <v>393.555</v>
      </c>
    </row>
    <row r="7284" customFormat="false" ht="17.15" hidden="false" customHeight="false" outlineLevel="0" collapsed="false">
      <c r="A7284" s="24" t="s">
        <v>714</v>
      </c>
      <c r="B7284" s="25" t="s">
        <v>86</v>
      </c>
      <c r="C7284" s="41" t="n">
        <f aca="false">Sens!$C$7210-(Sens!$C$7212+Sens!$C$7213)</f>
        <v>0</v>
      </c>
      <c r="D7284" s="41" t="n">
        <f aca="false">Sens!$D$7210-(Sens!$D$7212+Sens!$D$7213)</f>
        <v>0</v>
      </c>
      <c r="E7284" s="41" t="n">
        <f aca="false">Sens!$E$7210-(Sens!$E$7212+Sens!$E$7213)</f>
        <v>0</v>
      </c>
      <c r="F7284" s="41" t="n">
        <f aca="false">Sens!$F$7210-(Sens!$F$7212+Sens!$F$7213)</f>
        <v>0</v>
      </c>
      <c r="G7284" s="41" t="n">
        <f aca="false">Sens!$G$7210-(Sens!$G$7212+Sens!$G$7213)</f>
        <v>0</v>
      </c>
      <c r="H7284" s="41" t="n">
        <f aca="false">Sens!$H$7210-(Sens!$H$7212+Sens!$H$7213)</f>
        <v>0</v>
      </c>
      <c r="I7284" s="41" t="n">
        <f aca="false">Sens!$I$7210-(Sens!$I$7212+Sens!$I$7213)</f>
        <v>0</v>
      </c>
      <c r="J7284" s="41" t="n">
        <f aca="false">Sens!$J$7210-(Sens!$J$7212+Sens!$J$7213)</f>
        <v>0</v>
      </c>
      <c r="K7284" s="41" t="n">
        <f aca="false">Sens!$K$7210-(Sens!$K$7212+Sens!$K$7213)</f>
        <v>0</v>
      </c>
      <c r="L7284" s="41" t="n">
        <f aca="false">Sens!$L$7210-(Sens!$L$7212+Sens!$L$7213)</f>
        <v>0</v>
      </c>
      <c r="M7284" s="41" t="n">
        <f aca="false">Sens!$M$7210-(Sens!$M$7212+Sens!$M$7213)</f>
        <v>0</v>
      </c>
      <c r="N7284" s="41" t="n">
        <f aca="false">Sens!$N$7210-(Sens!$N$7212+Sens!$N$7213)</f>
        <v>0</v>
      </c>
      <c r="O7284" s="41" t="n">
        <f aca="false">Sens!$O$7210-(Sens!$O$7212+Sens!$O$7213)</f>
        <v>0</v>
      </c>
    </row>
    <row r="7285" customFormat="false" ht="17.15" hidden="false" customHeight="false" outlineLevel="0" collapsed="false">
      <c r="A7285" s="24" t="s">
        <v>715</v>
      </c>
      <c r="B7285" s="25" t="s">
        <v>86</v>
      </c>
      <c r="C7285" s="41" t="n">
        <f aca="false">Sens!$C$7280+Sens!$C$7281-Sens!$C$7282</f>
        <v>0</v>
      </c>
      <c r="D7285" s="41" t="n">
        <f aca="false">Sens!$D$7280+Sens!$D$7281-Sens!$D$7282</f>
        <v>0</v>
      </c>
      <c r="E7285" s="41" t="n">
        <f aca="false">Sens!$E$7280+Sens!$E$7281-Sens!$E$7282</f>
        <v>0</v>
      </c>
      <c r="F7285" s="41" t="n">
        <f aca="false">Sens!$F$7280+Sens!$F$7281-Sens!$F$7282</f>
        <v>0</v>
      </c>
      <c r="G7285" s="41" t="n">
        <f aca="false">Sens!$G$7280+Sens!$G$7281-Sens!$G$7282</f>
        <v>0</v>
      </c>
      <c r="H7285" s="41" t="n">
        <f aca="false">Sens!$H$7280+Sens!$H$7281-Sens!$H$7282</f>
        <v>0</v>
      </c>
      <c r="I7285" s="41" t="n">
        <f aca="false">Sens!$I$7280+Sens!$I$7281-Sens!$I$7282</f>
        <v>0</v>
      </c>
      <c r="J7285" s="41" t="n">
        <f aca="false">Sens!$J$7280+Sens!$J$7281-Sens!$J$7282</f>
        <v>0</v>
      </c>
      <c r="K7285" s="41" t="n">
        <f aca="false">Sens!$K$7280+Sens!$K$7281-Sens!$K$7282</f>
        <v>0</v>
      </c>
      <c r="L7285" s="41" t="n">
        <f aca="false">Sens!$L$7280+Sens!$L$7281-Sens!$L$7282</f>
        <v>0</v>
      </c>
      <c r="M7285" s="41" t="n">
        <f aca="false">Sens!$M$7280+Sens!$M$7281-Sens!$M$7282</f>
        <v>0</v>
      </c>
      <c r="N7285" s="41" t="n">
        <f aca="false">Sens!$N$7280+Sens!$N$7281-Sens!$N$7282</f>
        <v>0</v>
      </c>
      <c r="O7285" s="41" t="n">
        <f aca="false">Sens!$O$7280+Sens!$O$7281-Sens!$O$7282</f>
        <v>0</v>
      </c>
    </row>
    <row r="7286" customFormat="false" ht="17.15" hidden="false" customHeight="false" outlineLevel="0" collapsed="false">
      <c r="A7286" s="24" t="s">
        <v>716</v>
      </c>
      <c r="B7286" s="25" t="s">
        <v>86</v>
      </c>
      <c r="C7286" s="41" t="n">
        <f aca="false">Sens!$C$7212+Sens!$C$7213+Sens!$C$7282-Sens!$C$7283</f>
        <v>0</v>
      </c>
      <c r="D7286" s="41" t="n">
        <f aca="false">Sens!$D$7212+Sens!$D$7213+Sens!$D$7282-Sens!$D$7283</f>
        <v>0</v>
      </c>
      <c r="E7286" s="41" t="n">
        <f aca="false">Sens!$E$7212+Sens!$E$7213+Sens!$E$7282-Sens!$E$7283</f>
        <v>0</v>
      </c>
      <c r="F7286" s="41" t="n">
        <f aca="false">Sens!$F$7212+Sens!$F$7213+Sens!$F$7282-Sens!$F$7283</f>
        <v>0</v>
      </c>
      <c r="G7286" s="41" t="n">
        <f aca="false">Sens!$G$7212+Sens!$G$7213+Sens!$G$7282-Sens!$G$7283</f>
        <v>0</v>
      </c>
      <c r="H7286" s="41" t="n">
        <f aca="false">Sens!$H$7212+Sens!$H$7213+Sens!$H$7282-Sens!$H$7283</f>
        <v>0</v>
      </c>
      <c r="I7286" s="41" t="n">
        <f aca="false">Sens!$I$7212+Sens!$I$7213+Sens!$I$7282-Sens!$I$7283</f>
        <v>0</v>
      </c>
      <c r="J7286" s="41" t="n">
        <f aca="false">Sens!$J$7212+Sens!$J$7213+Sens!$J$7282-Sens!$J$7283</f>
        <v>0</v>
      </c>
      <c r="K7286" s="41" t="n">
        <f aca="false">Sens!$K$7212+Sens!$K$7213+Sens!$K$7282-Sens!$K$7283</f>
        <v>0</v>
      </c>
      <c r="L7286" s="41" t="n">
        <f aca="false">Sens!$L$7212+Sens!$L$7213+Sens!$L$7282-Sens!$L$7283</f>
        <v>0</v>
      </c>
      <c r="M7286" s="41" t="n">
        <f aca="false">Sens!$M$7212+Sens!$M$7213+Sens!$M$7282-Sens!$M$7283</f>
        <v>0</v>
      </c>
      <c r="N7286" s="41" t="n">
        <f aca="false">Sens!$N$7212+Sens!$N$7213+Sens!$N$7282-Sens!$N$7283</f>
        <v>0</v>
      </c>
      <c r="O7286" s="41" t="n">
        <f aca="false">Sens!$O$7212+Sens!$O$7213+Sens!$O$7282-Sens!$O$7283</f>
        <v>0</v>
      </c>
    </row>
    <row r="7287" customFormat="false" ht="15" hidden="false" customHeight="false" outlineLevel="0" collapsed="false">
      <c r="A7287" s="5" t="s">
        <v>710</v>
      </c>
      <c r="B7287" s="0" t="s">
        <v>52</v>
      </c>
      <c r="G7287" s="13" t="n">
        <f aca="false">Sens!$G$7283/Sens!$D$7283-1</f>
        <v>0.140854504918937</v>
      </c>
      <c r="H7287" s="13" t="n">
        <f aca="false">Sens!$H$7283/Sens!$G$7283-1</f>
        <v>0.152063789793209</v>
      </c>
      <c r="I7287" s="13" t="n">
        <f aca="false">Sens!$I$7283/Sens!$H$7283-1</f>
        <v>0.134273264437417</v>
      </c>
      <c r="J7287" s="13" t="n">
        <f aca="false">Sens!$J$7283/Sens!$I$7283-1</f>
        <v>0.113310421234083</v>
      </c>
      <c r="K7287" s="13" t="n">
        <f aca="false">Sens!$K$7283/Sens!$J$7283-1</f>
        <v>0.0892108343223652</v>
      </c>
      <c r="L7287" s="13" t="n">
        <f aca="false">Sens!$L$7283/Sens!$K$7283-1</f>
        <v>0.076471362444261</v>
      </c>
      <c r="M7287" s="13" t="n">
        <f aca="false">Sens!$M$7283/Sens!$L$7283-1</f>
        <v>0.066250060256672</v>
      </c>
    </row>
    <row r="7288" customFormat="false" ht="17.15" hidden="false" customHeight="false" outlineLevel="0" collapsed="false">
      <c r="A7288" s="0" t="s">
        <v>711</v>
      </c>
      <c r="B7288" s="0" t="s">
        <v>52</v>
      </c>
      <c r="C7288" s="13" t="n">
        <f aca="false">Sens!$C$7282/Sens!$C$7283</f>
        <v>0.168593906504964</v>
      </c>
      <c r="D7288" s="13" t="n">
        <f aca="false">Sens!$D$7282/Sens!$D$7283</f>
        <v>0.179551807444025</v>
      </c>
      <c r="E7288" s="13" t="n">
        <f aca="false">Sens!$E$7282/Sens!$E$7283</f>
        <v>0.208881910369643</v>
      </c>
      <c r="F7288" s="13" t="n">
        <f aca="false">Sens!$F$7282/Sens!$F$7283</f>
        <v>0.199028269699356</v>
      </c>
      <c r="G7288" s="13" t="n">
        <f aca="false">Sens!$G$7282/Sens!$G$7283</f>
        <v>0.203631882529968</v>
      </c>
      <c r="H7288" s="13" t="n">
        <f aca="false">Sens!$H$7282/Sens!$H$7283</f>
        <v>0.234731715958496</v>
      </c>
      <c r="I7288" s="13" t="n">
        <f aca="false">Sens!$I$7282/Sens!$I$7283</f>
        <v>0.262231204480418</v>
      </c>
      <c r="J7288" s="13" t="n">
        <f aca="false">Sens!$J$7282/Sens!$J$7283</f>
        <v>0.284728366013706</v>
      </c>
      <c r="K7288" s="13" t="n">
        <f aca="false">Sens!$K$7282/Sens!$K$7283</f>
        <v>0.300823304959505</v>
      </c>
      <c r="L7288" s="13" t="n">
        <f aca="false">Sens!$L$7282/Sens!$L$7283</f>
        <v>0.308263164529735</v>
      </c>
      <c r="M7288" s="13" t="n">
        <f aca="false">Sens!$M$7282/Sens!$M$7283</f>
        <v>0.308856517936036</v>
      </c>
      <c r="N7288" s="13" t="n">
        <f aca="false">Sens!$N$7282/Sens!$N$7283</f>
        <v>0.185979484737251</v>
      </c>
      <c r="O7288" s="13" t="n">
        <f aca="false">Sens!$O$7282/Sens!$O$7283</f>
        <v>0.174270432341096</v>
      </c>
    </row>
    <row r="7289" customFormat="false" ht="17.15" hidden="false" customHeight="false" outlineLevel="0" collapsed="false">
      <c r="A7289" s="0" t="s">
        <v>712</v>
      </c>
      <c r="B7289" s="0" t="s">
        <v>52</v>
      </c>
      <c r="C7289" s="13" t="n">
        <f aca="false">Sens!$C$7280/Sens!$C$7282</f>
        <v>0.0215795060896058</v>
      </c>
      <c r="D7289" s="13" t="n">
        <f aca="false">Sens!$D$7280/Sens!$D$7282</f>
        <v>0.0676152269462122</v>
      </c>
      <c r="E7289" s="13" t="n">
        <f aca="false">Sens!$E$7280/Sens!$E$7282</f>
        <v>0.106620641395783</v>
      </c>
      <c r="F7289" s="13" t="n">
        <f aca="false">Sens!$F$7280/Sens!$F$7282</f>
        <v>0.172523487401099</v>
      </c>
      <c r="G7289" s="13" t="n">
        <f aca="false">Sens!$G$7280/Sens!$G$7282</f>
        <v>0.140939911795589</v>
      </c>
      <c r="H7289" s="13" t="n">
        <f aca="false">Sens!$H$7280/Sens!$H$7282</f>
        <v>0.272018642937714</v>
      </c>
      <c r="I7289" s="13" t="n">
        <f aca="false">Sens!$I$7280/Sens!$I$7282</f>
        <v>0.362159512436497</v>
      </c>
      <c r="J7289" s="13" t="n">
        <f aca="false">Sens!$J$7280/Sens!$J$7282</f>
        <v>0.422151735934609</v>
      </c>
      <c r="K7289" s="13" t="n">
        <f aca="false">Sens!$K$7280/Sens!$K$7282</f>
        <v>0.45769342068485</v>
      </c>
      <c r="L7289" s="13" t="n">
        <f aca="false">Sens!$L$7280/Sens!$L$7282</f>
        <v>0.469047103913472</v>
      </c>
      <c r="M7289" s="13" t="n">
        <f aca="false">Sens!$M$7280/Sens!$M$7282</f>
        <v>0.463233328258093</v>
      </c>
      <c r="N7289" s="13" t="n">
        <f aca="false">Sens!$N$7280/Sens!$N$7282</f>
        <v>0.0506537999838362</v>
      </c>
      <c r="O7289" s="13" t="n">
        <f aca="false">Sens!$O$7280/Sens!$O$7282</f>
        <v>0.0824881615167056</v>
      </c>
    </row>
    <row r="7292" customFormat="false" ht="19.4" hidden="false" customHeight="false" outlineLevel="0" collapsed="false">
      <c r="A7292" s="31" t="s">
        <v>1299</v>
      </c>
    </row>
    <row r="7293" customFormat="false" ht="17.15" hidden="false" customHeight="false" outlineLevel="0" collapsed="false">
      <c r="A7293" s="6" t="s">
        <v>16</v>
      </c>
      <c r="B7293" s="6" t="s">
        <v>17</v>
      </c>
      <c r="C7293" s="20" t="s">
        <v>504</v>
      </c>
      <c r="D7293" s="20" t="s">
        <v>505</v>
      </c>
      <c r="E7293" s="20" t="s">
        <v>587</v>
      </c>
      <c r="F7293" s="20" t="s">
        <v>588</v>
      </c>
      <c r="G7293" s="20" t="s">
        <v>589</v>
      </c>
      <c r="H7293" s="20" t="s">
        <v>590</v>
      </c>
      <c r="I7293" s="20" t="s">
        <v>591</v>
      </c>
      <c r="J7293" s="20" t="s">
        <v>592</v>
      </c>
      <c r="K7293" s="20" t="s">
        <v>593</v>
      </c>
      <c r="L7293" s="20" t="s">
        <v>594</v>
      </c>
      <c r="M7293" s="20" t="s">
        <v>595</v>
      </c>
      <c r="N7293" s="20" t="s">
        <v>596</v>
      </c>
      <c r="O7293" s="20" t="s">
        <v>597</v>
      </c>
      <c r="P7293" s="6" t="s">
        <v>23</v>
      </c>
      <c r="R7293" s="20" t="n">
        <v>2023</v>
      </c>
      <c r="S7293" s="20" t="n">
        <v>2024</v>
      </c>
      <c r="T7293" s="20" t="n">
        <v>2025</v>
      </c>
      <c r="U7293" s="20" t="n">
        <v>2026</v>
      </c>
      <c r="V7293" s="20" t="n">
        <v>2027</v>
      </c>
      <c r="W7293" s="20" t="n">
        <v>2028</v>
      </c>
      <c r="X7293" s="20" t="n">
        <v>2029</v>
      </c>
      <c r="Y7293" s="20" t="n">
        <v>2030</v>
      </c>
      <c r="Z7293" s="20" t="n">
        <v>2031</v>
      </c>
      <c r="AA7293" s="20" t="n">
        <v>2032</v>
      </c>
    </row>
    <row r="7294" customFormat="false" ht="17.15" hidden="false" customHeight="false" outlineLevel="0" collapsed="false">
      <c r="A7294" s="1" t="s">
        <v>727</v>
      </c>
    </row>
    <row r="7295" customFormat="false" ht="15" hidden="false" customHeight="false" outlineLevel="0" collapsed="false">
      <c r="A7295" s="0" t="s">
        <v>526</v>
      </c>
      <c r="B7295" s="0" t="s">
        <v>86</v>
      </c>
      <c r="C7295" s="38" t="n">
        <f aca="false">Sens!$C$7197</f>
        <v>247.029</v>
      </c>
      <c r="D7295" s="38" t="n">
        <f aca="false">Sens!$D$7197</f>
        <v>269.287</v>
      </c>
      <c r="E7295" s="38" t="n">
        <f aca="false">Sens!$E$7197</f>
        <v>134.686</v>
      </c>
      <c r="F7295" s="38" t="n">
        <f aca="false">Sens!$F$7197</f>
        <v>158.293876822267</v>
      </c>
      <c r="G7295" s="38" t="n">
        <f aca="false">Sens!$G$7197</f>
        <v>292.979876822267</v>
      </c>
      <c r="H7295" s="38" t="n">
        <f aca="false">Sens!$H$7197</f>
        <v>318.184543087396</v>
      </c>
      <c r="I7295" s="38" t="n">
        <f aca="false">Sens!$I$7197</f>
        <v>341.736278761793</v>
      </c>
      <c r="J7295" s="38" t="n">
        <f aca="false">Sens!$J$7197</f>
        <v>362.927192787048</v>
      </c>
      <c r="K7295" s="38" t="n">
        <f aca="false">Sens!$K$7197</f>
        <v>381.0735524264</v>
      </c>
      <c r="L7295" s="38" t="n">
        <f aca="false">Sens!$L$7197</f>
        <v>400.12723004772</v>
      </c>
      <c r="M7295" s="38" t="n">
        <f aca="false">Sens!$M$7197</f>
        <v>420.133591550106</v>
      </c>
      <c r="N7295" s="38" t="n">
        <f aca="false">Sens!$N$7197</f>
        <v>118.892</v>
      </c>
      <c r="O7295" s="38" t="n">
        <f aca="false">Sens!$O$7197</f>
        <v>150.395</v>
      </c>
    </row>
    <row r="7296" customFormat="false" ht="15" hidden="false" customHeight="false" outlineLevel="0" collapsed="false">
      <c r="A7296" s="0" t="s">
        <v>527</v>
      </c>
      <c r="B7296" s="0" t="s">
        <v>86</v>
      </c>
      <c r="C7296" s="38" t="n">
        <f aca="false">Sens!$C$7199</f>
        <v>21.215</v>
      </c>
      <c r="D7296" s="38" t="n">
        <f aca="false">Sens!$D$7199</f>
        <v>22.561</v>
      </c>
      <c r="E7296" s="38" t="n">
        <f aca="false">Sens!$E$7199</f>
        <v>11.579</v>
      </c>
      <c r="F7296" s="38" t="n">
        <f aca="false">Sens!$F$7199</f>
        <v>11.5938724610325</v>
      </c>
      <c r="G7296" s="38" t="n">
        <f aca="false">Sens!$G$7199</f>
        <v>23.1728724610325</v>
      </c>
      <c r="H7296" s="38" t="n">
        <f aca="false">Sens!$H$7199</f>
        <v>24.353392759506</v>
      </c>
      <c r="I7296" s="38" t="n">
        <f aca="false">Sens!$I$7199</f>
        <v>25.4240338872015</v>
      </c>
      <c r="J7296" s="38" t="n">
        <f aca="false">Sens!$J$7199</f>
        <v>26.3642491017174</v>
      </c>
      <c r="K7296" s="38" t="n">
        <f aca="false">Sens!$K$7199</f>
        <v>27.155176574769</v>
      </c>
      <c r="L7296" s="38" t="n">
        <f aca="false">Sens!$L$7199</f>
        <v>27.969831872012</v>
      </c>
      <c r="M7296" s="38" t="n">
        <f aca="false">Sens!$M$7199</f>
        <v>28.8089268281724</v>
      </c>
      <c r="N7296" s="38" t="n">
        <f aca="false">Sens!$N$7199</f>
        <v>11.128</v>
      </c>
      <c r="O7296" s="38" t="n">
        <f aca="false">Sens!$O$7199</f>
        <v>11.433</v>
      </c>
    </row>
    <row r="7297" customFormat="false" ht="15" hidden="false" customHeight="false" outlineLevel="0" collapsed="false">
      <c r="A7297" s="0" t="s">
        <v>528</v>
      </c>
      <c r="B7297" s="0" t="s">
        <v>86</v>
      </c>
      <c r="C7297" s="38" t="n">
        <f aca="false">Sens!$C$7201</f>
        <v>156.146</v>
      </c>
      <c r="D7297" s="38" t="n">
        <f aca="false">Sens!$D$7201</f>
        <v>172.162</v>
      </c>
      <c r="E7297" s="38" t="n">
        <f aca="false">Sens!$E$7201</f>
        <v>88.358</v>
      </c>
      <c r="F7297" s="38" t="n">
        <f aca="false">Sens!$F$7201</f>
        <v>102.004388260171</v>
      </c>
      <c r="G7297" s="38" t="n">
        <f aca="false">Sens!$G$7201</f>
        <v>190.362388260171</v>
      </c>
      <c r="H7297" s="38" t="n">
        <f aca="false">Sens!$H$7201</f>
        <v>210.343106588311</v>
      </c>
      <c r="I7297" s="38" t="n">
        <f aca="false">Sens!$I$7201</f>
        <v>229.969728494648</v>
      </c>
      <c r="J7297" s="38" t="n">
        <f aca="false">Sens!$J$7201</f>
        <v>248.747636972598</v>
      </c>
      <c r="K7297" s="38" t="n">
        <f aca="false">Sens!$K$7201</f>
        <v>266.15997156068</v>
      </c>
      <c r="L7297" s="38" t="n">
        <f aca="false">Sens!$L$7201</f>
        <v>284.791169569927</v>
      </c>
      <c r="M7297" s="38" t="n">
        <f aca="false">Sens!$M$7201</f>
        <v>304.726551439822</v>
      </c>
      <c r="N7297" s="38" t="n">
        <f aca="false">Sens!$N$7201</f>
        <v>76.86</v>
      </c>
      <c r="O7297" s="38" t="n">
        <f aca="false">Sens!$O$7201</f>
        <v>95.302</v>
      </c>
    </row>
    <row r="7298" customFormat="false" ht="15" hidden="false" customHeight="false" outlineLevel="0" collapsed="false">
      <c r="A7298" s="0" t="s">
        <v>529</v>
      </c>
      <c r="B7298" s="0" t="s">
        <v>86</v>
      </c>
      <c r="C7298" s="38" t="n">
        <f aca="false">Sens!$C$7203</f>
        <v>56.214</v>
      </c>
      <c r="D7298" s="38" t="n">
        <f aca="false">Sens!$D$7203</f>
        <v>68.635</v>
      </c>
      <c r="E7298" s="38" t="n">
        <f aca="false">Sens!$E$7203</f>
        <v>37.052</v>
      </c>
      <c r="F7298" s="38" t="n">
        <f aca="false">Sens!$F$7203</f>
        <v>46.1572219944148</v>
      </c>
      <c r="G7298" s="38" t="n">
        <f aca="false">Sens!$G$7203</f>
        <v>83.2092219944148</v>
      </c>
      <c r="H7298" s="38" t="n">
        <f aca="false">Sens!$H$7203</f>
        <v>99.8969223878976</v>
      </c>
      <c r="I7298" s="38" t="n">
        <f aca="false">Sens!$I$7203</f>
        <v>116.583111095496</v>
      </c>
      <c r="J7298" s="38" t="n">
        <f aca="false">Sens!$J$7203</f>
        <v>132.148941941952</v>
      </c>
      <c r="K7298" s="38" t="n">
        <f aca="false">Sens!$K$7203</f>
        <v>145.363836136147</v>
      </c>
      <c r="L7298" s="38" t="n">
        <f aca="false">Sens!$L$7203</f>
        <v>159.900219749762</v>
      </c>
      <c r="M7298" s="38" t="n">
        <f aca="false">Sens!$M$7203</f>
        <v>175.890241724738</v>
      </c>
      <c r="N7298" s="38" t="n">
        <f aca="false">Sens!$N$7203</f>
        <v>29.615</v>
      </c>
      <c r="O7298" s="38" t="n">
        <f aca="false">Sens!$O$7203</f>
        <v>39.02</v>
      </c>
    </row>
    <row r="7299" customFormat="false" ht="15" hidden="false" customHeight="false" outlineLevel="0" collapsed="false">
      <c r="A7299" s="0" t="s">
        <v>530</v>
      </c>
      <c r="B7299" s="0" t="s">
        <v>86</v>
      </c>
      <c r="C7299" s="38" t="n">
        <f aca="false">Sens!$C$7205</f>
        <v>44.374</v>
      </c>
      <c r="D7299" s="38" t="n">
        <f aca="false">Sens!$D$7205</f>
        <v>49.619</v>
      </c>
      <c r="E7299" s="38" t="n">
        <f aca="false">Sens!$E$7205</f>
        <v>27.157</v>
      </c>
      <c r="F7299" s="38" t="n">
        <f aca="false">Sens!$F$7205</f>
        <v>27.7764165988154</v>
      </c>
      <c r="G7299" s="38" t="n">
        <f aca="false">Sens!$G$7205</f>
        <v>54.9334165988154</v>
      </c>
      <c r="H7299" s="38" t="n">
        <f aca="false">Sens!$H$7205</f>
        <v>61.1564112561829</v>
      </c>
      <c r="I7299" s="38" t="n">
        <f aca="false">Sens!$I$7205</f>
        <v>67.2020282103945</v>
      </c>
      <c r="J7299" s="38" t="n">
        <f aca="false">Sens!$J$7205</f>
        <v>72.8757274028885</v>
      </c>
      <c r="K7299" s="38" t="n">
        <f aca="false">Sens!$K$7205</f>
        <v>77.9770283210907</v>
      </c>
      <c r="L7299" s="38" t="n">
        <f aca="false">Sens!$L$7205</f>
        <v>83.4354203035671</v>
      </c>
      <c r="M7299" s="38" t="n">
        <f aca="false">Sens!$M$7205</f>
        <v>89.2758997248168</v>
      </c>
      <c r="N7299" s="38" t="n">
        <f aca="false">Sens!$N$7205</f>
        <v>23.923</v>
      </c>
      <c r="O7299" s="38" t="n">
        <f aca="false">Sens!$O$7205</f>
        <v>25.696</v>
      </c>
    </row>
    <row r="7300" customFormat="false" ht="15" hidden="false" customHeight="false" outlineLevel="0" collapsed="false">
      <c r="A7300" s="0" t="s">
        <v>531</v>
      </c>
      <c r="B7300" s="0" t="s">
        <v>86</v>
      </c>
      <c r="C7300" s="38" t="n">
        <f aca="false">Sens!$C$7207</f>
        <v>5.425</v>
      </c>
      <c r="D7300" s="38" t="n">
        <f aca="false">Sens!$D$7207</f>
        <v>5.935</v>
      </c>
      <c r="E7300" s="38" t="n">
        <f aca="false">Sens!$E$7207</f>
        <v>3.474</v>
      </c>
      <c r="F7300" s="38" t="n">
        <f aca="false">Sens!$F$7207</f>
        <v>3.22246550883619</v>
      </c>
      <c r="G7300" s="38" t="n">
        <f aca="false">Sens!$G$7207</f>
        <v>6.69646550883619</v>
      </c>
      <c r="H7300" s="38" t="n">
        <f aca="false">Sens!$H$7207</f>
        <v>7.16251344209196</v>
      </c>
      <c r="I7300" s="38" t="n">
        <f aca="false">Sens!$I$7207</f>
        <v>7.61421070299826</v>
      </c>
      <c r="J7300" s="38" t="n">
        <f aca="false">Sens!$J$7207</f>
        <v>8.04465753523932</v>
      </c>
      <c r="K7300" s="38" t="n">
        <f aca="false">Sens!$K$7207</f>
        <v>8.44689041200128</v>
      </c>
      <c r="L7300" s="38" t="n">
        <f aca="false">Sens!$L$7207</f>
        <v>8.86923493260135</v>
      </c>
      <c r="M7300" s="38" t="n">
        <f aca="false">Sens!$M$7207</f>
        <v>9.31269667923142</v>
      </c>
      <c r="N7300" s="38" t="n">
        <f aca="false">Sens!$N$7207</f>
        <v>2.811</v>
      </c>
      <c r="O7300" s="38" t="n">
        <f aca="false">Sens!$O$7207</f>
        <v>3.124</v>
      </c>
    </row>
    <row r="7301" customFormat="false" ht="17.15" hidden="false" customHeight="false" outlineLevel="0" collapsed="false">
      <c r="A7301" s="0" t="s">
        <v>728</v>
      </c>
      <c r="B7301" s="0" t="s">
        <v>86</v>
      </c>
      <c r="C7301" s="38" t="n">
        <f aca="false">Sens!$C$7282</f>
        <v>107.556</v>
      </c>
      <c r="D7301" s="38" t="n">
        <f aca="false">Sens!$D$7282</f>
        <v>128.725</v>
      </c>
      <c r="E7301" s="38" t="n">
        <f aca="false">Sens!$E$7282</f>
        <v>79.819</v>
      </c>
      <c r="F7301" s="38" t="n">
        <f aca="false">Sens!$F$7282</f>
        <v>86.7327334389669</v>
      </c>
      <c r="G7301" s="38" t="n">
        <f aca="false">Sens!$G$7282</f>
        <v>166.551733438967</v>
      </c>
      <c r="H7301" s="38" t="n">
        <f aca="false">Sens!$H$7282</f>
        <v>221.182967828978</v>
      </c>
      <c r="I7301" s="38" t="n">
        <f aca="false">Sens!$I$7282</f>
        <v>280.27345865789</v>
      </c>
      <c r="J7301" s="38" t="n">
        <f aca="false">Sens!$J$7282</f>
        <v>338.800945197185</v>
      </c>
      <c r="K7301" s="38" t="n">
        <f aca="false">Sens!$K$7282</f>
        <v>389.88570147276</v>
      </c>
      <c r="L7301" s="38" t="n">
        <f aca="false">Sens!$L$7282</f>
        <v>430.080689379143</v>
      </c>
      <c r="M7301" s="38" t="n">
        <f aca="false">Sens!$M$7282</f>
        <v>459.456235951751</v>
      </c>
      <c r="N7301" s="38" t="n">
        <f aca="false">Sens!$N$7282</f>
        <v>60.14</v>
      </c>
      <c r="O7301" s="38" t="n">
        <f aca="false">Sens!$O$7282</f>
        <v>68.585</v>
      </c>
    </row>
    <row r="7302" customFormat="false" ht="15" hidden="false" customHeight="false" outlineLevel="0" collapsed="false">
      <c r="A7302" s="1" t="s">
        <v>519</v>
      </c>
      <c r="B7302" s="8" t="s">
        <v>86</v>
      </c>
      <c r="C7302" s="38" t="n">
        <f aca="false">Sens!$C$7212</f>
        <v>387.497</v>
      </c>
      <c r="D7302" s="38" t="n">
        <f aca="false">Sens!$D$7212</f>
        <v>426.305</v>
      </c>
      <c r="E7302" s="38" t="n">
        <f aca="false">Sens!$E$7212</f>
        <v>220.32</v>
      </c>
      <c r="F7302" s="38" t="n">
        <f aca="false">Sens!$F$7212</f>
        <v>250.639773480586</v>
      </c>
      <c r="G7302" s="38" t="n">
        <f aca="false">Sens!$G$7212</f>
        <v>470.959773480586</v>
      </c>
      <c r="H7302" s="38" t="n">
        <f aca="false">Sens!$H$7212</f>
        <v>521.386990416437</v>
      </c>
      <c r="I7302" s="38" t="n">
        <f aca="false">Sens!$I$7212</f>
        <v>570.143862887555</v>
      </c>
      <c r="J7302" s="38" t="n">
        <f aca="false">Sens!$J$7212</f>
        <v>615.391435791933</v>
      </c>
      <c r="K7302" s="38" t="n">
        <f aca="false">Sens!$K$7212</f>
        <v>655.208227561543</v>
      </c>
      <c r="L7302" s="38" t="n">
        <f aca="false">Sens!$L$7212</f>
        <v>697.807739249767</v>
      </c>
      <c r="M7302" s="38" t="n">
        <f aca="false">Sens!$M$7212</f>
        <v>743.399328463592</v>
      </c>
      <c r="N7302" s="38" t="n">
        <f aca="false">Sens!$N$7212</f>
        <v>192.955</v>
      </c>
      <c r="O7302" s="38" t="n">
        <f aca="false">Sens!$O$7212</f>
        <v>233.35</v>
      </c>
    </row>
    <row r="7303" customFormat="false" ht="15" hidden="false" customHeight="false" outlineLevel="0" collapsed="false">
      <c r="A7303" s="1" t="s">
        <v>522</v>
      </c>
      <c r="B7303" s="8" t="s">
        <v>86</v>
      </c>
      <c r="C7303" s="38" t="n">
        <f aca="false">Sens!$C$7213</f>
        <v>142.906</v>
      </c>
      <c r="D7303" s="38" t="n">
        <f aca="false">Sens!$D$7213</f>
        <v>161.894</v>
      </c>
      <c r="E7303" s="38" t="n">
        <f aca="false">Sens!$E$7213</f>
        <v>81.986</v>
      </c>
      <c r="F7303" s="38" t="n">
        <f aca="false">Sens!$F$7213</f>
        <v>98.408468164951</v>
      </c>
      <c r="G7303" s="38" t="n">
        <f aca="false">Sens!$G$7213</f>
        <v>180.394468164951</v>
      </c>
      <c r="H7303" s="38" t="n">
        <f aca="false">Sens!$H$7213</f>
        <v>199.709899104949</v>
      </c>
      <c r="I7303" s="38" t="n">
        <f aca="false">Sens!$I$7213</f>
        <v>218.385528264976</v>
      </c>
      <c r="J7303" s="38" t="n">
        <f aca="false">Sens!$J$7213</f>
        <v>235.71696994951</v>
      </c>
      <c r="K7303" s="38" t="n">
        <f aca="false">Sens!$K$7213</f>
        <v>250.968227869545</v>
      </c>
      <c r="L7303" s="38" t="n">
        <f aca="false">Sens!$L$7213</f>
        <v>267.285367225822</v>
      </c>
      <c r="M7303" s="38" t="n">
        <f aca="false">Sens!$M$7213</f>
        <v>284.748579483295</v>
      </c>
      <c r="N7303" s="38" t="n">
        <f aca="false">Sens!$N$7213</f>
        <v>70.274</v>
      </c>
      <c r="O7303" s="38" t="n">
        <f aca="false">Sens!$O$7213</f>
        <v>91.62</v>
      </c>
    </row>
    <row r="7304" customFormat="false" ht="15" hidden="false" customHeight="false" outlineLevel="0" collapsed="false">
      <c r="A7304" s="1" t="s">
        <v>523</v>
      </c>
      <c r="B7304" s="8" t="s">
        <v>86</v>
      </c>
      <c r="C7304" s="38" t="n">
        <f aca="false">Sens!$C$7282</f>
        <v>107.556</v>
      </c>
      <c r="D7304" s="38" t="n">
        <f aca="false">Sens!$D$7282</f>
        <v>128.725</v>
      </c>
      <c r="E7304" s="38" t="n">
        <f aca="false">Sens!$E$7282</f>
        <v>79.819</v>
      </c>
      <c r="F7304" s="38" t="n">
        <f aca="false">Sens!$F$7282</f>
        <v>86.7327334389669</v>
      </c>
      <c r="G7304" s="38" t="n">
        <f aca="false">Sens!$G$7282</f>
        <v>166.551733438967</v>
      </c>
      <c r="H7304" s="38" t="n">
        <f aca="false">Sens!$H$7282</f>
        <v>221.182967828978</v>
      </c>
      <c r="I7304" s="38" t="n">
        <f aca="false">Sens!$I$7282</f>
        <v>280.27345865789</v>
      </c>
      <c r="J7304" s="38" t="n">
        <f aca="false">Sens!$J$7282</f>
        <v>338.800945197185</v>
      </c>
      <c r="K7304" s="38" t="n">
        <f aca="false">Sens!$K$7282</f>
        <v>389.88570147276</v>
      </c>
      <c r="L7304" s="38" t="n">
        <f aca="false">Sens!$L$7282</f>
        <v>430.080689379143</v>
      </c>
      <c r="M7304" s="38" t="n">
        <f aca="false">Sens!$M$7282</f>
        <v>459.456235951751</v>
      </c>
      <c r="N7304" s="38" t="n">
        <f aca="false">Sens!$N$7282</f>
        <v>60.14</v>
      </c>
      <c r="O7304" s="38" t="n">
        <f aca="false">Sens!$O$7282</f>
        <v>68.585</v>
      </c>
    </row>
    <row r="7305" customFormat="false" ht="17.15" hidden="false" customHeight="false" outlineLevel="0" collapsed="false">
      <c r="A7305" s="0" t="s">
        <v>702</v>
      </c>
      <c r="B7305" s="0" t="s">
        <v>86</v>
      </c>
      <c r="C7305" s="38" t="n">
        <f aca="false">Sens!$C$7280</f>
        <v>2.32100535697364</v>
      </c>
      <c r="D7305" s="38" t="n">
        <f aca="false">Sens!$D$7280</f>
        <v>8.70377008865116</v>
      </c>
      <c r="E7305" s="38" t="n">
        <f aca="false">Sens!$E$7280</f>
        <v>8.51035297557002</v>
      </c>
      <c r="F7305" s="38" t="n">
        <f aca="false">Sens!$F$7280</f>
        <v>14.9634336447205</v>
      </c>
      <c r="G7305" s="38" t="n">
        <f aca="false">Sens!$G$7280</f>
        <v>23.4737866202905</v>
      </c>
      <c r="H7305" s="38" t="n">
        <f aca="false">Sens!$H$7280</f>
        <v>60.1658907497746</v>
      </c>
      <c r="I7305" s="38" t="n">
        <f aca="false">Sens!$I$7280</f>
        <v>101.503699136432</v>
      </c>
      <c r="J7305" s="38" t="n">
        <f aca="false">Sens!$J$7280</f>
        <v>143.025407151278</v>
      </c>
      <c r="K7305" s="38" t="n">
        <f aca="false">Sens!$K$7280</f>
        <v>178.44812038318</v>
      </c>
      <c r="L7305" s="38" t="n">
        <f aca="false">Sens!$L$7280</f>
        <v>201.728101802396</v>
      </c>
      <c r="M7305" s="38" t="n">
        <f aca="false">Sens!$M$7280</f>
        <v>212.835441368865</v>
      </c>
      <c r="N7305" s="38" t="n">
        <f aca="false">Sens!$N$7280</f>
        <v>3.04631953102791</v>
      </c>
      <c r="O7305" s="38" t="n">
        <f aca="false">Sens!$O$7280</f>
        <v>5.65745055762326</v>
      </c>
    </row>
    <row r="7306" customFormat="false" ht="17.15" hidden="false" customHeight="false" outlineLevel="0" collapsed="false">
      <c r="A7306" s="0" t="s">
        <v>704</v>
      </c>
      <c r="B7306" s="0" t="s">
        <v>86</v>
      </c>
      <c r="C7306" s="38" t="n">
        <f aca="false">Sens!$C$7281</f>
        <v>105.234994643026</v>
      </c>
      <c r="D7306" s="38" t="n">
        <f aca="false">Sens!$D$7281</f>
        <v>120.021229911349</v>
      </c>
      <c r="E7306" s="38" t="n">
        <f aca="false">Sens!$E$7281</f>
        <v>71.30864702443</v>
      </c>
      <c r="F7306" s="38" t="n">
        <f aca="false">Sens!$F$7281</f>
        <v>71.7692997942464</v>
      </c>
      <c r="G7306" s="38" t="n">
        <f aca="false">Sens!$G$7281</f>
        <v>143.077946818676</v>
      </c>
      <c r="H7306" s="38" t="n">
        <f aca="false">Sens!$H$7281</f>
        <v>161.017077079203</v>
      </c>
      <c r="I7306" s="38" t="n">
        <f aca="false">Sens!$I$7281</f>
        <v>178.769759521457</v>
      </c>
      <c r="J7306" s="38" t="n">
        <f aca="false">Sens!$J$7281</f>
        <v>195.775538045907</v>
      </c>
      <c r="K7306" s="38" t="n">
        <f aca="false">Sens!$K$7281</f>
        <v>211.43758108958</v>
      </c>
      <c r="L7306" s="38" t="n">
        <f aca="false">Sens!$L$7281</f>
        <v>228.352587576746</v>
      </c>
      <c r="M7306" s="38" t="n">
        <f aca="false">Sens!$M$7281</f>
        <v>246.620794582886</v>
      </c>
      <c r="N7306" s="38" t="n">
        <f aca="false">Sens!$N$7281</f>
        <v>57.0936804689721</v>
      </c>
      <c r="O7306" s="38" t="n">
        <f aca="false">Sens!$O$7281</f>
        <v>62.9275494423768</v>
      </c>
    </row>
    <row r="7307" customFormat="false" ht="15" hidden="false" customHeight="false" outlineLevel="0" collapsed="false">
      <c r="A7307" s="3" t="s">
        <v>524</v>
      </c>
      <c r="B7307" s="8" t="s">
        <v>86</v>
      </c>
      <c r="C7307" s="38" t="n">
        <f aca="false">Sens!$C$7283</f>
        <v>637.959</v>
      </c>
      <c r="D7307" s="38" t="n">
        <f aca="false">Sens!$D$7283</f>
        <v>716.924</v>
      </c>
      <c r="E7307" s="38" t="n">
        <f aca="false">Sens!$E$7283</f>
        <v>382.125</v>
      </c>
      <c r="F7307" s="38" t="n">
        <f aca="false">Sens!$F$7283</f>
        <v>435.780975084504</v>
      </c>
      <c r="G7307" s="38" t="n">
        <f aca="false">Sens!$G$7283</f>
        <v>817.905975084504</v>
      </c>
      <c r="H7307" s="38" t="n">
        <f aca="false">Sens!$H$7283</f>
        <v>942.279857350364</v>
      </c>
      <c r="I7307" s="38" t="n">
        <f aca="false">Sens!$I$7283</f>
        <v>1068.80284981042</v>
      </c>
      <c r="J7307" s="38" t="n">
        <f aca="false">Sens!$J$7283</f>
        <v>1189.90935093863</v>
      </c>
      <c r="K7307" s="38" t="n">
        <f aca="false">Sens!$K$7283</f>
        <v>1296.06215690385</v>
      </c>
      <c r="L7307" s="38" t="n">
        <f aca="false">Sens!$L$7283</f>
        <v>1395.17379585473</v>
      </c>
      <c r="M7307" s="38" t="n">
        <f aca="false">Sens!$M$7283</f>
        <v>1487.60414389864</v>
      </c>
      <c r="N7307" s="38" t="n">
        <f aca="false">Sens!$N$7283</f>
        <v>323.369</v>
      </c>
      <c r="O7307" s="38" t="n">
        <f aca="false">Sens!$O$7283</f>
        <v>393.555</v>
      </c>
    </row>
    <row r="7308" customFormat="false" ht="17.15" hidden="false" customHeight="false" outlineLevel="0" collapsed="false">
      <c r="A7308" s="24" t="s">
        <v>714</v>
      </c>
      <c r="B7308" s="25" t="s">
        <v>86</v>
      </c>
      <c r="C7308" s="41" t="n">
        <f aca="false">Sens!$C$7295+Sens!$C$7296+Sens!$C$7297+Sens!$C$7298+Sens!$C$7299+Sens!$C$7300-(Sens!$C$7302+Sens!$C$7303)</f>
        <v>0</v>
      </c>
      <c r="D7308" s="41" t="n">
        <f aca="false">Sens!$D$7295+Sens!$D$7296+Sens!$D$7297+Sens!$D$7298+Sens!$D$7299+Sens!$D$7300-(Sens!$D$7302+Sens!$D$7303)</f>
        <v>0</v>
      </c>
      <c r="E7308" s="41" t="n">
        <f aca="false">Sens!$E$7295+Sens!$E$7296+Sens!$E$7297+Sens!$E$7298+Sens!$E$7299+Sens!$E$7300-(Sens!$E$7302+Sens!$E$7303)</f>
        <v>0</v>
      </c>
      <c r="F7308" s="41" t="n">
        <f aca="false">Sens!$F$7295+Sens!$F$7296+Sens!$F$7297+Sens!$F$7298+Sens!$F$7299+Sens!$F$7300-(Sens!$F$7302+Sens!$F$7303)</f>
        <v>0</v>
      </c>
      <c r="G7308" s="41" t="n">
        <f aca="false">Sens!$G$7295+Sens!$G$7296+Sens!$G$7297+Sens!$G$7298+Sens!$G$7299+Sens!$G$7300-(Sens!$G$7302+Sens!$G$7303)</f>
        <v>0</v>
      </c>
      <c r="H7308" s="41" t="n">
        <f aca="false">Sens!$H$7295+Sens!$H$7296+Sens!$H$7297+Sens!$H$7298+Sens!$H$7299+Sens!$H$7300-(Sens!$H$7302+Sens!$H$7303)</f>
        <v>0</v>
      </c>
      <c r="I7308" s="41" t="n">
        <f aca="false">Sens!$I$7295+Sens!$I$7296+Sens!$I$7297+Sens!$I$7298+Sens!$I$7299+Sens!$I$7300-(Sens!$I$7302+Sens!$I$7303)</f>
        <v>0</v>
      </c>
      <c r="J7308" s="41" t="n">
        <f aca="false">Sens!$J$7295+Sens!$J$7296+Sens!$J$7297+Sens!$J$7298+Sens!$J$7299+Sens!$J$7300-(Sens!$J$7302+Sens!$J$7303)</f>
        <v>0</v>
      </c>
      <c r="K7308" s="41" t="n">
        <f aca="false">Sens!$K$7295+Sens!$K$7296+Sens!$K$7297+Sens!$K$7298+Sens!$K$7299+Sens!$K$7300-(Sens!$K$7302+Sens!$K$7303)</f>
        <v>0</v>
      </c>
      <c r="L7308" s="41" t="n">
        <f aca="false">Sens!$L$7295+Sens!$L$7296+Sens!$L$7297+Sens!$L$7298+Sens!$L$7299+Sens!$L$7300-(Sens!$L$7302+Sens!$L$7303)</f>
        <v>0</v>
      </c>
      <c r="M7308" s="41" t="n">
        <f aca="false">Sens!$M$7295+Sens!$M$7296+Sens!$M$7297+Sens!$M$7298+Sens!$M$7299+Sens!$M$7300-(Sens!$M$7302+Sens!$M$7303)</f>
        <v>0</v>
      </c>
      <c r="N7308" s="41" t="n">
        <f aca="false">Sens!$N$7295+Sens!$N$7296+Sens!$N$7297+Sens!$N$7298+Sens!$N$7299+Sens!$N$7300-(Sens!$N$7302+Sens!$N$7303)</f>
        <v>0</v>
      </c>
      <c r="O7308" s="41" t="n">
        <f aca="false">Sens!$O$7295+Sens!$O$7296+Sens!$O$7297+Sens!$O$7298+Sens!$O$7299+Sens!$O$7300-(Sens!$O$7302+Sens!$O$7303)</f>
        <v>0</v>
      </c>
    </row>
    <row r="7309" customFormat="false" ht="17.15" hidden="false" customHeight="false" outlineLevel="0" collapsed="false">
      <c r="A7309" s="24" t="s">
        <v>715</v>
      </c>
      <c r="B7309" s="25" t="s">
        <v>86</v>
      </c>
      <c r="C7309" s="41" t="n">
        <f aca="false">Sens!$C$7305+Sens!$C$7306-Sens!$C$7304</f>
        <v>0</v>
      </c>
      <c r="D7309" s="41" t="n">
        <f aca="false">Sens!$D$7305+Sens!$D$7306-Sens!$D$7304</f>
        <v>0</v>
      </c>
      <c r="E7309" s="41" t="n">
        <f aca="false">Sens!$E$7305+Sens!$E$7306-Sens!$E$7304</f>
        <v>0</v>
      </c>
      <c r="F7309" s="41" t="n">
        <f aca="false">Sens!$F$7305+Sens!$F$7306-Sens!$F$7304</f>
        <v>0</v>
      </c>
      <c r="G7309" s="41" t="n">
        <f aca="false">Sens!$G$7305+Sens!$G$7306-Sens!$G$7304</f>
        <v>0</v>
      </c>
      <c r="H7309" s="41" t="n">
        <f aca="false">Sens!$H$7305+Sens!$H$7306-Sens!$H$7304</f>
        <v>0</v>
      </c>
      <c r="I7309" s="41" t="n">
        <f aca="false">Sens!$I$7305+Sens!$I$7306-Sens!$I$7304</f>
        <v>0</v>
      </c>
      <c r="J7309" s="41" t="n">
        <f aca="false">Sens!$J$7305+Sens!$J$7306-Sens!$J$7304</f>
        <v>0</v>
      </c>
      <c r="K7309" s="41" t="n">
        <f aca="false">Sens!$K$7305+Sens!$K$7306-Sens!$K$7304</f>
        <v>0</v>
      </c>
      <c r="L7309" s="41" t="n">
        <f aca="false">Sens!$L$7305+Sens!$L$7306-Sens!$L$7304</f>
        <v>0</v>
      </c>
      <c r="M7309" s="41" t="n">
        <f aca="false">Sens!$M$7305+Sens!$M$7306-Sens!$M$7304</f>
        <v>0</v>
      </c>
      <c r="N7309" s="41" t="n">
        <f aca="false">Sens!$N$7305+Sens!$N$7306-Sens!$N$7304</f>
        <v>0</v>
      </c>
      <c r="O7309" s="41" t="n">
        <f aca="false">Sens!$O$7305+Sens!$O$7306-Sens!$O$7304</f>
        <v>0</v>
      </c>
    </row>
    <row r="7310" customFormat="false" ht="17.15" hidden="false" customHeight="false" outlineLevel="0" collapsed="false">
      <c r="A7310" s="24" t="s">
        <v>774</v>
      </c>
      <c r="B7310" s="25" t="s">
        <v>86</v>
      </c>
      <c r="C7310" s="41" t="n">
        <f aca="false">Sens!$C$7295+Sens!$C$7296+Sens!$C$7297+Sens!$C$7298+Sens!$C$7299+Sens!$C$7300+Sens!$C$7301-Sens!$C$7307</f>
        <v>0</v>
      </c>
      <c r="D7310" s="41" t="n">
        <f aca="false">Sens!$D$7295+Sens!$D$7296+Sens!$D$7297+Sens!$D$7298+Sens!$D$7299+Sens!$D$7300+Sens!$D$7301-Sens!$D$7307</f>
        <v>0</v>
      </c>
      <c r="E7310" s="41" t="n">
        <f aca="false">Sens!$E$7295+Sens!$E$7296+Sens!$E$7297+Sens!$E$7298+Sens!$E$7299+Sens!$E$7300+Sens!$E$7301-Sens!$E$7307</f>
        <v>0</v>
      </c>
      <c r="F7310" s="41" t="n">
        <f aca="false">Sens!$F$7295+Sens!$F$7296+Sens!$F$7297+Sens!$F$7298+Sens!$F$7299+Sens!$F$7300+Sens!$F$7301-Sens!$F$7307</f>
        <v>0</v>
      </c>
      <c r="G7310" s="41" t="n">
        <f aca="false">Sens!$G$7295+Sens!$G$7296+Sens!$G$7297+Sens!$G$7298+Sens!$G$7299+Sens!$G$7300+Sens!$G$7301-Sens!$G$7307</f>
        <v>0</v>
      </c>
      <c r="H7310" s="41" t="n">
        <f aca="false">Sens!$H$7295+Sens!$H$7296+Sens!$H$7297+Sens!$H$7298+Sens!$H$7299+Sens!$H$7300+Sens!$H$7301-Sens!$H$7307</f>
        <v>0</v>
      </c>
      <c r="I7310" s="41" t="n">
        <f aca="false">Sens!$I$7295+Sens!$I$7296+Sens!$I$7297+Sens!$I$7298+Sens!$I$7299+Sens!$I$7300+Sens!$I$7301-Sens!$I$7307</f>
        <v>0</v>
      </c>
      <c r="J7310" s="41" t="n">
        <f aca="false">Sens!$J$7295+Sens!$J$7296+Sens!$J$7297+Sens!$J$7298+Sens!$J$7299+Sens!$J$7300+Sens!$J$7301-Sens!$J$7307</f>
        <v>0</v>
      </c>
      <c r="K7310" s="41" t="n">
        <f aca="false">Sens!$K$7295+Sens!$K$7296+Sens!$K$7297+Sens!$K$7298+Sens!$K$7299+Sens!$K$7300+Sens!$K$7301-Sens!$K$7307</f>
        <v>0</v>
      </c>
      <c r="L7310" s="41" t="n">
        <f aca="false">Sens!$L$7295+Sens!$L$7296+Sens!$L$7297+Sens!$L$7298+Sens!$L$7299+Sens!$L$7300+Sens!$L$7301-Sens!$L$7307</f>
        <v>0</v>
      </c>
      <c r="M7310" s="41" t="n">
        <f aca="false">Sens!$M$7295+Sens!$M$7296+Sens!$M$7297+Sens!$M$7298+Sens!$M$7299+Sens!$M$7300+Sens!$M$7301-Sens!$M$7307</f>
        <v>0</v>
      </c>
      <c r="N7310" s="41" t="n">
        <f aca="false">Sens!$N$7295+Sens!$N$7296+Sens!$N$7297+Sens!$N$7298+Sens!$N$7299+Sens!$N$7300+Sens!$N$7301-Sens!$N$7307</f>
        <v>0</v>
      </c>
      <c r="O7310" s="41" t="n">
        <f aca="false">Sens!$O$7295+Sens!$O$7296+Sens!$O$7297+Sens!$O$7298+Sens!$O$7299+Sens!$O$7300+Sens!$O$7301-Sens!$O$7307</f>
        <v>0</v>
      </c>
    </row>
    <row r="7311" customFormat="false" ht="17.15" hidden="false" customHeight="false" outlineLevel="0" collapsed="false">
      <c r="A7311" s="24" t="s">
        <v>716</v>
      </c>
      <c r="B7311" s="25" t="s">
        <v>86</v>
      </c>
      <c r="C7311" s="41" t="n">
        <f aca="false">Sens!$C$7302+Sens!$C$7303+Sens!$C$7304-Sens!$C$7307</f>
        <v>0</v>
      </c>
      <c r="D7311" s="41" t="n">
        <f aca="false">Sens!$D$7302+Sens!$D$7303+Sens!$D$7304-Sens!$D$7307</f>
        <v>0</v>
      </c>
      <c r="E7311" s="41" t="n">
        <f aca="false">Sens!$E$7302+Sens!$E$7303+Sens!$E$7304-Sens!$E$7307</f>
        <v>0</v>
      </c>
      <c r="F7311" s="41" t="n">
        <f aca="false">Sens!$F$7302+Sens!$F$7303+Sens!$F$7304-Sens!$F$7307</f>
        <v>0</v>
      </c>
      <c r="G7311" s="41" t="n">
        <f aca="false">Sens!$G$7302+Sens!$G$7303+Sens!$G$7304-Sens!$G$7307</f>
        <v>0</v>
      </c>
      <c r="H7311" s="41" t="n">
        <f aca="false">Sens!$H$7302+Sens!$H$7303+Sens!$H$7304-Sens!$H$7307</f>
        <v>0</v>
      </c>
      <c r="I7311" s="41" t="n">
        <f aca="false">Sens!$I$7302+Sens!$I$7303+Sens!$I$7304-Sens!$I$7307</f>
        <v>0</v>
      </c>
      <c r="J7311" s="41" t="n">
        <f aca="false">Sens!$J$7302+Sens!$J$7303+Sens!$J$7304-Sens!$J$7307</f>
        <v>0</v>
      </c>
      <c r="K7311" s="41" t="n">
        <f aca="false">Sens!$K$7302+Sens!$K$7303+Sens!$K$7304-Sens!$K$7307</f>
        <v>0</v>
      </c>
      <c r="L7311" s="41" t="n">
        <f aca="false">Sens!$L$7302+Sens!$L$7303+Sens!$L$7304-Sens!$L$7307</f>
        <v>0</v>
      </c>
      <c r="M7311" s="41" t="n">
        <f aca="false">Sens!$M$7302+Sens!$M$7303+Sens!$M$7304-Sens!$M$7307</f>
        <v>0</v>
      </c>
      <c r="N7311" s="41" t="n">
        <f aca="false">Sens!$N$7302+Sens!$N$7303+Sens!$N$7304-Sens!$N$7307</f>
        <v>0</v>
      </c>
      <c r="O7311" s="41" t="n">
        <f aca="false">Sens!$O$7302+Sens!$O$7303+Sens!$O$7304-Sens!$O$7307</f>
        <v>0</v>
      </c>
    </row>
    <row r="7312" customFormat="false" ht="17.15" hidden="false" customHeight="false" outlineLevel="0" collapsed="false">
      <c r="A7312" s="1" t="s">
        <v>730</v>
      </c>
    </row>
    <row r="7313" customFormat="false" ht="17.15" hidden="false" customHeight="false" outlineLevel="0" collapsed="false">
      <c r="A7313" s="0" t="s">
        <v>731</v>
      </c>
      <c r="B7313" s="0" t="s">
        <v>86</v>
      </c>
      <c r="C7313" s="38" t="n">
        <f aca="false">Sens!$C$7214*m_ad</f>
        <v>20.5341564414228</v>
      </c>
      <c r="D7313" s="38" t="n">
        <f aca="false">Sens!$D$7214*m_ad</f>
        <v>24.8720617299587</v>
      </c>
      <c r="E7313" s="38" t="n">
        <f aca="false">Sens!$E$7214*m_ad</f>
        <v>13.5017112462207</v>
      </c>
      <c r="F7313" s="38" t="n">
        <f aca="false">Sens!$F$7214*m_ad</f>
        <v>16.5719724165257</v>
      </c>
      <c r="G7313" s="38" t="n">
        <f aca="false">Sens!$G$7214*m_ad</f>
        <v>30.0820919220415</v>
      </c>
      <c r="H7313" s="38" t="n">
        <f aca="false">Sens!$H$7214*m_ad</f>
        <v>36.1150883276314</v>
      </c>
      <c r="I7313" s="38" t="n">
        <f aca="false">Sens!$I$7214*m_ad</f>
        <v>42.1475382231996</v>
      </c>
      <c r="J7313" s="38" t="n">
        <f aca="false">Sens!$J$7214*m_ad</f>
        <v>47.7749523864693</v>
      </c>
      <c r="K7313" s="38" t="n">
        <f aca="false">Sens!$K$7214*m_ad</f>
        <v>52.5524476251162</v>
      </c>
      <c r="L7313" s="38" t="n">
        <f aca="false">Sens!$L$7214*m_ad</f>
        <v>57.8076923876279</v>
      </c>
      <c r="M7313" s="38" t="n">
        <f aca="false">Sens!$M$7214*m_ad</f>
        <v>63.5884616263907</v>
      </c>
      <c r="N7313" s="38" t="n">
        <f aca="false">Sens!$N$7214*m_ad</f>
        <v>10.8543555706248</v>
      </c>
      <c r="O7313" s="38" t="n">
        <f aca="false">Sens!$O$7214*m_ad</f>
        <v>14.0094731821399</v>
      </c>
    </row>
    <row r="7314" customFormat="false" ht="17.15" hidden="false" customHeight="false" outlineLevel="0" collapsed="false">
      <c r="A7314" s="0" t="s">
        <v>732</v>
      </c>
      <c r="B7314" s="0" t="s">
        <v>86</v>
      </c>
      <c r="C7314" s="38" t="n">
        <f aca="false">Sens!$C$7212-Sens!$C$7214</f>
        <v>346.428687117154</v>
      </c>
      <c r="D7314" s="38" t="n">
        <f aca="false">Sens!$D$7212-Sens!$D$7214</f>
        <v>376.560876540083</v>
      </c>
      <c r="E7314" s="38" t="n">
        <f aca="false">Sens!$E$7212-Sens!$E$7214</f>
        <v>193.316577507559</v>
      </c>
      <c r="F7314" s="38" t="n">
        <f aca="false">Sens!$F$7212-Sens!$F$7214</f>
        <v>217.495828647535</v>
      </c>
      <c r="G7314" s="38" t="n">
        <f aca="false">Sens!$G$7212-Sens!$G$7214</f>
        <v>410.795589636503</v>
      </c>
      <c r="H7314" s="38" t="n">
        <f aca="false">Sens!$H$7212-Sens!$H$7214</f>
        <v>449.156813761174</v>
      </c>
      <c r="I7314" s="38" t="n">
        <f aca="false">Sens!$I$7212-Sens!$I$7214</f>
        <v>485.848786441156</v>
      </c>
      <c r="J7314" s="38" t="n">
        <f aca="false">Sens!$J$7212-Sens!$J$7214</f>
        <v>519.841531018994</v>
      </c>
      <c r="K7314" s="38" t="n">
        <f aca="false">Sens!$K$7212-Sens!$K$7214</f>
        <v>550.103332311311</v>
      </c>
      <c r="L7314" s="38" t="n">
        <f aca="false">Sens!$L$7212-Sens!$L$7214</f>
        <v>582.192354474511</v>
      </c>
      <c r="M7314" s="38" t="n">
        <f aca="false">Sens!$M$7212-Sens!$M$7214</f>
        <v>616.22240521081</v>
      </c>
      <c r="N7314" s="38" t="n">
        <f aca="false">Sens!$N$7212-Sens!$N$7214</f>
        <v>171.24628885875</v>
      </c>
      <c r="O7314" s="38" t="n">
        <f aca="false">Sens!$O$7212-Sens!$O$7214</f>
        <v>205.33105363572</v>
      </c>
    </row>
    <row r="7315" customFormat="false" ht="17.15" hidden="false" customHeight="false" outlineLevel="0" collapsed="false">
      <c r="A7315" s="0" t="s">
        <v>733</v>
      </c>
      <c r="B7315" s="0" t="s">
        <v>86</v>
      </c>
      <c r="C7315" s="38" t="n">
        <f aca="false">Sens!$C$7266*Sens!$C$7211</f>
        <v>0.123617442257179</v>
      </c>
      <c r="D7315" s="38" t="n">
        <f aca="false">Sens!$D$7266*Sens!$D$7211</f>
        <v>0.600198046024689</v>
      </c>
      <c r="E7315" s="38" t="n">
        <f aca="false">Sens!$E$7266*Sens!$E$7211</f>
        <v>1.10840000750276</v>
      </c>
      <c r="F7315" s="38" t="n">
        <f aca="false">Sens!$F$7266*Sens!$F$7211</f>
        <v>1.33595298721025</v>
      </c>
      <c r="G7315" s="38" t="n">
        <f aca="false">Sens!$G$7266*Sens!$G$7211</f>
        <v>2.44487335052545</v>
      </c>
      <c r="H7315" s="38" t="n">
        <f aca="false">Sens!$H$7266*Sens!$H$7211</f>
        <v>6.63132711939388</v>
      </c>
      <c r="I7315" s="38" t="n">
        <f aca="false">Sens!$I$7266*Sens!$I$7211</f>
        <v>12.7486799258504</v>
      </c>
      <c r="J7315" s="38" t="n">
        <f aca="false">Sens!$J$7266*Sens!$J$7211</f>
        <v>18.4074045299415</v>
      </c>
      <c r="K7315" s="38" t="n">
        <f aca="false">Sens!$K$7266*Sens!$K$7211</f>
        <v>23.9455472348705</v>
      </c>
      <c r="L7315" s="38" t="n">
        <f aca="false">Sens!$L$7266*Sens!$L$7211</f>
        <v>27.78179156216</v>
      </c>
      <c r="M7315" s="38" t="n">
        <f aca="false">Sens!$M$7266*Sens!$M$7211</f>
        <v>29.9029027327362</v>
      </c>
      <c r="N7315" s="38" t="n">
        <f aca="false">Sens!$N$7266*Sens!$N$7211</f>
        <v>0.25053229484398</v>
      </c>
      <c r="O7315" s="38" t="n">
        <f aca="false">Sens!$O$7266*Sens!$O$7211</f>
        <v>0.349234376756897</v>
      </c>
    </row>
    <row r="7316" customFormat="false" ht="17.15" hidden="false" customHeight="false" outlineLevel="0" collapsed="false">
      <c r="A7316" s="0" t="s">
        <v>734</v>
      </c>
      <c r="B7316" s="0" t="s">
        <v>52</v>
      </c>
      <c r="C7316" s="28" t="n">
        <f aca="false">(Sens!$C$7317-Sens!$C$7313+Sens!$C$7315)/Sens!$C$7314</f>
        <v>0.0131526665379575</v>
      </c>
      <c r="D7316" s="28" t="n">
        <f aca="false">(Sens!$D$7317-Sens!$D$7313+Sens!$D$7315)/Sens!$D$7314</f>
        <v>0.0141999252954702</v>
      </c>
      <c r="E7316" s="28" t="n">
        <f aca="false">(Sens!$E$7317-Sens!$E$7313+Sens!$E$7315)/Sens!$E$7314</f>
        <v>0.0258471819939326</v>
      </c>
      <c r="F7316" s="28" t="n">
        <f aca="false">Sens!$O$7316+(Sens!$E$7316-Sens!$N$7316)</f>
        <v>0.0224302350712874</v>
      </c>
      <c r="G7316" s="28" t="n">
        <f aca="false">(Sens!$G$7317-Sens!$G$7313+Sens!$G$7315)/Sens!$G$7314</f>
        <v>0.0240199351461372</v>
      </c>
      <c r="H7316" s="28" t="n">
        <f aca="false">Sens!$G$7316+step_na</f>
        <v>0.0270199351461372</v>
      </c>
      <c r="I7316" s="28" t="n">
        <f aca="false">Sens!$H$7316+step_na</f>
        <v>0.0300199351461372</v>
      </c>
      <c r="J7316" s="28" t="n">
        <f aca="false">Sens!$I$7316+step_na</f>
        <v>0.0330199351461372</v>
      </c>
      <c r="K7316" s="28" t="n">
        <f aca="false">Sens!$J$7316+step_na</f>
        <v>0.0360199351461372</v>
      </c>
      <c r="L7316" s="28" t="n">
        <f aca="false">Sens!$K$7316</f>
        <v>0.0360199351461372</v>
      </c>
      <c r="M7316" s="28" t="n">
        <f aca="false">Sens!$L$7316</f>
        <v>0.0360199351461372</v>
      </c>
      <c r="N7316" s="28" t="n">
        <f aca="false">(Sens!$N$7317-Sens!$N$7313+Sens!$N$7315)/Sens!$N$7314</f>
        <v>0.0160831323269779</v>
      </c>
      <c r="O7316" s="28" t="n">
        <f aca="false">(Sens!$O$7317-Sens!$O$7313+Sens!$O$7315)/Sens!$O$7314</f>
        <v>0.0126661854043327</v>
      </c>
      <c r="P7316" s="8" t="s">
        <v>735</v>
      </c>
    </row>
    <row r="7317" customFormat="false" ht="17.15" hidden="false" customHeight="false" outlineLevel="0" collapsed="false">
      <c r="A7317" s="1" t="s">
        <v>736</v>
      </c>
      <c r="B7317" s="8" t="s">
        <v>86</v>
      </c>
      <c r="C7317" s="38" t="n">
        <f aca="false">Q!$D$22</f>
        <v>24.967</v>
      </c>
      <c r="D7317" s="38" t="n">
        <f aca="false">Q!$E$22</f>
        <v>29.619</v>
      </c>
      <c r="E7317" s="38" t="n">
        <f aca="false">Q!$P$22</f>
        <v>17.39</v>
      </c>
      <c r="F7317" s="38" t="n">
        <f aca="false">Sens!$F$7313+Sens!$F$7314*Sens!$F$7316-Sens!$F$7315</f>
        <v>20.1145019929041</v>
      </c>
      <c r="G7317" s="38" t="n">
        <f aca="false">Sens!$E$7317+Sens!$F$7317</f>
        <v>37.5045019929041</v>
      </c>
      <c r="H7317" s="38" t="n">
        <f aca="false">Sens!$H$7313+Sens!$H$7314*Sens!$H$7316-Sens!$H$7315</f>
        <v>41.6199491865101</v>
      </c>
      <c r="I7317" s="38" t="n">
        <f aca="false">Sens!$I$7313+Sens!$I$7314*Sens!$I$7316-Sens!$I$7315</f>
        <v>43.9840073571422</v>
      </c>
      <c r="J7317" s="38" t="n">
        <f aca="false">Sens!$J$7313+Sens!$J$7314*Sens!$J$7316-Sens!$J$7315</f>
        <v>46.5326814970436</v>
      </c>
      <c r="K7317" s="38" t="n">
        <f aca="false">Sens!$K$7313+Sens!$K$7314*Sens!$K$7316-Sens!$K$7315</f>
        <v>48.4215867437731</v>
      </c>
      <c r="L7317" s="38" t="n">
        <f aca="false">Sens!$L$7313+Sens!$L$7314*Sens!$L$7316-Sens!$L$7315</f>
        <v>50.9964316762167</v>
      </c>
      <c r="M7317" s="38" t="n">
        <f aca="false">Sens!$M$7313+Sens!$M$7314*Sens!$M$7316-Sens!$M$7315</f>
        <v>55.8818499649445</v>
      </c>
      <c r="N7317" s="38" t="n">
        <f aca="false">Q!$N$22</f>
        <v>13.358</v>
      </c>
      <c r="O7317" s="38" t="n">
        <f aca="false">Q!$O$22</f>
        <v>16.261</v>
      </c>
    </row>
    <row r="7318" customFormat="false" ht="17.15" hidden="false" customHeight="false" outlineLevel="0" collapsed="false">
      <c r="A7318" s="0" t="s">
        <v>737</v>
      </c>
      <c r="B7318" s="0" t="s">
        <v>86</v>
      </c>
      <c r="C7318" s="38" t="n">
        <f aca="false">Sens!$C$7215*m_ad</f>
        <v>7.57284355857716</v>
      </c>
      <c r="D7318" s="38" t="n">
        <f aca="false">Sens!$D$7215*m_ad</f>
        <v>9.44543827004127</v>
      </c>
      <c r="E7318" s="38" t="n">
        <f aca="false">Sens!$E$7215*m_ad</f>
        <v>5.02428875377928</v>
      </c>
      <c r="F7318" s="38" t="n">
        <f aca="false">Sens!$F$7215*m_ad</f>
        <v>6.50663858068173</v>
      </c>
      <c r="G7318" s="38" t="n">
        <f aca="false">Sens!$G$7215*m_ad</f>
        <v>11.5225190751659</v>
      </c>
      <c r="H7318" s="38" t="n">
        <f aca="false">Sens!$H$7215*m_ad</f>
        <v>13.8333728663174</v>
      </c>
      <c r="I7318" s="38" t="n">
        <f aca="false">Sens!$I$7215*m_ad</f>
        <v>16.1440173245485</v>
      </c>
      <c r="J7318" s="38" t="n">
        <f aca="false">Sens!$J$7215*m_ad</f>
        <v>18.2995185845066</v>
      </c>
      <c r="K7318" s="38" t="n">
        <f aca="false">Sens!$K$7215*m_ad</f>
        <v>20.1294704429572</v>
      </c>
      <c r="L7318" s="38" t="n">
        <f aca="false">Sens!$L$7215*m_ad</f>
        <v>22.142417487253</v>
      </c>
      <c r="M7318" s="38" t="n">
        <f aca="false">Sens!$M$7215*m_ad</f>
        <v>24.3566592359783</v>
      </c>
      <c r="N7318" s="38" t="n">
        <f aca="false">Sens!$N$7215*m_ad</f>
        <v>3.95314442937518</v>
      </c>
      <c r="O7318" s="38" t="n">
        <f aca="false">Sens!$O$7215*m_ad</f>
        <v>5.50052681786011</v>
      </c>
    </row>
    <row r="7319" customFormat="false" ht="17.15" hidden="false" customHeight="false" outlineLevel="0" collapsed="false">
      <c r="A7319" s="0" t="s">
        <v>738</v>
      </c>
      <c r="B7319" s="0" t="s">
        <v>86</v>
      </c>
      <c r="C7319" s="38" t="n">
        <f aca="false">Sens!$C$7213-Sens!$C$7215</f>
        <v>127.760312882846</v>
      </c>
      <c r="D7319" s="38" t="n">
        <f aca="false">Sens!$D$7213-Sens!$D$7215</f>
        <v>143.003123459917</v>
      </c>
      <c r="E7319" s="38" t="n">
        <f aca="false">Sens!$E$7213-Sens!$E$7215</f>
        <v>71.9374224924414</v>
      </c>
      <c r="F7319" s="38" t="n">
        <f aca="false">Sens!$F$7213-Sens!$F$7215</f>
        <v>85.3951910035875</v>
      </c>
      <c r="G7319" s="38" t="n">
        <f aca="false">Sens!$G$7213-Sens!$G$7215</f>
        <v>157.349430014619</v>
      </c>
      <c r="H7319" s="38" t="n">
        <f aca="false">Sens!$H$7213-Sens!$H$7215</f>
        <v>172.043153372315</v>
      </c>
      <c r="I7319" s="38" t="n">
        <f aca="false">Sens!$I$7213-Sens!$I$7215</f>
        <v>186.097493615879</v>
      </c>
      <c r="J7319" s="38" t="n">
        <f aca="false">Sens!$J$7213-Sens!$J$7215</f>
        <v>199.117932780497</v>
      </c>
      <c r="K7319" s="38" t="n">
        <f aca="false">Sens!$K$7213-Sens!$K$7215</f>
        <v>210.70928698363</v>
      </c>
      <c r="L7319" s="38" t="n">
        <f aca="false">Sens!$L$7213-Sens!$L$7215</f>
        <v>223.000532251316</v>
      </c>
      <c r="M7319" s="38" t="n">
        <f aca="false">Sens!$M$7213-Sens!$M$7215</f>
        <v>236.035261011339</v>
      </c>
      <c r="N7319" s="38" t="n">
        <f aca="false">Sens!$N$7213-Sens!$N$7215</f>
        <v>62.3677111412496</v>
      </c>
      <c r="O7319" s="38" t="n">
        <f aca="false">Sens!$O$7213-Sens!$O$7215</f>
        <v>80.6189463642798</v>
      </c>
    </row>
    <row r="7320" customFormat="false" ht="17.15" hidden="false" customHeight="false" outlineLevel="0" collapsed="false">
      <c r="A7320" s="0" t="s">
        <v>739</v>
      </c>
      <c r="B7320" s="0" t="s">
        <v>86</v>
      </c>
      <c r="C7320" s="38" t="n">
        <f aca="false">Sens!$C$7266*(1-Sens!$C$7211)</f>
        <v>0.0455891896019953</v>
      </c>
      <c r="D7320" s="38" t="n">
        <f aca="false">Sens!$D$7266*(1-Sens!$D$7211)</f>
        <v>0.227931791705753</v>
      </c>
      <c r="E7320" s="38" t="n">
        <f aca="false">Sens!$E$7266*(1-Sens!$E$7211)</f>
        <v>0.412460434890711</v>
      </c>
      <c r="F7320" s="38" t="n">
        <f aca="false">Sens!$F$7266*(1-Sens!$F$7211)</f>
        <v>0.524534016233997</v>
      </c>
      <c r="G7320" s="38" t="n">
        <f aca="false">Sens!$G$7266*(1-Sens!$G$7211)</f>
        <v>0.936474095312266</v>
      </c>
      <c r="H7320" s="38" t="n">
        <f aca="false">Sens!$H$7266*(1-Sens!$H$7211)</f>
        <v>2.54003589327823</v>
      </c>
      <c r="I7320" s="38" t="n">
        <f aca="false">Sens!$I$7266*(1-Sens!$I$7211)</f>
        <v>4.88320120852905</v>
      </c>
      <c r="J7320" s="38" t="n">
        <f aca="false">Sens!$J$7266*(1-Sens!$J$7211)</f>
        <v>7.05069548920359</v>
      </c>
      <c r="K7320" s="38" t="n">
        <f aca="false">Sens!$K$7266*(1-Sens!$K$7211)</f>
        <v>9.17200258193867</v>
      </c>
      <c r="L7320" s="38" t="n">
        <f aca="false">Sens!$L$7266*(1-Sens!$L$7211)</f>
        <v>10.6414216154535</v>
      </c>
      <c r="M7320" s="38" t="n">
        <f aca="false">Sens!$M$7266*(1-Sens!$M$7211)</f>
        <v>11.4538831951485</v>
      </c>
      <c r="N7320" s="38" t="n">
        <f aca="false">Sens!$N$7266*(1-Sens!$N$7211)</f>
        <v>0.0912435878202994</v>
      </c>
      <c r="O7320" s="38" t="n">
        <f aca="false">Sens!$O$7266*(1-Sens!$O$7211)</f>
        <v>0.137119578309265</v>
      </c>
    </row>
    <row r="7321" customFormat="false" ht="17.15" hidden="false" customHeight="false" outlineLevel="0" collapsed="false">
      <c r="A7321" s="0" t="s">
        <v>740</v>
      </c>
      <c r="B7321" s="0" t="s">
        <v>52</v>
      </c>
      <c r="C7321" s="28" t="n">
        <f aca="false">(Sens!$C$7322-Sens!$C$7318+Sens!$C$7320)/Sens!$C$7319</f>
        <v>-0.0292364215826579</v>
      </c>
      <c r="D7321" s="28" t="n">
        <f aca="false">(Sens!$D$7322-Sens!$D$7318+Sens!$D$7320)/Sens!$D$7319</f>
        <v>-0.0312406216748665</v>
      </c>
      <c r="E7321" s="28" t="n">
        <f aca="false">(Sens!$E$7322-Sens!$E$7318+Sens!$E$7320)/Sens!$E$7319</f>
        <v>-0.0204459413185552</v>
      </c>
      <c r="F7321" s="28" t="n">
        <f aca="false">Sens!$O$7321+(Sens!$E$7321-Sens!$N$7321)</f>
        <v>-0.0375409290246314</v>
      </c>
      <c r="G7321" s="28" t="n">
        <f aca="false">(Sens!$G$7322-Sens!$G$7318+Sens!$G$7320)/Sens!$G$7319</f>
        <v>-0.0296712560031684</v>
      </c>
      <c r="H7321" s="28" t="n">
        <f aca="false">Sens!$G$7321+step_in</f>
        <v>-0.0296712560031684</v>
      </c>
      <c r="I7321" s="28" t="n">
        <f aca="false">Sens!$H$7321+step_in</f>
        <v>-0.0296712560031684</v>
      </c>
      <c r="J7321" s="28" t="n">
        <f aca="false">Sens!$I$7321+step_in</f>
        <v>-0.0296712560031684</v>
      </c>
      <c r="K7321" s="28" t="n">
        <f aca="false">Sens!$J$7321+step_in</f>
        <v>-0.0296712560031684</v>
      </c>
      <c r="L7321" s="28" t="n">
        <f aca="false">Sens!$K$7321</f>
        <v>-0.0296712560031684</v>
      </c>
      <c r="M7321" s="28" t="n">
        <f aca="false">Sens!$L$7321</f>
        <v>-0.0296712560031684</v>
      </c>
      <c r="N7321" s="28" t="n">
        <f aca="false">(Sens!$N$7322-Sens!$N$7318+Sens!$N$7320)/Sens!$N$7319</f>
        <v>-0.0216602600421776</v>
      </c>
      <c r="O7321" s="28" t="n">
        <f aca="false">(Sens!$O$7322-Sens!$O$7318+Sens!$O$7320)/Sens!$O$7319</f>
        <v>-0.0387552477482538</v>
      </c>
      <c r="P7321" s="8" t="s">
        <v>735</v>
      </c>
    </row>
    <row r="7322" customFormat="false" ht="17.15" hidden="false" customHeight="false" outlineLevel="0" collapsed="false">
      <c r="A7322" s="1" t="s">
        <v>741</v>
      </c>
      <c r="B7322" s="8" t="s">
        <v>86</v>
      </c>
      <c r="C7322" s="38" t="n">
        <f aca="false">Q!$D$23</f>
        <v>3.792</v>
      </c>
      <c r="D7322" s="38" t="n">
        <f aca="false">Q!$E$23</f>
        <v>4.75</v>
      </c>
      <c r="E7322" s="38" t="n">
        <f aca="false">Q!$P$23</f>
        <v>3.141</v>
      </c>
      <c r="F7322" s="38" t="n">
        <f aca="false">Sens!$F$7318+Sens!$F$7319*Sens!$F$7321-Sens!$F$7320</f>
        <v>2.77628975993721</v>
      </c>
      <c r="G7322" s="38" t="n">
        <f aca="false">Sens!$E$7322+Sens!$F$7322</f>
        <v>5.91728975993721</v>
      </c>
      <c r="H7322" s="38" t="n">
        <f aca="false">Sens!$H$7318+Sens!$H$7319*Sens!$H$7321-Sens!$H$7320</f>
        <v>6.18860052573681</v>
      </c>
      <c r="I7322" s="38" t="n">
        <f aca="false">Sens!$I$7318+Sens!$I$7319*Sens!$I$7321-Sens!$I$7320</f>
        <v>5.73906974139474</v>
      </c>
      <c r="J7322" s="38" t="n">
        <f aca="false">Sens!$J$7318+Sens!$J$7319*Sens!$J$7321-Sens!$J$7320</f>
        <v>5.34074393695119</v>
      </c>
      <c r="K7322" s="38" t="n">
        <f aca="false">Sens!$K$7318+Sens!$K$7319*Sens!$K$7321-Sens!$K$7320</f>
        <v>4.7054586646822</v>
      </c>
      <c r="L7322" s="38" t="n">
        <f aca="false">Sens!$L$7318+Sens!$L$7319*Sens!$L$7321-Sens!$L$7320</f>
        <v>4.88428999052786</v>
      </c>
      <c r="M7322" s="38" t="n">
        <f aca="false">Sens!$M$7318+Sens!$M$7319*Sens!$M$7321-Sens!$M$7320</f>
        <v>5.89931338558769</v>
      </c>
      <c r="N7322" s="38" t="n">
        <f aca="false">Q!$N$23</f>
        <v>2.511</v>
      </c>
      <c r="O7322" s="38" t="n">
        <f aca="false">Q!$O$23</f>
        <v>2.239</v>
      </c>
    </row>
    <row r="7323" customFormat="false" ht="17.15" hidden="false" customHeight="false" outlineLevel="0" collapsed="false">
      <c r="A7323" s="0" t="s">
        <v>742</v>
      </c>
      <c r="B7323" s="0" t="s">
        <v>86</v>
      </c>
      <c r="C7323" s="38" t="n">
        <f aca="false">Sens!$C$7263</f>
        <v>1.64417882953695</v>
      </c>
      <c r="D7323" s="38" t="n">
        <f aca="false">Sens!$D$7263</f>
        <v>5.39125073772939</v>
      </c>
      <c r="E7323" s="38" t="n">
        <f aca="false">Sens!$E$7263</f>
        <v>2.42691120599613</v>
      </c>
      <c r="F7323" s="38" t="n">
        <f aca="false">Sens!$F$7263</f>
        <v>7.52148563094346</v>
      </c>
      <c r="G7323" s="38" t="n">
        <f aca="false">Sens!$G$7263</f>
        <v>9.94839683693959</v>
      </c>
      <c r="H7323" s="38" t="n">
        <f aca="false">Sens!$H$7263</f>
        <v>23.4804386990861</v>
      </c>
      <c r="I7323" s="38" t="n">
        <f aca="false">Sens!$I$7263</f>
        <v>30.9761745989143</v>
      </c>
      <c r="J7323" s="38" t="n">
        <f aca="false">Sens!$J$7263</f>
        <v>41.1930070746977</v>
      </c>
      <c r="K7323" s="38" t="n">
        <f aca="false">Sens!$K$7263</f>
        <v>45.9779211159428</v>
      </c>
      <c r="L7323" s="38" t="n">
        <f aca="false">Sens!$L$7263</f>
        <v>48.0352490919424</v>
      </c>
      <c r="M7323" s="38" t="n">
        <f aca="false">Sens!$M$7263</f>
        <v>47.4082976573265</v>
      </c>
      <c r="N7323" s="38" t="n">
        <f aca="false">Sens!$N$7263</f>
        <v>1.67921600037079</v>
      </c>
      <c r="O7323" s="38" t="n">
        <f aca="false">Sens!$O$7263</f>
        <v>3.71203473735861</v>
      </c>
    </row>
    <row r="7324" customFormat="false" ht="17.15" hidden="false" customHeight="false" outlineLevel="0" collapsed="false">
      <c r="A7324" s="0" t="s">
        <v>660</v>
      </c>
      <c r="B7324" s="0" t="s">
        <v>86</v>
      </c>
      <c r="C7324" s="38" t="n">
        <f aca="false">Sens!$C$7268</f>
        <v>38.1898211704631</v>
      </c>
      <c r="D7324" s="38" t="n">
        <f aca="false">Sens!$D$7268</f>
        <v>40.2147492622706</v>
      </c>
      <c r="E7324" s="38" t="n">
        <f aca="false">Sens!$E$7268</f>
        <v>28.3550887940039</v>
      </c>
      <c r="F7324" s="38" t="n">
        <f aca="false">Sens!$F$7268</f>
        <v>25.9529793149447</v>
      </c>
      <c r="G7324" s="38" t="n">
        <f aca="false">Sens!$G$7268</f>
        <v>54.3080681089486</v>
      </c>
      <c r="H7324" s="38" t="n">
        <f aca="false">Sens!$H$7268</f>
        <v>58.2264684589333</v>
      </c>
      <c r="I7324" s="38" t="n">
        <f aca="false">Sens!$I$7268</f>
        <v>64.6461353851744</v>
      </c>
      <c r="J7324" s="38" t="n">
        <f aca="false">Sens!$J$7268</f>
        <v>70.7957093610231</v>
      </c>
      <c r="K7324" s="38" t="n">
        <f aca="false">Sens!$K$7268</f>
        <v>76.4593661099049</v>
      </c>
      <c r="L7324" s="38" t="n">
        <f aca="false">Sens!$L$7268</f>
        <v>82.5761153986973</v>
      </c>
      <c r="M7324" s="38" t="n">
        <f aca="false">Sens!$M$7268</f>
        <v>89.1822046305931</v>
      </c>
      <c r="N7324" s="38" t="n">
        <f aca="false">Sens!$N$7268</f>
        <v>20.0277839996292</v>
      </c>
      <c r="O7324" s="38" t="n">
        <f aca="false">Sens!$O$7268</f>
        <v>20.1869652626414</v>
      </c>
    </row>
    <row r="7325" customFormat="false" ht="17.15" hidden="false" customHeight="false" outlineLevel="0" collapsed="false">
      <c r="A7325" s="1" t="s">
        <v>743</v>
      </c>
      <c r="B7325" s="8" t="s">
        <v>86</v>
      </c>
      <c r="C7325" s="38" t="n">
        <f aca="false">Q!$D$24</f>
        <v>39.834</v>
      </c>
      <c r="D7325" s="38" t="n">
        <f aca="false">Q!$E$24</f>
        <v>45.606</v>
      </c>
      <c r="E7325" s="38" t="n">
        <f aca="false">Q!$P$24</f>
        <v>30.782</v>
      </c>
      <c r="F7325" s="38" t="n">
        <f aca="false">Sens!$F$7323+Sens!$F$7324</f>
        <v>33.4744649458882</v>
      </c>
      <c r="G7325" s="38" t="n">
        <f aca="false">Sens!$G$7323+Sens!$G$7324</f>
        <v>64.2564649458882</v>
      </c>
      <c r="H7325" s="38" t="n">
        <f aca="false">Sens!$H$7323+Sens!$H$7324</f>
        <v>81.7069071580194</v>
      </c>
      <c r="I7325" s="38" t="n">
        <f aca="false">Sens!$I$7323+Sens!$I$7324</f>
        <v>95.6223099840887</v>
      </c>
      <c r="J7325" s="38" t="n">
        <f aca="false">Sens!$J$7323+Sens!$J$7324</f>
        <v>111.988716435721</v>
      </c>
      <c r="K7325" s="38" t="n">
        <f aca="false">Sens!$K$7323+Sens!$K$7324</f>
        <v>122.437287225848</v>
      </c>
      <c r="L7325" s="38" t="n">
        <f aca="false">Sens!$L$7323+Sens!$L$7324</f>
        <v>130.61136449064</v>
      </c>
      <c r="M7325" s="38" t="n">
        <f aca="false">Sens!$M$7323+Sens!$M$7324</f>
        <v>136.59050228792</v>
      </c>
      <c r="N7325" s="38" t="n">
        <f aca="false">Q!$N$24</f>
        <v>21.707</v>
      </c>
      <c r="O7325" s="38" t="n">
        <f aca="false">Q!$O$24</f>
        <v>23.899</v>
      </c>
    </row>
    <row r="7326" customFormat="false" ht="17.15" hidden="false" customHeight="false" outlineLevel="0" collapsed="false">
      <c r="A7326" s="5" t="s">
        <v>744</v>
      </c>
      <c r="B7326" s="0" t="s">
        <v>86</v>
      </c>
      <c r="C7326" s="38" t="n">
        <f aca="false">Q!$D$26</f>
        <v>0</v>
      </c>
      <c r="D7326" s="38" t="n">
        <f aca="false">Q!$E$26</f>
        <v>0</v>
      </c>
      <c r="E7326" s="38" t="n">
        <f aca="false">Q!$P$26</f>
        <v>0</v>
      </c>
      <c r="F7326" s="39" t="n">
        <v>0</v>
      </c>
      <c r="G7326" s="38" t="n">
        <f aca="false">Sens!$E$7326+Sens!$F$7326</f>
        <v>0</v>
      </c>
      <c r="H7326" s="39" t="n">
        <v>0</v>
      </c>
      <c r="I7326" s="39" t="n">
        <v>0</v>
      </c>
      <c r="J7326" s="39" t="n">
        <v>0</v>
      </c>
      <c r="K7326" s="39" t="n">
        <v>0</v>
      </c>
      <c r="L7326" s="39" t="n">
        <v>0</v>
      </c>
      <c r="M7326" s="39" t="n">
        <v>0</v>
      </c>
      <c r="N7326" s="38" t="n">
        <f aca="false">Q!$N$26</f>
        <v>0</v>
      </c>
      <c r="O7326" s="38" t="n">
        <f aca="false">Q!$O$26</f>
        <v>0</v>
      </c>
    </row>
    <row r="7327" customFormat="false" ht="15" hidden="false" customHeight="false" outlineLevel="0" collapsed="false">
      <c r="A7327" s="3" t="s">
        <v>541</v>
      </c>
      <c r="B7327" s="8" t="s">
        <v>86</v>
      </c>
      <c r="C7327" s="38" t="n">
        <f aca="false">Q!$D$25</f>
        <v>68.593</v>
      </c>
      <c r="D7327" s="38" t="n">
        <f aca="false">Q!$E$25</f>
        <v>79.975</v>
      </c>
      <c r="E7327" s="38" t="n">
        <f aca="false">Q!$P$25</f>
        <v>51.313</v>
      </c>
      <c r="F7327" s="38" t="n">
        <f aca="false">Sens!$F$7317+Sens!$F$7322+Sens!$F$7325+Sens!$F$7326</f>
        <v>56.3652566987294</v>
      </c>
      <c r="G7327" s="38" t="n">
        <f aca="false">Sens!$G$7317+Sens!$G$7322+Sens!$G$7325+Sens!$G$7326</f>
        <v>107.678256698729</v>
      </c>
      <c r="H7327" s="38" t="n">
        <f aca="false">Sens!$H$7317+Sens!$H$7322+Sens!$H$7325+Sens!$H$7326</f>
        <v>129.515456870266</v>
      </c>
      <c r="I7327" s="38" t="n">
        <f aca="false">Sens!$I$7317+Sens!$I$7322+Sens!$I$7325+Sens!$I$7326</f>
        <v>145.345387082626</v>
      </c>
      <c r="J7327" s="38" t="n">
        <f aca="false">Sens!$J$7317+Sens!$J$7322+Sens!$J$7325+Sens!$J$7326</f>
        <v>163.862141869716</v>
      </c>
      <c r="K7327" s="38" t="n">
        <f aca="false">Sens!$K$7317+Sens!$K$7322+Sens!$K$7325+Sens!$K$7326</f>
        <v>175.564332634303</v>
      </c>
      <c r="L7327" s="38" t="n">
        <f aca="false">Sens!$L$7317+Sens!$L$7322+Sens!$L$7325+Sens!$L$7326</f>
        <v>186.492086157384</v>
      </c>
      <c r="M7327" s="38" t="n">
        <f aca="false">Sens!$M$7317+Sens!$M$7322+Sens!$M$7325+Sens!$M$7326</f>
        <v>198.371665638452</v>
      </c>
      <c r="N7327" s="38" t="n">
        <f aca="false">Q!$N$25</f>
        <v>37.576</v>
      </c>
      <c r="O7327" s="38" t="n">
        <f aca="false">Q!$O$25</f>
        <v>42.399</v>
      </c>
    </row>
    <row r="7328" customFormat="false" ht="17.15" hidden="false" customHeight="false" outlineLevel="0" collapsed="false">
      <c r="A7328" s="24" t="s">
        <v>775</v>
      </c>
      <c r="B7328" s="25" t="s">
        <v>86</v>
      </c>
      <c r="C7328" s="41" t="n">
        <f aca="false">Sens!$C$7317+Sens!$C$7322+Sens!$C$7325+Sens!$C$7326-Sens!$C$7327</f>
        <v>0</v>
      </c>
      <c r="D7328" s="41" t="n">
        <f aca="false">Sens!$D$7317+Sens!$D$7322+Sens!$D$7325+Sens!$D$7326-Sens!$D$7327</f>
        <v>0</v>
      </c>
      <c r="E7328" s="41" t="n">
        <f aca="false">Sens!$E$7317+Sens!$E$7322+Sens!$E$7325+Sens!$E$7326-Sens!$E$7327</f>
        <v>0</v>
      </c>
      <c r="F7328" s="41" t="n">
        <f aca="false">Sens!$F$7317+Sens!$F$7322+Sens!$F$7325+Sens!$F$7326-Sens!$F$7327</f>
        <v>0</v>
      </c>
      <c r="G7328" s="41" t="n">
        <f aca="false">Sens!$G$7317+Sens!$G$7322+Sens!$G$7325+Sens!$G$7326-Sens!$G$7327</f>
        <v>0</v>
      </c>
      <c r="H7328" s="41" t="n">
        <f aca="false">Sens!$H$7317+Sens!$H$7322+Sens!$H$7325+Sens!$H$7326-Sens!$H$7327</f>
        <v>0</v>
      </c>
      <c r="I7328" s="41" t="n">
        <f aca="false">Sens!$I$7317+Sens!$I$7322+Sens!$I$7325+Sens!$I$7326-Sens!$I$7327</f>
        <v>0</v>
      </c>
      <c r="J7328" s="41" t="n">
        <f aca="false">Sens!$J$7317+Sens!$J$7322+Sens!$J$7325+Sens!$J$7326-Sens!$J$7327</f>
        <v>0</v>
      </c>
      <c r="K7328" s="41" t="n">
        <f aca="false">Sens!$K$7317+Sens!$K$7322+Sens!$K$7325+Sens!$K$7326-Sens!$K$7327</f>
        <v>0</v>
      </c>
      <c r="L7328" s="41" t="n">
        <f aca="false">Sens!$L$7317+Sens!$L$7322+Sens!$L$7325+Sens!$L$7326-Sens!$L$7327</f>
        <v>0</v>
      </c>
      <c r="M7328" s="41" t="n">
        <f aca="false">Sens!$M$7317+Sens!$M$7322+Sens!$M$7325+Sens!$M$7326-Sens!$M$7327</f>
        <v>0</v>
      </c>
      <c r="N7328" s="41" t="n">
        <f aca="false">Sens!$N$7317+Sens!$N$7322+Sens!$N$7325+Sens!$N$7326-Sens!$N$7327</f>
        <v>0</v>
      </c>
      <c r="O7328" s="41" t="n">
        <f aca="false">Sens!$O$7317+Sens!$O$7322+Sens!$O$7325+Sens!$O$7326-Sens!$O$7327</f>
        <v>0</v>
      </c>
    </row>
    <row r="7329" customFormat="false" ht="17.15" hidden="false" customHeight="false" outlineLevel="0" collapsed="false">
      <c r="A7329" s="5" t="s">
        <v>746</v>
      </c>
      <c r="B7329" s="0" t="s">
        <v>86</v>
      </c>
      <c r="C7329" s="38" t="n">
        <f aca="false">Sens!$C$7265</f>
        <v>0</v>
      </c>
      <c r="D7329" s="38" t="n">
        <f aca="false">Sens!$D$7265</f>
        <v>0</v>
      </c>
      <c r="E7329" s="38" t="n">
        <f aca="false">Sens!$E$7265</f>
        <v>0</v>
      </c>
      <c r="F7329" s="38" t="n">
        <f aca="false">Sens!$F$7265</f>
        <v>3.77122048175818</v>
      </c>
      <c r="G7329" s="38" t="n">
        <f aca="false">Sens!$G$7265</f>
        <v>3.77122048175818</v>
      </c>
      <c r="H7329" s="38" t="n">
        <f aca="false">Sens!$H$7265</f>
        <v>15.1635543609893</v>
      </c>
      <c r="I7329" s="38" t="n">
        <f aca="false">Sens!$I$7265</f>
        <v>25.5818843619889</v>
      </c>
      <c r="J7329" s="38" t="n">
        <f aca="false">Sens!$J$7265</f>
        <v>36.0465624179122</v>
      </c>
      <c r="K7329" s="38" t="n">
        <f aca="false">Sens!$K$7265</f>
        <v>44.9741164026038</v>
      </c>
      <c r="L7329" s="38" t="n">
        <f aca="false">Sens!$L$7265</f>
        <v>50.8413488057813</v>
      </c>
      <c r="M7329" s="38" t="n">
        <f aca="false">Sens!$M$7265</f>
        <v>53.6407214274315</v>
      </c>
      <c r="N7329" s="38" t="n">
        <f aca="false">Sens!$N$7265</f>
        <v>0</v>
      </c>
      <c r="O7329" s="38" t="n">
        <f aca="false">Sens!$O$7265</f>
        <v>0</v>
      </c>
      <c r="P7329" s="5" t="s">
        <v>747</v>
      </c>
    </row>
    <row r="7330" customFormat="false" ht="17.15" hidden="false" customHeight="false" outlineLevel="0" collapsed="false">
      <c r="A7330" s="5" t="s">
        <v>748</v>
      </c>
      <c r="B7330" s="0" t="s">
        <v>86</v>
      </c>
      <c r="C7330" s="38" t="n">
        <f aca="false">Sens!$C$7327+Sens!$C$7329</f>
        <v>68.593</v>
      </c>
      <c r="D7330" s="38" t="n">
        <f aca="false">Sens!$D$7327+Sens!$D$7329</f>
        <v>79.975</v>
      </c>
      <c r="E7330" s="38" t="n">
        <f aca="false">Sens!$E$7327+Sens!$E$7329</f>
        <v>51.313</v>
      </c>
      <c r="F7330" s="38" t="n">
        <f aca="false">Sens!$F$7327+Sens!$F$7329</f>
        <v>60.1364771804876</v>
      </c>
      <c r="G7330" s="38" t="n">
        <f aca="false">Sens!$G$7327+Sens!$G$7329</f>
        <v>111.449477180488</v>
      </c>
      <c r="H7330" s="38" t="n">
        <f aca="false">Sens!$H$7327+Sens!$H$7329</f>
        <v>144.679011231256</v>
      </c>
      <c r="I7330" s="38" t="n">
        <f aca="false">Sens!$I$7327+Sens!$I$7329</f>
        <v>170.927271444615</v>
      </c>
      <c r="J7330" s="38" t="n">
        <f aca="false">Sens!$J$7327+Sens!$J$7329</f>
        <v>199.908704287628</v>
      </c>
      <c r="K7330" s="38" t="n">
        <f aca="false">Sens!$K$7327+Sens!$K$7329</f>
        <v>220.538449036907</v>
      </c>
      <c r="L7330" s="38" t="n">
        <f aca="false">Sens!$L$7327+Sens!$L$7329</f>
        <v>237.333434963166</v>
      </c>
      <c r="M7330" s="38" t="n">
        <f aca="false">Sens!$M$7327+Sens!$M$7329</f>
        <v>252.012387065883</v>
      </c>
      <c r="N7330" s="38" t="n">
        <f aca="false">Sens!$N$7327+Sens!$N$7329</f>
        <v>37.576</v>
      </c>
      <c r="O7330" s="38" t="n">
        <f aca="false">Sens!$O$7327+Sens!$O$7329</f>
        <v>42.399</v>
      </c>
    </row>
    <row r="7331" customFormat="false" ht="17.15" hidden="false" customHeight="false" outlineLevel="0" collapsed="false">
      <c r="A7331" s="0" t="s">
        <v>749</v>
      </c>
      <c r="B7331" s="0" t="s">
        <v>52</v>
      </c>
      <c r="C7331" s="13" t="n">
        <f aca="false">Sens!$C$7317/Sens!$C$7302</f>
        <v>0.0644314665661928</v>
      </c>
      <c r="D7331" s="13" t="n">
        <f aca="false">Sens!$D$7317/Sens!$D$7302</f>
        <v>0.0694784250712518</v>
      </c>
      <c r="E7331" s="13" t="n">
        <f aca="false">Sens!$E$7317/Sens!$E$7302</f>
        <v>0.0789306463326071</v>
      </c>
      <c r="F7331" s="13" t="n">
        <f aca="false">Sens!$F$7317/Sens!$F$7302</f>
        <v>0.0802526339438384</v>
      </c>
      <c r="G7331" s="13" t="n">
        <f aca="false">Sens!$G$7317/Sens!$G$7302</f>
        <v>0.0796341940538369</v>
      </c>
      <c r="H7331" s="13" t="n">
        <f aca="false">Sens!$H$7317/Sens!$H$7302</f>
        <v>0.0798254462645258</v>
      </c>
      <c r="I7331" s="13" t="n">
        <f aca="false">Sens!$I$7317/Sens!$I$7302</f>
        <v>0.0771454543672196</v>
      </c>
      <c r="J7331" s="13" t="n">
        <f aca="false">Sens!$J$7317/Sens!$J$7302</f>
        <v>0.0756147693819656</v>
      </c>
      <c r="K7331" s="13" t="n">
        <f aca="false">Sens!$K$7317/Sens!$K$7302</f>
        <v>0.0739025926520816</v>
      </c>
      <c r="L7331" s="13" t="n">
        <f aca="false">Sens!$L$7317/Sens!$L$7302</f>
        <v>0.0730809201558074</v>
      </c>
      <c r="M7331" s="13" t="n">
        <f aca="false">Sens!$M$7317/Sens!$M$7302</f>
        <v>0.0751707027775199</v>
      </c>
      <c r="N7331" s="13" t="n">
        <f aca="false">Sens!$N$7317/Sens!$N$7302</f>
        <v>0.069228576611127</v>
      </c>
      <c r="O7331" s="13" t="n">
        <f aca="false">Sens!$O$7317/Sens!$O$7302</f>
        <v>0.069685022498393</v>
      </c>
    </row>
    <row r="7332" customFormat="false" ht="17.15" hidden="false" customHeight="false" outlineLevel="0" collapsed="false">
      <c r="A7332" s="0" t="s">
        <v>750</v>
      </c>
      <c r="B7332" s="0" t="s">
        <v>52</v>
      </c>
      <c r="C7332" s="13" t="n">
        <f aca="false">Sens!$C$7322/Sens!$C$7303</f>
        <v>0.026534925055631</v>
      </c>
      <c r="D7332" s="13" t="n">
        <f aca="false">Sens!$D$7322/Sens!$D$7303</f>
        <v>0.0293401855535103</v>
      </c>
      <c r="E7332" s="13" t="n">
        <f aca="false">Sens!$E$7322/Sens!$E$7303</f>
        <v>0.03831141902276</v>
      </c>
      <c r="F7332" s="13" t="n">
        <f aca="false">Sens!$F$7322/Sens!$F$7303</f>
        <v>0.0282118989524726</v>
      </c>
      <c r="G7332" s="13" t="n">
        <f aca="false">Sens!$G$7322/Sens!$G$7303</f>
        <v>0.0328019468674976</v>
      </c>
      <c r="H7332" s="13" t="n">
        <f aca="false">Sens!$H$7322/Sens!$H$7303</f>
        <v>0.0309879507899839</v>
      </c>
      <c r="I7332" s="13" t="n">
        <f aca="false">Sens!$I$7322/Sens!$I$7303</f>
        <v>0.0262795332043765</v>
      </c>
      <c r="J7332" s="13" t="n">
        <f aca="false">Sens!$J$7322/Sens!$J$7303</f>
        <v>0.0226574435353346</v>
      </c>
      <c r="K7332" s="13" t="n">
        <f aca="false">Sens!$K$7322/Sens!$K$7303</f>
        <v>0.0187492205871101</v>
      </c>
      <c r="L7332" s="13" t="n">
        <f aca="false">Sens!$L$7322/Sens!$L$7303</f>
        <v>0.018273690180732</v>
      </c>
      <c r="M7332" s="13" t="n">
        <f aca="false">Sens!$M$7322/Sens!$M$7303</f>
        <v>0.0207176218272716</v>
      </c>
      <c r="N7332" s="13" t="n">
        <f aca="false">Sens!$N$7322/Sens!$N$7303</f>
        <v>0.0357315650169337</v>
      </c>
      <c r="O7332" s="13" t="n">
        <f aca="false">Sens!$O$7322/Sens!$O$7303</f>
        <v>0.0244378956559703</v>
      </c>
    </row>
    <row r="7333" customFormat="false" ht="17.15" hidden="false" customHeight="false" outlineLevel="0" collapsed="false">
      <c r="A7333" s="14" t="s">
        <v>751</v>
      </c>
      <c r="B7333" s="14" t="s">
        <v>52</v>
      </c>
      <c r="C7333" s="17" t="n">
        <f aca="false">Sens!$C$7325/Sens!$C$7304</f>
        <v>0.370355907620217</v>
      </c>
      <c r="D7333" s="17" t="n">
        <f aca="false">Sens!$D$7325/Sens!$D$7304</f>
        <v>0.35429015342785</v>
      </c>
      <c r="E7333" s="17" t="n">
        <f aca="false">Sens!$E$7325/Sens!$E$7304</f>
        <v>0.385647527531039</v>
      </c>
      <c r="F7333" s="17" t="n">
        <f aca="false">Sens!$F$7325/Sens!$F$7304</f>
        <v>0.385949613469105</v>
      </c>
      <c r="G7333" s="17" t="n">
        <f aca="false">Sens!$G$7325/Sens!$G$7304</f>
        <v>0.385804840448779</v>
      </c>
      <c r="H7333" s="17" t="n">
        <f aca="false">Sens!$H$7325/Sens!$H$7304</f>
        <v>0.369408675360557</v>
      </c>
      <c r="I7333" s="17" t="n">
        <f aca="false">Sens!$I$7325/Sens!$I$7304</f>
        <v>0.34117504540738</v>
      </c>
      <c r="J7333" s="17" t="n">
        <f aca="false">Sens!$J$7325/Sens!$J$7304</f>
        <v>0.330544285732563</v>
      </c>
      <c r="K7333" s="17" t="n">
        <f aca="false">Sens!$K$7325/Sens!$K$7304</f>
        <v>0.314033796990635</v>
      </c>
      <c r="L7333" s="17" t="n">
        <f aca="false">Sens!$L$7325/Sens!$L$7304</f>
        <v>0.303690371867633</v>
      </c>
      <c r="M7333" s="17" t="n">
        <f aca="false">Sens!$M$7325/Sens!$M$7304</f>
        <v>0.297287296590884</v>
      </c>
      <c r="N7333" s="17" t="n">
        <f aca="false">Sens!$N$7325/Sens!$N$7304</f>
        <v>0.360941137346192</v>
      </c>
      <c r="O7333" s="17" t="n">
        <f aca="false">Sens!$O$7325/Sens!$O$7304</f>
        <v>0.348458117664212</v>
      </c>
    </row>
    <row r="7334" customFormat="false" ht="17.15" hidden="false" customHeight="false" outlineLevel="0" collapsed="false">
      <c r="A7334" s="0" t="s">
        <v>752</v>
      </c>
      <c r="B7334" s="0" t="s">
        <v>52</v>
      </c>
      <c r="C7334" s="13" t="n">
        <f aca="false">Sens!$C$7323/Sens!$C$7305</f>
        <v>0.708390794789371</v>
      </c>
      <c r="D7334" s="13" t="n">
        <f aca="false">Sens!$D$7323/Sens!$D$7305</f>
        <v>0.619415573115729</v>
      </c>
      <c r="E7334" s="13" t="n">
        <f aca="false">Sens!$E$7323/Sens!$E$7305</f>
        <v>0.285171627189009</v>
      </c>
      <c r="F7334" s="13" t="n">
        <f aca="false">Sens!$F$7323/Sens!$F$7305</f>
        <v>0.502657732812366</v>
      </c>
      <c r="G7334" s="13" t="n">
        <f aca="false">Sens!$G$7323/Sens!$G$7305</f>
        <v>0.423808778611812</v>
      </c>
      <c r="H7334" s="13" t="n">
        <f aca="false">Sens!$H$7323/Sens!$H$7305</f>
        <v>0.390261631739809</v>
      </c>
      <c r="I7334" s="13" t="n">
        <f aca="false">Sens!$I$7323/Sens!$I$7305</f>
        <v>0.305172864264572</v>
      </c>
      <c r="J7334" s="13" t="n">
        <f aca="false">Sens!$J$7323/Sens!$J$7305</f>
        <v>0.288011814789856</v>
      </c>
      <c r="K7334" s="13" t="n">
        <f aca="false">Sens!$K$7323/Sens!$K$7305</f>
        <v>0.25765427518774</v>
      </c>
      <c r="L7334" s="13" t="n">
        <f aca="false">Sens!$L$7323/Sens!$L$7305</f>
        <v>0.238118778012374</v>
      </c>
      <c r="M7334" s="13" t="n">
        <f aca="false">Sens!$M$7323/Sens!$M$7305</f>
        <v>0.222746255757109</v>
      </c>
      <c r="N7334" s="13" t="n">
        <f aca="false">Sens!$N$7323/Sens!$N$7305</f>
        <v>0.551227795793364</v>
      </c>
      <c r="O7334" s="13" t="n">
        <f aca="false">Sens!$O$7323/Sens!$O$7305</f>
        <v>0.656132068597002</v>
      </c>
    </row>
    <row r="7335" customFormat="false" ht="15" hidden="false" customHeight="false" outlineLevel="0" collapsed="false">
      <c r="A7335" s="5" t="s">
        <v>753</v>
      </c>
      <c r="B7335" s="0" t="s">
        <v>52</v>
      </c>
      <c r="C7335" s="13" t="n">
        <f aca="false">Sens!$C$7327/Sens!$C$7307</f>
        <v>0.107519448742004</v>
      </c>
      <c r="D7335" s="13" t="n">
        <f aca="false">Sens!$D$7327/Sens!$D$7307</f>
        <v>0.111552967957552</v>
      </c>
      <c r="E7335" s="13" t="n">
        <f aca="false">Sens!$E$7327/Sens!$E$7307</f>
        <v>0.13428328426562</v>
      </c>
      <c r="F7335" s="13" t="n">
        <f aca="false">Sens!$F$7327/Sens!$F$7307</f>
        <v>0.129343087287827</v>
      </c>
      <c r="G7335" s="13" t="n">
        <f aca="false">Sens!$G$7327/Sens!$G$7307</f>
        <v>0.131651143259596</v>
      </c>
      <c r="H7335" s="13" t="n">
        <f aca="false">Sens!$H$7327/Sens!$H$7307</f>
        <v>0.137449034763893</v>
      </c>
      <c r="I7335" s="13" t="n">
        <f aca="false">Sens!$I$7327/Sens!$I$7307</f>
        <v>0.13598895915033</v>
      </c>
      <c r="J7335" s="13" t="n">
        <f aca="false">Sens!$J$7327/Sens!$J$7307</f>
        <v>0.137709769017663</v>
      </c>
      <c r="K7335" s="13" t="n">
        <f aca="false">Sens!$K$7327/Sens!$K$7307</f>
        <v>0.135459809314784</v>
      </c>
      <c r="L7335" s="13" t="n">
        <f aca="false">Sens!$L$7327/Sens!$L$7307</f>
        <v>0.133669430082102</v>
      </c>
      <c r="M7335" s="13" t="n">
        <f aca="false">Sens!$M$7327/Sens!$M$7307</f>
        <v>0.133349766772341</v>
      </c>
      <c r="N7335" s="13" t="n">
        <f aca="false">Sens!$N$7327/Sens!$N$7307</f>
        <v>0.116201614873411</v>
      </c>
      <c r="O7335" s="13" t="n">
        <f aca="false">Sens!$O$7327/Sens!$O$7307</f>
        <v>0.107733353660861</v>
      </c>
    </row>
    <row r="7336" customFormat="false" ht="17.15" hidden="false" customHeight="false" outlineLevel="0" collapsed="false">
      <c r="A7336" s="1" t="s">
        <v>754</v>
      </c>
    </row>
    <row r="7337" customFormat="false" ht="17.15" hidden="false" customHeight="false" outlineLevel="0" collapsed="false">
      <c r="A7337" s="5" t="s">
        <v>755</v>
      </c>
      <c r="B7337" s="0" t="s">
        <v>52</v>
      </c>
      <c r="D7337" s="28" t="n">
        <f aca="false">(Q!$E$29+Q!$E$30-(1-ext_sh)*Sens!$D$7259)/Sens!$D$7210</f>
        <v>0.0341105596409988</v>
      </c>
    </row>
    <row r="7338" customFormat="false" ht="17.15" hidden="false" customHeight="false" outlineLevel="0" collapsed="false">
      <c r="A7338" s="0" t="s">
        <v>545</v>
      </c>
      <c r="B7338" s="0" t="s">
        <v>86</v>
      </c>
      <c r="C7338" s="38" t="n">
        <f aca="false">Q!$D$29</f>
        <v>14.285</v>
      </c>
      <c r="D7338" s="38" t="n">
        <f aca="false">Q!$E$29</f>
        <v>15.503</v>
      </c>
      <c r="E7338" s="38" t="n">
        <f aca="false">Q!$P$29</f>
        <v>8.78</v>
      </c>
      <c r="F7338" s="38" t="n">
        <f aca="false">(Sens!$D$7337*Sens!$F$7210+(1-ext_sh)*Sens!$F$7259)*Sens!$F$7211</f>
        <v>9.30317620449232</v>
      </c>
      <c r="G7338" s="38" t="n">
        <f aca="false">Sens!$E$7338+Sens!$F$7338</f>
        <v>18.0831762044923</v>
      </c>
      <c r="H7338" s="38" t="n">
        <f aca="false">(Sens!$D$7337*Sens!$H$7210+(1-ext_sh)*Sens!$H$7259)*Sens!$H$7211</f>
        <v>22.1297245338482</v>
      </c>
      <c r="I7338" s="38" t="n">
        <f aca="false">(Sens!$D$7337*Sens!$I$7210+(1-ext_sh)*Sens!$I$7259)*Sens!$I$7211</f>
        <v>28.409695984391</v>
      </c>
      <c r="J7338" s="38" t="n">
        <f aca="false">(Sens!$D$7337*Sens!$J$7210+(1-ext_sh)*Sens!$J$7259)*Sens!$J$7211</f>
        <v>34.1085606174579</v>
      </c>
      <c r="K7338" s="38" t="n">
        <f aca="false">(Sens!$D$7337*Sens!$K$7210+(1-ext_sh)*Sens!$K$7259)*Sens!$K$7211</f>
        <v>39.7218983009068</v>
      </c>
      <c r="L7338" s="38" t="n">
        <f aca="false">(Sens!$D$7337*Sens!$L$7210+(1-ext_sh)*Sens!$L$7259)*Sens!$L$7211</f>
        <v>44.1680279486684</v>
      </c>
      <c r="M7338" s="38" t="n">
        <f aca="false">(Sens!$D$7337*Sens!$M$7210+(1-ext_sh)*Sens!$M$7259)*Sens!$M$7211</f>
        <v>47.4413073313286</v>
      </c>
      <c r="N7338" s="38" t="n">
        <f aca="false">Q!$N$29</f>
        <v>7.272</v>
      </c>
      <c r="O7338" s="38" t="n">
        <f aca="false">Q!$O$29</f>
        <v>8.231</v>
      </c>
    </row>
    <row r="7339" customFormat="false" ht="17.15" hidden="false" customHeight="false" outlineLevel="0" collapsed="false">
      <c r="A7339" s="0" t="s">
        <v>547</v>
      </c>
      <c r="B7339" s="0" t="s">
        <v>86</v>
      </c>
      <c r="C7339" s="38" t="n">
        <f aca="false">Q!$D$30</f>
        <v>4.462</v>
      </c>
      <c r="D7339" s="38" t="n">
        <f aca="false">Q!$E$30</f>
        <v>4.907</v>
      </c>
      <c r="E7339" s="38" t="n">
        <f aca="false">Q!$P$30</f>
        <v>2.57</v>
      </c>
      <c r="F7339" s="38" t="n">
        <f aca="false">(Sens!$D$7337*Sens!$F$7210+(1-ext_sh)*Sens!$F$7259)*(1-Sens!$F$7211)</f>
        <v>3.6526976809753</v>
      </c>
      <c r="G7339" s="38" t="n">
        <f aca="false">Sens!$E$7339+Sens!$F$7339</f>
        <v>6.2226976809753</v>
      </c>
      <c r="H7339" s="38" t="n">
        <f aca="false">(Sens!$D$7337*Sens!$H$7210+(1-ext_sh)*Sens!$H$7259)*(1-Sens!$H$7211)</f>
        <v>8.4764774248495</v>
      </c>
      <c r="I7339" s="38" t="n">
        <f aca="false">(Sens!$D$7337*Sens!$I$7210+(1-ext_sh)*Sens!$I$7259)*(1-Sens!$I$7211)</f>
        <v>10.881931507561</v>
      </c>
      <c r="J7339" s="38" t="n">
        <f aca="false">(Sens!$D$7337*Sens!$J$7210+(1-ext_sh)*Sens!$J$7259)*(1-Sens!$J$7211)</f>
        <v>13.0648008575874</v>
      </c>
      <c r="K7339" s="38" t="n">
        <f aca="false">(Sens!$D$7337*Sens!$K$7210+(1-ext_sh)*Sens!$K$7259)*(1-Sens!$K$7211)</f>
        <v>15.2149103214008</v>
      </c>
      <c r="L7339" s="38" t="n">
        <f aca="false">(Sens!$D$7337*Sens!$L$7210+(1-ext_sh)*Sens!$L$7259)*(1-Sens!$L$7211)</f>
        <v>16.9179372854085</v>
      </c>
      <c r="M7339" s="38" t="n">
        <f aca="false">(Sens!$D$7337*Sens!$M$7210+(1-ext_sh)*Sens!$M$7259)*(1-Sens!$M$7211)</f>
        <v>18.1717205735785</v>
      </c>
      <c r="N7339" s="38" t="n">
        <f aca="false">Q!$N$30</f>
        <v>2.316</v>
      </c>
      <c r="O7339" s="38" t="n">
        <f aca="false">Q!$O$30</f>
        <v>2.591</v>
      </c>
    </row>
    <row r="7340" customFormat="false" ht="17.15" hidden="false" customHeight="false" outlineLevel="0" collapsed="false">
      <c r="A7340" s="0" t="s">
        <v>548</v>
      </c>
      <c r="B7340" s="0" t="s">
        <v>86</v>
      </c>
      <c r="C7340" s="38" t="n">
        <f aca="false">Sens!$C$7271</f>
        <v>13.32</v>
      </c>
      <c r="D7340" s="38" t="n">
        <f aca="false">Sens!$D$7271</f>
        <v>21.45</v>
      </c>
      <c r="E7340" s="38" t="n">
        <f aca="false">Sens!$E$7271</f>
        <v>15.353</v>
      </c>
      <c r="F7340" s="38" t="n">
        <f aca="false">Sens!$F$7271</f>
        <v>16.1969869840094</v>
      </c>
      <c r="G7340" s="38" t="n">
        <f aca="false">Sens!$G$7271</f>
        <v>31.5499869840094</v>
      </c>
      <c r="H7340" s="38" t="n">
        <f aca="false">Sens!$H$7271</f>
        <v>50.9556213609176</v>
      </c>
      <c r="I7340" s="38" t="n">
        <f aca="false">Sens!$I$7271</f>
        <v>79.464581248252</v>
      </c>
      <c r="J7340" s="38" t="n">
        <f aca="false">Sens!$J$7271</f>
        <v>105.296127931746</v>
      </c>
      <c r="K7340" s="38" t="n">
        <f aca="false">Sens!$K$7271</f>
        <v>131.454694001511</v>
      </c>
      <c r="L7340" s="38" t="n">
        <f aca="false">Sens!$L$7271</f>
        <v>150.840456981405</v>
      </c>
      <c r="M7340" s="38" t="n">
        <f aca="false">Sens!$M$7271</f>
        <v>163.399454192999</v>
      </c>
      <c r="N7340" s="38" t="n">
        <f aca="false">Sens!$N$7271</f>
        <v>9.234</v>
      </c>
      <c r="O7340" s="38" t="n">
        <f aca="false">Sens!$O$7271</f>
        <v>12.216</v>
      </c>
    </row>
    <row r="7341" customFormat="false" ht="17.15" hidden="false" customHeight="false" outlineLevel="0" collapsed="false">
      <c r="A7341" s="5" t="s">
        <v>756</v>
      </c>
      <c r="B7341" s="0" t="s">
        <v>86</v>
      </c>
      <c r="C7341" s="38" t="n">
        <f aca="false">Sens!$C$7338+Sens!$C$7339+Sens!$C$7340</f>
        <v>32.067</v>
      </c>
      <c r="D7341" s="38" t="n">
        <f aca="false">Sens!$D$7338+Sens!$D$7339+Sens!$D$7340</f>
        <v>41.86</v>
      </c>
      <c r="E7341" s="38" t="n">
        <f aca="false">Sens!$E$7338+Sens!$E$7339+Sens!$E$7340</f>
        <v>26.703</v>
      </c>
      <c r="F7341" s="38" t="n">
        <f aca="false">Sens!$F$7338+Sens!$F$7339+Sens!$F$7340</f>
        <v>29.152860869477</v>
      </c>
      <c r="G7341" s="38" t="n">
        <f aca="false">Sens!$G$7338+Sens!$G$7339+Sens!$G$7340</f>
        <v>55.855860869477</v>
      </c>
      <c r="H7341" s="38" t="n">
        <f aca="false">Sens!$H$7338+Sens!$H$7339+Sens!$H$7340</f>
        <v>81.5618233196153</v>
      </c>
      <c r="I7341" s="38" t="n">
        <f aca="false">Sens!$I$7338+Sens!$I$7339+Sens!$I$7340</f>
        <v>118.756208740204</v>
      </c>
      <c r="J7341" s="38" t="n">
        <f aca="false">Sens!$J$7338+Sens!$J$7339+Sens!$J$7340</f>
        <v>152.469489406791</v>
      </c>
      <c r="K7341" s="38" t="n">
        <f aca="false">Sens!$K$7338+Sens!$K$7339+Sens!$K$7340</f>
        <v>186.391502623819</v>
      </c>
      <c r="L7341" s="38" t="n">
        <f aca="false">Sens!$L$7338+Sens!$L$7339+Sens!$L$7340</f>
        <v>211.926422215482</v>
      </c>
      <c r="M7341" s="38" t="n">
        <f aca="false">Sens!$M$7338+Sens!$M$7339+Sens!$M$7340</f>
        <v>229.012482097906</v>
      </c>
      <c r="N7341" s="38" t="n">
        <f aca="false">Sens!$N$7338+Sens!$N$7339+Sens!$N$7340</f>
        <v>18.822</v>
      </c>
      <c r="O7341" s="38" t="n">
        <f aca="false">Sens!$O$7338+Sens!$O$7339+Sens!$O$7340</f>
        <v>23.038</v>
      </c>
    </row>
    <row r="7342" customFormat="false" ht="17.15" hidden="false" customHeight="false" outlineLevel="0" collapsed="false">
      <c r="A7342" s="0" t="s">
        <v>757</v>
      </c>
      <c r="B7342" s="0" t="s">
        <v>86</v>
      </c>
      <c r="C7342" s="38" t="n">
        <f aca="false">Sens!$C$7313+Sens!$C$7318</f>
        <v>28.107</v>
      </c>
      <c r="D7342" s="38" t="n">
        <f aca="false">Sens!$D$7313+Sens!$D$7318</f>
        <v>34.3175</v>
      </c>
      <c r="E7342" s="38" t="n">
        <f aca="false">Sens!$E$7313+Sens!$E$7318</f>
        <v>18.526</v>
      </c>
      <c r="F7342" s="38" t="n">
        <f aca="false">Sens!$F$7313+Sens!$F$7318</f>
        <v>23.0786109972074</v>
      </c>
      <c r="G7342" s="38" t="n">
        <f aca="false">Sens!$G$7313+Sens!$G$7318</f>
        <v>41.6046109972074</v>
      </c>
      <c r="H7342" s="38" t="n">
        <f aca="false">Sens!$H$7313+Sens!$H$7318</f>
        <v>49.9484611939488</v>
      </c>
      <c r="I7342" s="38" t="n">
        <f aca="false">Sens!$I$7313+Sens!$I$7318</f>
        <v>58.2915555477481</v>
      </c>
      <c r="J7342" s="38" t="n">
        <f aca="false">Sens!$J$7313+Sens!$J$7318</f>
        <v>66.0744709709759</v>
      </c>
      <c r="K7342" s="38" t="n">
        <f aca="false">Sens!$K$7313+Sens!$K$7318</f>
        <v>72.6819180680735</v>
      </c>
      <c r="L7342" s="38" t="n">
        <f aca="false">Sens!$L$7313+Sens!$L$7318</f>
        <v>79.9501098748808</v>
      </c>
      <c r="M7342" s="38" t="n">
        <f aca="false">Sens!$M$7313+Sens!$M$7318</f>
        <v>87.9451208623689</v>
      </c>
      <c r="N7342" s="38" t="n">
        <f aca="false">Sens!$N$7313+Sens!$N$7318</f>
        <v>14.8075</v>
      </c>
      <c r="O7342" s="38" t="n">
        <f aca="false">Sens!$O$7313+Sens!$O$7318</f>
        <v>19.51</v>
      </c>
    </row>
    <row r="7343" customFormat="false" ht="17.15" hidden="false" customHeight="false" outlineLevel="0" collapsed="false">
      <c r="A7343" s="0" t="s">
        <v>758</v>
      </c>
      <c r="B7343" s="0" t="s">
        <v>86</v>
      </c>
      <c r="C7343" s="38" t="n">
        <f aca="false">Sens!$C$7317+Sens!$C$7322+Sens!$C$7338+Sens!$C$7339-Sens!$C$7342</f>
        <v>19.399</v>
      </c>
      <c r="D7343" s="38" t="n">
        <f aca="false">Sens!$D$7317+Sens!$D$7322+Sens!$D$7338+Sens!$D$7339-Sens!$D$7342</f>
        <v>20.4615</v>
      </c>
      <c r="E7343" s="38" t="n">
        <f aca="false">Sens!$E$7317+Sens!$E$7322+Sens!$E$7338+Sens!$E$7339-Sens!$E$7342</f>
        <v>13.355</v>
      </c>
      <c r="F7343" s="38" t="n">
        <f aca="false">Sens!$F$7317+Sens!$F$7322+Sens!$F$7338+Sens!$F$7339-Sens!$F$7342</f>
        <v>12.7680546411015</v>
      </c>
      <c r="G7343" s="38" t="n">
        <f aca="false">Sens!$G$7317+Sens!$G$7322+Sens!$G$7338+Sens!$G$7339-Sens!$G$7342</f>
        <v>26.1230546411015</v>
      </c>
      <c r="H7343" s="38" t="n">
        <f aca="false">Sens!$H$7317+Sens!$H$7322+Sens!$H$7338+Sens!$H$7339-Sens!$H$7342</f>
        <v>28.4662904769959</v>
      </c>
      <c r="I7343" s="38" t="n">
        <f aca="false">Sens!$I$7317+Sens!$I$7322+Sens!$I$7338+Sens!$I$7339-Sens!$I$7342</f>
        <v>30.7231490427408</v>
      </c>
      <c r="J7343" s="38" t="n">
        <f aca="false">Sens!$J$7317+Sens!$J$7322+Sens!$J$7338+Sens!$J$7339-Sens!$J$7342</f>
        <v>32.9723159380642</v>
      </c>
      <c r="K7343" s="38" t="n">
        <f aca="false">Sens!$K$7317+Sens!$K$7322+Sens!$K$7338+Sens!$K$7339-Sens!$K$7342</f>
        <v>35.3819359626894</v>
      </c>
      <c r="L7343" s="38" t="n">
        <f aca="false">Sens!$L$7317+Sens!$L$7322+Sens!$L$7338+Sens!$L$7339-Sens!$L$7342</f>
        <v>37.0165770259405</v>
      </c>
      <c r="M7343" s="38" t="n">
        <f aca="false">Sens!$M$7317+Sens!$M$7322+Sens!$M$7338+Sens!$M$7339-Sens!$M$7342</f>
        <v>39.4490703930704</v>
      </c>
      <c r="N7343" s="38" t="n">
        <f aca="false">Sens!$N$7317+Sens!$N$7322+Sens!$N$7338+Sens!$N$7339-Sens!$N$7342</f>
        <v>10.6495</v>
      </c>
      <c r="O7343" s="38" t="n">
        <f aca="false">Sens!$O$7317+Sens!$O$7322+Sens!$O$7338+Sens!$O$7339-Sens!$O$7342</f>
        <v>9.81200000000001</v>
      </c>
    </row>
    <row r="7344" customFormat="false" ht="17.15" hidden="false" customHeight="false" outlineLevel="0" collapsed="false">
      <c r="A7344" s="0" t="s">
        <v>759</v>
      </c>
      <c r="B7344" s="0" t="s">
        <v>86</v>
      </c>
      <c r="C7344" s="38" t="n">
        <f aca="false">Sens!$C$7324+Sens!$C$7340-ext_sh*Sens!$C$7259</f>
        <v>51.3470500115664</v>
      </c>
      <c r="D7344" s="38" t="n">
        <f aca="false">Sens!$D$7324+Sens!$D$7340-ext_sh*Sens!$D$7259</f>
        <v>60.2799375433739</v>
      </c>
      <c r="E7344" s="38" t="n">
        <f aca="false">Sens!$E$7324+Sens!$E$7340-ext_sh*Sens!$E$7259</f>
        <v>39.5095167090767</v>
      </c>
      <c r="F7344" s="38" t="n">
        <f aca="false">Sens!$F$7324+Sens!$F$7340-ext_sh*Sens!$F$7259</f>
        <v>37.951394214027</v>
      </c>
      <c r="G7344" s="38" t="n">
        <f aca="false">Sens!$G$7324+Sens!$G$7340-ext_sh*Sens!$G$7259</f>
        <v>77.4609109231037</v>
      </c>
      <c r="H7344" s="38" t="n">
        <f aca="false">Sens!$H$7324+Sens!$H$7340-ext_sh*Sens!$H$7259</f>
        <v>85.1453558128916</v>
      </c>
      <c r="I7344" s="38" t="n">
        <f aca="false">Sens!$I$7324+Sens!$I$7340-ext_sh*Sens!$I$7259</f>
        <v>94.532921967974</v>
      </c>
      <c r="J7344" s="38" t="n">
        <f aca="false">Sens!$J$7324+Sens!$J$7340-ext_sh*Sens!$J$7259</f>
        <v>103.525527532583</v>
      </c>
      <c r="K7344" s="38" t="n">
        <f aca="false">Sens!$K$7324+Sens!$K$7340-ext_sh*Sens!$K$7259</f>
        <v>111.80756973519</v>
      </c>
      <c r="L7344" s="38" t="n">
        <f aca="false">Sens!$L$7324+Sens!$L$7340-ext_sh*Sens!$L$7259</f>
        <v>120.752175314005</v>
      </c>
      <c r="M7344" s="38" t="n">
        <f aca="false">Sens!$M$7324+Sens!$M$7340-ext_sh*Sens!$M$7259</f>
        <v>130.412349339125</v>
      </c>
      <c r="N7344" s="38" t="n">
        <f aca="false">Sens!$N$7324+Sens!$N$7340-ext_sh*Sens!$N$7259</f>
        <v>28.5693781401809</v>
      </c>
      <c r="O7344" s="38" t="n">
        <f aca="false">Sens!$O$7324+Sens!$O$7340-ext_sh*Sens!$O$7259</f>
        <v>31.7105594031931</v>
      </c>
    </row>
    <row r="7345" customFormat="false" ht="17.15" hidden="false" customHeight="false" outlineLevel="0" collapsed="false">
      <c r="A7345" s="0" t="s">
        <v>760</v>
      </c>
      <c r="B7345" s="0" t="s">
        <v>86</v>
      </c>
      <c r="C7345" s="38" t="n">
        <f aca="false">Sens!$C$7262</f>
        <v>1.80694998843362</v>
      </c>
      <c r="D7345" s="38" t="n">
        <f aca="false">Sens!$D$7262</f>
        <v>6.77606245662607</v>
      </c>
      <c r="E7345" s="38" t="n">
        <f aca="false">Sens!$E$7262</f>
        <v>6.62548329092326</v>
      </c>
      <c r="F7345" s="38" t="n">
        <f aca="false">Sens!$F$7262</f>
        <v>11.7200577158706</v>
      </c>
      <c r="G7345" s="38" t="n">
        <f aca="false">Sens!$G$7262</f>
        <v>18.3455410067939</v>
      </c>
      <c r="H7345" s="38" t="n">
        <f aca="false">Sens!$H$7262</f>
        <v>47.5171727060453</v>
      </c>
      <c r="I7345" s="38" t="n">
        <f aca="false">Sens!$I$7262</f>
        <v>80.5539692643667</v>
      </c>
      <c r="J7345" s="38" t="n">
        <f aca="false">Sens!$J$7262</f>
        <v>113.759316834883</v>
      </c>
      <c r="K7345" s="38" t="n">
        <f aca="false">Sens!$K$7262</f>
        <v>142.084411492169</v>
      </c>
      <c r="L7345" s="38" t="n">
        <f aca="false">Sens!$L$7262</f>
        <v>160.69964615804</v>
      </c>
      <c r="M7345" s="38" t="n">
        <f aca="false">Sens!$M$7262</f>
        <v>169.577607141793</v>
      </c>
      <c r="N7345" s="38" t="n">
        <f aca="false">Sens!$N$7262</f>
        <v>2.37162185981912</v>
      </c>
      <c r="O7345" s="38" t="n">
        <f aca="false">Sens!$O$7262</f>
        <v>4.40444059680694</v>
      </c>
    </row>
    <row r="7346" customFormat="false" ht="17.15" hidden="false" customHeight="false" outlineLevel="0" collapsed="false">
      <c r="A7346" s="0" t="s">
        <v>761</v>
      </c>
      <c r="B7346" s="0" t="s">
        <v>86</v>
      </c>
      <c r="C7346" s="38" t="n">
        <f aca="false">Sens!$C$7327+Sens!$C$7341</f>
        <v>100.66</v>
      </c>
      <c r="D7346" s="38" t="n">
        <f aca="false">Sens!$D$7327+Sens!$D$7341</f>
        <v>121.835</v>
      </c>
      <c r="E7346" s="38" t="n">
        <f aca="false">Sens!$E$7327+Sens!$E$7341</f>
        <v>78.016</v>
      </c>
      <c r="F7346" s="38" t="n">
        <f aca="false">Sens!$F$7327+Sens!$F$7341</f>
        <v>85.5181175682064</v>
      </c>
      <c r="G7346" s="38" t="n">
        <f aca="false">Sens!$G$7327+Sens!$G$7341</f>
        <v>163.534117568206</v>
      </c>
      <c r="H7346" s="38" t="n">
        <f aca="false">Sens!$H$7327+Sens!$H$7341</f>
        <v>211.077280189882</v>
      </c>
      <c r="I7346" s="38" t="n">
        <f aca="false">Sens!$I$7327+Sens!$I$7341</f>
        <v>264.10159582283</v>
      </c>
      <c r="J7346" s="38" t="n">
        <f aca="false">Sens!$J$7327+Sens!$J$7341</f>
        <v>316.331631276507</v>
      </c>
      <c r="K7346" s="38" t="n">
        <f aca="false">Sens!$K$7327+Sens!$K$7341</f>
        <v>361.955835258122</v>
      </c>
      <c r="L7346" s="38" t="n">
        <f aca="false">Sens!$L$7327+Sens!$L$7341</f>
        <v>398.418508372866</v>
      </c>
      <c r="M7346" s="38" t="n">
        <f aca="false">Sens!$M$7327+Sens!$M$7341</f>
        <v>427.384147736358</v>
      </c>
      <c r="N7346" s="38" t="n">
        <f aca="false">Sens!$N$7327+Sens!$N$7341</f>
        <v>56.398</v>
      </c>
      <c r="O7346" s="38" t="n">
        <f aca="false">Sens!$O$7327+Sens!$O$7341</f>
        <v>65.437</v>
      </c>
    </row>
    <row r="7347" customFormat="false" ht="17.15" hidden="false" customHeight="false" outlineLevel="0" collapsed="false">
      <c r="A7347" s="1" t="s">
        <v>762</v>
      </c>
    </row>
    <row r="7348" customFormat="false" ht="15" hidden="false" customHeight="false" outlineLevel="0" collapsed="false">
      <c r="A7348" s="5" t="s">
        <v>551</v>
      </c>
      <c r="B7348" s="0" t="s">
        <v>86</v>
      </c>
      <c r="C7348" s="38" t="n">
        <f aca="false">Q!$D$34</f>
        <v>2.406</v>
      </c>
      <c r="D7348" s="38" t="n">
        <f aca="false">Q!$E$34</f>
        <v>2.274</v>
      </c>
      <c r="E7348" s="38" t="n">
        <f aca="false">Q!$P$34</f>
        <v>2.114</v>
      </c>
      <c r="F7348" s="38" t="n">
        <f aca="false">Sens!$F$7386</f>
        <v>3.24888962733561</v>
      </c>
      <c r="G7348" s="38" t="n">
        <f aca="false">Sens!$E$7348+Sens!$F$7348</f>
        <v>5.36288962733561</v>
      </c>
      <c r="H7348" s="38" t="n">
        <f aca="false">Sens!$H$7386</f>
        <v>7.42354172302123</v>
      </c>
      <c r="I7348" s="38" t="n">
        <f aca="false">Sens!$I$7386</f>
        <v>7.84418947693382</v>
      </c>
      <c r="J7348" s="38" t="n">
        <f aca="false">Sens!$J$7386</f>
        <v>8.79561318891235</v>
      </c>
      <c r="K7348" s="38" t="n">
        <f aca="false">Sens!$K$7386</f>
        <v>8.79561318891235</v>
      </c>
      <c r="L7348" s="38" t="n">
        <f aca="false">Sens!$L$7386</f>
        <v>8.79561318891235</v>
      </c>
      <c r="M7348" s="38" t="n">
        <f aca="false">Sens!$M$7386</f>
        <v>8.79561318891235</v>
      </c>
      <c r="N7348" s="38" t="n">
        <f aca="false">Q!$N$34</f>
        <v>1.057</v>
      </c>
      <c r="O7348" s="38" t="n">
        <f aca="false">Q!$O$34</f>
        <v>1.217</v>
      </c>
    </row>
    <row r="7349" customFormat="false" ht="15" hidden="false" customHeight="false" outlineLevel="0" collapsed="false">
      <c r="A7349" s="5" t="s">
        <v>763</v>
      </c>
      <c r="B7349" s="0" t="s">
        <v>86</v>
      </c>
      <c r="F7349" s="38" t="n">
        <f aca="false">Sens!$F$7387</f>
        <v>2.59</v>
      </c>
      <c r="H7349" s="38" t="n">
        <f aca="false">Sens!$H$7387</f>
        <v>4.1153774832261</v>
      </c>
      <c r="I7349" s="38" t="n">
        <f aca="false">Sens!$I$7387</f>
        <v>2.10589651022864</v>
      </c>
      <c r="J7349" s="38" t="n">
        <f aca="false">Sens!$J$7387</f>
        <v>2.10589651022864</v>
      </c>
      <c r="K7349" s="38" t="n">
        <f aca="false">Sens!$K$7387</f>
        <v>3.172800358404</v>
      </c>
      <c r="L7349" s="38" t="n">
        <f aca="false">Sens!$L$7387</f>
        <v>8.31037272592208</v>
      </c>
      <c r="M7349" s="38" t="n">
        <f aca="false">Sens!$M$7387</f>
        <v>15.9256588704093</v>
      </c>
    </row>
    <row r="7350" customFormat="false" ht="17.15" hidden="false" customHeight="false" outlineLevel="0" collapsed="false">
      <c r="A7350" s="5" t="s">
        <v>764</v>
      </c>
      <c r="B7350" s="0" t="s">
        <v>86</v>
      </c>
      <c r="C7350" s="38" t="n">
        <f aca="false">Q!$D$39</f>
        <v>2.427</v>
      </c>
      <c r="D7350" s="38" t="n">
        <f aca="false">Q!$E$39</f>
        <v>19.61</v>
      </c>
      <c r="E7350" s="38" t="n">
        <f aca="false">Q!$P$39</f>
        <v>71.492</v>
      </c>
      <c r="F7350" s="39" t="n">
        <v>0</v>
      </c>
      <c r="G7350" s="38" t="n">
        <f aca="false">Sens!$E$7350+Sens!$F$7350</f>
        <v>71.492</v>
      </c>
      <c r="H7350" s="39" t="n">
        <v>0</v>
      </c>
      <c r="I7350" s="39" t="n">
        <v>0</v>
      </c>
      <c r="J7350" s="39" t="n">
        <v>0</v>
      </c>
      <c r="K7350" s="39" t="n">
        <v>0</v>
      </c>
      <c r="L7350" s="39" t="n">
        <v>0</v>
      </c>
      <c r="M7350" s="39" t="n">
        <v>0</v>
      </c>
      <c r="N7350" s="38" t="n">
        <f aca="false">Q!$N$39</f>
        <v>6.017</v>
      </c>
      <c r="O7350" s="38" t="n">
        <f aca="false">Q!$O$39</f>
        <v>13.593</v>
      </c>
      <c r="P7350" s="5" t="s">
        <v>765</v>
      </c>
    </row>
    <row r="7351" customFormat="false" ht="15" hidden="false" customHeight="false" outlineLevel="0" collapsed="false">
      <c r="A7351" s="5" t="s">
        <v>554</v>
      </c>
      <c r="B7351" s="0" t="s">
        <v>86</v>
      </c>
      <c r="C7351" s="38" t="n">
        <f aca="false">Q!$D$36</f>
        <v>68.614</v>
      </c>
      <c r="D7351" s="38" t="n">
        <f aca="false">Q!$E$36</f>
        <v>97.311</v>
      </c>
      <c r="E7351" s="38" t="n">
        <f aca="false">Q!$P$36</f>
        <v>120.691</v>
      </c>
      <c r="F7351" s="38" t="n">
        <f aca="false">Sens!$F$7327-Sens!$F$7348+Sens!$F$7349+Sens!$F$7350</f>
        <v>55.7063670713938</v>
      </c>
      <c r="G7351" s="38" t="n">
        <f aca="false">Sens!$E$7351+Sens!$F$7351</f>
        <v>176.397367071394</v>
      </c>
      <c r="H7351" s="38" t="n">
        <f aca="false">Sens!$H$7327-Sens!$H$7348+Sens!$H$7349+Sens!$H$7350</f>
        <v>126.207292630471</v>
      </c>
      <c r="I7351" s="38" t="n">
        <f aca="false">Sens!$I$7327-Sens!$I$7348+Sens!$I$7349+Sens!$I$7350</f>
        <v>139.60709411592</v>
      </c>
      <c r="J7351" s="38" t="n">
        <f aca="false">Sens!$J$7327-Sens!$J$7348+Sens!$J$7349+Sens!$J$7350</f>
        <v>157.172425191032</v>
      </c>
      <c r="K7351" s="38" t="n">
        <f aca="false">Sens!$K$7327-Sens!$K$7348+Sens!$K$7349+Sens!$K$7350</f>
        <v>169.941519803795</v>
      </c>
      <c r="L7351" s="38" t="n">
        <f aca="false">Sens!$L$7327-Sens!$L$7348+Sens!$L$7349+Sens!$L$7350</f>
        <v>186.006845694394</v>
      </c>
      <c r="M7351" s="38" t="n">
        <f aca="false">Sens!$M$7327-Sens!$M$7348+Sens!$M$7349+Sens!$M$7350</f>
        <v>205.501711319949</v>
      </c>
      <c r="N7351" s="38" t="n">
        <f aca="false">Q!$N$36</f>
        <v>42.536</v>
      </c>
      <c r="O7351" s="38" t="n">
        <f aca="false">Q!$O$36</f>
        <v>54.775</v>
      </c>
    </row>
    <row r="7352" customFormat="false" ht="15" hidden="false" customHeight="false" outlineLevel="0" collapsed="false">
      <c r="A7352" s="5" t="s">
        <v>555</v>
      </c>
      <c r="B7352" s="0" t="s">
        <v>86</v>
      </c>
      <c r="C7352" s="38" t="n">
        <f aca="false">Q!$D$37</f>
        <v>9.265</v>
      </c>
      <c r="D7352" s="38" t="n">
        <f aca="false">Q!$E$37</f>
        <v>19.087</v>
      </c>
      <c r="E7352" s="38" t="n">
        <f aca="false">Q!$P$37</f>
        <v>27.759</v>
      </c>
      <c r="F7352" s="38" t="n">
        <f aca="false">Sens!$F$7351*tax</f>
        <v>9.669763357865</v>
      </c>
      <c r="G7352" s="38" t="n">
        <f aca="false">Sens!$E$7352+Sens!$F$7352</f>
        <v>37.428763357865</v>
      </c>
      <c r="H7352" s="38" t="n">
        <f aca="false">Sens!$H$7351*tax</f>
        <v>21.9076331473816</v>
      </c>
      <c r="I7352" s="38" t="n">
        <f aca="false">Sens!$I$7351*tax</f>
        <v>24.2336313450491</v>
      </c>
      <c r="J7352" s="38" t="n">
        <f aca="false">Sens!$J$7351*tax</f>
        <v>27.2827010246639</v>
      </c>
      <c r="K7352" s="38" t="n">
        <f aca="false">Sens!$K$7351*tax</f>
        <v>29.4992182683994</v>
      </c>
      <c r="L7352" s="38" t="n">
        <f aca="false">Sens!$L$7351*tax</f>
        <v>32.2879102581316</v>
      </c>
      <c r="M7352" s="38" t="n">
        <f aca="false">Sens!$M$7351*tax</f>
        <v>35.671917279284</v>
      </c>
      <c r="N7352" s="38" t="n">
        <f aca="false">Q!$N$37</f>
        <v>7.231</v>
      </c>
      <c r="O7352" s="38" t="n">
        <f aca="false">Q!$O$37</f>
        <v>11.856</v>
      </c>
    </row>
    <row r="7353" customFormat="false" ht="15" hidden="false" customHeight="false" outlineLevel="0" collapsed="false">
      <c r="A7353" s="3" t="s">
        <v>556</v>
      </c>
      <c r="B7353" s="8" t="s">
        <v>86</v>
      </c>
      <c r="C7353" s="38" t="n">
        <f aca="false">Q!$D$38</f>
        <v>59.248</v>
      </c>
      <c r="D7353" s="38" t="n">
        <f aca="false">Q!$E$38</f>
        <v>77.67</v>
      </c>
      <c r="E7353" s="38" t="n">
        <f aca="false">Q!$P$38</f>
        <v>92.902</v>
      </c>
      <c r="F7353" s="38" t="n">
        <f aca="false">Sens!$F$7351-Sens!$F$7352</f>
        <v>46.0366037135288</v>
      </c>
      <c r="G7353" s="38" t="n">
        <f aca="false">Sens!$E$7353+Sens!$F$7353</f>
        <v>138.938603713529</v>
      </c>
      <c r="H7353" s="38" t="n">
        <f aca="false">Sens!$H$7351-Sens!$H$7352</f>
        <v>104.29965948309</v>
      </c>
      <c r="I7353" s="38" t="n">
        <f aca="false">Sens!$I$7351-Sens!$I$7352</f>
        <v>115.373462770871</v>
      </c>
      <c r="J7353" s="38" t="n">
        <f aca="false">Sens!$J$7351-Sens!$J$7352</f>
        <v>129.889724166368</v>
      </c>
      <c r="K7353" s="38" t="n">
        <f aca="false">Sens!$K$7351-Sens!$K$7352</f>
        <v>140.442301535395</v>
      </c>
      <c r="L7353" s="38" t="n">
        <f aca="false">Sens!$L$7351-Sens!$L$7352</f>
        <v>153.718935436262</v>
      </c>
      <c r="M7353" s="38" t="n">
        <f aca="false">Sens!$M$7351-Sens!$M$7352</f>
        <v>169.829794040665</v>
      </c>
      <c r="N7353" s="38" t="n">
        <f aca="false">Q!$N$38</f>
        <v>35.291</v>
      </c>
      <c r="O7353" s="38" t="n">
        <f aca="false">Q!$O$38</f>
        <v>42.379</v>
      </c>
    </row>
    <row r="7354" customFormat="false" ht="17.15" hidden="false" customHeight="false" outlineLevel="0" collapsed="false">
      <c r="A7354" s="5" t="s">
        <v>559</v>
      </c>
      <c r="B7354" s="5" t="s">
        <v>33</v>
      </c>
      <c r="C7354" s="22" t="n">
        <f aca="false">Q!$D$41</f>
        <v>10.721</v>
      </c>
      <c r="D7354" s="22" t="n">
        <f aca="false">Q!$E$41</f>
        <v>10.827</v>
      </c>
      <c r="E7354" s="22" t="n">
        <f aca="false">(Q!$L$41+Q!$M$41)/2</f>
        <v>10.8885</v>
      </c>
      <c r="F7354" s="22" t="n">
        <f aca="false">Sens!$G$7354</f>
        <v>10.924806</v>
      </c>
      <c r="G7354" s="22" t="n">
        <f aca="false">Q!$M$41*(1+sh_g*0.25)</f>
        <v>10.924806</v>
      </c>
      <c r="H7354" s="22" t="n">
        <f aca="false">Sens!$G$7354*(1+sh_g)</f>
        <v>11.012204448</v>
      </c>
      <c r="I7354" s="22" t="n">
        <f aca="false">Sens!$H$7354*(1+sh_g)</f>
        <v>11.100302083584</v>
      </c>
      <c r="J7354" s="22" t="n">
        <f aca="false">Sens!$I$7354*(1+sh_g)</f>
        <v>11.1891045002527</v>
      </c>
      <c r="K7354" s="22" t="n">
        <f aca="false">Sens!$J$7354*(1+sh_g)</f>
        <v>11.2786173362547</v>
      </c>
      <c r="L7354" s="22" t="n">
        <f aca="false">Sens!$K$7354*(1+sh_g)</f>
        <v>11.3688462749447</v>
      </c>
      <c r="M7354" s="22" t="n">
        <f aca="false">Sens!$L$7354*(1+sh_g)</f>
        <v>11.4597970451443</v>
      </c>
      <c r="P7354" s="5" t="s">
        <v>766</v>
      </c>
    </row>
    <row r="7355" customFormat="false" ht="17.15" hidden="false" customHeight="false" outlineLevel="0" collapsed="false">
      <c r="A7355" s="5" t="s">
        <v>767</v>
      </c>
      <c r="B7355" s="0" t="s">
        <v>86</v>
      </c>
      <c r="C7355" s="38" t="n">
        <f aca="false">Sens!$C$7353+Sens!$C$7329*(1-tax)</f>
        <v>59.248</v>
      </c>
      <c r="D7355" s="38" t="n">
        <f aca="false">Sens!$D$7353+Sens!$D$7329*(1-tax)</f>
        <v>77.67</v>
      </c>
      <c r="E7355" s="38" t="n">
        <f aca="false">Sens!$E$7353+Sens!$E$7329*(1-tax)</f>
        <v>92.902</v>
      </c>
      <c r="F7355" s="38" t="n">
        <f aca="false">Sens!$F$7353+Sens!$F$7329*(1-tax)</f>
        <v>49.1531986731775</v>
      </c>
      <c r="G7355" s="38" t="n">
        <f aca="false">Sens!$G$7353+Sens!$G$7329*(1-tax)</f>
        <v>142.055198673178</v>
      </c>
      <c r="H7355" s="38" t="n">
        <f aca="false">Sens!$H$7353+Sens!$H$7329*(1-tax)</f>
        <v>116.831055438434</v>
      </c>
      <c r="I7355" s="38" t="n">
        <f aca="false">Sens!$I$7353+Sens!$I$7329*(1-tax)</f>
        <v>136.514727845811</v>
      </c>
      <c r="J7355" s="38" t="n">
        <f aca="false">Sens!$J$7353+Sens!$J$7329*(1-tax)</f>
        <v>159.679161110652</v>
      </c>
      <c r="K7355" s="38" t="n">
        <f aca="false">Sens!$K$7353+Sens!$K$7329*(1-tax)</f>
        <v>177.609607232054</v>
      </c>
      <c r="L7355" s="38" t="n">
        <f aca="false">Sens!$L$7353+Sens!$L$7329*(1-tax)</f>
        <v>195.735012776818</v>
      </c>
      <c r="M7355" s="38" t="n">
        <f aca="false">Sens!$M$7353+Sens!$M$7329*(1-tax)</f>
        <v>214.159316231505</v>
      </c>
      <c r="N7355" s="38" t="n">
        <f aca="false">Sens!$N$7353+Sens!$N$7329*(1-tax)</f>
        <v>35.291</v>
      </c>
      <c r="O7355" s="38" t="n">
        <f aca="false">Sens!$O$7353+Sens!$O$7329*(1-tax)</f>
        <v>42.379</v>
      </c>
    </row>
    <row r="7356" customFormat="false" ht="17.15" hidden="false" customHeight="false" outlineLevel="0" collapsed="false">
      <c r="A7356" s="43" t="s">
        <v>768</v>
      </c>
      <c r="B7356" s="14" t="s">
        <v>27</v>
      </c>
      <c r="C7356" s="44" t="n">
        <f aca="false">Sens!$C$7355/Sens!$C$7354</f>
        <v>5.52635015390355</v>
      </c>
      <c r="D7356" s="44" t="n">
        <f aca="false">Sens!$D$7355/Sens!$D$7354</f>
        <v>7.1737323358271</v>
      </c>
      <c r="E7356" s="44" t="n">
        <f aca="false">Sens!$E$7355/Sens!$E$7354</f>
        <v>8.53212104513937</v>
      </c>
      <c r="F7356" s="14"/>
      <c r="G7356" s="44" t="n">
        <f aca="false">Sens!$G$7355/Sens!$G$7354</f>
        <v>13.0029950804781</v>
      </c>
      <c r="H7356" s="44" t="n">
        <f aca="false">Sens!$H$7355/Sens!$H$7354</f>
        <v>10.6092341447268</v>
      </c>
      <c r="I7356" s="44" t="n">
        <f aca="false">Sens!$I$7355/Sens!$I$7354</f>
        <v>12.298289435537</v>
      </c>
      <c r="J7356" s="44" t="n">
        <f aca="false">Sens!$J$7355/Sens!$J$7354</f>
        <v>14.2709509154236</v>
      </c>
      <c r="K7356" s="44" t="n">
        <f aca="false">Sens!$K$7355/Sens!$K$7354</f>
        <v>15.7474628260624</v>
      </c>
      <c r="L7356" s="44" t="n">
        <f aca="false">Sens!$L$7355/Sens!$L$7354</f>
        <v>17.2167877059072</v>
      </c>
      <c r="M7356" s="44" t="n">
        <f aca="false">Sens!$M$7355/Sens!$M$7354</f>
        <v>18.6878803688978</v>
      </c>
      <c r="N7356" s="14"/>
      <c r="O7356" s="14"/>
    </row>
    <row r="7357" customFormat="false" ht="17.15" hidden="false" customHeight="false" outlineLevel="0" collapsed="false">
      <c r="A7357" s="0" t="s">
        <v>769</v>
      </c>
      <c r="B7357" s="0" t="s">
        <v>27</v>
      </c>
      <c r="C7357" s="30" t="n">
        <f aca="false">Sens!$C$7353/Sens!$C$7354</f>
        <v>5.52635015390355</v>
      </c>
      <c r="D7357" s="30" t="n">
        <f aca="false">Sens!$D$7353/Sens!$D$7354</f>
        <v>7.1737323358271</v>
      </c>
      <c r="E7357" s="30" t="n">
        <f aca="false">Sens!$E$7353/Sens!$E$7354</f>
        <v>8.53212104513937</v>
      </c>
      <c r="G7357" s="30" t="n">
        <f aca="false">Sens!$G$7353/Sens!$G$7354</f>
        <v>12.7177181648378</v>
      </c>
      <c r="H7357" s="30" t="n">
        <f aca="false">Sens!$H$7353/Sens!$H$7354</f>
        <v>9.47127888658407</v>
      </c>
      <c r="I7357" s="30" t="n">
        <f aca="false">Sens!$I$7353/Sens!$I$7354</f>
        <v>10.3937227925981</v>
      </c>
      <c r="J7357" s="30" t="n">
        <f aca="false">Sens!$J$7353/Sens!$J$7354</f>
        <v>11.6085897815536</v>
      </c>
      <c r="K7357" s="30" t="n">
        <f aca="false">Sens!$K$7353/Sens!$K$7354</f>
        <v>12.4520849806606</v>
      </c>
      <c r="L7357" s="30" t="n">
        <f aca="false">Sens!$L$7353/Sens!$L$7354</f>
        <v>13.5210672849924</v>
      </c>
      <c r="M7357" s="30" t="n">
        <f aca="false">Sens!$M$7353/Sens!$M$7354</f>
        <v>14.8196162088773</v>
      </c>
    </row>
    <row r="7358" customFormat="false" ht="17.15" hidden="false" customHeight="false" outlineLevel="0" collapsed="false">
      <c r="A7358" s="0" t="s">
        <v>770</v>
      </c>
      <c r="B7358" s="0" t="s">
        <v>27</v>
      </c>
      <c r="C7358" s="30" t="n">
        <f aca="false">(Sens!$C$7353-Sens!$C$7350*(1-tax))/Sens!$C$7354</f>
        <v>5.33926775917445</v>
      </c>
      <c r="D7358" s="30" t="n">
        <f aca="false">(Sens!$D$7353-Sens!$D$7350*(1-tax))/Sens!$D$7354</f>
        <v>5.67691812755503</v>
      </c>
      <c r="E7358" s="30" t="n">
        <f aca="false">(Sens!$E$7353-Sens!$E$7350*(1-tax))/Sens!$E$7354</f>
        <v>3.10602057006846</v>
      </c>
      <c r="G7358" s="30" t="n">
        <f aca="false">(Sens!$G$7353-Sens!$G$7350*(1-tax))/Sens!$G$7354</f>
        <v>7.30965004694081</v>
      </c>
      <c r="H7358" s="30" t="n">
        <f aca="false">(Sens!$H$7353-Sens!$H$7350*(1-tax))/Sens!$H$7354</f>
        <v>9.47127888658407</v>
      </c>
      <c r="I7358" s="30" t="n">
        <f aca="false">(Sens!$I$7353-Sens!$I$7350*(1-tax))/Sens!$I$7354</f>
        <v>10.3937227925981</v>
      </c>
      <c r="J7358" s="30" t="n">
        <f aca="false">(Sens!$J$7353-Sens!$J$7350*(1-tax))/Sens!$J$7354</f>
        <v>11.6085897815536</v>
      </c>
      <c r="K7358" s="30" t="n">
        <f aca="false">(Sens!$K$7353-Sens!$K$7350*(1-tax))/Sens!$K$7354</f>
        <v>12.4520849806606</v>
      </c>
      <c r="L7358" s="30" t="n">
        <f aca="false">(Sens!$L$7353-Sens!$L$7350*(1-tax))/Sens!$L$7354</f>
        <v>13.5210672849924</v>
      </c>
      <c r="M7358" s="30" t="n">
        <f aca="false">(Sens!$M$7353-Sens!$M$7350*(1-tax))/Sens!$M$7354</f>
        <v>14.8196162088773</v>
      </c>
      <c r="P7358" s="5" t="s">
        <v>771</v>
      </c>
    </row>
    <row r="7359" customFormat="false" ht="17.15" hidden="false" customHeight="false" outlineLevel="0" collapsed="false">
      <c r="A7359" s="0" t="s">
        <v>772</v>
      </c>
      <c r="B7359" s="0" t="s">
        <v>52</v>
      </c>
      <c r="H7359" s="13" t="n">
        <f aca="false">Sens!$H$7356/Sens!$G$7356-1</f>
        <v>-0.184093043251635</v>
      </c>
      <c r="I7359" s="13" t="n">
        <f aca="false">Sens!$I$7356/Sens!$H$7356-1</f>
        <v>0.159206147000695</v>
      </c>
      <c r="J7359" s="13" t="n">
        <f aca="false">Sens!$J$7356/Sens!$I$7356-1</f>
        <v>0.160401289157047</v>
      </c>
      <c r="K7359" s="13" t="n">
        <f aca="false">Sens!$K$7356/Sens!$J$7356-1</f>
        <v>0.103462755873053</v>
      </c>
      <c r="L7359" s="13" t="n">
        <f aca="false">Sens!$L$7356/Sens!$K$7356-1</f>
        <v>0.093305499182575</v>
      </c>
      <c r="M7359" s="13" t="n">
        <f aca="false">Sens!$M$7356/Sens!$L$7356-1</f>
        <v>0.0854452461236912</v>
      </c>
    </row>
    <row r="7362" customFormat="false" ht="19.4" hidden="false" customHeight="false" outlineLevel="0" collapsed="false">
      <c r="A7362" s="31" t="s">
        <v>1300</v>
      </c>
    </row>
    <row r="7363" customFormat="false" ht="17.15" hidden="false" customHeight="false" outlineLevel="0" collapsed="false">
      <c r="A7363" s="6" t="s">
        <v>16</v>
      </c>
      <c r="B7363" s="6" t="s">
        <v>17</v>
      </c>
      <c r="C7363" s="20" t="s">
        <v>504</v>
      </c>
      <c r="D7363" s="20" t="s">
        <v>505</v>
      </c>
      <c r="E7363" s="20" t="s">
        <v>587</v>
      </c>
      <c r="F7363" s="20" t="s">
        <v>588</v>
      </c>
      <c r="G7363" s="20" t="s">
        <v>589</v>
      </c>
      <c r="H7363" s="20" t="s">
        <v>590</v>
      </c>
      <c r="I7363" s="20" t="s">
        <v>591</v>
      </c>
      <c r="J7363" s="20" t="s">
        <v>592</v>
      </c>
      <c r="K7363" s="20" t="s">
        <v>593</v>
      </c>
      <c r="L7363" s="20" t="s">
        <v>594</v>
      </c>
      <c r="M7363" s="20" t="s">
        <v>595</v>
      </c>
      <c r="N7363" s="20" t="s">
        <v>596</v>
      </c>
      <c r="O7363" s="20" t="s">
        <v>597</v>
      </c>
      <c r="P7363" s="6" t="s">
        <v>23</v>
      </c>
      <c r="R7363" s="20" t="n">
        <v>2023</v>
      </c>
      <c r="S7363" s="20" t="n">
        <v>2024</v>
      </c>
      <c r="T7363" s="20" t="n">
        <v>2025</v>
      </c>
      <c r="U7363" s="20" t="n">
        <v>2026</v>
      </c>
      <c r="V7363" s="20" t="n">
        <v>2027</v>
      </c>
      <c r="W7363" s="20" t="n">
        <v>2028</v>
      </c>
      <c r="X7363" s="20" t="n">
        <v>2029</v>
      </c>
      <c r="Y7363" s="20" t="n">
        <v>2030</v>
      </c>
      <c r="Z7363" s="20" t="n">
        <v>2031</v>
      </c>
      <c r="AA7363" s="20" t="n">
        <v>2032</v>
      </c>
    </row>
    <row r="7364" customFormat="false" ht="15" hidden="false" customHeight="false" outlineLevel="0" collapsed="false">
      <c r="A7364" s="5" t="s">
        <v>556</v>
      </c>
      <c r="B7364" s="0" t="s">
        <v>86</v>
      </c>
      <c r="C7364" s="38" t="n">
        <f aca="false">Sens!$C$7353</f>
        <v>59.248</v>
      </c>
      <c r="D7364" s="38" t="n">
        <f aca="false">Sens!$D$7353</f>
        <v>77.67</v>
      </c>
      <c r="E7364" s="38" t="n">
        <f aca="false">Sens!$E$7353</f>
        <v>92.902</v>
      </c>
      <c r="F7364" s="38" t="n">
        <f aca="false">Sens!$F$7353</f>
        <v>46.0366037135288</v>
      </c>
      <c r="G7364" s="38" t="n">
        <f aca="false">Sens!$G$7353</f>
        <v>138.938603713529</v>
      </c>
      <c r="H7364" s="38" t="n">
        <f aca="false">Sens!$H$7353</f>
        <v>104.29965948309</v>
      </c>
      <c r="I7364" s="38" t="n">
        <f aca="false">Sens!$I$7353</f>
        <v>115.373462770871</v>
      </c>
      <c r="J7364" s="38" t="n">
        <f aca="false">Sens!$J$7353</f>
        <v>129.889724166368</v>
      </c>
      <c r="K7364" s="38" t="n">
        <f aca="false">Sens!$K$7353</f>
        <v>140.442301535395</v>
      </c>
      <c r="L7364" s="38" t="n">
        <f aca="false">Sens!$L$7353</f>
        <v>153.718935436262</v>
      </c>
      <c r="M7364" s="38" t="n">
        <f aca="false">Sens!$M$7353</f>
        <v>169.829794040665</v>
      </c>
    </row>
    <row r="7365" customFormat="false" ht="17.15" hidden="false" customHeight="false" outlineLevel="0" collapsed="false">
      <c r="A7365" s="5" t="s">
        <v>795</v>
      </c>
      <c r="B7365" s="0" t="s">
        <v>86</v>
      </c>
      <c r="C7365" s="38" t="n">
        <f aca="false">Sens!$C$7341</f>
        <v>32.067</v>
      </c>
      <c r="D7365" s="38" t="n">
        <f aca="false">Sens!$D$7341</f>
        <v>41.86</v>
      </c>
      <c r="E7365" s="38" t="n">
        <f aca="false">Sens!$E$7341</f>
        <v>26.703</v>
      </c>
      <c r="F7365" s="38" t="n">
        <f aca="false">Sens!$F$7341</f>
        <v>29.152860869477</v>
      </c>
      <c r="G7365" s="38" t="n">
        <f aca="false">Sens!$G$7341</f>
        <v>55.855860869477</v>
      </c>
      <c r="H7365" s="38" t="n">
        <f aca="false">Sens!$H$7341</f>
        <v>81.5618233196153</v>
      </c>
      <c r="I7365" s="38" t="n">
        <f aca="false">Sens!$I$7341</f>
        <v>118.756208740204</v>
      </c>
      <c r="J7365" s="38" t="n">
        <f aca="false">Sens!$J$7341</f>
        <v>152.469489406791</v>
      </c>
      <c r="K7365" s="38" t="n">
        <f aca="false">Sens!$K$7341</f>
        <v>186.391502623819</v>
      </c>
      <c r="L7365" s="38" t="n">
        <f aca="false">Sens!$L$7341</f>
        <v>211.926422215482</v>
      </c>
      <c r="M7365" s="38" t="n">
        <f aca="false">Sens!$M$7341</f>
        <v>229.012482097906</v>
      </c>
    </row>
    <row r="7366" customFormat="false" ht="15" hidden="false" customHeight="false" outlineLevel="0" collapsed="false">
      <c r="A7366" s="5" t="s">
        <v>796</v>
      </c>
      <c r="B7366" s="0" t="s">
        <v>86</v>
      </c>
      <c r="C7366" s="38" t="n">
        <f aca="false">Q!$D$48</f>
        <v>22.011</v>
      </c>
      <c r="D7366" s="38" t="n">
        <f aca="false">Q!$E$48</f>
        <v>19.467</v>
      </c>
      <c r="E7366" s="38" t="n">
        <f aca="false">Q!$P$48</f>
        <v>10.07</v>
      </c>
      <c r="F7366" s="38" t="n">
        <f aca="false">sbc_r*Sens!$F$7283</f>
        <v>10.8507035798037</v>
      </c>
      <c r="G7366" s="38" t="n">
        <f aca="false">Sens!$E$7366+Sens!$F$7366</f>
        <v>20.9207035798037</v>
      </c>
      <c r="H7366" s="38" t="n">
        <f aca="false">sbc_r*Sens!$H$7283</f>
        <v>23.46224366345</v>
      </c>
      <c r="I7366" s="38" t="n">
        <f aca="false">sbc_r*Sens!$I$7283</f>
        <v>26.6125957111676</v>
      </c>
      <c r="J7366" s="38" t="n">
        <f aca="false">sbc_r*Sens!$J$7283</f>
        <v>29.6280801413323</v>
      </c>
      <c r="K7366" s="38" t="n">
        <f aca="false">sbc_r*Sens!$K$7283</f>
        <v>32.2712258901105</v>
      </c>
      <c r="L7366" s="38" t="n">
        <f aca="false">sbc_r*Sens!$L$7283</f>
        <v>34.7390505016737</v>
      </c>
      <c r="M7366" s="38" t="n">
        <f aca="false">sbc_r*Sens!$M$7283</f>
        <v>37.0405146906692</v>
      </c>
    </row>
    <row r="7367" customFormat="false" ht="17.15" hidden="false" customHeight="false" outlineLevel="0" collapsed="false">
      <c r="A7367" s="5" t="s">
        <v>797</v>
      </c>
      <c r="B7367" s="0" t="s">
        <v>86</v>
      </c>
      <c r="C7367" s="38" t="n">
        <f aca="false">Q!$D$44-Sens!$C$7364-Sens!$C$7365-Sens!$C$7366</f>
        <v>2.551</v>
      </c>
      <c r="D7367" s="38" t="n">
        <f aca="false">Q!$E$44-Sens!$D$7364-Sens!$D$7365-Sens!$D$7366</f>
        <v>0.51700000000001</v>
      </c>
      <c r="E7367" s="38" t="n">
        <f aca="false">Q!$P$44-Sens!$E$7364-Sens!$E$7365-Sens!$E$7366</f>
        <v>-58.256</v>
      </c>
      <c r="F7367" s="38" t="n">
        <f aca="false">oth_r*Sens!$F$7283</f>
        <v>5.22265251035878</v>
      </c>
      <c r="G7367" s="38" t="n">
        <f aca="false">Sens!$E$7367+Sens!$F$7367</f>
        <v>-53.0333474896412</v>
      </c>
      <c r="H7367" s="38" t="n">
        <f aca="false">oth_r*Sens!$H$7283</f>
        <v>11.2928295263397</v>
      </c>
      <c r="I7367" s="38" t="n">
        <f aca="false">oth_r*Sens!$I$7283</f>
        <v>12.8091546115766</v>
      </c>
      <c r="J7367" s="38" t="n">
        <f aca="false">oth_r*Sens!$J$7283</f>
        <v>14.2605653162668</v>
      </c>
      <c r="K7367" s="38" t="n">
        <f aca="false">oth_r*Sens!$K$7283</f>
        <v>15.5327622460396</v>
      </c>
      <c r="L7367" s="38" t="n">
        <f aca="false">oth_r*Sens!$L$7283</f>
        <v>16.720573737517</v>
      </c>
      <c r="M7367" s="38" t="n">
        <f aca="false">oth_r*Sens!$M$7283</f>
        <v>17.8283127551536</v>
      </c>
      <c r="P7367" s="8" t="s">
        <v>798</v>
      </c>
    </row>
    <row r="7368" customFormat="false" ht="15" hidden="false" customHeight="false" outlineLevel="0" collapsed="false">
      <c r="A7368" s="3" t="s">
        <v>562</v>
      </c>
      <c r="B7368" s="8" t="s">
        <v>86</v>
      </c>
      <c r="C7368" s="38" t="n">
        <f aca="false">Q!$D$44</f>
        <v>115.877</v>
      </c>
      <c r="D7368" s="38" t="n">
        <f aca="false">Q!$E$44</f>
        <v>139.514</v>
      </c>
      <c r="E7368" s="38" t="n">
        <f aca="false">Q!$P$44</f>
        <v>71.419</v>
      </c>
      <c r="F7368" s="38" t="n">
        <f aca="false">Sens!$F$7364+Sens!$F$7365+Sens!$F$7366+Sens!$F$7367</f>
        <v>91.2628206731683</v>
      </c>
      <c r="G7368" s="38" t="n">
        <f aca="false">Sens!$E$7368+Sens!$F$7368</f>
        <v>162.681820673168</v>
      </c>
      <c r="H7368" s="38" t="n">
        <f aca="false">Sens!$H$7364+Sens!$H$7365+Sens!$H$7366+Sens!$H$7367</f>
        <v>220.616555992495</v>
      </c>
      <c r="I7368" s="38" t="n">
        <f aca="false">Sens!$I$7364+Sens!$I$7365+Sens!$I$7366+Sens!$I$7367</f>
        <v>273.55142183382</v>
      </c>
      <c r="J7368" s="38" t="n">
        <f aca="false">Sens!$J$7364+Sens!$J$7365+Sens!$J$7366+Sens!$J$7367</f>
        <v>326.247859030758</v>
      </c>
      <c r="K7368" s="38" t="n">
        <f aca="false">Sens!$K$7364+Sens!$K$7365+Sens!$K$7366+Sens!$K$7367</f>
        <v>374.637792295364</v>
      </c>
      <c r="L7368" s="38" t="n">
        <f aca="false">Sens!$L$7364+Sens!$L$7365+Sens!$L$7366+Sens!$L$7367</f>
        <v>417.104981890935</v>
      </c>
      <c r="M7368" s="38" t="n">
        <f aca="false">Sens!$M$7364+Sens!$M$7365+Sens!$M$7366+Sens!$M$7367</f>
        <v>453.711103584394</v>
      </c>
    </row>
    <row r="7369" customFormat="false" ht="17.15" hidden="false" customHeight="false" outlineLevel="0" collapsed="false">
      <c r="A7369" s="5" t="s">
        <v>799</v>
      </c>
      <c r="B7369" s="0" t="s">
        <v>86</v>
      </c>
      <c r="C7369" s="38" t="n">
        <f aca="false">Sens!$C$7247</f>
        <v>25.2781053077374</v>
      </c>
      <c r="D7369" s="38" t="n">
        <f aca="false">Sens!$D$7247</f>
        <v>69.5686316310026</v>
      </c>
      <c r="E7369" s="38" t="n">
        <f aca="false">Sens!$E$7247</f>
        <v>64.1899206485108</v>
      </c>
      <c r="F7369" s="38" t="n">
        <f aca="false">Sens!$F$7247</f>
        <v>88.7165504612134</v>
      </c>
      <c r="G7369" s="38" t="n">
        <f aca="false">Sens!$G$7247</f>
        <v>152.906471109724</v>
      </c>
      <c r="H7369" s="38" t="n">
        <f aca="false">Sens!$H$7247</f>
        <v>198.57136494475</v>
      </c>
      <c r="I7369" s="38" t="n">
        <f aca="false">Sens!$I$7247</f>
        <v>204.6464699105</v>
      </c>
      <c r="J7369" s="38" t="n">
        <f aca="false">Sens!$J$7247</f>
        <v>209.8832381105</v>
      </c>
      <c r="K7369" s="38" t="n">
        <f aca="false">Sens!$K$7247</f>
        <v>155.238385275201</v>
      </c>
      <c r="L7369" s="38" t="n">
        <f aca="false">Sens!$L$7247</f>
        <v>132.014141639902</v>
      </c>
      <c r="M7369" s="38" t="n">
        <f aca="false">Sens!$M$7247</f>
        <v>132.230981659852</v>
      </c>
    </row>
    <row r="7370" customFormat="false" ht="17.15" hidden="false" customHeight="false" outlineLevel="0" collapsed="false">
      <c r="A7370" s="5" t="s">
        <v>800</v>
      </c>
      <c r="B7370" s="0" t="s">
        <v>86</v>
      </c>
      <c r="C7370" s="38" t="n">
        <f aca="false">cx_awso*Sens!$C$7281</f>
        <v>21.0469989286053</v>
      </c>
      <c r="D7370" s="38" t="n">
        <f aca="false">cx_awso*Sens!$D$7281</f>
        <v>24.0042459822698</v>
      </c>
      <c r="E7370" s="38" t="n">
        <f aca="false">cx_awso*Sens!$E$7281</f>
        <v>14.261729404886</v>
      </c>
      <c r="F7370" s="38" t="n">
        <f aca="false">cx_awso*Sens!$F$7281</f>
        <v>14.3538599588493</v>
      </c>
      <c r="G7370" s="38" t="n">
        <f aca="false">Sens!$E$7370+Sens!$F$7370</f>
        <v>28.6155893637353</v>
      </c>
      <c r="H7370" s="38" t="n">
        <f aca="false">cx_awso*Sens!$H$7281</f>
        <v>32.2034154158406</v>
      </c>
      <c r="I7370" s="38" t="n">
        <f aca="false">cx_awso*Sens!$I$7281</f>
        <v>35.7539519042915</v>
      </c>
      <c r="J7370" s="38" t="n">
        <f aca="false">cx_awso*Sens!$J$7281</f>
        <v>39.1551076091815</v>
      </c>
      <c r="K7370" s="38" t="n">
        <f aca="false">cx_awso*Sens!$K$7281</f>
        <v>42.287516217916</v>
      </c>
      <c r="L7370" s="38" t="n">
        <f aca="false">cx_awso*Sens!$L$7281</f>
        <v>45.6705175153492</v>
      </c>
      <c r="M7370" s="38" t="n">
        <f aca="false">cx_awso*Sens!$M$7281</f>
        <v>49.3241589165772</v>
      </c>
    </row>
    <row r="7371" customFormat="false" ht="17.15" hidden="false" customHeight="false" outlineLevel="0" collapsed="false">
      <c r="A7371" s="5" t="s">
        <v>801</v>
      </c>
      <c r="B7371" s="0" t="s">
        <v>86</v>
      </c>
      <c r="C7371" s="38" t="n">
        <f aca="false">Q!$D$46-Sens!$C$7369-Sens!$C$7370</f>
        <v>31.3328957636573</v>
      </c>
      <c r="D7371" s="38" t="n">
        <f aca="false">Q!$E$46-Sens!$D$7369-Sens!$D$7370</f>
        <v>34.7471223867276</v>
      </c>
      <c r="E7371" s="38" t="n">
        <f aca="false">Q!$P$46-Sens!$E$7369-Sens!$E$7370</f>
        <v>17.8583499466032</v>
      </c>
      <c r="F7371" s="38" t="n">
        <f aca="false">cx_rt*Sens!$F$7210</f>
        <v>20.6195895799373</v>
      </c>
      <c r="G7371" s="38" t="n">
        <f aca="false">Sens!$E$7371+Sens!$F$7371</f>
        <v>38.4779395265405</v>
      </c>
      <c r="H7371" s="38" t="n">
        <f aca="false">cx_rt*Sens!$H$7210</f>
        <v>42.5978994743075</v>
      </c>
      <c r="I7371" s="38" t="n">
        <f aca="false">cx_rt*Sens!$I$7210</f>
        <v>46.5813904136335</v>
      </c>
      <c r="J7371" s="38" t="n">
        <f aca="false">cx_rt*Sens!$J$7210</f>
        <v>50.2781676586844</v>
      </c>
      <c r="K7371" s="38" t="n">
        <f aca="false">cx_rt*Sens!$K$7210</f>
        <v>53.5312440191755</v>
      </c>
      <c r="L7371" s="38" t="n">
        <f aca="false">cx_rt*Sens!$L$7210</f>
        <v>57.0116717051447</v>
      </c>
      <c r="M7371" s="38" t="n">
        <f aca="false">cx_rt*Sens!$M$7210</f>
        <v>60.7365554669226</v>
      </c>
    </row>
    <row r="7372" customFormat="false" ht="15" hidden="false" customHeight="false" outlineLevel="0" collapsed="false">
      <c r="A7372" s="3" t="s">
        <v>802</v>
      </c>
      <c r="B7372" s="8" t="s">
        <v>86</v>
      </c>
      <c r="C7372" s="38" t="n">
        <f aca="false">Q!$D$46</f>
        <v>77.658</v>
      </c>
      <c r="D7372" s="38" t="n">
        <f aca="false">Q!$E$46</f>
        <v>128.32</v>
      </c>
      <c r="E7372" s="38" t="n">
        <f aca="false">Q!$P$46</f>
        <v>96.31</v>
      </c>
      <c r="F7372" s="38" t="n">
        <f aca="false">Sens!$F$7369+Sens!$F$7370+Sens!$F$7371</f>
        <v>123.69</v>
      </c>
      <c r="G7372" s="38" t="n">
        <f aca="false">Sens!$E$7372+Sens!$F$7372</f>
        <v>220</v>
      </c>
      <c r="H7372" s="38" t="n">
        <f aca="false">Sens!$H$7369+Sens!$H$7370+Sens!$H$7371</f>
        <v>273.372679834898</v>
      </c>
      <c r="I7372" s="38" t="n">
        <f aca="false">Sens!$I$7369+Sens!$I$7370+Sens!$I$7371</f>
        <v>286.981812228425</v>
      </c>
      <c r="J7372" s="38" t="n">
        <f aca="false">Sens!$J$7369+Sens!$J$7370+Sens!$J$7371</f>
        <v>299.316513378366</v>
      </c>
      <c r="K7372" s="38" t="n">
        <f aca="false">Sens!$K$7369+Sens!$K$7370+Sens!$K$7371</f>
        <v>251.057145512292</v>
      </c>
      <c r="L7372" s="38" t="n">
        <f aca="false">Sens!$L$7369+Sens!$L$7370+Sens!$L$7371</f>
        <v>234.696330860396</v>
      </c>
      <c r="M7372" s="38" t="n">
        <f aca="false">Sens!$M$7369+Sens!$M$7370+Sens!$M$7371</f>
        <v>242.291696043352</v>
      </c>
    </row>
    <row r="7373" customFormat="false" ht="17.15" hidden="false" customHeight="false" outlineLevel="0" collapsed="false">
      <c r="A7373" s="5" t="s">
        <v>570</v>
      </c>
      <c r="B7373" s="0" t="s">
        <v>86</v>
      </c>
      <c r="C7373" s="38" t="n">
        <f aca="false">Q!$D$50</f>
        <v>2.043</v>
      </c>
      <c r="D7373" s="38" t="n">
        <f aca="false">Q!$E$50</f>
        <v>1.557</v>
      </c>
      <c r="E7373" s="38" t="n">
        <f aca="false">lease_pr/2</f>
        <v>0.8</v>
      </c>
      <c r="F7373" s="38" t="n">
        <f aca="false">lease_pr/2</f>
        <v>0.8</v>
      </c>
      <c r="G7373" s="38" t="n">
        <f aca="false">Sens!$E$7373+Sens!$F$7373</f>
        <v>1.6</v>
      </c>
      <c r="H7373" s="38" t="n">
        <f aca="false">lease_pr</f>
        <v>1.6</v>
      </c>
      <c r="I7373" s="38" t="n">
        <f aca="false">lease_pr</f>
        <v>1.6</v>
      </c>
      <c r="J7373" s="38" t="n">
        <f aca="false">lease_pr</f>
        <v>1.6</v>
      </c>
      <c r="K7373" s="38" t="n">
        <f aca="false">lease_pr</f>
        <v>1.6</v>
      </c>
      <c r="L7373" s="38" t="n">
        <f aca="false">lease_pr</f>
        <v>1.6</v>
      </c>
      <c r="M7373" s="38" t="n">
        <f aca="false">lease_pr</f>
        <v>1.6</v>
      </c>
      <c r="P7373" s="8" t="s">
        <v>803</v>
      </c>
    </row>
    <row r="7374" customFormat="false" ht="15" hidden="false" customHeight="false" outlineLevel="0" collapsed="false">
      <c r="A7374" s="47" t="s">
        <v>804</v>
      </c>
      <c r="B7374" s="14" t="s">
        <v>86</v>
      </c>
      <c r="C7374" s="48" t="n">
        <f aca="false">Sens!$C$7368-Sens!$C$7372-Sens!$C$7373</f>
        <v>36.176</v>
      </c>
      <c r="D7374" s="48" t="n">
        <f aca="false">Sens!$D$7368-Sens!$D$7372-Sens!$D$7373</f>
        <v>9.63700000000002</v>
      </c>
      <c r="E7374" s="48" t="n">
        <f aca="false">Sens!$E$7368-Sens!$E$7372-Sens!$E$7373</f>
        <v>-25.691</v>
      </c>
      <c r="F7374" s="48" t="n">
        <f aca="false">Sens!$F$7368-Sens!$F$7372-Sens!$F$7373</f>
        <v>-33.2271793268317</v>
      </c>
      <c r="G7374" s="48" t="n">
        <f aca="false">Sens!$G$7368-Sens!$G$7372-Sens!$G$7373</f>
        <v>-58.9181793268317</v>
      </c>
      <c r="H7374" s="48" t="n">
        <f aca="false">Sens!$H$7368-Sens!$H$7372-Sens!$H$7373</f>
        <v>-54.3561238424036</v>
      </c>
      <c r="I7374" s="48" t="n">
        <f aca="false">Sens!$I$7368-Sens!$I$7372-Sens!$I$7373</f>
        <v>-15.0303903946055</v>
      </c>
      <c r="J7374" s="48" t="n">
        <f aca="false">Sens!$J$7368-Sens!$J$7372-Sens!$J$7373</f>
        <v>25.3313456523922</v>
      </c>
      <c r="K7374" s="48" t="n">
        <f aca="false">Sens!$K$7368-Sens!$K$7372-Sens!$K$7373</f>
        <v>121.980646783072</v>
      </c>
      <c r="L7374" s="48" t="n">
        <f aca="false">Sens!$L$7368-Sens!$L$7372-Sens!$L$7373</f>
        <v>180.80865103054</v>
      </c>
      <c r="M7374" s="48" t="n">
        <f aca="false">Sens!$M$7368-Sens!$M$7372-Sens!$M$7373</f>
        <v>209.819407541041</v>
      </c>
      <c r="N7374" s="14"/>
      <c r="O7374" s="14"/>
    </row>
    <row r="7375" customFormat="false" ht="17.15" hidden="false" customHeight="false" outlineLevel="0" collapsed="false">
      <c r="A7375" s="5" t="s">
        <v>805</v>
      </c>
      <c r="B7375" s="0" t="s">
        <v>86</v>
      </c>
      <c r="C7375" s="38" t="n">
        <f aca="false">dps*Sens!$C$7354</f>
        <v>0</v>
      </c>
      <c r="D7375" s="38" t="n">
        <f aca="false">dps*Sens!$D$7354</f>
        <v>0</v>
      </c>
      <c r="E7375" s="38" t="n">
        <f aca="false">dps*Sens!$E$7354</f>
        <v>0</v>
      </c>
      <c r="F7375" s="38" t="n">
        <f aca="false">0</f>
        <v>0</v>
      </c>
      <c r="G7375" s="38" t="n">
        <f aca="false">dps*Sens!$G$7354</f>
        <v>0</v>
      </c>
      <c r="H7375" s="38" t="n">
        <f aca="false">dps*Sens!$H$7354</f>
        <v>0</v>
      </c>
      <c r="I7375" s="38" t="n">
        <f aca="false">dps*Sens!$I$7354</f>
        <v>0</v>
      </c>
      <c r="J7375" s="38" t="n">
        <f aca="false">dps*Sens!$J$7354</f>
        <v>0</v>
      </c>
      <c r="K7375" s="38" t="n">
        <f aca="false">dps*Sens!$K$7354</f>
        <v>0</v>
      </c>
      <c r="L7375" s="38" t="n">
        <f aca="false">dps*Sens!$L$7354</f>
        <v>0</v>
      </c>
      <c r="M7375" s="38" t="n">
        <f aca="false">dps*Sens!$M$7354</f>
        <v>0</v>
      </c>
      <c r="P7375" s="8" t="s">
        <v>806</v>
      </c>
    </row>
    <row r="7376" customFormat="false" ht="17.15" hidden="false" customHeight="false" outlineLevel="0" collapsed="false">
      <c r="A7376" s="5" t="s">
        <v>807</v>
      </c>
      <c r="B7376" s="0" t="s">
        <v>86</v>
      </c>
      <c r="C7376" s="38" t="n">
        <f aca="false">0</f>
        <v>0</v>
      </c>
      <c r="D7376" s="38" t="n">
        <f aca="false">0</f>
        <v>0</v>
      </c>
      <c r="E7376" s="38" t="n">
        <f aca="false">0</f>
        <v>0</v>
      </c>
      <c r="F7376" s="38" t="n">
        <f aca="false">0</f>
        <v>0</v>
      </c>
      <c r="G7376" s="38" t="n">
        <f aca="false">0</f>
        <v>0</v>
      </c>
      <c r="H7376" s="38" t="n">
        <f aca="false">0</f>
        <v>0</v>
      </c>
      <c r="I7376" s="38" t="n">
        <f aca="false">0</f>
        <v>0</v>
      </c>
      <c r="J7376" s="38" t="n">
        <f aca="false">0</f>
        <v>0</v>
      </c>
      <c r="K7376" s="38" t="n">
        <f aca="false">0</f>
        <v>0</v>
      </c>
      <c r="L7376" s="38" t="n">
        <f aca="false">0</f>
        <v>0</v>
      </c>
      <c r="M7376" s="38" t="n">
        <f aca="false">0</f>
        <v>0</v>
      </c>
      <c r="P7376" s="8" t="s">
        <v>808</v>
      </c>
    </row>
    <row r="7377" customFormat="false" ht="15" hidden="false" customHeight="false" outlineLevel="0" collapsed="false">
      <c r="A7377" s="3" t="s">
        <v>809</v>
      </c>
      <c r="B7377" s="8" t="s">
        <v>86</v>
      </c>
      <c r="C7377" s="38" t="n">
        <f aca="false">Sens!$C$7374-Sens!$C$7375</f>
        <v>36.176</v>
      </c>
      <c r="D7377" s="38" t="n">
        <f aca="false">Sens!$D$7374-Sens!$D$7375</f>
        <v>9.63700000000002</v>
      </c>
      <c r="E7377" s="38" t="n">
        <f aca="false">Sens!$E$7374-Sens!$E$7375</f>
        <v>-25.691</v>
      </c>
      <c r="F7377" s="38" t="n">
        <f aca="false">Sens!$F$7374-Sens!$F$7375</f>
        <v>-33.2271793268317</v>
      </c>
      <c r="G7377" s="38" t="n">
        <f aca="false">Sens!$G$7374-Sens!$G$7375</f>
        <v>-58.9181793268317</v>
      </c>
      <c r="H7377" s="38" t="n">
        <f aca="false">Sens!$H$7374-Sens!$H$7375</f>
        <v>-54.3561238424036</v>
      </c>
      <c r="I7377" s="38" t="n">
        <f aca="false">Sens!$I$7374-Sens!$I$7375</f>
        <v>-15.0303903946055</v>
      </c>
      <c r="J7377" s="38" t="n">
        <f aca="false">Sens!$J$7374-Sens!$J$7375</f>
        <v>25.3313456523922</v>
      </c>
      <c r="K7377" s="38" t="n">
        <f aca="false">Sens!$K$7374-Sens!$K$7375</f>
        <v>121.980646783072</v>
      </c>
      <c r="L7377" s="38" t="n">
        <f aca="false">Sens!$L$7374-Sens!$L$7375</f>
        <v>180.80865103054</v>
      </c>
      <c r="M7377" s="38" t="n">
        <f aca="false">Sens!$M$7374-Sens!$M$7375</f>
        <v>209.819407541041</v>
      </c>
    </row>
    <row r="7378" customFormat="false" ht="17.15" hidden="false" customHeight="false" outlineLevel="0" collapsed="false">
      <c r="A7378" s="5" t="s">
        <v>810</v>
      </c>
      <c r="B7378" s="0" t="s">
        <v>86</v>
      </c>
      <c r="E7378" s="38" t="n">
        <f aca="false">Q!$P$53</f>
        <v>39.767</v>
      </c>
      <c r="F7378" s="38" t="n">
        <f aca="false">inv_2h26</f>
        <v>21.3</v>
      </c>
      <c r="G7378" s="38" t="n">
        <f aca="false">Sens!$E$7378+Sens!$F$7378</f>
        <v>61.067</v>
      </c>
      <c r="H7378" s="39" t="n">
        <v>0</v>
      </c>
      <c r="I7378" s="39" t="n">
        <v>0</v>
      </c>
      <c r="J7378" s="39" t="n">
        <v>0</v>
      </c>
      <c r="K7378" s="39" t="n">
        <v>0</v>
      </c>
      <c r="L7378" s="39" t="n">
        <v>0</v>
      </c>
      <c r="M7378" s="39" t="n">
        <v>0</v>
      </c>
    </row>
    <row r="7379" customFormat="false" ht="17.15" hidden="false" customHeight="false" outlineLevel="0" collapsed="false">
      <c r="A7379" s="5" t="s">
        <v>811</v>
      </c>
      <c r="B7379" s="0" t="s">
        <v>86</v>
      </c>
      <c r="F7379" s="38" t="n">
        <f aca="false">iss_2h26</f>
        <v>29.249999</v>
      </c>
      <c r="G7379" s="38" t="n">
        <f aca="false">Sens!$F$7379</f>
        <v>29.249999</v>
      </c>
      <c r="H7379" s="39" t="n">
        <v>0</v>
      </c>
      <c r="I7379" s="39" t="n">
        <v>0</v>
      </c>
      <c r="J7379" s="39" t="n">
        <v>0</v>
      </c>
      <c r="K7379" s="39" t="n">
        <v>0</v>
      </c>
      <c r="L7379" s="39" t="n">
        <v>0</v>
      </c>
      <c r="M7379" s="39" t="n">
        <v>0</v>
      </c>
    </row>
    <row r="7380" customFormat="false" ht="17.15" hidden="false" customHeight="false" outlineLevel="0" collapsed="false">
      <c r="A7380" s="5" t="s">
        <v>812</v>
      </c>
      <c r="B7380" s="0" t="s">
        <v>86</v>
      </c>
      <c r="F7380" s="38" t="n">
        <f aca="false">cash_q2</f>
        <v>122.988</v>
      </c>
      <c r="G7380" s="38" t="n">
        <f aca="false">cash_q2</f>
        <v>122.988</v>
      </c>
      <c r="H7380" s="38" t="n">
        <f aca="false">Sens!$G$7383</f>
        <v>97.7108196731683</v>
      </c>
      <c r="I7380" s="38" t="n">
        <f aca="false">Sens!$H$7383</f>
        <v>50</v>
      </c>
      <c r="J7380" s="38" t="n">
        <f aca="false">Sens!$I$7383</f>
        <v>50</v>
      </c>
      <c r="K7380" s="38" t="n">
        <f aca="false">Sens!$J$7383</f>
        <v>75.3313456523922</v>
      </c>
      <c r="L7380" s="38" t="n">
        <f aca="false">Sens!$K$7383</f>
        <v>197.311992435464</v>
      </c>
      <c r="M7380" s="38" t="n">
        <f aca="false">Sens!$L$7383</f>
        <v>378.120643466004</v>
      </c>
    </row>
    <row r="7381" customFormat="false" ht="15" hidden="false" customHeight="false" outlineLevel="0" collapsed="false">
      <c r="A7381" s="5" t="s">
        <v>813</v>
      </c>
      <c r="B7381" s="0" t="s">
        <v>86</v>
      </c>
      <c r="F7381" s="38" t="n">
        <f aca="false">Sens!$F$7380+Sens!$F$7377-Sens!$F$7376-Sens!$F$7378+Sens!$F$7379</f>
        <v>97.7108196731683</v>
      </c>
      <c r="H7381" s="38" t="n">
        <f aca="false">Sens!$H$7380+Sens!$H$7377-Sens!$H$7376-Sens!$H$7378+Sens!$H$7379</f>
        <v>43.3546958307647</v>
      </c>
      <c r="I7381" s="38" t="n">
        <f aca="false">Sens!$I$7380+Sens!$I$7377-Sens!$I$7376-Sens!$I$7378+Sens!$I$7379</f>
        <v>34.9696096053945</v>
      </c>
      <c r="J7381" s="38" t="n">
        <f aca="false">Sens!$J$7380+Sens!$J$7377-Sens!$J$7376-Sens!$J$7378+Sens!$J$7379</f>
        <v>75.3313456523922</v>
      </c>
      <c r="K7381" s="38" t="n">
        <f aca="false">Sens!$K$7380+Sens!$K$7377-Sens!$K$7376-Sens!$K$7378+Sens!$K$7379</f>
        <v>197.311992435464</v>
      </c>
      <c r="L7381" s="38" t="n">
        <f aca="false">Sens!$L$7380+Sens!$L$7377-Sens!$L$7376-Sens!$L$7378+Sens!$L$7379</f>
        <v>378.120643466004</v>
      </c>
      <c r="M7381" s="38" t="n">
        <f aca="false">Sens!$M$7380+Sens!$M$7377-Sens!$M$7376-Sens!$M$7378+Sens!$M$7379</f>
        <v>587.940051007045</v>
      </c>
    </row>
    <row r="7382" customFormat="false" ht="17.15" hidden="false" customHeight="false" outlineLevel="0" collapsed="false">
      <c r="A7382" s="5" t="s">
        <v>814</v>
      </c>
      <c r="B7382" s="0" t="s">
        <v>86</v>
      </c>
      <c r="F7382" s="38" t="n">
        <f aca="false">MAX(0,min_cash-Sens!$F$7381)</f>
        <v>0</v>
      </c>
      <c r="G7382" s="38" t="n">
        <f aca="false">Sens!$F$7382</f>
        <v>0</v>
      </c>
      <c r="H7382" s="38" t="n">
        <f aca="false">MAX(0,min_cash-Sens!$H$7381)</f>
        <v>6.64530416923528</v>
      </c>
      <c r="I7382" s="38" t="n">
        <f aca="false">MAX(0,min_cash-Sens!$I$7381)</f>
        <v>15.0303903946055</v>
      </c>
      <c r="J7382" s="38" t="n">
        <f aca="false">MAX(0,min_cash-Sens!$J$7381)</f>
        <v>0</v>
      </c>
      <c r="K7382" s="38" t="n">
        <f aca="false">MAX(0,min_cash-Sens!$K$7381)</f>
        <v>0</v>
      </c>
      <c r="L7382" s="38" t="n">
        <f aca="false">MAX(0,min_cash-Sens!$L$7381)</f>
        <v>0</v>
      </c>
      <c r="M7382" s="38" t="n">
        <f aca="false">MAX(0,min_cash-Sens!$M$7381)</f>
        <v>0</v>
      </c>
      <c r="P7382" s="5" t="s">
        <v>815</v>
      </c>
    </row>
    <row r="7383" customFormat="false" ht="15" hidden="false" customHeight="false" outlineLevel="0" collapsed="false">
      <c r="A7383" s="5" t="s">
        <v>816</v>
      </c>
      <c r="B7383" s="0" t="s">
        <v>86</v>
      </c>
      <c r="D7383" s="38" t="n">
        <f aca="false">Q!$E$61</f>
        <v>123.029</v>
      </c>
      <c r="E7383" s="38" t="n">
        <f aca="false">Q!$M$61</f>
        <v>122.988</v>
      </c>
      <c r="F7383" s="38" t="n">
        <f aca="false">Sens!$F$7381+Sens!$F$7382</f>
        <v>97.7108196731683</v>
      </c>
      <c r="G7383" s="38" t="n">
        <f aca="false">Sens!$F$7383</f>
        <v>97.7108196731683</v>
      </c>
      <c r="H7383" s="38" t="n">
        <f aca="false">Sens!$H$7381+Sens!$H$7382</f>
        <v>50</v>
      </c>
      <c r="I7383" s="38" t="n">
        <f aca="false">Sens!$I$7381+Sens!$I$7382</f>
        <v>50</v>
      </c>
      <c r="J7383" s="38" t="n">
        <f aca="false">Sens!$J$7381+Sens!$J$7382</f>
        <v>75.3313456523922</v>
      </c>
      <c r="K7383" s="38" t="n">
        <f aca="false">Sens!$K$7381+Sens!$K$7382</f>
        <v>197.311992435464</v>
      </c>
      <c r="L7383" s="38" t="n">
        <f aca="false">Sens!$L$7381+Sens!$L$7382</f>
        <v>378.120643466004</v>
      </c>
      <c r="M7383" s="38" t="n">
        <f aca="false">Sens!$M$7381+Sens!$M$7382</f>
        <v>587.940051007045</v>
      </c>
    </row>
    <row r="7384" customFormat="false" ht="15" hidden="false" customHeight="false" outlineLevel="0" collapsed="false">
      <c r="A7384" s="5" t="s">
        <v>817</v>
      </c>
      <c r="B7384" s="0" t="s">
        <v>86</v>
      </c>
      <c r="D7384" s="38" t="n">
        <f aca="false">Q!$E$62</f>
        <v>68.836</v>
      </c>
      <c r="E7384" s="38" t="n">
        <f aca="false">Q!$M$62</f>
        <v>132.995</v>
      </c>
      <c r="F7384" s="38" t="n">
        <f aca="false">debt_q2+Sens!$F$7379+Sens!$F$7382</f>
        <v>162.244999</v>
      </c>
      <c r="G7384" s="38" t="n">
        <f aca="false">Sens!$F$7384</f>
        <v>162.244999</v>
      </c>
      <c r="H7384" s="38" t="n">
        <f aca="false">Sens!$G$7384+Sens!$H$7382</f>
        <v>168.890303169235</v>
      </c>
      <c r="I7384" s="38" t="n">
        <f aca="false">Sens!$H$7384+Sens!$I$7382</f>
        <v>183.920693563841</v>
      </c>
      <c r="J7384" s="38" t="n">
        <f aca="false">Sens!$I$7384+Sens!$J$7382</f>
        <v>183.920693563841</v>
      </c>
      <c r="K7384" s="38" t="n">
        <f aca="false">Sens!$J$7384+Sens!$K$7382</f>
        <v>183.920693563841</v>
      </c>
      <c r="L7384" s="38" t="n">
        <f aca="false">Sens!$K$7384+Sens!$L$7382</f>
        <v>183.920693563841</v>
      </c>
      <c r="M7384" s="38" t="n">
        <f aca="false">Sens!$L$7384+Sens!$M$7382</f>
        <v>183.920693563841</v>
      </c>
    </row>
    <row r="7385" customFormat="false" ht="15" hidden="false" customHeight="false" outlineLevel="0" collapsed="false">
      <c r="A7385" s="5" t="s">
        <v>818</v>
      </c>
      <c r="B7385" s="0" t="s">
        <v>86</v>
      </c>
      <c r="D7385" s="38" t="n">
        <f aca="false">Sens!$D$7384-Sens!$D$7383</f>
        <v>-54.193</v>
      </c>
      <c r="E7385" s="38" t="n">
        <f aca="false">Sens!$E$7384-Sens!$E$7383</f>
        <v>10.007</v>
      </c>
      <c r="F7385" s="38" t="n">
        <f aca="false">Sens!$F$7384-Sens!$F$7383</f>
        <v>64.5341793268317</v>
      </c>
      <c r="G7385" s="38" t="n">
        <f aca="false">Sens!$G$7384-Sens!$G$7383</f>
        <v>64.5341793268317</v>
      </c>
      <c r="H7385" s="38" t="n">
        <f aca="false">Sens!$H$7384-Sens!$H$7383</f>
        <v>118.890303169235</v>
      </c>
      <c r="I7385" s="38" t="n">
        <f aca="false">Sens!$I$7384-Sens!$I$7383</f>
        <v>133.920693563841</v>
      </c>
      <c r="J7385" s="38" t="n">
        <f aca="false">Sens!$J$7384-Sens!$J$7383</f>
        <v>108.589347911449</v>
      </c>
      <c r="K7385" s="38" t="n">
        <f aca="false">Sens!$K$7384-Sens!$K$7383</f>
        <v>-13.3912988716235</v>
      </c>
      <c r="L7385" s="38" t="n">
        <f aca="false">Sens!$L$7384-Sens!$L$7383</f>
        <v>-194.199949902163</v>
      </c>
      <c r="M7385" s="38" t="n">
        <f aca="false">Sens!$M$7384-Sens!$M$7383</f>
        <v>-404.019357443204</v>
      </c>
    </row>
    <row r="7386" customFormat="false" ht="17.15" hidden="false" customHeight="false" outlineLevel="0" collapsed="false">
      <c r="A7386" s="5" t="s">
        <v>819</v>
      </c>
      <c r="B7386" s="0" t="s">
        <v>86</v>
      </c>
      <c r="F7386" s="38" t="n">
        <f aca="false">debt_q2*kd_book*0.5+iss_2h26*kd_new*iss_t</f>
        <v>3.24888962733561</v>
      </c>
      <c r="H7386" s="38" t="n">
        <f aca="false">debt_q2*kd_book+(Sens!$G$7384-debt_q2)*kd_new</f>
        <v>7.42354172302123</v>
      </c>
      <c r="I7386" s="38" t="n">
        <f aca="false">debt_q2*kd_book+(Sens!$H$7384-debt_q2)*kd_new</f>
        <v>7.84418947693382</v>
      </c>
      <c r="J7386" s="38" t="n">
        <f aca="false">debt_q2*kd_book+(Sens!$I$7384-debt_q2)*kd_new</f>
        <v>8.79561318891235</v>
      </c>
      <c r="K7386" s="38" t="n">
        <f aca="false">debt_q2*kd_book+(Sens!$J$7384-debt_q2)*kd_new</f>
        <v>8.79561318891235</v>
      </c>
      <c r="L7386" s="38" t="n">
        <f aca="false">debt_q2*kd_book+(Sens!$K$7384-debt_q2)*kd_new</f>
        <v>8.79561318891235</v>
      </c>
      <c r="M7386" s="38" t="n">
        <f aca="false">debt_q2*kd_book+(Sens!$L$7384-debt_q2)*kd_new</f>
        <v>8.79561318891235</v>
      </c>
    </row>
    <row r="7387" customFormat="false" ht="17.15" hidden="false" customHeight="false" outlineLevel="0" collapsed="false">
      <c r="A7387" s="5" t="s">
        <v>820</v>
      </c>
      <c r="B7387" s="0" t="s">
        <v>86</v>
      </c>
      <c r="F7387" s="38" t="n">
        <f aca="false">cash_q2*y_cash*0.5</f>
        <v>2.59</v>
      </c>
      <c r="H7387" s="38" t="n">
        <f aca="false">Sens!$G$7383*y_cash</f>
        <v>4.1153774832261</v>
      </c>
      <c r="I7387" s="38" t="n">
        <f aca="false">Sens!$H$7383*y_cash</f>
        <v>2.10589651022864</v>
      </c>
      <c r="J7387" s="38" t="n">
        <f aca="false">Sens!$I$7383*y_cash</f>
        <v>2.10589651022864</v>
      </c>
      <c r="K7387" s="38" t="n">
        <f aca="false">Sens!$J$7383*y_cash</f>
        <v>3.172800358404</v>
      </c>
      <c r="L7387" s="38" t="n">
        <f aca="false">Sens!$K$7383*y_cash</f>
        <v>8.31037272592208</v>
      </c>
      <c r="M7387" s="38" t="n">
        <f aca="false">Sens!$L$7383*y_cash</f>
        <v>15.9256588704093</v>
      </c>
    </row>
    <row r="7388" customFormat="false" ht="17.15" hidden="false" customHeight="false" outlineLevel="0" collapsed="false">
      <c r="A7388" s="47" t="s">
        <v>821</v>
      </c>
      <c r="B7388" s="14" t="s">
        <v>86</v>
      </c>
      <c r="C7388" s="14"/>
      <c r="D7388" s="14"/>
      <c r="E7388" s="14"/>
      <c r="F7388" s="14"/>
      <c r="G7388" s="48" t="n">
        <f aca="false">SUM(Sens!$G$7377:$K$7377)</f>
        <v>19.0072988716234</v>
      </c>
      <c r="H7388" s="14"/>
      <c r="I7388" s="14"/>
      <c r="J7388" s="14"/>
      <c r="K7388" s="14"/>
      <c r="L7388" s="14"/>
      <c r="M7388" s="14"/>
      <c r="N7388" s="14"/>
      <c r="O7388" s="14"/>
    </row>
    <row r="7389" customFormat="false" ht="17.15" hidden="false" customHeight="false" outlineLevel="0" collapsed="false">
      <c r="A7389" s="0" t="s">
        <v>787</v>
      </c>
      <c r="B7389" s="0" t="s">
        <v>86</v>
      </c>
      <c r="G7389" s="38" t="n">
        <f aca="false">SUM(Sens!$G$7382:$K$7382)</f>
        <v>21.6756945638408</v>
      </c>
    </row>
    <row r="7390" customFormat="false" ht="17.15" hidden="false" customHeight="false" outlineLevel="0" collapsed="false">
      <c r="A7390" s="24" t="s">
        <v>824</v>
      </c>
      <c r="B7390" s="25" t="s">
        <v>86</v>
      </c>
      <c r="C7390" s="25"/>
      <c r="D7390" s="25"/>
      <c r="E7390" s="25"/>
      <c r="F7390" s="25"/>
      <c r="G7390" s="41" t="n">
        <f aca="false">Sens!$G$7388-(Sens!$G$7377+Sens!$H$7377+Sens!$I$7377+Sens!$J$7377+Sens!$K$7377)</f>
        <v>0</v>
      </c>
      <c r="H7390" s="25"/>
      <c r="I7390" s="25"/>
      <c r="J7390" s="25"/>
      <c r="K7390" s="25"/>
      <c r="L7390" s="25"/>
      <c r="M7390" s="25"/>
      <c r="N7390" s="25"/>
      <c r="O7390" s="25"/>
    </row>
    <row r="7393" customFormat="false" ht="19.4" hidden="false" customHeight="false" outlineLevel="0" collapsed="false">
      <c r="A7393" s="31" t="s">
        <v>1301</v>
      </c>
    </row>
    <row r="7394" customFormat="false" ht="17.15" hidden="false" customHeight="false" outlineLevel="0" collapsed="false">
      <c r="A7394" s="6" t="s">
        <v>16</v>
      </c>
      <c r="B7394" s="6" t="s">
        <v>17</v>
      </c>
      <c r="C7394" s="20" t="s">
        <v>504</v>
      </c>
      <c r="D7394" s="20" t="s">
        <v>505</v>
      </c>
      <c r="E7394" s="20" t="s">
        <v>587</v>
      </c>
      <c r="F7394" s="20" t="s">
        <v>588</v>
      </c>
      <c r="G7394" s="20" t="s">
        <v>589</v>
      </c>
      <c r="H7394" s="20" t="s">
        <v>590</v>
      </c>
      <c r="I7394" s="20" t="s">
        <v>591</v>
      </c>
      <c r="J7394" s="20" t="s">
        <v>592</v>
      </c>
      <c r="K7394" s="20" t="s">
        <v>593</v>
      </c>
      <c r="L7394" s="20" t="s">
        <v>594</v>
      </c>
      <c r="M7394" s="20" t="s">
        <v>595</v>
      </c>
      <c r="N7394" s="20" t="s">
        <v>596</v>
      </c>
      <c r="O7394" s="20" t="s">
        <v>597</v>
      </c>
      <c r="P7394" s="6" t="s">
        <v>23</v>
      </c>
      <c r="R7394" s="20" t="n">
        <v>2023</v>
      </c>
      <c r="S7394" s="20" t="n">
        <v>2024</v>
      </c>
      <c r="T7394" s="20" t="n">
        <v>2025</v>
      </c>
      <c r="U7394" s="20" t="n">
        <v>2026</v>
      </c>
      <c r="V7394" s="20" t="n">
        <v>2027</v>
      </c>
      <c r="W7394" s="20" t="n">
        <v>2028</v>
      </c>
      <c r="X7394" s="20" t="n">
        <v>2029</v>
      </c>
      <c r="Y7394" s="20" t="n">
        <v>2030</v>
      </c>
      <c r="Z7394" s="20" t="n">
        <v>2031</v>
      </c>
      <c r="AA7394" s="20" t="n">
        <v>2032</v>
      </c>
    </row>
    <row r="7395" customFormat="false" ht="17.15" hidden="false" customHeight="false" outlineLevel="0" collapsed="false">
      <c r="A7395" s="1" t="s">
        <v>926</v>
      </c>
    </row>
    <row r="7396" customFormat="false" ht="17.15" hidden="false" customHeight="false" outlineLevel="0" collapsed="false">
      <c r="A7396" s="0" t="s">
        <v>927</v>
      </c>
      <c r="B7396" s="0" t="s">
        <v>86</v>
      </c>
      <c r="H7396" s="38" t="n">
        <f aca="false">Sens!$H$7330*(1-tax)</f>
        <v>119.56497355468</v>
      </c>
      <c r="I7396" s="38" t="n">
        <f aca="false">Sens!$I$7330*(1-tax)</f>
        <v>141.256941944278</v>
      </c>
      <c r="J7396" s="38" t="n">
        <f aca="false">Sens!$J$7330*(1-tax)</f>
        <v>165.207646486437</v>
      </c>
      <c r="K7396" s="38" t="n">
        <f aca="false">Sens!$K$7330*(1-tax)</f>
        <v>182.2563867591</v>
      </c>
      <c r="L7396" s="38" t="n">
        <f aca="false">Sens!$L$7330*(1-tax)</f>
        <v>196.136023003742</v>
      </c>
      <c r="M7396" s="38" t="n">
        <f aca="false">Sens!$M$7330*(1-tax)</f>
        <v>208.266936154417</v>
      </c>
    </row>
    <row r="7397" customFormat="false" ht="15" hidden="false" customHeight="false" outlineLevel="0" collapsed="false">
      <c r="A7397" s="5" t="s">
        <v>928</v>
      </c>
      <c r="B7397" s="0" t="s">
        <v>86</v>
      </c>
      <c r="H7397" s="38" t="n">
        <f aca="false">Sens!$H$7341</f>
        <v>81.5618233196153</v>
      </c>
      <c r="I7397" s="38" t="n">
        <f aca="false">Sens!$I$7341</f>
        <v>118.756208740204</v>
      </c>
      <c r="J7397" s="38" t="n">
        <f aca="false">Sens!$J$7341</f>
        <v>152.469489406791</v>
      </c>
      <c r="K7397" s="38" t="n">
        <f aca="false">Sens!$K$7341</f>
        <v>186.391502623819</v>
      </c>
      <c r="L7397" s="38" t="n">
        <f aca="false">Sens!$L$7341</f>
        <v>211.926422215482</v>
      </c>
      <c r="M7397" s="38" t="n">
        <f aca="false">Sens!$M$7341</f>
        <v>229.012482097906</v>
      </c>
    </row>
    <row r="7398" customFormat="false" ht="15" hidden="false" customHeight="false" outlineLevel="0" collapsed="false">
      <c r="A7398" s="5" t="s">
        <v>929</v>
      </c>
      <c r="B7398" s="0" t="s">
        <v>86</v>
      </c>
      <c r="H7398" s="38" t="n">
        <f aca="false">Sens!$H$7372</f>
        <v>273.372679834898</v>
      </c>
      <c r="I7398" s="38" t="n">
        <f aca="false">Sens!$I$7372</f>
        <v>286.981812228425</v>
      </c>
      <c r="J7398" s="38" t="n">
        <f aca="false">Sens!$J$7372</f>
        <v>299.316513378366</v>
      </c>
      <c r="K7398" s="38" t="n">
        <f aca="false">Sens!$K$7372</f>
        <v>251.057145512292</v>
      </c>
      <c r="L7398" s="38" t="n">
        <f aca="false">Sens!$L$7372</f>
        <v>234.696330860396</v>
      </c>
      <c r="M7398" s="38" t="n">
        <f aca="false">Sens!$M$7372</f>
        <v>242.291696043352</v>
      </c>
    </row>
    <row r="7399" customFormat="false" ht="15" hidden="false" customHeight="false" outlineLevel="0" collapsed="false">
      <c r="A7399" s="5" t="s">
        <v>930</v>
      </c>
      <c r="B7399" s="0" t="s">
        <v>86</v>
      </c>
      <c r="H7399" s="38" t="n">
        <f aca="false">Sens!$H$7373</f>
        <v>1.6</v>
      </c>
      <c r="I7399" s="38" t="n">
        <f aca="false">Sens!$I$7373</f>
        <v>1.6</v>
      </c>
      <c r="J7399" s="38" t="n">
        <f aca="false">Sens!$J$7373</f>
        <v>1.6</v>
      </c>
      <c r="K7399" s="38" t="n">
        <f aca="false">Sens!$K$7373</f>
        <v>1.6</v>
      </c>
      <c r="L7399" s="38" t="n">
        <f aca="false">Sens!$L$7373</f>
        <v>1.6</v>
      </c>
      <c r="M7399" s="38" t="n">
        <f aca="false">Sens!$M$7373</f>
        <v>1.6</v>
      </c>
    </row>
    <row r="7400" customFormat="false" ht="15" hidden="false" customHeight="false" outlineLevel="0" collapsed="false">
      <c r="A7400" s="5" t="s">
        <v>931</v>
      </c>
      <c r="B7400" s="0" t="s">
        <v>86</v>
      </c>
      <c r="H7400" s="38" t="n">
        <f aca="false">Sens!$H$7367</f>
        <v>11.2928295263397</v>
      </c>
      <c r="I7400" s="38" t="n">
        <f aca="false">Sens!$I$7367</f>
        <v>12.8091546115766</v>
      </c>
      <c r="J7400" s="38" t="n">
        <f aca="false">Sens!$J$7367</f>
        <v>14.2605653162668</v>
      </c>
      <c r="K7400" s="38" t="n">
        <f aca="false">Sens!$K$7367</f>
        <v>15.5327622460396</v>
      </c>
      <c r="L7400" s="38" t="n">
        <f aca="false">Sens!$L$7367</f>
        <v>16.720573737517</v>
      </c>
      <c r="M7400" s="38" t="n">
        <f aca="false">Sens!$M$7367</f>
        <v>17.8283127551536</v>
      </c>
    </row>
    <row r="7401" customFormat="false" ht="17.15" hidden="false" customHeight="false" outlineLevel="0" collapsed="false">
      <c r="A7401" s="1" t="s">
        <v>932</v>
      </c>
      <c r="B7401" s="8" t="s">
        <v>86</v>
      </c>
      <c r="H7401" s="38" t="n">
        <f aca="false">Sens!$H$7396+Sens!$H$7397-Sens!$H$7398-Sens!$H$7399+Sens!$H$7400</f>
        <v>-62.5530534342631</v>
      </c>
      <c r="I7401" s="38" t="n">
        <f aca="false">Sens!$I$7396+Sens!$I$7397-Sens!$I$7398-Sens!$I$7399+Sens!$I$7400</f>
        <v>-15.7595069323669</v>
      </c>
      <c r="J7401" s="38" t="n">
        <f aca="false">Sens!$J$7396+Sens!$J$7397-Sens!$J$7398-Sens!$J$7399+Sens!$J$7400</f>
        <v>31.0211878311291</v>
      </c>
      <c r="K7401" s="38" t="n">
        <f aca="false">Sens!$K$7396+Sens!$K$7397-Sens!$K$7398-Sens!$K$7399+Sens!$K$7400</f>
        <v>131.523506116666</v>
      </c>
      <c r="L7401" s="38" t="n">
        <f aca="false">Sens!$L$7396+Sens!$L$7397-Sens!$L$7398-Sens!$L$7399+Sens!$L$7400</f>
        <v>188.486688096346</v>
      </c>
      <c r="M7401" s="38" t="n">
        <f aca="false">Sens!$M$7396+Sens!$M$7397-Sens!$M$7398-Sens!$M$7399+Sens!$M$7400</f>
        <v>211.216034964125</v>
      </c>
    </row>
    <row r="7402" customFormat="false" ht="15" hidden="false" customHeight="false" outlineLevel="0" collapsed="false">
      <c r="A7402" s="5" t="s">
        <v>933</v>
      </c>
      <c r="B7402" s="0" t="s">
        <v>57</v>
      </c>
      <c r="H7402" s="40" t="n">
        <f aca="false">1/(1+wacc)^(2027-2026-0.5)</f>
        <v>0.947751320380232</v>
      </c>
      <c r="I7402" s="40" t="n">
        <f aca="false">1/(1+wacc)^(2028-2026-0.5)</f>
        <v>0.851301099754987</v>
      </c>
      <c r="J7402" s="40" t="n">
        <f aca="false">1/(1+wacc)^(2029-2026-0.5)</f>
        <v>0.764666370660713</v>
      </c>
      <c r="K7402" s="40" t="n">
        <f aca="false">1/(1+wacc)^(2030-2026-0.5)</f>
        <v>0.686848235703811</v>
      </c>
      <c r="L7402" s="40" t="n">
        <f aca="false">1/(1+wacc)^(2031-2026-0.5)</f>
        <v>0.616949452715975</v>
      </c>
      <c r="M7402" s="40" t="n">
        <f aca="false">1/(1+wacc)^(2032-2026-0.5)</f>
        <v>0.554164089562688</v>
      </c>
    </row>
    <row r="7403" customFormat="false" ht="15" hidden="false" customHeight="false" outlineLevel="0" collapsed="false">
      <c r="A7403" s="5" t="s">
        <v>934</v>
      </c>
      <c r="B7403" s="0" t="s">
        <v>86</v>
      </c>
      <c r="H7403" s="38" t="n">
        <f aca="false">Sens!$H$7401*Sens!$H$7402</f>
        <v>-59.2847389861381</v>
      </c>
      <c r="I7403" s="38" t="n">
        <f aca="false">Sens!$I$7401*Sens!$I$7402</f>
        <v>-13.4160855831203</v>
      </c>
      <c r="J7403" s="38" t="n">
        <f aca="false">Sens!$J$7401*Sens!$J$7402</f>
        <v>23.7208591124138</v>
      </c>
      <c r="K7403" s="38" t="n">
        <f aca="false">Sens!$K$7401*Sens!$K$7402</f>
        <v>90.3366881298116</v>
      </c>
      <c r="L7403" s="38" t="n">
        <f aca="false">Sens!$L$7401*Sens!$L$7402</f>
        <v>116.286759065287</v>
      </c>
      <c r="M7403" s="38" t="n">
        <f aca="false">Sens!$M$7401*Sens!$M$7402</f>
        <v>117.048341716935</v>
      </c>
    </row>
    <row r="7404" customFormat="false" ht="15" hidden="false" customHeight="false" outlineLevel="0" collapsed="false">
      <c r="A7404" s="5" t="s">
        <v>935</v>
      </c>
      <c r="B7404" s="0" t="s">
        <v>86</v>
      </c>
      <c r="C7404" s="38" t="n">
        <f aca="false">SUM(Sens!$H$7403:$M$7403)</f>
        <v>274.691823455189</v>
      </c>
    </row>
    <row r="7405" customFormat="false" ht="17.15" hidden="false" customHeight="false" outlineLevel="0" collapsed="false">
      <c r="A7405" s="5" t="s">
        <v>936</v>
      </c>
      <c r="B7405" s="0" t="s">
        <v>86</v>
      </c>
      <c r="C7405" s="38" t="n">
        <f aca="false">Sens!$M$7396*(1+tg)*(1-tg/ronic)/(wacc-tg)</f>
        <v>1893.37885139876</v>
      </c>
    </row>
    <row r="7406" customFormat="false" ht="15" hidden="false" customHeight="false" outlineLevel="0" collapsed="false">
      <c r="A7406" s="5" t="s">
        <v>937</v>
      </c>
      <c r="B7406" s="0" t="s">
        <v>86</v>
      </c>
      <c r="C7406" s="38" t="n">
        <f aca="false">Sens!$C$7405/(1+wacc)^6</f>
        <v>994.421028636041</v>
      </c>
    </row>
    <row r="7407" customFormat="false" ht="17.15" hidden="false" customHeight="false" outlineLevel="0" collapsed="false">
      <c r="A7407" s="5" t="s">
        <v>938</v>
      </c>
      <c r="B7407" s="0" t="s">
        <v>86</v>
      </c>
      <c r="C7407" s="38" t="n">
        <f aca="false">Sens!$C$7404+Sens!$C$7406</f>
        <v>1269.11285209123</v>
      </c>
    </row>
    <row r="7408" customFormat="false" ht="17.15" hidden="false" customHeight="false" outlineLevel="0" collapsed="false">
      <c r="A7408" s="5" t="s">
        <v>939</v>
      </c>
      <c r="B7408" s="0" t="s">
        <v>52</v>
      </c>
      <c r="C7408" s="13" t="n">
        <f aca="false">Sens!$C$7406/Sens!$C$7407</f>
        <v>0.783556030495984</v>
      </c>
    </row>
    <row r="7409" customFormat="false" ht="17.15" hidden="false" customHeight="false" outlineLevel="0" collapsed="false">
      <c r="A7409" s="5" t="s">
        <v>940</v>
      </c>
      <c r="B7409" s="0" t="s">
        <v>86</v>
      </c>
      <c r="C7409" s="38" t="n">
        <f aca="false">Sens!$G$7385+fin_debt</f>
        <v>89.0551793268317</v>
      </c>
    </row>
    <row r="7410" customFormat="false" ht="17.15" hidden="false" customHeight="false" outlineLevel="0" collapsed="false">
      <c r="A7410" s="5" t="s">
        <v>941</v>
      </c>
      <c r="B7410" s="0" t="s">
        <v>86</v>
      </c>
      <c r="C7410" s="38" t="n">
        <f aca="false">(ant_val*ant_sh+oai_val*oai_sh)*(1-liq_disc)</f>
        <v>178.944</v>
      </c>
    </row>
    <row r="7411" customFormat="false" ht="15" hidden="false" customHeight="false" outlineLevel="0" collapsed="false">
      <c r="A7411" s="5" t="s">
        <v>942</v>
      </c>
      <c r="B7411" s="0" t="s">
        <v>86</v>
      </c>
      <c r="C7411" s="38" t="n">
        <f aca="false">Sens!$C$7407-Sens!$C$7409+Sens!$C$7410</f>
        <v>1359.0016727644</v>
      </c>
    </row>
    <row r="7412" customFormat="false" ht="17.15" hidden="false" customHeight="false" outlineLevel="0" collapsed="false">
      <c r="A7412" s="5" t="s">
        <v>943</v>
      </c>
      <c r="B7412" s="0" t="s">
        <v>27</v>
      </c>
      <c r="C7412" s="30" t="n">
        <f aca="false">Sens!$C$7411/sh_out</f>
        <v>125.993149537868</v>
      </c>
    </row>
    <row r="7413" customFormat="false" ht="17.15" hidden="false" customHeight="false" outlineLevel="0" collapsed="false">
      <c r="A7413" s="1" t="s">
        <v>944</v>
      </c>
      <c r="B7413" s="8" t="s">
        <v>27</v>
      </c>
      <c r="C7413" s="30" t="n">
        <f aca="false">Sens!$C$7412*(1+ke)^tp_yf-dps*tp_yf</f>
        <v>138.008970873001</v>
      </c>
    </row>
    <row r="7414" customFormat="false" ht="17.15" hidden="false" customHeight="false" outlineLevel="0" collapsed="false">
      <c r="A7414" s="3" t="s">
        <v>945</v>
      </c>
    </row>
    <row r="7415" customFormat="false" ht="17.15" hidden="false" customHeight="false" outlineLevel="0" collapsed="false">
      <c r="A7415" s="5" t="s">
        <v>946</v>
      </c>
      <c r="B7415" s="0" t="s">
        <v>86</v>
      </c>
      <c r="C7415" s="38" t="n">
        <f aca="false">(1-tp_yf)*(Sens!$H$7342+sbc_ab*Sens!$H$7366*Sens!$H$7203/Sens!$H$7283)+tp_yf*(Sens!$I$7342+sbc_ab*Sens!$I$7366*Sens!$I$7203/Sens!$I$7283)</f>
        <v>59.634664536349</v>
      </c>
    </row>
    <row r="7416" customFormat="false" ht="15" hidden="false" customHeight="false" outlineLevel="0" collapsed="false">
      <c r="A7416" s="5" t="s">
        <v>947</v>
      </c>
      <c r="B7416" s="0" t="s">
        <v>57</v>
      </c>
      <c r="C7416" s="30" t="n">
        <f aca="false">m_ads*m_x</f>
        <v>9.11</v>
      </c>
    </row>
    <row r="7417" customFormat="false" ht="17.15" hidden="false" customHeight="false" outlineLevel="0" collapsed="false">
      <c r="A7417" s="5" t="s">
        <v>948</v>
      </c>
      <c r="B7417" s="0" t="s">
        <v>86</v>
      </c>
      <c r="C7417" s="38" t="n">
        <f aca="false">Sens!$C$7415*Sens!$C$7416</f>
        <v>543.271793926139</v>
      </c>
    </row>
    <row r="7418" customFormat="false" ht="17.15" hidden="false" customHeight="false" outlineLevel="0" collapsed="false">
      <c r="A7418" s="5" t="s">
        <v>949</v>
      </c>
      <c r="B7418" s="0" t="s">
        <v>86</v>
      </c>
      <c r="C7418" s="38" t="n">
        <f aca="false">(1-tp_yf)*(Sens!$H$7343+sbc_ab*Sens!$H$7366*(Sens!$H$7210-Sens!$H$7203)/Sens!$H$7283+IF(internal_ai_reading=2,1,0)*(1-ext_sh)*Sens!$H$7240)+tp_yf*(Sens!$I$7343+sbc_ab*Sens!$I$7366*(Sens!$I$7210-Sens!$I$7203)/Sens!$I$7283+IF(internal_ai_reading=2,1,0)*(1-ext_sh)*Sens!$I$7240)</f>
        <v>51.6951811103438</v>
      </c>
    </row>
    <row r="7419" customFormat="false" ht="17.15" hidden="false" customHeight="false" outlineLevel="0" collapsed="false">
      <c r="A7419" s="5" t="s">
        <v>950</v>
      </c>
      <c r="B7419" s="0" t="s">
        <v>57</v>
      </c>
      <c r="C7419" s="30" t="n">
        <f aca="false">m_retail*m_x</f>
        <v>17.72</v>
      </c>
    </row>
    <row r="7420" customFormat="false" ht="17.15" hidden="false" customHeight="false" outlineLevel="0" collapsed="false">
      <c r="A7420" s="5" t="s">
        <v>951</v>
      </c>
      <c r="B7420" s="0" t="s">
        <v>86</v>
      </c>
      <c r="C7420" s="38" t="n">
        <f aca="false">Sens!$C$7418*Sens!$C$7419</f>
        <v>916.038609275292</v>
      </c>
    </row>
    <row r="7421" customFormat="false" ht="17.15" hidden="false" customHeight="false" outlineLevel="0" collapsed="false">
      <c r="A7421" s="0" t="s">
        <v>952</v>
      </c>
      <c r="B7421" s="0" t="s">
        <v>86</v>
      </c>
      <c r="C7421" s="38" t="n">
        <f aca="false">(1-tp_yf)*(Sens!$H$7344+sbc_ab*Sens!$H$7366*Sens!$H$7281/Sens!$H$7283)+tp_yf*(Sens!$I$7344+sbc_ab*Sens!$I$7366*Sens!$I$7281/Sens!$I$7283)</f>
        <v>97.2337130506861</v>
      </c>
    </row>
    <row r="7422" customFormat="false" ht="17.15" hidden="false" customHeight="false" outlineLevel="0" collapsed="false">
      <c r="A7422" s="0" t="s">
        <v>953</v>
      </c>
      <c r="B7422" s="0" t="s">
        <v>57</v>
      </c>
      <c r="C7422" s="30" t="n">
        <f aca="false">m_cloud*m_x</f>
        <v>13.82</v>
      </c>
    </row>
    <row r="7423" customFormat="false" ht="17.15" hidden="false" customHeight="false" outlineLevel="0" collapsed="false">
      <c r="A7423" s="0" t="s">
        <v>954</v>
      </c>
      <c r="B7423" s="0" t="s">
        <v>86</v>
      </c>
      <c r="C7423" s="38" t="n">
        <f aca="false">Sens!$C$7421*Sens!$C$7422</f>
        <v>1343.76991436048</v>
      </c>
    </row>
    <row r="7424" customFormat="false" ht="17.15" hidden="false" customHeight="false" outlineLevel="0" collapsed="false">
      <c r="A7424" s="0" t="s">
        <v>955</v>
      </c>
      <c r="B7424" s="0" t="s">
        <v>86</v>
      </c>
      <c r="H7424" s="38" t="n">
        <f aca="false">Sens!$H$7262-tax*Sens!$H$7263-ext_sh*Sens!$H$7247</f>
        <v>-115.41576008619</v>
      </c>
      <c r="I7424" s="38" t="n">
        <f aca="false">Sens!$I$7262-tax*Sens!$I$7263-ext_sh*Sens!$I$7247</f>
        <v>-88.5401912683161</v>
      </c>
      <c r="J7424" s="38" t="n">
        <f aca="false">Sens!$J$7262-tax*Sens!$J$7263-ext_sh*Sens!$J$7247</f>
        <v>-61.2977422866746</v>
      </c>
      <c r="K7424" s="38" t="n">
        <f aca="false">Sens!$K$7262-tax*Sens!$K$7263-ext_sh*Sens!$K$7247</f>
        <v>9.91264760007891</v>
      </c>
      <c r="L7424" s="38" t="n">
        <f aca="false">Sens!$L$7262-tax*Sens!$L$7263-ext_sh*Sens!$L$7247</f>
        <v>46.750156871371</v>
      </c>
      <c r="M7424" s="38" t="n">
        <f aca="false">Sens!$M$7262-tax*Sens!$M$7263-ext_sh*Sens!$M$7247</f>
        <v>55.5634749071557</v>
      </c>
    </row>
    <row r="7425" customFormat="false" ht="17.15" hidden="false" customHeight="false" outlineLevel="0" collapsed="false">
      <c r="A7425" s="5" t="s">
        <v>956</v>
      </c>
      <c r="B7425" s="0" t="s">
        <v>86</v>
      </c>
      <c r="H7425" s="38" t="n">
        <f aca="false">Sens!$H$7424*Sens!$H$7402</f>
        <v>-109.385439014374</v>
      </c>
      <c r="I7425" s="38" t="n">
        <f aca="false">Sens!$I$7424*Sens!$I$7402</f>
        <v>-75.3743621992344</v>
      </c>
      <c r="J7425" s="38" t="n">
        <f aca="false">Sens!$J$7424*Sens!$J$7402</f>
        <v>-46.8723221240472</v>
      </c>
      <c r="K7425" s="38" t="n">
        <f aca="false">Sens!$K$7424*Sens!$K$7402</f>
        <v>6.80848451526782</v>
      </c>
      <c r="L7425" s="38" t="n">
        <f aca="false">Sens!$L$7424*Sens!$L$7402</f>
        <v>28.8424836961783</v>
      </c>
      <c r="M7425" s="38" t="n">
        <f aca="false">Sens!$M$7424*Sens!$M$7402</f>
        <v>30.7912824848632</v>
      </c>
    </row>
    <row r="7426" customFormat="false" ht="17.15" hidden="false" customHeight="false" outlineLevel="0" collapsed="false">
      <c r="A7426" s="5" t="s">
        <v>957</v>
      </c>
      <c r="B7426" s="0" t="s">
        <v>86</v>
      </c>
      <c r="C7426" s="38" t="n">
        <f aca="false">Sens!$M$7263*(1-tax)*(1+tg)*(1-tg/ronic)/(wacc-tg)</f>
        <v>356.180381489473</v>
      </c>
    </row>
    <row r="7427" customFormat="false" ht="17.15" hidden="false" customHeight="false" outlineLevel="0" collapsed="false">
      <c r="A7427" s="0" t="s">
        <v>958</v>
      </c>
      <c r="B7427" s="0" t="s">
        <v>86</v>
      </c>
      <c r="C7427" s="38" t="n">
        <f aca="false">(SUM(Sens!$I$7425:$M$7425)+Sens!$C$7426/(1+wacc)^6)*(1+wacc)^tp_yf</f>
        <v>143.3703803388</v>
      </c>
    </row>
    <row r="7428" customFormat="false" ht="17.15" hidden="false" customHeight="false" outlineLevel="0" collapsed="false">
      <c r="A7428" s="5" t="s">
        <v>959</v>
      </c>
      <c r="B7428" s="0" t="s">
        <v>86</v>
      </c>
      <c r="C7428" s="38" t="n">
        <f aca="false">(1-tp_yf)*(Sens!$H$7345)+tp_yf*(Sens!$I$7345)</f>
        <v>74.6707041238437</v>
      </c>
    </row>
    <row r="7429" customFormat="false" ht="17.15" hidden="false" customHeight="false" outlineLevel="0" collapsed="false">
      <c r="A7429" s="5" t="s">
        <v>960</v>
      </c>
      <c r="B7429" s="0" t="s">
        <v>86</v>
      </c>
      <c r="C7429" s="38" t="n">
        <f aca="false">Sens!$C$7428*m_ai_hi</f>
        <v>746.707041238437</v>
      </c>
    </row>
    <row r="7430" customFormat="false" ht="17.15" hidden="false" customHeight="false" outlineLevel="0" collapsed="false">
      <c r="A7430" s="0" t="s">
        <v>961</v>
      </c>
      <c r="B7430" s="0" t="s">
        <v>86</v>
      </c>
      <c r="C7430" s="38" t="n">
        <f aca="false">IF(0=1,Sens!$C$7427,Sens!$C$7429)</f>
        <v>746.707041238437</v>
      </c>
    </row>
    <row r="7431" customFormat="false" ht="17.15" hidden="false" customHeight="false" outlineLevel="0" collapsed="false">
      <c r="A7431" s="5" t="s">
        <v>962</v>
      </c>
      <c r="B7431" s="0" t="s">
        <v>86</v>
      </c>
      <c r="C7431" s="38" t="n">
        <f aca="false">Sens!$C$7417+Sens!$C$7420+Sens!$C$7423+Sens!$C$7430</f>
        <v>3549.78735880035</v>
      </c>
    </row>
    <row r="7432" customFormat="false" ht="17.15" hidden="false" customHeight="false" outlineLevel="0" collapsed="false">
      <c r="A7432" s="5" t="s">
        <v>963</v>
      </c>
      <c r="B7432" s="0" t="s">
        <v>86</v>
      </c>
      <c r="C7432" s="38" t="n">
        <f aca="false">Sens!$H$7385+fin_debt</f>
        <v>143.411303169235</v>
      </c>
    </row>
    <row r="7433" customFormat="false" ht="15" hidden="false" customHeight="false" outlineLevel="0" collapsed="false">
      <c r="A7433" s="5" t="s">
        <v>964</v>
      </c>
      <c r="B7433" s="0" t="s">
        <v>86</v>
      </c>
      <c r="C7433" s="38" t="n">
        <f aca="false">Sens!$C$7431-Sens!$C$7432+Sens!$C$7410</f>
        <v>3585.32005563112</v>
      </c>
    </row>
    <row r="7434" customFormat="false" ht="15" hidden="false" customHeight="false" outlineLevel="0" collapsed="false">
      <c r="A7434" s="3" t="s">
        <v>965</v>
      </c>
      <c r="B7434" s="8" t="s">
        <v>27</v>
      </c>
      <c r="C7434" s="30" t="n">
        <f aca="false">Sens!$C$7433/sh_val</f>
        <v>325.042429039746</v>
      </c>
    </row>
    <row r="7435" customFormat="false" ht="17.15" hidden="false" customHeight="false" outlineLevel="0" collapsed="false">
      <c r="A7435" s="47" t="s">
        <v>966</v>
      </c>
      <c r="B7435" s="14" t="s">
        <v>27</v>
      </c>
      <c r="C7435" s="44" t="n">
        <f aca="false">w_dcf*Sens!$C$7413+(1-w_dcf)*Sens!$C$7434</f>
        <v>231.525699956373</v>
      </c>
      <c r="D7435" s="14"/>
      <c r="E7435" s="14"/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</row>
    <row r="7436" customFormat="false" ht="17.15" hidden="false" customHeight="false" outlineLevel="0" collapsed="false">
      <c r="A7436" s="5" t="s">
        <v>967</v>
      </c>
      <c r="B7436" s="0" t="s">
        <v>27</v>
      </c>
      <c r="C7436" s="30" t="n">
        <f aca="false">v022_wdcf*Sens!$C$7413+(1-v022_wdcf)*Sens!$C$7434</f>
        <v>240.877372864711</v>
      </c>
    </row>
    <row r="7437" customFormat="false" ht="17.15" hidden="false" customHeight="false" outlineLevel="0" collapsed="false">
      <c r="A7437" s="5" t="s">
        <v>968</v>
      </c>
      <c r="B7437" s="0" t="s">
        <v>27</v>
      </c>
      <c r="C7437" s="30" t="n">
        <f aca="false">(Sens!$C$7433-Sens!$C$7430+Sens!$C$7429)/sh_val</f>
        <v>325.042429039746</v>
      </c>
    </row>
    <row r="7440" customFormat="false" ht="19.4" hidden="false" customHeight="false" outlineLevel="0" collapsed="false">
      <c r="A7440" s="31" t="s">
        <v>1302</v>
      </c>
    </row>
    <row r="7441" customFormat="false" ht="17.15" hidden="false" customHeight="false" outlineLevel="0" collapsed="false">
      <c r="A7441" s="6" t="s">
        <v>16</v>
      </c>
      <c r="B7441" s="6" t="s">
        <v>17</v>
      </c>
      <c r="C7441" s="20" t="s">
        <v>504</v>
      </c>
      <c r="D7441" s="20" t="s">
        <v>505</v>
      </c>
      <c r="E7441" s="20" t="s">
        <v>587</v>
      </c>
      <c r="F7441" s="20" t="s">
        <v>588</v>
      </c>
      <c r="G7441" s="20" t="s">
        <v>589</v>
      </c>
      <c r="H7441" s="20" t="s">
        <v>590</v>
      </c>
      <c r="I7441" s="20" t="s">
        <v>591</v>
      </c>
      <c r="J7441" s="20" t="s">
        <v>592</v>
      </c>
      <c r="K7441" s="20" t="s">
        <v>593</v>
      </c>
      <c r="L7441" s="20" t="s">
        <v>594</v>
      </c>
      <c r="M7441" s="20" t="s">
        <v>595</v>
      </c>
      <c r="N7441" s="20" t="s">
        <v>596</v>
      </c>
      <c r="O7441" s="20" t="s">
        <v>597</v>
      </c>
      <c r="P7441" s="6" t="s">
        <v>23</v>
      </c>
      <c r="R7441" s="20" t="n">
        <v>2023</v>
      </c>
      <c r="S7441" s="20" t="n">
        <v>2024</v>
      </c>
      <c r="T7441" s="20" t="n">
        <v>2025</v>
      </c>
      <c r="U7441" s="20" t="n">
        <v>2026</v>
      </c>
      <c r="V7441" s="20" t="n">
        <v>2027</v>
      </c>
      <c r="W7441" s="20" t="n">
        <v>2028</v>
      </c>
      <c r="X7441" s="20" t="n">
        <v>2029</v>
      </c>
      <c r="Y7441" s="20" t="n">
        <v>2030</v>
      </c>
      <c r="Z7441" s="20" t="n">
        <v>2031</v>
      </c>
      <c r="AA7441" s="20" t="n">
        <v>2032</v>
      </c>
    </row>
    <row r="7442" customFormat="false" ht="17.15" hidden="false" customHeight="false" outlineLevel="0" collapsed="false">
      <c r="A7442" s="1" t="s">
        <v>677</v>
      </c>
    </row>
    <row r="7443" customFormat="false" ht="17.15" hidden="false" customHeight="false" outlineLevel="0" collapsed="false">
      <c r="A7443" s="0" t="s">
        <v>526</v>
      </c>
      <c r="B7443" s="0" t="s">
        <v>86</v>
      </c>
      <c r="C7443" s="38" t="n">
        <f aca="false">Q!$D$10</f>
        <v>247.029</v>
      </c>
      <c r="D7443" s="38" t="n">
        <f aca="false">Q!$E$10</f>
        <v>269.287</v>
      </c>
      <c r="E7443" s="38" t="n">
        <f aca="false">Q!$P$10</f>
        <v>134.686</v>
      </c>
      <c r="F7443" s="38" t="n">
        <f aca="false">Sens!$O$7443*(1+Sens!$F$7444)*Sens!$F$7455</f>
        <v>158.293876822267</v>
      </c>
      <c r="G7443" s="38" t="n">
        <f aca="false">Sens!$E$7443+Sens!$F$7443</f>
        <v>292.979876822267</v>
      </c>
      <c r="H7443" s="38" t="n">
        <f aca="false">Sens!$G$7443*(1+Sens!$H$7444)</f>
        <v>318.184543087396</v>
      </c>
      <c r="I7443" s="38" t="n">
        <f aca="false">Sens!$H$7443*(1+Sens!$I$7444)</f>
        <v>341.736278761793</v>
      </c>
      <c r="J7443" s="38" t="n">
        <f aca="false">Sens!$I$7443*(1+Sens!$J$7444)</f>
        <v>362.927192787048</v>
      </c>
      <c r="K7443" s="38" t="n">
        <f aca="false">Sens!$J$7443*(1+Sens!$K$7444)</f>
        <v>381.0735524264</v>
      </c>
      <c r="L7443" s="38" t="n">
        <f aca="false">Sens!$K$7443*(1+Sens!$L$7444)</f>
        <v>400.12723004772</v>
      </c>
      <c r="M7443" s="38" t="n">
        <f aca="false">Sens!$L$7443*(1+Sens!$M$7444)</f>
        <v>420.133591550106</v>
      </c>
      <c r="N7443" s="38" t="n">
        <f aca="false">Q!$N$10</f>
        <v>118.892</v>
      </c>
      <c r="O7443" s="38" t="n">
        <f aca="false">Q!$O$10</f>
        <v>150.395</v>
      </c>
      <c r="P7443" s="8" t="s">
        <v>678</v>
      </c>
    </row>
    <row r="7444" customFormat="false" ht="17.15" hidden="false" customHeight="false" outlineLevel="0" collapsed="false">
      <c r="A7444" s="0" t="s">
        <v>679</v>
      </c>
      <c r="B7444" s="0" t="s">
        <v>52</v>
      </c>
      <c r="E7444" s="13" t="n">
        <f aca="false">Sens!$E$7443/Sens!$N$7443-1</f>
        <v>0.132843252699929</v>
      </c>
      <c r="F7444" s="13" t="n">
        <f aca="false">Sens!$O$7443/(Q!$F$10+Q!$G$10)-1</f>
        <v>0.0980382135842941</v>
      </c>
      <c r="G7444" s="13" t="n">
        <f aca="false">Sens!$G$7443/Sens!$D$7443-1</f>
        <v>0.0879837378791657</v>
      </c>
      <c r="H7444" s="13" t="n">
        <f aca="false">Sens!$F$7444+(g_os-Sens!$F$7444)*1/4</f>
        <v>0.0860286601882206</v>
      </c>
      <c r="I7444" s="13" t="n">
        <f aca="false">Sens!$F$7444+(g_os-Sens!$F$7444)*2/4</f>
        <v>0.074019106792147</v>
      </c>
      <c r="J7444" s="13" t="n">
        <f aca="false">Sens!$F$7444+(g_os-Sens!$F$7444)*3/4</f>
        <v>0.0620095533960735</v>
      </c>
      <c r="K7444" s="13" t="n">
        <f aca="false">Sens!$F$7444+(g_os-Sens!$F$7444)*4/4</f>
        <v>0.05</v>
      </c>
      <c r="L7444" s="13" t="n">
        <f aca="false">g_os</f>
        <v>0.05</v>
      </c>
      <c r="M7444" s="13" t="n">
        <f aca="false">g_os</f>
        <v>0.05</v>
      </c>
      <c r="P7444" s="8" t="s">
        <v>680</v>
      </c>
    </row>
    <row r="7445" customFormat="false" ht="17.15" hidden="false" customHeight="false" outlineLevel="0" collapsed="false">
      <c r="A7445" s="0" t="s">
        <v>527</v>
      </c>
      <c r="B7445" s="0" t="s">
        <v>86</v>
      </c>
      <c r="C7445" s="38" t="n">
        <f aca="false">Q!$D$11</f>
        <v>21.215</v>
      </c>
      <c r="D7445" s="38" t="n">
        <f aca="false">Q!$E$11</f>
        <v>22.561</v>
      </c>
      <c r="E7445" s="38" t="n">
        <f aca="false">Q!$P$11</f>
        <v>11.579</v>
      </c>
      <c r="F7445" s="38" t="n">
        <f aca="false">Sens!$O$7445*(1+Sens!$F$7446)*Sens!$F$7455</f>
        <v>11.5938724610325</v>
      </c>
      <c r="G7445" s="38" t="n">
        <f aca="false">Sens!$E$7445+Sens!$F$7445</f>
        <v>23.1728724610325</v>
      </c>
      <c r="H7445" s="38" t="n">
        <f aca="false">Sens!$G$7445*(1+Sens!$H$7446)</f>
        <v>24.353392759506</v>
      </c>
      <c r="I7445" s="38" t="n">
        <f aca="false">Sens!$H$7445*(1+Sens!$I$7446)</f>
        <v>25.4240338872015</v>
      </c>
      <c r="J7445" s="38" t="n">
        <f aca="false">Sens!$I$7445*(1+Sens!$J$7446)</f>
        <v>26.3642491017174</v>
      </c>
      <c r="K7445" s="38" t="n">
        <f aca="false">Sens!$J$7445*(1+Sens!$K$7446)</f>
        <v>27.155176574769</v>
      </c>
      <c r="L7445" s="38" t="n">
        <f aca="false">Sens!$K$7445*(1+Sens!$L$7446)</f>
        <v>27.969831872012</v>
      </c>
      <c r="M7445" s="38" t="n">
        <f aca="false">Sens!$L$7445*(1+Sens!$M$7446)</f>
        <v>28.8089268281724</v>
      </c>
      <c r="N7445" s="38" t="n">
        <f aca="false">Q!$N$11</f>
        <v>11.128</v>
      </c>
      <c r="O7445" s="38" t="n">
        <f aca="false">Q!$O$11</f>
        <v>11.433</v>
      </c>
      <c r="P7445" s="8" t="s">
        <v>678</v>
      </c>
    </row>
    <row r="7446" customFormat="false" ht="17.15" hidden="false" customHeight="false" outlineLevel="0" collapsed="false">
      <c r="A7446" s="0" t="s">
        <v>681</v>
      </c>
      <c r="B7446" s="0" t="s">
        <v>52</v>
      </c>
      <c r="E7446" s="13" t="n">
        <f aca="false">Sens!$E$7445/Sens!$N$7445-1</f>
        <v>0.0405283968368082</v>
      </c>
      <c r="F7446" s="13" t="n">
        <f aca="false">Sens!$O$7445/(Q!$F$11+Q!$G$11)-1</f>
        <v>0.0579254187100955</v>
      </c>
      <c r="G7446" s="13" t="n">
        <f aca="false">Sens!$G$7445/Sens!$D$7445-1</f>
        <v>0.0271208040881397</v>
      </c>
      <c r="H7446" s="13" t="n">
        <f aca="false">Sens!$F$7446+(g_ps-Sens!$F$7446)*1/4</f>
        <v>0.0509440640325716</v>
      </c>
      <c r="I7446" s="13" t="n">
        <f aca="false">Sens!$F$7446+(g_ps-Sens!$F$7446)*2/4</f>
        <v>0.0439627093550477</v>
      </c>
      <c r="J7446" s="13" t="n">
        <f aca="false">Sens!$F$7446+(g_ps-Sens!$F$7446)*3/4</f>
        <v>0.0369813546775239</v>
      </c>
      <c r="K7446" s="13" t="n">
        <f aca="false">Sens!$F$7446+(g_ps-Sens!$F$7446)*4/4</f>
        <v>0.03</v>
      </c>
      <c r="L7446" s="13" t="n">
        <f aca="false">g_ps</f>
        <v>0.03</v>
      </c>
      <c r="M7446" s="13" t="n">
        <f aca="false">g_ps</f>
        <v>0.03</v>
      </c>
      <c r="P7446" s="8" t="s">
        <v>682</v>
      </c>
    </row>
    <row r="7447" customFormat="false" ht="17.15" hidden="false" customHeight="false" outlineLevel="0" collapsed="false">
      <c r="A7447" s="0" t="s">
        <v>528</v>
      </c>
      <c r="B7447" s="0" t="s">
        <v>86</v>
      </c>
      <c r="C7447" s="38" t="n">
        <f aca="false">Q!$D$12</f>
        <v>156.146</v>
      </c>
      <c r="D7447" s="38" t="n">
        <f aca="false">Q!$E$12</f>
        <v>172.162</v>
      </c>
      <c r="E7447" s="38" t="n">
        <f aca="false">Q!$P$12</f>
        <v>88.358</v>
      </c>
      <c r="F7447" s="38" t="n">
        <f aca="false">Sens!$O$7447*(1+Sens!$F$7448)*Sens!$F$7455</f>
        <v>102.004388260171</v>
      </c>
      <c r="G7447" s="38" t="n">
        <f aca="false">Sens!$E$7447+Sens!$F$7447</f>
        <v>190.362388260171</v>
      </c>
      <c r="H7447" s="38" t="n">
        <f aca="false">Sens!$G$7447*(1+Sens!$H$7448)</f>
        <v>210.343106588311</v>
      </c>
      <c r="I7447" s="38" t="n">
        <f aca="false">Sens!$H$7447*(1+Sens!$I$7448)</f>
        <v>229.969728494648</v>
      </c>
      <c r="J7447" s="38" t="n">
        <f aca="false">Sens!$I$7447*(1+Sens!$J$7448)</f>
        <v>248.747636972598</v>
      </c>
      <c r="K7447" s="38" t="n">
        <f aca="false">Sens!$J$7447*(1+Sens!$K$7448)</f>
        <v>266.15997156068</v>
      </c>
      <c r="L7447" s="38" t="n">
        <f aca="false">Sens!$K$7447*(1+Sens!$L$7448)</f>
        <v>284.791169569927</v>
      </c>
      <c r="M7447" s="38" t="n">
        <f aca="false">Sens!$L$7447*(1+Sens!$M$7448)</f>
        <v>304.726551439822</v>
      </c>
      <c r="N7447" s="38" t="n">
        <f aca="false">Q!$N$12</f>
        <v>76.86</v>
      </c>
      <c r="O7447" s="38" t="n">
        <f aca="false">Q!$O$12</f>
        <v>95.302</v>
      </c>
      <c r="P7447" s="8" t="s">
        <v>678</v>
      </c>
    </row>
    <row r="7448" customFormat="false" ht="17.15" hidden="false" customHeight="false" outlineLevel="0" collapsed="false">
      <c r="A7448" s="0" t="s">
        <v>683</v>
      </c>
      <c r="B7448" s="0" t="s">
        <v>52</v>
      </c>
      <c r="E7448" s="13" t="n">
        <f aca="false">Sens!$E$7447/Sens!$N$7447-1</f>
        <v>0.1495966692688</v>
      </c>
      <c r="F7448" s="13" t="n">
        <f aca="false">Sens!$O$7447/(Q!$F$12+Q!$G$12)-1</f>
        <v>0.11661530890813</v>
      </c>
      <c r="G7448" s="13" t="n">
        <f aca="false">Sens!$G$7447/Sens!$D$7447-1</f>
        <v>0.105716640490767</v>
      </c>
      <c r="H7448" s="13" t="n">
        <f aca="false">Sens!$F$7448+(g_sp-Sens!$F$7448)*1/4</f>
        <v>0.104961481681098</v>
      </c>
      <c r="I7448" s="13" t="n">
        <f aca="false">Sens!$F$7448+(g_sp-Sens!$F$7448)*2/4</f>
        <v>0.0933076544540651</v>
      </c>
      <c r="J7448" s="13" t="n">
        <f aca="false">Sens!$F$7448+(g_sp-Sens!$F$7448)*3/4</f>
        <v>0.0816538272270325</v>
      </c>
      <c r="K7448" s="13" t="n">
        <f aca="false">Sens!$F$7448+(g_sp-Sens!$F$7448)*4/4</f>
        <v>0.07</v>
      </c>
      <c r="L7448" s="13" t="n">
        <f aca="false">g_sp</f>
        <v>0.07</v>
      </c>
      <c r="M7448" s="13" t="n">
        <f aca="false">g_sp</f>
        <v>0.07</v>
      </c>
      <c r="P7448" s="8" t="s">
        <v>684</v>
      </c>
    </row>
    <row r="7449" customFormat="false" ht="17.15" hidden="false" customHeight="false" outlineLevel="0" collapsed="false">
      <c r="A7449" s="0" t="s">
        <v>529</v>
      </c>
      <c r="B7449" s="0" t="s">
        <v>86</v>
      </c>
      <c r="C7449" s="38" t="n">
        <f aca="false">Q!$D$13</f>
        <v>56.214</v>
      </c>
      <c r="D7449" s="38" t="n">
        <f aca="false">Q!$E$13</f>
        <v>68.635</v>
      </c>
      <c r="E7449" s="38" t="n">
        <f aca="false">Q!$P$13</f>
        <v>37.052</v>
      </c>
      <c r="F7449" s="38" t="n">
        <f aca="false">Sens!$O$7449*(1+Sens!$F$7450)*Sens!$F$7455</f>
        <v>46.1572219944148</v>
      </c>
      <c r="G7449" s="38" t="n">
        <f aca="false">Sens!$E$7449+Sens!$F$7449</f>
        <v>83.2092219944148</v>
      </c>
      <c r="H7449" s="38" t="n">
        <f aca="false">Sens!$G$7449*(1+Sens!$H$7450)</f>
        <v>99.8969223878976</v>
      </c>
      <c r="I7449" s="38" t="n">
        <f aca="false">Sens!$H$7449*(1+Sens!$I$7450)</f>
        <v>116.583111095496</v>
      </c>
      <c r="J7449" s="38" t="n">
        <f aca="false">Sens!$I$7449*(1+Sens!$J$7450)</f>
        <v>132.148941941952</v>
      </c>
      <c r="K7449" s="38" t="n">
        <f aca="false">Sens!$J$7449*(1+Sens!$K$7450)</f>
        <v>145.363836136147</v>
      </c>
      <c r="L7449" s="38" t="n">
        <f aca="false">Sens!$K$7449*(1+Sens!$L$7450)</f>
        <v>159.900219749762</v>
      </c>
      <c r="M7449" s="38" t="n">
        <f aca="false">Sens!$L$7449*(1+Sens!$M$7450)</f>
        <v>175.890241724738</v>
      </c>
      <c r="N7449" s="38" t="n">
        <f aca="false">Q!$N$13</f>
        <v>29.615</v>
      </c>
      <c r="O7449" s="38" t="n">
        <f aca="false">Q!$O$13</f>
        <v>39.02</v>
      </c>
      <c r="P7449" s="8" t="s">
        <v>678</v>
      </c>
    </row>
    <row r="7450" customFormat="false" ht="17.15" hidden="false" customHeight="false" outlineLevel="0" collapsed="false">
      <c r="A7450" s="0" t="s">
        <v>685</v>
      </c>
      <c r="B7450" s="0" t="s">
        <v>52</v>
      </c>
      <c r="E7450" s="13" t="n">
        <f aca="false">Sens!$E$7449/Sens!$N$7449-1</f>
        <v>0.25112274185379</v>
      </c>
      <c r="F7450" s="13" t="n">
        <f aca="false">Sens!$O$7449/(Q!$F$13+Q!$G$13)-1</f>
        <v>0.234068123596572</v>
      </c>
      <c r="G7450" s="13" t="n">
        <f aca="false">Sens!$G$7449/Sens!$D$7449-1</f>
        <v>0.212343876949294</v>
      </c>
      <c r="H7450" s="13" t="n">
        <f aca="false">Sens!$F$7450+(g_ad-Sens!$F$7450)*1/4</f>
        <v>0.200551092697429</v>
      </c>
      <c r="I7450" s="13" t="n">
        <f aca="false">Sens!$F$7450+(g_ad-Sens!$F$7450)*2/4</f>
        <v>0.167034061798286</v>
      </c>
      <c r="J7450" s="13" t="n">
        <f aca="false">Sens!$F$7450+(g_ad-Sens!$F$7450)*3/4</f>
        <v>0.133517030899143</v>
      </c>
      <c r="K7450" s="13" t="n">
        <f aca="false">Sens!$F$7450+(g_ad-Sens!$F$7450)*4/4</f>
        <v>0.1</v>
      </c>
      <c r="L7450" s="13" t="n">
        <f aca="false">g_ad</f>
        <v>0.1</v>
      </c>
      <c r="M7450" s="13" t="n">
        <f aca="false">g_ad</f>
        <v>0.1</v>
      </c>
      <c r="P7450" s="8" t="s">
        <v>686</v>
      </c>
    </row>
    <row r="7451" customFormat="false" ht="17.15" hidden="false" customHeight="false" outlineLevel="0" collapsed="false">
      <c r="A7451" s="0" t="s">
        <v>530</v>
      </c>
      <c r="B7451" s="0" t="s">
        <v>86</v>
      </c>
      <c r="C7451" s="38" t="n">
        <f aca="false">Q!$D$14</f>
        <v>44.374</v>
      </c>
      <c r="D7451" s="38" t="n">
        <f aca="false">Q!$E$14</f>
        <v>49.619</v>
      </c>
      <c r="E7451" s="38" t="n">
        <f aca="false">Q!$P$14</f>
        <v>27.157</v>
      </c>
      <c r="F7451" s="38" t="n">
        <f aca="false">Sens!$O$7451*(1+Sens!$F$7452)*Sens!$F$7455</f>
        <v>27.7764165988154</v>
      </c>
      <c r="G7451" s="38" t="n">
        <f aca="false">Sens!$E$7451+Sens!$F$7451</f>
        <v>54.9334165988154</v>
      </c>
      <c r="H7451" s="38" t="n">
        <f aca="false">Sens!$G$7451*(1+Sens!$H$7452)</f>
        <v>61.1564112561829</v>
      </c>
      <c r="I7451" s="38" t="n">
        <f aca="false">Sens!$H$7451*(1+Sens!$I$7452)</f>
        <v>67.2020282103945</v>
      </c>
      <c r="J7451" s="38" t="n">
        <f aca="false">Sens!$I$7451*(1+Sens!$J$7452)</f>
        <v>72.8757274028885</v>
      </c>
      <c r="K7451" s="38" t="n">
        <f aca="false">Sens!$J$7451*(1+Sens!$K$7452)</f>
        <v>77.9770283210907</v>
      </c>
      <c r="L7451" s="38" t="n">
        <f aca="false">Sens!$K$7451*(1+Sens!$L$7452)</f>
        <v>83.4354203035671</v>
      </c>
      <c r="M7451" s="38" t="n">
        <f aca="false">Sens!$L$7451*(1+Sens!$M$7452)</f>
        <v>89.2758997248168</v>
      </c>
      <c r="N7451" s="38" t="n">
        <f aca="false">Q!$N$14</f>
        <v>23.923</v>
      </c>
      <c r="O7451" s="38" t="n">
        <f aca="false">Q!$O$14</f>
        <v>25.696</v>
      </c>
      <c r="P7451" s="8" t="s">
        <v>678</v>
      </c>
    </row>
    <row r="7452" customFormat="false" ht="17.15" hidden="false" customHeight="false" outlineLevel="0" collapsed="false">
      <c r="A7452" s="0" t="s">
        <v>687</v>
      </c>
      <c r="B7452" s="0" t="s">
        <v>52</v>
      </c>
      <c r="E7452" s="13" t="n">
        <f aca="false">Sens!$E$7451/Sens!$N$7451-1</f>
        <v>0.135183714417088</v>
      </c>
      <c r="F7452" s="13" t="n">
        <f aca="false">Sens!$O$7451/(Q!$F$14+Q!$G$14)-1</f>
        <v>0.127709997366804</v>
      </c>
      <c r="G7452" s="13" t="n">
        <f aca="false">Sens!$G$7451/Sens!$D$7451-1</f>
        <v>0.107104468022641</v>
      </c>
      <c r="H7452" s="13" t="n">
        <f aca="false">Sens!$F$7452+(g_sub-Sens!$F$7452)*1/4</f>
        <v>0.113282498025103</v>
      </c>
      <c r="I7452" s="13" t="n">
        <f aca="false">Sens!$F$7452+(g_sub-Sens!$F$7452)*2/4</f>
        <v>0.0988549986834021</v>
      </c>
      <c r="J7452" s="13" t="n">
        <f aca="false">Sens!$F$7452+(g_sub-Sens!$F$7452)*3/4</f>
        <v>0.084427499341701</v>
      </c>
      <c r="K7452" s="13" t="n">
        <f aca="false">Sens!$F$7452+(g_sub-Sens!$F$7452)*4/4</f>
        <v>0.07</v>
      </c>
      <c r="L7452" s="13" t="n">
        <f aca="false">g_sub</f>
        <v>0.07</v>
      </c>
      <c r="M7452" s="13" t="n">
        <f aca="false">g_sub</f>
        <v>0.07</v>
      </c>
      <c r="P7452" s="8" t="s">
        <v>688</v>
      </c>
    </row>
    <row r="7453" customFormat="false" ht="17.15" hidden="false" customHeight="false" outlineLevel="0" collapsed="false">
      <c r="A7453" s="0" t="s">
        <v>531</v>
      </c>
      <c r="B7453" s="0" t="s">
        <v>86</v>
      </c>
      <c r="C7453" s="38" t="n">
        <f aca="false">Q!$D$15</f>
        <v>5.425</v>
      </c>
      <c r="D7453" s="38" t="n">
        <f aca="false">Q!$E$15</f>
        <v>5.935</v>
      </c>
      <c r="E7453" s="38" t="n">
        <f aca="false">Q!$P$15</f>
        <v>3.474</v>
      </c>
      <c r="F7453" s="38" t="n">
        <f aca="false">Sens!$O$7453*(1+Sens!$F$7454)*Sens!$F$7455</f>
        <v>3.22246550883619</v>
      </c>
      <c r="G7453" s="38" t="n">
        <f aca="false">Sens!$E$7453+Sens!$F$7453</f>
        <v>6.69646550883619</v>
      </c>
      <c r="H7453" s="38" t="n">
        <f aca="false">Sens!$G$7453*(1+Sens!$H$7454)</f>
        <v>7.16251344209196</v>
      </c>
      <c r="I7453" s="38" t="n">
        <f aca="false">Sens!$H$7453*(1+Sens!$I$7454)</f>
        <v>7.61421070299826</v>
      </c>
      <c r="J7453" s="38" t="n">
        <f aca="false">Sens!$I$7453*(1+Sens!$J$7454)</f>
        <v>8.04465753523932</v>
      </c>
      <c r="K7453" s="38" t="n">
        <f aca="false">Sens!$J$7453*(1+Sens!$K$7454)</f>
        <v>8.44689041200128</v>
      </c>
      <c r="L7453" s="38" t="n">
        <f aca="false">Sens!$K$7453*(1+Sens!$L$7454)</f>
        <v>8.86923493260135</v>
      </c>
      <c r="M7453" s="38" t="n">
        <f aca="false">Sens!$L$7453*(1+Sens!$M$7454)</f>
        <v>9.31269667923142</v>
      </c>
      <c r="N7453" s="38" t="n">
        <f aca="false">Q!$N$15</f>
        <v>2.811</v>
      </c>
      <c r="O7453" s="38" t="n">
        <f aca="false">Q!$O$15</f>
        <v>3.124</v>
      </c>
      <c r="P7453" s="8" t="s">
        <v>678</v>
      </c>
    </row>
    <row r="7454" customFormat="false" ht="17.15" hidden="false" customHeight="false" outlineLevel="0" collapsed="false">
      <c r="A7454" s="0" t="s">
        <v>689</v>
      </c>
      <c r="B7454" s="0" t="s">
        <v>52</v>
      </c>
      <c r="E7454" s="13" t="n">
        <f aca="false">Sens!$E$7453/Sens!$N$7453-1</f>
        <v>0.235859124866596</v>
      </c>
      <c r="F7454" s="13" t="n">
        <f aca="false">Sens!$O$7453/(Q!$F$15+Q!$G$15)-1</f>
        <v>0.0761281433000345</v>
      </c>
      <c r="G7454" s="13" t="n">
        <f aca="false">Sens!$G$7453/Sens!$D$7453-1</f>
        <v>0.128300843948811</v>
      </c>
      <c r="H7454" s="13" t="n">
        <f aca="false">Sens!$F$7454+(g_ot-Sens!$F$7454)*1/4</f>
        <v>0.0695961074750259</v>
      </c>
      <c r="I7454" s="13" t="n">
        <f aca="false">Sens!$F$7454+(g_ot-Sens!$F$7454)*2/4</f>
        <v>0.0630640716500172</v>
      </c>
      <c r="J7454" s="13" t="n">
        <f aca="false">Sens!$F$7454+(g_ot-Sens!$F$7454)*3/4</f>
        <v>0.0565320358250086</v>
      </c>
      <c r="K7454" s="13" t="n">
        <f aca="false">Sens!$F$7454+(g_ot-Sens!$F$7454)*4/4</f>
        <v>0.05</v>
      </c>
      <c r="L7454" s="13" t="n">
        <f aca="false">g_ot</f>
        <v>0.05</v>
      </c>
      <c r="M7454" s="13" t="n">
        <f aca="false">g_ot</f>
        <v>0.05</v>
      </c>
      <c r="P7454" s="8" t="s">
        <v>690</v>
      </c>
    </row>
    <row r="7455" customFormat="false" ht="17.15" hidden="false" customHeight="false" outlineLevel="0" collapsed="false">
      <c r="A7455" s="0" t="s">
        <v>691</v>
      </c>
      <c r="B7455" s="0" t="s">
        <v>57</v>
      </c>
      <c r="F7455" s="40" t="n">
        <f aca="false">(g26q3_mid*Q!$O$8/Q!$J$8-Thesis!$F$89-Thesis!$F$93)/(Sens!$O$7443*(1+Sens!$F$7444)+Sens!$O$7445*(1+Sens!$F$7446)+Sens!$O$7447*(1+Sens!$F$7448)+Sens!$O$7449*(1+Sens!$F$7450)+Sens!$O$7451*(1+Sens!$F$7452)+Sens!$O$7453*(1+Sens!$F$7454))</f>
        <v>0.958546670622329</v>
      </c>
      <c r="P7455" s="8" t="s">
        <v>692</v>
      </c>
    </row>
    <row r="7456" customFormat="false" ht="17.15" hidden="false" customHeight="false" outlineLevel="0" collapsed="false">
      <c r="A7456" s="3" t="s">
        <v>693</v>
      </c>
      <c r="B7456" s="8" t="s">
        <v>86</v>
      </c>
      <c r="C7456" s="38" t="n">
        <f aca="false">Sens!$C$7443+Sens!$C$7445+Sens!$C$7447+Sens!$C$7449+Sens!$C$7451+Sens!$C$7453</f>
        <v>530.403</v>
      </c>
      <c r="D7456" s="38" t="n">
        <f aca="false">Sens!$D$7443+Sens!$D$7445+Sens!$D$7447+Sens!$D$7449+Sens!$D$7451+Sens!$D$7453</f>
        <v>588.199</v>
      </c>
      <c r="E7456" s="38" t="n">
        <f aca="false">Sens!$E$7443+Sens!$E$7445+Sens!$E$7447+Sens!$E$7449+Sens!$E$7451+Sens!$E$7453</f>
        <v>302.306</v>
      </c>
      <c r="F7456" s="38" t="n">
        <f aca="false">Sens!$F$7443+Sens!$F$7445+Sens!$F$7447+Sens!$F$7449+Sens!$F$7451+Sens!$F$7453</f>
        <v>349.048241645537</v>
      </c>
      <c r="G7456" s="38" t="n">
        <f aca="false">Sens!$G$7443+Sens!$G$7445+Sens!$G$7447+Sens!$G$7449+Sens!$G$7451+Sens!$G$7453</f>
        <v>651.354241645537</v>
      </c>
      <c r="H7456" s="38" t="n">
        <f aca="false">Sens!$H$7443+Sens!$H$7445+Sens!$H$7447+Sens!$H$7449+Sens!$H$7451+Sens!$H$7453</f>
        <v>721.096889521386</v>
      </c>
      <c r="I7456" s="38" t="n">
        <f aca="false">Sens!$I$7443+Sens!$I$7445+Sens!$I$7447+Sens!$I$7449+Sens!$I$7451+Sens!$I$7453</f>
        <v>788.529391152531</v>
      </c>
      <c r="J7456" s="38" t="n">
        <f aca="false">Sens!$J$7443+Sens!$J$7445+Sens!$J$7447+Sens!$J$7449+Sens!$J$7451+Sens!$J$7453</f>
        <v>851.108405741443</v>
      </c>
      <c r="K7456" s="38" t="n">
        <f aca="false">Sens!$K$7443+Sens!$K$7445+Sens!$K$7447+Sens!$K$7449+Sens!$K$7451+Sens!$K$7453</f>
        <v>906.176455431088</v>
      </c>
      <c r="L7456" s="38" t="n">
        <f aca="false">Sens!$L$7443+Sens!$L$7445+Sens!$L$7447+Sens!$L$7449+Sens!$L$7451+Sens!$L$7453</f>
        <v>965.093106475589</v>
      </c>
      <c r="M7456" s="38" t="n">
        <f aca="false">Sens!$M$7443+Sens!$M$7445+Sens!$M$7447+Sens!$M$7449+Sens!$M$7451+Sens!$M$7453</f>
        <v>1028.14790794689</v>
      </c>
      <c r="N7456" s="38" t="n">
        <f aca="false">Sens!$N$7443+Sens!$N$7445+Sens!$N$7447+Sens!$N$7449+Sens!$N$7451+Sens!$N$7453</f>
        <v>263.229</v>
      </c>
      <c r="O7456" s="38" t="n">
        <f aca="false">Sens!$O$7443+Sens!$O$7445+Sens!$O$7447+Sens!$O$7449+Sens!$O$7451+Sens!$O$7453</f>
        <v>324.97</v>
      </c>
    </row>
    <row r="7457" customFormat="false" ht="17.15" hidden="false" customHeight="false" outlineLevel="0" collapsed="false">
      <c r="A7457" s="5" t="s">
        <v>694</v>
      </c>
      <c r="B7457" s="0" t="s">
        <v>52</v>
      </c>
      <c r="C7457" s="13" t="n">
        <f aca="false">Q!$D$5/(Q!$D$5+Q!$D$6)</f>
        <v>0.730570905519011</v>
      </c>
      <c r="D7457" s="13" t="n">
        <f aca="false">Q!$E$5/(Q!$E$5+Q!$E$6)</f>
        <v>0.724763217890544</v>
      </c>
      <c r="E7457" s="13" t="n">
        <f aca="false">Q!$P$5/(Q!$P$5+Q!$P$6)</f>
        <v>0.728797972914861</v>
      </c>
      <c r="F7457" s="13" t="n">
        <f aca="false">Sens!$O$7457</f>
        <v>0.718066283041511</v>
      </c>
      <c r="G7457" s="13" t="n">
        <f aca="false">Sens!$G$7458/Sens!$G$7456</f>
        <v>0.723047066202847</v>
      </c>
      <c r="H7457" s="13" t="n">
        <f aca="false">Sens!$G$7457</f>
        <v>0.723047066202847</v>
      </c>
      <c r="I7457" s="13" t="n">
        <f aca="false">Sens!$G$7457</f>
        <v>0.723047066202847</v>
      </c>
      <c r="J7457" s="13" t="n">
        <f aca="false">Sens!$G$7457</f>
        <v>0.723047066202847</v>
      </c>
      <c r="K7457" s="13" t="n">
        <f aca="false">Sens!$G$7457</f>
        <v>0.723047066202847</v>
      </c>
      <c r="L7457" s="13" t="n">
        <f aca="false">Sens!$G$7457</f>
        <v>0.723047066202847</v>
      </c>
      <c r="M7457" s="13" t="n">
        <f aca="false">Sens!$G$7457</f>
        <v>0.723047066202847</v>
      </c>
      <c r="N7457" s="13" t="n">
        <f aca="false">Q!$N$5/(Q!$N$5+Q!$N$6)</f>
        <v>0.733030935041352</v>
      </c>
      <c r="O7457" s="13" t="n">
        <f aca="false">Q!$O$5/(Q!$O$5+Q!$O$6)</f>
        <v>0.718066283041511</v>
      </c>
      <c r="P7457" s="8" t="s">
        <v>695</v>
      </c>
    </row>
    <row r="7458" customFormat="false" ht="17.15" hidden="false" customHeight="false" outlineLevel="0" collapsed="false">
      <c r="A7458" s="1" t="s">
        <v>519</v>
      </c>
      <c r="B7458" s="8" t="s">
        <v>86</v>
      </c>
      <c r="C7458" s="38" t="n">
        <f aca="false">Q!$D$5</f>
        <v>387.497</v>
      </c>
      <c r="D7458" s="38" t="n">
        <f aca="false">Q!$E$5</f>
        <v>426.305</v>
      </c>
      <c r="E7458" s="38" t="n">
        <f aca="false">Q!$P$5</f>
        <v>220.32</v>
      </c>
      <c r="F7458" s="38" t="n">
        <f aca="false">Sens!$F$7456*Sens!$F$7457</f>
        <v>250.639773480586</v>
      </c>
      <c r="G7458" s="38" t="n">
        <f aca="false">Sens!$E$7458+Sens!$F$7458</f>
        <v>470.959773480586</v>
      </c>
      <c r="H7458" s="38" t="n">
        <f aca="false">Sens!$H$7456*Sens!$H$7457</f>
        <v>521.386990416437</v>
      </c>
      <c r="I7458" s="38" t="n">
        <f aca="false">Sens!$I$7456*Sens!$I$7457</f>
        <v>570.143862887555</v>
      </c>
      <c r="J7458" s="38" t="n">
        <f aca="false">Sens!$J$7456*Sens!$J$7457</f>
        <v>615.391435791933</v>
      </c>
      <c r="K7458" s="38" t="n">
        <f aca="false">Sens!$K$7456*Sens!$K$7457</f>
        <v>655.208227561543</v>
      </c>
      <c r="L7458" s="38" t="n">
        <f aca="false">Sens!$L$7456*Sens!$L$7457</f>
        <v>697.807739249767</v>
      </c>
      <c r="M7458" s="38" t="n">
        <f aca="false">Sens!$M$7456*Sens!$M$7457</f>
        <v>743.399328463592</v>
      </c>
      <c r="N7458" s="38" t="n">
        <f aca="false">Q!$N$5</f>
        <v>192.955</v>
      </c>
      <c r="O7458" s="38" t="n">
        <f aca="false">Q!$O$5</f>
        <v>233.35</v>
      </c>
      <c r="P7458" s="5" t="s">
        <v>696</v>
      </c>
    </row>
    <row r="7459" customFormat="false" ht="17.15" hidden="false" customHeight="false" outlineLevel="0" collapsed="false">
      <c r="A7459" s="1" t="s">
        <v>522</v>
      </c>
      <c r="B7459" s="8" t="s">
        <v>86</v>
      </c>
      <c r="C7459" s="38" t="n">
        <f aca="false">Q!$D$6</f>
        <v>142.906</v>
      </c>
      <c r="D7459" s="38" t="n">
        <f aca="false">Q!$E$6</f>
        <v>161.894</v>
      </c>
      <c r="E7459" s="38" t="n">
        <f aca="false">Q!$P$6</f>
        <v>81.986</v>
      </c>
      <c r="F7459" s="38" t="n">
        <f aca="false">Sens!$F$7456*(1-Sens!$F$7457)</f>
        <v>98.408468164951</v>
      </c>
      <c r="G7459" s="38" t="n">
        <f aca="false">Sens!$E$7459+Sens!$F$7459</f>
        <v>180.394468164951</v>
      </c>
      <c r="H7459" s="38" t="n">
        <f aca="false">Sens!$H$7456*(1-Sens!$H$7457)</f>
        <v>199.709899104949</v>
      </c>
      <c r="I7459" s="38" t="n">
        <f aca="false">Sens!$I$7456*(1-Sens!$I$7457)</f>
        <v>218.385528264976</v>
      </c>
      <c r="J7459" s="38" t="n">
        <f aca="false">Sens!$J$7456*(1-Sens!$J$7457)</f>
        <v>235.71696994951</v>
      </c>
      <c r="K7459" s="38" t="n">
        <f aca="false">Sens!$K$7456*(1-Sens!$K$7457)</f>
        <v>250.968227869545</v>
      </c>
      <c r="L7459" s="38" t="n">
        <f aca="false">Sens!$L$7456*(1-Sens!$L$7457)</f>
        <v>267.285367225822</v>
      </c>
      <c r="M7459" s="38" t="n">
        <f aca="false">Sens!$M$7456*(1-Sens!$M$7457)</f>
        <v>284.748579483295</v>
      </c>
      <c r="N7459" s="38" t="n">
        <f aca="false">Q!$N$6</f>
        <v>70.274</v>
      </c>
      <c r="O7459" s="38" t="n">
        <f aca="false">Q!$O$6</f>
        <v>91.62</v>
      </c>
      <c r="P7459" s="5" t="s">
        <v>697</v>
      </c>
    </row>
    <row r="7460" customFormat="false" ht="17.15" hidden="false" customHeight="false" outlineLevel="0" collapsed="false">
      <c r="A7460" s="5" t="s">
        <v>698</v>
      </c>
      <c r="B7460" s="0" t="s">
        <v>86</v>
      </c>
      <c r="C7460" s="38" t="n">
        <f aca="false">Sens!$C$7449*Sens!$C$7457</f>
        <v>41.0683128828457</v>
      </c>
      <c r="D7460" s="38" t="n">
        <f aca="false">Sens!$D$7449*Sens!$D$7457</f>
        <v>49.7441234599175</v>
      </c>
      <c r="E7460" s="38" t="n">
        <f aca="false">Sens!$E$7449*Sens!$E$7457</f>
        <v>27.0034224924414</v>
      </c>
      <c r="F7460" s="38" t="n">
        <f aca="false">Sens!$F$7449*Sens!$F$7457</f>
        <v>33.1439448330513</v>
      </c>
      <c r="G7460" s="38" t="n">
        <f aca="false">Sens!$G$7449*Sens!$G$7457</f>
        <v>60.164183844083</v>
      </c>
      <c r="H7460" s="38" t="n">
        <f aca="false">Sens!$H$7449*Sens!$H$7457</f>
        <v>72.2301766552629</v>
      </c>
      <c r="I7460" s="38" t="n">
        <f aca="false">Sens!$I$7449*Sens!$I$7457</f>
        <v>84.2950764463991</v>
      </c>
      <c r="J7460" s="38" t="n">
        <f aca="false">Sens!$J$7449*Sens!$J$7457</f>
        <v>95.5499047729386</v>
      </c>
      <c r="K7460" s="38" t="n">
        <f aca="false">Sens!$K$7449*Sens!$K$7457</f>
        <v>105.104895250232</v>
      </c>
      <c r="L7460" s="38" t="n">
        <f aca="false">Sens!$L$7449*Sens!$L$7457</f>
        <v>115.615384775256</v>
      </c>
      <c r="M7460" s="38" t="n">
        <f aca="false">Sens!$M$7449*Sens!$M$7457</f>
        <v>127.176923252781</v>
      </c>
      <c r="N7460" s="38" t="n">
        <f aca="false">Sens!$N$7449*Sens!$N$7457</f>
        <v>21.7087111412496</v>
      </c>
      <c r="O7460" s="38" t="n">
        <f aca="false">Sens!$O$7449*Sens!$O$7457</f>
        <v>28.0189463642798</v>
      </c>
      <c r="P7460" s="5" t="s">
        <v>699</v>
      </c>
    </row>
    <row r="7461" customFormat="false" ht="15" hidden="false" customHeight="false" outlineLevel="0" collapsed="false">
      <c r="A7461" s="5" t="s">
        <v>700</v>
      </c>
      <c r="B7461" s="0" t="s">
        <v>86</v>
      </c>
      <c r="C7461" s="38" t="n">
        <f aca="false">Sens!$C$7449-Sens!$C$7460</f>
        <v>15.1456871171543</v>
      </c>
      <c r="D7461" s="38" t="n">
        <f aca="false">Sens!$D$7449-Sens!$D$7460</f>
        <v>18.8908765400825</v>
      </c>
      <c r="E7461" s="38" t="n">
        <f aca="false">Sens!$E$7449-Sens!$E$7460</f>
        <v>10.0485775075586</v>
      </c>
      <c r="F7461" s="38" t="n">
        <f aca="false">Sens!$F$7449-Sens!$F$7460</f>
        <v>13.0132771613635</v>
      </c>
      <c r="G7461" s="38" t="n">
        <f aca="false">Sens!$G$7449-Sens!$G$7460</f>
        <v>23.0450381503318</v>
      </c>
      <c r="H7461" s="38" t="n">
        <f aca="false">Sens!$H$7449-Sens!$H$7460</f>
        <v>27.6667457326347</v>
      </c>
      <c r="I7461" s="38" t="n">
        <f aca="false">Sens!$I$7449-Sens!$I$7460</f>
        <v>32.2880346490971</v>
      </c>
      <c r="J7461" s="38" t="n">
        <f aca="false">Sens!$J$7449-Sens!$J$7460</f>
        <v>36.5990371690132</v>
      </c>
      <c r="K7461" s="38" t="n">
        <f aca="false">Sens!$K$7449-Sens!$K$7460</f>
        <v>40.2589408859145</v>
      </c>
      <c r="L7461" s="38" t="n">
        <f aca="false">Sens!$L$7449-Sens!$L$7460</f>
        <v>44.2848349745059</v>
      </c>
      <c r="M7461" s="38" t="n">
        <f aca="false">Sens!$M$7449-Sens!$M$7460</f>
        <v>48.7133184719565</v>
      </c>
      <c r="N7461" s="38" t="n">
        <f aca="false">Sens!$N$7449-Sens!$N$7460</f>
        <v>7.90628885875037</v>
      </c>
      <c r="O7461" s="38" t="n">
        <f aca="false">Sens!$O$7449-Sens!$O$7460</f>
        <v>11.0010536357202</v>
      </c>
    </row>
    <row r="7462" customFormat="false" ht="19.4" hidden="false" customHeight="false" outlineLevel="0" collapsed="false">
      <c r="A7462" s="31" t="s">
        <v>1303</v>
      </c>
    </row>
    <row r="7463" customFormat="false" ht="17.15" hidden="false" customHeight="false" outlineLevel="0" collapsed="false">
      <c r="A7463" s="6" t="s">
        <v>16</v>
      </c>
      <c r="B7463" s="6" t="s">
        <v>17</v>
      </c>
      <c r="C7463" s="20" t="s">
        <v>504</v>
      </c>
      <c r="D7463" s="20" t="s">
        <v>505</v>
      </c>
      <c r="E7463" s="20" t="s">
        <v>587</v>
      </c>
      <c r="F7463" s="20" t="s">
        <v>588</v>
      </c>
      <c r="G7463" s="20" t="s">
        <v>589</v>
      </c>
      <c r="H7463" s="20" t="s">
        <v>590</v>
      </c>
      <c r="I7463" s="20" t="s">
        <v>591</v>
      </c>
      <c r="J7463" s="20" t="s">
        <v>592</v>
      </c>
      <c r="K7463" s="20" t="s">
        <v>593</v>
      </c>
      <c r="L7463" s="20" t="s">
        <v>594</v>
      </c>
      <c r="M7463" s="20" t="s">
        <v>595</v>
      </c>
      <c r="N7463" s="20" t="s">
        <v>596</v>
      </c>
      <c r="O7463" s="20" t="s">
        <v>597</v>
      </c>
      <c r="P7463" s="6" t="s">
        <v>23</v>
      </c>
      <c r="R7463" s="20" t="n">
        <v>2023</v>
      </c>
      <c r="S7463" s="20" t="n">
        <v>2024</v>
      </c>
      <c r="T7463" s="20" t="n">
        <v>2025</v>
      </c>
      <c r="U7463" s="20" t="n">
        <v>2026</v>
      </c>
      <c r="V7463" s="20" t="n">
        <v>2027</v>
      </c>
      <c r="W7463" s="20" t="n">
        <v>2028</v>
      </c>
      <c r="X7463" s="20" t="n">
        <v>2029</v>
      </c>
      <c r="Y7463" s="20" t="n">
        <v>2030</v>
      </c>
      <c r="Z7463" s="20" t="n">
        <v>2031</v>
      </c>
      <c r="AA7463" s="20" t="n">
        <v>2032</v>
      </c>
    </row>
    <row r="7464" customFormat="false" ht="17.15" hidden="false" customHeight="false" outlineLevel="0" collapsed="false">
      <c r="A7464" s="1" t="s">
        <v>598</v>
      </c>
    </row>
    <row r="7465" customFormat="false" ht="17.15" hidden="false" customHeight="false" outlineLevel="0" collapsed="false">
      <c r="A7465" s="5" t="s">
        <v>599</v>
      </c>
      <c r="B7465" s="0" t="s">
        <v>144</v>
      </c>
      <c r="H7465" s="32" t="n">
        <f aca="false">pace_B</f>
        <v>3634.3</v>
      </c>
      <c r="I7465" s="32" t="n">
        <f aca="false">pace_B</f>
        <v>3634.3</v>
      </c>
      <c r="J7465" s="32" t="n">
        <f aca="false">pace_B</f>
        <v>3634.3</v>
      </c>
      <c r="K7465" s="32" t="n">
        <f aca="false">pace_B+(Sens!$J$7466*tg-pace_B)*1/3</f>
        <v>2570.86716666667</v>
      </c>
      <c r="L7465" s="32" t="n">
        <f aca="false">pace_B+(Sens!$J$7466*tg-pace_B)*2/3</f>
        <v>1507.43433333333</v>
      </c>
      <c r="M7465" s="32" t="n">
        <f aca="false">pace_B+(Sens!$J$7466*tg-pace_B)*3/3</f>
        <v>444.0015</v>
      </c>
      <c r="P7465" s="5" t="s">
        <v>600</v>
      </c>
    </row>
    <row r="7466" customFormat="false" ht="17.15" hidden="false" customHeight="false" outlineLevel="0" collapsed="false">
      <c r="A7466" s="15" t="s">
        <v>601</v>
      </c>
      <c r="B7466" s="14" t="s">
        <v>129</v>
      </c>
      <c r="C7466" s="33" t="n">
        <f aca="false">mw_ye24</f>
        <v>360</v>
      </c>
      <c r="D7466" s="33" t="n">
        <f aca="false">mw_ye25</f>
        <v>1440</v>
      </c>
      <c r="E7466" s="33" t="n">
        <f aca="false">mw_open</f>
        <v>2080</v>
      </c>
      <c r="F7466" s="33" t="n">
        <f aca="false">Sens!$E$7466+pace_B*0.5</f>
        <v>3897.15</v>
      </c>
      <c r="G7466" s="33" t="n">
        <f aca="false">Sens!$F$7466</f>
        <v>3897.15</v>
      </c>
      <c r="H7466" s="33" t="n">
        <f aca="false">Sens!$G$7466+Sens!$H$7465</f>
        <v>7531.45</v>
      </c>
      <c r="I7466" s="33" t="n">
        <f aca="false">Sens!$H$7466+Sens!$I$7465</f>
        <v>11165.75</v>
      </c>
      <c r="J7466" s="33" t="n">
        <f aca="false">Sens!$I$7466+Sens!$J$7465</f>
        <v>14800.05</v>
      </c>
      <c r="K7466" s="33" t="n">
        <f aca="false">Sens!$J$7466+Sens!$K$7465</f>
        <v>17370.9171666667</v>
      </c>
      <c r="L7466" s="33" t="n">
        <f aca="false">Sens!$K$7466+Sens!$L$7465</f>
        <v>18878.3515</v>
      </c>
      <c r="M7466" s="33" t="n">
        <f aca="false">Sens!$L$7466+Sens!$M$7465</f>
        <v>19322.353</v>
      </c>
      <c r="N7466" s="33" t="n">
        <f aca="false">(mw_ye24+mw_ye25)/2</f>
        <v>900</v>
      </c>
      <c r="O7466" s="33" t="n">
        <f aca="false">mw_ye25</f>
        <v>1440</v>
      </c>
      <c r="P7466" s="5" t="s">
        <v>602</v>
      </c>
    </row>
    <row r="7467" customFormat="false" ht="17.15" hidden="false" customHeight="false" outlineLevel="0" collapsed="false">
      <c r="A7467" s="5" t="s">
        <v>603</v>
      </c>
      <c r="B7467" s="0" t="s">
        <v>129</v>
      </c>
      <c r="C7467" s="32" t="n">
        <f aca="false">(mw_ye23+mw_ye24)/2</f>
        <v>240</v>
      </c>
      <c r="D7467" s="32" t="n">
        <f aca="false">(Sens!$C$7466+Sens!$D$7466)/2</f>
        <v>900</v>
      </c>
      <c r="E7467" s="32" t="n">
        <f aca="false">(Sens!$D$7466+Sens!$E$7466)/2</f>
        <v>1760</v>
      </c>
      <c r="F7467" s="32" t="n">
        <f aca="false">(Sens!$E$7466+Sens!$F$7466)/2</f>
        <v>2988.575</v>
      </c>
      <c r="G7467" s="32" t="n">
        <f aca="false">(Sens!$E$7467+Sens!$F$7467)/2</f>
        <v>2374.2875</v>
      </c>
      <c r="H7467" s="32" t="n">
        <f aca="false">(Sens!$G$7466+Sens!$H$7466)/2</f>
        <v>5714.3</v>
      </c>
      <c r="I7467" s="32" t="n">
        <f aca="false">(Sens!$H$7466+Sens!$I$7466)/2</f>
        <v>9348.6</v>
      </c>
      <c r="J7467" s="32" t="n">
        <f aca="false">(Sens!$I$7466+Sens!$J$7466)/2</f>
        <v>12982.9</v>
      </c>
      <c r="K7467" s="32" t="n">
        <f aca="false">(Sens!$J$7466+Sens!$K$7466)/2</f>
        <v>16085.4835833333</v>
      </c>
      <c r="L7467" s="32" t="n">
        <f aca="false">(Sens!$K$7466+Sens!$L$7466)/2</f>
        <v>18124.6343333333</v>
      </c>
      <c r="M7467" s="32" t="n">
        <f aca="false">(Sens!$L$7466+Sens!$M$7466)/2</f>
        <v>19100.35225</v>
      </c>
      <c r="N7467" s="32" t="n">
        <f aca="false">(Sens!$C$7466+Sens!$N$7466)/2</f>
        <v>630</v>
      </c>
      <c r="O7467" s="32" t="n">
        <f aca="false">(Sens!$N$7466+Sens!$O$7466)/2</f>
        <v>1170</v>
      </c>
    </row>
    <row r="7468" customFormat="false" ht="15" hidden="false" customHeight="false" outlineLevel="0" collapsed="false">
      <c r="A7468" s="5" t="s">
        <v>604</v>
      </c>
      <c r="B7468" s="5" t="s">
        <v>123</v>
      </c>
      <c r="C7468" s="34" t="n">
        <v>1</v>
      </c>
      <c r="D7468" s="34" t="n">
        <v>1</v>
      </c>
      <c r="E7468" s="34" t="n">
        <v>0.5</v>
      </c>
      <c r="F7468" s="34" t="n">
        <v>0.5</v>
      </c>
      <c r="G7468" s="34" t="n">
        <v>1</v>
      </c>
      <c r="H7468" s="34" t="n">
        <v>1</v>
      </c>
      <c r="I7468" s="34" t="n">
        <v>1</v>
      </c>
      <c r="J7468" s="34" t="n">
        <v>1</v>
      </c>
      <c r="K7468" s="34" t="n">
        <v>1</v>
      </c>
      <c r="L7468" s="34" t="n">
        <v>1</v>
      </c>
      <c r="M7468" s="34" t="n">
        <v>1</v>
      </c>
      <c r="N7468" s="34" t="n">
        <v>0.5</v>
      </c>
      <c r="O7468" s="34" t="n">
        <v>0.5</v>
      </c>
    </row>
    <row r="7469" customFormat="false" ht="17.15" hidden="false" customHeight="false" outlineLevel="0" collapsed="false">
      <c r="A7469" s="5" t="s">
        <v>605</v>
      </c>
      <c r="B7469" s="0" t="s">
        <v>129</v>
      </c>
      <c r="C7469" s="32" t="n">
        <f aca="false">Sens!$C$7466-mw_ye23</f>
        <v>240</v>
      </c>
      <c r="D7469" s="32" t="n">
        <f aca="false">Sens!$D$7466-Sens!$C$7466</f>
        <v>1080</v>
      </c>
      <c r="E7469" s="32" t="n">
        <f aca="false">Sens!$E$7466-Sens!$D$7466</f>
        <v>640</v>
      </c>
      <c r="F7469" s="32" t="n">
        <f aca="false">Sens!$F$7466-Sens!$E$7466</f>
        <v>1817.15</v>
      </c>
      <c r="G7469" s="32" t="n">
        <f aca="false">Sens!$E$7469+Sens!$F$7469</f>
        <v>2457.15</v>
      </c>
      <c r="H7469" s="32" t="n">
        <f aca="false">Sens!$H$7466-Sens!$G$7466</f>
        <v>3634.3</v>
      </c>
      <c r="I7469" s="32" t="n">
        <f aca="false">Sens!$I$7466-Sens!$H$7466</f>
        <v>3634.3</v>
      </c>
      <c r="J7469" s="32" t="n">
        <f aca="false">Sens!$J$7466-Sens!$I$7466</f>
        <v>3634.3</v>
      </c>
      <c r="K7469" s="32" t="n">
        <f aca="false">Sens!$K$7466-Sens!$J$7466</f>
        <v>2570.86716666667</v>
      </c>
      <c r="L7469" s="32" t="n">
        <f aca="false">Sens!$L$7466-Sens!$K$7466</f>
        <v>1507.43433333333</v>
      </c>
      <c r="M7469" s="32" t="n">
        <f aca="false">Sens!$M$7466-Sens!$L$7466</f>
        <v>444.001499999999</v>
      </c>
      <c r="N7469" s="32" t="n">
        <f aca="false">Sens!$N$7466-Sens!$C$7466</f>
        <v>540</v>
      </c>
      <c r="O7469" s="32" t="n">
        <f aca="false">Sens!$O$7466-Sens!$N$7466</f>
        <v>540</v>
      </c>
    </row>
    <row r="7470" customFormat="false" ht="17.15" hidden="false" customHeight="false" outlineLevel="0" collapsed="false">
      <c r="A7470" s="5" t="s">
        <v>606</v>
      </c>
      <c r="B7470" s="0" t="s">
        <v>129</v>
      </c>
      <c r="C7470" s="32" t="n">
        <f aca="false">Sens!$C$7469/ext_sh</f>
        <v>300</v>
      </c>
      <c r="D7470" s="32" t="n">
        <f aca="false">Sens!$D$7469/ext_sh</f>
        <v>1350</v>
      </c>
      <c r="E7470" s="32" t="n">
        <f aca="false">Sens!$E$7469/ext_sh</f>
        <v>800</v>
      </c>
      <c r="F7470" s="32" t="n">
        <f aca="false">Sens!$F$7469/ext_sh</f>
        <v>2271.4375</v>
      </c>
      <c r="G7470" s="32" t="n">
        <f aca="false">Sens!$G$7469/ext_sh</f>
        <v>3071.4375</v>
      </c>
      <c r="H7470" s="32" t="n">
        <f aca="false">Sens!$H$7469/ext_sh</f>
        <v>4542.875</v>
      </c>
      <c r="I7470" s="32" t="n">
        <f aca="false">Sens!$I$7469/ext_sh</f>
        <v>4542.875</v>
      </c>
      <c r="J7470" s="32" t="n">
        <f aca="false">Sens!$J$7469/ext_sh</f>
        <v>4542.875</v>
      </c>
      <c r="K7470" s="32" t="n">
        <f aca="false">Sens!$K$7469/ext_sh</f>
        <v>3213.58395833333</v>
      </c>
      <c r="L7470" s="32" t="n">
        <f aca="false">Sens!$L$7469/ext_sh</f>
        <v>1884.29291666667</v>
      </c>
      <c r="M7470" s="32" t="n">
        <f aca="false">Sens!$M$7469/ext_sh</f>
        <v>555.001874999998</v>
      </c>
      <c r="N7470" s="32" t="n">
        <f aca="false">Sens!$N$7469/ext_sh</f>
        <v>675</v>
      </c>
      <c r="O7470" s="32" t="n">
        <f aca="false">Sens!$O$7469/ext_sh</f>
        <v>675</v>
      </c>
      <c r="P7470" s="8" t="s">
        <v>607</v>
      </c>
      <c r="R7470" s="32" t="n">
        <f aca="false">mw_ye23/ext_sh</f>
        <v>150</v>
      </c>
      <c r="S7470" s="32" t="n">
        <f aca="false">Sens!$C$7470</f>
        <v>300</v>
      </c>
      <c r="T7470" s="32" t="n">
        <f aca="false">Sens!$D$7470</f>
        <v>1350</v>
      </c>
      <c r="U7470" s="32" t="n">
        <f aca="false">Sens!$G$7470</f>
        <v>3071.4375</v>
      </c>
      <c r="V7470" s="32" t="n">
        <f aca="false">Sens!$H$7470</f>
        <v>4542.875</v>
      </c>
      <c r="W7470" s="32" t="n">
        <f aca="false">Sens!$I$7470</f>
        <v>4542.875</v>
      </c>
      <c r="X7470" s="32" t="n">
        <f aca="false">Sens!$J$7470</f>
        <v>4542.875</v>
      </c>
      <c r="Y7470" s="32" t="n">
        <f aca="false">Sens!$K$7470</f>
        <v>3213.58395833333</v>
      </c>
      <c r="Z7470" s="32" t="n">
        <f aca="false">Sens!$L$7470</f>
        <v>1884.29291666667</v>
      </c>
      <c r="AA7470" s="32" t="n">
        <f aca="false">Sens!$M$7470</f>
        <v>555.001874999998</v>
      </c>
    </row>
    <row r="7471" customFormat="false" ht="17.15" hidden="false" customHeight="false" outlineLevel="0" collapsed="false">
      <c r="A7471" s="1" t="s">
        <v>608</v>
      </c>
    </row>
    <row r="7472" customFormat="false" ht="17.15" hidden="false" customHeight="false" outlineLevel="0" collapsed="false">
      <c r="A7472" s="0" t="s">
        <v>609</v>
      </c>
      <c r="B7472" s="0" t="s">
        <v>52</v>
      </c>
      <c r="F7472" s="35" t="n">
        <f aca="false">na_vr26</f>
        <v>0</v>
      </c>
      <c r="G7472" s="35" t="n">
        <f aca="false">na_vr26</f>
        <v>0</v>
      </c>
      <c r="H7472" s="35" t="n">
        <f aca="false">na_vr27</f>
        <v>0.5</v>
      </c>
      <c r="I7472" s="35" t="n">
        <f aca="false">na_vr28</f>
        <v>1</v>
      </c>
      <c r="J7472" s="35" t="n">
        <f aca="false">na_vr28</f>
        <v>1</v>
      </c>
      <c r="K7472" s="35" t="n">
        <f aca="false">na_vr28</f>
        <v>1</v>
      </c>
      <c r="L7472" s="35" t="n">
        <f aca="false">na_vr28</f>
        <v>1</v>
      </c>
      <c r="M7472" s="35" t="n">
        <f aca="false">na_vr28</f>
        <v>1</v>
      </c>
    </row>
    <row r="7473" customFormat="false" ht="17.15" hidden="false" customHeight="false" outlineLevel="0" collapsed="false">
      <c r="A7473" s="5" t="s">
        <v>610</v>
      </c>
      <c r="B7473" s="0" t="s">
        <v>173</v>
      </c>
      <c r="F7473" s="36" t="n">
        <f aca="false">cust_sh*tk_he_gb300*cf_chip+(1-cust_sh)*((1-Sens!$F$7472)*tk_he_gb300+Sens!$F$7472*tk_he_vr200)</f>
        <v>10.8864110021101</v>
      </c>
      <c r="G7473" s="36" t="n">
        <f aca="false">cust_sh*tk_he_gb300*cf_chip+(1-cust_sh)*((1-Sens!$G$7472)*tk_he_gb300+Sens!$G$7472*tk_he_vr200)</f>
        <v>10.8864110021101</v>
      </c>
      <c r="H7473" s="36" t="n">
        <f aca="false">cust_sh*tk_he_gb300*cf_chip+(1-cust_sh)*((1-Sens!$H$7472)*tk_he_gb300+Sens!$H$7472*tk_he_vr200)</f>
        <v>11.2211760027286</v>
      </c>
      <c r="I7473" s="36" t="n">
        <f aca="false">cust_sh*tk_he_gb300*cf_chip+(1-cust_sh)*((1-Sens!$I$7472)*tk_he_gb300+Sens!$I$7472*tk_he_vr200)</f>
        <v>11.5559410033471</v>
      </c>
      <c r="J7473" s="36" t="n">
        <f aca="false">cust_sh*tk_he_gb300*cf_chip+(1-cust_sh)*((1-Sens!$J$7472)*tk_he_gb300+Sens!$J$7472*tk_he_vr200)</f>
        <v>11.5559410033471</v>
      </c>
      <c r="K7473" s="36" t="n">
        <f aca="false">cust_sh*tk_he_gb300*cf_chip+(1-cust_sh)*((1-Sens!$K$7472)*tk_he_gb300+Sens!$K$7472*tk_he_vr200)</f>
        <v>11.5559410033471</v>
      </c>
      <c r="L7473" s="36" t="n">
        <f aca="false">cust_sh*tk_he_gb300*cf_chip+(1-cust_sh)*((1-Sens!$L$7472)*tk_he_gb300+Sens!$L$7472*tk_he_vr200)</f>
        <v>11.5559410033471</v>
      </c>
      <c r="M7473" s="36" t="n">
        <f aca="false">cust_sh*tk_he_gb300*cf_chip+(1-cust_sh)*((1-Sens!$M$7472)*tk_he_gb300+Sens!$M$7472*tk_he_vr200)</f>
        <v>11.5559410033471</v>
      </c>
    </row>
    <row r="7474" customFormat="false" ht="17.15" hidden="false" customHeight="false" outlineLevel="0" collapsed="false">
      <c r="A7474" s="5" t="s">
        <v>611</v>
      </c>
      <c r="B7474" s="0" t="s">
        <v>173</v>
      </c>
      <c r="F7474" s="36" t="n">
        <f aca="false">cust_sh*tk_ox_gb300+(1-cust_sh)*((1-Sens!$F$7472)*tk_ox_gb300+Sens!$F$7472*tk_ox_vr200)</f>
        <v>1.98263481314457</v>
      </c>
      <c r="G7474" s="36" t="n">
        <f aca="false">cust_sh*tk_ox_gb300+(1-cust_sh)*((1-Sens!$G$7472)*tk_ox_gb300+Sens!$G$7472*tk_ox_vr200)</f>
        <v>1.98263481314457</v>
      </c>
      <c r="H7474" s="36" t="n">
        <f aca="false">cust_sh*tk_ox_gb300+(1-cust_sh)*((1-Sens!$H$7472)*tk_ox_gb300+Sens!$H$7472*tk_ox_vr200)</f>
        <v>2.01034999693694</v>
      </c>
      <c r="I7474" s="36" t="n">
        <f aca="false">cust_sh*tk_ox_gb300+(1-cust_sh)*((1-Sens!$I$7472)*tk_ox_gb300+Sens!$I$7472*tk_ox_vr200)</f>
        <v>2.0380651807293</v>
      </c>
      <c r="J7474" s="36" t="n">
        <f aca="false">cust_sh*tk_ox_gb300+(1-cust_sh)*((1-Sens!$J$7472)*tk_ox_gb300+Sens!$J$7472*tk_ox_vr200)</f>
        <v>2.0380651807293</v>
      </c>
      <c r="K7474" s="36" t="n">
        <f aca="false">cust_sh*tk_ox_gb300+(1-cust_sh)*((1-Sens!$K$7472)*tk_ox_gb300+Sens!$K$7472*tk_ox_vr200)</f>
        <v>2.0380651807293</v>
      </c>
      <c r="L7474" s="36" t="n">
        <f aca="false">cust_sh*tk_ox_gb300+(1-cust_sh)*((1-Sens!$L$7472)*tk_ox_gb300+Sens!$L$7472*tk_ox_vr200)</f>
        <v>2.0380651807293</v>
      </c>
      <c r="M7474" s="36" t="n">
        <f aca="false">cust_sh*tk_ox_gb300+(1-cust_sh)*((1-Sens!$M$7472)*tk_ox_gb300+Sens!$M$7472*tk_ox_vr200)</f>
        <v>2.0380651807293</v>
      </c>
    </row>
    <row r="7475" customFormat="false" ht="17.15" hidden="false" customHeight="false" outlineLevel="0" collapsed="false">
      <c r="A7475" s="5" t="s">
        <v>612</v>
      </c>
      <c r="B7475" s="0" t="s">
        <v>192</v>
      </c>
      <c r="F7475" s="36" t="n">
        <f aca="false">cust_sh*tk_cx_gb300*cf_cx+(1-cust_sh)*((1-Sens!$F$7472)*tk_cx_gb300+Sens!$F$7472*tk_cx_vr200)</f>
        <v>32.237224</v>
      </c>
      <c r="G7475" s="36" t="n">
        <f aca="false">cust_sh*tk_cx_gb300*cf_cx+(1-cust_sh)*((1-Sens!$G$7472)*tk_cx_gb300+Sens!$G$7472*tk_cx_vr200)</f>
        <v>32.237224</v>
      </c>
      <c r="H7475" s="36" t="n">
        <f aca="false">cust_sh*tk_cx_gb300*cf_cx+(1-cust_sh)*((1-Sens!$H$7472)*tk_cx_gb300+Sens!$H$7472*tk_cx_vr200)</f>
        <v>33.574506</v>
      </c>
      <c r="I7475" s="36" t="n">
        <f aca="false">cust_sh*tk_cx_gb300*cf_cx+(1-cust_sh)*((1-Sens!$I$7472)*tk_cx_gb300+Sens!$I$7472*tk_cx_vr200)</f>
        <v>34.911788</v>
      </c>
      <c r="J7475" s="36" t="n">
        <f aca="false">cust_sh*tk_cx_gb300*cf_cx+(1-cust_sh)*((1-Sens!$J$7472)*tk_cx_gb300+Sens!$J$7472*tk_cx_vr200)</f>
        <v>34.911788</v>
      </c>
      <c r="K7475" s="36" t="n">
        <f aca="false">cust_sh*tk_cx_gb300*cf_cx+(1-cust_sh)*((1-Sens!$K$7472)*tk_cx_gb300+Sens!$K$7472*tk_cx_vr200)</f>
        <v>34.911788</v>
      </c>
      <c r="L7475" s="36" t="n">
        <f aca="false">cust_sh*tk_cx_gb300*cf_cx+(1-cust_sh)*((1-Sens!$L$7472)*tk_cx_gb300+Sens!$L$7472*tk_cx_vr200)</f>
        <v>34.911788</v>
      </c>
      <c r="M7475" s="36" t="n">
        <f aca="false">cust_sh*tk_cx_gb300*cf_cx+(1-cust_sh)*((1-Sens!$M$7472)*tk_cx_gb300+Sens!$M$7472*tk_cx_vr200)</f>
        <v>34.911788</v>
      </c>
    </row>
    <row r="7476" customFormat="false" ht="17.15" hidden="false" customHeight="false" outlineLevel="0" collapsed="false">
      <c r="A7476" s="5" t="s">
        <v>613</v>
      </c>
      <c r="B7476" s="0" t="s">
        <v>129</v>
      </c>
      <c r="F7476" s="32" t="n">
        <f aca="false">Sens!$F$7466-mw_open</f>
        <v>1817.15</v>
      </c>
      <c r="G7476" s="32" t="n">
        <f aca="false">Sens!$F$7476</f>
        <v>1817.15</v>
      </c>
      <c r="H7476" s="32" t="n">
        <f aca="false">Sens!$H$7466-mw_open</f>
        <v>5451.45</v>
      </c>
      <c r="I7476" s="32" t="n">
        <f aca="false">Sens!$I$7466-mw_open</f>
        <v>9085.75</v>
      </c>
      <c r="J7476" s="32" t="n">
        <f aca="false">Sens!$J$7466-mw_open</f>
        <v>12720.05</v>
      </c>
      <c r="K7476" s="32" t="n">
        <f aca="false">Sens!$K$7466-mw_open</f>
        <v>15290.9171666667</v>
      </c>
      <c r="L7476" s="32" t="n">
        <f aca="false">Sens!$L$7466-mw_open</f>
        <v>16798.3515</v>
      </c>
      <c r="M7476" s="32" t="n">
        <f aca="false">Sens!$M$7466-mw_open</f>
        <v>17242.353</v>
      </c>
    </row>
    <row r="7477" customFormat="false" ht="17.15" hidden="false" customHeight="false" outlineLevel="0" collapsed="false">
      <c r="A7477" s="0" t="s">
        <v>614</v>
      </c>
      <c r="B7477" s="0" t="s">
        <v>615</v>
      </c>
      <c r="F7477" s="32" t="n">
        <f aca="false">Sens!$F$7469*Sens!$F$7473</f>
        <v>19782.2417524844</v>
      </c>
      <c r="G7477" s="32" t="n">
        <f aca="false">Sens!$F$7477</f>
        <v>19782.2417524844</v>
      </c>
      <c r="H7477" s="32" t="n">
        <f aca="false">Sens!$G$7477+Sens!$H$7469*Sens!$H$7473</f>
        <v>60563.3616992009</v>
      </c>
      <c r="I7477" s="32" t="n">
        <f aca="false">Sens!$H$7477+Sens!$I$7469*Sens!$I$7473</f>
        <v>102561.118087665</v>
      </c>
      <c r="J7477" s="32" t="n">
        <f aca="false">Sens!$I$7477+Sens!$J$7469*Sens!$J$7473</f>
        <v>144558.87447613</v>
      </c>
      <c r="K7477" s="32" t="n">
        <f aca="false">Sens!$J$7477+Sens!$K$7469*Sens!$K$7473</f>
        <v>174267.663781572</v>
      </c>
      <c r="L7477" s="32" t="n">
        <f aca="false">Sens!$K$7477+Sens!$L$7469*Sens!$L$7473</f>
        <v>191687.486003992</v>
      </c>
      <c r="M7477" s="32" t="n">
        <f aca="false">Sens!$L$7477+Sens!$M$7469*Sens!$M$7473</f>
        <v>196818.341143389</v>
      </c>
    </row>
    <row r="7478" customFormat="false" ht="17.15" hidden="false" customHeight="false" outlineLevel="0" collapsed="false">
      <c r="A7478" s="0" t="s">
        <v>616</v>
      </c>
      <c r="B7478" s="0" t="s">
        <v>615</v>
      </c>
      <c r="F7478" s="32" t="n">
        <f aca="false">Sens!$F$7469*Sens!$F$7474</f>
        <v>3602.74485070566</v>
      </c>
      <c r="G7478" s="32" t="n">
        <f aca="false">Sens!$F$7478</f>
        <v>3602.74485070566</v>
      </c>
      <c r="H7478" s="32" t="n">
        <f aca="false">Sens!$G$7478+Sens!$H$7469*Sens!$H$7474</f>
        <v>10908.9598445736</v>
      </c>
      <c r="I7478" s="32" t="n">
        <f aca="false">Sens!$H$7478+Sens!$I$7469*Sens!$I$7474</f>
        <v>18315.9001308981</v>
      </c>
      <c r="J7478" s="32" t="n">
        <f aca="false">Sens!$I$7478+Sens!$J$7469*Sens!$J$7474</f>
        <v>25722.8404172225</v>
      </c>
      <c r="K7478" s="32" t="n">
        <f aca="false">Sens!$J$7478+Sens!$K$7469*Sens!$K$7474</f>
        <v>30962.4352738861</v>
      </c>
      <c r="L7478" s="32" t="n">
        <f aca="false">Sens!$K$7478+Sens!$L$7469*Sens!$L$7474</f>
        <v>34034.6847008886</v>
      </c>
      <c r="M7478" s="32" t="n">
        <f aca="false">Sens!$L$7478+Sens!$M$7469*Sens!$M$7474</f>
        <v>34939.5886982302</v>
      </c>
    </row>
    <row r="7479" customFormat="false" ht="17.15" hidden="false" customHeight="false" outlineLevel="0" collapsed="false">
      <c r="A7479" s="5" t="s">
        <v>617</v>
      </c>
      <c r="B7479" s="0" t="s">
        <v>173</v>
      </c>
      <c r="F7479" s="36" t="n">
        <f aca="false">IF(Sens!$F$7476&gt;0,Sens!$F$7477/Sens!$F$7476,Sens!$F$7473)</f>
        <v>10.8864110021101</v>
      </c>
      <c r="G7479" s="36" t="n">
        <f aca="false">IF(Sens!$G$7476&gt;0,Sens!$G$7477/Sens!$G$7476,Sens!$G$7473)</f>
        <v>10.8864110021101</v>
      </c>
      <c r="H7479" s="36" t="n">
        <f aca="false">IF(Sens!$H$7476&gt;0,Sens!$H$7477/Sens!$H$7476,Sens!$H$7473)</f>
        <v>11.1095876691891</v>
      </c>
      <c r="I7479" s="36" t="n">
        <f aca="false">IF(Sens!$I$7476&gt;0,Sens!$I$7477/Sens!$I$7476,Sens!$I$7473)</f>
        <v>11.2881290028523</v>
      </c>
      <c r="J7479" s="36" t="n">
        <f aca="false">IF(Sens!$J$7476&gt;0,Sens!$J$7477/Sens!$J$7476,Sens!$J$7473)</f>
        <v>11.3646467172794</v>
      </c>
      <c r="K7479" s="36" t="n">
        <f aca="false">IF(Sens!$K$7476&gt;0,Sens!$K$7477/Sens!$K$7476,Sens!$K$7473)</f>
        <v>11.3968090914432</v>
      </c>
      <c r="L7479" s="36" t="n">
        <f aca="false">IF(Sens!$L$7476&gt;0,Sens!$L$7477/Sens!$L$7476,Sens!$L$7473)</f>
        <v>11.4110891181192</v>
      </c>
      <c r="M7479" s="36" t="n">
        <f aca="false">IF(Sens!$M$7476&gt;0,Sens!$M$7477/Sens!$M$7476,Sens!$M$7473)</f>
        <v>11.4148191458201</v>
      </c>
    </row>
    <row r="7480" customFormat="false" ht="17.15" hidden="false" customHeight="false" outlineLevel="0" collapsed="false">
      <c r="A7480" s="5" t="s">
        <v>618</v>
      </c>
      <c r="B7480" s="0" t="s">
        <v>173</v>
      </c>
      <c r="F7480" s="36" t="n">
        <f aca="false">IF(Sens!$F$7476&gt;0,Sens!$F$7478/Sens!$F$7476,Sens!$F$7474)</f>
        <v>1.98263481314457</v>
      </c>
      <c r="G7480" s="36" t="n">
        <f aca="false">IF(Sens!$G$7476&gt;0,Sens!$G$7478/Sens!$G$7476,Sens!$G$7474)</f>
        <v>1.98263481314457</v>
      </c>
      <c r="H7480" s="36" t="n">
        <f aca="false">IF(Sens!$H$7476&gt;0,Sens!$H$7478/Sens!$H$7476,Sens!$H$7474)</f>
        <v>2.00111160233948</v>
      </c>
      <c r="I7480" s="36" t="n">
        <f aca="false">IF(Sens!$I$7476&gt;0,Sens!$I$7478/Sens!$I$7476,Sens!$I$7474)</f>
        <v>2.01589303369541</v>
      </c>
      <c r="J7480" s="36" t="n">
        <f aca="false">IF(Sens!$J$7476&gt;0,Sens!$J$7478/Sens!$J$7476,Sens!$J$7474)</f>
        <v>2.02222793284795</v>
      </c>
      <c r="K7480" s="36" t="n">
        <f aca="false">IF(Sens!$K$7476&gt;0,Sens!$K$7478/Sens!$K$7476,Sens!$K$7474)</f>
        <v>2.02489065478573</v>
      </c>
      <c r="L7480" s="36" t="n">
        <f aca="false">IF(Sens!$L$7476&gt;0,Sens!$L$7478/Sens!$L$7476,Sens!$L$7474)</f>
        <v>2.0260728977417</v>
      </c>
      <c r="M7480" s="36" t="n">
        <f aca="false">IF(Sens!$M$7476&gt;0,Sens!$M$7478/Sens!$M$7476,Sens!$M$7474)</f>
        <v>2.02638170661685</v>
      </c>
    </row>
    <row r="7481" customFormat="false" ht="17.15" hidden="false" customHeight="false" outlineLevel="0" collapsed="false">
      <c r="A7481" s="15" t="s">
        <v>619</v>
      </c>
      <c r="B7481" s="14" t="s">
        <v>173</v>
      </c>
      <c r="C7481" s="14"/>
      <c r="D7481" s="14"/>
      <c r="E7481" s="14"/>
      <c r="F7481" s="37" t="n">
        <f aca="false">Sens!$F$7479*k_B</f>
        <v>10.7987645808025</v>
      </c>
      <c r="G7481" s="37" t="n">
        <f aca="false">Sens!$G$7479*k_B</f>
        <v>10.7987645808025</v>
      </c>
      <c r="H7481" s="37" t="n">
        <f aca="false">Sens!$H$7479*k_B</f>
        <v>11.0201444540452</v>
      </c>
      <c r="I7481" s="37" t="n">
        <f aca="false">Sens!$I$7479*k_B</f>
        <v>11.1972483526393</v>
      </c>
      <c r="J7481" s="37" t="n">
        <f aca="false">Sens!$J$7479*k_B</f>
        <v>11.2731500234653</v>
      </c>
      <c r="K7481" s="37" t="n">
        <f aca="false">Sens!$K$7479*k_B</f>
        <v>11.3050534585724</v>
      </c>
      <c r="L7481" s="37" t="n">
        <f aca="false">Sens!$L$7479*k_B</f>
        <v>11.3192185168503</v>
      </c>
      <c r="M7481" s="37" t="n">
        <f aca="false">Sens!$M$7479*k_B</f>
        <v>11.3229185141234</v>
      </c>
      <c r="N7481" s="14"/>
      <c r="O7481" s="14"/>
      <c r="P7481" s="5" t="s">
        <v>620</v>
      </c>
    </row>
    <row r="7482" customFormat="false" ht="17.15" hidden="false" customHeight="false" outlineLevel="0" collapsed="false">
      <c r="A7482" s="5" t="s">
        <v>621</v>
      </c>
      <c r="B7482" s="0" t="s">
        <v>129</v>
      </c>
      <c r="F7482" s="32" t="n">
        <f aca="false">Sens!$F$7476/2</f>
        <v>908.575</v>
      </c>
      <c r="H7482" s="32" t="n">
        <f aca="false">(Sens!$G$7476+Sens!$H$7476)/2</f>
        <v>3634.3</v>
      </c>
      <c r="I7482" s="32" t="n">
        <f aca="false">(Sens!$H$7476+Sens!$I$7476)/2</f>
        <v>7268.6</v>
      </c>
      <c r="J7482" s="32" t="n">
        <f aca="false">(Sens!$I$7476+Sens!$J$7476)/2</f>
        <v>10902.9</v>
      </c>
      <c r="K7482" s="32" t="n">
        <f aca="false">(Sens!$J$7476+Sens!$K$7476)/2</f>
        <v>14005.4835833333</v>
      </c>
      <c r="L7482" s="32" t="n">
        <f aca="false">(Sens!$K$7476+Sens!$L$7476)/2</f>
        <v>16044.6343333333</v>
      </c>
      <c r="M7482" s="32" t="n">
        <f aca="false">(Sens!$L$7476+Sens!$M$7476)/2</f>
        <v>17020.35225</v>
      </c>
    </row>
    <row r="7483" customFormat="false" ht="17.15" hidden="false" customHeight="false" outlineLevel="0" collapsed="false">
      <c r="A7483" s="1" t="s">
        <v>622</v>
      </c>
    </row>
    <row r="7484" customFormat="false" ht="17.15" hidden="false" customHeight="false" outlineLevel="0" collapsed="false">
      <c r="A7484" s="1" t="s">
        <v>623</v>
      </c>
      <c r="B7484" s="8" t="s">
        <v>86</v>
      </c>
      <c r="C7484" s="38" t="n">
        <f aca="false">Sens!$C$7467*rpm_open*Sens!$C$7468/1000</f>
        <v>2.32100535697364</v>
      </c>
      <c r="D7484" s="38" t="n">
        <f aca="false">Sens!$D$7467*rpm_open*Sens!$D$7468/1000</f>
        <v>8.70377008865116</v>
      </c>
      <c r="E7484" s="38" t="n">
        <f aca="false">Sens!$E$7467*rpm_open*Sens!$E$7468/1000</f>
        <v>8.51035297557002</v>
      </c>
      <c r="F7484" s="38" t="n">
        <f aca="false">(mw_open*rpm_open+Sens!$F$7482*Sens!$F$7481)*Sens!$F$7468/1000</f>
        <v>14.9634336447205</v>
      </c>
      <c r="G7484" s="38" t="n">
        <f aca="false">Sens!$E$7484+Sens!$F$7484</f>
        <v>23.4737866202905</v>
      </c>
      <c r="H7484" s="38" t="n">
        <f aca="false">(mw_open*rpm_open+Sens!$H$7482*Sens!$H$7481)/1000</f>
        <v>60.1658907497746</v>
      </c>
      <c r="I7484" s="38" t="n">
        <f aca="false">(mw_open*rpm_open+Sens!$I$7482*Sens!$I$7481)/1000</f>
        <v>101.503699136432</v>
      </c>
      <c r="J7484" s="38" t="n">
        <f aca="false">(mw_open*rpm_open+Sens!$J$7482*Sens!$J$7481)/1000</f>
        <v>143.025407151278</v>
      </c>
      <c r="K7484" s="38" t="n">
        <f aca="false">(mw_open*rpm_open+Sens!$K$7482*Sens!$K$7481)/1000</f>
        <v>178.44812038318</v>
      </c>
      <c r="L7484" s="38" t="n">
        <f aca="false">(mw_open*rpm_open+Sens!$L$7482*Sens!$L$7481)/1000</f>
        <v>201.728101802396</v>
      </c>
      <c r="M7484" s="38" t="n">
        <f aca="false">(mw_open*rpm_open+Sens!$M$7482*Sens!$M$7481)/1000</f>
        <v>212.835441368865</v>
      </c>
      <c r="N7484" s="38" t="n">
        <f aca="false">Sens!$N$7467*rpm_open*Sens!$N$7468/1000</f>
        <v>3.04631953102791</v>
      </c>
      <c r="O7484" s="38" t="n">
        <f aca="false">Sens!$O$7467*rpm_open*Sens!$O$7468/1000</f>
        <v>5.65745055762326</v>
      </c>
      <c r="P7484" s="5" t="s">
        <v>624</v>
      </c>
    </row>
    <row r="7485" customFormat="false" ht="17.15" hidden="false" customHeight="false" outlineLevel="0" collapsed="false">
      <c r="A7485" s="5" t="s">
        <v>625</v>
      </c>
      <c r="B7485" s="0" t="s">
        <v>173</v>
      </c>
      <c r="C7485" s="36" t="n">
        <f aca="false">Sens!$C$7484*1000/(Sens!$C$7467*Sens!$C$7468)</f>
        <v>9.67085565405685</v>
      </c>
      <c r="D7485" s="36" t="n">
        <f aca="false">Sens!$D$7484*1000/(Sens!$D$7467*Sens!$D$7468)</f>
        <v>9.67085565405685</v>
      </c>
      <c r="E7485" s="36" t="n">
        <f aca="false">Sens!$E$7484*1000/(Sens!$E$7467*Sens!$E$7468)</f>
        <v>9.67085565405685</v>
      </c>
      <c r="F7485" s="36" t="n">
        <f aca="false">Sens!$F$7484*1000/(Sens!$F$7467*Sens!$F$7468)</f>
        <v>10.0137581588017</v>
      </c>
      <c r="G7485" s="36" t="n">
        <f aca="false">Sens!$G$7484*1000/(Sens!$G$7467*Sens!$G$7468)</f>
        <v>9.88666562928478</v>
      </c>
      <c r="H7485" s="36" t="n">
        <f aca="false">Sens!$H$7484*1000/(Sens!$H$7467*Sens!$H$7468)</f>
        <v>10.5290045586992</v>
      </c>
      <c r="I7485" s="36" t="n">
        <f aca="false">Sens!$I$7484*1000/(Sens!$I$7467*Sens!$I$7468)</f>
        <v>10.8576363451674</v>
      </c>
      <c r="J7485" s="36" t="n">
        <f aca="false">Sens!$J$7484*1000/(Sens!$J$7467*Sens!$J$7468)</f>
        <v>11.0164452588619</v>
      </c>
      <c r="K7485" s="36" t="n">
        <f aca="false">Sens!$K$7484*1000/(Sens!$K$7467*Sens!$K$7468)</f>
        <v>11.0937367508227</v>
      </c>
      <c r="L7485" s="36" t="n">
        <f aca="false">Sens!$L$7484*1000/(Sens!$L$7467*Sens!$L$7468)</f>
        <v>11.1300508519168</v>
      </c>
      <c r="M7485" s="36" t="n">
        <f aca="false">Sens!$M$7484*1000/(Sens!$M$7467*Sens!$M$7468)</f>
        <v>11.1430113216297</v>
      </c>
      <c r="N7485" s="36" t="n">
        <f aca="false">Sens!$N$7484*1000/(Sens!$N$7467*Sens!$N$7468)</f>
        <v>9.67085565405685</v>
      </c>
      <c r="O7485" s="36" t="n">
        <f aca="false">Sens!$O$7484*1000/(Sens!$O$7467*Sens!$O$7468)</f>
        <v>9.67085565405685</v>
      </c>
    </row>
    <row r="7486" customFormat="false" ht="17.15" hidden="false" customHeight="false" outlineLevel="0" collapsed="false">
      <c r="A7486" s="0" t="s">
        <v>626</v>
      </c>
      <c r="B7486" s="0" t="s">
        <v>86</v>
      </c>
      <c r="C7486" s="38" t="n">
        <f aca="false">Sens!$C$7467/ext_sh*(ox_open+rent_mw)*Sens!$C$7468/1000</f>
        <v>0.642569210675032</v>
      </c>
      <c r="D7486" s="38" t="n">
        <f aca="false">Sens!$D$7467/ext_sh*(ox_open+rent_mw)*Sens!$D$7468/1000</f>
        <v>2.40963454003137</v>
      </c>
      <c r="E7486" s="38" t="n">
        <f aca="false">Sens!$E$7467/ext_sh*(ox_open+rent_mw)*Sens!$E$7468/1000</f>
        <v>2.35608710580845</v>
      </c>
      <c r="F7486" s="38" t="n">
        <f aca="false">((mw_open*ox_open+Sens!$F$7482*Sens!$F$7480)/ext_sh+Sens!$F$7467/ext_sh*rent_mw)*Sens!$F$7468/1000</f>
        <v>4.05421991106232</v>
      </c>
      <c r="G7486" s="38" t="n">
        <f aca="false">Sens!$E$7486+Sens!$F$7486</f>
        <v>6.41030701687077</v>
      </c>
      <c r="H7486" s="38" t="n">
        <f aca="false">((mw_open*ox_open+Sens!$H$7482*Sens!$H$7480)/ext_sh+Sens!$H$7467/ext_sh*rent_mw)*Sens!$H$7468/1000</f>
        <v>15.8108975546616</v>
      </c>
      <c r="I7486" s="38" t="n">
        <f aca="false">((mw_open*ox_open+Sens!$I$7482*Sens!$I$7480)/ext_sh+Sens!$I$7467/ext_sh*rent_mw)*Sens!$I$7468/1000</f>
        <v>26.1871623400817</v>
      </c>
      <c r="J7486" s="38" t="n">
        <f aca="false">((mw_open*ox_open+Sens!$J$7482*Sens!$J$7480)/ext_sh+Sens!$J$7467/ext_sh*rent_mw)*Sens!$J$7468/1000</f>
        <v>36.5826128954935</v>
      </c>
      <c r="K7486" s="38" t="n">
        <f aca="false">((mw_open*ox_open+Sens!$K$7482*Sens!$K$7480)/ext_sh+Sens!$K$7467/ext_sh*rent_mw)*Sens!$K$7468/1000</f>
        <v>45.4546361137628</v>
      </c>
      <c r="L7486" s="38" t="n">
        <f aca="false">((mw_open*ox_open+Sens!$L$7482*Sens!$L$7480)/ext_sh+Sens!$L$7467/ext_sh*rent_mw)*Sens!$L$7468/1000</f>
        <v>51.2855695554452</v>
      </c>
      <c r="M7486" s="38" t="n">
        <f aca="false">((mw_open*ox_open+Sens!$M$7482*Sens!$M$7480)/ext_sh+Sens!$M$7467/ext_sh*rent_mw)*Sens!$M$7468/1000</f>
        <v>54.0722927838398</v>
      </c>
      <c r="N7486" s="38" t="n">
        <f aca="false">Sens!$N$7467/ext_sh*(ox_open+rent_mw)*Sens!$N$7468/1000</f>
        <v>0.84337208901098</v>
      </c>
      <c r="O7486" s="38" t="n">
        <f aca="false">Sens!$O$7467/ext_sh*(ox_open+rent_mw)*Sens!$O$7468/1000</f>
        <v>1.56626245102039</v>
      </c>
    </row>
    <row r="7487" customFormat="false" ht="17.15" hidden="false" customHeight="false" outlineLevel="0" collapsed="false">
      <c r="A7487" s="0" t="s">
        <v>627</v>
      </c>
      <c r="B7487" s="0" t="s">
        <v>86</v>
      </c>
      <c r="C7487" s="38" t="n">
        <f aca="false">Q!$D$7</f>
        <v>107.556</v>
      </c>
      <c r="D7487" s="38" t="n">
        <f aca="false">Q!$E$7</f>
        <v>128.725</v>
      </c>
      <c r="E7487" s="38" t="n">
        <f aca="false">Q!$P$7</f>
        <v>79.819</v>
      </c>
      <c r="N7487" s="38" t="n">
        <f aca="false">Q!$N$7</f>
        <v>60.14</v>
      </c>
      <c r="O7487" s="38" t="n">
        <f aca="false">Q!$O$7</f>
        <v>68.585</v>
      </c>
    </row>
    <row r="7488" customFormat="false" ht="17.15" hidden="false" customHeight="false" outlineLevel="0" collapsed="false">
      <c r="A7488" s="1" t="s">
        <v>628</v>
      </c>
      <c r="B7488" s="8" t="s">
        <v>86</v>
      </c>
      <c r="C7488" s="38" t="n">
        <f aca="false">Sens!$C$7487-Sens!$C$7484</f>
        <v>105.234994643026</v>
      </c>
      <c r="D7488" s="38" t="n">
        <f aca="false">Sens!$D$7487-Sens!$D$7484</f>
        <v>120.021229911349</v>
      </c>
      <c r="E7488" s="38" t="n">
        <f aca="false">Sens!$E$7487-Sens!$E$7484</f>
        <v>71.30864702443</v>
      </c>
      <c r="F7488" s="38" t="n">
        <f aca="false">Sens!$O$7488*(1+Sens!$F$7489)</f>
        <v>71.7692997942464</v>
      </c>
      <c r="G7488" s="38" t="n">
        <f aca="false">Sens!$E$7488+Sens!$F$7488</f>
        <v>143.077946818676</v>
      </c>
      <c r="H7488" s="38" t="n">
        <f aca="false">Sens!$G$7488*(1+Sens!$H$7489)</f>
        <v>161.017077079203</v>
      </c>
      <c r="I7488" s="38" t="n">
        <f aca="false">Sens!$H$7488*(1+Sens!$I$7489)</f>
        <v>178.769759521457</v>
      </c>
      <c r="J7488" s="38" t="n">
        <f aca="false">Sens!$I$7488*(1+Sens!$J$7489)</f>
        <v>195.775538045907</v>
      </c>
      <c r="K7488" s="38" t="n">
        <f aca="false">Sens!$J$7488*(1+Sens!$K$7489)</f>
        <v>211.43758108958</v>
      </c>
      <c r="L7488" s="38" t="n">
        <f aca="false">Sens!$K$7488*(1+Sens!$L$7489)</f>
        <v>228.352587576746</v>
      </c>
      <c r="M7488" s="38" t="n">
        <f aca="false">Sens!$L$7488*(1+Sens!$M$7489)</f>
        <v>246.620794582886</v>
      </c>
      <c r="N7488" s="38" t="n">
        <f aca="false">Sens!$N$7487-Sens!$N$7484</f>
        <v>57.0936804689721</v>
      </c>
      <c r="O7488" s="38" t="n">
        <f aca="false">Sens!$O$7487-Sens!$O$7484</f>
        <v>62.9275494423768</v>
      </c>
      <c r="P7488" s="5" t="s">
        <v>629</v>
      </c>
    </row>
    <row r="7489" customFormat="false" ht="17.15" hidden="false" customHeight="false" outlineLevel="0" collapsed="false">
      <c r="A7489" s="0" t="s">
        <v>630</v>
      </c>
      <c r="B7489" s="0" t="s">
        <v>52</v>
      </c>
      <c r="D7489" s="13" t="n">
        <f aca="false">Sens!$D$7488/Sens!$C$7488-1</f>
        <v>0.140506827776062</v>
      </c>
      <c r="E7489" s="13" t="n">
        <f aca="false">Sens!$E$7488/Sens!$N$7488-1</f>
        <v>0.248976181579029</v>
      </c>
      <c r="F7489" s="13" t="n">
        <f aca="false">Sens!$D$7489</f>
        <v>0.140506827776062</v>
      </c>
      <c r="G7489" s="13" t="n">
        <f aca="false">Sens!$G$7488/Sens!$D$7488-1</f>
        <v>0.19210532106993</v>
      </c>
      <c r="H7489" s="13" t="n">
        <f aca="false">Sens!$F$7489+(g_awso_lt-Sens!$F$7489)*1/4</f>
        <v>0.125380120832046</v>
      </c>
      <c r="I7489" s="13" t="n">
        <f aca="false">Sens!$F$7489+(g_awso_lt-Sens!$F$7489)*2/4</f>
        <v>0.110253413888031</v>
      </c>
      <c r="J7489" s="13" t="n">
        <f aca="false">Sens!$F$7489+(g_awso_lt-Sens!$F$7489)*3/4</f>
        <v>0.0951267069440154</v>
      </c>
      <c r="K7489" s="13" t="n">
        <f aca="false">Sens!$F$7489+(g_awso_lt-Sens!$F$7489)*4/4</f>
        <v>0.08</v>
      </c>
      <c r="L7489" s="13" t="n">
        <f aca="false">g_awso_lt</f>
        <v>0.08</v>
      </c>
      <c r="M7489" s="13" t="n">
        <f aca="false">g_awso_lt</f>
        <v>0.08</v>
      </c>
      <c r="P7489" s="5" t="s">
        <v>631</v>
      </c>
    </row>
    <row r="7490" customFormat="false" ht="17.15" hidden="false" customHeight="false" outlineLevel="0" collapsed="false">
      <c r="A7490" s="1" t="s">
        <v>632</v>
      </c>
    </row>
    <row r="7491" customFormat="false" ht="17.15" hidden="false" customHeight="false" outlineLevel="0" collapsed="false">
      <c r="A7491" s="0" t="s">
        <v>633</v>
      </c>
      <c r="B7491" s="0" t="s">
        <v>86</v>
      </c>
      <c r="F7491" s="38" t="n">
        <f aca="false">cx_rt*Sens!$F$7456+cx_awso*Sens!$F$7488</f>
        <v>34.9734495387866</v>
      </c>
    </row>
    <row r="7492" customFormat="false" ht="17.15" hidden="false" customHeight="false" outlineLevel="0" collapsed="false">
      <c r="A7492" s="0" t="s">
        <v>634</v>
      </c>
      <c r="B7492" s="0" t="s">
        <v>52</v>
      </c>
      <c r="C7492" s="13" t="n">
        <f aca="false">tk_cx_h100/(tk_cx_h100+tk_fac*(1-colo_sh))</f>
        <v>0.730756458006641</v>
      </c>
      <c r="D7492" s="13" t="n">
        <f aca="false">tk_cx_h100/(tk_cx_h100+tk_fac*(1-colo_sh))</f>
        <v>0.730756458006641</v>
      </c>
      <c r="E7492" s="13" t="n">
        <f aca="false">Sens!$F$7492</f>
        <v>0.760792334328868</v>
      </c>
      <c r="F7492" s="13" t="n">
        <f aca="false">Sens!$F$7475/(Sens!$F$7475+tk_fac*(1-colo_sh))</f>
        <v>0.760792334328868</v>
      </c>
      <c r="G7492" s="13" t="n">
        <f aca="false">Sens!$G$7475/(Sens!$G$7475+tk_fac*(1-colo_sh))</f>
        <v>0.760792334328868</v>
      </c>
      <c r="H7492" s="13" t="n">
        <f aca="false">Sens!$H$7475/(Sens!$H$7475+tk_fac*(1-colo_sh))</f>
        <v>0.768110668862996</v>
      </c>
      <c r="I7492" s="13" t="n">
        <f aca="false">Sens!$I$7475/(Sens!$I$7475+tk_fac*(1-colo_sh))</f>
        <v>0.77499450139483</v>
      </c>
      <c r="J7492" s="13" t="n">
        <f aca="false">Sens!$J$7475/(Sens!$J$7475+tk_fac*(1-colo_sh))</f>
        <v>0.77499450139483</v>
      </c>
      <c r="K7492" s="13" t="n">
        <f aca="false">Sens!$K$7475/(Sens!$K$7475+tk_fac*(1-colo_sh))</f>
        <v>0.77499450139483</v>
      </c>
      <c r="L7492" s="13" t="n">
        <f aca="false">Sens!$L$7475/(Sens!$L$7475+tk_fac*(1-colo_sh))</f>
        <v>0.77499450139483</v>
      </c>
      <c r="M7492" s="13" t="n">
        <f aca="false">Sens!$M$7475/(Sens!$M$7475+tk_fac*(1-colo_sh))</f>
        <v>0.77499450139483</v>
      </c>
    </row>
    <row r="7493" customFormat="false" ht="17.15" hidden="false" customHeight="false" outlineLevel="0" collapsed="false">
      <c r="A7493" s="1" t="s">
        <v>635</v>
      </c>
      <c r="B7493" s="8" t="s">
        <v>86</v>
      </c>
      <c r="C7493" s="38" t="n">
        <f aca="false">Q!$D$46-cx_rt*Q!$D$16-cx_awso*Sens!$C$7488</f>
        <v>25.2781053077374</v>
      </c>
      <c r="D7493" s="38" t="n">
        <f aca="false">Q!$E$46-cx_rt*Q!$E$16-cx_awso*Sens!$D$7488</f>
        <v>69.5686316310026</v>
      </c>
      <c r="E7493" s="38" t="n">
        <f aca="false">Q!$P$46-cx_rt*Q!$P$16-cx_awso*Sens!$E$7488</f>
        <v>64.1899206485108</v>
      </c>
      <c r="F7493" s="38" t="n">
        <f aca="false">capex_g26-Q!$P$46-Sens!$F$7491</f>
        <v>88.7165504612134</v>
      </c>
      <c r="G7493" s="38" t="n">
        <f aca="false">Sens!$E$7493+Sens!$F$7493</f>
        <v>152.906471109724</v>
      </c>
      <c r="H7493" s="38" t="n">
        <f aca="false">Sens!$H$7470*(Sens!$H$7475+tk_fac*(1-colo_sh))/1000+Sens!$H$7494</f>
        <v>198.57136494475</v>
      </c>
      <c r="I7493" s="38" t="n">
        <f aca="false">Sens!$I$7470*(Sens!$I$7475+tk_fac*(1-colo_sh))/1000+Sens!$I$7494</f>
        <v>204.6464699105</v>
      </c>
      <c r="J7493" s="38" t="n">
        <f aca="false">Sens!$J$7470*(Sens!$J$7475+tk_fac*(1-colo_sh))/1000+Sens!$J$7494</f>
        <v>209.8832381105</v>
      </c>
      <c r="K7493" s="38" t="n">
        <f aca="false">Sens!$K$7470*(Sens!$K$7475+tk_fac*(1-colo_sh))/1000+Sens!$K$7494</f>
        <v>155.238385275201</v>
      </c>
      <c r="L7493" s="38" t="n">
        <f aca="false">Sens!$L$7470*(Sens!$L$7475+tk_fac*(1-colo_sh))/1000+Sens!$L$7494</f>
        <v>132.014141639902</v>
      </c>
      <c r="M7493" s="38" t="n">
        <f aca="false">Sens!$M$7470*(Sens!$M$7475+tk_fac*(1-colo_sh))/1000+Sens!$M$7494</f>
        <v>132.230981659852</v>
      </c>
      <c r="P7493" s="5" t="s">
        <v>636</v>
      </c>
      <c r="R7493" s="38" t="n">
        <f aca="false">Q!$C$46-cx_rt*Q!$C$16-cx_awso*(Q!$C$7-mw_ye23/2*rpm_open/1000)</f>
        <v>1.50429979529945</v>
      </c>
      <c r="S7493" s="38" t="n">
        <f aca="false">Sens!$C$7493</f>
        <v>25.2781053077374</v>
      </c>
      <c r="T7493" s="38" t="n">
        <f aca="false">Sens!$D$7493</f>
        <v>69.5686316310026</v>
      </c>
      <c r="U7493" s="38" t="n">
        <f aca="false">Sens!$G$7493</f>
        <v>152.906471109724</v>
      </c>
      <c r="V7493" s="38" t="n">
        <f aca="false">Sens!$H$7493</f>
        <v>198.57136494475</v>
      </c>
      <c r="W7493" s="38" t="n">
        <f aca="false">Sens!$I$7493</f>
        <v>204.6464699105</v>
      </c>
      <c r="X7493" s="38" t="n">
        <f aca="false">Sens!$J$7493</f>
        <v>209.8832381105</v>
      </c>
      <c r="Y7493" s="38" t="n">
        <f aca="false">Sens!$K$7493</f>
        <v>155.238385275201</v>
      </c>
      <c r="Z7493" s="38" t="n">
        <f aca="false">Sens!$L$7493</f>
        <v>132.014141639902</v>
      </c>
      <c r="AA7493" s="38" t="n">
        <f aca="false">Sens!$M$7493</f>
        <v>132.230981659852</v>
      </c>
    </row>
    <row r="7494" customFormat="false" ht="17.15" hidden="false" customHeight="false" outlineLevel="0" collapsed="false">
      <c r="A7494" s="0" t="s">
        <v>637</v>
      </c>
      <c r="B7494" s="0" t="s">
        <v>86</v>
      </c>
      <c r="H7494" s="38" t="n">
        <f aca="false">SUMPRODUCT(--(Sens!$R$7463:$AA$7463=2027-tk_life),Sens!$R$7470:$AA$7470)*Sens!$H$7475/1000</f>
        <v>0</v>
      </c>
      <c r="I7494" s="38" t="n">
        <f aca="false">SUMPRODUCT(--(Sens!$R$7463:$AA$7463=2028-tk_life),Sens!$R$7470:$AA$7470)*Sens!$I$7475/1000</f>
        <v>0</v>
      </c>
      <c r="J7494" s="38" t="n">
        <f aca="false">SUMPRODUCT(--(Sens!$R$7463:$AA$7463=2029-tk_life),Sens!$R$7470:$AA$7470)*Sens!$J$7475/1000</f>
        <v>5.2367682</v>
      </c>
      <c r="K7494" s="38" t="n">
        <f aca="false">SUMPRODUCT(--(Sens!$R$7463:$AA$7463=2030-tk_life),Sens!$R$7470:$AA$7470)*Sens!$K$7475/1000</f>
        <v>10.4735364</v>
      </c>
      <c r="L7494" s="38" t="n">
        <f aca="false">SUMPRODUCT(--(Sens!$R$7463:$AA$7463=2031-tk_life),Sens!$R$7470:$AA$7470)*Sens!$L$7475/1000</f>
        <v>47.1309138</v>
      </c>
      <c r="M7494" s="38" t="n">
        <f aca="false">SUMPRODUCT(--(Sens!$R$7463:$AA$7463=2032-tk_life),Sens!$R$7470:$AA$7470)*Sens!$M$7475/1000</f>
        <v>107.22937485525</v>
      </c>
    </row>
    <row r="7495" customFormat="false" ht="17.15" hidden="false" customHeight="false" outlineLevel="0" collapsed="false">
      <c r="A7495" s="0" t="s">
        <v>638</v>
      </c>
      <c r="B7495" s="0" t="s">
        <v>86</v>
      </c>
      <c r="C7495" s="38" t="n">
        <f aca="false">MIN(Sens!$C$7493,Sens!$C$7470*(tk_cx_h100+tk_fac*(1-colo_sh))/1000)</f>
        <v>11.2938642</v>
      </c>
      <c r="D7495" s="38" t="n">
        <f aca="false">MIN(Sens!$D$7493,Sens!$D$7470*(tk_cx_h100+tk_fac*(1-colo_sh))/1000)</f>
        <v>50.8223889</v>
      </c>
      <c r="E7495" s="38" t="n">
        <f aca="false">MIN(Sens!$E$7493,Sens!$E$7470*(Sens!$F$7475+tk_fac*(1-colo_sh))/1000)</f>
        <v>33.8985792</v>
      </c>
      <c r="F7495" s="38" t="n">
        <f aca="false">Sens!$F$7493</f>
        <v>88.7165504612134</v>
      </c>
      <c r="G7495" s="38" t="n">
        <f aca="false">Sens!$E$7495+Sens!$F$7495</f>
        <v>122.615129661213</v>
      </c>
      <c r="H7495" s="38" t="n">
        <f aca="false">Sens!$H$7493</f>
        <v>198.57136494475</v>
      </c>
      <c r="I7495" s="38" t="n">
        <f aca="false">Sens!$I$7493</f>
        <v>204.6464699105</v>
      </c>
      <c r="J7495" s="38" t="n">
        <f aca="false">Sens!$J$7493</f>
        <v>209.8832381105</v>
      </c>
      <c r="K7495" s="38" t="n">
        <f aca="false">Sens!$K$7493</f>
        <v>155.238385275201</v>
      </c>
      <c r="L7495" s="38" t="n">
        <f aca="false">Sens!$L$7493</f>
        <v>132.014141639902</v>
      </c>
      <c r="M7495" s="38" t="n">
        <f aca="false">Sens!$M$7493</f>
        <v>132.230981659852</v>
      </c>
      <c r="P7495" s="5" t="s">
        <v>639</v>
      </c>
      <c r="R7495" s="38" t="n">
        <f aca="false">MIN(Sens!$R$7493,Sens!$R$7470*(tk_cx_h100+tk_fac*(1-colo_sh))/1000)</f>
        <v>1.50429979529945</v>
      </c>
      <c r="S7495" s="38" t="n">
        <f aca="false">Sens!$C$7495</f>
        <v>11.2938642</v>
      </c>
      <c r="T7495" s="38" t="n">
        <f aca="false">Sens!$D$7495</f>
        <v>50.8223889</v>
      </c>
      <c r="U7495" s="38" t="n">
        <f aca="false">Sens!$G$7495</f>
        <v>122.615129661213</v>
      </c>
      <c r="V7495" s="38" t="n">
        <f aca="false">Sens!$H$7495</f>
        <v>198.57136494475</v>
      </c>
      <c r="W7495" s="38" t="n">
        <f aca="false">Sens!$I$7495</f>
        <v>204.6464699105</v>
      </c>
      <c r="X7495" s="38" t="n">
        <f aca="false">Sens!$J$7495</f>
        <v>209.8832381105</v>
      </c>
      <c r="Y7495" s="38" t="n">
        <f aca="false">Sens!$K$7495</f>
        <v>155.238385275201</v>
      </c>
      <c r="Z7495" s="38" t="n">
        <f aca="false">Sens!$L$7495</f>
        <v>132.014141639902</v>
      </c>
      <c r="AA7495" s="38" t="n">
        <f aca="false">Sens!$M$7495</f>
        <v>132.230981659852</v>
      </c>
    </row>
    <row r="7496" customFormat="false" ht="17.15" hidden="false" customHeight="false" outlineLevel="0" collapsed="false">
      <c r="A7496" s="5" t="s">
        <v>640</v>
      </c>
      <c r="B7496" s="0" t="s">
        <v>86</v>
      </c>
      <c r="C7496" s="38" t="n">
        <f aca="false">Sens!$C$7493-Sens!$C$7495</f>
        <v>13.9842411077374</v>
      </c>
      <c r="D7496" s="38" t="n">
        <f aca="false">Sens!$D$7493-Sens!$D$7495</f>
        <v>18.7462427310026</v>
      </c>
      <c r="E7496" s="38" t="n">
        <f aca="false">Sens!$E$7493-Sens!$E$7495</f>
        <v>30.2913414485108</v>
      </c>
      <c r="F7496" s="38" t="n">
        <f aca="false">Sens!$F$7493-Sens!$F$7495</f>
        <v>0</v>
      </c>
      <c r="G7496" s="38" t="n">
        <f aca="false">Sens!$G$7493-Sens!$G$7495</f>
        <v>30.2913414485108</v>
      </c>
      <c r="H7496" s="38" t="n">
        <f aca="false">Sens!$H$7493-Sens!$H$7495</f>
        <v>0</v>
      </c>
      <c r="I7496" s="38" t="n">
        <f aca="false">Sens!$I$7493-Sens!$I$7495</f>
        <v>0</v>
      </c>
      <c r="J7496" s="38" t="n">
        <f aca="false">Sens!$J$7493-Sens!$J$7495</f>
        <v>0</v>
      </c>
      <c r="K7496" s="38" t="n">
        <f aca="false">Sens!$K$7493-Sens!$K$7495</f>
        <v>0</v>
      </c>
      <c r="L7496" s="38" t="n">
        <f aca="false">Sens!$L$7493-Sens!$L$7495</f>
        <v>0</v>
      </c>
      <c r="M7496" s="38" t="n">
        <f aca="false">Sens!$M$7493-Sens!$M$7495</f>
        <v>0</v>
      </c>
      <c r="P7496" s="5" t="s">
        <v>641</v>
      </c>
      <c r="R7496" s="38" t="n">
        <f aca="false">Sens!$R$7493-Sens!$R$7495</f>
        <v>0</v>
      </c>
      <c r="S7496" s="38" t="n">
        <f aca="false">Sens!$S$7493-Sens!$S$7495</f>
        <v>13.9842411077374</v>
      </c>
      <c r="T7496" s="38" t="n">
        <f aca="false">Sens!$T$7493-Sens!$T$7495</f>
        <v>18.7462427310026</v>
      </c>
      <c r="U7496" s="38" t="n">
        <f aca="false">Sens!$U$7493-Sens!$U$7495</f>
        <v>30.2913414485108</v>
      </c>
      <c r="V7496" s="38" t="n">
        <f aca="false">Sens!$V$7493-Sens!$V$7495</f>
        <v>0</v>
      </c>
      <c r="W7496" s="38" t="n">
        <f aca="false">Sens!$W$7493-Sens!$W$7495</f>
        <v>0</v>
      </c>
      <c r="X7496" s="38" t="n">
        <f aca="false">Sens!$X$7493-Sens!$X$7495</f>
        <v>0</v>
      </c>
      <c r="Y7496" s="38" t="n">
        <f aca="false">Sens!$Y$7493-Sens!$Y$7495</f>
        <v>0</v>
      </c>
      <c r="Z7496" s="38" t="n">
        <f aca="false">Sens!$Z$7493-Sens!$Z$7495</f>
        <v>0</v>
      </c>
      <c r="AA7496" s="38" t="n">
        <f aca="false">Sens!$AA$7493-Sens!$AA$7495</f>
        <v>0</v>
      </c>
    </row>
    <row r="7497" customFormat="false" ht="17.15" hidden="false" customHeight="false" outlineLevel="0" collapsed="false">
      <c r="A7497" s="5" t="s">
        <v>642</v>
      </c>
      <c r="B7497" s="0" t="s">
        <v>86</v>
      </c>
      <c r="R7497" s="38" t="n">
        <f aca="false">Sens!$R$7496*Sens!$C$7492</f>
        <v>0</v>
      </c>
      <c r="S7497" s="38" t="n">
        <f aca="false">Sens!$S$7496*Sens!$C$7492</f>
        <v>10.219074499801</v>
      </c>
      <c r="T7497" s="38" t="n">
        <f aca="false">Sens!$T$7496*Sens!$C$7492</f>
        <v>13.6989379390402</v>
      </c>
      <c r="U7497" s="38" t="n">
        <f aca="false">Sens!$U$7496*Sens!$E$7492</f>
        <v>23.0454203705653</v>
      </c>
      <c r="V7497" s="38" t="n">
        <f aca="false">Sens!$V$7496*Sens!$E$7492</f>
        <v>0</v>
      </c>
      <c r="W7497" s="38" t="n">
        <f aca="false">Sens!$W$7496*Sens!$E$7492</f>
        <v>0</v>
      </c>
      <c r="X7497" s="38" t="n">
        <f aca="false">Sens!$X$7496*Sens!$E$7492</f>
        <v>0</v>
      </c>
      <c r="Y7497" s="38" t="n">
        <f aca="false">Sens!$Y$7496*Sens!$E$7492</f>
        <v>0</v>
      </c>
      <c r="Z7497" s="38" t="n">
        <f aca="false">Sens!$Z$7496*Sens!$E$7492</f>
        <v>0</v>
      </c>
      <c r="AA7497" s="38" t="n">
        <f aca="false">Sens!$AA$7496*Sens!$E$7492</f>
        <v>0</v>
      </c>
    </row>
    <row r="7498" customFormat="false" ht="17.15" hidden="false" customHeight="false" outlineLevel="0" collapsed="false">
      <c r="A7498" s="5" t="s">
        <v>643</v>
      </c>
      <c r="B7498" s="0" t="s">
        <v>86</v>
      </c>
      <c r="R7498" s="38" t="n">
        <f aca="false">SUMPRODUCT(--(Sens!$R$7463:$AA$7463=2023-cip_lag),Sens!$R$7497:$AA$7497)</f>
        <v>0</v>
      </c>
      <c r="S7498" s="38" t="n">
        <f aca="false">SUMPRODUCT(--(Sens!$R$7463:$AA$7463=2024-cip_lag),Sens!$R$7497:$AA$7497)</f>
        <v>0</v>
      </c>
      <c r="T7498" s="38" t="n">
        <f aca="false">SUMPRODUCT(--(Sens!$R$7463:$AA$7463=2025-cip_lag),Sens!$R$7497:$AA$7497)</f>
        <v>10.219074499801</v>
      </c>
      <c r="U7498" s="38" t="n">
        <f aca="false">SUMPRODUCT(--(Sens!$R$7463:$AA$7463=2026-cip_lag),Sens!$R$7497:$AA$7497)</f>
        <v>13.6989379390402</v>
      </c>
      <c r="V7498" s="38" t="n">
        <f aca="false">SUMPRODUCT(--(Sens!$R$7463:$AA$7463=2027-cip_lag),Sens!$R$7497:$AA$7497)</f>
        <v>23.0454203705653</v>
      </c>
      <c r="W7498" s="38" t="n">
        <f aca="false">SUMPRODUCT(--(Sens!$R$7463:$AA$7463=2028-cip_lag),Sens!$R$7497:$AA$7497)</f>
        <v>0</v>
      </c>
      <c r="X7498" s="38" t="n">
        <f aca="false">SUMPRODUCT(--(Sens!$R$7463:$AA$7463=2029-cip_lag),Sens!$R$7497:$AA$7497)</f>
        <v>0</v>
      </c>
      <c r="Y7498" s="38" t="n">
        <f aca="false">SUMPRODUCT(--(Sens!$R$7463:$AA$7463=2030-cip_lag),Sens!$R$7497:$AA$7497)</f>
        <v>0</v>
      </c>
      <c r="Z7498" s="38" t="n">
        <f aca="false">SUMPRODUCT(--(Sens!$R$7463:$AA$7463=2031-cip_lag),Sens!$R$7497:$AA$7497)</f>
        <v>0</v>
      </c>
      <c r="AA7498" s="38" t="n">
        <f aca="false">SUMPRODUCT(--(Sens!$R$7463:$AA$7463=2032-cip_lag),Sens!$R$7497:$AA$7497)</f>
        <v>0</v>
      </c>
    </row>
    <row r="7499" customFormat="false" ht="15" hidden="false" customHeight="false" outlineLevel="0" collapsed="false">
      <c r="A7499" s="5" t="s">
        <v>644</v>
      </c>
      <c r="B7499" s="0" t="s">
        <v>86</v>
      </c>
      <c r="R7499" s="38" t="n">
        <f aca="false">SUMPRODUCT(--(Sens!$R$7463:$AA$7463=2023-cip_lag),Sens!$R$7496:$AA$7496)-Sens!$R$7498</f>
        <v>0</v>
      </c>
      <c r="S7499" s="38" t="n">
        <f aca="false">SUMPRODUCT(--(Sens!$R$7463:$AA$7463=2024-cip_lag),Sens!$R$7496:$AA$7496)-Sens!$S$7498</f>
        <v>0</v>
      </c>
      <c r="T7499" s="38" t="n">
        <f aca="false">SUMPRODUCT(--(Sens!$R$7463:$AA$7463=2025-cip_lag),Sens!$R$7496:$AA$7496)-Sens!$T$7498</f>
        <v>3.76516660793636</v>
      </c>
      <c r="U7499" s="38" t="n">
        <f aca="false">SUMPRODUCT(--(Sens!$R$7463:$AA$7463=2026-cip_lag),Sens!$R$7496:$AA$7496)-Sens!$U$7498</f>
        <v>5.04730479196242</v>
      </c>
      <c r="V7499" s="38" t="n">
        <f aca="false">SUMPRODUCT(--(Sens!$R$7463:$AA$7463=2027-cip_lag),Sens!$R$7496:$AA$7496)-Sens!$V$7498</f>
        <v>7.24592107794548</v>
      </c>
      <c r="W7499" s="38" t="n">
        <f aca="false">SUMPRODUCT(--(Sens!$R$7463:$AA$7463=2028-cip_lag),Sens!$R$7496:$AA$7496)-Sens!$W$7498</f>
        <v>0</v>
      </c>
      <c r="X7499" s="38" t="n">
        <f aca="false">SUMPRODUCT(--(Sens!$R$7463:$AA$7463=2029-cip_lag),Sens!$R$7496:$AA$7496)-Sens!$X$7498</f>
        <v>0</v>
      </c>
      <c r="Y7499" s="38" t="n">
        <f aca="false">SUMPRODUCT(--(Sens!$R$7463:$AA$7463=2030-cip_lag),Sens!$R$7496:$AA$7496)-Sens!$Y$7498</f>
        <v>0</v>
      </c>
      <c r="Z7499" s="38" t="n">
        <f aca="false">SUMPRODUCT(--(Sens!$R$7463:$AA$7463=2031-cip_lag),Sens!$R$7496:$AA$7496)-Sens!$Z$7498</f>
        <v>0</v>
      </c>
      <c r="AA7499" s="38" t="n">
        <f aca="false">SUMPRODUCT(--(Sens!$R$7463:$AA$7463=2032-cip_lag),Sens!$R$7496:$AA$7496)-Sens!$AA$7498</f>
        <v>0</v>
      </c>
    </row>
    <row r="7500" customFormat="false" ht="17.15" hidden="false" customHeight="false" outlineLevel="0" collapsed="false">
      <c r="A7500" s="5" t="s">
        <v>645</v>
      </c>
      <c r="B7500" s="0" t="s">
        <v>86</v>
      </c>
      <c r="C7500" s="38" t="n">
        <f aca="false">Sens!$C$7495*Sens!$C$7492</f>
        <v>8.2530642</v>
      </c>
      <c r="D7500" s="38" t="n">
        <f aca="false">Sens!$D$7495*Sens!$D$7492</f>
        <v>37.1387889</v>
      </c>
      <c r="E7500" s="38" t="n">
        <f aca="false">Sens!$E$7495*Sens!$E$7492</f>
        <v>25.7897792</v>
      </c>
      <c r="F7500" s="38" t="n">
        <f aca="false">Sens!$F$7495*Sens!$F$7492</f>
        <v>67.4948715189913</v>
      </c>
      <c r="G7500" s="38" t="n">
        <f aca="false">Sens!$E$7500+Sens!$F$7500</f>
        <v>93.2846507189913</v>
      </c>
      <c r="H7500" s="38" t="n">
        <f aca="false">(Sens!$H$7495-Sens!$H$7494)*Sens!$H$7492+Sens!$H$7494</f>
        <v>152.52478394475</v>
      </c>
      <c r="I7500" s="38" t="n">
        <f aca="false">(Sens!$I$7495-Sens!$I$7494)*Sens!$I$7492+Sens!$I$7494</f>
        <v>158.5998889105</v>
      </c>
      <c r="J7500" s="38" t="n">
        <f aca="false">(Sens!$J$7495-Sens!$J$7494)*Sens!$J$7492+Sens!$J$7494</f>
        <v>163.8366571105</v>
      </c>
      <c r="K7500" s="38" t="n">
        <f aca="false">(Sens!$K$7495-Sens!$K$7494)*Sens!$K$7492+Sens!$K$7494</f>
        <v>122.665498273534</v>
      </c>
      <c r="L7500" s="38" t="n">
        <f aca="false">(Sens!$L$7495-Sens!$L$7494)*Sens!$L$7492+Sens!$L$7494</f>
        <v>112.914948636568</v>
      </c>
      <c r="M7500" s="38" t="n">
        <f aca="false">(Sens!$M$7495-Sens!$M$7494)*Sens!$M$7492+Sens!$M$7494</f>
        <v>126.605482654852</v>
      </c>
      <c r="R7500" s="38" t="n">
        <f aca="false">Sens!$R$7495*Sens!$C$7492</f>
        <v>1.09927679019314</v>
      </c>
      <c r="S7500" s="38" t="n">
        <f aca="false">Sens!$C$7500</f>
        <v>8.2530642</v>
      </c>
      <c r="T7500" s="38" t="n">
        <f aca="false">Sens!$D$7500</f>
        <v>37.1387889</v>
      </c>
      <c r="U7500" s="38" t="n">
        <f aca="false">Sens!$G$7500</f>
        <v>93.2846507189913</v>
      </c>
      <c r="V7500" s="38" t="n">
        <f aca="false">Sens!$H$7500</f>
        <v>152.52478394475</v>
      </c>
      <c r="W7500" s="38" t="n">
        <f aca="false">Sens!$I$7500</f>
        <v>158.5998889105</v>
      </c>
      <c r="X7500" s="38" t="n">
        <f aca="false">Sens!$J$7500</f>
        <v>163.8366571105</v>
      </c>
      <c r="Y7500" s="38" t="n">
        <f aca="false">Sens!$K$7500</f>
        <v>122.665498273534</v>
      </c>
      <c r="Z7500" s="38" t="n">
        <f aca="false">Sens!$L$7500</f>
        <v>112.914948636568</v>
      </c>
      <c r="AA7500" s="38" t="n">
        <f aca="false">Sens!$M$7500</f>
        <v>126.605482654852</v>
      </c>
    </row>
    <row r="7501" customFormat="false" ht="15" hidden="false" customHeight="false" outlineLevel="0" collapsed="false">
      <c r="A7501" s="5" t="s">
        <v>646</v>
      </c>
      <c r="B7501" s="0" t="s">
        <v>86</v>
      </c>
      <c r="C7501" s="38" t="n">
        <f aca="false">Sens!$C$7495-Sens!$C$7500</f>
        <v>3.0408</v>
      </c>
      <c r="D7501" s="38" t="n">
        <f aca="false">Sens!$D$7495-Sens!$D$7500</f>
        <v>13.6836</v>
      </c>
      <c r="E7501" s="38" t="n">
        <f aca="false">Sens!$E$7495-Sens!$E$7500</f>
        <v>8.1088</v>
      </c>
      <c r="F7501" s="38" t="n">
        <f aca="false">Sens!$F$7495-Sens!$F$7500</f>
        <v>21.2216789422221</v>
      </c>
      <c r="G7501" s="38" t="n">
        <f aca="false">Sens!$G$7495-Sens!$G$7500</f>
        <v>29.3304789422221</v>
      </c>
      <c r="H7501" s="38" t="n">
        <f aca="false">Sens!$H$7495-Sens!$H$7500</f>
        <v>46.046581</v>
      </c>
      <c r="I7501" s="38" t="n">
        <f aca="false">Sens!$I$7495-Sens!$I$7500</f>
        <v>46.046581</v>
      </c>
      <c r="J7501" s="38" t="n">
        <f aca="false">Sens!$J$7495-Sens!$J$7500</f>
        <v>46.046581</v>
      </c>
      <c r="K7501" s="38" t="n">
        <f aca="false">Sens!$K$7495-Sens!$K$7500</f>
        <v>32.5728870016667</v>
      </c>
      <c r="L7501" s="38" t="n">
        <f aca="false">Sens!$L$7495-Sens!$L$7500</f>
        <v>19.0991930033334</v>
      </c>
      <c r="M7501" s="38" t="n">
        <f aca="false">Sens!$M$7495-Sens!$M$7500</f>
        <v>5.62549900499998</v>
      </c>
      <c r="R7501" s="38" t="n">
        <f aca="false">Sens!$R$7495-Sens!$R$7500</f>
        <v>0.405023005106309</v>
      </c>
      <c r="S7501" s="38" t="n">
        <f aca="false">Sens!$S$7495-Sens!$S$7500</f>
        <v>3.0408</v>
      </c>
      <c r="T7501" s="38" t="n">
        <f aca="false">Sens!$T$7495-Sens!$T$7500</f>
        <v>13.6836</v>
      </c>
      <c r="U7501" s="38" t="n">
        <f aca="false">Sens!$U$7495-Sens!$U$7500</f>
        <v>29.3304789422221</v>
      </c>
      <c r="V7501" s="38" t="n">
        <f aca="false">Sens!$V$7495-Sens!$V$7500</f>
        <v>46.046581</v>
      </c>
      <c r="W7501" s="38" t="n">
        <f aca="false">Sens!$W$7495-Sens!$W$7500</f>
        <v>46.046581</v>
      </c>
      <c r="X7501" s="38" t="n">
        <f aca="false">Sens!$X$7495-Sens!$X$7500</f>
        <v>46.046581</v>
      </c>
      <c r="Y7501" s="38" t="n">
        <f aca="false">Sens!$Y$7495-Sens!$Y$7500</f>
        <v>32.5728870016667</v>
      </c>
      <c r="Z7501" s="38" t="n">
        <f aca="false">Sens!$Z$7495-Sens!$Z$7500</f>
        <v>19.0991930033334</v>
      </c>
      <c r="AA7501" s="38" t="n">
        <f aca="false">Sens!$AA$7495-Sens!$AA$7500</f>
        <v>5.62549900499998</v>
      </c>
    </row>
    <row r="7502" customFormat="false" ht="17.15" hidden="false" customHeight="false" outlineLevel="0" collapsed="false">
      <c r="A7502" s="0" t="s">
        <v>647</v>
      </c>
      <c r="B7502" s="0" t="s">
        <v>52</v>
      </c>
      <c r="C7502" s="13" t="n">
        <f aca="false">Sens!$C$7493/Sens!$C$7618</f>
        <v>0.325505489553393</v>
      </c>
      <c r="D7502" s="13" t="n">
        <f aca="false">Sens!$D$7493/Sens!$D$7618</f>
        <v>0.54214956071542</v>
      </c>
      <c r="E7502" s="13" t="n">
        <f aca="false">Sens!$E$7493/Sens!$E$7618</f>
        <v>0.666492790452817</v>
      </c>
      <c r="F7502" s="13" t="n">
        <f aca="false">Sens!$F$7493/Sens!$F$7618</f>
        <v>0.71724917504417</v>
      </c>
      <c r="G7502" s="13" t="n">
        <f aca="false">Sens!$G$7493/Sens!$G$7618</f>
        <v>0.69502941413511</v>
      </c>
      <c r="H7502" s="13" t="n">
        <f aca="false">Sens!$H$7493/Sens!$H$7618</f>
        <v>0.726376041178204</v>
      </c>
      <c r="I7502" s="13" t="n">
        <f aca="false">Sens!$I$7493/Sens!$I$7618</f>
        <v>0.713099092661699</v>
      </c>
      <c r="J7502" s="13" t="n">
        <f aca="false">Sens!$J$7493/Sens!$J$7618</f>
        <v>0.701208348786245</v>
      </c>
      <c r="K7502" s="13" t="n">
        <f aca="false">Sens!$K$7493/Sens!$K$7618</f>
        <v>0.618338844562383</v>
      </c>
      <c r="L7502" s="13" t="n">
        <f aca="false">Sens!$L$7493/Sens!$L$7618</f>
        <v>0.562489158462506</v>
      </c>
      <c r="M7502" s="13" t="n">
        <f aca="false">Sens!$M$7493/Sens!$M$7618</f>
        <v>0.545751190895923</v>
      </c>
    </row>
    <row r="7503" customFormat="false" ht="17.15" hidden="false" customHeight="false" outlineLevel="0" collapsed="false">
      <c r="A7503" s="0" t="s">
        <v>648</v>
      </c>
      <c r="B7503" s="0" t="s">
        <v>86</v>
      </c>
      <c r="C7503" s="38" t="n">
        <f aca="false">Sens!$S$7503</f>
        <v>0.183212798365523</v>
      </c>
      <c r="D7503" s="38" t="n">
        <f aca="false">Sens!$T$7503</f>
        <v>1.55872349836552</v>
      </c>
      <c r="E7503" s="38" t="n">
        <f aca="false">Sens!$G$7503/2</f>
        <v>4.72585036583285</v>
      </c>
      <c r="F7503" s="38" t="n">
        <f aca="false">Sens!$G$7503/2</f>
        <v>4.72585036583285</v>
      </c>
      <c r="G7503" s="38" t="n">
        <f aca="false">Sens!$U$7503</f>
        <v>9.4517007316657</v>
      </c>
      <c r="H7503" s="38" t="n">
        <f aca="false">Sens!$V$7503</f>
        <v>27.2822988413376</v>
      </c>
      <c r="I7503" s="38" t="n">
        <f aca="false">Sens!$W$7503</f>
        <v>56.5439995605568</v>
      </c>
      <c r="J7503" s="38" t="n">
        <f aca="false">Sens!$X$7503</f>
        <v>82.9773143789735</v>
      </c>
      <c r="K7503" s="38" t="n">
        <f aca="false">Sens!$Y$7503</f>
        <v>110.100211099025</v>
      </c>
      <c r="L7503" s="38" t="n">
        <f aca="false">Sens!$Z$7503</f>
        <v>129.16895011128</v>
      </c>
      <c r="M7503" s="38" t="n">
        <f aca="false">Sens!$AA$7503</f>
        <v>140.095130984075</v>
      </c>
      <c r="N7503" s="38" t="n">
        <f aca="false">Sens!$D$7503/2</f>
        <v>0.779361749182762</v>
      </c>
      <c r="O7503" s="38" t="n">
        <f aca="false">Sens!$D$7503/2</f>
        <v>0.779361749182762</v>
      </c>
      <c r="R7503" s="38" t="n">
        <f aca="false">(SUMPRODUCT(--(Sens!$R$7463:$AA$7463&lt;Sens!R$7463),--(Sens!$R$7463:$AA$7463&gt;=Sens!R$7463-tk_life),Sens!$R$7500:$AA$7500)+SUMPRODUCT(--(Sens!$R$7463:$AA$7463&lt;Sens!R$7463),--(Sens!$R$7463:$AA$7463&gt;=Sens!R$7463-tk_life),Sens!$R$7498:$AA$7498))/tk_life</f>
        <v>0</v>
      </c>
      <c r="S7503" s="38" t="n">
        <f aca="false">(SUMPRODUCT(--(Sens!$R$7463:$AA$7463&lt;Sens!S$7463),--(Sens!$R$7463:$AA$7463&gt;=Sens!S$7463-tk_life),Sens!$R$7500:$AA$7500)+SUMPRODUCT(--(Sens!$R$7463:$AA$7463&lt;Sens!S$7463),--(Sens!$R$7463:$AA$7463&gt;=Sens!S$7463-tk_life),Sens!$R$7498:$AA$7498))/tk_life</f>
        <v>0.183212798365523</v>
      </c>
      <c r="T7503" s="38" t="n">
        <f aca="false">(SUMPRODUCT(--(Sens!$R$7463:$AA$7463&lt;Sens!T$7463),--(Sens!$R$7463:$AA$7463&gt;=Sens!T$7463-tk_life),Sens!$R$7500:$AA$7500)+SUMPRODUCT(--(Sens!$R$7463:$AA$7463&lt;Sens!T$7463),--(Sens!$R$7463:$AA$7463&gt;=Sens!T$7463-tk_life),Sens!$R$7498:$AA$7498))/tk_life</f>
        <v>1.55872349836552</v>
      </c>
      <c r="U7503" s="38" t="n">
        <f aca="false">(SUMPRODUCT(--(Sens!$R$7463:$AA$7463&lt;Sens!U$7463),--(Sens!$R$7463:$AA$7463&gt;=Sens!U$7463-tk_life),Sens!$R$7500:$AA$7500)+SUMPRODUCT(--(Sens!$R$7463:$AA$7463&lt;Sens!U$7463),--(Sens!$R$7463:$AA$7463&gt;=Sens!U$7463-tk_life),Sens!$R$7498:$AA$7498))/tk_life</f>
        <v>9.4517007316657</v>
      </c>
      <c r="V7503" s="38" t="n">
        <f aca="false">(SUMPRODUCT(--(Sens!$R$7463:$AA$7463&lt;Sens!V$7463),--(Sens!$R$7463:$AA$7463&gt;=Sens!V$7463-tk_life),Sens!$R$7500:$AA$7500)+SUMPRODUCT(--(Sens!$R$7463:$AA$7463&lt;Sens!V$7463),--(Sens!$R$7463:$AA$7463&gt;=Sens!V$7463-tk_life),Sens!$R$7498:$AA$7498))/tk_life</f>
        <v>27.2822988413376</v>
      </c>
      <c r="W7503" s="38" t="n">
        <f aca="false">(SUMPRODUCT(--(Sens!$R$7463:$AA$7463&lt;Sens!W$7463),--(Sens!$R$7463:$AA$7463&gt;=Sens!W$7463-tk_life),Sens!$R$7500:$AA$7500)+SUMPRODUCT(--(Sens!$R$7463:$AA$7463&lt;Sens!W$7463),--(Sens!$R$7463:$AA$7463&gt;=Sens!W$7463-tk_life),Sens!$R$7498:$AA$7498))/tk_life</f>
        <v>56.5439995605568</v>
      </c>
      <c r="X7503" s="38" t="n">
        <f aca="false">(SUMPRODUCT(--(Sens!$R$7463:$AA$7463&lt;Sens!X$7463),--(Sens!$R$7463:$AA$7463&gt;=Sens!X$7463-tk_life),Sens!$R$7500:$AA$7500)+SUMPRODUCT(--(Sens!$R$7463:$AA$7463&lt;Sens!X$7463),--(Sens!$R$7463:$AA$7463&gt;=Sens!X$7463-tk_life),Sens!$R$7498:$AA$7498))/tk_life</f>
        <v>82.9773143789735</v>
      </c>
      <c r="Y7503" s="38" t="n">
        <f aca="false">(SUMPRODUCT(--(Sens!$R$7463:$AA$7463&lt;Sens!Y$7463),--(Sens!$R$7463:$AA$7463&gt;=Sens!Y$7463-tk_life),Sens!$R$7500:$AA$7500)+SUMPRODUCT(--(Sens!$R$7463:$AA$7463&lt;Sens!Y$7463),--(Sens!$R$7463:$AA$7463&gt;=Sens!Y$7463-tk_life),Sens!$R$7498:$AA$7498))/tk_life</f>
        <v>110.100211099025</v>
      </c>
      <c r="Z7503" s="38" t="n">
        <f aca="false">(SUMPRODUCT(--(Sens!$R$7463:$AA$7463&lt;Sens!Z$7463),--(Sens!$R$7463:$AA$7463&gt;=Sens!Z$7463-tk_life),Sens!$R$7500:$AA$7500)+SUMPRODUCT(--(Sens!$R$7463:$AA$7463&lt;Sens!Z$7463),--(Sens!$R$7463:$AA$7463&gt;=Sens!Z$7463-tk_life),Sens!$R$7498:$AA$7498))/tk_life</f>
        <v>129.16895011128</v>
      </c>
      <c r="AA7503" s="38" t="n">
        <f aca="false">(SUMPRODUCT(--(Sens!$R$7463:$AA$7463&lt;Sens!AA$7463),--(Sens!$R$7463:$AA$7463&gt;=Sens!AA$7463-tk_life),Sens!$R$7500:$AA$7500)+SUMPRODUCT(--(Sens!$R$7463:$AA$7463&lt;Sens!AA$7463),--(Sens!$R$7463:$AA$7463&gt;=Sens!AA$7463-tk_life),Sens!$R$7498:$AA$7498))/tk_life</f>
        <v>140.095130984075</v>
      </c>
    </row>
    <row r="7504" customFormat="false" ht="17.15" hidden="false" customHeight="false" outlineLevel="0" collapsed="false">
      <c r="A7504" s="0" t="s">
        <v>649</v>
      </c>
      <c r="B7504" s="0" t="s">
        <v>86</v>
      </c>
      <c r="C7504" s="38" t="n">
        <f aca="false">Sens!$S$7504</f>
        <v>0.0202511502553155</v>
      </c>
      <c r="D7504" s="38" t="n">
        <f aca="false">Sens!$T$7504</f>
        <v>0.172291150255315</v>
      </c>
      <c r="E7504" s="38" t="n">
        <f aca="false">Sens!$G$7504/2</f>
        <v>0.522364740326067</v>
      </c>
      <c r="F7504" s="38" t="n">
        <f aca="false">Sens!$G$7504/2</f>
        <v>0.522364740326067</v>
      </c>
      <c r="G7504" s="38" t="n">
        <f aca="false">Sens!$U$7504</f>
        <v>1.04472948065213</v>
      </c>
      <c r="H7504" s="38" t="n">
        <f aca="false">Sens!$V$7504</f>
        <v>2.76361866736136</v>
      </c>
      <c r="I7504" s="38" t="n">
        <f aca="false">Sens!$W$7504</f>
        <v>5.42824377125863</v>
      </c>
      <c r="J7504" s="38" t="n">
        <f aca="false">Sens!$X$7504</f>
        <v>7.73057282125864</v>
      </c>
      <c r="K7504" s="38" t="n">
        <f aca="false">Sens!$Y$7504</f>
        <v>10.0329018712586</v>
      </c>
      <c r="L7504" s="38" t="n">
        <f aca="false">Sens!$Z$7504</f>
        <v>11.661546221342</v>
      </c>
      <c r="M7504" s="38" t="n">
        <f aca="false">Sens!$AA$7504</f>
        <v>12.6165058715086</v>
      </c>
      <c r="N7504" s="38" t="n">
        <f aca="false">Sens!$D$7504/2</f>
        <v>0.0861455751276577</v>
      </c>
      <c r="O7504" s="38" t="n">
        <f aca="false">Sens!$D$7504/2</f>
        <v>0.0861455751276577</v>
      </c>
      <c r="R7504" s="38" t="n">
        <f aca="false">(SUMPRODUCT(--(Sens!$R$7463:$AA$7463&lt;Sens!R$7463),Sens!$R$7501:$AA$7501)+SUMPRODUCT(--(Sens!$R$7463:$AA$7463&lt;Sens!R$7463),Sens!$R$7499:$AA$7499))/fac_life</f>
        <v>0</v>
      </c>
      <c r="S7504" s="38" t="n">
        <f aca="false">(SUMPRODUCT(--(Sens!$R$7463:$AA$7463&lt;Sens!S$7463),Sens!$R$7501:$AA$7501)+SUMPRODUCT(--(Sens!$R$7463:$AA$7463&lt;Sens!S$7463),Sens!$R$7499:$AA$7499))/fac_life</f>
        <v>0.0202511502553155</v>
      </c>
      <c r="T7504" s="38" t="n">
        <f aca="false">(SUMPRODUCT(--(Sens!$R$7463:$AA$7463&lt;Sens!T$7463),Sens!$R$7501:$AA$7501)+SUMPRODUCT(--(Sens!$R$7463:$AA$7463&lt;Sens!T$7463),Sens!$R$7499:$AA$7499))/fac_life</f>
        <v>0.172291150255315</v>
      </c>
      <c r="U7504" s="38" t="n">
        <f aca="false">(SUMPRODUCT(--(Sens!$R$7463:$AA$7463&lt;Sens!U$7463),Sens!$R$7501:$AA$7501)+SUMPRODUCT(--(Sens!$R$7463:$AA$7463&lt;Sens!U$7463),Sens!$R$7499:$AA$7499))/fac_life</f>
        <v>1.04472948065213</v>
      </c>
      <c r="V7504" s="38" t="n">
        <f aca="false">(SUMPRODUCT(--(Sens!$R$7463:$AA$7463&lt;Sens!V$7463),Sens!$R$7501:$AA$7501)+SUMPRODUCT(--(Sens!$R$7463:$AA$7463&lt;Sens!V$7463),Sens!$R$7499:$AA$7499))/fac_life</f>
        <v>2.76361866736136</v>
      </c>
      <c r="W7504" s="38" t="n">
        <f aca="false">(SUMPRODUCT(--(Sens!$R$7463:$AA$7463&lt;Sens!W$7463),Sens!$R$7501:$AA$7501)+SUMPRODUCT(--(Sens!$R$7463:$AA$7463&lt;Sens!W$7463),Sens!$R$7499:$AA$7499))/fac_life</f>
        <v>5.42824377125863</v>
      </c>
      <c r="X7504" s="38" t="n">
        <f aca="false">(SUMPRODUCT(--(Sens!$R$7463:$AA$7463&lt;Sens!X$7463),Sens!$R$7501:$AA$7501)+SUMPRODUCT(--(Sens!$R$7463:$AA$7463&lt;Sens!X$7463),Sens!$R$7499:$AA$7499))/fac_life</f>
        <v>7.73057282125864</v>
      </c>
      <c r="Y7504" s="38" t="n">
        <f aca="false">(SUMPRODUCT(--(Sens!$R$7463:$AA$7463&lt;Sens!Y$7463),Sens!$R$7501:$AA$7501)+SUMPRODUCT(--(Sens!$R$7463:$AA$7463&lt;Sens!Y$7463),Sens!$R$7499:$AA$7499))/fac_life</f>
        <v>10.0329018712586</v>
      </c>
      <c r="Z7504" s="38" t="n">
        <f aca="false">(SUMPRODUCT(--(Sens!$R$7463:$AA$7463&lt;Sens!Z$7463),Sens!$R$7501:$AA$7501)+SUMPRODUCT(--(Sens!$R$7463:$AA$7463&lt;Sens!Z$7463),Sens!$R$7499:$AA$7499))/fac_life</f>
        <v>11.661546221342</v>
      </c>
      <c r="AA7504" s="38" t="n">
        <f aca="false">(SUMPRODUCT(--(Sens!$R$7463:$AA$7463&lt;Sens!AA$7463),Sens!$R$7501:$AA$7501)+SUMPRODUCT(--(Sens!$R$7463:$AA$7463&lt;Sens!AA$7463),Sens!$R$7499:$AA$7499))/fac_life</f>
        <v>12.6165058715086</v>
      </c>
    </row>
    <row r="7505" customFormat="false" ht="17.15" hidden="false" customHeight="false" outlineLevel="0" collapsed="false">
      <c r="A7505" s="1" t="s">
        <v>650</v>
      </c>
      <c r="B7505" s="8" t="s">
        <v>86</v>
      </c>
      <c r="C7505" s="38" t="n">
        <f aca="false">Sens!$C$7503+Sens!$C$7504</f>
        <v>0.203463948620839</v>
      </c>
      <c r="D7505" s="38" t="n">
        <f aca="false">Sens!$D$7503+Sens!$D$7504</f>
        <v>1.73101464862084</v>
      </c>
      <c r="E7505" s="38" t="n">
        <f aca="false">Sens!$E$7503+Sens!$E$7504</f>
        <v>5.24821510615892</v>
      </c>
      <c r="F7505" s="38" t="n">
        <f aca="false">Sens!$F$7503+Sens!$F$7504</f>
        <v>5.24821510615892</v>
      </c>
      <c r="G7505" s="38" t="n">
        <f aca="false">Sens!$G$7503+Sens!$G$7504</f>
        <v>10.4964302123178</v>
      </c>
      <c r="H7505" s="38" t="n">
        <f aca="false">Sens!$H$7503+Sens!$H$7504</f>
        <v>30.045917508699</v>
      </c>
      <c r="I7505" s="38" t="n">
        <f aca="false">Sens!$I$7503+Sens!$I$7504</f>
        <v>61.9722433318155</v>
      </c>
      <c r="J7505" s="38" t="n">
        <f aca="false">Sens!$J$7503+Sens!$J$7504</f>
        <v>90.7078872002321</v>
      </c>
      <c r="K7505" s="38" t="n">
        <f aca="false">Sens!$K$7503+Sens!$K$7504</f>
        <v>120.133112970283</v>
      </c>
      <c r="L7505" s="38" t="n">
        <f aca="false">Sens!$L$7503+Sens!$L$7504</f>
        <v>140.830496332622</v>
      </c>
      <c r="M7505" s="38" t="n">
        <f aca="false">Sens!$M$7503+Sens!$M$7504</f>
        <v>152.711636855584</v>
      </c>
      <c r="N7505" s="38" t="n">
        <f aca="false">Sens!$N$7503+Sens!$N$7504</f>
        <v>0.865507324310419</v>
      </c>
      <c r="O7505" s="38" t="n">
        <f aca="false">Sens!$O$7503+Sens!$O$7504</f>
        <v>0.865507324310419</v>
      </c>
      <c r="R7505" s="38" t="n">
        <f aca="false">Sens!$R$7503+Sens!$R$7504</f>
        <v>0</v>
      </c>
      <c r="S7505" s="38" t="n">
        <f aca="false">Sens!$S$7503+Sens!$S$7504</f>
        <v>0.203463948620839</v>
      </c>
      <c r="T7505" s="38" t="n">
        <f aca="false">Sens!$T$7503+Sens!$T$7504</f>
        <v>1.73101464862084</v>
      </c>
      <c r="U7505" s="38" t="n">
        <f aca="false">Sens!$U$7503+Sens!$U$7504</f>
        <v>10.4964302123178</v>
      </c>
      <c r="V7505" s="38" t="n">
        <f aca="false">Sens!$V$7503+Sens!$V$7504</f>
        <v>30.045917508699</v>
      </c>
      <c r="W7505" s="38" t="n">
        <f aca="false">Sens!$W$7503+Sens!$W$7504</f>
        <v>61.9722433318155</v>
      </c>
      <c r="X7505" s="38" t="n">
        <f aca="false">Sens!$X$7503+Sens!$X$7504</f>
        <v>90.7078872002321</v>
      </c>
      <c r="Y7505" s="38" t="n">
        <f aca="false">Sens!$Y$7503+Sens!$Y$7504</f>
        <v>120.133112970283</v>
      </c>
      <c r="Z7505" s="38" t="n">
        <f aca="false">Sens!$Z$7503+Sens!$Z$7504</f>
        <v>140.830496332622</v>
      </c>
      <c r="AA7505" s="38" t="n">
        <f aca="false">Sens!$AA$7503+Sens!$AA$7504</f>
        <v>152.711636855584</v>
      </c>
    </row>
    <row r="7506" customFormat="false" ht="17.15" hidden="false" customHeight="false" outlineLevel="0" collapsed="false">
      <c r="A7506" s="0" t="s">
        <v>651</v>
      </c>
      <c r="B7506" s="0" t="s">
        <v>86</v>
      </c>
      <c r="C7506" s="38" t="n">
        <f aca="false">Sens!$S$7506</f>
        <v>26.578941154416</v>
      </c>
      <c r="D7506" s="38" t="n">
        <f aca="false">Sens!$T$7506</f>
        <v>94.4165581367978</v>
      </c>
      <c r="G7506" s="38" t="n">
        <f aca="false">Sens!$U$7506</f>
        <v>236.826599034204</v>
      </c>
      <c r="H7506" s="38" t="n">
        <f aca="false">Sens!$V$7506</f>
        <v>405.352046470255</v>
      </c>
      <c r="I7506" s="38" t="n">
        <f aca="false">Sens!$W$7506</f>
        <v>548.02627304894</v>
      </c>
      <c r="J7506" s="38" t="n">
        <f aca="false">Sens!$X$7506</f>
        <v>667.201623959208</v>
      </c>
      <c r="K7506" s="38" t="n">
        <f aca="false">Sens!$Y$7506</f>
        <v>702.306896264125</v>
      </c>
      <c r="L7506" s="38" t="n">
        <f aca="false">Sens!$Z$7506</f>
        <v>693.490541571405</v>
      </c>
      <c r="M7506" s="38" t="n">
        <f aca="false">Sens!$AA$7506</f>
        <v>673.009886375674</v>
      </c>
      <c r="R7506" s="38" t="n">
        <f aca="false">SUM(Sens!$R$7493:$R$7493)-SUM(Sens!$R$7505:$R$7505)</f>
        <v>1.50429979529945</v>
      </c>
      <c r="S7506" s="38" t="n">
        <f aca="false">SUM(Sens!$R$7493:$S$7493)-SUM(Sens!$R$7505:$S$7505)</f>
        <v>26.578941154416</v>
      </c>
      <c r="T7506" s="38" t="n">
        <f aca="false">SUM(Sens!$R$7493:$T$7493)-SUM(Sens!$R$7505:$T$7505)</f>
        <v>94.4165581367978</v>
      </c>
      <c r="U7506" s="38" t="n">
        <f aca="false">SUM(Sens!$R$7493:$U$7493)-SUM(Sens!$R$7505:$U$7505)</f>
        <v>236.826599034204</v>
      </c>
      <c r="V7506" s="38" t="n">
        <f aca="false">SUM(Sens!$R$7493:$V$7493)-SUM(Sens!$R$7505:$V$7505)</f>
        <v>405.352046470255</v>
      </c>
      <c r="W7506" s="38" t="n">
        <f aca="false">SUM(Sens!$R$7493:$W$7493)-SUM(Sens!$R$7505:$W$7505)</f>
        <v>548.02627304894</v>
      </c>
      <c r="X7506" s="38" t="n">
        <f aca="false">SUM(Sens!$R$7493:$X$7493)-SUM(Sens!$R$7505:$X$7505)</f>
        <v>667.201623959208</v>
      </c>
      <c r="Y7506" s="38" t="n">
        <f aca="false">SUM(Sens!$R$7493:$Y$7493)-SUM(Sens!$R$7505:$Y$7505)</f>
        <v>702.306896264125</v>
      </c>
      <c r="Z7506" s="38" t="n">
        <f aca="false">SUM(Sens!$R$7493:$Z$7493)-SUM(Sens!$R$7505:$Z$7505)</f>
        <v>693.490541571405</v>
      </c>
      <c r="AA7506" s="38" t="n">
        <f aca="false">SUM(Sens!$R$7493:$AA$7493)-SUM(Sens!$R$7505:$AA$7505)</f>
        <v>673.009886375674</v>
      </c>
    </row>
    <row r="7507" customFormat="false" ht="17.15" hidden="false" customHeight="false" outlineLevel="0" collapsed="false">
      <c r="A7507" s="1" t="s">
        <v>652</v>
      </c>
    </row>
    <row r="7508" customFormat="false" ht="17.15" hidden="false" customHeight="false" outlineLevel="0" collapsed="false">
      <c r="A7508" s="0" t="s">
        <v>653</v>
      </c>
      <c r="B7508" s="0" t="s">
        <v>86</v>
      </c>
      <c r="C7508" s="38" t="n">
        <f aca="false">Sens!$C$7484-ext_sh*Sens!$C$7486</f>
        <v>1.80694998843362</v>
      </c>
      <c r="D7508" s="38" t="n">
        <f aca="false">Sens!$D$7484-ext_sh*Sens!$D$7486</f>
        <v>6.77606245662607</v>
      </c>
      <c r="E7508" s="38" t="n">
        <f aca="false">Sens!$E$7484-ext_sh*Sens!$E$7486</f>
        <v>6.62548329092326</v>
      </c>
      <c r="F7508" s="38" t="n">
        <f aca="false">Sens!$F$7484-ext_sh*Sens!$F$7486</f>
        <v>11.7200577158706</v>
      </c>
      <c r="G7508" s="38" t="n">
        <f aca="false">Sens!$G$7484-ext_sh*Sens!$G$7486</f>
        <v>18.3455410067939</v>
      </c>
      <c r="H7508" s="38" t="n">
        <f aca="false">Sens!$H$7484-ext_sh*Sens!$H$7486</f>
        <v>47.5171727060453</v>
      </c>
      <c r="I7508" s="38" t="n">
        <f aca="false">Sens!$I$7484-ext_sh*Sens!$I$7486</f>
        <v>80.5539692643667</v>
      </c>
      <c r="J7508" s="38" t="n">
        <f aca="false">Sens!$J$7484-ext_sh*Sens!$J$7486</f>
        <v>113.759316834883</v>
      </c>
      <c r="K7508" s="38" t="n">
        <f aca="false">Sens!$K$7484-ext_sh*Sens!$K$7486</f>
        <v>142.084411492169</v>
      </c>
      <c r="L7508" s="38" t="n">
        <f aca="false">Sens!$L$7484-ext_sh*Sens!$L$7486</f>
        <v>160.69964615804</v>
      </c>
      <c r="M7508" s="38" t="n">
        <f aca="false">Sens!$M$7484-ext_sh*Sens!$M$7486</f>
        <v>169.577607141793</v>
      </c>
      <c r="N7508" s="38" t="n">
        <f aca="false">Sens!$N$7484-ext_sh*Sens!$N$7486</f>
        <v>2.37162185981912</v>
      </c>
      <c r="O7508" s="38" t="n">
        <f aca="false">Sens!$O$7484-ext_sh*Sens!$O$7486</f>
        <v>4.40444059680694</v>
      </c>
    </row>
    <row r="7509" customFormat="false" ht="17.15" hidden="false" customHeight="false" outlineLevel="0" collapsed="false">
      <c r="A7509" s="1" t="s">
        <v>654</v>
      </c>
      <c r="B7509" s="8" t="s">
        <v>86</v>
      </c>
      <c r="C7509" s="38" t="n">
        <f aca="false">Sens!$C$7508-ext_sh*Sens!$C$7505</f>
        <v>1.64417882953695</v>
      </c>
      <c r="D7509" s="38" t="n">
        <f aca="false">Sens!$D$7508-ext_sh*Sens!$D$7505</f>
        <v>5.39125073772939</v>
      </c>
      <c r="E7509" s="38" t="n">
        <f aca="false">Sens!$E$7508-ext_sh*Sens!$E$7505</f>
        <v>2.42691120599613</v>
      </c>
      <c r="F7509" s="38" t="n">
        <f aca="false">Sens!$F$7508-ext_sh*Sens!$F$7505</f>
        <v>7.52148563094346</v>
      </c>
      <c r="G7509" s="38" t="n">
        <f aca="false">Sens!$G$7508-ext_sh*Sens!$G$7505</f>
        <v>9.94839683693959</v>
      </c>
      <c r="H7509" s="38" t="n">
        <f aca="false">Sens!$H$7508-ext_sh*Sens!$H$7505</f>
        <v>23.4804386990861</v>
      </c>
      <c r="I7509" s="38" t="n">
        <f aca="false">Sens!$I$7508-ext_sh*Sens!$I$7505</f>
        <v>30.9761745989143</v>
      </c>
      <c r="J7509" s="38" t="n">
        <f aca="false">Sens!$J$7508-ext_sh*Sens!$J$7505</f>
        <v>41.1930070746977</v>
      </c>
      <c r="K7509" s="38" t="n">
        <f aca="false">Sens!$K$7508-ext_sh*Sens!$K$7505</f>
        <v>45.9779211159428</v>
      </c>
      <c r="L7509" s="38" t="n">
        <f aca="false">Sens!$L$7508-ext_sh*Sens!$L$7505</f>
        <v>48.0352490919424</v>
      </c>
      <c r="M7509" s="38" t="n">
        <f aca="false">Sens!$M$7508-ext_sh*Sens!$M$7505</f>
        <v>47.4082976573265</v>
      </c>
      <c r="N7509" s="38" t="n">
        <f aca="false">Sens!$N$7508-ext_sh*Sens!$N$7505</f>
        <v>1.67921600037079</v>
      </c>
      <c r="O7509" s="38" t="n">
        <f aca="false">Sens!$O$7508-ext_sh*Sens!$O$7505</f>
        <v>3.71203473735861</v>
      </c>
    </row>
    <row r="7510" customFormat="false" ht="17.15" hidden="false" customHeight="false" outlineLevel="0" collapsed="false">
      <c r="A7510" s="0" t="s">
        <v>655</v>
      </c>
      <c r="B7510" s="0" t="s">
        <v>52</v>
      </c>
      <c r="C7510" s="13" t="n">
        <f aca="false">Sens!$C$7509/Sens!$C$7484</f>
        <v>0.708390794789371</v>
      </c>
      <c r="D7510" s="13" t="n">
        <f aca="false">Sens!$D$7509/Sens!$D$7484</f>
        <v>0.619415573115729</v>
      </c>
      <c r="E7510" s="13" t="n">
        <f aca="false">Sens!$E$7509/Sens!$E$7484</f>
        <v>0.285171627189009</v>
      </c>
      <c r="F7510" s="13" t="n">
        <f aca="false">Sens!$F$7509/Sens!$F$7484</f>
        <v>0.502657732812366</v>
      </c>
      <c r="G7510" s="13" t="n">
        <f aca="false">Sens!$G$7509/Sens!$G$7484</f>
        <v>0.423808778611812</v>
      </c>
      <c r="H7510" s="13" t="n">
        <f aca="false">Sens!$H$7509/Sens!$H$7484</f>
        <v>0.390261631739809</v>
      </c>
      <c r="I7510" s="13" t="n">
        <f aca="false">Sens!$I$7509/Sens!$I$7484</f>
        <v>0.305172864264572</v>
      </c>
      <c r="J7510" s="13" t="n">
        <f aca="false">Sens!$J$7509/Sens!$J$7484</f>
        <v>0.288011814789856</v>
      </c>
      <c r="K7510" s="13" t="n">
        <f aca="false">Sens!$K$7509/Sens!$K$7484</f>
        <v>0.25765427518774</v>
      </c>
      <c r="L7510" s="13" t="n">
        <f aca="false">Sens!$L$7509/Sens!$L$7484</f>
        <v>0.238118778012374</v>
      </c>
      <c r="M7510" s="13" t="n">
        <f aca="false">Sens!$M$7509/Sens!$M$7484</f>
        <v>0.222746255757109</v>
      </c>
      <c r="N7510" s="13" t="n">
        <f aca="false">Sens!$N$7509/Sens!$N$7484</f>
        <v>0.551227795793364</v>
      </c>
      <c r="O7510" s="13" t="n">
        <f aca="false">Sens!$O$7509/Sens!$O$7484</f>
        <v>0.656132068597002</v>
      </c>
    </row>
    <row r="7511" customFormat="false" ht="17.15" hidden="false" customHeight="false" outlineLevel="0" collapsed="false">
      <c r="A7511" s="5" t="s">
        <v>656</v>
      </c>
      <c r="B7511" s="0" t="s">
        <v>86</v>
      </c>
      <c r="C7511" s="39" t="n">
        <v>0</v>
      </c>
      <c r="D7511" s="39" t="n">
        <v>0</v>
      </c>
      <c r="E7511" s="39" t="n">
        <v>0</v>
      </c>
      <c r="F7511" s="38" t="n">
        <f aca="false">IF(internal_ai_reading=2,1,0)*(1-ext_sh)/ext_sh*(mw_open*he_open+Sens!$F$7482*Sens!$F$7479)*Sens!$F$7468/1000</f>
        <v>3.77122048175818</v>
      </c>
      <c r="G7511" s="38" t="n">
        <f aca="false">Sens!$E$7511+Sens!$F$7511</f>
        <v>3.77122048175818</v>
      </c>
      <c r="H7511" s="38" t="n">
        <f aca="false">IF(internal_ai_reading=2,1,0)*(1-ext_sh)/ext_sh*(mw_open*he_open+Sens!$H$7482*Sens!$H$7479)*Sens!$H$7468/1000</f>
        <v>15.1635543609893</v>
      </c>
      <c r="I7511" s="38" t="n">
        <f aca="false">IF(internal_ai_reading=2,1,0)*(1-ext_sh)/ext_sh*(mw_open*he_open+Sens!$I$7482*Sens!$I$7479)*Sens!$I$7468/1000</f>
        <v>25.5818843619889</v>
      </c>
      <c r="J7511" s="38" t="n">
        <f aca="false">IF(internal_ai_reading=2,1,0)*(1-ext_sh)/ext_sh*(mw_open*he_open+Sens!$J$7482*Sens!$J$7479)*Sens!$J$7468/1000</f>
        <v>36.0465624179122</v>
      </c>
      <c r="K7511" s="38" t="n">
        <f aca="false">IF(internal_ai_reading=2,1,0)*(1-ext_sh)/ext_sh*(mw_open*he_open+Sens!$K$7482*Sens!$K$7479)*Sens!$K$7468/1000</f>
        <v>44.9741164026038</v>
      </c>
      <c r="L7511" s="38" t="n">
        <f aca="false">IF(internal_ai_reading=2,1,0)*(1-ext_sh)/ext_sh*(mw_open*he_open+Sens!$L$7482*Sens!$L$7479)*Sens!$L$7468/1000</f>
        <v>50.8413488057813</v>
      </c>
      <c r="M7511" s="38" t="n">
        <f aca="false">IF(internal_ai_reading=2,1,0)*(1-ext_sh)/ext_sh*(mw_open*he_open+Sens!$M$7482*Sens!$M$7479)*Sens!$M$7468/1000</f>
        <v>53.6407214274315</v>
      </c>
      <c r="N7511" s="39" t="n">
        <v>0</v>
      </c>
      <c r="O7511" s="39" t="n">
        <v>0</v>
      </c>
      <c r="P7511" s="8" t="s">
        <v>657</v>
      </c>
    </row>
    <row r="7512" customFormat="false" ht="17.15" hidden="false" customHeight="false" outlineLevel="0" collapsed="false">
      <c r="A7512" s="5" t="s">
        <v>658</v>
      </c>
      <c r="B7512" s="0" t="s">
        <v>86</v>
      </c>
      <c r="C7512" s="38" t="n">
        <f aca="false">(1-ext_sh)*(Sens!$C$7486+Sens!$C$7505)</f>
        <v>0.169206631859174</v>
      </c>
      <c r="D7512" s="38" t="n">
        <f aca="false">(1-ext_sh)*(Sens!$D$7486+Sens!$D$7505)</f>
        <v>0.828129837730442</v>
      </c>
      <c r="E7512" s="38" t="n">
        <f aca="false">(1-ext_sh)*(Sens!$E$7486+Sens!$E$7505)</f>
        <v>1.52086044239347</v>
      </c>
      <c r="F7512" s="38" t="n">
        <f aca="false">(1-ext_sh)*(Sens!$F$7486+Sens!$F$7505)</f>
        <v>1.86048700344425</v>
      </c>
      <c r="G7512" s="38" t="n">
        <f aca="false">(1-ext_sh)*(Sens!$G$7486+Sens!$G$7505)</f>
        <v>3.38134744583772</v>
      </c>
      <c r="H7512" s="38" t="n">
        <f aca="false">(1-ext_sh)*(Sens!$H$7486+Sens!$H$7505)</f>
        <v>9.17136301267211</v>
      </c>
      <c r="I7512" s="38" t="n">
        <f aca="false">(1-ext_sh)*(Sens!$I$7486+Sens!$I$7505)</f>
        <v>17.6318811343794</v>
      </c>
      <c r="J7512" s="38" t="n">
        <f aca="false">(1-ext_sh)*(Sens!$J$7486+Sens!$J$7505)</f>
        <v>25.4581000191451</v>
      </c>
      <c r="K7512" s="38" t="n">
        <f aca="false">(1-ext_sh)*(Sens!$K$7486+Sens!$K$7505)</f>
        <v>33.1175498168092</v>
      </c>
      <c r="L7512" s="38" t="n">
        <f aca="false">(1-ext_sh)*(Sens!$L$7486+Sens!$L$7505)</f>
        <v>38.4232131776135</v>
      </c>
      <c r="M7512" s="38" t="n">
        <f aca="false">(1-ext_sh)*(Sens!$M$7486+Sens!$M$7505)</f>
        <v>41.3567859278847</v>
      </c>
      <c r="N7512" s="38" t="n">
        <f aca="false">(1-ext_sh)*(Sens!$N$7486+Sens!$N$7505)</f>
        <v>0.34177588266428</v>
      </c>
      <c r="O7512" s="38" t="n">
        <f aca="false">(1-ext_sh)*(Sens!$O$7486+Sens!$O$7505)</f>
        <v>0.486353955066162</v>
      </c>
    </row>
    <row r="7513" customFormat="false" ht="17.15" hidden="false" customHeight="false" outlineLevel="0" collapsed="false">
      <c r="A7513" s="0" t="s">
        <v>659</v>
      </c>
      <c r="B7513" s="0" t="s">
        <v>86</v>
      </c>
      <c r="C7513" s="38" t="n">
        <f aca="false">Q!$D$24</f>
        <v>39.834</v>
      </c>
      <c r="D7513" s="38" t="n">
        <f aca="false">Q!$E$24</f>
        <v>45.606</v>
      </c>
      <c r="E7513" s="38" t="n">
        <f aca="false">Q!$P$24</f>
        <v>30.782</v>
      </c>
      <c r="N7513" s="38" t="n">
        <f aca="false">Q!$N$24</f>
        <v>21.707</v>
      </c>
      <c r="O7513" s="38" t="n">
        <f aca="false">Q!$O$24</f>
        <v>23.899</v>
      </c>
    </row>
    <row r="7514" customFormat="false" ht="17.15" hidden="false" customHeight="false" outlineLevel="0" collapsed="false">
      <c r="A7514" s="0" t="s">
        <v>660</v>
      </c>
      <c r="B7514" s="0" t="s">
        <v>86</v>
      </c>
      <c r="C7514" s="38" t="n">
        <f aca="false">Sens!$C$7513-Sens!$C$7509</f>
        <v>38.1898211704631</v>
      </c>
      <c r="D7514" s="38" t="n">
        <f aca="false">Sens!$D$7513-Sens!$D$7509</f>
        <v>40.2147492622706</v>
      </c>
      <c r="E7514" s="38" t="n">
        <f aca="false">Sens!$E$7513-Sens!$E$7509</f>
        <v>28.3550887940039</v>
      </c>
      <c r="F7514" s="38" t="n">
        <f aca="false">Sens!$F$7488*Sens!$F$7515</f>
        <v>25.9529793149447</v>
      </c>
      <c r="G7514" s="38" t="n">
        <f aca="false">Sens!$E$7514+Sens!$F$7514</f>
        <v>54.3080681089486</v>
      </c>
      <c r="H7514" s="38" t="n">
        <f aca="false">Sens!$H$7488*Sens!$H$7515</f>
        <v>58.2264684589333</v>
      </c>
      <c r="I7514" s="38" t="n">
        <f aca="false">Sens!$I$7488*Sens!$I$7515</f>
        <v>64.6461353851744</v>
      </c>
      <c r="J7514" s="38" t="n">
        <f aca="false">Sens!$J$7488*Sens!$J$7515</f>
        <v>70.7957093610231</v>
      </c>
      <c r="K7514" s="38" t="n">
        <f aca="false">Sens!$K$7488*Sens!$K$7515</f>
        <v>76.4593661099049</v>
      </c>
      <c r="L7514" s="38" t="n">
        <f aca="false">Sens!$L$7488*Sens!$L$7515</f>
        <v>82.5761153986973</v>
      </c>
      <c r="M7514" s="38" t="n">
        <f aca="false">Sens!$M$7488*Sens!$M$7515</f>
        <v>89.1822046305931</v>
      </c>
      <c r="N7514" s="38" t="n">
        <f aca="false">Sens!$N$7513-Sens!$N$7509</f>
        <v>20.0277839996292</v>
      </c>
      <c r="O7514" s="38" t="n">
        <f aca="false">Sens!$O$7513-Sens!$O$7509</f>
        <v>20.1869652626414</v>
      </c>
      <c r="P7514" s="5" t="s">
        <v>661</v>
      </c>
    </row>
    <row r="7515" customFormat="false" ht="17.15" hidden="false" customHeight="false" outlineLevel="0" collapsed="false">
      <c r="A7515" s="0" t="s">
        <v>662</v>
      </c>
      <c r="B7515" s="0" t="s">
        <v>52</v>
      </c>
      <c r="C7515" s="13" t="n">
        <f aca="false">Sens!$C$7514/Sens!$C$7488</f>
        <v>0.362900395443635</v>
      </c>
      <c r="D7515" s="13" t="n">
        <f aca="false">Sens!$D$7514/Sens!$D$7488</f>
        <v>0.335063632425483</v>
      </c>
      <c r="E7515" s="13" t="n">
        <f aca="false">Sens!$E$7514/Sens!$E$7488</f>
        <v>0.397638855555478</v>
      </c>
      <c r="F7515" s="13" t="n">
        <f aca="false">(Sens!$O$7514+Sens!$E$7514)/(Sens!$O$7488+Sens!$E$7488)</f>
        <v>0.361616727338133</v>
      </c>
      <c r="G7515" s="13" t="n">
        <f aca="false">Sens!$G$7514/Sens!$G$7488</f>
        <v>0.379569803149143</v>
      </c>
      <c r="H7515" s="13" t="n">
        <f aca="false">Sens!$F$7515</f>
        <v>0.361616727338133</v>
      </c>
      <c r="I7515" s="13" t="n">
        <f aca="false">Sens!$F$7515</f>
        <v>0.361616727338133</v>
      </c>
      <c r="J7515" s="13" t="n">
        <f aca="false">Sens!$F$7515</f>
        <v>0.361616727338133</v>
      </c>
      <c r="K7515" s="13" t="n">
        <f aca="false">Sens!$F$7515</f>
        <v>0.361616727338133</v>
      </c>
      <c r="L7515" s="13" t="n">
        <f aca="false">Sens!$F$7515</f>
        <v>0.361616727338133</v>
      </c>
      <c r="M7515" s="13" t="n">
        <f aca="false">Sens!$F$7515</f>
        <v>0.361616727338133</v>
      </c>
      <c r="N7515" s="13" t="n">
        <f aca="false">Sens!$N$7514/Sens!$N$7488</f>
        <v>0.35078810535806</v>
      </c>
      <c r="O7515" s="13" t="n">
        <f aca="false">Sens!$O$7514/Sens!$O$7488</f>
        <v>0.320796939361619</v>
      </c>
      <c r="P7515" s="8" t="s">
        <v>663</v>
      </c>
    </row>
    <row r="7516" customFormat="false" ht="17.15" hidden="false" customHeight="false" outlineLevel="0" collapsed="false">
      <c r="A7516" s="0" t="s">
        <v>664</v>
      </c>
      <c r="B7516" s="0" t="s">
        <v>52</v>
      </c>
      <c r="D7516" s="13" t="n">
        <f aca="false">(Q!$E$31-ext_sh*Sens!$D$7505)/Sens!$D$7488</f>
        <v>0.167180325480118</v>
      </c>
    </row>
    <row r="7517" customFormat="false" ht="17.15" hidden="false" customHeight="false" outlineLevel="0" collapsed="false">
      <c r="A7517" s="0" t="s">
        <v>665</v>
      </c>
      <c r="B7517" s="0" t="s">
        <v>86</v>
      </c>
      <c r="C7517" s="38" t="n">
        <f aca="false">Q!$D$31</f>
        <v>13.32</v>
      </c>
      <c r="D7517" s="38" t="n">
        <f aca="false">Q!$E$31</f>
        <v>21.45</v>
      </c>
      <c r="E7517" s="38" t="n">
        <f aca="false">Q!$P$31</f>
        <v>15.353</v>
      </c>
      <c r="F7517" s="38" t="n">
        <f aca="false">ext_sh*Sens!$F$7505+Sens!$D$7516*Sens!$F$7488</f>
        <v>16.1969869840094</v>
      </c>
      <c r="G7517" s="38" t="n">
        <f aca="false">Sens!$E$7517+Sens!$F$7517</f>
        <v>31.5499869840094</v>
      </c>
      <c r="H7517" s="38" t="n">
        <f aca="false">ext_sh*Sens!$H$7505+Sens!$D$7516*Sens!$H$7488</f>
        <v>50.9556213609176</v>
      </c>
      <c r="I7517" s="38" t="n">
        <f aca="false">ext_sh*Sens!$I$7505+Sens!$D$7516*Sens!$I$7488</f>
        <v>79.464581248252</v>
      </c>
      <c r="J7517" s="38" t="n">
        <f aca="false">ext_sh*Sens!$J$7505+Sens!$D$7516*Sens!$J$7488</f>
        <v>105.296127931746</v>
      </c>
      <c r="K7517" s="38" t="n">
        <f aca="false">ext_sh*Sens!$K$7505+Sens!$D$7516*Sens!$K$7488</f>
        <v>131.454694001511</v>
      </c>
      <c r="L7517" s="38" t="n">
        <f aca="false">ext_sh*Sens!$L$7505+Sens!$D$7516*Sens!$L$7488</f>
        <v>150.840456981405</v>
      </c>
      <c r="M7517" s="38" t="n">
        <f aca="false">ext_sh*Sens!$M$7505+Sens!$D$7516*Sens!$M$7488</f>
        <v>163.399454192999</v>
      </c>
      <c r="N7517" s="38" t="n">
        <f aca="false">Q!$N$31</f>
        <v>9.234</v>
      </c>
      <c r="O7517" s="38" t="n">
        <f aca="false">Q!$O$31</f>
        <v>12.216</v>
      </c>
    </row>
    <row r="7518" customFormat="false" ht="17.15" hidden="false" customHeight="false" outlineLevel="0" collapsed="false">
      <c r="A7518" s="1" t="s">
        <v>666</v>
      </c>
    </row>
    <row r="7519" customFormat="false" ht="17.15" hidden="false" customHeight="false" outlineLevel="0" collapsed="false">
      <c r="A7519" s="15" t="s">
        <v>667</v>
      </c>
      <c r="B7519" s="14" t="s">
        <v>52</v>
      </c>
      <c r="C7519" s="14"/>
      <c r="D7519" s="14"/>
      <c r="E7519" s="14"/>
      <c r="F7519" s="14"/>
      <c r="G7519" s="17" t="n">
        <f aca="false">Sens!$G$7509*(1-tax)/(ext_sh*(Sens!$D$7506+Sens!$G$7506)/2)</f>
        <v>0.0620504069546486</v>
      </c>
      <c r="H7519" s="17" t="n">
        <f aca="false">Sens!$H$7509*(1-tax)/(ext_sh*(Sens!$G$7506+Sens!$H$7506)/2)</f>
        <v>0.0755420551527686</v>
      </c>
      <c r="I7519" s="17" t="n">
        <f aca="false">Sens!$I$7509*(1-tax)/(ext_sh*(Sens!$H$7506+Sens!$I$7506)/2)</f>
        <v>0.067127575356291</v>
      </c>
      <c r="J7519" s="17" t="n">
        <f aca="false">Sens!$J$7509*(1-tax)/(ext_sh*(Sens!$I$7506+Sens!$J$7506)/2)</f>
        <v>0.0700332392906535</v>
      </c>
      <c r="K7519" s="17" t="n">
        <f aca="false">Sens!$K$7509*(1-tax)/(ext_sh*(Sens!$J$7506+Sens!$K$7506)/2)</f>
        <v>0.0693622290093833</v>
      </c>
      <c r="L7519" s="17" t="n">
        <f aca="false">Sens!$L$7509*(1-tax)/(ext_sh*(Sens!$K$7506+Sens!$L$7506)/2)</f>
        <v>0.0711010638813626</v>
      </c>
      <c r="M7519" s="17" t="n">
        <f aca="false">Sens!$M$7509*(1-tax)/(ext_sh*(Sens!$L$7506+Sens!$M$7506)/2)</f>
        <v>0.071677531066401</v>
      </c>
      <c r="N7519" s="14"/>
      <c r="O7519" s="14"/>
      <c r="P7519" s="8" t="s">
        <v>668</v>
      </c>
    </row>
    <row r="7520" customFormat="false" ht="17.15" hidden="false" customHeight="false" outlineLevel="0" collapsed="false">
      <c r="A7520" s="5" t="s">
        <v>669</v>
      </c>
      <c r="B7520" s="0" t="s">
        <v>57</v>
      </c>
      <c r="H7520" s="36" t="n">
        <f aca="false">Sens!$H$7484*1000/(mw_open*he_open+Sens!$H$7482*Sens!$H$7479)</f>
        <v>0.991949006767191</v>
      </c>
      <c r="I7520" s="36" t="n">
        <f aca="false">Sens!$I$7484*1000/(mw_open*he_open+Sens!$I$7482*Sens!$I$7479)</f>
        <v>0.991949006767191</v>
      </c>
      <c r="J7520" s="36" t="n">
        <f aca="false">Sens!$J$7484*1000/(mw_open*he_open+Sens!$J$7482*Sens!$J$7479)</f>
        <v>0.991949006767191</v>
      </c>
      <c r="K7520" s="36" t="n">
        <f aca="false">Sens!$K$7484*1000/(mw_open*he_open+Sens!$K$7482*Sens!$K$7479)</f>
        <v>0.991949006767191</v>
      </c>
      <c r="L7520" s="36" t="n">
        <f aca="false">Sens!$L$7484*1000/(mw_open*he_open+Sens!$L$7482*Sens!$L$7479)</f>
        <v>0.991949006767191</v>
      </c>
      <c r="M7520" s="36" t="n">
        <f aca="false">Sens!$M$7484*1000/(mw_open*he_open+Sens!$M$7482*Sens!$M$7479)</f>
        <v>0.991949006767191</v>
      </c>
    </row>
    <row r="7521" customFormat="false" ht="17.15" hidden="false" customHeight="false" outlineLevel="0" collapsed="false">
      <c r="A7521" s="5" t="s">
        <v>670</v>
      </c>
      <c r="B7521" s="0" t="s">
        <v>57</v>
      </c>
      <c r="H7521" s="36" t="n">
        <f aca="false">Sens!$H$7520*(Sens!$H$7484+wacc*ext_sh*(Sens!$G$7506+Sens!$H$7506)/2/(1-tax)-Sens!$H$7509)/Sens!$H$7484</f>
        <v>1.18542857552197</v>
      </c>
      <c r="I7521" s="36" t="n">
        <f aca="false">Sens!$I$7520*(Sens!$I$7484+wacc*ext_sh*(Sens!$H$7506+Sens!$I$7506)/2/(1-tax)-Sens!$I$7509)/Sens!$I$7484</f>
        <v>1.20015476648903</v>
      </c>
      <c r="J7521" s="36" t="n">
        <f aca="false">Sens!$J$7520*(Sens!$J$7484+wacc*ext_sh*(Sens!$I$7506+Sens!$J$7506)/2/(1-tax)-Sens!$J$7509)/Sens!$J$7484</f>
        <v>1.16844056931249</v>
      </c>
      <c r="K7521" s="36" t="n">
        <f aca="false">Sens!$K$7520*(Sens!$K$7484+wacc*ext_sh*(Sens!$J$7506+Sens!$K$7506)/2/(1-tax)-Sens!$K$7509)/Sens!$K$7484</f>
        <v>1.15383758356873</v>
      </c>
      <c r="L7521" s="36" t="n">
        <f aca="false">Sens!$L$7520*(Sens!$L$7484+wacc*ext_sh*(Sens!$K$7506+Sens!$L$7506)/2/(1-tax)-Sens!$L$7509)/Sens!$L$7484</f>
        <v>1.13212765595665</v>
      </c>
      <c r="M7521" s="36" t="n">
        <f aca="false">Sens!$M$7520*(Sens!$M$7484+wacc*ext_sh*(Sens!$L$7506+Sens!$M$7506)/2/(1-tax)-Sens!$M$7509)/Sens!$M$7484</f>
        <v>1.12024635139935</v>
      </c>
    </row>
    <row r="7522" customFormat="false" ht="17.15" hidden="false" customHeight="false" outlineLevel="0" collapsed="false">
      <c r="A7522" s="5" t="s">
        <v>671</v>
      </c>
      <c r="B7522" s="0" t="s">
        <v>52</v>
      </c>
      <c r="C7522" s="13" t="n">
        <f aca="false">Sens!$C$7485/tk_pq</f>
        <v>0.195316432429398</v>
      </c>
      <c r="D7522" s="13" t="n">
        <f aca="false">Sens!$D$7485/tk_pq</f>
        <v>0.195316432429398</v>
      </c>
      <c r="E7522" s="13" t="n">
        <f aca="false">Sens!$E$7485/tk_pq</f>
        <v>0.195316432429398</v>
      </c>
      <c r="F7522" s="13" t="n">
        <f aca="false">Sens!$F$7485/tk_pq</f>
        <v>0.202241827274866</v>
      </c>
      <c r="G7522" s="13" t="n">
        <f aca="false">Sens!$G$7485/tk_pq</f>
        <v>0.199675016194063</v>
      </c>
      <c r="H7522" s="13" t="n">
        <f aca="false">Sens!$H$7485/tk_pq</f>
        <v>0.212647947710325</v>
      </c>
      <c r="I7522" s="13" t="n">
        <f aca="false">Sens!$I$7485/tk_pq</f>
        <v>0.219285125475351</v>
      </c>
      <c r="J7522" s="13" t="n">
        <f aca="false">Sens!$J$7485/tk_pq</f>
        <v>0.222492493217189</v>
      </c>
      <c r="K7522" s="13" t="n">
        <f aca="false">Sens!$K$7485/tk_pq</f>
        <v>0.224053502812094</v>
      </c>
      <c r="L7522" s="13" t="n">
        <f aca="false">Sens!$L$7485/tk_pq</f>
        <v>0.224786916785614</v>
      </c>
      <c r="M7522" s="13" t="n">
        <f aca="false">Sens!$M$7485/tk_pq</f>
        <v>0.225048671566937</v>
      </c>
      <c r="N7522" s="13" t="n">
        <f aca="false">Sens!$N$7485/tk_pq</f>
        <v>0.195316432429398</v>
      </c>
      <c r="O7522" s="13" t="n">
        <f aca="false">Sens!$O$7485/tk_pq</f>
        <v>0.195316432429398</v>
      </c>
      <c r="P7522" s="5" t="s">
        <v>672</v>
      </c>
    </row>
    <row r="7525" customFormat="false" ht="17.15" hidden="false" customHeight="false" outlineLevel="0" collapsed="false">
      <c r="A7525" s="1" t="s">
        <v>701</v>
      </c>
    </row>
    <row r="7526" customFormat="false" ht="17.15" hidden="false" customHeight="false" outlineLevel="0" collapsed="false">
      <c r="A7526" s="0" t="s">
        <v>702</v>
      </c>
      <c r="B7526" s="0" t="s">
        <v>86</v>
      </c>
      <c r="C7526" s="38" t="n">
        <f aca="false">Sens!$C$7484</f>
        <v>2.32100535697364</v>
      </c>
      <c r="D7526" s="38" t="n">
        <f aca="false">Sens!$D$7484</f>
        <v>8.70377008865116</v>
      </c>
      <c r="E7526" s="38" t="n">
        <f aca="false">Sens!$E$7484</f>
        <v>8.51035297557002</v>
      </c>
      <c r="F7526" s="38" t="n">
        <f aca="false">Sens!$F$7484</f>
        <v>14.9634336447205</v>
      </c>
      <c r="G7526" s="38" t="n">
        <f aca="false">Sens!$G$7484</f>
        <v>23.4737866202905</v>
      </c>
      <c r="H7526" s="38" t="n">
        <f aca="false">Sens!$H$7484</f>
        <v>60.1658907497746</v>
      </c>
      <c r="I7526" s="38" t="n">
        <f aca="false">Sens!$I$7484</f>
        <v>101.503699136432</v>
      </c>
      <c r="J7526" s="38" t="n">
        <f aca="false">Sens!$J$7484</f>
        <v>143.025407151278</v>
      </c>
      <c r="K7526" s="38" t="n">
        <f aca="false">Sens!$K$7484</f>
        <v>178.44812038318</v>
      </c>
      <c r="L7526" s="38" t="n">
        <f aca="false">Sens!$L$7484</f>
        <v>201.728101802396</v>
      </c>
      <c r="M7526" s="38" t="n">
        <f aca="false">Sens!$M$7484</f>
        <v>212.835441368865</v>
      </c>
      <c r="N7526" s="38" t="n">
        <f aca="false">Sens!$N$7484</f>
        <v>3.04631953102791</v>
      </c>
      <c r="O7526" s="38" t="n">
        <f aca="false">Sens!$O$7484</f>
        <v>5.65745055762326</v>
      </c>
      <c r="P7526" s="8" t="s">
        <v>703</v>
      </c>
    </row>
    <row r="7527" customFormat="false" ht="17.15" hidden="false" customHeight="false" outlineLevel="0" collapsed="false">
      <c r="A7527" s="0" t="s">
        <v>704</v>
      </c>
      <c r="B7527" s="0" t="s">
        <v>86</v>
      </c>
      <c r="C7527" s="38" t="n">
        <f aca="false">Sens!$C$7488</f>
        <v>105.234994643026</v>
      </c>
      <c r="D7527" s="38" t="n">
        <f aca="false">Sens!$D$7488</f>
        <v>120.021229911349</v>
      </c>
      <c r="E7527" s="38" t="n">
        <f aca="false">Sens!$E$7488</f>
        <v>71.30864702443</v>
      </c>
      <c r="F7527" s="38" t="n">
        <f aca="false">Sens!$F$7488</f>
        <v>71.7692997942464</v>
      </c>
      <c r="G7527" s="38" t="n">
        <f aca="false">Sens!$G$7488</f>
        <v>143.077946818676</v>
      </c>
      <c r="H7527" s="38" t="n">
        <f aca="false">Sens!$H$7488</f>
        <v>161.017077079203</v>
      </c>
      <c r="I7527" s="38" t="n">
        <f aca="false">Sens!$I$7488</f>
        <v>178.769759521457</v>
      </c>
      <c r="J7527" s="38" t="n">
        <f aca="false">Sens!$J$7488</f>
        <v>195.775538045907</v>
      </c>
      <c r="K7527" s="38" t="n">
        <f aca="false">Sens!$K$7488</f>
        <v>211.43758108958</v>
      </c>
      <c r="L7527" s="38" t="n">
        <f aca="false">Sens!$L$7488</f>
        <v>228.352587576746</v>
      </c>
      <c r="M7527" s="38" t="n">
        <f aca="false">Sens!$M$7488</f>
        <v>246.620794582886</v>
      </c>
      <c r="N7527" s="38" t="n">
        <f aca="false">Sens!$N$7488</f>
        <v>57.0936804689721</v>
      </c>
      <c r="O7527" s="38" t="n">
        <f aca="false">Sens!$O$7488</f>
        <v>62.9275494423768</v>
      </c>
      <c r="P7527" s="8" t="s">
        <v>703</v>
      </c>
    </row>
    <row r="7528" customFormat="false" ht="17.15" hidden="false" customHeight="false" outlineLevel="0" collapsed="false">
      <c r="A7528" s="1" t="s">
        <v>523</v>
      </c>
      <c r="B7528" s="8" t="s">
        <v>86</v>
      </c>
      <c r="C7528" s="38" t="n">
        <f aca="false">Q!$D$7</f>
        <v>107.556</v>
      </c>
      <c r="D7528" s="38" t="n">
        <f aca="false">Q!$E$7</f>
        <v>128.725</v>
      </c>
      <c r="E7528" s="38" t="n">
        <f aca="false">Q!$P$7</f>
        <v>79.819</v>
      </c>
      <c r="F7528" s="38" t="n">
        <f aca="false">Sens!$F$7526+Sens!$F$7527</f>
        <v>86.7327334389669</v>
      </c>
      <c r="G7528" s="38" t="n">
        <f aca="false">Sens!$G$7526+Sens!$G$7527</f>
        <v>166.551733438967</v>
      </c>
      <c r="H7528" s="38" t="n">
        <f aca="false">Sens!$H$7526+Sens!$H$7527</f>
        <v>221.182967828978</v>
      </c>
      <c r="I7528" s="38" t="n">
        <f aca="false">Sens!$I$7526+Sens!$I$7527</f>
        <v>280.27345865789</v>
      </c>
      <c r="J7528" s="38" t="n">
        <f aca="false">Sens!$J$7526+Sens!$J$7527</f>
        <v>338.800945197185</v>
      </c>
      <c r="K7528" s="38" t="n">
        <f aca="false">Sens!$K$7526+Sens!$K$7527</f>
        <v>389.88570147276</v>
      </c>
      <c r="L7528" s="38" t="n">
        <f aca="false">Sens!$L$7526+Sens!$L$7527</f>
        <v>430.080689379143</v>
      </c>
      <c r="M7528" s="38" t="n">
        <f aca="false">Sens!$M$7526+Sens!$M$7527</f>
        <v>459.456235951751</v>
      </c>
      <c r="N7528" s="38" t="n">
        <f aca="false">Q!$N$7</f>
        <v>60.14</v>
      </c>
      <c r="O7528" s="38" t="n">
        <f aca="false">Q!$O$7</f>
        <v>68.585</v>
      </c>
      <c r="P7528" s="5" t="s">
        <v>705</v>
      </c>
    </row>
    <row r="7529" customFormat="false" ht="15" hidden="false" customHeight="false" outlineLevel="0" collapsed="false">
      <c r="A7529" s="3" t="s">
        <v>706</v>
      </c>
      <c r="B7529" s="8" t="s">
        <v>86</v>
      </c>
      <c r="C7529" s="38" t="n">
        <f aca="false">Q!$D$8</f>
        <v>637.959</v>
      </c>
      <c r="D7529" s="38" t="n">
        <f aca="false">Q!$E$8</f>
        <v>716.924</v>
      </c>
      <c r="E7529" s="38" t="n">
        <f aca="false">Q!$P$8</f>
        <v>382.125</v>
      </c>
      <c r="F7529" s="38" t="n">
        <f aca="false">Sens!$F$7456+Sens!$F$7528</f>
        <v>435.780975084504</v>
      </c>
      <c r="G7529" s="38" t="n">
        <f aca="false">Sens!$G$7456+Sens!$G$7528</f>
        <v>817.905975084504</v>
      </c>
      <c r="H7529" s="38" t="n">
        <f aca="false">Sens!$H$7456+Sens!$H$7528</f>
        <v>942.279857350364</v>
      </c>
      <c r="I7529" s="38" t="n">
        <f aca="false">Sens!$I$7456+Sens!$I$7528</f>
        <v>1068.80284981042</v>
      </c>
      <c r="J7529" s="38" t="n">
        <f aca="false">Sens!$J$7456+Sens!$J$7528</f>
        <v>1189.90935093863</v>
      </c>
      <c r="K7529" s="38" t="n">
        <f aca="false">Sens!$K$7456+Sens!$K$7528</f>
        <v>1296.06215690385</v>
      </c>
      <c r="L7529" s="38" t="n">
        <f aca="false">Sens!$L$7456+Sens!$L$7528</f>
        <v>1395.17379585473</v>
      </c>
      <c r="M7529" s="38" t="n">
        <f aca="false">Sens!$M$7456+Sens!$M$7528</f>
        <v>1487.60414389864</v>
      </c>
      <c r="N7529" s="38" t="n">
        <f aca="false">Q!$N$8</f>
        <v>323.369</v>
      </c>
      <c r="O7529" s="38" t="n">
        <f aca="false">Q!$O$8</f>
        <v>393.555</v>
      </c>
    </row>
    <row r="7530" customFormat="false" ht="17.15" hidden="false" customHeight="false" outlineLevel="0" collapsed="false">
      <c r="A7530" s="24" t="s">
        <v>714</v>
      </c>
      <c r="B7530" s="25" t="s">
        <v>86</v>
      </c>
      <c r="C7530" s="41" t="n">
        <f aca="false">Sens!$C$7456-(Sens!$C$7458+Sens!$C$7459)</f>
        <v>0</v>
      </c>
      <c r="D7530" s="41" t="n">
        <f aca="false">Sens!$D$7456-(Sens!$D$7458+Sens!$D$7459)</f>
        <v>0</v>
      </c>
      <c r="E7530" s="41" t="n">
        <f aca="false">Sens!$E$7456-(Sens!$E$7458+Sens!$E$7459)</f>
        <v>0</v>
      </c>
      <c r="F7530" s="41" t="n">
        <f aca="false">Sens!$F$7456-(Sens!$F$7458+Sens!$F$7459)</f>
        <v>0</v>
      </c>
      <c r="G7530" s="41" t="n">
        <f aca="false">Sens!$G$7456-(Sens!$G$7458+Sens!$G$7459)</f>
        <v>0</v>
      </c>
      <c r="H7530" s="41" t="n">
        <f aca="false">Sens!$H$7456-(Sens!$H$7458+Sens!$H$7459)</f>
        <v>0</v>
      </c>
      <c r="I7530" s="41" t="n">
        <f aca="false">Sens!$I$7456-(Sens!$I$7458+Sens!$I$7459)</f>
        <v>0</v>
      </c>
      <c r="J7530" s="41" t="n">
        <f aca="false">Sens!$J$7456-(Sens!$J$7458+Sens!$J$7459)</f>
        <v>0</v>
      </c>
      <c r="K7530" s="41" t="n">
        <f aca="false">Sens!$K$7456-(Sens!$K$7458+Sens!$K$7459)</f>
        <v>0</v>
      </c>
      <c r="L7530" s="41" t="n">
        <f aca="false">Sens!$L$7456-(Sens!$L$7458+Sens!$L$7459)</f>
        <v>0</v>
      </c>
      <c r="M7530" s="41" t="n">
        <f aca="false">Sens!$M$7456-(Sens!$M$7458+Sens!$M$7459)</f>
        <v>0</v>
      </c>
      <c r="N7530" s="41" t="n">
        <f aca="false">Sens!$N$7456-(Sens!$N$7458+Sens!$N$7459)</f>
        <v>0</v>
      </c>
      <c r="O7530" s="41" t="n">
        <f aca="false">Sens!$O$7456-(Sens!$O$7458+Sens!$O$7459)</f>
        <v>0</v>
      </c>
    </row>
    <row r="7531" customFormat="false" ht="17.15" hidden="false" customHeight="false" outlineLevel="0" collapsed="false">
      <c r="A7531" s="24" t="s">
        <v>715</v>
      </c>
      <c r="B7531" s="25" t="s">
        <v>86</v>
      </c>
      <c r="C7531" s="41" t="n">
        <f aca="false">Sens!$C$7526+Sens!$C$7527-Sens!$C$7528</f>
        <v>0</v>
      </c>
      <c r="D7531" s="41" t="n">
        <f aca="false">Sens!$D$7526+Sens!$D$7527-Sens!$D$7528</f>
        <v>0</v>
      </c>
      <c r="E7531" s="41" t="n">
        <f aca="false">Sens!$E$7526+Sens!$E$7527-Sens!$E$7528</f>
        <v>0</v>
      </c>
      <c r="F7531" s="41" t="n">
        <f aca="false">Sens!$F$7526+Sens!$F$7527-Sens!$F$7528</f>
        <v>0</v>
      </c>
      <c r="G7531" s="41" t="n">
        <f aca="false">Sens!$G$7526+Sens!$G$7527-Sens!$G$7528</f>
        <v>0</v>
      </c>
      <c r="H7531" s="41" t="n">
        <f aca="false">Sens!$H$7526+Sens!$H$7527-Sens!$H$7528</f>
        <v>0</v>
      </c>
      <c r="I7531" s="41" t="n">
        <f aca="false">Sens!$I$7526+Sens!$I$7527-Sens!$I$7528</f>
        <v>0</v>
      </c>
      <c r="J7531" s="41" t="n">
        <f aca="false">Sens!$J$7526+Sens!$J$7527-Sens!$J$7528</f>
        <v>0</v>
      </c>
      <c r="K7531" s="41" t="n">
        <f aca="false">Sens!$K$7526+Sens!$K$7527-Sens!$K$7528</f>
        <v>0</v>
      </c>
      <c r="L7531" s="41" t="n">
        <f aca="false">Sens!$L$7526+Sens!$L$7527-Sens!$L$7528</f>
        <v>0</v>
      </c>
      <c r="M7531" s="41" t="n">
        <f aca="false">Sens!$M$7526+Sens!$M$7527-Sens!$M$7528</f>
        <v>0</v>
      </c>
      <c r="N7531" s="41" t="n">
        <f aca="false">Sens!$N$7526+Sens!$N$7527-Sens!$N$7528</f>
        <v>0</v>
      </c>
      <c r="O7531" s="41" t="n">
        <f aca="false">Sens!$O$7526+Sens!$O$7527-Sens!$O$7528</f>
        <v>0</v>
      </c>
    </row>
    <row r="7532" customFormat="false" ht="17.15" hidden="false" customHeight="false" outlineLevel="0" collapsed="false">
      <c r="A7532" s="24" t="s">
        <v>716</v>
      </c>
      <c r="B7532" s="25" t="s">
        <v>86</v>
      </c>
      <c r="C7532" s="41" t="n">
        <f aca="false">Sens!$C$7458+Sens!$C$7459+Sens!$C$7528-Sens!$C$7529</f>
        <v>0</v>
      </c>
      <c r="D7532" s="41" t="n">
        <f aca="false">Sens!$D$7458+Sens!$D$7459+Sens!$D$7528-Sens!$D$7529</f>
        <v>0</v>
      </c>
      <c r="E7532" s="41" t="n">
        <f aca="false">Sens!$E$7458+Sens!$E$7459+Sens!$E$7528-Sens!$E$7529</f>
        <v>0</v>
      </c>
      <c r="F7532" s="41" t="n">
        <f aca="false">Sens!$F$7458+Sens!$F$7459+Sens!$F$7528-Sens!$F$7529</f>
        <v>0</v>
      </c>
      <c r="G7532" s="41" t="n">
        <f aca="false">Sens!$G$7458+Sens!$G$7459+Sens!$G$7528-Sens!$G$7529</f>
        <v>0</v>
      </c>
      <c r="H7532" s="41" t="n">
        <f aca="false">Sens!$H$7458+Sens!$H$7459+Sens!$H$7528-Sens!$H$7529</f>
        <v>0</v>
      </c>
      <c r="I7532" s="41" t="n">
        <f aca="false">Sens!$I$7458+Sens!$I$7459+Sens!$I$7528-Sens!$I$7529</f>
        <v>0</v>
      </c>
      <c r="J7532" s="41" t="n">
        <f aca="false">Sens!$J$7458+Sens!$J$7459+Sens!$J$7528-Sens!$J$7529</f>
        <v>0</v>
      </c>
      <c r="K7532" s="41" t="n">
        <f aca="false">Sens!$K$7458+Sens!$K$7459+Sens!$K$7528-Sens!$K$7529</f>
        <v>0</v>
      </c>
      <c r="L7532" s="41" t="n">
        <f aca="false">Sens!$L$7458+Sens!$L$7459+Sens!$L$7528-Sens!$L$7529</f>
        <v>0</v>
      </c>
      <c r="M7532" s="41" t="n">
        <f aca="false">Sens!$M$7458+Sens!$M$7459+Sens!$M$7528-Sens!$M$7529</f>
        <v>0</v>
      </c>
      <c r="N7532" s="41" t="n">
        <f aca="false">Sens!$N$7458+Sens!$N$7459+Sens!$N$7528-Sens!$N$7529</f>
        <v>0</v>
      </c>
      <c r="O7532" s="41" t="n">
        <f aca="false">Sens!$O$7458+Sens!$O$7459+Sens!$O$7528-Sens!$O$7529</f>
        <v>0</v>
      </c>
    </row>
    <row r="7533" customFormat="false" ht="15" hidden="false" customHeight="false" outlineLevel="0" collapsed="false">
      <c r="A7533" s="5" t="s">
        <v>710</v>
      </c>
      <c r="B7533" s="0" t="s">
        <v>52</v>
      </c>
      <c r="G7533" s="13" t="n">
        <f aca="false">Sens!$G$7529/Sens!$D$7529-1</f>
        <v>0.140854504918937</v>
      </c>
      <c r="H7533" s="13" t="n">
        <f aca="false">Sens!$H$7529/Sens!$G$7529-1</f>
        <v>0.152063789793209</v>
      </c>
      <c r="I7533" s="13" t="n">
        <f aca="false">Sens!$I$7529/Sens!$H$7529-1</f>
        <v>0.134273264437417</v>
      </c>
      <c r="J7533" s="13" t="n">
        <f aca="false">Sens!$J$7529/Sens!$I$7529-1</f>
        <v>0.113310421234083</v>
      </c>
      <c r="K7533" s="13" t="n">
        <f aca="false">Sens!$K$7529/Sens!$J$7529-1</f>
        <v>0.0892108343223652</v>
      </c>
      <c r="L7533" s="13" t="n">
        <f aca="false">Sens!$L$7529/Sens!$K$7529-1</f>
        <v>0.076471362444261</v>
      </c>
      <c r="M7533" s="13" t="n">
        <f aca="false">Sens!$M$7529/Sens!$L$7529-1</f>
        <v>0.066250060256672</v>
      </c>
    </row>
    <row r="7534" customFormat="false" ht="17.15" hidden="false" customHeight="false" outlineLevel="0" collapsed="false">
      <c r="A7534" s="0" t="s">
        <v>711</v>
      </c>
      <c r="B7534" s="0" t="s">
        <v>52</v>
      </c>
      <c r="C7534" s="13" t="n">
        <f aca="false">Sens!$C$7528/Sens!$C$7529</f>
        <v>0.168593906504964</v>
      </c>
      <c r="D7534" s="13" t="n">
        <f aca="false">Sens!$D$7528/Sens!$D$7529</f>
        <v>0.179551807444025</v>
      </c>
      <c r="E7534" s="13" t="n">
        <f aca="false">Sens!$E$7528/Sens!$E$7529</f>
        <v>0.208881910369643</v>
      </c>
      <c r="F7534" s="13" t="n">
        <f aca="false">Sens!$F$7528/Sens!$F$7529</f>
        <v>0.199028269699356</v>
      </c>
      <c r="G7534" s="13" t="n">
        <f aca="false">Sens!$G$7528/Sens!$G$7529</f>
        <v>0.203631882529968</v>
      </c>
      <c r="H7534" s="13" t="n">
        <f aca="false">Sens!$H$7528/Sens!$H$7529</f>
        <v>0.234731715958496</v>
      </c>
      <c r="I7534" s="13" t="n">
        <f aca="false">Sens!$I$7528/Sens!$I$7529</f>
        <v>0.262231204480418</v>
      </c>
      <c r="J7534" s="13" t="n">
        <f aca="false">Sens!$J$7528/Sens!$J$7529</f>
        <v>0.284728366013706</v>
      </c>
      <c r="K7534" s="13" t="n">
        <f aca="false">Sens!$K$7528/Sens!$K$7529</f>
        <v>0.300823304959505</v>
      </c>
      <c r="L7534" s="13" t="n">
        <f aca="false">Sens!$L$7528/Sens!$L$7529</f>
        <v>0.308263164529735</v>
      </c>
      <c r="M7534" s="13" t="n">
        <f aca="false">Sens!$M$7528/Sens!$M$7529</f>
        <v>0.308856517936036</v>
      </c>
      <c r="N7534" s="13" t="n">
        <f aca="false">Sens!$N$7528/Sens!$N$7529</f>
        <v>0.185979484737251</v>
      </c>
      <c r="O7534" s="13" t="n">
        <f aca="false">Sens!$O$7528/Sens!$O$7529</f>
        <v>0.174270432341096</v>
      </c>
    </row>
    <row r="7535" customFormat="false" ht="17.15" hidden="false" customHeight="false" outlineLevel="0" collapsed="false">
      <c r="A7535" s="0" t="s">
        <v>712</v>
      </c>
      <c r="B7535" s="0" t="s">
        <v>52</v>
      </c>
      <c r="C7535" s="13" t="n">
        <f aca="false">Sens!$C$7526/Sens!$C$7528</f>
        <v>0.0215795060896058</v>
      </c>
      <c r="D7535" s="13" t="n">
        <f aca="false">Sens!$D$7526/Sens!$D$7528</f>
        <v>0.0676152269462122</v>
      </c>
      <c r="E7535" s="13" t="n">
        <f aca="false">Sens!$E$7526/Sens!$E$7528</f>
        <v>0.106620641395783</v>
      </c>
      <c r="F7535" s="13" t="n">
        <f aca="false">Sens!$F$7526/Sens!$F$7528</f>
        <v>0.172523487401099</v>
      </c>
      <c r="G7535" s="13" t="n">
        <f aca="false">Sens!$G$7526/Sens!$G$7528</f>
        <v>0.140939911795589</v>
      </c>
      <c r="H7535" s="13" t="n">
        <f aca="false">Sens!$H$7526/Sens!$H$7528</f>
        <v>0.272018642937714</v>
      </c>
      <c r="I7535" s="13" t="n">
        <f aca="false">Sens!$I$7526/Sens!$I$7528</f>
        <v>0.362159512436497</v>
      </c>
      <c r="J7535" s="13" t="n">
        <f aca="false">Sens!$J$7526/Sens!$J$7528</f>
        <v>0.422151735934609</v>
      </c>
      <c r="K7535" s="13" t="n">
        <f aca="false">Sens!$K$7526/Sens!$K$7528</f>
        <v>0.45769342068485</v>
      </c>
      <c r="L7535" s="13" t="n">
        <f aca="false">Sens!$L$7526/Sens!$L$7528</f>
        <v>0.469047103913472</v>
      </c>
      <c r="M7535" s="13" t="n">
        <f aca="false">Sens!$M$7526/Sens!$M$7528</f>
        <v>0.463233328258093</v>
      </c>
      <c r="N7535" s="13" t="n">
        <f aca="false">Sens!$N$7526/Sens!$N$7528</f>
        <v>0.0506537999838362</v>
      </c>
      <c r="O7535" s="13" t="n">
        <f aca="false">Sens!$O$7526/Sens!$O$7528</f>
        <v>0.0824881615167056</v>
      </c>
    </row>
    <row r="7538" customFormat="false" ht="19.4" hidden="false" customHeight="false" outlineLevel="0" collapsed="false">
      <c r="A7538" s="31" t="s">
        <v>1304</v>
      </c>
    </row>
    <row r="7539" customFormat="false" ht="17.15" hidden="false" customHeight="false" outlineLevel="0" collapsed="false">
      <c r="A7539" s="6" t="s">
        <v>16</v>
      </c>
      <c r="B7539" s="6" t="s">
        <v>17</v>
      </c>
      <c r="C7539" s="20" t="s">
        <v>504</v>
      </c>
      <c r="D7539" s="20" t="s">
        <v>505</v>
      </c>
      <c r="E7539" s="20" t="s">
        <v>587</v>
      </c>
      <c r="F7539" s="20" t="s">
        <v>588</v>
      </c>
      <c r="G7539" s="20" t="s">
        <v>589</v>
      </c>
      <c r="H7539" s="20" t="s">
        <v>590</v>
      </c>
      <c r="I7539" s="20" t="s">
        <v>591</v>
      </c>
      <c r="J7539" s="20" t="s">
        <v>592</v>
      </c>
      <c r="K7539" s="20" t="s">
        <v>593</v>
      </c>
      <c r="L7539" s="20" t="s">
        <v>594</v>
      </c>
      <c r="M7539" s="20" t="s">
        <v>595</v>
      </c>
      <c r="N7539" s="20" t="s">
        <v>596</v>
      </c>
      <c r="O7539" s="20" t="s">
        <v>597</v>
      </c>
      <c r="P7539" s="6" t="s">
        <v>23</v>
      </c>
      <c r="R7539" s="20" t="n">
        <v>2023</v>
      </c>
      <c r="S7539" s="20" t="n">
        <v>2024</v>
      </c>
      <c r="T7539" s="20" t="n">
        <v>2025</v>
      </c>
      <c r="U7539" s="20" t="n">
        <v>2026</v>
      </c>
      <c r="V7539" s="20" t="n">
        <v>2027</v>
      </c>
      <c r="W7539" s="20" t="n">
        <v>2028</v>
      </c>
      <c r="X7539" s="20" t="n">
        <v>2029</v>
      </c>
      <c r="Y7539" s="20" t="n">
        <v>2030</v>
      </c>
      <c r="Z7539" s="20" t="n">
        <v>2031</v>
      </c>
      <c r="AA7539" s="20" t="n">
        <v>2032</v>
      </c>
    </row>
    <row r="7540" customFormat="false" ht="17.15" hidden="false" customHeight="false" outlineLevel="0" collapsed="false">
      <c r="A7540" s="1" t="s">
        <v>727</v>
      </c>
    </row>
    <row r="7541" customFormat="false" ht="15" hidden="false" customHeight="false" outlineLevel="0" collapsed="false">
      <c r="A7541" s="0" t="s">
        <v>526</v>
      </c>
      <c r="B7541" s="0" t="s">
        <v>86</v>
      </c>
      <c r="C7541" s="38" t="n">
        <f aca="false">Sens!$C$7443</f>
        <v>247.029</v>
      </c>
      <c r="D7541" s="38" t="n">
        <f aca="false">Sens!$D$7443</f>
        <v>269.287</v>
      </c>
      <c r="E7541" s="38" t="n">
        <f aca="false">Sens!$E$7443</f>
        <v>134.686</v>
      </c>
      <c r="F7541" s="38" t="n">
        <f aca="false">Sens!$F$7443</f>
        <v>158.293876822267</v>
      </c>
      <c r="G7541" s="38" t="n">
        <f aca="false">Sens!$G$7443</f>
        <v>292.979876822267</v>
      </c>
      <c r="H7541" s="38" t="n">
        <f aca="false">Sens!$H$7443</f>
        <v>318.184543087396</v>
      </c>
      <c r="I7541" s="38" t="n">
        <f aca="false">Sens!$I$7443</f>
        <v>341.736278761793</v>
      </c>
      <c r="J7541" s="38" t="n">
        <f aca="false">Sens!$J$7443</f>
        <v>362.927192787048</v>
      </c>
      <c r="K7541" s="38" t="n">
        <f aca="false">Sens!$K$7443</f>
        <v>381.0735524264</v>
      </c>
      <c r="L7541" s="38" t="n">
        <f aca="false">Sens!$L$7443</f>
        <v>400.12723004772</v>
      </c>
      <c r="M7541" s="38" t="n">
        <f aca="false">Sens!$M$7443</f>
        <v>420.133591550106</v>
      </c>
      <c r="N7541" s="38" t="n">
        <f aca="false">Sens!$N$7443</f>
        <v>118.892</v>
      </c>
      <c r="O7541" s="38" t="n">
        <f aca="false">Sens!$O$7443</f>
        <v>150.395</v>
      </c>
    </row>
    <row r="7542" customFormat="false" ht="15" hidden="false" customHeight="false" outlineLevel="0" collapsed="false">
      <c r="A7542" s="0" t="s">
        <v>527</v>
      </c>
      <c r="B7542" s="0" t="s">
        <v>86</v>
      </c>
      <c r="C7542" s="38" t="n">
        <f aca="false">Sens!$C$7445</f>
        <v>21.215</v>
      </c>
      <c r="D7542" s="38" t="n">
        <f aca="false">Sens!$D$7445</f>
        <v>22.561</v>
      </c>
      <c r="E7542" s="38" t="n">
        <f aca="false">Sens!$E$7445</f>
        <v>11.579</v>
      </c>
      <c r="F7542" s="38" t="n">
        <f aca="false">Sens!$F$7445</f>
        <v>11.5938724610325</v>
      </c>
      <c r="G7542" s="38" t="n">
        <f aca="false">Sens!$G$7445</f>
        <v>23.1728724610325</v>
      </c>
      <c r="H7542" s="38" t="n">
        <f aca="false">Sens!$H$7445</f>
        <v>24.353392759506</v>
      </c>
      <c r="I7542" s="38" t="n">
        <f aca="false">Sens!$I$7445</f>
        <v>25.4240338872015</v>
      </c>
      <c r="J7542" s="38" t="n">
        <f aca="false">Sens!$J$7445</f>
        <v>26.3642491017174</v>
      </c>
      <c r="K7542" s="38" t="n">
        <f aca="false">Sens!$K$7445</f>
        <v>27.155176574769</v>
      </c>
      <c r="L7542" s="38" t="n">
        <f aca="false">Sens!$L$7445</f>
        <v>27.969831872012</v>
      </c>
      <c r="M7542" s="38" t="n">
        <f aca="false">Sens!$M$7445</f>
        <v>28.8089268281724</v>
      </c>
      <c r="N7542" s="38" t="n">
        <f aca="false">Sens!$N$7445</f>
        <v>11.128</v>
      </c>
      <c r="O7542" s="38" t="n">
        <f aca="false">Sens!$O$7445</f>
        <v>11.433</v>
      </c>
    </row>
    <row r="7543" customFormat="false" ht="15" hidden="false" customHeight="false" outlineLevel="0" collapsed="false">
      <c r="A7543" s="0" t="s">
        <v>528</v>
      </c>
      <c r="B7543" s="0" t="s">
        <v>86</v>
      </c>
      <c r="C7543" s="38" t="n">
        <f aca="false">Sens!$C$7447</f>
        <v>156.146</v>
      </c>
      <c r="D7543" s="38" t="n">
        <f aca="false">Sens!$D$7447</f>
        <v>172.162</v>
      </c>
      <c r="E7543" s="38" t="n">
        <f aca="false">Sens!$E$7447</f>
        <v>88.358</v>
      </c>
      <c r="F7543" s="38" t="n">
        <f aca="false">Sens!$F$7447</f>
        <v>102.004388260171</v>
      </c>
      <c r="G7543" s="38" t="n">
        <f aca="false">Sens!$G$7447</f>
        <v>190.362388260171</v>
      </c>
      <c r="H7543" s="38" t="n">
        <f aca="false">Sens!$H$7447</f>
        <v>210.343106588311</v>
      </c>
      <c r="I7543" s="38" t="n">
        <f aca="false">Sens!$I$7447</f>
        <v>229.969728494648</v>
      </c>
      <c r="J7543" s="38" t="n">
        <f aca="false">Sens!$J$7447</f>
        <v>248.747636972598</v>
      </c>
      <c r="K7543" s="38" t="n">
        <f aca="false">Sens!$K$7447</f>
        <v>266.15997156068</v>
      </c>
      <c r="L7543" s="38" t="n">
        <f aca="false">Sens!$L$7447</f>
        <v>284.791169569927</v>
      </c>
      <c r="M7543" s="38" t="n">
        <f aca="false">Sens!$M$7447</f>
        <v>304.726551439822</v>
      </c>
      <c r="N7543" s="38" t="n">
        <f aca="false">Sens!$N$7447</f>
        <v>76.86</v>
      </c>
      <c r="O7543" s="38" t="n">
        <f aca="false">Sens!$O$7447</f>
        <v>95.302</v>
      </c>
    </row>
    <row r="7544" customFormat="false" ht="15" hidden="false" customHeight="false" outlineLevel="0" collapsed="false">
      <c r="A7544" s="0" t="s">
        <v>529</v>
      </c>
      <c r="B7544" s="0" t="s">
        <v>86</v>
      </c>
      <c r="C7544" s="38" t="n">
        <f aca="false">Sens!$C$7449</f>
        <v>56.214</v>
      </c>
      <c r="D7544" s="38" t="n">
        <f aca="false">Sens!$D$7449</f>
        <v>68.635</v>
      </c>
      <c r="E7544" s="38" t="n">
        <f aca="false">Sens!$E$7449</f>
        <v>37.052</v>
      </c>
      <c r="F7544" s="38" t="n">
        <f aca="false">Sens!$F$7449</f>
        <v>46.1572219944148</v>
      </c>
      <c r="G7544" s="38" t="n">
        <f aca="false">Sens!$G$7449</f>
        <v>83.2092219944148</v>
      </c>
      <c r="H7544" s="38" t="n">
        <f aca="false">Sens!$H$7449</f>
        <v>99.8969223878976</v>
      </c>
      <c r="I7544" s="38" t="n">
        <f aca="false">Sens!$I$7449</f>
        <v>116.583111095496</v>
      </c>
      <c r="J7544" s="38" t="n">
        <f aca="false">Sens!$J$7449</f>
        <v>132.148941941952</v>
      </c>
      <c r="K7544" s="38" t="n">
        <f aca="false">Sens!$K$7449</f>
        <v>145.363836136147</v>
      </c>
      <c r="L7544" s="38" t="n">
        <f aca="false">Sens!$L$7449</f>
        <v>159.900219749762</v>
      </c>
      <c r="M7544" s="38" t="n">
        <f aca="false">Sens!$M$7449</f>
        <v>175.890241724738</v>
      </c>
      <c r="N7544" s="38" t="n">
        <f aca="false">Sens!$N$7449</f>
        <v>29.615</v>
      </c>
      <c r="O7544" s="38" t="n">
        <f aca="false">Sens!$O$7449</f>
        <v>39.02</v>
      </c>
    </row>
    <row r="7545" customFormat="false" ht="15" hidden="false" customHeight="false" outlineLevel="0" collapsed="false">
      <c r="A7545" s="0" t="s">
        <v>530</v>
      </c>
      <c r="B7545" s="0" t="s">
        <v>86</v>
      </c>
      <c r="C7545" s="38" t="n">
        <f aca="false">Sens!$C$7451</f>
        <v>44.374</v>
      </c>
      <c r="D7545" s="38" t="n">
        <f aca="false">Sens!$D$7451</f>
        <v>49.619</v>
      </c>
      <c r="E7545" s="38" t="n">
        <f aca="false">Sens!$E$7451</f>
        <v>27.157</v>
      </c>
      <c r="F7545" s="38" t="n">
        <f aca="false">Sens!$F$7451</f>
        <v>27.7764165988154</v>
      </c>
      <c r="G7545" s="38" t="n">
        <f aca="false">Sens!$G$7451</f>
        <v>54.9334165988154</v>
      </c>
      <c r="H7545" s="38" t="n">
        <f aca="false">Sens!$H$7451</f>
        <v>61.1564112561829</v>
      </c>
      <c r="I7545" s="38" t="n">
        <f aca="false">Sens!$I$7451</f>
        <v>67.2020282103945</v>
      </c>
      <c r="J7545" s="38" t="n">
        <f aca="false">Sens!$J$7451</f>
        <v>72.8757274028885</v>
      </c>
      <c r="K7545" s="38" t="n">
        <f aca="false">Sens!$K$7451</f>
        <v>77.9770283210907</v>
      </c>
      <c r="L7545" s="38" t="n">
        <f aca="false">Sens!$L$7451</f>
        <v>83.4354203035671</v>
      </c>
      <c r="M7545" s="38" t="n">
        <f aca="false">Sens!$M$7451</f>
        <v>89.2758997248168</v>
      </c>
      <c r="N7545" s="38" t="n">
        <f aca="false">Sens!$N$7451</f>
        <v>23.923</v>
      </c>
      <c r="O7545" s="38" t="n">
        <f aca="false">Sens!$O$7451</f>
        <v>25.696</v>
      </c>
    </row>
    <row r="7546" customFormat="false" ht="15" hidden="false" customHeight="false" outlineLevel="0" collapsed="false">
      <c r="A7546" s="0" t="s">
        <v>531</v>
      </c>
      <c r="B7546" s="0" t="s">
        <v>86</v>
      </c>
      <c r="C7546" s="38" t="n">
        <f aca="false">Sens!$C$7453</f>
        <v>5.425</v>
      </c>
      <c r="D7546" s="38" t="n">
        <f aca="false">Sens!$D$7453</f>
        <v>5.935</v>
      </c>
      <c r="E7546" s="38" t="n">
        <f aca="false">Sens!$E$7453</f>
        <v>3.474</v>
      </c>
      <c r="F7546" s="38" t="n">
        <f aca="false">Sens!$F$7453</f>
        <v>3.22246550883619</v>
      </c>
      <c r="G7546" s="38" t="n">
        <f aca="false">Sens!$G$7453</f>
        <v>6.69646550883619</v>
      </c>
      <c r="H7546" s="38" t="n">
        <f aca="false">Sens!$H$7453</f>
        <v>7.16251344209196</v>
      </c>
      <c r="I7546" s="38" t="n">
        <f aca="false">Sens!$I$7453</f>
        <v>7.61421070299826</v>
      </c>
      <c r="J7546" s="38" t="n">
        <f aca="false">Sens!$J$7453</f>
        <v>8.04465753523932</v>
      </c>
      <c r="K7546" s="38" t="n">
        <f aca="false">Sens!$K$7453</f>
        <v>8.44689041200128</v>
      </c>
      <c r="L7546" s="38" t="n">
        <f aca="false">Sens!$L$7453</f>
        <v>8.86923493260135</v>
      </c>
      <c r="M7546" s="38" t="n">
        <f aca="false">Sens!$M$7453</f>
        <v>9.31269667923142</v>
      </c>
      <c r="N7546" s="38" t="n">
        <f aca="false">Sens!$N$7453</f>
        <v>2.811</v>
      </c>
      <c r="O7546" s="38" t="n">
        <f aca="false">Sens!$O$7453</f>
        <v>3.124</v>
      </c>
    </row>
    <row r="7547" customFormat="false" ht="17.15" hidden="false" customHeight="false" outlineLevel="0" collapsed="false">
      <c r="A7547" s="0" t="s">
        <v>728</v>
      </c>
      <c r="B7547" s="0" t="s">
        <v>86</v>
      </c>
      <c r="C7547" s="38" t="n">
        <f aca="false">Sens!$C$7528</f>
        <v>107.556</v>
      </c>
      <c r="D7547" s="38" t="n">
        <f aca="false">Sens!$D$7528</f>
        <v>128.725</v>
      </c>
      <c r="E7547" s="38" t="n">
        <f aca="false">Sens!$E$7528</f>
        <v>79.819</v>
      </c>
      <c r="F7547" s="38" t="n">
        <f aca="false">Sens!$F$7528</f>
        <v>86.7327334389669</v>
      </c>
      <c r="G7547" s="38" t="n">
        <f aca="false">Sens!$G$7528</f>
        <v>166.551733438967</v>
      </c>
      <c r="H7547" s="38" t="n">
        <f aca="false">Sens!$H$7528</f>
        <v>221.182967828978</v>
      </c>
      <c r="I7547" s="38" t="n">
        <f aca="false">Sens!$I$7528</f>
        <v>280.27345865789</v>
      </c>
      <c r="J7547" s="38" t="n">
        <f aca="false">Sens!$J$7528</f>
        <v>338.800945197185</v>
      </c>
      <c r="K7547" s="38" t="n">
        <f aca="false">Sens!$K$7528</f>
        <v>389.88570147276</v>
      </c>
      <c r="L7547" s="38" t="n">
        <f aca="false">Sens!$L$7528</f>
        <v>430.080689379143</v>
      </c>
      <c r="M7547" s="38" t="n">
        <f aca="false">Sens!$M$7528</f>
        <v>459.456235951751</v>
      </c>
      <c r="N7547" s="38" t="n">
        <f aca="false">Sens!$N$7528</f>
        <v>60.14</v>
      </c>
      <c r="O7547" s="38" t="n">
        <f aca="false">Sens!$O$7528</f>
        <v>68.585</v>
      </c>
    </row>
    <row r="7548" customFormat="false" ht="15" hidden="false" customHeight="false" outlineLevel="0" collapsed="false">
      <c r="A7548" s="1" t="s">
        <v>519</v>
      </c>
      <c r="B7548" s="8" t="s">
        <v>86</v>
      </c>
      <c r="C7548" s="38" t="n">
        <f aca="false">Sens!$C$7458</f>
        <v>387.497</v>
      </c>
      <c r="D7548" s="38" t="n">
        <f aca="false">Sens!$D$7458</f>
        <v>426.305</v>
      </c>
      <c r="E7548" s="38" t="n">
        <f aca="false">Sens!$E$7458</f>
        <v>220.32</v>
      </c>
      <c r="F7548" s="38" t="n">
        <f aca="false">Sens!$F$7458</f>
        <v>250.639773480586</v>
      </c>
      <c r="G7548" s="38" t="n">
        <f aca="false">Sens!$G$7458</f>
        <v>470.959773480586</v>
      </c>
      <c r="H7548" s="38" t="n">
        <f aca="false">Sens!$H$7458</f>
        <v>521.386990416437</v>
      </c>
      <c r="I7548" s="38" t="n">
        <f aca="false">Sens!$I$7458</f>
        <v>570.143862887555</v>
      </c>
      <c r="J7548" s="38" t="n">
        <f aca="false">Sens!$J$7458</f>
        <v>615.391435791933</v>
      </c>
      <c r="K7548" s="38" t="n">
        <f aca="false">Sens!$K$7458</f>
        <v>655.208227561543</v>
      </c>
      <c r="L7548" s="38" t="n">
        <f aca="false">Sens!$L$7458</f>
        <v>697.807739249767</v>
      </c>
      <c r="M7548" s="38" t="n">
        <f aca="false">Sens!$M$7458</f>
        <v>743.399328463592</v>
      </c>
      <c r="N7548" s="38" t="n">
        <f aca="false">Sens!$N$7458</f>
        <v>192.955</v>
      </c>
      <c r="O7548" s="38" t="n">
        <f aca="false">Sens!$O$7458</f>
        <v>233.35</v>
      </c>
    </row>
    <row r="7549" customFormat="false" ht="15" hidden="false" customHeight="false" outlineLevel="0" collapsed="false">
      <c r="A7549" s="1" t="s">
        <v>522</v>
      </c>
      <c r="B7549" s="8" t="s">
        <v>86</v>
      </c>
      <c r="C7549" s="38" t="n">
        <f aca="false">Sens!$C$7459</f>
        <v>142.906</v>
      </c>
      <c r="D7549" s="38" t="n">
        <f aca="false">Sens!$D$7459</f>
        <v>161.894</v>
      </c>
      <c r="E7549" s="38" t="n">
        <f aca="false">Sens!$E$7459</f>
        <v>81.986</v>
      </c>
      <c r="F7549" s="38" t="n">
        <f aca="false">Sens!$F$7459</f>
        <v>98.408468164951</v>
      </c>
      <c r="G7549" s="38" t="n">
        <f aca="false">Sens!$G$7459</f>
        <v>180.394468164951</v>
      </c>
      <c r="H7549" s="38" t="n">
        <f aca="false">Sens!$H$7459</f>
        <v>199.709899104949</v>
      </c>
      <c r="I7549" s="38" t="n">
        <f aca="false">Sens!$I$7459</f>
        <v>218.385528264976</v>
      </c>
      <c r="J7549" s="38" t="n">
        <f aca="false">Sens!$J$7459</f>
        <v>235.71696994951</v>
      </c>
      <c r="K7549" s="38" t="n">
        <f aca="false">Sens!$K$7459</f>
        <v>250.968227869545</v>
      </c>
      <c r="L7549" s="38" t="n">
        <f aca="false">Sens!$L$7459</f>
        <v>267.285367225822</v>
      </c>
      <c r="M7549" s="38" t="n">
        <f aca="false">Sens!$M$7459</f>
        <v>284.748579483295</v>
      </c>
      <c r="N7549" s="38" t="n">
        <f aca="false">Sens!$N$7459</f>
        <v>70.274</v>
      </c>
      <c r="O7549" s="38" t="n">
        <f aca="false">Sens!$O$7459</f>
        <v>91.62</v>
      </c>
    </row>
    <row r="7550" customFormat="false" ht="15" hidden="false" customHeight="false" outlineLevel="0" collapsed="false">
      <c r="A7550" s="1" t="s">
        <v>523</v>
      </c>
      <c r="B7550" s="8" t="s">
        <v>86</v>
      </c>
      <c r="C7550" s="38" t="n">
        <f aca="false">Sens!$C$7528</f>
        <v>107.556</v>
      </c>
      <c r="D7550" s="38" t="n">
        <f aca="false">Sens!$D$7528</f>
        <v>128.725</v>
      </c>
      <c r="E7550" s="38" t="n">
        <f aca="false">Sens!$E$7528</f>
        <v>79.819</v>
      </c>
      <c r="F7550" s="38" t="n">
        <f aca="false">Sens!$F$7528</f>
        <v>86.7327334389669</v>
      </c>
      <c r="G7550" s="38" t="n">
        <f aca="false">Sens!$G$7528</f>
        <v>166.551733438967</v>
      </c>
      <c r="H7550" s="38" t="n">
        <f aca="false">Sens!$H$7528</f>
        <v>221.182967828978</v>
      </c>
      <c r="I7550" s="38" t="n">
        <f aca="false">Sens!$I$7528</f>
        <v>280.27345865789</v>
      </c>
      <c r="J7550" s="38" t="n">
        <f aca="false">Sens!$J$7528</f>
        <v>338.800945197185</v>
      </c>
      <c r="K7550" s="38" t="n">
        <f aca="false">Sens!$K$7528</f>
        <v>389.88570147276</v>
      </c>
      <c r="L7550" s="38" t="n">
        <f aca="false">Sens!$L$7528</f>
        <v>430.080689379143</v>
      </c>
      <c r="M7550" s="38" t="n">
        <f aca="false">Sens!$M$7528</f>
        <v>459.456235951751</v>
      </c>
      <c r="N7550" s="38" t="n">
        <f aca="false">Sens!$N$7528</f>
        <v>60.14</v>
      </c>
      <c r="O7550" s="38" t="n">
        <f aca="false">Sens!$O$7528</f>
        <v>68.585</v>
      </c>
    </row>
    <row r="7551" customFormat="false" ht="17.15" hidden="false" customHeight="false" outlineLevel="0" collapsed="false">
      <c r="A7551" s="0" t="s">
        <v>702</v>
      </c>
      <c r="B7551" s="0" t="s">
        <v>86</v>
      </c>
      <c r="C7551" s="38" t="n">
        <f aca="false">Sens!$C$7526</f>
        <v>2.32100535697364</v>
      </c>
      <c r="D7551" s="38" t="n">
        <f aca="false">Sens!$D$7526</f>
        <v>8.70377008865116</v>
      </c>
      <c r="E7551" s="38" t="n">
        <f aca="false">Sens!$E$7526</f>
        <v>8.51035297557002</v>
      </c>
      <c r="F7551" s="38" t="n">
        <f aca="false">Sens!$F$7526</f>
        <v>14.9634336447205</v>
      </c>
      <c r="G7551" s="38" t="n">
        <f aca="false">Sens!$G$7526</f>
        <v>23.4737866202905</v>
      </c>
      <c r="H7551" s="38" t="n">
        <f aca="false">Sens!$H$7526</f>
        <v>60.1658907497746</v>
      </c>
      <c r="I7551" s="38" t="n">
        <f aca="false">Sens!$I$7526</f>
        <v>101.503699136432</v>
      </c>
      <c r="J7551" s="38" t="n">
        <f aca="false">Sens!$J$7526</f>
        <v>143.025407151278</v>
      </c>
      <c r="K7551" s="38" t="n">
        <f aca="false">Sens!$K$7526</f>
        <v>178.44812038318</v>
      </c>
      <c r="L7551" s="38" t="n">
        <f aca="false">Sens!$L$7526</f>
        <v>201.728101802396</v>
      </c>
      <c r="M7551" s="38" t="n">
        <f aca="false">Sens!$M$7526</f>
        <v>212.835441368865</v>
      </c>
      <c r="N7551" s="38" t="n">
        <f aca="false">Sens!$N$7526</f>
        <v>3.04631953102791</v>
      </c>
      <c r="O7551" s="38" t="n">
        <f aca="false">Sens!$O$7526</f>
        <v>5.65745055762326</v>
      </c>
    </row>
    <row r="7552" customFormat="false" ht="17.15" hidden="false" customHeight="false" outlineLevel="0" collapsed="false">
      <c r="A7552" s="0" t="s">
        <v>704</v>
      </c>
      <c r="B7552" s="0" t="s">
        <v>86</v>
      </c>
      <c r="C7552" s="38" t="n">
        <f aca="false">Sens!$C$7527</f>
        <v>105.234994643026</v>
      </c>
      <c r="D7552" s="38" t="n">
        <f aca="false">Sens!$D$7527</f>
        <v>120.021229911349</v>
      </c>
      <c r="E7552" s="38" t="n">
        <f aca="false">Sens!$E$7527</f>
        <v>71.30864702443</v>
      </c>
      <c r="F7552" s="38" t="n">
        <f aca="false">Sens!$F$7527</f>
        <v>71.7692997942464</v>
      </c>
      <c r="G7552" s="38" t="n">
        <f aca="false">Sens!$G$7527</f>
        <v>143.077946818676</v>
      </c>
      <c r="H7552" s="38" t="n">
        <f aca="false">Sens!$H$7527</f>
        <v>161.017077079203</v>
      </c>
      <c r="I7552" s="38" t="n">
        <f aca="false">Sens!$I$7527</f>
        <v>178.769759521457</v>
      </c>
      <c r="J7552" s="38" t="n">
        <f aca="false">Sens!$J$7527</f>
        <v>195.775538045907</v>
      </c>
      <c r="K7552" s="38" t="n">
        <f aca="false">Sens!$K$7527</f>
        <v>211.43758108958</v>
      </c>
      <c r="L7552" s="38" t="n">
        <f aca="false">Sens!$L$7527</f>
        <v>228.352587576746</v>
      </c>
      <c r="M7552" s="38" t="n">
        <f aca="false">Sens!$M$7527</f>
        <v>246.620794582886</v>
      </c>
      <c r="N7552" s="38" t="n">
        <f aca="false">Sens!$N$7527</f>
        <v>57.0936804689721</v>
      </c>
      <c r="O7552" s="38" t="n">
        <f aca="false">Sens!$O$7527</f>
        <v>62.9275494423768</v>
      </c>
    </row>
    <row r="7553" customFormat="false" ht="15" hidden="false" customHeight="false" outlineLevel="0" collapsed="false">
      <c r="A7553" s="3" t="s">
        <v>524</v>
      </c>
      <c r="B7553" s="8" t="s">
        <v>86</v>
      </c>
      <c r="C7553" s="38" t="n">
        <f aca="false">Sens!$C$7529</f>
        <v>637.959</v>
      </c>
      <c r="D7553" s="38" t="n">
        <f aca="false">Sens!$D$7529</f>
        <v>716.924</v>
      </c>
      <c r="E7553" s="38" t="n">
        <f aca="false">Sens!$E$7529</f>
        <v>382.125</v>
      </c>
      <c r="F7553" s="38" t="n">
        <f aca="false">Sens!$F$7529</f>
        <v>435.780975084504</v>
      </c>
      <c r="G7553" s="38" t="n">
        <f aca="false">Sens!$G$7529</f>
        <v>817.905975084504</v>
      </c>
      <c r="H7553" s="38" t="n">
        <f aca="false">Sens!$H$7529</f>
        <v>942.279857350364</v>
      </c>
      <c r="I7553" s="38" t="n">
        <f aca="false">Sens!$I$7529</f>
        <v>1068.80284981042</v>
      </c>
      <c r="J7553" s="38" t="n">
        <f aca="false">Sens!$J$7529</f>
        <v>1189.90935093863</v>
      </c>
      <c r="K7553" s="38" t="n">
        <f aca="false">Sens!$K$7529</f>
        <v>1296.06215690385</v>
      </c>
      <c r="L7553" s="38" t="n">
        <f aca="false">Sens!$L$7529</f>
        <v>1395.17379585473</v>
      </c>
      <c r="M7553" s="38" t="n">
        <f aca="false">Sens!$M$7529</f>
        <v>1487.60414389864</v>
      </c>
      <c r="N7553" s="38" t="n">
        <f aca="false">Sens!$N$7529</f>
        <v>323.369</v>
      </c>
      <c r="O7553" s="38" t="n">
        <f aca="false">Sens!$O$7529</f>
        <v>393.555</v>
      </c>
    </row>
    <row r="7554" customFormat="false" ht="17.15" hidden="false" customHeight="false" outlineLevel="0" collapsed="false">
      <c r="A7554" s="24" t="s">
        <v>714</v>
      </c>
      <c r="B7554" s="25" t="s">
        <v>86</v>
      </c>
      <c r="C7554" s="41" t="n">
        <f aca="false">Sens!$C$7541+Sens!$C$7542+Sens!$C$7543+Sens!$C$7544+Sens!$C$7545+Sens!$C$7546-(Sens!$C$7548+Sens!$C$7549)</f>
        <v>0</v>
      </c>
      <c r="D7554" s="41" t="n">
        <f aca="false">Sens!$D$7541+Sens!$D$7542+Sens!$D$7543+Sens!$D$7544+Sens!$D$7545+Sens!$D$7546-(Sens!$D$7548+Sens!$D$7549)</f>
        <v>0</v>
      </c>
      <c r="E7554" s="41" t="n">
        <f aca="false">Sens!$E$7541+Sens!$E$7542+Sens!$E$7543+Sens!$E$7544+Sens!$E$7545+Sens!$E$7546-(Sens!$E$7548+Sens!$E$7549)</f>
        <v>0</v>
      </c>
      <c r="F7554" s="41" t="n">
        <f aca="false">Sens!$F$7541+Sens!$F$7542+Sens!$F$7543+Sens!$F$7544+Sens!$F$7545+Sens!$F$7546-(Sens!$F$7548+Sens!$F$7549)</f>
        <v>0</v>
      </c>
      <c r="G7554" s="41" t="n">
        <f aca="false">Sens!$G$7541+Sens!$G$7542+Sens!$G$7543+Sens!$G$7544+Sens!$G$7545+Sens!$G$7546-(Sens!$G$7548+Sens!$G$7549)</f>
        <v>0</v>
      </c>
      <c r="H7554" s="41" t="n">
        <f aca="false">Sens!$H$7541+Sens!$H$7542+Sens!$H$7543+Sens!$H$7544+Sens!$H$7545+Sens!$H$7546-(Sens!$H$7548+Sens!$H$7549)</f>
        <v>0</v>
      </c>
      <c r="I7554" s="41" t="n">
        <f aca="false">Sens!$I$7541+Sens!$I$7542+Sens!$I$7543+Sens!$I$7544+Sens!$I$7545+Sens!$I$7546-(Sens!$I$7548+Sens!$I$7549)</f>
        <v>0</v>
      </c>
      <c r="J7554" s="41" t="n">
        <f aca="false">Sens!$J$7541+Sens!$J$7542+Sens!$J$7543+Sens!$J$7544+Sens!$J$7545+Sens!$J$7546-(Sens!$J$7548+Sens!$J$7549)</f>
        <v>0</v>
      </c>
      <c r="K7554" s="41" t="n">
        <f aca="false">Sens!$K$7541+Sens!$K$7542+Sens!$K$7543+Sens!$K$7544+Sens!$K$7545+Sens!$K$7546-(Sens!$K$7548+Sens!$K$7549)</f>
        <v>0</v>
      </c>
      <c r="L7554" s="41" t="n">
        <f aca="false">Sens!$L$7541+Sens!$L$7542+Sens!$L$7543+Sens!$L$7544+Sens!$L$7545+Sens!$L$7546-(Sens!$L$7548+Sens!$L$7549)</f>
        <v>0</v>
      </c>
      <c r="M7554" s="41" t="n">
        <f aca="false">Sens!$M$7541+Sens!$M$7542+Sens!$M$7543+Sens!$M$7544+Sens!$M$7545+Sens!$M$7546-(Sens!$M$7548+Sens!$M$7549)</f>
        <v>0</v>
      </c>
      <c r="N7554" s="41" t="n">
        <f aca="false">Sens!$N$7541+Sens!$N$7542+Sens!$N$7543+Sens!$N$7544+Sens!$N$7545+Sens!$N$7546-(Sens!$N$7548+Sens!$N$7549)</f>
        <v>0</v>
      </c>
      <c r="O7554" s="41" t="n">
        <f aca="false">Sens!$O$7541+Sens!$O$7542+Sens!$O$7543+Sens!$O$7544+Sens!$O$7545+Sens!$O$7546-(Sens!$O$7548+Sens!$O$7549)</f>
        <v>0</v>
      </c>
    </row>
    <row r="7555" customFormat="false" ht="17.15" hidden="false" customHeight="false" outlineLevel="0" collapsed="false">
      <c r="A7555" s="24" t="s">
        <v>715</v>
      </c>
      <c r="B7555" s="25" t="s">
        <v>86</v>
      </c>
      <c r="C7555" s="41" t="n">
        <f aca="false">Sens!$C$7551+Sens!$C$7552-Sens!$C$7550</f>
        <v>0</v>
      </c>
      <c r="D7555" s="41" t="n">
        <f aca="false">Sens!$D$7551+Sens!$D$7552-Sens!$D$7550</f>
        <v>0</v>
      </c>
      <c r="E7555" s="41" t="n">
        <f aca="false">Sens!$E$7551+Sens!$E$7552-Sens!$E$7550</f>
        <v>0</v>
      </c>
      <c r="F7555" s="41" t="n">
        <f aca="false">Sens!$F$7551+Sens!$F$7552-Sens!$F$7550</f>
        <v>0</v>
      </c>
      <c r="G7555" s="41" t="n">
        <f aca="false">Sens!$G$7551+Sens!$G$7552-Sens!$G$7550</f>
        <v>0</v>
      </c>
      <c r="H7555" s="41" t="n">
        <f aca="false">Sens!$H$7551+Sens!$H$7552-Sens!$H$7550</f>
        <v>0</v>
      </c>
      <c r="I7555" s="41" t="n">
        <f aca="false">Sens!$I$7551+Sens!$I$7552-Sens!$I$7550</f>
        <v>0</v>
      </c>
      <c r="J7555" s="41" t="n">
        <f aca="false">Sens!$J$7551+Sens!$J$7552-Sens!$J$7550</f>
        <v>0</v>
      </c>
      <c r="K7555" s="41" t="n">
        <f aca="false">Sens!$K$7551+Sens!$K$7552-Sens!$K$7550</f>
        <v>0</v>
      </c>
      <c r="L7555" s="41" t="n">
        <f aca="false">Sens!$L$7551+Sens!$L$7552-Sens!$L$7550</f>
        <v>0</v>
      </c>
      <c r="M7555" s="41" t="n">
        <f aca="false">Sens!$M$7551+Sens!$M$7552-Sens!$M$7550</f>
        <v>0</v>
      </c>
      <c r="N7555" s="41" t="n">
        <f aca="false">Sens!$N$7551+Sens!$N$7552-Sens!$N$7550</f>
        <v>0</v>
      </c>
      <c r="O7555" s="41" t="n">
        <f aca="false">Sens!$O$7551+Sens!$O$7552-Sens!$O$7550</f>
        <v>0</v>
      </c>
    </row>
    <row r="7556" customFormat="false" ht="17.15" hidden="false" customHeight="false" outlineLevel="0" collapsed="false">
      <c r="A7556" s="24" t="s">
        <v>774</v>
      </c>
      <c r="B7556" s="25" t="s">
        <v>86</v>
      </c>
      <c r="C7556" s="41" t="n">
        <f aca="false">Sens!$C$7541+Sens!$C$7542+Sens!$C$7543+Sens!$C$7544+Sens!$C$7545+Sens!$C$7546+Sens!$C$7547-Sens!$C$7553</f>
        <v>0</v>
      </c>
      <c r="D7556" s="41" t="n">
        <f aca="false">Sens!$D$7541+Sens!$D$7542+Sens!$D$7543+Sens!$D$7544+Sens!$D$7545+Sens!$D$7546+Sens!$D$7547-Sens!$D$7553</f>
        <v>0</v>
      </c>
      <c r="E7556" s="41" t="n">
        <f aca="false">Sens!$E$7541+Sens!$E$7542+Sens!$E$7543+Sens!$E$7544+Sens!$E$7545+Sens!$E$7546+Sens!$E$7547-Sens!$E$7553</f>
        <v>0</v>
      </c>
      <c r="F7556" s="41" t="n">
        <f aca="false">Sens!$F$7541+Sens!$F$7542+Sens!$F$7543+Sens!$F$7544+Sens!$F$7545+Sens!$F$7546+Sens!$F$7547-Sens!$F$7553</f>
        <v>0</v>
      </c>
      <c r="G7556" s="41" t="n">
        <f aca="false">Sens!$G$7541+Sens!$G$7542+Sens!$G$7543+Sens!$G$7544+Sens!$G$7545+Sens!$G$7546+Sens!$G$7547-Sens!$G$7553</f>
        <v>0</v>
      </c>
      <c r="H7556" s="41" t="n">
        <f aca="false">Sens!$H$7541+Sens!$H$7542+Sens!$H$7543+Sens!$H$7544+Sens!$H$7545+Sens!$H$7546+Sens!$H$7547-Sens!$H$7553</f>
        <v>0</v>
      </c>
      <c r="I7556" s="41" t="n">
        <f aca="false">Sens!$I$7541+Sens!$I$7542+Sens!$I$7543+Sens!$I$7544+Sens!$I$7545+Sens!$I$7546+Sens!$I$7547-Sens!$I$7553</f>
        <v>0</v>
      </c>
      <c r="J7556" s="41" t="n">
        <f aca="false">Sens!$J$7541+Sens!$J$7542+Sens!$J$7543+Sens!$J$7544+Sens!$J$7545+Sens!$J$7546+Sens!$J$7547-Sens!$J$7553</f>
        <v>0</v>
      </c>
      <c r="K7556" s="41" t="n">
        <f aca="false">Sens!$K$7541+Sens!$K$7542+Sens!$K$7543+Sens!$K$7544+Sens!$K$7545+Sens!$K$7546+Sens!$K$7547-Sens!$K$7553</f>
        <v>0</v>
      </c>
      <c r="L7556" s="41" t="n">
        <f aca="false">Sens!$L$7541+Sens!$L$7542+Sens!$L$7543+Sens!$L$7544+Sens!$L$7545+Sens!$L$7546+Sens!$L$7547-Sens!$L$7553</f>
        <v>0</v>
      </c>
      <c r="M7556" s="41" t="n">
        <f aca="false">Sens!$M$7541+Sens!$M$7542+Sens!$M$7543+Sens!$M$7544+Sens!$M$7545+Sens!$M$7546+Sens!$M$7547-Sens!$M$7553</f>
        <v>0</v>
      </c>
      <c r="N7556" s="41" t="n">
        <f aca="false">Sens!$N$7541+Sens!$N$7542+Sens!$N$7543+Sens!$N$7544+Sens!$N$7545+Sens!$N$7546+Sens!$N$7547-Sens!$N$7553</f>
        <v>0</v>
      </c>
      <c r="O7556" s="41" t="n">
        <f aca="false">Sens!$O$7541+Sens!$O$7542+Sens!$O$7543+Sens!$O$7544+Sens!$O$7545+Sens!$O$7546+Sens!$O$7547-Sens!$O$7553</f>
        <v>0</v>
      </c>
    </row>
    <row r="7557" customFormat="false" ht="17.15" hidden="false" customHeight="false" outlineLevel="0" collapsed="false">
      <c r="A7557" s="24" t="s">
        <v>716</v>
      </c>
      <c r="B7557" s="25" t="s">
        <v>86</v>
      </c>
      <c r="C7557" s="41" t="n">
        <f aca="false">Sens!$C$7548+Sens!$C$7549+Sens!$C$7550-Sens!$C$7553</f>
        <v>0</v>
      </c>
      <c r="D7557" s="41" t="n">
        <f aca="false">Sens!$D$7548+Sens!$D$7549+Sens!$D$7550-Sens!$D$7553</f>
        <v>0</v>
      </c>
      <c r="E7557" s="41" t="n">
        <f aca="false">Sens!$E$7548+Sens!$E$7549+Sens!$E$7550-Sens!$E$7553</f>
        <v>0</v>
      </c>
      <c r="F7557" s="41" t="n">
        <f aca="false">Sens!$F$7548+Sens!$F$7549+Sens!$F$7550-Sens!$F$7553</f>
        <v>0</v>
      </c>
      <c r="G7557" s="41" t="n">
        <f aca="false">Sens!$G$7548+Sens!$G$7549+Sens!$G$7550-Sens!$G$7553</f>
        <v>0</v>
      </c>
      <c r="H7557" s="41" t="n">
        <f aca="false">Sens!$H$7548+Sens!$H$7549+Sens!$H$7550-Sens!$H$7553</f>
        <v>0</v>
      </c>
      <c r="I7557" s="41" t="n">
        <f aca="false">Sens!$I$7548+Sens!$I$7549+Sens!$I$7550-Sens!$I$7553</f>
        <v>0</v>
      </c>
      <c r="J7557" s="41" t="n">
        <f aca="false">Sens!$J$7548+Sens!$J$7549+Sens!$J$7550-Sens!$J$7553</f>
        <v>0</v>
      </c>
      <c r="K7557" s="41" t="n">
        <f aca="false">Sens!$K$7548+Sens!$K$7549+Sens!$K$7550-Sens!$K$7553</f>
        <v>0</v>
      </c>
      <c r="L7557" s="41" t="n">
        <f aca="false">Sens!$L$7548+Sens!$L$7549+Sens!$L$7550-Sens!$L$7553</f>
        <v>0</v>
      </c>
      <c r="M7557" s="41" t="n">
        <f aca="false">Sens!$M$7548+Sens!$M$7549+Sens!$M$7550-Sens!$M$7553</f>
        <v>0</v>
      </c>
      <c r="N7557" s="41" t="n">
        <f aca="false">Sens!$N$7548+Sens!$N$7549+Sens!$N$7550-Sens!$N$7553</f>
        <v>0</v>
      </c>
      <c r="O7557" s="41" t="n">
        <f aca="false">Sens!$O$7548+Sens!$O$7549+Sens!$O$7550-Sens!$O$7553</f>
        <v>0</v>
      </c>
    </row>
    <row r="7558" customFormat="false" ht="17.15" hidden="false" customHeight="false" outlineLevel="0" collapsed="false">
      <c r="A7558" s="1" t="s">
        <v>730</v>
      </c>
    </row>
    <row r="7559" customFormat="false" ht="17.15" hidden="false" customHeight="false" outlineLevel="0" collapsed="false">
      <c r="A7559" s="0" t="s">
        <v>731</v>
      </c>
      <c r="B7559" s="0" t="s">
        <v>86</v>
      </c>
      <c r="C7559" s="38" t="n">
        <f aca="false">Sens!$C$7460*m_ad</f>
        <v>20.5341564414228</v>
      </c>
      <c r="D7559" s="38" t="n">
        <f aca="false">Sens!$D$7460*m_ad</f>
        <v>24.8720617299587</v>
      </c>
      <c r="E7559" s="38" t="n">
        <f aca="false">Sens!$E$7460*m_ad</f>
        <v>13.5017112462207</v>
      </c>
      <c r="F7559" s="38" t="n">
        <f aca="false">Sens!$F$7460*m_ad</f>
        <v>16.5719724165257</v>
      </c>
      <c r="G7559" s="38" t="n">
        <f aca="false">Sens!$G$7460*m_ad</f>
        <v>30.0820919220415</v>
      </c>
      <c r="H7559" s="38" t="n">
        <f aca="false">Sens!$H$7460*m_ad</f>
        <v>36.1150883276314</v>
      </c>
      <c r="I7559" s="38" t="n">
        <f aca="false">Sens!$I$7460*m_ad</f>
        <v>42.1475382231996</v>
      </c>
      <c r="J7559" s="38" t="n">
        <f aca="false">Sens!$J$7460*m_ad</f>
        <v>47.7749523864693</v>
      </c>
      <c r="K7559" s="38" t="n">
        <f aca="false">Sens!$K$7460*m_ad</f>
        <v>52.5524476251162</v>
      </c>
      <c r="L7559" s="38" t="n">
        <f aca="false">Sens!$L$7460*m_ad</f>
        <v>57.8076923876279</v>
      </c>
      <c r="M7559" s="38" t="n">
        <f aca="false">Sens!$M$7460*m_ad</f>
        <v>63.5884616263907</v>
      </c>
      <c r="N7559" s="38" t="n">
        <f aca="false">Sens!$N$7460*m_ad</f>
        <v>10.8543555706248</v>
      </c>
      <c r="O7559" s="38" t="n">
        <f aca="false">Sens!$O$7460*m_ad</f>
        <v>14.0094731821399</v>
      </c>
    </row>
    <row r="7560" customFormat="false" ht="17.15" hidden="false" customHeight="false" outlineLevel="0" collapsed="false">
      <c r="A7560" s="0" t="s">
        <v>732</v>
      </c>
      <c r="B7560" s="0" t="s">
        <v>86</v>
      </c>
      <c r="C7560" s="38" t="n">
        <f aca="false">Sens!$C$7458-Sens!$C$7460</f>
        <v>346.428687117154</v>
      </c>
      <c r="D7560" s="38" t="n">
        <f aca="false">Sens!$D$7458-Sens!$D$7460</f>
        <v>376.560876540083</v>
      </c>
      <c r="E7560" s="38" t="n">
        <f aca="false">Sens!$E$7458-Sens!$E$7460</f>
        <v>193.316577507559</v>
      </c>
      <c r="F7560" s="38" t="n">
        <f aca="false">Sens!$F$7458-Sens!$F$7460</f>
        <v>217.495828647535</v>
      </c>
      <c r="G7560" s="38" t="n">
        <f aca="false">Sens!$G$7458-Sens!$G$7460</f>
        <v>410.795589636503</v>
      </c>
      <c r="H7560" s="38" t="n">
        <f aca="false">Sens!$H$7458-Sens!$H$7460</f>
        <v>449.156813761174</v>
      </c>
      <c r="I7560" s="38" t="n">
        <f aca="false">Sens!$I$7458-Sens!$I$7460</f>
        <v>485.848786441156</v>
      </c>
      <c r="J7560" s="38" t="n">
        <f aca="false">Sens!$J$7458-Sens!$J$7460</f>
        <v>519.841531018994</v>
      </c>
      <c r="K7560" s="38" t="n">
        <f aca="false">Sens!$K$7458-Sens!$K$7460</f>
        <v>550.103332311311</v>
      </c>
      <c r="L7560" s="38" t="n">
        <f aca="false">Sens!$L$7458-Sens!$L$7460</f>
        <v>582.192354474511</v>
      </c>
      <c r="M7560" s="38" t="n">
        <f aca="false">Sens!$M$7458-Sens!$M$7460</f>
        <v>616.22240521081</v>
      </c>
      <c r="N7560" s="38" t="n">
        <f aca="false">Sens!$N$7458-Sens!$N$7460</f>
        <v>171.24628885875</v>
      </c>
      <c r="O7560" s="38" t="n">
        <f aca="false">Sens!$O$7458-Sens!$O$7460</f>
        <v>205.33105363572</v>
      </c>
    </row>
    <row r="7561" customFormat="false" ht="17.15" hidden="false" customHeight="false" outlineLevel="0" collapsed="false">
      <c r="A7561" s="0" t="s">
        <v>733</v>
      </c>
      <c r="B7561" s="0" t="s">
        <v>86</v>
      </c>
      <c r="C7561" s="38" t="n">
        <f aca="false">Sens!$C$7512*Sens!$C$7457</f>
        <v>0.123617442257179</v>
      </c>
      <c r="D7561" s="38" t="n">
        <f aca="false">Sens!$D$7512*Sens!$D$7457</f>
        <v>0.600198046024689</v>
      </c>
      <c r="E7561" s="38" t="n">
        <f aca="false">Sens!$E$7512*Sens!$E$7457</f>
        <v>1.10840000750276</v>
      </c>
      <c r="F7561" s="38" t="n">
        <f aca="false">Sens!$F$7512*Sens!$F$7457</f>
        <v>1.33595298721025</v>
      </c>
      <c r="G7561" s="38" t="n">
        <f aca="false">Sens!$G$7512*Sens!$G$7457</f>
        <v>2.44487335052545</v>
      </c>
      <c r="H7561" s="38" t="n">
        <f aca="false">Sens!$H$7512*Sens!$H$7457</f>
        <v>6.63132711939388</v>
      </c>
      <c r="I7561" s="38" t="n">
        <f aca="false">Sens!$I$7512*Sens!$I$7457</f>
        <v>12.7486799258504</v>
      </c>
      <c r="J7561" s="38" t="n">
        <f aca="false">Sens!$J$7512*Sens!$J$7457</f>
        <v>18.4074045299415</v>
      </c>
      <c r="K7561" s="38" t="n">
        <f aca="false">Sens!$K$7512*Sens!$K$7457</f>
        <v>23.9455472348705</v>
      </c>
      <c r="L7561" s="38" t="n">
        <f aca="false">Sens!$L$7512*Sens!$L$7457</f>
        <v>27.78179156216</v>
      </c>
      <c r="M7561" s="38" t="n">
        <f aca="false">Sens!$M$7512*Sens!$M$7457</f>
        <v>29.9029027327362</v>
      </c>
      <c r="N7561" s="38" t="n">
        <f aca="false">Sens!$N$7512*Sens!$N$7457</f>
        <v>0.25053229484398</v>
      </c>
      <c r="O7561" s="38" t="n">
        <f aca="false">Sens!$O$7512*Sens!$O$7457</f>
        <v>0.349234376756897</v>
      </c>
    </row>
    <row r="7562" customFormat="false" ht="17.15" hidden="false" customHeight="false" outlineLevel="0" collapsed="false">
      <c r="A7562" s="0" t="s">
        <v>734</v>
      </c>
      <c r="B7562" s="0" t="s">
        <v>52</v>
      </c>
      <c r="C7562" s="28" t="n">
        <f aca="false">(Sens!$C$7563-Sens!$C$7559+Sens!$C$7561)/Sens!$C$7560</f>
        <v>0.0131526665379575</v>
      </c>
      <c r="D7562" s="28" t="n">
        <f aca="false">(Sens!$D$7563-Sens!$D$7559+Sens!$D$7561)/Sens!$D$7560</f>
        <v>0.0141999252954702</v>
      </c>
      <c r="E7562" s="28" t="n">
        <f aca="false">(Sens!$E$7563-Sens!$E$7559+Sens!$E$7561)/Sens!$E$7560</f>
        <v>0.0258471819939326</v>
      </c>
      <c r="F7562" s="28" t="n">
        <f aca="false">Sens!$O$7562+(Sens!$E$7562-Sens!$N$7562)</f>
        <v>0.0224302350712874</v>
      </c>
      <c r="G7562" s="28" t="n">
        <f aca="false">(Sens!$G$7563-Sens!$G$7559+Sens!$G$7561)/Sens!$G$7560</f>
        <v>0.0240199351461372</v>
      </c>
      <c r="H7562" s="28" t="n">
        <f aca="false">Sens!$G$7562+step_na</f>
        <v>0.0270199351461372</v>
      </c>
      <c r="I7562" s="28" t="n">
        <f aca="false">Sens!$H$7562+step_na</f>
        <v>0.0300199351461372</v>
      </c>
      <c r="J7562" s="28" t="n">
        <f aca="false">Sens!$I$7562+step_na</f>
        <v>0.0330199351461372</v>
      </c>
      <c r="K7562" s="28" t="n">
        <f aca="false">Sens!$J$7562+step_na</f>
        <v>0.0360199351461372</v>
      </c>
      <c r="L7562" s="28" t="n">
        <f aca="false">Sens!$K$7562</f>
        <v>0.0360199351461372</v>
      </c>
      <c r="M7562" s="28" t="n">
        <f aca="false">Sens!$L$7562</f>
        <v>0.0360199351461372</v>
      </c>
      <c r="N7562" s="28" t="n">
        <f aca="false">(Sens!$N$7563-Sens!$N$7559+Sens!$N$7561)/Sens!$N$7560</f>
        <v>0.0160831323269779</v>
      </c>
      <c r="O7562" s="28" t="n">
        <f aca="false">(Sens!$O$7563-Sens!$O$7559+Sens!$O$7561)/Sens!$O$7560</f>
        <v>0.0126661854043327</v>
      </c>
      <c r="P7562" s="8" t="s">
        <v>735</v>
      </c>
    </row>
    <row r="7563" customFormat="false" ht="17.15" hidden="false" customHeight="false" outlineLevel="0" collapsed="false">
      <c r="A7563" s="1" t="s">
        <v>736</v>
      </c>
      <c r="B7563" s="8" t="s">
        <v>86</v>
      </c>
      <c r="C7563" s="38" t="n">
        <f aca="false">Q!$D$22</f>
        <v>24.967</v>
      </c>
      <c r="D7563" s="38" t="n">
        <f aca="false">Q!$E$22</f>
        <v>29.619</v>
      </c>
      <c r="E7563" s="38" t="n">
        <f aca="false">Q!$P$22</f>
        <v>17.39</v>
      </c>
      <c r="F7563" s="38" t="n">
        <f aca="false">Sens!$F$7559+Sens!$F$7560*Sens!$F$7562-Sens!$F$7561</f>
        <v>20.1145019929041</v>
      </c>
      <c r="G7563" s="38" t="n">
        <f aca="false">Sens!$E$7563+Sens!$F$7563</f>
        <v>37.5045019929041</v>
      </c>
      <c r="H7563" s="38" t="n">
        <f aca="false">Sens!$H$7559+Sens!$H$7560*Sens!$H$7562-Sens!$H$7561</f>
        <v>41.6199491865101</v>
      </c>
      <c r="I7563" s="38" t="n">
        <f aca="false">Sens!$I$7559+Sens!$I$7560*Sens!$I$7562-Sens!$I$7561</f>
        <v>43.9840073571422</v>
      </c>
      <c r="J7563" s="38" t="n">
        <f aca="false">Sens!$J$7559+Sens!$J$7560*Sens!$J$7562-Sens!$J$7561</f>
        <v>46.5326814970436</v>
      </c>
      <c r="K7563" s="38" t="n">
        <f aca="false">Sens!$K$7559+Sens!$K$7560*Sens!$K$7562-Sens!$K$7561</f>
        <v>48.4215867437731</v>
      </c>
      <c r="L7563" s="38" t="n">
        <f aca="false">Sens!$L$7559+Sens!$L$7560*Sens!$L$7562-Sens!$L$7561</f>
        <v>50.9964316762167</v>
      </c>
      <c r="M7563" s="38" t="n">
        <f aca="false">Sens!$M$7559+Sens!$M$7560*Sens!$M$7562-Sens!$M$7561</f>
        <v>55.8818499649445</v>
      </c>
      <c r="N7563" s="38" t="n">
        <f aca="false">Q!$N$22</f>
        <v>13.358</v>
      </c>
      <c r="O7563" s="38" t="n">
        <f aca="false">Q!$O$22</f>
        <v>16.261</v>
      </c>
    </row>
    <row r="7564" customFormat="false" ht="17.15" hidden="false" customHeight="false" outlineLevel="0" collapsed="false">
      <c r="A7564" s="0" t="s">
        <v>737</v>
      </c>
      <c r="B7564" s="0" t="s">
        <v>86</v>
      </c>
      <c r="C7564" s="38" t="n">
        <f aca="false">Sens!$C$7461*m_ad</f>
        <v>7.57284355857716</v>
      </c>
      <c r="D7564" s="38" t="n">
        <f aca="false">Sens!$D$7461*m_ad</f>
        <v>9.44543827004127</v>
      </c>
      <c r="E7564" s="38" t="n">
        <f aca="false">Sens!$E$7461*m_ad</f>
        <v>5.02428875377928</v>
      </c>
      <c r="F7564" s="38" t="n">
        <f aca="false">Sens!$F$7461*m_ad</f>
        <v>6.50663858068173</v>
      </c>
      <c r="G7564" s="38" t="n">
        <f aca="false">Sens!$G$7461*m_ad</f>
        <v>11.5225190751659</v>
      </c>
      <c r="H7564" s="38" t="n">
        <f aca="false">Sens!$H$7461*m_ad</f>
        <v>13.8333728663174</v>
      </c>
      <c r="I7564" s="38" t="n">
        <f aca="false">Sens!$I$7461*m_ad</f>
        <v>16.1440173245485</v>
      </c>
      <c r="J7564" s="38" t="n">
        <f aca="false">Sens!$J$7461*m_ad</f>
        <v>18.2995185845066</v>
      </c>
      <c r="K7564" s="38" t="n">
        <f aca="false">Sens!$K$7461*m_ad</f>
        <v>20.1294704429572</v>
      </c>
      <c r="L7564" s="38" t="n">
        <f aca="false">Sens!$L$7461*m_ad</f>
        <v>22.142417487253</v>
      </c>
      <c r="M7564" s="38" t="n">
        <f aca="false">Sens!$M$7461*m_ad</f>
        <v>24.3566592359783</v>
      </c>
      <c r="N7564" s="38" t="n">
        <f aca="false">Sens!$N$7461*m_ad</f>
        <v>3.95314442937518</v>
      </c>
      <c r="O7564" s="38" t="n">
        <f aca="false">Sens!$O$7461*m_ad</f>
        <v>5.50052681786011</v>
      </c>
    </row>
    <row r="7565" customFormat="false" ht="17.15" hidden="false" customHeight="false" outlineLevel="0" collapsed="false">
      <c r="A7565" s="0" t="s">
        <v>738</v>
      </c>
      <c r="B7565" s="0" t="s">
        <v>86</v>
      </c>
      <c r="C7565" s="38" t="n">
        <f aca="false">Sens!$C$7459-Sens!$C$7461</f>
        <v>127.760312882846</v>
      </c>
      <c r="D7565" s="38" t="n">
        <f aca="false">Sens!$D$7459-Sens!$D$7461</f>
        <v>143.003123459917</v>
      </c>
      <c r="E7565" s="38" t="n">
        <f aca="false">Sens!$E$7459-Sens!$E$7461</f>
        <v>71.9374224924414</v>
      </c>
      <c r="F7565" s="38" t="n">
        <f aca="false">Sens!$F$7459-Sens!$F$7461</f>
        <v>85.3951910035875</v>
      </c>
      <c r="G7565" s="38" t="n">
        <f aca="false">Sens!$G$7459-Sens!$G$7461</f>
        <v>157.349430014619</v>
      </c>
      <c r="H7565" s="38" t="n">
        <f aca="false">Sens!$H$7459-Sens!$H$7461</f>
        <v>172.043153372315</v>
      </c>
      <c r="I7565" s="38" t="n">
        <f aca="false">Sens!$I$7459-Sens!$I$7461</f>
        <v>186.097493615879</v>
      </c>
      <c r="J7565" s="38" t="n">
        <f aca="false">Sens!$J$7459-Sens!$J$7461</f>
        <v>199.117932780497</v>
      </c>
      <c r="K7565" s="38" t="n">
        <f aca="false">Sens!$K$7459-Sens!$K$7461</f>
        <v>210.70928698363</v>
      </c>
      <c r="L7565" s="38" t="n">
        <f aca="false">Sens!$L$7459-Sens!$L$7461</f>
        <v>223.000532251316</v>
      </c>
      <c r="M7565" s="38" t="n">
        <f aca="false">Sens!$M$7459-Sens!$M$7461</f>
        <v>236.035261011339</v>
      </c>
      <c r="N7565" s="38" t="n">
        <f aca="false">Sens!$N$7459-Sens!$N$7461</f>
        <v>62.3677111412496</v>
      </c>
      <c r="O7565" s="38" t="n">
        <f aca="false">Sens!$O$7459-Sens!$O$7461</f>
        <v>80.6189463642798</v>
      </c>
    </row>
    <row r="7566" customFormat="false" ht="17.15" hidden="false" customHeight="false" outlineLevel="0" collapsed="false">
      <c r="A7566" s="0" t="s">
        <v>739</v>
      </c>
      <c r="B7566" s="0" t="s">
        <v>86</v>
      </c>
      <c r="C7566" s="38" t="n">
        <f aca="false">Sens!$C$7512*(1-Sens!$C$7457)</f>
        <v>0.0455891896019953</v>
      </c>
      <c r="D7566" s="38" t="n">
        <f aca="false">Sens!$D$7512*(1-Sens!$D$7457)</f>
        <v>0.227931791705753</v>
      </c>
      <c r="E7566" s="38" t="n">
        <f aca="false">Sens!$E$7512*(1-Sens!$E$7457)</f>
        <v>0.412460434890711</v>
      </c>
      <c r="F7566" s="38" t="n">
        <f aca="false">Sens!$F$7512*(1-Sens!$F$7457)</f>
        <v>0.524534016233997</v>
      </c>
      <c r="G7566" s="38" t="n">
        <f aca="false">Sens!$G$7512*(1-Sens!$G$7457)</f>
        <v>0.936474095312266</v>
      </c>
      <c r="H7566" s="38" t="n">
        <f aca="false">Sens!$H$7512*(1-Sens!$H$7457)</f>
        <v>2.54003589327823</v>
      </c>
      <c r="I7566" s="38" t="n">
        <f aca="false">Sens!$I$7512*(1-Sens!$I$7457)</f>
        <v>4.88320120852905</v>
      </c>
      <c r="J7566" s="38" t="n">
        <f aca="false">Sens!$J$7512*(1-Sens!$J$7457)</f>
        <v>7.05069548920359</v>
      </c>
      <c r="K7566" s="38" t="n">
        <f aca="false">Sens!$K$7512*(1-Sens!$K$7457)</f>
        <v>9.17200258193867</v>
      </c>
      <c r="L7566" s="38" t="n">
        <f aca="false">Sens!$L$7512*(1-Sens!$L$7457)</f>
        <v>10.6414216154535</v>
      </c>
      <c r="M7566" s="38" t="n">
        <f aca="false">Sens!$M$7512*(1-Sens!$M$7457)</f>
        <v>11.4538831951485</v>
      </c>
      <c r="N7566" s="38" t="n">
        <f aca="false">Sens!$N$7512*(1-Sens!$N$7457)</f>
        <v>0.0912435878202994</v>
      </c>
      <c r="O7566" s="38" t="n">
        <f aca="false">Sens!$O$7512*(1-Sens!$O$7457)</f>
        <v>0.137119578309265</v>
      </c>
    </row>
    <row r="7567" customFormat="false" ht="17.15" hidden="false" customHeight="false" outlineLevel="0" collapsed="false">
      <c r="A7567" s="0" t="s">
        <v>740</v>
      </c>
      <c r="B7567" s="0" t="s">
        <v>52</v>
      </c>
      <c r="C7567" s="28" t="n">
        <f aca="false">(Sens!$C$7568-Sens!$C$7564+Sens!$C$7566)/Sens!$C$7565</f>
        <v>-0.0292364215826579</v>
      </c>
      <c r="D7567" s="28" t="n">
        <f aca="false">(Sens!$D$7568-Sens!$D$7564+Sens!$D$7566)/Sens!$D$7565</f>
        <v>-0.0312406216748665</v>
      </c>
      <c r="E7567" s="28" t="n">
        <f aca="false">(Sens!$E$7568-Sens!$E$7564+Sens!$E$7566)/Sens!$E$7565</f>
        <v>-0.0204459413185552</v>
      </c>
      <c r="F7567" s="28" t="n">
        <f aca="false">Sens!$O$7567+(Sens!$E$7567-Sens!$N$7567)</f>
        <v>-0.0375409290246314</v>
      </c>
      <c r="G7567" s="28" t="n">
        <f aca="false">(Sens!$G$7568-Sens!$G$7564+Sens!$G$7566)/Sens!$G$7565</f>
        <v>-0.0296712560031684</v>
      </c>
      <c r="H7567" s="28" t="n">
        <f aca="false">Sens!$G$7567+step_in</f>
        <v>-0.0296712560031684</v>
      </c>
      <c r="I7567" s="28" t="n">
        <f aca="false">Sens!$H$7567+step_in</f>
        <v>-0.0296712560031684</v>
      </c>
      <c r="J7567" s="28" t="n">
        <f aca="false">Sens!$I$7567+step_in</f>
        <v>-0.0296712560031684</v>
      </c>
      <c r="K7567" s="28" t="n">
        <f aca="false">Sens!$J$7567+step_in</f>
        <v>-0.0296712560031684</v>
      </c>
      <c r="L7567" s="28" t="n">
        <f aca="false">Sens!$K$7567</f>
        <v>-0.0296712560031684</v>
      </c>
      <c r="M7567" s="28" t="n">
        <f aca="false">Sens!$L$7567</f>
        <v>-0.0296712560031684</v>
      </c>
      <c r="N7567" s="28" t="n">
        <f aca="false">(Sens!$N$7568-Sens!$N$7564+Sens!$N$7566)/Sens!$N$7565</f>
        <v>-0.0216602600421776</v>
      </c>
      <c r="O7567" s="28" t="n">
        <f aca="false">(Sens!$O$7568-Sens!$O$7564+Sens!$O$7566)/Sens!$O$7565</f>
        <v>-0.0387552477482538</v>
      </c>
      <c r="P7567" s="8" t="s">
        <v>735</v>
      </c>
    </row>
    <row r="7568" customFormat="false" ht="17.15" hidden="false" customHeight="false" outlineLevel="0" collapsed="false">
      <c r="A7568" s="1" t="s">
        <v>741</v>
      </c>
      <c r="B7568" s="8" t="s">
        <v>86</v>
      </c>
      <c r="C7568" s="38" t="n">
        <f aca="false">Q!$D$23</f>
        <v>3.792</v>
      </c>
      <c r="D7568" s="38" t="n">
        <f aca="false">Q!$E$23</f>
        <v>4.75</v>
      </c>
      <c r="E7568" s="38" t="n">
        <f aca="false">Q!$P$23</f>
        <v>3.141</v>
      </c>
      <c r="F7568" s="38" t="n">
        <f aca="false">Sens!$F$7564+Sens!$F$7565*Sens!$F$7567-Sens!$F$7566</f>
        <v>2.77628975993721</v>
      </c>
      <c r="G7568" s="38" t="n">
        <f aca="false">Sens!$E$7568+Sens!$F$7568</f>
        <v>5.91728975993721</v>
      </c>
      <c r="H7568" s="38" t="n">
        <f aca="false">Sens!$H$7564+Sens!$H$7565*Sens!$H$7567-Sens!$H$7566</f>
        <v>6.18860052573681</v>
      </c>
      <c r="I7568" s="38" t="n">
        <f aca="false">Sens!$I$7564+Sens!$I$7565*Sens!$I$7567-Sens!$I$7566</f>
        <v>5.73906974139474</v>
      </c>
      <c r="J7568" s="38" t="n">
        <f aca="false">Sens!$J$7564+Sens!$J$7565*Sens!$J$7567-Sens!$J$7566</f>
        <v>5.34074393695119</v>
      </c>
      <c r="K7568" s="38" t="n">
        <f aca="false">Sens!$K$7564+Sens!$K$7565*Sens!$K$7567-Sens!$K$7566</f>
        <v>4.7054586646822</v>
      </c>
      <c r="L7568" s="38" t="n">
        <f aca="false">Sens!$L$7564+Sens!$L$7565*Sens!$L$7567-Sens!$L$7566</f>
        <v>4.88428999052786</v>
      </c>
      <c r="M7568" s="38" t="n">
        <f aca="false">Sens!$M$7564+Sens!$M$7565*Sens!$M$7567-Sens!$M$7566</f>
        <v>5.89931338558769</v>
      </c>
      <c r="N7568" s="38" t="n">
        <f aca="false">Q!$N$23</f>
        <v>2.511</v>
      </c>
      <c r="O7568" s="38" t="n">
        <f aca="false">Q!$O$23</f>
        <v>2.239</v>
      </c>
    </row>
    <row r="7569" customFormat="false" ht="17.15" hidden="false" customHeight="false" outlineLevel="0" collapsed="false">
      <c r="A7569" s="0" t="s">
        <v>742</v>
      </c>
      <c r="B7569" s="0" t="s">
        <v>86</v>
      </c>
      <c r="C7569" s="38" t="n">
        <f aca="false">Sens!$C$7509</f>
        <v>1.64417882953695</v>
      </c>
      <c r="D7569" s="38" t="n">
        <f aca="false">Sens!$D$7509</f>
        <v>5.39125073772939</v>
      </c>
      <c r="E7569" s="38" t="n">
        <f aca="false">Sens!$E$7509</f>
        <v>2.42691120599613</v>
      </c>
      <c r="F7569" s="38" t="n">
        <f aca="false">Sens!$F$7509</f>
        <v>7.52148563094346</v>
      </c>
      <c r="G7569" s="38" t="n">
        <f aca="false">Sens!$G$7509</f>
        <v>9.94839683693959</v>
      </c>
      <c r="H7569" s="38" t="n">
        <f aca="false">Sens!$H$7509</f>
        <v>23.4804386990861</v>
      </c>
      <c r="I7569" s="38" t="n">
        <f aca="false">Sens!$I$7509</f>
        <v>30.9761745989143</v>
      </c>
      <c r="J7569" s="38" t="n">
        <f aca="false">Sens!$J$7509</f>
        <v>41.1930070746977</v>
      </c>
      <c r="K7569" s="38" t="n">
        <f aca="false">Sens!$K$7509</f>
        <v>45.9779211159428</v>
      </c>
      <c r="L7569" s="38" t="n">
        <f aca="false">Sens!$L$7509</f>
        <v>48.0352490919424</v>
      </c>
      <c r="M7569" s="38" t="n">
        <f aca="false">Sens!$M$7509</f>
        <v>47.4082976573265</v>
      </c>
      <c r="N7569" s="38" t="n">
        <f aca="false">Sens!$N$7509</f>
        <v>1.67921600037079</v>
      </c>
      <c r="O7569" s="38" t="n">
        <f aca="false">Sens!$O$7509</f>
        <v>3.71203473735861</v>
      </c>
    </row>
    <row r="7570" customFormat="false" ht="17.15" hidden="false" customHeight="false" outlineLevel="0" collapsed="false">
      <c r="A7570" s="0" t="s">
        <v>660</v>
      </c>
      <c r="B7570" s="0" t="s">
        <v>86</v>
      </c>
      <c r="C7570" s="38" t="n">
        <f aca="false">Sens!$C$7514</f>
        <v>38.1898211704631</v>
      </c>
      <c r="D7570" s="38" t="n">
        <f aca="false">Sens!$D$7514</f>
        <v>40.2147492622706</v>
      </c>
      <c r="E7570" s="38" t="n">
        <f aca="false">Sens!$E$7514</f>
        <v>28.3550887940039</v>
      </c>
      <c r="F7570" s="38" t="n">
        <f aca="false">Sens!$F$7514</f>
        <v>25.9529793149447</v>
      </c>
      <c r="G7570" s="38" t="n">
        <f aca="false">Sens!$G$7514</f>
        <v>54.3080681089486</v>
      </c>
      <c r="H7570" s="38" t="n">
        <f aca="false">Sens!$H$7514</f>
        <v>58.2264684589333</v>
      </c>
      <c r="I7570" s="38" t="n">
        <f aca="false">Sens!$I$7514</f>
        <v>64.6461353851744</v>
      </c>
      <c r="J7570" s="38" t="n">
        <f aca="false">Sens!$J$7514</f>
        <v>70.7957093610231</v>
      </c>
      <c r="K7570" s="38" t="n">
        <f aca="false">Sens!$K$7514</f>
        <v>76.4593661099049</v>
      </c>
      <c r="L7570" s="38" t="n">
        <f aca="false">Sens!$L$7514</f>
        <v>82.5761153986973</v>
      </c>
      <c r="M7570" s="38" t="n">
        <f aca="false">Sens!$M$7514</f>
        <v>89.1822046305931</v>
      </c>
      <c r="N7570" s="38" t="n">
        <f aca="false">Sens!$N$7514</f>
        <v>20.0277839996292</v>
      </c>
      <c r="O7570" s="38" t="n">
        <f aca="false">Sens!$O$7514</f>
        <v>20.1869652626414</v>
      </c>
    </row>
    <row r="7571" customFormat="false" ht="17.15" hidden="false" customHeight="false" outlineLevel="0" collapsed="false">
      <c r="A7571" s="1" t="s">
        <v>743</v>
      </c>
      <c r="B7571" s="8" t="s">
        <v>86</v>
      </c>
      <c r="C7571" s="38" t="n">
        <f aca="false">Q!$D$24</f>
        <v>39.834</v>
      </c>
      <c r="D7571" s="38" t="n">
        <f aca="false">Q!$E$24</f>
        <v>45.606</v>
      </c>
      <c r="E7571" s="38" t="n">
        <f aca="false">Q!$P$24</f>
        <v>30.782</v>
      </c>
      <c r="F7571" s="38" t="n">
        <f aca="false">Sens!$F$7569+Sens!$F$7570</f>
        <v>33.4744649458882</v>
      </c>
      <c r="G7571" s="38" t="n">
        <f aca="false">Sens!$G$7569+Sens!$G$7570</f>
        <v>64.2564649458882</v>
      </c>
      <c r="H7571" s="38" t="n">
        <f aca="false">Sens!$H$7569+Sens!$H$7570</f>
        <v>81.7069071580194</v>
      </c>
      <c r="I7571" s="38" t="n">
        <f aca="false">Sens!$I$7569+Sens!$I$7570</f>
        <v>95.6223099840887</v>
      </c>
      <c r="J7571" s="38" t="n">
        <f aca="false">Sens!$J$7569+Sens!$J$7570</f>
        <v>111.988716435721</v>
      </c>
      <c r="K7571" s="38" t="n">
        <f aca="false">Sens!$K$7569+Sens!$K$7570</f>
        <v>122.437287225848</v>
      </c>
      <c r="L7571" s="38" t="n">
        <f aca="false">Sens!$L$7569+Sens!$L$7570</f>
        <v>130.61136449064</v>
      </c>
      <c r="M7571" s="38" t="n">
        <f aca="false">Sens!$M$7569+Sens!$M$7570</f>
        <v>136.59050228792</v>
      </c>
      <c r="N7571" s="38" t="n">
        <f aca="false">Q!$N$24</f>
        <v>21.707</v>
      </c>
      <c r="O7571" s="38" t="n">
        <f aca="false">Q!$O$24</f>
        <v>23.899</v>
      </c>
    </row>
    <row r="7572" customFormat="false" ht="17.15" hidden="false" customHeight="false" outlineLevel="0" collapsed="false">
      <c r="A7572" s="5" t="s">
        <v>744</v>
      </c>
      <c r="B7572" s="0" t="s">
        <v>86</v>
      </c>
      <c r="C7572" s="38" t="n">
        <f aca="false">Q!$D$26</f>
        <v>0</v>
      </c>
      <c r="D7572" s="38" t="n">
        <f aca="false">Q!$E$26</f>
        <v>0</v>
      </c>
      <c r="E7572" s="38" t="n">
        <f aca="false">Q!$P$26</f>
        <v>0</v>
      </c>
      <c r="F7572" s="39" t="n">
        <v>0</v>
      </c>
      <c r="G7572" s="38" t="n">
        <f aca="false">Sens!$E$7572+Sens!$F$7572</f>
        <v>0</v>
      </c>
      <c r="H7572" s="39" t="n">
        <v>0</v>
      </c>
      <c r="I7572" s="39" t="n">
        <v>0</v>
      </c>
      <c r="J7572" s="39" t="n">
        <v>0</v>
      </c>
      <c r="K7572" s="39" t="n">
        <v>0</v>
      </c>
      <c r="L7572" s="39" t="n">
        <v>0</v>
      </c>
      <c r="M7572" s="39" t="n">
        <v>0</v>
      </c>
      <c r="N7572" s="38" t="n">
        <f aca="false">Q!$N$26</f>
        <v>0</v>
      </c>
      <c r="O7572" s="38" t="n">
        <f aca="false">Q!$O$26</f>
        <v>0</v>
      </c>
    </row>
    <row r="7573" customFormat="false" ht="15" hidden="false" customHeight="false" outlineLevel="0" collapsed="false">
      <c r="A7573" s="3" t="s">
        <v>541</v>
      </c>
      <c r="B7573" s="8" t="s">
        <v>86</v>
      </c>
      <c r="C7573" s="38" t="n">
        <f aca="false">Q!$D$25</f>
        <v>68.593</v>
      </c>
      <c r="D7573" s="38" t="n">
        <f aca="false">Q!$E$25</f>
        <v>79.975</v>
      </c>
      <c r="E7573" s="38" t="n">
        <f aca="false">Q!$P$25</f>
        <v>51.313</v>
      </c>
      <c r="F7573" s="38" t="n">
        <f aca="false">Sens!$F$7563+Sens!$F$7568+Sens!$F$7571+Sens!$F$7572</f>
        <v>56.3652566987294</v>
      </c>
      <c r="G7573" s="38" t="n">
        <f aca="false">Sens!$G$7563+Sens!$G$7568+Sens!$G$7571+Sens!$G$7572</f>
        <v>107.678256698729</v>
      </c>
      <c r="H7573" s="38" t="n">
        <f aca="false">Sens!$H$7563+Sens!$H$7568+Sens!$H$7571+Sens!$H$7572</f>
        <v>129.515456870266</v>
      </c>
      <c r="I7573" s="38" t="n">
        <f aca="false">Sens!$I$7563+Sens!$I$7568+Sens!$I$7571+Sens!$I$7572</f>
        <v>145.345387082626</v>
      </c>
      <c r="J7573" s="38" t="n">
        <f aca="false">Sens!$J$7563+Sens!$J$7568+Sens!$J$7571+Sens!$J$7572</f>
        <v>163.862141869716</v>
      </c>
      <c r="K7573" s="38" t="n">
        <f aca="false">Sens!$K$7563+Sens!$K$7568+Sens!$K$7571+Sens!$K$7572</f>
        <v>175.564332634303</v>
      </c>
      <c r="L7573" s="38" t="n">
        <f aca="false">Sens!$L$7563+Sens!$L$7568+Sens!$L$7571+Sens!$L$7572</f>
        <v>186.492086157384</v>
      </c>
      <c r="M7573" s="38" t="n">
        <f aca="false">Sens!$M$7563+Sens!$M$7568+Sens!$M$7571+Sens!$M$7572</f>
        <v>198.371665638452</v>
      </c>
      <c r="N7573" s="38" t="n">
        <f aca="false">Q!$N$25</f>
        <v>37.576</v>
      </c>
      <c r="O7573" s="38" t="n">
        <f aca="false">Q!$O$25</f>
        <v>42.399</v>
      </c>
    </row>
    <row r="7574" customFormat="false" ht="17.15" hidden="false" customHeight="false" outlineLevel="0" collapsed="false">
      <c r="A7574" s="24" t="s">
        <v>775</v>
      </c>
      <c r="B7574" s="25" t="s">
        <v>86</v>
      </c>
      <c r="C7574" s="41" t="n">
        <f aca="false">Sens!$C$7563+Sens!$C$7568+Sens!$C$7571+Sens!$C$7572-Sens!$C$7573</f>
        <v>0</v>
      </c>
      <c r="D7574" s="41" t="n">
        <f aca="false">Sens!$D$7563+Sens!$D$7568+Sens!$D$7571+Sens!$D$7572-Sens!$D$7573</f>
        <v>0</v>
      </c>
      <c r="E7574" s="41" t="n">
        <f aca="false">Sens!$E$7563+Sens!$E$7568+Sens!$E$7571+Sens!$E$7572-Sens!$E$7573</f>
        <v>0</v>
      </c>
      <c r="F7574" s="41" t="n">
        <f aca="false">Sens!$F$7563+Sens!$F$7568+Sens!$F$7571+Sens!$F$7572-Sens!$F$7573</f>
        <v>0</v>
      </c>
      <c r="G7574" s="41" t="n">
        <f aca="false">Sens!$G$7563+Sens!$G$7568+Sens!$G$7571+Sens!$G$7572-Sens!$G$7573</f>
        <v>0</v>
      </c>
      <c r="H7574" s="41" t="n">
        <f aca="false">Sens!$H$7563+Sens!$H$7568+Sens!$H$7571+Sens!$H$7572-Sens!$H$7573</f>
        <v>0</v>
      </c>
      <c r="I7574" s="41" t="n">
        <f aca="false">Sens!$I$7563+Sens!$I$7568+Sens!$I$7571+Sens!$I$7572-Sens!$I$7573</f>
        <v>0</v>
      </c>
      <c r="J7574" s="41" t="n">
        <f aca="false">Sens!$J$7563+Sens!$J$7568+Sens!$J$7571+Sens!$J$7572-Sens!$J$7573</f>
        <v>0</v>
      </c>
      <c r="K7574" s="41" t="n">
        <f aca="false">Sens!$K$7563+Sens!$K$7568+Sens!$K$7571+Sens!$K$7572-Sens!$K$7573</f>
        <v>0</v>
      </c>
      <c r="L7574" s="41" t="n">
        <f aca="false">Sens!$L$7563+Sens!$L$7568+Sens!$L$7571+Sens!$L$7572-Sens!$L$7573</f>
        <v>0</v>
      </c>
      <c r="M7574" s="41" t="n">
        <f aca="false">Sens!$M$7563+Sens!$M$7568+Sens!$M$7571+Sens!$M$7572-Sens!$M$7573</f>
        <v>0</v>
      </c>
      <c r="N7574" s="41" t="n">
        <f aca="false">Sens!$N$7563+Sens!$N$7568+Sens!$N$7571+Sens!$N$7572-Sens!$N$7573</f>
        <v>0</v>
      </c>
      <c r="O7574" s="41" t="n">
        <f aca="false">Sens!$O$7563+Sens!$O$7568+Sens!$O$7571+Sens!$O$7572-Sens!$O$7573</f>
        <v>0</v>
      </c>
    </row>
    <row r="7575" customFormat="false" ht="17.15" hidden="false" customHeight="false" outlineLevel="0" collapsed="false">
      <c r="A7575" s="5" t="s">
        <v>746</v>
      </c>
      <c r="B7575" s="0" t="s">
        <v>86</v>
      </c>
      <c r="C7575" s="38" t="n">
        <f aca="false">Sens!$C$7511</f>
        <v>0</v>
      </c>
      <c r="D7575" s="38" t="n">
        <f aca="false">Sens!$D$7511</f>
        <v>0</v>
      </c>
      <c r="E7575" s="38" t="n">
        <f aca="false">Sens!$E$7511</f>
        <v>0</v>
      </c>
      <c r="F7575" s="38" t="n">
        <f aca="false">Sens!$F$7511</f>
        <v>3.77122048175818</v>
      </c>
      <c r="G7575" s="38" t="n">
        <f aca="false">Sens!$G$7511</f>
        <v>3.77122048175818</v>
      </c>
      <c r="H7575" s="38" t="n">
        <f aca="false">Sens!$H$7511</f>
        <v>15.1635543609893</v>
      </c>
      <c r="I7575" s="38" t="n">
        <f aca="false">Sens!$I$7511</f>
        <v>25.5818843619889</v>
      </c>
      <c r="J7575" s="38" t="n">
        <f aca="false">Sens!$J$7511</f>
        <v>36.0465624179122</v>
      </c>
      <c r="K7575" s="38" t="n">
        <f aca="false">Sens!$K$7511</f>
        <v>44.9741164026038</v>
      </c>
      <c r="L7575" s="38" t="n">
        <f aca="false">Sens!$L$7511</f>
        <v>50.8413488057813</v>
      </c>
      <c r="M7575" s="38" t="n">
        <f aca="false">Sens!$M$7511</f>
        <v>53.6407214274315</v>
      </c>
      <c r="N7575" s="38" t="n">
        <f aca="false">Sens!$N$7511</f>
        <v>0</v>
      </c>
      <c r="O7575" s="38" t="n">
        <f aca="false">Sens!$O$7511</f>
        <v>0</v>
      </c>
      <c r="P7575" s="5" t="s">
        <v>747</v>
      </c>
    </row>
    <row r="7576" customFormat="false" ht="17.15" hidden="false" customHeight="false" outlineLevel="0" collapsed="false">
      <c r="A7576" s="5" t="s">
        <v>748</v>
      </c>
      <c r="B7576" s="0" t="s">
        <v>86</v>
      </c>
      <c r="C7576" s="38" t="n">
        <f aca="false">Sens!$C$7573+Sens!$C$7575</f>
        <v>68.593</v>
      </c>
      <c r="D7576" s="38" t="n">
        <f aca="false">Sens!$D$7573+Sens!$D$7575</f>
        <v>79.975</v>
      </c>
      <c r="E7576" s="38" t="n">
        <f aca="false">Sens!$E$7573+Sens!$E$7575</f>
        <v>51.313</v>
      </c>
      <c r="F7576" s="38" t="n">
        <f aca="false">Sens!$F$7573+Sens!$F$7575</f>
        <v>60.1364771804876</v>
      </c>
      <c r="G7576" s="38" t="n">
        <f aca="false">Sens!$G$7573+Sens!$G$7575</f>
        <v>111.449477180488</v>
      </c>
      <c r="H7576" s="38" t="n">
        <f aca="false">Sens!$H$7573+Sens!$H$7575</f>
        <v>144.679011231256</v>
      </c>
      <c r="I7576" s="38" t="n">
        <f aca="false">Sens!$I$7573+Sens!$I$7575</f>
        <v>170.927271444615</v>
      </c>
      <c r="J7576" s="38" t="n">
        <f aca="false">Sens!$J$7573+Sens!$J$7575</f>
        <v>199.908704287628</v>
      </c>
      <c r="K7576" s="38" t="n">
        <f aca="false">Sens!$K$7573+Sens!$K$7575</f>
        <v>220.538449036907</v>
      </c>
      <c r="L7576" s="38" t="n">
        <f aca="false">Sens!$L$7573+Sens!$L$7575</f>
        <v>237.333434963166</v>
      </c>
      <c r="M7576" s="38" t="n">
        <f aca="false">Sens!$M$7573+Sens!$M$7575</f>
        <v>252.012387065883</v>
      </c>
      <c r="N7576" s="38" t="n">
        <f aca="false">Sens!$N$7573+Sens!$N$7575</f>
        <v>37.576</v>
      </c>
      <c r="O7576" s="38" t="n">
        <f aca="false">Sens!$O$7573+Sens!$O$7575</f>
        <v>42.399</v>
      </c>
    </row>
    <row r="7577" customFormat="false" ht="17.15" hidden="false" customHeight="false" outlineLevel="0" collapsed="false">
      <c r="A7577" s="0" t="s">
        <v>749</v>
      </c>
      <c r="B7577" s="0" t="s">
        <v>52</v>
      </c>
      <c r="C7577" s="13" t="n">
        <f aca="false">Sens!$C$7563/Sens!$C$7548</f>
        <v>0.0644314665661928</v>
      </c>
      <c r="D7577" s="13" t="n">
        <f aca="false">Sens!$D$7563/Sens!$D$7548</f>
        <v>0.0694784250712518</v>
      </c>
      <c r="E7577" s="13" t="n">
        <f aca="false">Sens!$E$7563/Sens!$E$7548</f>
        <v>0.0789306463326071</v>
      </c>
      <c r="F7577" s="13" t="n">
        <f aca="false">Sens!$F$7563/Sens!$F$7548</f>
        <v>0.0802526339438384</v>
      </c>
      <c r="G7577" s="13" t="n">
        <f aca="false">Sens!$G$7563/Sens!$G$7548</f>
        <v>0.0796341940538369</v>
      </c>
      <c r="H7577" s="13" t="n">
        <f aca="false">Sens!$H$7563/Sens!$H$7548</f>
        <v>0.0798254462645258</v>
      </c>
      <c r="I7577" s="13" t="n">
        <f aca="false">Sens!$I$7563/Sens!$I$7548</f>
        <v>0.0771454543672196</v>
      </c>
      <c r="J7577" s="13" t="n">
        <f aca="false">Sens!$J$7563/Sens!$J$7548</f>
        <v>0.0756147693819656</v>
      </c>
      <c r="K7577" s="13" t="n">
        <f aca="false">Sens!$K$7563/Sens!$K$7548</f>
        <v>0.0739025926520816</v>
      </c>
      <c r="L7577" s="13" t="n">
        <f aca="false">Sens!$L$7563/Sens!$L$7548</f>
        <v>0.0730809201558074</v>
      </c>
      <c r="M7577" s="13" t="n">
        <f aca="false">Sens!$M$7563/Sens!$M$7548</f>
        <v>0.0751707027775199</v>
      </c>
      <c r="N7577" s="13" t="n">
        <f aca="false">Sens!$N$7563/Sens!$N$7548</f>
        <v>0.069228576611127</v>
      </c>
      <c r="O7577" s="13" t="n">
        <f aca="false">Sens!$O$7563/Sens!$O$7548</f>
        <v>0.069685022498393</v>
      </c>
    </row>
    <row r="7578" customFormat="false" ht="17.15" hidden="false" customHeight="false" outlineLevel="0" collapsed="false">
      <c r="A7578" s="0" t="s">
        <v>750</v>
      </c>
      <c r="B7578" s="0" t="s">
        <v>52</v>
      </c>
      <c r="C7578" s="13" t="n">
        <f aca="false">Sens!$C$7568/Sens!$C$7549</f>
        <v>0.026534925055631</v>
      </c>
      <c r="D7578" s="13" t="n">
        <f aca="false">Sens!$D$7568/Sens!$D$7549</f>
        <v>0.0293401855535103</v>
      </c>
      <c r="E7578" s="13" t="n">
        <f aca="false">Sens!$E$7568/Sens!$E$7549</f>
        <v>0.03831141902276</v>
      </c>
      <c r="F7578" s="13" t="n">
        <f aca="false">Sens!$F$7568/Sens!$F$7549</f>
        <v>0.0282118989524726</v>
      </c>
      <c r="G7578" s="13" t="n">
        <f aca="false">Sens!$G$7568/Sens!$G$7549</f>
        <v>0.0328019468674976</v>
      </c>
      <c r="H7578" s="13" t="n">
        <f aca="false">Sens!$H$7568/Sens!$H$7549</f>
        <v>0.0309879507899839</v>
      </c>
      <c r="I7578" s="13" t="n">
        <f aca="false">Sens!$I$7568/Sens!$I$7549</f>
        <v>0.0262795332043765</v>
      </c>
      <c r="J7578" s="13" t="n">
        <f aca="false">Sens!$J$7568/Sens!$J$7549</f>
        <v>0.0226574435353346</v>
      </c>
      <c r="K7578" s="13" t="n">
        <f aca="false">Sens!$K$7568/Sens!$K$7549</f>
        <v>0.0187492205871101</v>
      </c>
      <c r="L7578" s="13" t="n">
        <f aca="false">Sens!$L$7568/Sens!$L$7549</f>
        <v>0.018273690180732</v>
      </c>
      <c r="M7578" s="13" t="n">
        <f aca="false">Sens!$M$7568/Sens!$M$7549</f>
        <v>0.0207176218272716</v>
      </c>
      <c r="N7578" s="13" t="n">
        <f aca="false">Sens!$N$7568/Sens!$N$7549</f>
        <v>0.0357315650169337</v>
      </c>
      <c r="O7578" s="13" t="n">
        <f aca="false">Sens!$O$7568/Sens!$O$7549</f>
        <v>0.0244378956559703</v>
      </c>
    </row>
    <row r="7579" customFormat="false" ht="17.15" hidden="false" customHeight="false" outlineLevel="0" collapsed="false">
      <c r="A7579" s="14" t="s">
        <v>751</v>
      </c>
      <c r="B7579" s="14" t="s">
        <v>52</v>
      </c>
      <c r="C7579" s="17" t="n">
        <f aca="false">Sens!$C$7571/Sens!$C$7550</f>
        <v>0.370355907620217</v>
      </c>
      <c r="D7579" s="17" t="n">
        <f aca="false">Sens!$D$7571/Sens!$D$7550</f>
        <v>0.35429015342785</v>
      </c>
      <c r="E7579" s="17" t="n">
        <f aca="false">Sens!$E$7571/Sens!$E$7550</f>
        <v>0.385647527531039</v>
      </c>
      <c r="F7579" s="17" t="n">
        <f aca="false">Sens!$F$7571/Sens!$F$7550</f>
        <v>0.385949613469105</v>
      </c>
      <c r="G7579" s="17" t="n">
        <f aca="false">Sens!$G$7571/Sens!$G$7550</f>
        <v>0.385804840448779</v>
      </c>
      <c r="H7579" s="17" t="n">
        <f aca="false">Sens!$H$7571/Sens!$H$7550</f>
        <v>0.369408675360557</v>
      </c>
      <c r="I7579" s="17" t="n">
        <f aca="false">Sens!$I$7571/Sens!$I$7550</f>
        <v>0.34117504540738</v>
      </c>
      <c r="J7579" s="17" t="n">
        <f aca="false">Sens!$J$7571/Sens!$J$7550</f>
        <v>0.330544285732563</v>
      </c>
      <c r="K7579" s="17" t="n">
        <f aca="false">Sens!$K$7571/Sens!$K$7550</f>
        <v>0.314033796990635</v>
      </c>
      <c r="L7579" s="17" t="n">
        <f aca="false">Sens!$L$7571/Sens!$L$7550</f>
        <v>0.303690371867633</v>
      </c>
      <c r="M7579" s="17" t="n">
        <f aca="false">Sens!$M$7571/Sens!$M$7550</f>
        <v>0.297287296590884</v>
      </c>
      <c r="N7579" s="17" t="n">
        <f aca="false">Sens!$N$7571/Sens!$N$7550</f>
        <v>0.360941137346192</v>
      </c>
      <c r="O7579" s="17" t="n">
        <f aca="false">Sens!$O$7571/Sens!$O$7550</f>
        <v>0.348458117664212</v>
      </c>
    </row>
    <row r="7580" customFormat="false" ht="17.15" hidden="false" customHeight="false" outlineLevel="0" collapsed="false">
      <c r="A7580" s="0" t="s">
        <v>752</v>
      </c>
      <c r="B7580" s="0" t="s">
        <v>52</v>
      </c>
      <c r="C7580" s="13" t="n">
        <f aca="false">Sens!$C$7569/Sens!$C$7551</f>
        <v>0.708390794789371</v>
      </c>
      <c r="D7580" s="13" t="n">
        <f aca="false">Sens!$D$7569/Sens!$D$7551</f>
        <v>0.619415573115729</v>
      </c>
      <c r="E7580" s="13" t="n">
        <f aca="false">Sens!$E$7569/Sens!$E$7551</f>
        <v>0.285171627189009</v>
      </c>
      <c r="F7580" s="13" t="n">
        <f aca="false">Sens!$F$7569/Sens!$F$7551</f>
        <v>0.502657732812366</v>
      </c>
      <c r="G7580" s="13" t="n">
        <f aca="false">Sens!$G$7569/Sens!$G$7551</f>
        <v>0.423808778611812</v>
      </c>
      <c r="H7580" s="13" t="n">
        <f aca="false">Sens!$H$7569/Sens!$H$7551</f>
        <v>0.390261631739809</v>
      </c>
      <c r="I7580" s="13" t="n">
        <f aca="false">Sens!$I$7569/Sens!$I$7551</f>
        <v>0.305172864264572</v>
      </c>
      <c r="J7580" s="13" t="n">
        <f aca="false">Sens!$J$7569/Sens!$J$7551</f>
        <v>0.288011814789856</v>
      </c>
      <c r="K7580" s="13" t="n">
        <f aca="false">Sens!$K$7569/Sens!$K$7551</f>
        <v>0.25765427518774</v>
      </c>
      <c r="L7580" s="13" t="n">
        <f aca="false">Sens!$L$7569/Sens!$L$7551</f>
        <v>0.238118778012374</v>
      </c>
      <c r="M7580" s="13" t="n">
        <f aca="false">Sens!$M$7569/Sens!$M$7551</f>
        <v>0.222746255757109</v>
      </c>
      <c r="N7580" s="13" t="n">
        <f aca="false">Sens!$N$7569/Sens!$N$7551</f>
        <v>0.551227795793364</v>
      </c>
      <c r="O7580" s="13" t="n">
        <f aca="false">Sens!$O$7569/Sens!$O$7551</f>
        <v>0.656132068597002</v>
      </c>
    </row>
    <row r="7581" customFormat="false" ht="15" hidden="false" customHeight="false" outlineLevel="0" collapsed="false">
      <c r="A7581" s="5" t="s">
        <v>753</v>
      </c>
      <c r="B7581" s="0" t="s">
        <v>52</v>
      </c>
      <c r="C7581" s="13" t="n">
        <f aca="false">Sens!$C$7573/Sens!$C$7553</f>
        <v>0.107519448742004</v>
      </c>
      <c r="D7581" s="13" t="n">
        <f aca="false">Sens!$D$7573/Sens!$D$7553</f>
        <v>0.111552967957552</v>
      </c>
      <c r="E7581" s="13" t="n">
        <f aca="false">Sens!$E$7573/Sens!$E$7553</f>
        <v>0.13428328426562</v>
      </c>
      <c r="F7581" s="13" t="n">
        <f aca="false">Sens!$F$7573/Sens!$F$7553</f>
        <v>0.129343087287827</v>
      </c>
      <c r="G7581" s="13" t="n">
        <f aca="false">Sens!$G$7573/Sens!$G$7553</f>
        <v>0.131651143259596</v>
      </c>
      <c r="H7581" s="13" t="n">
        <f aca="false">Sens!$H$7573/Sens!$H$7553</f>
        <v>0.137449034763893</v>
      </c>
      <c r="I7581" s="13" t="n">
        <f aca="false">Sens!$I$7573/Sens!$I$7553</f>
        <v>0.13598895915033</v>
      </c>
      <c r="J7581" s="13" t="n">
        <f aca="false">Sens!$J$7573/Sens!$J$7553</f>
        <v>0.137709769017663</v>
      </c>
      <c r="K7581" s="13" t="n">
        <f aca="false">Sens!$K$7573/Sens!$K$7553</f>
        <v>0.135459809314784</v>
      </c>
      <c r="L7581" s="13" t="n">
        <f aca="false">Sens!$L$7573/Sens!$L$7553</f>
        <v>0.133669430082102</v>
      </c>
      <c r="M7581" s="13" t="n">
        <f aca="false">Sens!$M$7573/Sens!$M$7553</f>
        <v>0.133349766772341</v>
      </c>
      <c r="N7581" s="13" t="n">
        <f aca="false">Sens!$N$7573/Sens!$N$7553</f>
        <v>0.116201614873411</v>
      </c>
      <c r="O7581" s="13" t="n">
        <f aca="false">Sens!$O$7573/Sens!$O$7553</f>
        <v>0.107733353660861</v>
      </c>
    </row>
    <row r="7582" customFormat="false" ht="17.15" hidden="false" customHeight="false" outlineLevel="0" collapsed="false">
      <c r="A7582" s="1" t="s">
        <v>754</v>
      </c>
    </row>
    <row r="7583" customFormat="false" ht="17.15" hidden="false" customHeight="false" outlineLevel="0" collapsed="false">
      <c r="A7583" s="5" t="s">
        <v>755</v>
      </c>
      <c r="B7583" s="0" t="s">
        <v>52</v>
      </c>
      <c r="D7583" s="28" t="n">
        <f aca="false">(Q!$E$29+Q!$E$30-(1-ext_sh)*Sens!$D$7505)/Sens!$D$7456</f>
        <v>0.0341105596409988</v>
      </c>
    </row>
    <row r="7584" customFormat="false" ht="17.15" hidden="false" customHeight="false" outlineLevel="0" collapsed="false">
      <c r="A7584" s="0" t="s">
        <v>545</v>
      </c>
      <c r="B7584" s="0" t="s">
        <v>86</v>
      </c>
      <c r="C7584" s="38" t="n">
        <f aca="false">Q!$D$29</f>
        <v>14.285</v>
      </c>
      <c r="D7584" s="38" t="n">
        <f aca="false">Q!$E$29</f>
        <v>15.503</v>
      </c>
      <c r="E7584" s="38" t="n">
        <f aca="false">Q!$P$29</f>
        <v>8.78</v>
      </c>
      <c r="F7584" s="38" t="n">
        <f aca="false">(Sens!$D$7583*Sens!$F$7456+(1-ext_sh)*Sens!$F$7505)*Sens!$F$7457</f>
        <v>9.30317620449232</v>
      </c>
      <c r="G7584" s="38" t="n">
        <f aca="false">Sens!$E$7584+Sens!$F$7584</f>
        <v>18.0831762044923</v>
      </c>
      <c r="H7584" s="38" t="n">
        <f aca="false">(Sens!$D$7583*Sens!$H$7456+(1-ext_sh)*Sens!$H$7505)*Sens!$H$7457</f>
        <v>22.1297245338482</v>
      </c>
      <c r="I7584" s="38" t="n">
        <f aca="false">(Sens!$D$7583*Sens!$I$7456+(1-ext_sh)*Sens!$I$7505)*Sens!$I$7457</f>
        <v>28.409695984391</v>
      </c>
      <c r="J7584" s="38" t="n">
        <f aca="false">(Sens!$D$7583*Sens!$J$7456+(1-ext_sh)*Sens!$J$7505)*Sens!$J$7457</f>
        <v>34.1085606174579</v>
      </c>
      <c r="K7584" s="38" t="n">
        <f aca="false">(Sens!$D$7583*Sens!$K$7456+(1-ext_sh)*Sens!$K$7505)*Sens!$K$7457</f>
        <v>39.7218983009068</v>
      </c>
      <c r="L7584" s="38" t="n">
        <f aca="false">(Sens!$D$7583*Sens!$L$7456+(1-ext_sh)*Sens!$L$7505)*Sens!$L$7457</f>
        <v>44.1680279486684</v>
      </c>
      <c r="M7584" s="38" t="n">
        <f aca="false">(Sens!$D$7583*Sens!$M$7456+(1-ext_sh)*Sens!$M$7505)*Sens!$M$7457</f>
        <v>47.4413073313286</v>
      </c>
      <c r="N7584" s="38" t="n">
        <f aca="false">Q!$N$29</f>
        <v>7.272</v>
      </c>
      <c r="O7584" s="38" t="n">
        <f aca="false">Q!$O$29</f>
        <v>8.231</v>
      </c>
    </row>
    <row r="7585" customFormat="false" ht="17.15" hidden="false" customHeight="false" outlineLevel="0" collapsed="false">
      <c r="A7585" s="0" t="s">
        <v>547</v>
      </c>
      <c r="B7585" s="0" t="s">
        <v>86</v>
      </c>
      <c r="C7585" s="38" t="n">
        <f aca="false">Q!$D$30</f>
        <v>4.462</v>
      </c>
      <c r="D7585" s="38" t="n">
        <f aca="false">Q!$E$30</f>
        <v>4.907</v>
      </c>
      <c r="E7585" s="38" t="n">
        <f aca="false">Q!$P$30</f>
        <v>2.57</v>
      </c>
      <c r="F7585" s="38" t="n">
        <f aca="false">(Sens!$D$7583*Sens!$F$7456+(1-ext_sh)*Sens!$F$7505)*(1-Sens!$F$7457)</f>
        <v>3.6526976809753</v>
      </c>
      <c r="G7585" s="38" t="n">
        <f aca="false">Sens!$E$7585+Sens!$F$7585</f>
        <v>6.2226976809753</v>
      </c>
      <c r="H7585" s="38" t="n">
        <f aca="false">(Sens!$D$7583*Sens!$H$7456+(1-ext_sh)*Sens!$H$7505)*(1-Sens!$H$7457)</f>
        <v>8.4764774248495</v>
      </c>
      <c r="I7585" s="38" t="n">
        <f aca="false">(Sens!$D$7583*Sens!$I$7456+(1-ext_sh)*Sens!$I$7505)*(1-Sens!$I$7457)</f>
        <v>10.881931507561</v>
      </c>
      <c r="J7585" s="38" t="n">
        <f aca="false">(Sens!$D$7583*Sens!$J$7456+(1-ext_sh)*Sens!$J$7505)*(1-Sens!$J$7457)</f>
        <v>13.0648008575874</v>
      </c>
      <c r="K7585" s="38" t="n">
        <f aca="false">(Sens!$D$7583*Sens!$K$7456+(1-ext_sh)*Sens!$K$7505)*(1-Sens!$K$7457)</f>
        <v>15.2149103214008</v>
      </c>
      <c r="L7585" s="38" t="n">
        <f aca="false">(Sens!$D$7583*Sens!$L$7456+(1-ext_sh)*Sens!$L$7505)*(1-Sens!$L$7457)</f>
        <v>16.9179372854085</v>
      </c>
      <c r="M7585" s="38" t="n">
        <f aca="false">(Sens!$D$7583*Sens!$M$7456+(1-ext_sh)*Sens!$M$7505)*(1-Sens!$M$7457)</f>
        <v>18.1717205735785</v>
      </c>
      <c r="N7585" s="38" t="n">
        <f aca="false">Q!$N$30</f>
        <v>2.316</v>
      </c>
      <c r="O7585" s="38" t="n">
        <f aca="false">Q!$O$30</f>
        <v>2.591</v>
      </c>
    </row>
    <row r="7586" customFormat="false" ht="17.15" hidden="false" customHeight="false" outlineLevel="0" collapsed="false">
      <c r="A7586" s="0" t="s">
        <v>548</v>
      </c>
      <c r="B7586" s="0" t="s">
        <v>86</v>
      </c>
      <c r="C7586" s="38" t="n">
        <f aca="false">Sens!$C$7517</f>
        <v>13.32</v>
      </c>
      <c r="D7586" s="38" t="n">
        <f aca="false">Sens!$D$7517</f>
        <v>21.45</v>
      </c>
      <c r="E7586" s="38" t="n">
        <f aca="false">Sens!$E$7517</f>
        <v>15.353</v>
      </c>
      <c r="F7586" s="38" t="n">
        <f aca="false">Sens!$F$7517</f>
        <v>16.1969869840094</v>
      </c>
      <c r="G7586" s="38" t="n">
        <f aca="false">Sens!$G$7517</f>
        <v>31.5499869840094</v>
      </c>
      <c r="H7586" s="38" t="n">
        <f aca="false">Sens!$H$7517</f>
        <v>50.9556213609176</v>
      </c>
      <c r="I7586" s="38" t="n">
        <f aca="false">Sens!$I$7517</f>
        <v>79.464581248252</v>
      </c>
      <c r="J7586" s="38" t="n">
        <f aca="false">Sens!$J$7517</f>
        <v>105.296127931746</v>
      </c>
      <c r="K7586" s="38" t="n">
        <f aca="false">Sens!$K$7517</f>
        <v>131.454694001511</v>
      </c>
      <c r="L7586" s="38" t="n">
        <f aca="false">Sens!$L$7517</f>
        <v>150.840456981405</v>
      </c>
      <c r="M7586" s="38" t="n">
        <f aca="false">Sens!$M$7517</f>
        <v>163.399454192999</v>
      </c>
      <c r="N7586" s="38" t="n">
        <f aca="false">Sens!$N$7517</f>
        <v>9.234</v>
      </c>
      <c r="O7586" s="38" t="n">
        <f aca="false">Sens!$O$7517</f>
        <v>12.216</v>
      </c>
    </row>
    <row r="7587" customFormat="false" ht="17.15" hidden="false" customHeight="false" outlineLevel="0" collapsed="false">
      <c r="A7587" s="5" t="s">
        <v>756</v>
      </c>
      <c r="B7587" s="0" t="s">
        <v>86</v>
      </c>
      <c r="C7587" s="38" t="n">
        <f aca="false">Sens!$C$7584+Sens!$C$7585+Sens!$C$7586</f>
        <v>32.067</v>
      </c>
      <c r="D7587" s="38" t="n">
        <f aca="false">Sens!$D$7584+Sens!$D$7585+Sens!$D$7586</f>
        <v>41.86</v>
      </c>
      <c r="E7587" s="38" t="n">
        <f aca="false">Sens!$E$7584+Sens!$E$7585+Sens!$E$7586</f>
        <v>26.703</v>
      </c>
      <c r="F7587" s="38" t="n">
        <f aca="false">Sens!$F$7584+Sens!$F$7585+Sens!$F$7586</f>
        <v>29.152860869477</v>
      </c>
      <c r="G7587" s="38" t="n">
        <f aca="false">Sens!$G$7584+Sens!$G$7585+Sens!$G$7586</f>
        <v>55.855860869477</v>
      </c>
      <c r="H7587" s="38" t="n">
        <f aca="false">Sens!$H$7584+Sens!$H$7585+Sens!$H$7586</f>
        <v>81.5618233196153</v>
      </c>
      <c r="I7587" s="38" t="n">
        <f aca="false">Sens!$I$7584+Sens!$I$7585+Sens!$I$7586</f>
        <v>118.756208740204</v>
      </c>
      <c r="J7587" s="38" t="n">
        <f aca="false">Sens!$J$7584+Sens!$J$7585+Sens!$J$7586</f>
        <v>152.469489406791</v>
      </c>
      <c r="K7587" s="38" t="n">
        <f aca="false">Sens!$K$7584+Sens!$K$7585+Sens!$K$7586</f>
        <v>186.391502623819</v>
      </c>
      <c r="L7587" s="38" t="n">
        <f aca="false">Sens!$L$7584+Sens!$L$7585+Sens!$L$7586</f>
        <v>211.926422215482</v>
      </c>
      <c r="M7587" s="38" t="n">
        <f aca="false">Sens!$M$7584+Sens!$M$7585+Sens!$M$7586</f>
        <v>229.012482097906</v>
      </c>
      <c r="N7587" s="38" t="n">
        <f aca="false">Sens!$N$7584+Sens!$N$7585+Sens!$N$7586</f>
        <v>18.822</v>
      </c>
      <c r="O7587" s="38" t="n">
        <f aca="false">Sens!$O$7584+Sens!$O$7585+Sens!$O$7586</f>
        <v>23.038</v>
      </c>
    </row>
    <row r="7588" customFormat="false" ht="17.15" hidden="false" customHeight="false" outlineLevel="0" collapsed="false">
      <c r="A7588" s="0" t="s">
        <v>757</v>
      </c>
      <c r="B7588" s="0" t="s">
        <v>86</v>
      </c>
      <c r="C7588" s="38" t="n">
        <f aca="false">Sens!$C$7559+Sens!$C$7564</f>
        <v>28.107</v>
      </c>
      <c r="D7588" s="38" t="n">
        <f aca="false">Sens!$D$7559+Sens!$D$7564</f>
        <v>34.3175</v>
      </c>
      <c r="E7588" s="38" t="n">
        <f aca="false">Sens!$E$7559+Sens!$E$7564</f>
        <v>18.526</v>
      </c>
      <c r="F7588" s="38" t="n">
        <f aca="false">Sens!$F$7559+Sens!$F$7564</f>
        <v>23.0786109972074</v>
      </c>
      <c r="G7588" s="38" t="n">
        <f aca="false">Sens!$G$7559+Sens!$G$7564</f>
        <v>41.6046109972074</v>
      </c>
      <c r="H7588" s="38" t="n">
        <f aca="false">Sens!$H$7559+Sens!$H$7564</f>
        <v>49.9484611939488</v>
      </c>
      <c r="I7588" s="38" t="n">
        <f aca="false">Sens!$I$7559+Sens!$I$7564</f>
        <v>58.2915555477481</v>
      </c>
      <c r="J7588" s="38" t="n">
        <f aca="false">Sens!$J$7559+Sens!$J$7564</f>
        <v>66.0744709709759</v>
      </c>
      <c r="K7588" s="38" t="n">
        <f aca="false">Sens!$K$7559+Sens!$K$7564</f>
        <v>72.6819180680735</v>
      </c>
      <c r="L7588" s="38" t="n">
        <f aca="false">Sens!$L$7559+Sens!$L$7564</f>
        <v>79.9501098748808</v>
      </c>
      <c r="M7588" s="38" t="n">
        <f aca="false">Sens!$M$7559+Sens!$M$7564</f>
        <v>87.9451208623689</v>
      </c>
      <c r="N7588" s="38" t="n">
        <f aca="false">Sens!$N$7559+Sens!$N$7564</f>
        <v>14.8075</v>
      </c>
      <c r="O7588" s="38" t="n">
        <f aca="false">Sens!$O$7559+Sens!$O$7564</f>
        <v>19.51</v>
      </c>
    </row>
    <row r="7589" customFormat="false" ht="17.15" hidden="false" customHeight="false" outlineLevel="0" collapsed="false">
      <c r="A7589" s="0" t="s">
        <v>758</v>
      </c>
      <c r="B7589" s="0" t="s">
        <v>86</v>
      </c>
      <c r="C7589" s="38" t="n">
        <f aca="false">Sens!$C$7563+Sens!$C$7568+Sens!$C$7584+Sens!$C$7585-Sens!$C$7588</f>
        <v>19.399</v>
      </c>
      <c r="D7589" s="38" t="n">
        <f aca="false">Sens!$D$7563+Sens!$D$7568+Sens!$D$7584+Sens!$D$7585-Sens!$D$7588</f>
        <v>20.4615</v>
      </c>
      <c r="E7589" s="38" t="n">
        <f aca="false">Sens!$E$7563+Sens!$E$7568+Sens!$E$7584+Sens!$E$7585-Sens!$E$7588</f>
        <v>13.355</v>
      </c>
      <c r="F7589" s="38" t="n">
        <f aca="false">Sens!$F$7563+Sens!$F$7568+Sens!$F$7584+Sens!$F$7585-Sens!$F$7588</f>
        <v>12.7680546411015</v>
      </c>
      <c r="G7589" s="38" t="n">
        <f aca="false">Sens!$G$7563+Sens!$G$7568+Sens!$G$7584+Sens!$G$7585-Sens!$G$7588</f>
        <v>26.1230546411015</v>
      </c>
      <c r="H7589" s="38" t="n">
        <f aca="false">Sens!$H$7563+Sens!$H$7568+Sens!$H$7584+Sens!$H$7585-Sens!$H$7588</f>
        <v>28.4662904769959</v>
      </c>
      <c r="I7589" s="38" t="n">
        <f aca="false">Sens!$I$7563+Sens!$I$7568+Sens!$I$7584+Sens!$I$7585-Sens!$I$7588</f>
        <v>30.7231490427408</v>
      </c>
      <c r="J7589" s="38" t="n">
        <f aca="false">Sens!$J$7563+Sens!$J$7568+Sens!$J$7584+Sens!$J$7585-Sens!$J$7588</f>
        <v>32.9723159380642</v>
      </c>
      <c r="K7589" s="38" t="n">
        <f aca="false">Sens!$K$7563+Sens!$K$7568+Sens!$K$7584+Sens!$K$7585-Sens!$K$7588</f>
        <v>35.3819359626894</v>
      </c>
      <c r="L7589" s="38" t="n">
        <f aca="false">Sens!$L$7563+Sens!$L$7568+Sens!$L$7584+Sens!$L$7585-Sens!$L$7588</f>
        <v>37.0165770259405</v>
      </c>
      <c r="M7589" s="38" t="n">
        <f aca="false">Sens!$M$7563+Sens!$M$7568+Sens!$M$7584+Sens!$M$7585-Sens!$M$7588</f>
        <v>39.4490703930704</v>
      </c>
      <c r="N7589" s="38" t="n">
        <f aca="false">Sens!$N$7563+Sens!$N$7568+Sens!$N$7584+Sens!$N$7585-Sens!$N$7588</f>
        <v>10.6495</v>
      </c>
      <c r="O7589" s="38" t="n">
        <f aca="false">Sens!$O$7563+Sens!$O$7568+Sens!$O$7584+Sens!$O$7585-Sens!$O$7588</f>
        <v>9.81200000000001</v>
      </c>
    </row>
    <row r="7590" customFormat="false" ht="17.15" hidden="false" customHeight="false" outlineLevel="0" collapsed="false">
      <c r="A7590" s="0" t="s">
        <v>759</v>
      </c>
      <c r="B7590" s="0" t="s">
        <v>86</v>
      </c>
      <c r="C7590" s="38" t="n">
        <f aca="false">Sens!$C$7570+Sens!$C$7586-ext_sh*Sens!$C$7505</f>
        <v>51.3470500115664</v>
      </c>
      <c r="D7590" s="38" t="n">
        <f aca="false">Sens!$D$7570+Sens!$D$7586-ext_sh*Sens!$D$7505</f>
        <v>60.2799375433739</v>
      </c>
      <c r="E7590" s="38" t="n">
        <f aca="false">Sens!$E$7570+Sens!$E$7586-ext_sh*Sens!$E$7505</f>
        <v>39.5095167090767</v>
      </c>
      <c r="F7590" s="38" t="n">
        <f aca="false">Sens!$F$7570+Sens!$F$7586-ext_sh*Sens!$F$7505</f>
        <v>37.951394214027</v>
      </c>
      <c r="G7590" s="38" t="n">
        <f aca="false">Sens!$G$7570+Sens!$G$7586-ext_sh*Sens!$G$7505</f>
        <v>77.4609109231037</v>
      </c>
      <c r="H7590" s="38" t="n">
        <f aca="false">Sens!$H$7570+Sens!$H$7586-ext_sh*Sens!$H$7505</f>
        <v>85.1453558128916</v>
      </c>
      <c r="I7590" s="38" t="n">
        <f aca="false">Sens!$I$7570+Sens!$I$7586-ext_sh*Sens!$I$7505</f>
        <v>94.532921967974</v>
      </c>
      <c r="J7590" s="38" t="n">
        <f aca="false">Sens!$J$7570+Sens!$J$7586-ext_sh*Sens!$J$7505</f>
        <v>103.525527532583</v>
      </c>
      <c r="K7590" s="38" t="n">
        <f aca="false">Sens!$K$7570+Sens!$K$7586-ext_sh*Sens!$K$7505</f>
        <v>111.80756973519</v>
      </c>
      <c r="L7590" s="38" t="n">
        <f aca="false">Sens!$L$7570+Sens!$L$7586-ext_sh*Sens!$L$7505</f>
        <v>120.752175314005</v>
      </c>
      <c r="M7590" s="38" t="n">
        <f aca="false">Sens!$M$7570+Sens!$M$7586-ext_sh*Sens!$M$7505</f>
        <v>130.412349339125</v>
      </c>
      <c r="N7590" s="38" t="n">
        <f aca="false">Sens!$N$7570+Sens!$N$7586-ext_sh*Sens!$N$7505</f>
        <v>28.5693781401809</v>
      </c>
      <c r="O7590" s="38" t="n">
        <f aca="false">Sens!$O$7570+Sens!$O$7586-ext_sh*Sens!$O$7505</f>
        <v>31.7105594031931</v>
      </c>
    </row>
    <row r="7591" customFormat="false" ht="17.15" hidden="false" customHeight="false" outlineLevel="0" collapsed="false">
      <c r="A7591" s="0" t="s">
        <v>760</v>
      </c>
      <c r="B7591" s="0" t="s">
        <v>86</v>
      </c>
      <c r="C7591" s="38" t="n">
        <f aca="false">Sens!$C$7508</f>
        <v>1.80694998843362</v>
      </c>
      <c r="D7591" s="38" t="n">
        <f aca="false">Sens!$D$7508</f>
        <v>6.77606245662607</v>
      </c>
      <c r="E7591" s="38" t="n">
        <f aca="false">Sens!$E$7508</f>
        <v>6.62548329092326</v>
      </c>
      <c r="F7591" s="38" t="n">
        <f aca="false">Sens!$F$7508</f>
        <v>11.7200577158706</v>
      </c>
      <c r="G7591" s="38" t="n">
        <f aca="false">Sens!$G$7508</f>
        <v>18.3455410067939</v>
      </c>
      <c r="H7591" s="38" t="n">
        <f aca="false">Sens!$H$7508</f>
        <v>47.5171727060453</v>
      </c>
      <c r="I7591" s="38" t="n">
        <f aca="false">Sens!$I$7508</f>
        <v>80.5539692643667</v>
      </c>
      <c r="J7591" s="38" t="n">
        <f aca="false">Sens!$J$7508</f>
        <v>113.759316834883</v>
      </c>
      <c r="K7591" s="38" t="n">
        <f aca="false">Sens!$K$7508</f>
        <v>142.084411492169</v>
      </c>
      <c r="L7591" s="38" t="n">
        <f aca="false">Sens!$L$7508</f>
        <v>160.69964615804</v>
      </c>
      <c r="M7591" s="38" t="n">
        <f aca="false">Sens!$M$7508</f>
        <v>169.577607141793</v>
      </c>
      <c r="N7591" s="38" t="n">
        <f aca="false">Sens!$N$7508</f>
        <v>2.37162185981912</v>
      </c>
      <c r="O7591" s="38" t="n">
        <f aca="false">Sens!$O$7508</f>
        <v>4.40444059680694</v>
      </c>
    </row>
    <row r="7592" customFormat="false" ht="17.15" hidden="false" customHeight="false" outlineLevel="0" collapsed="false">
      <c r="A7592" s="0" t="s">
        <v>761</v>
      </c>
      <c r="B7592" s="0" t="s">
        <v>86</v>
      </c>
      <c r="C7592" s="38" t="n">
        <f aca="false">Sens!$C$7573+Sens!$C$7587</f>
        <v>100.66</v>
      </c>
      <c r="D7592" s="38" t="n">
        <f aca="false">Sens!$D$7573+Sens!$D$7587</f>
        <v>121.835</v>
      </c>
      <c r="E7592" s="38" t="n">
        <f aca="false">Sens!$E$7573+Sens!$E$7587</f>
        <v>78.016</v>
      </c>
      <c r="F7592" s="38" t="n">
        <f aca="false">Sens!$F$7573+Sens!$F$7587</f>
        <v>85.5181175682064</v>
      </c>
      <c r="G7592" s="38" t="n">
        <f aca="false">Sens!$G$7573+Sens!$G$7587</f>
        <v>163.534117568206</v>
      </c>
      <c r="H7592" s="38" t="n">
        <f aca="false">Sens!$H$7573+Sens!$H$7587</f>
        <v>211.077280189882</v>
      </c>
      <c r="I7592" s="38" t="n">
        <f aca="false">Sens!$I$7573+Sens!$I$7587</f>
        <v>264.10159582283</v>
      </c>
      <c r="J7592" s="38" t="n">
        <f aca="false">Sens!$J$7573+Sens!$J$7587</f>
        <v>316.331631276507</v>
      </c>
      <c r="K7592" s="38" t="n">
        <f aca="false">Sens!$K$7573+Sens!$K$7587</f>
        <v>361.955835258122</v>
      </c>
      <c r="L7592" s="38" t="n">
        <f aca="false">Sens!$L$7573+Sens!$L$7587</f>
        <v>398.418508372866</v>
      </c>
      <c r="M7592" s="38" t="n">
        <f aca="false">Sens!$M$7573+Sens!$M$7587</f>
        <v>427.384147736358</v>
      </c>
      <c r="N7592" s="38" t="n">
        <f aca="false">Sens!$N$7573+Sens!$N$7587</f>
        <v>56.398</v>
      </c>
      <c r="O7592" s="38" t="n">
        <f aca="false">Sens!$O$7573+Sens!$O$7587</f>
        <v>65.437</v>
      </c>
    </row>
    <row r="7593" customFormat="false" ht="17.15" hidden="false" customHeight="false" outlineLevel="0" collapsed="false">
      <c r="A7593" s="1" t="s">
        <v>762</v>
      </c>
    </row>
    <row r="7594" customFormat="false" ht="15" hidden="false" customHeight="false" outlineLevel="0" collapsed="false">
      <c r="A7594" s="5" t="s">
        <v>551</v>
      </c>
      <c r="B7594" s="0" t="s">
        <v>86</v>
      </c>
      <c r="C7594" s="38" t="n">
        <f aca="false">Q!$D$34</f>
        <v>2.406</v>
      </c>
      <c r="D7594" s="38" t="n">
        <f aca="false">Q!$E$34</f>
        <v>2.274</v>
      </c>
      <c r="E7594" s="38" t="n">
        <f aca="false">Q!$P$34</f>
        <v>2.114</v>
      </c>
      <c r="F7594" s="38" t="n">
        <f aca="false">Sens!$F$7632</f>
        <v>3.24888962733561</v>
      </c>
      <c r="G7594" s="38" t="n">
        <f aca="false">Sens!$E$7594+Sens!$F$7594</f>
        <v>5.36288962733561</v>
      </c>
      <c r="H7594" s="38" t="n">
        <f aca="false">Sens!$H$7632</f>
        <v>7.42354172302123</v>
      </c>
      <c r="I7594" s="38" t="n">
        <f aca="false">Sens!$I$7632</f>
        <v>7.84418947693382</v>
      </c>
      <c r="J7594" s="38" t="n">
        <f aca="false">Sens!$J$7632</f>
        <v>8.79561318891235</v>
      </c>
      <c r="K7594" s="38" t="n">
        <f aca="false">Sens!$K$7632</f>
        <v>8.79561318891235</v>
      </c>
      <c r="L7594" s="38" t="n">
        <f aca="false">Sens!$L$7632</f>
        <v>8.79561318891235</v>
      </c>
      <c r="M7594" s="38" t="n">
        <f aca="false">Sens!$M$7632</f>
        <v>8.79561318891235</v>
      </c>
      <c r="N7594" s="38" t="n">
        <f aca="false">Q!$N$34</f>
        <v>1.057</v>
      </c>
      <c r="O7594" s="38" t="n">
        <f aca="false">Q!$O$34</f>
        <v>1.217</v>
      </c>
    </row>
    <row r="7595" customFormat="false" ht="15" hidden="false" customHeight="false" outlineLevel="0" collapsed="false">
      <c r="A7595" s="5" t="s">
        <v>763</v>
      </c>
      <c r="B7595" s="0" t="s">
        <v>86</v>
      </c>
      <c r="F7595" s="38" t="n">
        <f aca="false">Sens!$F$7633</f>
        <v>2.59</v>
      </c>
      <c r="H7595" s="38" t="n">
        <f aca="false">Sens!$H$7633</f>
        <v>4.1153774832261</v>
      </c>
      <c r="I7595" s="38" t="n">
        <f aca="false">Sens!$I$7633</f>
        <v>2.10589651022864</v>
      </c>
      <c r="J7595" s="38" t="n">
        <f aca="false">Sens!$J$7633</f>
        <v>2.10589651022864</v>
      </c>
      <c r="K7595" s="38" t="n">
        <f aca="false">Sens!$K$7633</f>
        <v>3.172800358404</v>
      </c>
      <c r="L7595" s="38" t="n">
        <f aca="false">Sens!$L$7633</f>
        <v>8.31037272592208</v>
      </c>
      <c r="M7595" s="38" t="n">
        <f aca="false">Sens!$M$7633</f>
        <v>15.9256588704093</v>
      </c>
    </row>
    <row r="7596" customFormat="false" ht="17.15" hidden="false" customHeight="false" outlineLevel="0" collapsed="false">
      <c r="A7596" s="5" t="s">
        <v>764</v>
      </c>
      <c r="B7596" s="0" t="s">
        <v>86</v>
      </c>
      <c r="C7596" s="38" t="n">
        <f aca="false">Q!$D$39</f>
        <v>2.427</v>
      </c>
      <c r="D7596" s="38" t="n">
        <f aca="false">Q!$E$39</f>
        <v>19.61</v>
      </c>
      <c r="E7596" s="38" t="n">
        <f aca="false">Q!$P$39</f>
        <v>71.492</v>
      </c>
      <c r="F7596" s="39" t="n">
        <v>0</v>
      </c>
      <c r="G7596" s="38" t="n">
        <f aca="false">Sens!$E$7596+Sens!$F$7596</f>
        <v>71.492</v>
      </c>
      <c r="H7596" s="39" t="n">
        <v>0</v>
      </c>
      <c r="I7596" s="39" t="n">
        <v>0</v>
      </c>
      <c r="J7596" s="39" t="n">
        <v>0</v>
      </c>
      <c r="K7596" s="39" t="n">
        <v>0</v>
      </c>
      <c r="L7596" s="39" t="n">
        <v>0</v>
      </c>
      <c r="M7596" s="39" t="n">
        <v>0</v>
      </c>
      <c r="N7596" s="38" t="n">
        <f aca="false">Q!$N$39</f>
        <v>6.017</v>
      </c>
      <c r="O7596" s="38" t="n">
        <f aca="false">Q!$O$39</f>
        <v>13.593</v>
      </c>
      <c r="P7596" s="5" t="s">
        <v>765</v>
      </c>
    </row>
    <row r="7597" customFormat="false" ht="15" hidden="false" customHeight="false" outlineLevel="0" collapsed="false">
      <c r="A7597" s="5" t="s">
        <v>554</v>
      </c>
      <c r="B7597" s="0" t="s">
        <v>86</v>
      </c>
      <c r="C7597" s="38" t="n">
        <f aca="false">Q!$D$36</f>
        <v>68.614</v>
      </c>
      <c r="D7597" s="38" t="n">
        <f aca="false">Q!$E$36</f>
        <v>97.311</v>
      </c>
      <c r="E7597" s="38" t="n">
        <f aca="false">Q!$P$36</f>
        <v>120.691</v>
      </c>
      <c r="F7597" s="38" t="n">
        <f aca="false">Sens!$F$7573-Sens!$F$7594+Sens!$F$7595+Sens!$F$7596</f>
        <v>55.7063670713938</v>
      </c>
      <c r="G7597" s="38" t="n">
        <f aca="false">Sens!$E$7597+Sens!$F$7597</f>
        <v>176.397367071394</v>
      </c>
      <c r="H7597" s="38" t="n">
        <f aca="false">Sens!$H$7573-Sens!$H$7594+Sens!$H$7595+Sens!$H$7596</f>
        <v>126.207292630471</v>
      </c>
      <c r="I7597" s="38" t="n">
        <f aca="false">Sens!$I$7573-Sens!$I$7594+Sens!$I$7595+Sens!$I$7596</f>
        <v>139.60709411592</v>
      </c>
      <c r="J7597" s="38" t="n">
        <f aca="false">Sens!$J$7573-Sens!$J$7594+Sens!$J$7595+Sens!$J$7596</f>
        <v>157.172425191032</v>
      </c>
      <c r="K7597" s="38" t="n">
        <f aca="false">Sens!$K$7573-Sens!$K$7594+Sens!$K$7595+Sens!$K$7596</f>
        <v>169.941519803795</v>
      </c>
      <c r="L7597" s="38" t="n">
        <f aca="false">Sens!$L$7573-Sens!$L$7594+Sens!$L$7595+Sens!$L$7596</f>
        <v>186.006845694394</v>
      </c>
      <c r="M7597" s="38" t="n">
        <f aca="false">Sens!$M$7573-Sens!$M$7594+Sens!$M$7595+Sens!$M$7596</f>
        <v>205.501711319949</v>
      </c>
      <c r="N7597" s="38" t="n">
        <f aca="false">Q!$N$36</f>
        <v>42.536</v>
      </c>
      <c r="O7597" s="38" t="n">
        <f aca="false">Q!$O$36</f>
        <v>54.775</v>
      </c>
    </row>
    <row r="7598" customFormat="false" ht="15" hidden="false" customHeight="false" outlineLevel="0" collapsed="false">
      <c r="A7598" s="5" t="s">
        <v>555</v>
      </c>
      <c r="B7598" s="0" t="s">
        <v>86</v>
      </c>
      <c r="C7598" s="38" t="n">
        <f aca="false">Q!$D$37</f>
        <v>9.265</v>
      </c>
      <c r="D7598" s="38" t="n">
        <f aca="false">Q!$E$37</f>
        <v>19.087</v>
      </c>
      <c r="E7598" s="38" t="n">
        <f aca="false">Q!$P$37</f>
        <v>27.759</v>
      </c>
      <c r="F7598" s="38" t="n">
        <f aca="false">Sens!$F$7597*tax</f>
        <v>9.669763357865</v>
      </c>
      <c r="G7598" s="38" t="n">
        <f aca="false">Sens!$E$7598+Sens!$F$7598</f>
        <v>37.428763357865</v>
      </c>
      <c r="H7598" s="38" t="n">
        <f aca="false">Sens!$H$7597*tax</f>
        <v>21.9076331473816</v>
      </c>
      <c r="I7598" s="38" t="n">
        <f aca="false">Sens!$I$7597*tax</f>
        <v>24.2336313450491</v>
      </c>
      <c r="J7598" s="38" t="n">
        <f aca="false">Sens!$J$7597*tax</f>
        <v>27.2827010246639</v>
      </c>
      <c r="K7598" s="38" t="n">
        <f aca="false">Sens!$K$7597*tax</f>
        <v>29.4992182683994</v>
      </c>
      <c r="L7598" s="38" t="n">
        <f aca="false">Sens!$L$7597*tax</f>
        <v>32.2879102581316</v>
      </c>
      <c r="M7598" s="38" t="n">
        <f aca="false">Sens!$M$7597*tax</f>
        <v>35.671917279284</v>
      </c>
      <c r="N7598" s="38" t="n">
        <f aca="false">Q!$N$37</f>
        <v>7.231</v>
      </c>
      <c r="O7598" s="38" t="n">
        <f aca="false">Q!$O$37</f>
        <v>11.856</v>
      </c>
    </row>
    <row r="7599" customFormat="false" ht="15" hidden="false" customHeight="false" outlineLevel="0" collapsed="false">
      <c r="A7599" s="3" t="s">
        <v>556</v>
      </c>
      <c r="B7599" s="8" t="s">
        <v>86</v>
      </c>
      <c r="C7599" s="38" t="n">
        <f aca="false">Q!$D$38</f>
        <v>59.248</v>
      </c>
      <c r="D7599" s="38" t="n">
        <f aca="false">Q!$E$38</f>
        <v>77.67</v>
      </c>
      <c r="E7599" s="38" t="n">
        <f aca="false">Q!$P$38</f>
        <v>92.902</v>
      </c>
      <c r="F7599" s="38" t="n">
        <f aca="false">Sens!$F$7597-Sens!$F$7598</f>
        <v>46.0366037135288</v>
      </c>
      <c r="G7599" s="38" t="n">
        <f aca="false">Sens!$E$7599+Sens!$F$7599</f>
        <v>138.938603713529</v>
      </c>
      <c r="H7599" s="38" t="n">
        <f aca="false">Sens!$H$7597-Sens!$H$7598</f>
        <v>104.29965948309</v>
      </c>
      <c r="I7599" s="38" t="n">
        <f aca="false">Sens!$I$7597-Sens!$I$7598</f>
        <v>115.373462770871</v>
      </c>
      <c r="J7599" s="38" t="n">
        <f aca="false">Sens!$J$7597-Sens!$J$7598</f>
        <v>129.889724166368</v>
      </c>
      <c r="K7599" s="38" t="n">
        <f aca="false">Sens!$K$7597-Sens!$K$7598</f>
        <v>140.442301535395</v>
      </c>
      <c r="L7599" s="38" t="n">
        <f aca="false">Sens!$L$7597-Sens!$L$7598</f>
        <v>153.718935436262</v>
      </c>
      <c r="M7599" s="38" t="n">
        <f aca="false">Sens!$M$7597-Sens!$M$7598</f>
        <v>169.829794040665</v>
      </c>
      <c r="N7599" s="38" t="n">
        <f aca="false">Q!$N$38</f>
        <v>35.291</v>
      </c>
      <c r="O7599" s="38" t="n">
        <f aca="false">Q!$O$38</f>
        <v>42.379</v>
      </c>
    </row>
    <row r="7600" customFormat="false" ht="17.15" hidden="false" customHeight="false" outlineLevel="0" collapsed="false">
      <c r="A7600" s="5" t="s">
        <v>559</v>
      </c>
      <c r="B7600" s="5" t="s">
        <v>33</v>
      </c>
      <c r="C7600" s="22" t="n">
        <f aca="false">Q!$D$41</f>
        <v>10.721</v>
      </c>
      <c r="D7600" s="22" t="n">
        <f aca="false">Q!$E$41</f>
        <v>10.827</v>
      </c>
      <c r="E7600" s="22" t="n">
        <f aca="false">(Q!$L$41+Q!$M$41)/2</f>
        <v>10.8885</v>
      </c>
      <c r="F7600" s="22" t="n">
        <f aca="false">Sens!$G$7600</f>
        <v>10.924806</v>
      </c>
      <c r="G7600" s="22" t="n">
        <f aca="false">Q!$M$41*(1+sh_g*0.25)</f>
        <v>10.924806</v>
      </c>
      <c r="H7600" s="22" t="n">
        <f aca="false">Sens!$G$7600*(1+sh_g)</f>
        <v>11.012204448</v>
      </c>
      <c r="I7600" s="22" t="n">
        <f aca="false">Sens!$H$7600*(1+sh_g)</f>
        <v>11.100302083584</v>
      </c>
      <c r="J7600" s="22" t="n">
        <f aca="false">Sens!$I$7600*(1+sh_g)</f>
        <v>11.1891045002527</v>
      </c>
      <c r="K7600" s="22" t="n">
        <f aca="false">Sens!$J$7600*(1+sh_g)</f>
        <v>11.2786173362547</v>
      </c>
      <c r="L7600" s="22" t="n">
        <f aca="false">Sens!$K$7600*(1+sh_g)</f>
        <v>11.3688462749447</v>
      </c>
      <c r="M7600" s="22" t="n">
        <f aca="false">Sens!$L$7600*(1+sh_g)</f>
        <v>11.4597970451443</v>
      </c>
      <c r="P7600" s="5" t="s">
        <v>766</v>
      </c>
    </row>
    <row r="7601" customFormat="false" ht="17.15" hidden="false" customHeight="false" outlineLevel="0" collapsed="false">
      <c r="A7601" s="5" t="s">
        <v>767</v>
      </c>
      <c r="B7601" s="0" t="s">
        <v>86</v>
      </c>
      <c r="C7601" s="38" t="n">
        <f aca="false">Sens!$C$7599+Sens!$C$7575*(1-tax)</f>
        <v>59.248</v>
      </c>
      <c r="D7601" s="38" t="n">
        <f aca="false">Sens!$D$7599+Sens!$D$7575*(1-tax)</f>
        <v>77.67</v>
      </c>
      <c r="E7601" s="38" t="n">
        <f aca="false">Sens!$E$7599+Sens!$E$7575*(1-tax)</f>
        <v>92.902</v>
      </c>
      <c r="F7601" s="38" t="n">
        <f aca="false">Sens!$F$7599+Sens!$F$7575*(1-tax)</f>
        <v>49.1531986731775</v>
      </c>
      <c r="G7601" s="38" t="n">
        <f aca="false">Sens!$G$7599+Sens!$G$7575*(1-tax)</f>
        <v>142.055198673178</v>
      </c>
      <c r="H7601" s="38" t="n">
        <f aca="false">Sens!$H$7599+Sens!$H$7575*(1-tax)</f>
        <v>116.831055438434</v>
      </c>
      <c r="I7601" s="38" t="n">
        <f aca="false">Sens!$I$7599+Sens!$I$7575*(1-tax)</f>
        <v>136.514727845811</v>
      </c>
      <c r="J7601" s="38" t="n">
        <f aca="false">Sens!$J$7599+Sens!$J$7575*(1-tax)</f>
        <v>159.679161110652</v>
      </c>
      <c r="K7601" s="38" t="n">
        <f aca="false">Sens!$K$7599+Sens!$K$7575*(1-tax)</f>
        <v>177.609607232054</v>
      </c>
      <c r="L7601" s="38" t="n">
        <f aca="false">Sens!$L$7599+Sens!$L$7575*(1-tax)</f>
        <v>195.735012776818</v>
      </c>
      <c r="M7601" s="38" t="n">
        <f aca="false">Sens!$M$7599+Sens!$M$7575*(1-tax)</f>
        <v>214.159316231505</v>
      </c>
      <c r="N7601" s="38" t="n">
        <f aca="false">Sens!$N$7599+Sens!$N$7575*(1-tax)</f>
        <v>35.291</v>
      </c>
      <c r="O7601" s="38" t="n">
        <f aca="false">Sens!$O$7599+Sens!$O$7575*(1-tax)</f>
        <v>42.379</v>
      </c>
    </row>
    <row r="7602" customFormat="false" ht="17.15" hidden="false" customHeight="false" outlineLevel="0" collapsed="false">
      <c r="A7602" s="43" t="s">
        <v>768</v>
      </c>
      <c r="B7602" s="14" t="s">
        <v>27</v>
      </c>
      <c r="C7602" s="44" t="n">
        <f aca="false">Sens!$C$7601/Sens!$C$7600</f>
        <v>5.52635015390355</v>
      </c>
      <c r="D7602" s="44" t="n">
        <f aca="false">Sens!$D$7601/Sens!$D$7600</f>
        <v>7.1737323358271</v>
      </c>
      <c r="E7602" s="44" t="n">
        <f aca="false">Sens!$E$7601/Sens!$E$7600</f>
        <v>8.53212104513937</v>
      </c>
      <c r="F7602" s="14"/>
      <c r="G7602" s="44" t="n">
        <f aca="false">Sens!$G$7601/Sens!$G$7600</f>
        <v>13.0029950804781</v>
      </c>
      <c r="H7602" s="44" t="n">
        <f aca="false">Sens!$H$7601/Sens!$H$7600</f>
        <v>10.6092341447268</v>
      </c>
      <c r="I7602" s="44" t="n">
        <f aca="false">Sens!$I$7601/Sens!$I$7600</f>
        <v>12.298289435537</v>
      </c>
      <c r="J7602" s="44" t="n">
        <f aca="false">Sens!$J$7601/Sens!$J$7600</f>
        <v>14.2709509154236</v>
      </c>
      <c r="K7602" s="44" t="n">
        <f aca="false">Sens!$K$7601/Sens!$K$7600</f>
        <v>15.7474628260624</v>
      </c>
      <c r="L7602" s="44" t="n">
        <f aca="false">Sens!$L$7601/Sens!$L$7600</f>
        <v>17.2167877059072</v>
      </c>
      <c r="M7602" s="44" t="n">
        <f aca="false">Sens!$M$7601/Sens!$M$7600</f>
        <v>18.6878803688978</v>
      </c>
      <c r="N7602" s="14"/>
      <c r="O7602" s="14"/>
    </row>
    <row r="7603" customFormat="false" ht="17.15" hidden="false" customHeight="false" outlineLevel="0" collapsed="false">
      <c r="A7603" s="0" t="s">
        <v>769</v>
      </c>
      <c r="B7603" s="0" t="s">
        <v>27</v>
      </c>
      <c r="C7603" s="30" t="n">
        <f aca="false">Sens!$C$7599/Sens!$C$7600</f>
        <v>5.52635015390355</v>
      </c>
      <c r="D7603" s="30" t="n">
        <f aca="false">Sens!$D$7599/Sens!$D$7600</f>
        <v>7.1737323358271</v>
      </c>
      <c r="E7603" s="30" t="n">
        <f aca="false">Sens!$E$7599/Sens!$E$7600</f>
        <v>8.53212104513937</v>
      </c>
      <c r="G7603" s="30" t="n">
        <f aca="false">Sens!$G$7599/Sens!$G$7600</f>
        <v>12.7177181648378</v>
      </c>
      <c r="H7603" s="30" t="n">
        <f aca="false">Sens!$H$7599/Sens!$H$7600</f>
        <v>9.47127888658407</v>
      </c>
      <c r="I7603" s="30" t="n">
        <f aca="false">Sens!$I$7599/Sens!$I$7600</f>
        <v>10.3937227925981</v>
      </c>
      <c r="J7603" s="30" t="n">
        <f aca="false">Sens!$J$7599/Sens!$J$7600</f>
        <v>11.6085897815536</v>
      </c>
      <c r="K7603" s="30" t="n">
        <f aca="false">Sens!$K$7599/Sens!$K$7600</f>
        <v>12.4520849806606</v>
      </c>
      <c r="L7603" s="30" t="n">
        <f aca="false">Sens!$L$7599/Sens!$L$7600</f>
        <v>13.5210672849924</v>
      </c>
      <c r="M7603" s="30" t="n">
        <f aca="false">Sens!$M$7599/Sens!$M$7600</f>
        <v>14.8196162088773</v>
      </c>
    </row>
    <row r="7604" customFormat="false" ht="17.15" hidden="false" customHeight="false" outlineLevel="0" collapsed="false">
      <c r="A7604" s="0" t="s">
        <v>770</v>
      </c>
      <c r="B7604" s="0" t="s">
        <v>27</v>
      </c>
      <c r="C7604" s="30" t="n">
        <f aca="false">(Sens!$C$7599-Sens!$C$7596*(1-tax))/Sens!$C$7600</f>
        <v>5.33926775917445</v>
      </c>
      <c r="D7604" s="30" t="n">
        <f aca="false">(Sens!$D$7599-Sens!$D$7596*(1-tax))/Sens!$D$7600</f>
        <v>5.67691812755503</v>
      </c>
      <c r="E7604" s="30" t="n">
        <f aca="false">(Sens!$E$7599-Sens!$E$7596*(1-tax))/Sens!$E$7600</f>
        <v>3.10602057006846</v>
      </c>
      <c r="G7604" s="30" t="n">
        <f aca="false">(Sens!$G$7599-Sens!$G$7596*(1-tax))/Sens!$G$7600</f>
        <v>7.30965004694081</v>
      </c>
      <c r="H7604" s="30" t="n">
        <f aca="false">(Sens!$H$7599-Sens!$H$7596*(1-tax))/Sens!$H$7600</f>
        <v>9.47127888658407</v>
      </c>
      <c r="I7604" s="30" t="n">
        <f aca="false">(Sens!$I$7599-Sens!$I$7596*(1-tax))/Sens!$I$7600</f>
        <v>10.3937227925981</v>
      </c>
      <c r="J7604" s="30" t="n">
        <f aca="false">(Sens!$J$7599-Sens!$J$7596*(1-tax))/Sens!$J$7600</f>
        <v>11.6085897815536</v>
      </c>
      <c r="K7604" s="30" t="n">
        <f aca="false">(Sens!$K$7599-Sens!$K$7596*(1-tax))/Sens!$K$7600</f>
        <v>12.4520849806606</v>
      </c>
      <c r="L7604" s="30" t="n">
        <f aca="false">(Sens!$L$7599-Sens!$L$7596*(1-tax))/Sens!$L$7600</f>
        <v>13.5210672849924</v>
      </c>
      <c r="M7604" s="30" t="n">
        <f aca="false">(Sens!$M$7599-Sens!$M$7596*(1-tax))/Sens!$M$7600</f>
        <v>14.8196162088773</v>
      </c>
      <c r="P7604" s="5" t="s">
        <v>771</v>
      </c>
    </row>
    <row r="7605" customFormat="false" ht="17.15" hidden="false" customHeight="false" outlineLevel="0" collapsed="false">
      <c r="A7605" s="0" t="s">
        <v>772</v>
      </c>
      <c r="B7605" s="0" t="s">
        <v>52</v>
      </c>
      <c r="H7605" s="13" t="n">
        <f aca="false">Sens!$H$7602/Sens!$G$7602-1</f>
        <v>-0.184093043251635</v>
      </c>
      <c r="I7605" s="13" t="n">
        <f aca="false">Sens!$I$7602/Sens!$H$7602-1</f>
        <v>0.159206147000695</v>
      </c>
      <c r="J7605" s="13" t="n">
        <f aca="false">Sens!$J$7602/Sens!$I$7602-1</f>
        <v>0.160401289157047</v>
      </c>
      <c r="K7605" s="13" t="n">
        <f aca="false">Sens!$K$7602/Sens!$J$7602-1</f>
        <v>0.103462755873053</v>
      </c>
      <c r="L7605" s="13" t="n">
        <f aca="false">Sens!$L$7602/Sens!$K$7602-1</f>
        <v>0.093305499182575</v>
      </c>
      <c r="M7605" s="13" t="n">
        <f aca="false">Sens!$M$7602/Sens!$L$7602-1</f>
        <v>0.0854452461236912</v>
      </c>
    </row>
    <row r="7608" customFormat="false" ht="19.4" hidden="false" customHeight="false" outlineLevel="0" collapsed="false">
      <c r="A7608" s="31" t="s">
        <v>1305</v>
      </c>
    </row>
    <row r="7609" customFormat="false" ht="17.15" hidden="false" customHeight="false" outlineLevel="0" collapsed="false">
      <c r="A7609" s="6" t="s">
        <v>16</v>
      </c>
      <c r="B7609" s="6" t="s">
        <v>17</v>
      </c>
      <c r="C7609" s="20" t="s">
        <v>504</v>
      </c>
      <c r="D7609" s="20" t="s">
        <v>505</v>
      </c>
      <c r="E7609" s="20" t="s">
        <v>587</v>
      </c>
      <c r="F7609" s="20" t="s">
        <v>588</v>
      </c>
      <c r="G7609" s="20" t="s">
        <v>589</v>
      </c>
      <c r="H7609" s="20" t="s">
        <v>590</v>
      </c>
      <c r="I7609" s="20" t="s">
        <v>591</v>
      </c>
      <c r="J7609" s="20" t="s">
        <v>592</v>
      </c>
      <c r="K7609" s="20" t="s">
        <v>593</v>
      </c>
      <c r="L7609" s="20" t="s">
        <v>594</v>
      </c>
      <c r="M7609" s="20" t="s">
        <v>595</v>
      </c>
      <c r="N7609" s="20" t="s">
        <v>596</v>
      </c>
      <c r="O7609" s="20" t="s">
        <v>597</v>
      </c>
      <c r="P7609" s="6" t="s">
        <v>23</v>
      </c>
      <c r="R7609" s="20" t="n">
        <v>2023</v>
      </c>
      <c r="S7609" s="20" t="n">
        <v>2024</v>
      </c>
      <c r="T7609" s="20" t="n">
        <v>2025</v>
      </c>
      <c r="U7609" s="20" t="n">
        <v>2026</v>
      </c>
      <c r="V7609" s="20" t="n">
        <v>2027</v>
      </c>
      <c r="W7609" s="20" t="n">
        <v>2028</v>
      </c>
      <c r="X7609" s="20" t="n">
        <v>2029</v>
      </c>
      <c r="Y7609" s="20" t="n">
        <v>2030</v>
      </c>
      <c r="Z7609" s="20" t="n">
        <v>2031</v>
      </c>
      <c r="AA7609" s="20" t="n">
        <v>2032</v>
      </c>
    </row>
    <row r="7610" customFormat="false" ht="15" hidden="false" customHeight="false" outlineLevel="0" collapsed="false">
      <c r="A7610" s="5" t="s">
        <v>556</v>
      </c>
      <c r="B7610" s="0" t="s">
        <v>86</v>
      </c>
      <c r="C7610" s="38" t="n">
        <f aca="false">Sens!$C$7599</f>
        <v>59.248</v>
      </c>
      <c r="D7610" s="38" t="n">
        <f aca="false">Sens!$D$7599</f>
        <v>77.67</v>
      </c>
      <c r="E7610" s="38" t="n">
        <f aca="false">Sens!$E$7599</f>
        <v>92.902</v>
      </c>
      <c r="F7610" s="38" t="n">
        <f aca="false">Sens!$F$7599</f>
        <v>46.0366037135288</v>
      </c>
      <c r="G7610" s="38" t="n">
        <f aca="false">Sens!$G$7599</f>
        <v>138.938603713529</v>
      </c>
      <c r="H7610" s="38" t="n">
        <f aca="false">Sens!$H$7599</f>
        <v>104.29965948309</v>
      </c>
      <c r="I7610" s="38" t="n">
        <f aca="false">Sens!$I$7599</f>
        <v>115.373462770871</v>
      </c>
      <c r="J7610" s="38" t="n">
        <f aca="false">Sens!$J$7599</f>
        <v>129.889724166368</v>
      </c>
      <c r="K7610" s="38" t="n">
        <f aca="false">Sens!$K$7599</f>
        <v>140.442301535395</v>
      </c>
      <c r="L7610" s="38" t="n">
        <f aca="false">Sens!$L$7599</f>
        <v>153.718935436262</v>
      </c>
      <c r="M7610" s="38" t="n">
        <f aca="false">Sens!$M$7599</f>
        <v>169.829794040665</v>
      </c>
    </row>
    <row r="7611" customFormat="false" ht="17.15" hidden="false" customHeight="false" outlineLevel="0" collapsed="false">
      <c r="A7611" s="5" t="s">
        <v>795</v>
      </c>
      <c r="B7611" s="0" t="s">
        <v>86</v>
      </c>
      <c r="C7611" s="38" t="n">
        <f aca="false">Sens!$C$7587</f>
        <v>32.067</v>
      </c>
      <c r="D7611" s="38" t="n">
        <f aca="false">Sens!$D$7587</f>
        <v>41.86</v>
      </c>
      <c r="E7611" s="38" t="n">
        <f aca="false">Sens!$E$7587</f>
        <v>26.703</v>
      </c>
      <c r="F7611" s="38" t="n">
        <f aca="false">Sens!$F$7587</f>
        <v>29.152860869477</v>
      </c>
      <c r="G7611" s="38" t="n">
        <f aca="false">Sens!$G$7587</f>
        <v>55.855860869477</v>
      </c>
      <c r="H7611" s="38" t="n">
        <f aca="false">Sens!$H$7587</f>
        <v>81.5618233196153</v>
      </c>
      <c r="I7611" s="38" t="n">
        <f aca="false">Sens!$I$7587</f>
        <v>118.756208740204</v>
      </c>
      <c r="J7611" s="38" t="n">
        <f aca="false">Sens!$J$7587</f>
        <v>152.469489406791</v>
      </c>
      <c r="K7611" s="38" t="n">
        <f aca="false">Sens!$K$7587</f>
        <v>186.391502623819</v>
      </c>
      <c r="L7611" s="38" t="n">
        <f aca="false">Sens!$L$7587</f>
        <v>211.926422215482</v>
      </c>
      <c r="M7611" s="38" t="n">
        <f aca="false">Sens!$M$7587</f>
        <v>229.012482097906</v>
      </c>
    </row>
    <row r="7612" customFormat="false" ht="15" hidden="false" customHeight="false" outlineLevel="0" collapsed="false">
      <c r="A7612" s="5" t="s">
        <v>796</v>
      </c>
      <c r="B7612" s="0" t="s">
        <v>86</v>
      </c>
      <c r="C7612" s="38" t="n">
        <f aca="false">Q!$D$48</f>
        <v>22.011</v>
      </c>
      <c r="D7612" s="38" t="n">
        <f aca="false">Q!$E$48</f>
        <v>19.467</v>
      </c>
      <c r="E7612" s="38" t="n">
        <f aca="false">Q!$P$48</f>
        <v>10.07</v>
      </c>
      <c r="F7612" s="38" t="n">
        <f aca="false">sbc_r*Sens!$F$7529</f>
        <v>10.8507035798037</v>
      </c>
      <c r="G7612" s="38" t="n">
        <f aca="false">Sens!$E$7612+Sens!$F$7612</f>
        <v>20.9207035798037</v>
      </c>
      <c r="H7612" s="38" t="n">
        <f aca="false">sbc_r*Sens!$H$7529</f>
        <v>23.46224366345</v>
      </c>
      <c r="I7612" s="38" t="n">
        <f aca="false">sbc_r*Sens!$I$7529</f>
        <v>26.6125957111676</v>
      </c>
      <c r="J7612" s="38" t="n">
        <f aca="false">sbc_r*Sens!$J$7529</f>
        <v>29.6280801413323</v>
      </c>
      <c r="K7612" s="38" t="n">
        <f aca="false">sbc_r*Sens!$K$7529</f>
        <v>32.2712258901105</v>
      </c>
      <c r="L7612" s="38" t="n">
        <f aca="false">sbc_r*Sens!$L$7529</f>
        <v>34.7390505016737</v>
      </c>
      <c r="M7612" s="38" t="n">
        <f aca="false">sbc_r*Sens!$M$7529</f>
        <v>37.0405146906692</v>
      </c>
    </row>
    <row r="7613" customFormat="false" ht="17.15" hidden="false" customHeight="false" outlineLevel="0" collapsed="false">
      <c r="A7613" s="5" t="s">
        <v>797</v>
      </c>
      <c r="B7613" s="0" t="s">
        <v>86</v>
      </c>
      <c r="C7613" s="38" t="n">
        <f aca="false">Q!$D$44-Sens!$C$7610-Sens!$C$7611-Sens!$C$7612</f>
        <v>2.551</v>
      </c>
      <c r="D7613" s="38" t="n">
        <f aca="false">Q!$E$44-Sens!$D$7610-Sens!$D$7611-Sens!$D$7612</f>
        <v>0.51700000000001</v>
      </c>
      <c r="E7613" s="38" t="n">
        <f aca="false">Q!$P$44-Sens!$E$7610-Sens!$E$7611-Sens!$E$7612</f>
        <v>-58.256</v>
      </c>
      <c r="F7613" s="38" t="n">
        <f aca="false">oth_r*Sens!$F$7529</f>
        <v>5.22265251035878</v>
      </c>
      <c r="G7613" s="38" t="n">
        <f aca="false">Sens!$E$7613+Sens!$F$7613</f>
        <v>-53.0333474896412</v>
      </c>
      <c r="H7613" s="38" t="n">
        <f aca="false">oth_r*Sens!$H$7529</f>
        <v>11.2928295263397</v>
      </c>
      <c r="I7613" s="38" t="n">
        <f aca="false">oth_r*Sens!$I$7529</f>
        <v>12.8091546115766</v>
      </c>
      <c r="J7613" s="38" t="n">
        <f aca="false">oth_r*Sens!$J$7529</f>
        <v>14.2605653162668</v>
      </c>
      <c r="K7613" s="38" t="n">
        <f aca="false">oth_r*Sens!$K$7529</f>
        <v>15.5327622460396</v>
      </c>
      <c r="L7613" s="38" t="n">
        <f aca="false">oth_r*Sens!$L$7529</f>
        <v>16.720573737517</v>
      </c>
      <c r="M7613" s="38" t="n">
        <f aca="false">oth_r*Sens!$M$7529</f>
        <v>17.8283127551536</v>
      </c>
      <c r="P7613" s="8" t="s">
        <v>798</v>
      </c>
    </row>
    <row r="7614" customFormat="false" ht="15" hidden="false" customHeight="false" outlineLevel="0" collapsed="false">
      <c r="A7614" s="3" t="s">
        <v>562</v>
      </c>
      <c r="B7614" s="8" t="s">
        <v>86</v>
      </c>
      <c r="C7614" s="38" t="n">
        <f aca="false">Q!$D$44</f>
        <v>115.877</v>
      </c>
      <c r="D7614" s="38" t="n">
        <f aca="false">Q!$E$44</f>
        <v>139.514</v>
      </c>
      <c r="E7614" s="38" t="n">
        <f aca="false">Q!$P$44</f>
        <v>71.419</v>
      </c>
      <c r="F7614" s="38" t="n">
        <f aca="false">Sens!$F$7610+Sens!$F$7611+Sens!$F$7612+Sens!$F$7613</f>
        <v>91.2628206731683</v>
      </c>
      <c r="G7614" s="38" t="n">
        <f aca="false">Sens!$E$7614+Sens!$F$7614</f>
        <v>162.681820673168</v>
      </c>
      <c r="H7614" s="38" t="n">
        <f aca="false">Sens!$H$7610+Sens!$H$7611+Sens!$H$7612+Sens!$H$7613</f>
        <v>220.616555992495</v>
      </c>
      <c r="I7614" s="38" t="n">
        <f aca="false">Sens!$I$7610+Sens!$I$7611+Sens!$I$7612+Sens!$I$7613</f>
        <v>273.55142183382</v>
      </c>
      <c r="J7614" s="38" t="n">
        <f aca="false">Sens!$J$7610+Sens!$J$7611+Sens!$J$7612+Sens!$J$7613</f>
        <v>326.247859030758</v>
      </c>
      <c r="K7614" s="38" t="n">
        <f aca="false">Sens!$K$7610+Sens!$K$7611+Sens!$K$7612+Sens!$K$7613</f>
        <v>374.637792295364</v>
      </c>
      <c r="L7614" s="38" t="n">
        <f aca="false">Sens!$L$7610+Sens!$L$7611+Sens!$L$7612+Sens!$L$7613</f>
        <v>417.104981890935</v>
      </c>
      <c r="M7614" s="38" t="n">
        <f aca="false">Sens!$M$7610+Sens!$M$7611+Sens!$M$7612+Sens!$M$7613</f>
        <v>453.711103584394</v>
      </c>
    </row>
    <row r="7615" customFormat="false" ht="17.15" hidden="false" customHeight="false" outlineLevel="0" collapsed="false">
      <c r="A7615" s="5" t="s">
        <v>799</v>
      </c>
      <c r="B7615" s="0" t="s">
        <v>86</v>
      </c>
      <c r="C7615" s="38" t="n">
        <f aca="false">Sens!$C$7493</f>
        <v>25.2781053077374</v>
      </c>
      <c r="D7615" s="38" t="n">
        <f aca="false">Sens!$D$7493</f>
        <v>69.5686316310026</v>
      </c>
      <c r="E7615" s="38" t="n">
        <f aca="false">Sens!$E$7493</f>
        <v>64.1899206485108</v>
      </c>
      <c r="F7615" s="38" t="n">
        <f aca="false">Sens!$F$7493</f>
        <v>88.7165504612134</v>
      </c>
      <c r="G7615" s="38" t="n">
        <f aca="false">Sens!$G$7493</f>
        <v>152.906471109724</v>
      </c>
      <c r="H7615" s="38" t="n">
        <f aca="false">Sens!$H$7493</f>
        <v>198.57136494475</v>
      </c>
      <c r="I7615" s="38" t="n">
        <f aca="false">Sens!$I$7493</f>
        <v>204.6464699105</v>
      </c>
      <c r="J7615" s="38" t="n">
        <f aca="false">Sens!$J$7493</f>
        <v>209.8832381105</v>
      </c>
      <c r="K7615" s="38" t="n">
        <f aca="false">Sens!$K$7493</f>
        <v>155.238385275201</v>
      </c>
      <c r="L7615" s="38" t="n">
        <f aca="false">Sens!$L$7493</f>
        <v>132.014141639902</v>
      </c>
      <c r="M7615" s="38" t="n">
        <f aca="false">Sens!$M$7493</f>
        <v>132.230981659852</v>
      </c>
    </row>
    <row r="7616" customFormat="false" ht="17.15" hidden="false" customHeight="false" outlineLevel="0" collapsed="false">
      <c r="A7616" s="5" t="s">
        <v>800</v>
      </c>
      <c r="B7616" s="0" t="s">
        <v>86</v>
      </c>
      <c r="C7616" s="38" t="n">
        <f aca="false">cx_awso*Sens!$C$7527</f>
        <v>21.0469989286053</v>
      </c>
      <c r="D7616" s="38" t="n">
        <f aca="false">cx_awso*Sens!$D$7527</f>
        <v>24.0042459822698</v>
      </c>
      <c r="E7616" s="38" t="n">
        <f aca="false">cx_awso*Sens!$E$7527</f>
        <v>14.261729404886</v>
      </c>
      <c r="F7616" s="38" t="n">
        <f aca="false">cx_awso*Sens!$F$7527</f>
        <v>14.3538599588493</v>
      </c>
      <c r="G7616" s="38" t="n">
        <f aca="false">Sens!$E$7616+Sens!$F$7616</f>
        <v>28.6155893637353</v>
      </c>
      <c r="H7616" s="38" t="n">
        <f aca="false">cx_awso*Sens!$H$7527</f>
        <v>32.2034154158406</v>
      </c>
      <c r="I7616" s="38" t="n">
        <f aca="false">cx_awso*Sens!$I$7527</f>
        <v>35.7539519042915</v>
      </c>
      <c r="J7616" s="38" t="n">
        <f aca="false">cx_awso*Sens!$J$7527</f>
        <v>39.1551076091815</v>
      </c>
      <c r="K7616" s="38" t="n">
        <f aca="false">cx_awso*Sens!$K$7527</f>
        <v>42.287516217916</v>
      </c>
      <c r="L7616" s="38" t="n">
        <f aca="false">cx_awso*Sens!$L$7527</f>
        <v>45.6705175153492</v>
      </c>
      <c r="M7616" s="38" t="n">
        <f aca="false">cx_awso*Sens!$M$7527</f>
        <v>49.3241589165772</v>
      </c>
    </row>
    <row r="7617" customFormat="false" ht="17.15" hidden="false" customHeight="false" outlineLevel="0" collapsed="false">
      <c r="A7617" s="5" t="s">
        <v>801</v>
      </c>
      <c r="B7617" s="0" t="s">
        <v>86</v>
      </c>
      <c r="C7617" s="38" t="n">
        <f aca="false">Q!$D$46-Sens!$C$7615-Sens!$C$7616</f>
        <v>31.3328957636573</v>
      </c>
      <c r="D7617" s="38" t="n">
        <f aca="false">Q!$E$46-Sens!$D$7615-Sens!$D$7616</f>
        <v>34.7471223867276</v>
      </c>
      <c r="E7617" s="38" t="n">
        <f aca="false">Q!$P$46-Sens!$E$7615-Sens!$E$7616</f>
        <v>17.8583499466032</v>
      </c>
      <c r="F7617" s="38" t="n">
        <f aca="false">cx_rt*Sens!$F$7456</f>
        <v>20.6195895799373</v>
      </c>
      <c r="G7617" s="38" t="n">
        <f aca="false">Sens!$E$7617+Sens!$F$7617</f>
        <v>38.4779395265405</v>
      </c>
      <c r="H7617" s="38" t="n">
        <f aca="false">cx_rt*Sens!$H$7456</f>
        <v>42.5978994743075</v>
      </c>
      <c r="I7617" s="38" t="n">
        <f aca="false">cx_rt*Sens!$I$7456</f>
        <v>46.5813904136335</v>
      </c>
      <c r="J7617" s="38" t="n">
        <f aca="false">cx_rt*Sens!$J$7456</f>
        <v>50.2781676586844</v>
      </c>
      <c r="K7617" s="38" t="n">
        <f aca="false">cx_rt*Sens!$K$7456</f>
        <v>53.5312440191755</v>
      </c>
      <c r="L7617" s="38" t="n">
        <f aca="false">cx_rt*Sens!$L$7456</f>
        <v>57.0116717051447</v>
      </c>
      <c r="M7617" s="38" t="n">
        <f aca="false">cx_rt*Sens!$M$7456</f>
        <v>60.7365554669226</v>
      </c>
    </row>
    <row r="7618" customFormat="false" ht="15" hidden="false" customHeight="false" outlineLevel="0" collapsed="false">
      <c r="A7618" s="3" t="s">
        <v>802</v>
      </c>
      <c r="B7618" s="8" t="s">
        <v>86</v>
      </c>
      <c r="C7618" s="38" t="n">
        <f aca="false">Q!$D$46</f>
        <v>77.658</v>
      </c>
      <c r="D7618" s="38" t="n">
        <f aca="false">Q!$E$46</f>
        <v>128.32</v>
      </c>
      <c r="E7618" s="38" t="n">
        <f aca="false">Q!$P$46</f>
        <v>96.31</v>
      </c>
      <c r="F7618" s="38" t="n">
        <f aca="false">Sens!$F$7615+Sens!$F$7616+Sens!$F$7617</f>
        <v>123.69</v>
      </c>
      <c r="G7618" s="38" t="n">
        <f aca="false">Sens!$E$7618+Sens!$F$7618</f>
        <v>220</v>
      </c>
      <c r="H7618" s="38" t="n">
        <f aca="false">Sens!$H$7615+Sens!$H$7616+Sens!$H$7617</f>
        <v>273.372679834898</v>
      </c>
      <c r="I7618" s="38" t="n">
        <f aca="false">Sens!$I$7615+Sens!$I$7616+Sens!$I$7617</f>
        <v>286.981812228425</v>
      </c>
      <c r="J7618" s="38" t="n">
        <f aca="false">Sens!$J$7615+Sens!$J$7616+Sens!$J$7617</f>
        <v>299.316513378366</v>
      </c>
      <c r="K7618" s="38" t="n">
        <f aca="false">Sens!$K$7615+Sens!$K$7616+Sens!$K$7617</f>
        <v>251.057145512292</v>
      </c>
      <c r="L7618" s="38" t="n">
        <f aca="false">Sens!$L$7615+Sens!$L$7616+Sens!$L$7617</f>
        <v>234.696330860396</v>
      </c>
      <c r="M7618" s="38" t="n">
        <f aca="false">Sens!$M$7615+Sens!$M$7616+Sens!$M$7617</f>
        <v>242.291696043352</v>
      </c>
    </row>
    <row r="7619" customFormat="false" ht="17.15" hidden="false" customHeight="false" outlineLevel="0" collapsed="false">
      <c r="A7619" s="5" t="s">
        <v>570</v>
      </c>
      <c r="B7619" s="0" t="s">
        <v>86</v>
      </c>
      <c r="C7619" s="38" t="n">
        <f aca="false">Q!$D$50</f>
        <v>2.043</v>
      </c>
      <c r="D7619" s="38" t="n">
        <f aca="false">Q!$E$50</f>
        <v>1.557</v>
      </c>
      <c r="E7619" s="38" t="n">
        <f aca="false">lease_pr/2</f>
        <v>0.8</v>
      </c>
      <c r="F7619" s="38" t="n">
        <f aca="false">lease_pr/2</f>
        <v>0.8</v>
      </c>
      <c r="G7619" s="38" t="n">
        <f aca="false">Sens!$E$7619+Sens!$F$7619</f>
        <v>1.6</v>
      </c>
      <c r="H7619" s="38" t="n">
        <f aca="false">lease_pr</f>
        <v>1.6</v>
      </c>
      <c r="I7619" s="38" t="n">
        <f aca="false">lease_pr</f>
        <v>1.6</v>
      </c>
      <c r="J7619" s="38" t="n">
        <f aca="false">lease_pr</f>
        <v>1.6</v>
      </c>
      <c r="K7619" s="38" t="n">
        <f aca="false">lease_pr</f>
        <v>1.6</v>
      </c>
      <c r="L7619" s="38" t="n">
        <f aca="false">lease_pr</f>
        <v>1.6</v>
      </c>
      <c r="M7619" s="38" t="n">
        <f aca="false">lease_pr</f>
        <v>1.6</v>
      </c>
      <c r="P7619" s="8" t="s">
        <v>803</v>
      </c>
    </row>
    <row r="7620" customFormat="false" ht="15" hidden="false" customHeight="false" outlineLevel="0" collapsed="false">
      <c r="A7620" s="47" t="s">
        <v>804</v>
      </c>
      <c r="B7620" s="14" t="s">
        <v>86</v>
      </c>
      <c r="C7620" s="48" t="n">
        <f aca="false">Sens!$C$7614-Sens!$C$7618-Sens!$C$7619</f>
        <v>36.176</v>
      </c>
      <c r="D7620" s="48" t="n">
        <f aca="false">Sens!$D$7614-Sens!$D$7618-Sens!$D$7619</f>
        <v>9.63700000000002</v>
      </c>
      <c r="E7620" s="48" t="n">
        <f aca="false">Sens!$E$7614-Sens!$E$7618-Sens!$E$7619</f>
        <v>-25.691</v>
      </c>
      <c r="F7620" s="48" t="n">
        <f aca="false">Sens!$F$7614-Sens!$F$7618-Sens!$F$7619</f>
        <v>-33.2271793268317</v>
      </c>
      <c r="G7620" s="48" t="n">
        <f aca="false">Sens!$G$7614-Sens!$G$7618-Sens!$G$7619</f>
        <v>-58.9181793268317</v>
      </c>
      <c r="H7620" s="48" t="n">
        <f aca="false">Sens!$H$7614-Sens!$H$7618-Sens!$H$7619</f>
        <v>-54.3561238424036</v>
      </c>
      <c r="I7620" s="48" t="n">
        <f aca="false">Sens!$I$7614-Sens!$I$7618-Sens!$I$7619</f>
        <v>-15.0303903946055</v>
      </c>
      <c r="J7620" s="48" t="n">
        <f aca="false">Sens!$J$7614-Sens!$J$7618-Sens!$J$7619</f>
        <v>25.3313456523922</v>
      </c>
      <c r="K7620" s="48" t="n">
        <f aca="false">Sens!$K$7614-Sens!$K$7618-Sens!$K$7619</f>
        <v>121.980646783072</v>
      </c>
      <c r="L7620" s="48" t="n">
        <f aca="false">Sens!$L$7614-Sens!$L$7618-Sens!$L$7619</f>
        <v>180.80865103054</v>
      </c>
      <c r="M7620" s="48" t="n">
        <f aca="false">Sens!$M$7614-Sens!$M$7618-Sens!$M$7619</f>
        <v>209.819407541041</v>
      </c>
      <c r="N7620" s="14"/>
      <c r="O7620" s="14"/>
    </row>
    <row r="7621" customFormat="false" ht="17.15" hidden="false" customHeight="false" outlineLevel="0" collapsed="false">
      <c r="A7621" s="5" t="s">
        <v>805</v>
      </c>
      <c r="B7621" s="0" t="s">
        <v>86</v>
      </c>
      <c r="C7621" s="38" t="n">
        <f aca="false">dps*Sens!$C$7600</f>
        <v>0</v>
      </c>
      <c r="D7621" s="38" t="n">
        <f aca="false">dps*Sens!$D$7600</f>
        <v>0</v>
      </c>
      <c r="E7621" s="38" t="n">
        <f aca="false">dps*Sens!$E$7600</f>
        <v>0</v>
      </c>
      <c r="F7621" s="38" t="n">
        <f aca="false">0</f>
        <v>0</v>
      </c>
      <c r="G7621" s="38" t="n">
        <f aca="false">dps*Sens!$G$7600</f>
        <v>0</v>
      </c>
      <c r="H7621" s="38" t="n">
        <f aca="false">dps*Sens!$H$7600</f>
        <v>0</v>
      </c>
      <c r="I7621" s="38" t="n">
        <f aca="false">dps*Sens!$I$7600</f>
        <v>0</v>
      </c>
      <c r="J7621" s="38" t="n">
        <f aca="false">dps*Sens!$J$7600</f>
        <v>0</v>
      </c>
      <c r="K7621" s="38" t="n">
        <f aca="false">dps*Sens!$K$7600</f>
        <v>0</v>
      </c>
      <c r="L7621" s="38" t="n">
        <f aca="false">dps*Sens!$L$7600</f>
        <v>0</v>
      </c>
      <c r="M7621" s="38" t="n">
        <f aca="false">dps*Sens!$M$7600</f>
        <v>0</v>
      </c>
      <c r="P7621" s="8" t="s">
        <v>806</v>
      </c>
    </row>
    <row r="7622" customFormat="false" ht="17.15" hidden="false" customHeight="false" outlineLevel="0" collapsed="false">
      <c r="A7622" s="5" t="s">
        <v>807</v>
      </c>
      <c r="B7622" s="0" t="s">
        <v>86</v>
      </c>
      <c r="C7622" s="38" t="n">
        <f aca="false">0</f>
        <v>0</v>
      </c>
      <c r="D7622" s="38" t="n">
        <f aca="false">0</f>
        <v>0</v>
      </c>
      <c r="E7622" s="38" t="n">
        <f aca="false">0</f>
        <v>0</v>
      </c>
      <c r="F7622" s="38" t="n">
        <f aca="false">0</f>
        <v>0</v>
      </c>
      <c r="G7622" s="38" t="n">
        <f aca="false">0</f>
        <v>0</v>
      </c>
      <c r="H7622" s="38" t="n">
        <f aca="false">0</f>
        <v>0</v>
      </c>
      <c r="I7622" s="38" t="n">
        <f aca="false">0</f>
        <v>0</v>
      </c>
      <c r="J7622" s="38" t="n">
        <f aca="false">0</f>
        <v>0</v>
      </c>
      <c r="K7622" s="38" t="n">
        <f aca="false">0</f>
        <v>0</v>
      </c>
      <c r="L7622" s="38" t="n">
        <f aca="false">0</f>
        <v>0</v>
      </c>
      <c r="M7622" s="38" t="n">
        <f aca="false">0</f>
        <v>0</v>
      </c>
      <c r="P7622" s="8" t="s">
        <v>808</v>
      </c>
    </row>
    <row r="7623" customFormat="false" ht="15" hidden="false" customHeight="false" outlineLevel="0" collapsed="false">
      <c r="A7623" s="3" t="s">
        <v>809</v>
      </c>
      <c r="B7623" s="8" t="s">
        <v>86</v>
      </c>
      <c r="C7623" s="38" t="n">
        <f aca="false">Sens!$C$7620-Sens!$C$7621</f>
        <v>36.176</v>
      </c>
      <c r="D7623" s="38" t="n">
        <f aca="false">Sens!$D$7620-Sens!$D$7621</f>
        <v>9.63700000000002</v>
      </c>
      <c r="E7623" s="38" t="n">
        <f aca="false">Sens!$E$7620-Sens!$E$7621</f>
        <v>-25.691</v>
      </c>
      <c r="F7623" s="38" t="n">
        <f aca="false">Sens!$F$7620-Sens!$F$7621</f>
        <v>-33.2271793268317</v>
      </c>
      <c r="G7623" s="38" t="n">
        <f aca="false">Sens!$G$7620-Sens!$G$7621</f>
        <v>-58.9181793268317</v>
      </c>
      <c r="H7623" s="38" t="n">
        <f aca="false">Sens!$H$7620-Sens!$H$7621</f>
        <v>-54.3561238424036</v>
      </c>
      <c r="I7623" s="38" t="n">
        <f aca="false">Sens!$I$7620-Sens!$I$7621</f>
        <v>-15.0303903946055</v>
      </c>
      <c r="J7623" s="38" t="n">
        <f aca="false">Sens!$J$7620-Sens!$J$7621</f>
        <v>25.3313456523922</v>
      </c>
      <c r="K7623" s="38" t="n">
        <f aca="false">Sens!$K$7620-Sens!$K$7621</f>
        <v>121.980646783072</v>
      </c>
      <c r="L7623" s="38" t="n">
        <f aca="false">Sens!$L$7620-Sens!$L$7621</f>
        <v>180.80865103054</v>
      </c>
      <c r="M7623" s="38" t="n">
        <f aca="false">Sens!$M$7620-Sens!$M$7621</f>
        <v>209.819407541041</v>
      </c>
    </row>
    <row r="7624" customFormat="false" ht="17.15" hidden="false" customHeight="false" outlineLevel="0" collapsed="false">
      <c r="A7624" s="5" t="s">
        <v>810</v>
      </c>
      <c r="B7624" s="0" t="s">
        <v>86</v>
      </c>
      <c r="E7624" s="38" t="n">
        <f aca="false">Q!$P$53</f>
        <v>39.767</v>
      </c>
      <c r="F7624" s="38" t="n">
        <f aca="false">inv_2h26</f>
        <v>21.3</v>
      </c>
      <c r="G7624" s="38" t="n">
        <f aca="false">Sens!$E$7624+Sens!$F$7624</f>
        <v>61.067</v>
      </c>
      <c r="H7624" s="39" t="n">
        <v>0</v>
      </c>
      <c r="I7624" s="39" t="n">
        <v>0</v>
      </c>
      <c r="J7624" s="39" t="n">
        <v>0</v>
      </c>
      <c r="K7624" s="39" t="n">
        <v>0</v>
      </c>
      <c r="L7624" s="39" t="n">
        <v>0</v>
      </c>
      <c r="M7624" s="39" t="n">
        <v>0</v>
      </c>
    </row>
    <row r="7625" customFormat="false" ht="17.15" hidden="false" customHeight="false" outlineLevel="0" collapsed="false">
      <c r="A7625" s="5" t="s">
        <v>811</v>
      </c>
      <c r="B7625" s="0" t="s">
        <v>86</v>
      </c>
      <c r="F7625" s="38" t="n">
        <f aca="false">iss_2h26</f>
        <v>29.249999</v>
      </c>
      <c r="G7625" s="38" t="n">
        <f aca="false">Sens!$F$7625</f>
        <v>29.249999</v>
      </c>
      <c r="H7625" s="39" t="n">
        <v>0</v>
      </c>
      <c r="I7625" s="39" t="n">
        <v>0</v>
      </c>
      <c r="J7625" s="39" t="n">
        <v>0</v>
      </c>
      <c r="K7625" s="39" t="n">
        <v>0</v>
      </c>
      <c r="L7625" s="39" t="n">
        <v>0</v>
      </c>
      <c r="M7625" s="39" t="n">
        <v>0</v>
      </c>
    </row>
    <row r="7626" customFormat="false" ht="17.15" hidden="false" customHeight="false" outlineLevel="0" collapsed="false">
      <c r="A7626" s="5" t="s">
        <v>812</v>
      </c>
      <c r="B7626" s="0" t="s">
        <v>86</v>
      </c>
      <c r="F7626" s="38" t="n">
        <f aca="false">cash_q2</f>
        <v>122.988</v>
      </c>
      <c r="G7626" s="38" t="n">
        <f aca="false">cash_q2</f>
        <v>122.988</v>
      </c>
      <c r="H7626" s="38" t="n">
        <f aca="false">Sens!$G$7629</f>
        <v>97.7108196731683</v>
      </c>
      <c r="I7626" s="38" t="n">
        <f aca="false">Sens!$H$7629</f>
        <v>50</v>
      </c>
      <c r="J7626" s="38" t="n">
        <f aca="false">Sens!$I$7629</f>
        <v>50</v>
      </c>
      <c r="K7626" s="38" t="n">
        <f aca="false">Sens!$J$7629</f>
        <v>75.3313456523922</v>
      </c>
      <c r="L7626" s="38" t="n">
        <f aca="false">Sens!$K$7629</f>
        <v>197.311992435464</v>
      </c>
      <c r="M7626" s="38" t="n">
        <f aca="false">Sens!$L$7629</f>
        <v>378.120643466004</v>
      </c>
    </row>
    <row r="7627" customFormat="false" ht="15" hidden="false" customHeight="false" outlineLevel="0" collapsed="false">
      <c r="A7627" s="5" t="s">
        <v>813</v>
      </c>
      <c r="B7627" s="0" t="s">
        <v>86</v>
      </c>
      <c r="F7627" s="38" t="n">
        <f aca="false">Sens!$F$7626+Sens!$F$7623-Sens!$F$7622-Sens!$F$7624+Sens!$F$7625</f>
        <v>97.7108196731683</v>
      </c>
      <c r="H7627" s="38" t="n">
        <f aca="false">Sens!$H$7626+Sens!$H$7623-Sens!$H$7622-Sens!$H$7624+Sens!$H$7625</f>
        <v>43.3546958307647</v>
      </c>
      <c r="I7627" s="38" t="n">
        <f aca="false">Sens!$I$7626+Sens!$I$7623-Sens!$I$7622-Sens!$I$7624+Sens!$I$7625</f>
        <v>34.9696096053945</v>
      </c>
      <c r="J7627" s="38" t="n">
        <f aca="false">Sens!$J$7626+Sens!$J$7623-Sens!$J$7622-Sens!$J$7624+Sens!$J$7625</f>
        <v>75.3313456523922</v>
      </c>
      <c r="K7627" s="38" t="n">
        <f aca="false">Sens!$K$7626+Sens!$K$7623-Sens!$K$7622-Sens!$K$7624+Sens!$K$7625</f>
        <v>197.311992435464</v>
      </c>
      <c r="L7627" s="38" t="n">
        <f aca="false">Sens!$L$7626+Sens!$L$7623-Sens!$L$7622-Sens!$L$7624+Sens!$L$7625</f>
        <v>378.120643466004</v>
      </c>
      <c r="M7627" s="38" t="n">
        <f aca="false">Sens!$M$7626+Sens!$M$7623-Sens!$M$7622-Sens!$M$7624+Sens!$M$7625</f>
        <v>587.940051007045</v>
      </c>
    </row>
    <row r="7628" customFormat="false" ht="17.15" hidden="false" customHeight="false" outlineLevel="0" collapsed="false">
      <c r="A7628" s="5" t="s">
        <v>814</v>
      </c>
      <c r="B7628" s="0" t="s">
        <v>86</v>
      </c>
      <c r="F7628" s="38" t="n">
        <f aca="false">MAX(0,min_cash-Sens!$F$7627)</f>
        <v>0</v>
      </c>
      <c r="G7628" s="38" t="n">
        <f aca="false">Sens!$F$7628</f>
        <v>0</v>
      </c>
      <c r="H7628" s="38" t="n">
        <f aca="false">MAX(0,min_cash-Sens!$H$7627)</f>
        <v>6.64530416923528</v>
      </c>
      <c r="I7628" s="38" t="n">
        <f aca="false">MAX(0,min_cash-Sens!$I$7627)</f>
        <v>15.0303903946055</v>
      </c>
      <c r="J7628" s="38" t="n">
        <f aca="false">MAX(0,min_cash-Sens!$J$7627)</f>
        <v>0</v>
      </c>
      <c r="K7628" s="38" t="n">
        <f aca="false">MAX(0,min_cash-Sens!$K$7627)</f>
        <v>0</v>
      </c>
      <c r="L7628" s="38" t="n">
        <f aca="false">MAX(0,min_cash-Sens!$L$7627)</f>
        <v>0</v>
      </c>
      <c r="M7628" s="38" t="n">
        <f aca="false">MAX(0,min_cash-Sens!$M$7627)</f>
        <v>0</v>
      </c>
      <c r="P7628" s="5" t="s">
        <v>815</v>
      </c>
    </row>
    <row r="7629" customFormat="false" ht="15" hidden="false" customHeight="false" outlineLevel="0" collapsed="false">
      <c r="A7629" s="5" t="s">
        <v>816</v>
      </c>
      <c r="B7629" s="0" t="s">
        <v>86</v>
      </c>
      <c r="D7629" s="38" t="n">
        <f aca="false">Q!$E$61</f>
        <v>123.029</v>
      </c>
      <c r="E7629" s="38" t="n">
        <f aca="false">Q!$M$61</f>
        <v>122.988</v>
      </c>
      <c r="F7629" s="38" t="n">
        <f aca="false">Sens!$F$7627+Sens!$F$7628</f>
        <v>97.7108196731683</v>
      </c>
      <c r="G7629" s="38" t="n">
        <f aca="false">Sens!$F$7629</f>
        <v>97.7108196731683</v>
      </c>
      <c r="H7629" s="38" t="n">
        <f aca="false">Sens!$H$7627+Sens!$H$7628</f>
        <v>50</v>
      </c>
      <c r="I7629" s="38" t="n">
        <f aca="false">Sens!$I$7627+Sens!$I$7628</f>
        <v>50</v>
      </c>
      <c r="J7629" s="38" t="n">
        <f aca="false">Sens!$J$7627+Sens!$J$7628</f>
        <v>75.3313456523922</v>
      </c>
      <c r="K7629" s="38" t="n">
        <f aca="false">Sens!$K$7627+Sens!$K$7628</f>
        <v>197.311992435464</v>
      </c>
      <c r="L7629" s="38" t="n">
        <f aca="false">Sens!$L$7627+Sens!$L$7628</f>
        <v>378.120643466004</v>
      </c>
      <c r="M7629" s="38" t="n">
        <f aca="false">Sens!$M$7627+Sens!$M$7628</f>
        <v>587.940051007045</v>
      </c>
    </row>
    <row r="7630" customFormat="false" ht="15" hidden="false" customHeight="false" outlineLevel="0" collapsed="false">
      <c r="A7630" s="5" t="s">
        <v>817</v>
      </c>
      <c r="B7630" s="0" t="s">
        <v>86</v>
      </c>
      <c r="D7630" s="38" t="n">
        <f aca="false">Q!$E$62</f>
        <v>68.836</v>
      </c>
      <c r="E7630" s="38" t="n">
        <f aca="false">Q!$M$62</f>
        <v>132.995</v>
      </c>
      <c r="F7630" s="38" t="n">
        <f aca="false">debt_q2+Sens!$F$7625+Sens!$F$7628</f>
        <v>162.244999</v>
      </c>
      <c r="G7630" s="38" t="n">
        <f aca="false">Sens!$F$7630</f>
        <v>162.244999</v>
      </c>
      <c r="H7630" s="38" t="n">
        <f aca="false">Sens!$G$7630+Sens!$H$7628</f>
        <v>168.890303169235</v>
      </c>
      <c r="I7630" s="38" t="n">
        <f aca="false">Sens!$H$7630+Sens!$I$7628</f>
        <v>183.920693563841</v>
      </c>
      <c r="J7630" s="38" t="n">
        <f aca="false">Sens!$I$7630+Sens!$J$7628</f>
        <v>183.920693563841</v>
      </c>
      <c r="K7630" s="38" t="n">
        <f aca="false">Sens!$J$7630+Sens!$K$7628</f>
        <v>183.920693563841</v>
      </c>
      <c r="L7630" s="38" t="n">
        <f aca="false">Sens!$K$7630+Sens!$L$7628</f>
        <v>183.920693563841</v>
      </c>
      <c r="M7630" s="38" t="n">
        <f aca="false">Sens!$L$7630+Sens!$M$7628</f>
        <v>183.920693563841</v>
      </c>
    </row>
    <row r="7631" customFormat="false" ht="15" hidden="false" customHeight="false" outlineLevel="0" collapsed="false">
      <c r="A7631" s="5" t="s">
        <v>818</v>
      </c>
      <c r="B7631" s="0" t="s">
        <v>86</v>
      </c>
      <c r="D7631" s="38" t="n">
        <f aca="false">Sens!$D$7630-Sens!$D$7629</f>
        <v>-54.193</v>
      </c>
      <c r="E7631" s="38" t="n">
        <f aca="false">Sens!$E$7630-Sens!$E$7629</f>
        <v>10.007</v>
      </c>
      <c r="F7631" s="38" t="n">
        <f aca="false">Sens!$F$7630-Sens!$F$7629</f>
        <v>64.5341793268317</v>
      </c>
      <c r="G7631" s="38" t="n">
        <f aca="false">Sens!$G$7630-Sens!$G$7629</f>
        <v>64.5341793268317</v>
      </c>
      <c r="H7631" s="38" t="n">
        <f aca="false">Sens!$H$7630-Sens!$H$7629</f>
        <v>118.890303169235</v>
      </c>
      <c r="I7631" s="38" t="n">
        <f aca="false">Sens!$I$7630-Sens!$I$7629</f>
        <v>133.920693563841</v>
      </c>
      <c r="J7631" s="38" t="n">
        <f aca="false">Sens!$J$7630-Sens!$J$7629</f>
        <v>108.589347911449</v>
      </c>
      <c r="K7631" s="38" t="n">
        <f aca="false">Sens!$K$7630-Sens!$K$7629</f>
        <v>-13.3912988716235</v>
      </c>
      <c r="L7631" s="38" t="n">
        <f aca="false">Sens!$L$7630-Sens!$L$7629</f>
        <v>-194.199949902163</v>
      </c>
      <c r="M7631" s="38" t="n">
        <f aca="false">Sens!$M$7630-Sens!$M$7629</f>
        <v>-404.019357443204</v>
      </c>
    </row>
    <row r="7632" customFormat="false" ht="17.15" hidden="false" customHeight="false" outlineLevel="0" collapsed="false">
      <c r="A7632" s="5" t="s">
        <v>819</v>
      </c>
      <c r="B7632" s="0" t="s">
        <v>86</v>
      </c>
      <c r="F7632" s="38" t="n">
        <f aca="false">debt_q2*kd_book*0.5+iss_2h26*kd_new*iss_t</f>
        <v>3.24888962733561</v>
      </c>
      <c r="H7632" s="38" t="n">
        <f aca="false">debt_q2*kd_book+(Sens!$G$7630-debt_q2)*kd_new</f>
        <v>7.42354172302123</v>
      </c>
      <c r="I7632" s="38" t="n">
        <f aca="false">debt_q2*kd_book+(Sens!$H$7630-debt_q2)*kd_new</f>
        <v>7.84418947693382</v>
      </c>
      <c r="J7632" s="38" t="n">
        <f aca="false">debt_q2*kd_book+(Sens!$I$7630-debt_q2)*kd_new</f>
        <v>8.79561318891235</v>
      </c>
      <c r="K7632" s="38" t="n">
        <f aca="false">debt_q2*kd_book+(Sens!$J$7630-debt_q2)*kd_new</f>
        <v>8.79561318891235</v>
      </c>
      <c r="L7632" s="38" t="n">
        <f aca="false">debt_q2*kd_book+(Sens!$K$7630-debt_q2)*kd_new</f>
        <v>8.79561318891235</v>
      </c>
      <c r="M7632" s="38" t="n">
        <f aca="false">debt_q2*kd_book+(Sens!$L$7630-debt_q2)*kd_new</f>
        <v>8.79561318891235</v>
      </c>
    </row>
    <row r="7633" customFormat="false" ht="17.15" hidden="false" customHeight="false" outlineLevel="0" collapsed="false">
      <c r="A7633" s="5" t="s">
        <v>820</v>
      </c>
      <c r="B7633" s="0" t="s">
        <v>86</v>
      </c>
      <c r="F7633" s="38" t="n">
        <f aca="false">cash_q2*y_cash*0.5</f>
        <v>2.59</v>
      </c>
      <c r="H7633" s="38" t="n">
        <f aca="false">Sens!$G$7629*y_cash</f>
        <v>4.1153774832261</v>
      </c>
      <c r="I7633" s="38" t="n">
        <f aca="false">Sens!$H$7629*y_cash</f>
        <v>2.10589651022864</v>
      </c>
      <c r="J7633" s="38" t="n">
        <f aca="false">Sens!$I$7629*y_cash</f>
        <v>2.10589651022864</v>
      </c>
      <c r="K7633" s="38" t="n">
        <f aca="false">Sens!$J$7629*y_cash</f>
        <v>3.172800358404</v>
      </c>
      <c r="L7633" s="38" t="n">
        <f aca="false">Sens!$K$7629*y_cash</f>
        <v>8.31037272592208</v>
      </c>
      <c r="M7633" s="38" t="n">
        <f aca="false">Sens!$L$7629*y_cash</f>
        <v>15.9256588704093</v>
      </c>
    </row>
    <row r="7634" customFormat="false" ht="17.15" hidden="false" customHeight="false" outlineLevel="0" collapsed="false">
      <c r="A7634" s="47" t="s">
        <v>821</v>
      </c>
      <c r="B7634" s="14" t="s">
        <v>86</v>
      </c>
      <c r="C7634" s="14"/>
      <c r="D7634" s="14"/>
      <c r="E7634" s="14"/>
      <c r="F7634" s="14"/>
      <c r="G7634" s="48" t="n">
        <f aca="false">SUM(Sens!$G$7623:$K$7623)</f>
        <v>19.0072988716234</v>
      </c>
      <c r="H7634" s="14"/>
      <c r="I7634" s="14"/>
      <c r="J7634" s="14"/>
      <c r="K7634" s="14"/>
      <c r="L7634" s="14"/>
      <c r="M7634" s="14"/>
      <c r="N7634" s="14"/>
      <c r="O7634" s="14"/>
    </row>
    <row r="7635" customFormat="false" ht="17.15" hidden="false" customHeight="false" outlineLevel="0" collapsed="false">
      <c r="A7635" s="0" t="s">
        <v>787</v>
      </c>
      <c r="B7635" s="0" t="s">
        <v>86</v>
      </c>
      <c r="G7635" s="38" t="n">
        <f aca="false">SUM(Sens!$G$7628:$K$7628)</f>
        <v>21.6756945638408</v>
      </c>
    </row>
    <row r="7636" customFormat="false" ht="17.15" hidden="false" customHeight="false" outlineLevel="0" collapsed="false">
      <c r="A7636" s="24" t="s">
        <v>824</v>
      </c>
      <c r="B7636" s="25" t="s">
        <v>86</v>
      </c>
      <c r="C7636" s="25"/>
      <c r="D7636" s="25"/>
      <c r="E7636" s="25"/>
      <c r="F7636" s="25"/>
      <c r="G7636" s="41" t="n">
        <f aca="false">Sens!$G$7634-(Sens!$G$7623+Sens!$H$7623+Sens!$I$7623+Sens!$J$7623+Sens!$K$7623)</f>
        <v>0</v>
      </c>
      <c r="H7636" s="25"/>
      <c r="I7636" s="25"/>
      <c r="J7636" s="25"/>
      <c r="K7636" s="25"/>
      <c r="L7636" s="25"/>
      <c r="M7636" s="25"/>
      <c r="N7636" s="25"/>
      <c r="O7636" s="25"/>
    </row>
    <row r="7639" customFormat="false" ht="19.4" hidden="false" customHeight="false" outlineLevel="0" collapsed="false">
      <c r="A7639" s="31" t="s">
        <v>1306</v>
      </c>
    </row>
    <row r="7640" customFormat="false" ht="17.15" hidden="false" customHeight="false" outlineLevel="0" collapsed="false">
      <c r="A7640" s="6" t="s">
        <v>16</v>
      </c>
      <c r="B7640" s="6" t="s">
        <v>17</v>
      </c>
      <c r="C7640" s="20" t="s">
        <v>504</v>
      </c>
      <c r="D7640" s="20" t="s">
        <v>505</v>
      </c>
      <c r="E7640" s="20" t="s">
        <v>587</v>
      </c>
      <c r="F7640" s="20" t="s">
        <v>588</v>
      </c>
      <c r="G7640" s="20" t="s">
        <v>589</v>
      </c>
      <c r="H7640" s="20" t="s">
        <v>590</v>
      </c>
      <c r="I7640" s="20" t="s">
        <v>591</v>
      </c>
      <c r="J7640" s="20" t="s">
        <v>592</v>
      </c>
      <c r="K7640" s="20" t="s">
        <v>593</v>
      </c>
      <c r="L7640" s="20" t="s">
        <v>594</v>
      </c>
      <c r="M7640" s="20" t="s">
        <v>595</v>
      </c>
      <c r="N7640" s="20" t="s">
        <v>596</v>
      </c>
      <c r="O7640" s="20" t="s">
        <v>597</v>
      </c>
      <c r="P7640" s="6" t="s">
        <v>23</v>
      </c>
      <c r="R7640" s="20" t="n">
        <v>2023</v>
      </c>
      <c r="S7640" s="20" t="n">
        <v>2024</v>
      </c>
      <c r="T7640" s="20" t="n">
        <v>2025</v>
      </c>
      <c r="U7640" s="20" t="n">
        <v>2026</v>
      </c>
      <c r="V7640" s="20" t="n">
        <v>2027</v>
      </c>
      <c r="W7640" s="20" t="n">
        <v>2028</v>
      </c>
      <c r="X7640" s="20" t="n">
        <v>2029</v>
      </c>
      <c r="Y7640" s="20" t="n">
        <v>2030</v>
      </c>
      <c r="Z7640" s="20" t="n">
        <v>2031</v>
      </c>
      <c r="AA7640" s="20" t="n">
        <v>2032</v>
      </c>
    </row>
    <row r="7641" customFormat="false" ht="17.15" hidden="false" customHeight="false" outlineLevel="0" collapsed="false">
      <c r="A7641" s="1" t="s">
        <v>926</v>
      </c>
    </row>
    <row r="7642" customFormat="false" ht="17.15" hidden="false" customHeight="false" outlineLevel="0" collapsed="false">
      <c r="A7642" s="0" t="s">
        <v>927</v>
      </c>
      <c r="B7642" s="0" t="s">
        <v>86</v>
      </c>
      <c r="H7642" s="38" t="n">
        <f aca="false">Sens!$H$7576*(1-tax)</f>
        <v>119.56497355468</v>
      </c>
      <c r="I7642" s="38" t="n">
        <f aca="false">Sens!$I$7576*(1-tax)</f>
        <v>141.256941944278</v>
      </c>
      <c r="J7642" s="38" t="n">
        <f aca="false">Sens!$J$7576*(1-tax)</f>
        <v>165.207646486437</v>
      </c>
      <c r="K7642" s="38" t="n">
        <f aca="false">Sens!$K$7576*(1-tax)</f>
        <v>182.2563867591</v>
      </c>
      <c r="L7642" s="38" t="n">
        <f aca="false">Sens!$L$7576*(1-tax)</f>
        <v>196.136023003742</v>
      </c>
      <c r="M7642" s="38" t="n">
        <f aca="false">Sens!$M$7576*(1-tax)</f>
        <v>208.266936154417</v>
      </c>
    </row>
    <row r="7643" customFormat="false" ht="15" hidden="false" customHeight="false" outlineLevel="0" collapsed="false">
      <c r="A7643" s="5" t="s">
        <v>928</v>
      </c>
      <c r="B7643" s="0" t="s">
        <v>86</v>
      </c>
      <c r="H7643" s="38" t="n">
        <f aca="false">Sens!$H$7587</f>
        <v>81.5618233196153</v>
      </c>
      <c r="I7643" s="38" t="n">
        <f aca="false">Sens!$I$7587</f>
        <v>118.756208740204</v>
      </c>
      <c r="J7643" s="38" t="n">
        <f aca="false">Sens!$J$7587</f>
        <v>152.469489406791</v>
      </c>
      <c r="K7643" s="38" t="n">
        <f aca="false">Sens!$K$7587</f>
        <v>186.391502623819</v>
      </c>
      <c r="L7643" s="38" t="n">
        <f aca="false">Sens!$L$7587</f>
        <v>211.926422215482</v>
      </c>
      <c r="M7643" s="38" t="n">
        <f aca="false">Sens!$M$7587</f>
        <v>229.012482097906</v>
      </c>
    </row>
    <row r="7644" customFormat="false" ht="15" hidden="false" customHeight="false" outlineLevel="0" collapsed="false">
      <c r="A7644" s="5" t="s">
        <v>929</v>
      </c>
      <c r="B7644" s="0" t="s">
        <v>86</v>
      </c>
      <c r="H7644" s="38" t="n">
        <f aca="false">Sens!$H$7618</f>
        <v>273.372679834898</v>
      </c>
      <c r="I7644" s="38" t="n">
        <f aca="false">Sens!$I$7618</f>
        <v>286.981812228425</v>
      </c>
      <c r="J7644" s="38" t="n">
        <f aca="false">Sens!$J$7618</f>
        <v>299.316513378366</v>
      </c>
      <c r="K7644" s="38" t="n">
        <f aca="false">Sens!$K$7618</f>
        <v>251.057145512292</v>
      </c>
      <c r="L7644" s="38" t="n">
        <f aca="false">Sens!$L$7618</f>
        <v>234.696330860396</v>
      </c>
      <c r="M7644" s="38" t="n">
        <f aca="false">Sens!$M$7618</f>
        <v>242.291696043352</v>
      </c>
    </row>
    <row r="7645" customFormat="false" ht="15" hidden="false" customHeight="false" outlineLevel="0" collapsed="false">
      <c r="A7645" s="5" t="s">
        <v>930</v>
      </c>
      <c r="B7645" s="0" t="s">
        <v>86</v>
      </c>
      <c r="H7645" s="38" t="n">
        <f aca="false">Sens!$H$7619</f>
        <v>1.6</v>
      </c>
      <c r="I7645" s="38" t="n">
        <f aca="false">Sens!$I$7619</f>
        <v>1.6</v>
      </c>
      <c r="J7645" s="38" t="n">
        <f aca="false">Sens!$J$7619</f>
        <v>1.6</v>
      </c>
      <c r="K7645" s="38" t="n">
        <f aca="false">Sens!$K$7619</f>
        <v>1.6</v>
      </c>
      <c r="L7645" s="38" t="n">
        <f aca="false">Sens!$L$7619</f>
        <v>1.6</v>
      </c>
      <c r="M7645" s="38" t="n">
        <f aca="false">Sens!$M$7619</f>
        <v>1.6</v>
      </c>
    </row>
    <row r="7646" customFormat="false" ht="15" hidden="false" customHeight="false" outlineLevel="0" collapsed="false">
      <c r="A7646" s="5" t="s">
        <v>931</v>
      </c>
      <c r="B7646" s="0" t="s">
        <v>86</v>
      </c>
      <c r="H7646" s="38" t="n">
        <f aca="false">Sens!$H$7613</f>
        <v>11.2928295263397</v>
      </c>
      <c r="I7646" s="38" t="n">
        <f aca="false">Sens!$I$7613</f>
        <v>12.8091546115766</v>
      </c>
      <c r="J7646" s="38" t="n">
        <f aca="false">Sens!$J$7613</f>
        <v>14.2605653162668</v>
      </c>
      <c r="K7646" s="38" t="n">
        <f aca="false">Sens!$K$7613</f>
        <v>15.5327622460396</v>
      </c>
      <c r="L7646" s="38" t="n">
        <f aca="false">Sens!$L$7613</f>
        <v>16.720573737517</v>
      </c>
      <c r="M7646" s="38" t="n">
        <f aca="false">Sens!$M$7613</f>
        <v>17.8283127551536</v>
      </c>
    </row>
    <row r="7647" customFormat="false" ht="17.15" hidden="false" customHeight="false" outlineLevel="0" collapsed="false">
      <c r="A7647" s="1" t="s">
        <v>932</v>
      </c>
      <c r="B7647" s="8" t="s">
        <v>86</v>
      </c>
      <c r="H7647" s="38" t="n">
        <f aca="false">Sens!$H$7642+Sens!$H$7643-Sens!$H$7644-Sens!$H$7645+Sens!$H$7646</f>
        <v>-62.5530534342631</v>
      </c>
      <c r="I7647" s="38" t="n">
        <f aca="false">Sens!$I$7642+Sens!$I$7643-Sens!$I$7644-Sens!$I$7645+Sens!$I$7646</f>
        <v>-15.7595069323669</v>
      </c>
      <c r="J7647" s="38" t="n">
        <f aca="false">Sens!$J$7642+Sens!$J$7643-Sens!$J$7644-Sens!$J$7645+Sens!$J$7646</f>
        <v>31.0211878311291</v>
      </c>
      <c r="K7647" s="38" t="n">
        <f aca="false">Sens!$K$7642+Sens!$K$7643-Sens!$K$7644-Sens!$K$7645+Sens!$K$7646</f>
        <v>131.523506116666</v>
      </c>
      <c r="L7647" s="38" t="n">
        <f aca="false">Sens!$L$7642+Sens!$L$7643-Sens!$L$7644-Sens!$L$7645+Sens!$L$7646</f>
        <v>188.486688096346</v>
      </c>
      <c r="M7647" s="38" t="n">
        <f aca="false">Sens!$M$7642+Sens!$M$7643-Sens!$M$7644-Sens!$M$7645+Sens!$M$7646</f>
        <v>211.216034964125</v>
      </c>
    </row>
    <row r="7648" customFormat="false" ht="15" hidden="false" customHeight="false" outlineLevel="0" collapsed="false">
      <c r="A7648" s="5" t="s">
        <v>933</v>
      </c>
      <c r="B7648" s="0" t="s">
        <v>57</v>
      </c>
      <c r="H7648" s="40" t="n">
        <f aca="false">1/(1+wacc)^(2027-2026-0.5)</f>
        <v>0.947751320380232</v>
      </c>
      <c r="I7648" s="40" t="n">
        <f aca="false">1/(1+wacc)^(2028-2026-0.5)</f>
        <v>0.851301099754987</v>
      </c>
      <c r="J7648" s="40" t="n">
        <f aca="false">1/(1+wacc)^(2029-2026-0.5)</f>
        <v>0.764666370660713</v>
      </c>
      <c r="K7648" s="40" t="n">
        <f aca="false">1/(1+wacc)^(2030-2026-0.5)</f>
        <v>0.686848235703811</v>
      </c>
      <c r="L7648" s="40" t="n">
        <f aca="false">1/(1+wacc)^(2031-2026-0.5)</f>
        <v>0.616949452715975</v>
      </c>
      <c r="M7648" s="40" t="n">
        <f aca="false">1/(1+wacc)^(2032-2026-0.5)</f>
        <v>0.554164089562688</v>
      </c>
    </row>
    <row r="7649" customFormat="false" ht="15" hidden="false" customHeight="false" outlineLevel="0" collapsed="false">
      <c r="A7649" s="5" t="s">
        <v>934</v>
      </c>
      <c r="B7649" s="0" t="s">
        <v>86</v>
      </c>
      <c r="H7649" s="38" t="n">
        <f aca="false">Sens!$H$7647*Sens!$H$7648</f>
        <v>-59.2847389861381</v>
      </c>
      <c r="I7649" s="38" t="n">
        <f aca="false">Sens!$I$7647*Sens!$I$7648</f>
        <v>-13.4160855831203</v>
      </c>
      <c r="J7649" s="38" t="n">
        <f aca="false">Sens!$J$7647*Sens!$J$7648</f>
        <v>23.7208591124138</v>
      </c>
      <c r="K7649" s="38" t="n">
        <f aca="false">Sens!$K$7647*Sens!$K$7648</f>
        <v>90.3366881298116</v>
      </c>
      <c r="L7649" s="38" t="n">
        <f aca="false">Sens!$L$7647*Sens!$L$7648</f>
        <v>116.286759065287</v>
      </c>
      <c r="M7649" s="38" t="n">
        <f aca="false">Sens!$M$7647*Sens!$M$7648</f>
        <v>117.048341716935</v>
      </c>
    </row>
    <row r="7650" customFormat="false" ht="15" hidden="false" customHeight="false" outlineLevel="0" collapsed="false">
      <c r="A7650" s="5" t="s">
        <v>935</v>
      </c>
      <c r="B7650" s="0" t="s">
        <v>86</v>
      </c>
      <c r="C7650" s="38" t="n">
        <f aca="false">SUM(Sens!$H$7649:$M$7649)</f>
        <v>274.691823455189</v>
      </c>
    </row>
    <row r="7651" customFormat="false" ht="17.15" hidden="false" customHeight="false" outlineLevel="0" collapsed="false">
      <c r="A7651" s="5" t="s">
        <v>936</v>
      </c>
      <c r="B7651" s="0" t="s">
        <v>86</v>
      </c>
      <c r="C7651" s="38" t="n">
        <f aca="false">Sens!$M$7642*(1+tg)*(1-tg/ronic)/(wacc-tg)</f>
        <v>1893.37885139876</v>
      </c>
    </row>
    <row r="7652" customFormat="false" ht="15" hidden="false" customHeight="false" outlineLevel="0" collapsed="false">
      <c r="A7652" s="5" t="s">
        <v>937</v>
      </c>
      <c r="B7652" s="0" t="s">
        <v>86</v>
      </c>
      <c r="C7652" s="38" t="n">
        <f aca="false">Sens!$C$7651/(1+wacc)^6</f>
        <v>994.421028636041</v>
      </c>
    </row>
    <row r="7653" customFormat="false" ht="17.15" hidden="false" customHeight="false" outlineLevel="0" collapsed="false">
      <c r="A7653" s="5" t="s">
        <v>938</v>
      </c>
      <c r="B7653" s="0" t="s">
        <v>86</v>
      </c>
      <c r="C7653" s="38" t="n">
        <f aca="false">Sens!$C$7650+Sens!$C$7652</f>
        <v>1269.11285209123</v>
      </c>
    </row>
    <row r="7654" customFormat="false" ht="17.15" hidden="false" customHeight="false" outlineLevel="0" collapsed="false">
      <c r="A7654" s="5" t="s">
        <v>939</v>
      </c>
      <c r="B7654" s="0" t="s">
        <v>52</v>
      </c>
      <c r="C7654" s="13" t="n">
        <f aca="false">Sens!$C$7652/Sens!$C$7653</f>
        <v>0.783556030495984</v>
      </c>
    </row>
    <row r="7655" customFormat="false" ht="17.15" hidden="false" customHeight="false" outlineLevel="0" collapsed="false">
      <c r="A7655" s="5" t="s">
        <v>940</v>
      </c>
      <c r="B7655" s="0" t="s">
        <v>86</v>
      </c>
      <c r="C7655" s="38" t="n">
        <f aca="false">Sens!$G$7631+fin_debt</f>
        <v>89.0551793268317</v>
      </c>
    </row>
    <row r="7656" customFormat="false" ht="17.15" hidden="false" customHeight="false" outlineLevel="0" collapsed="false">
      <c r="A7656" s="5" t="s">
        <v>941</v>
      </c>
      <c r="B7656" s="0" t="s">
        <v>86</v>
      </c>
      <c r="C7656" s="38" t="n">
        <f aca="false">(ant_val*ant_sh+oai_val*oai_sh)*(1-liq_disc)</f>
        <v>178.944</v>
      </c>
    </row>
    <row r="7657" customFormat="false" ht="15" hidden="false" customHeight="false" outlineLevel="0" collapsed="false">
      <c r="A7657" s="5" t="s">
        <v>942</v>
      </c>
      <c r="B7657" s="0" t="s">
        <v>86</v>
      </c>
      <c r="C7657" s="38" t="n">
        <f aca="false">Sens!$C$7653-Sens!$C$7655+Sens!$C$7656</f>
        <v>1359.0016727644</v>
      </c>
    </row>
    <row r="7658" customFormat="false" ht="17.15" hidden="false" customHeight="false" outlineLevel="0" collapsed="false">
      <c r="A7658" s="5" t="s">
        <v>943</v>
      </c>
      <c r="B7658" s="0" t="s">
        <v>27</v>
      </c>
      <c r="C7658" s="30" t="n">
        <f aca="false">Sens!$C$7657/sh_out</f>
        <v>125.993149537868</v>
      </c>
    </row>
    <row r="7659" customFormat="false" ht="17.15" hidden="false" customHeight="false" outlineLevel="0" collapsed="false">
      <c r="A7659" s="1" t="s">
        <v>944</v>
      </c>
      <c r="B7659" s="8" t="s">
        <v>27</v>
      </c>
      <c r="C7659" s="30" t="n">
        <f aca="false">Sens!$C$7658*(1+ke)^tp_yf-dps*tp_yf</f>
        <v>138.008970873001</v>
      </c>
    </row>
    <row r="7660" customFormat="false" ht="17.15" hidden="false" customHeight="false" outlineLevel="0" collapsed="false">
      <c r="A7660" s="3" t="s">
        <v>945</v>
      </c>
    </row>
    <row r="7661" customFormat="false" ht="17.15" hidden="false" customHeight="false" outlineLevel="0" collapsed="false">
      <c r="A7661" s="5" t="s">
        <v>946</v>
      </c>
      <c r="B7661" s="0" t="s">
        <v>86</v>
      </c>
      <c r="C7661" s="38" t="n">
        <f aca="false">(1-tp_yf)*(Sens!$H$7588+0*Sens!$H$7612*Sens!$H$7449/Sens!$H$7529)+tp_yf*(Sens!$I$7588+0*Sens!$I$7612*Sens!$I$7449/Sens!$I$7529)</f>
        <v>56.8057990189893</v>
      </c>
    </row>
    <row r="7662" customFormat="false" ht="15" hidden="false" customHeight="false" outlineLevel="0" collapsed="false">
      <c r="A7662" s="5" t="s">
        <v>947</v>
      </c>
      <c r="B7662" s="0" t="s">
        <v>57</v>
      </c>
      <c r="C7662" s="30" t="n">
        <f aca="false">m_ads*m_x</f>
        <v>9.11</v>
      </c>
    </row>
    <row r="7663" customFormat="false" ht="17.15" hidden="false" customHeight="false" outlineLevel="0" collapsed="false">
      <c r="A7663" s="5" t="s">
        <v>948</v>
      </c>
      <c r="B7663" s="0" t="s">
        <v>86</v>
      </c>
      <c r="C7663" s="38" t="n">
        <f aca="false">Sens!$C$7661*Sens!$C$7662</f>
        <v>517.500829062993</v>
      </c>
    </row>
    <row r="7664" customFormat="false" ht="17.15" hidden="false" customHeight="false" outlineLevel="0" collapsed="false">
      <c r="A7664" s="5" t="s">
        <v>949</v>
      </c>
      <c r="B7664" s="0" t="s">
        <v>86</v>
      </c>
      <c r="C7664" s="38" t="n">
        <f aca="false">(1-tp_yf)*(Sens!$H$7589+0*Sens!$H$7612*(Sens!$H$7456-Sens!$H$7449)/Sens!$H$7529+IF(internal_ai_reading=2,1,0)*(1-ext_sh)*Sens!$H$7486)+tp_yf*(Sens!$I$7589+0*Sens!$I$7612*(Sens!$I$7456-Sens!$I$7449)/Sens!$I$7529+IF(internal_ai_reading=2,1,0)*(1-ext_sh)*Sens!$I$7486)</f>
        <v>35.1891095957328</v>
      </c>
    </row>
    <row r="7665" customFormat="false" ht="17.15" hidden="false" customHeight="false" outlineLevel="0" collapsed="false">
      <c r="A7665" s="5" t="s">
        <v>950</v>
      </c>
      <c r="B7665" s="0" t="s">
        <v>57</v>
      </c>
      <c r="C7665" s="30" t="n">
        <f aca="false">m_retail*m_x</f>
        <v>17.72</v>
      </c>
    </row>
    <row r="7666" customFormat="false" ht="17.15" hidden="false" customHeight="false" outlineLevel="0" collapsed="false">
      <c r="A7666" s="5" t="s">
        <v>951</v>
      </c>
      <c r="B7666" s="0" t="s">
        <v>86</v>
      </c>
      <c r="C7666" s="38" t="n">
        <f aca="false">Sens!$C$7664*Sens!$C$7665</f>
        <v>623.551022036384</v>
      </c>
    </row>
    <row r="7667" customFormat="false" ht="17.15" hidden="false" customHeight="false" outlineLevel="0" collapsed="false">
      <c r="A7667" s="0" t="s">
        <v>952</v>
      </c>
      <c r="B7667" s="0" t="s">
        <v>86</v>
      </c>
      <c r="C7667" s="38" t="n">
        <f aca="false">(1-tp_yf)*(Sens!$H$7590+0*Sens!$H$7612*Sens!$H$7527/Sens!$H$7529)+tp_yf*(Sens!$I$7590+0*Sens!$I$7612*Sens!$I$7527/Sens!$I$7529)</f>
        <v>92.8611636115895</v>
      </c>
    </row>
    <row r="7668" customFormat="false" ht="17.15" hidden="false" customHeight="false" outlineLevel="0" collapsed="false">
      <c r="A7668" s="0" t="s">
        <v>953</v>
      </c>
      <c r="B7668" s="0" t="s">
        <v>57</v>
      </c>
      <c r="C7668" s="30" t="n">
        <f aca="false">m_cloud*m_x</f>
        <v>13.82</v>
      </c>
    </row>
    <row r="7669" customFormat="false" ht="17.15" hidden="false" customHeight="false" outlineLevel="0" collapsed="false">
      <c r="A7669" s="0" t="s">
        <v>954</v>
      </c>
      <c r="B7669" s="0" t="s">
        <v>86</v>
      </c>
      <c r="C7669" s="38" t="n">
        <f aca="false">Sens!$C$7667*Sens!$C$7668</f>
        <v>1283.34128111217</v>
      </c>
    </row>
    <row r="7670" customFormat="false" ht="17.15" hidden="false" customHeight="false" outlineLevel="0" collapsed="false">
      <c r="A7670" s="0" t="s">
        <v>955</v>
      </c>
      <c r="B7670" s="0" t="s">
        <v>86</v>
      </c>
      <c r="H7670" s="38" t="n">
        <f aca="false">Sens!$H$7508-tax*Sens!$H$7509-ext_sh*Sens!$H$7493</f>
        <v>-115.41576008619</v>
      </c>
      <c r="I7670" s="38" t="n">
        <f aca="false">Sens!$I$7508-tax*Sens!$I$7509-ext_sh*Sens!$I$7493</f>
        <v>-88.5401912683161</v>
      </c>
      <c r="J7670" s="38" t="n">
        <f aca="false">Sens!$J$7508-tax*Sens!$J$7509-ext_sh*Sens!$J$7493</f>
        <v>-61.2977422866746</v>
      </c>
      <c r="K7670" s="38" t="n">
        <f aca="false">Sens!$K$7508-tax*Sens!$K$7509-ext_sh*Sens!$K$7493</f>
        <v>9.91264760007891</v>
      </c>
      <c r="L7670" s="38" t="n">
        <f aca="false">Sens!$L$7508-tax*Sens!$L$7509-ext_sh*Sens!$L$7493</f>
        <v>46.750156871371</v>
      </c>
      <c r="M7670" s="38" t="n">
        <f aca="false">Sens!$M$7508-tax*Sens!$M$7509-ext_sh*Sens!$M$7493</f>
        <v>55.5634749071557</v>
      </c>
    </row>
    <row r="7671" customFormat="false" ht="17.15" hidden="false" customHeight="false" outlineLevel="0" collapsed="false">
      <c r="A7671" s="5" t="s">
        <v>956</v>
      </c>
      <c r="B7671" s="0" t="s">
        <v>86</v>
      </c>
      <c r="H7671" s="38" t="n">
        <f aca="false">Sens!$H$7670*Sens!$H$7648</f>
        <v>-109.385439014374</v>
      </c>
      <c r="I7671" s="38" t="n">
        <f aca="false">Sens!$I$7670*Sens!$I$7648</f>
        <v>-75.3743621992344</v>
      </c>
      <c r="J7671" s="38" t="n">
        <f aca="false">Sens!$J$7670*Sens!$J$7648</f>
        <v>-46.8723221240472</v>
      </c>
      <c r="K7671" s="38" t="n">
        <f aca="false">Sens!$K$7670*Sens!$K$7648</f>
        <v>6.80848451526782</v>
      </c>
      <c r="L7671" s="38" t="n">
        <f aca="false">Sens!$L$7670*Sens!$L$7648</f>
        <v>28.8424836961783</v>
      </c>
      <c r="M7671" s="38" t="n">
        <f aca="false">Sens!$M$7670*Sens!$M$7648</f>
        <v>30.7912824848632</v>
      </c>
    </row>
    <row r="7672" customFormat="false" ht="17.15" hidden="false" customHeight="false" outlineLevel="0" collapsed="false">
      <c r="A7672" s="5" t="s">
        <v>957</v>
      </c>
      <c r="B7672" s="0" t="s">
        <v>86</v>
      </c>
      <c r="C7672" s="38" t="n">
        <f aca="false">Sens!$M$7509*(1-tax)*(1+tg)*(1-tg/ronic)/(wacc-tg)</f>
        <v>356.180381489473</v>
      </c>
    </row>
    <row r="7673" customFormat="false" ht="17.15" hidden="false" customHeight="false" outlineLevel="0" collapsed="false">
      <c r="A7673" s="0" t="s">
        <v>958</v>
      </c>
      <c r="B7673" s="0" t="s">
        <v>86</v>
      </c>
      <c r="C7673" s="38" t="n">
        <f aca="false">(SUM(Sens!$I$7671:$M$7671)+Sens!$C$7672/(1+wacc)^6)*(1+wacc)^tp_yf</f>
        <v>143.3703803388</v>
      </c>
    </row>
    <row r="7674" customFormat="false" ht="17.15" hidden="false" customHeight="false" outlineLevel="0" collapsed="false">
      <c r="A7674" s="5" t="s">
        <v>959</v>
      </c>
      <c r="B7674" s="0" t="s">
        <v>86</v>
      </c>
      <c r="C7674" s="38" t="n">
        <f aca="false">(1-tp_yf)*(Sens!$H$7591)+tp_yf*(Sens!$I$7591)</f>
        <v>74.6707041238437</v>
      </c>
    </row>
    <row r="7675" customFormat="false" ht="17.15" hidden="false" customHeight="false" outlineLevel="0" collapsed="false">
      <c r="A7675" s="5" t="s">
        <v>960</v>
      </c>
      <c r="B7675" s="0" t="s">
        <v>86</v>
      </c>
      <c r="C7675" s="38" t="n">
        <f aca="false">Sens!$C$7674*m_ai</f>
        <v>448.024224743062</v>
      </c>
    </row>
    <row r="7676" customFormat="false" ht="17.15" hidden="false" customHeight="false" outlineLevel="0" collapsed="false">
      <c r="A7676" s="0" t="s">
        <v>961</v>
      </c>
      <c r="B7676" s="0" t="s">
        <v>86</v>
      </c>
      <c r="C7676" s="38" t="n">
        <f aca="false">IF(ai_leg=1,Sens!$C$7673,Sens!$C$7675)</f>
        <v>143.3703803388</v>
      </c>
    </row>
    <row r="7677" customFormat="false" ht="17.15" hidden="false" customHeight="false" outlineLevel="0" collapsed="false">
      <c r="A7677" s="5" t="s">
        <v>962</v>
      </c>
      <c r="B7677" s="0" t="s">
        <v>86</v>
      </c>
      <c r="C7677" s="38" t="n">
        <f aca="false">Sens!$C$7663+Sens!$C$7666+Sens!$C$7669+Sens!$C$7676</f>
        <v>2567.76351255034</v>
      </c>
    </row>
    <row r="7678" customFormat="false" ht="17.15" hidden="false" customHeight="false" outlineLevel="0" collapsed="false">
      <c r="A7678" s="5" t="s">
        <v>963</v>
      </c>
      <c r="B7678" s="0" t="s">
        <v>86</v>
      </c>
      <c r="C7678" s="38" t="n">
        <f aca="false">Sens!$H$7631+fin_debt</f>
        <v>143.411303169235</v>
      </c>
    </row>
    <row r="7679" customFormat="false" ht="15" hidden="false" customHeight="false" outlineLevel="0" collapsed="false">
      <c r="A7679" s="5" t="s">
        <v>964</v>
      </c>
      <c r="B7679" s="0" t="s">
        <v>86</v>
      </c>
      <c r="C7679" s="38" t="n">
        <f aca="false">Sens!$C$7677-Sens!$C$7678+Sens!$C$7656</f>
        <v>2603.29620938111</v>
      </c>
    </row>
    <row r="7680" customFormat="false" ht="15" hidden="false" customHeight="false" outlineLevel="0" collapsed="false">
      <c r="A7680" s="3" t="s">
        <v>965</v>
      </c>
      <c r="B7680" s="8" t="s">
        <v>27</v>
      </c>
      <c r="C7680" s="30" t="n">
        <f aca="false">Sens!$C$7679/sh_val</f>
        <v>236.012883167343</v>
      </c>
    </row>
    <row r="7681" customFormat="false" ht="17.15" hidden="false" customHeight="false" outlineLevel="0" collapsed="false">
      <c r="A7681" s="47" t="s">
        <v>966</v>
      </c>
      <c r="B7681" s="14" t="s">
        <v>27</v>
      </c>
      <c r="C7681" s="44" t="n">
        <f aca="false">w_dcf*Sens!$C$7659+(1-w_dcf)*Sens!$C$7680</f>
        <v>187.010927020172</v>
      </c>
      <c r="D7681" s="14"/>
      <c r="E7681" s="14"/>
      <c r="F7681" s="14"/>
      <c r="G7681" s="14"/>
      <c r="H7681" s="14"/>
      <c r="I7681" s="14"/>
      <c r="J7681" s="14"/>
      <c r="K7681" s="14"/>
      <c r="L7681" s="14"/>
      <c r="M7681" s="14"/>
      <c r="N7681" s="14"/>
      <c r="O7681" s="14"/>
    </row>
    <row r="7682" customFormat="false" ht="17.15" hidden="false" customHeight="false" outlineLevel="0" collapsed="false">
      <c r="A7682" s="5" t="s">
        <v>967</v>
      </c>
      <c r="B7682" s="0" t="s">
        <v>27</v>
      </c>
      <c r="C7682" s="30" t="n">
        <f aca="false">v022_wdcf*Sens!$C$7659+(1-v022_wdcf)*Sens!$C$7680</f>
        <v>191.911122634889</v>
      </c>
    </row>
    <row r="7683" customFormat="false" ht="17.15" hidden="false" customHeight="false" outlineLevel="0" collapsed="false">
      <c r="A7683" s="5" t="s">
        <v>968</v>
      </c>
      <c r="B7683" s="0" t="s">
        <v>27</v>
      </c>
      <c r="C7683" s="30" t="n">
        <f aca="false">(Sens!$C$7679-Sens!$C$7676+Sens!$C$7675)/sh_val</f>
        <v>263.632572362434</v>
      </c>
    </row>
    <row r="7686" customFormat="false" ht="19.4" hidden="false" customHeight="false" outlineLevel="0" collapsed="false">
      <c r="A7686" s="31" t="s">
        <v>1307</v>
      </c>
    </row>
    <row r="7687" customFormat="false" ht="17.15" hidden="false" customHeight="false" outlineLevel="0" collapsed="false">
      <c r="A7687" s="6" t="s">
        <v>16</v>
      </c>
      <c r="B7687" s="6" t="s">
        <v>17</v>
      </c>
      <c r="C7687" s="20" t="s">
        <v>504</v>
      </c>
      <c r="D7687" s="20" t="s">
        <v>505</v>
      </c>
      <c r="E7687" s="20" t="s">
        <v>587</v>
      </c>
      <c r="F7687" s="20" t="s">
        <v>588</v>
      </c>
      <c r="G7687" s="20" t="s">
        <v>589</v>
      </c>
      <c r="H7687" s="20" t="s">
        <v>590</v>
      </c>
      <c r="I7687" s="20" t="s">
        <v>591</v>
      </c>
      <c r="J7687" s="20" t="s">
        <v>592</v>
      </c>
      <c r="K7687" s="20" t="s">
        <v>593</v>
      </c>
      <c r="L7687" s="20" t="s">
        <v>594</v>
      </c>
      <c r="M7687" s="20" t="s">
        <v>595</v>
      </c>
      <c r="N7687" s="20" t="s">
        <v>596</v>
      </c>
      <c r="O7687" s="20" t="s">
        <v>597</v>
      </c>
      <c r="P7687" s="6" t="s">
        <v>23</v>
      </c>
      <c r="R7687" s="20" t="n">
        <v>2023</v>
      </c>
      <c r="S7687" s="20" t="n">
        <v>2024</v>
      </c>
      <c r="T7687" s="20" t="n">
        <v>2025</v>
      </c>
      <c r="U7687" s="20" t="n">
        <v>2026</v>
      </c>
      <c r="V7687" s="20" t="n">
        <v>2027</v>
      </c>
      <c r="W7687" s="20" t="n">
        <v>2028</v>
      </c>
      <c r="X7687" s="20" t="n">
        <v>2029</v>
      </c>
      <c r="Y7687" s="20" t="n">
        <v>2030</v>
      </c>
      <c r="Z7687" s="20" t="n">
        <v>2031</v>
      </c>
      <c r="AA7687" s="20" t="n">
        <v>2032</v>
      </c>
    </row>
    <row r="7688" customFormat="false" ht="17.15" hidden="false" customHeight="false" outlineLevel="0" collapsed="false">
      <c r="A7688" s="1" t="s">
        <v>677</v>
      </c>
    </row>
    <row r="7689" customFormat="false" ht="17.15" hidden="false" customHeight="false" outlineLevel="0" collapsed="false">
      <c r="A7689" s="0" t="s">
        <v>526</v>
      </c>
      <c r="B7689" s="0" t="s">
        <v>86</v>
      </c>
      <c r="C7689" s="38" t="n">
        <f aca="false">Q!$D$10</f>
        <v>247.029</v>
      </c>
      <c r="D7689" s="38" t="n">
        <f aca="false">Q!$E$10</f>
        <v>269.287</v>
      </c>
      <c r="E7689" s="38" t="n">
        <f aca="false">Q!$P$10</f>
        <v>134.686</v>
      </c>
      <c r="F7689" s="38" t="n">
        <f aca="false">Sens!$O$7689*(1+Sens!$F$7690)*Sens!$F$7701</f>
        <v>158.293876822267</v>
      </c>
      <c r="G7689" s="38" t="n">
        <f aca="false">Sens!$E$7689+Sens!$F$7689</f>
        <v>292.979876822267</v>
      </c>
      <c r="H7689" s="38" t="n">
        <f aca="false">Sens!$G$7689*(1+Sens!$H$7690)</f>
        <v>318.184543087396</v>
      </c>
      <c r="I7689" s="38" t="n">
        <f aca="false">Sens!$H$7689*(1+Sens!$I$7690)</f>
        <v>341.736278761793</v>
      </c>
      <c r="J7689" s="38" t="n">
        <f aca="false">Sens!$I$7689*(1+Sens!$J$7690)</f>
        <v>362.927192787048</v>
      </c>
      <c r="K7689" s="38" t="n">
        <f aca="false">Sens!$J$7689*(1+Sens!$K$7690)</f>
        <v>381.0735524264</v>
      </c>
      <c r="L7689" s="38" t="n">
        <f aca="false">Sens!$K$7689*(1+Sens!$L$7690)</f>
        <v>400.12723004772</v>
      </c>
      <c r="M7689" s="38" t="n">
        <f aca="false">Sens!$L$7689*(1+Sens!$M$7690)</f>
        <v>420.133591550106</v>
      </c>
      <c r="N7689" s="38" t="n">
        <f aca="false">Q!$N$10</f>
        <v>118.892</v>
      </c>
      <c r="O7689" s="38" t="n">
        <f aca="false">Q!$O$10</f>
        <v>150.395</v>
      </c>
      <c r="P7689" s="8" t="s">
        <v>678</v>
      </c>
    </row>
    <row r="7690" customFormat="false" ht="17.15" hidden="false" customHeight="false" outlineLevel="0" collapsed="false">
      <c r="A7690" s="0" t="s">
        <v>679</v>
      </c>
      <c r="B7690" s="0" t="s">
        <v>52</v>
      </c>
      <c r="E7690" s="13" t="n">
        <f aca="false">Sens!$E$7689/Sens!$N$7689-1</f>
        <v>0.132843252699929</v>
      </c>
      <c r="F7690" s="13" t="n">
        <f aca="false">Sens!$O$7689/(Q!$F$10+Q!$G$10)-1</f>
        <v>0.0980382135842941</v>
      </c>
      <c r="G7690" s="13" t="n">
        <f aca="false">Sens!$G$7689/Sens!$D$7689-1</f>
        <v>0.0879837378791657</v>
      </c>
      <c r="H7690" s="13" t="n">
        <f aca="false">Sens!$F$7690+(g_os-Sens!$F$7690)*1/4</f>
        <v>0.0860286601882206</v>
      </c>
      <c r="I7690" s="13" t="n">
        <f aca="false">Sens!$F$7690+(g_os-Sens!$F$7690)*2/4</f>
        <v>0.074019106792147</v>
      </c>
      <c r="J7690" s="13" t="n">
        <f aca="false">Sens!$F$7690+(g_os-Sens!$F$7690)*3/4</f>
        <v>0.0620095533960735</v>
      </c>
      <c r="K7690" s="13" t="n">
        <f aca="false">Sens!$F$7690+(g_os-Sens!$F$7690)*4/4</f>
        <v>0.05</v>
      </c>
      <c r="L7690" s="13" t="n">
        <f aca="false">g_os</f>
        <v>0.05</v>
      </c>
      <c r="M7690" s="13" t="n">
        <f aca="false">g_os</f>
        <v>0.05</v>
      </c>
      <c r="P7690" s="8" t="s">
        <v>680</v>
      </c>
    </row>
    <row r="7691" customFormat="false" ht="17.15" hidden="false" customHeight="false" outlineLevel="0" collapsed="false">
      <c r="A7691" s="0" t="s">
        <v>527</v>
      </c>
      <c r="B7691" s="0" t="s">
        <v>86</v>
      </c>
      <c r="C7691" s="38" t="n">
        <f aca="false">Q!$D$11</f>
        <v>21.215</v>
      </c>
      <c r="D7691" s="38" t="n">
        <f aca="false">Q!$E$11</f>
        <v>22.561</v>
      </c>
      <c r="E7691" s="38" t="n">
        <f aca="false">Q!$P$11</f>
        <v>11.579</v>
      </c>
      <c r="F7691" s="38" t="n">
        <f aca="false">Sens!$O$7691*(1+Sens!$F$7692)*Sens!$F$7701</f>
        <v>11.5938724610325</v>
      </c>
      <c r="G7691" s="38" t="n">
        <f aca="false">Sens!$E$7691+Sens!$F$7691</f>
        <v>23.1728724610325</v>
      </c>
      <c r="H7691" s="38" t="n">
        <f aca="false">Sens!$G$7691*(1+Sens!$H$7692)</f>
        <v>24.353392759506</v>
      </c>
      <c r="I7691" s="38" t="n">
        <f aca="false">Sens!$H$7691*(1+Sens!$I$7692)</f>
        <v>25.4240338872015</v>
      </c>
      <c r="J7691" s="38" t="n">
        <f aca="false">Sens!$I$7691*(1+Sens!$J$7692)</f>
        <v>26.3642491017174</v>
      </c>
      <c r="K7691" s="38" t="n">
        <f aca="false">Sens!$J$7691*(1+Sens!$K$7692)</f>
        <v>27.155176574769</v>
      </c>
      <c r="L7691" s="38" t="n">
        <f aca="false">Sens!$K$7691*(1+Sens!$L$7692)</f>
        <v>27.969831872012</v>
      </c>
      <c r="M7691" s="38" t="n">
        <f aca="false">Sens!$L$7691*(1+Sens!$M$7692)</f>
        <v>28.8089268281724</v>
      </c>
      <c r="N7691" s="38" t="n">
        <f aca="false">Q!$N$11</f>
        <v>11.128</v>
      </c>
      <c r="O7691" s="38" t="n">
        <f aca="false">Q!$O$11</f>
        <v>11.433</v>
      </c>
      <c r="P7691" s="8" t="s">
        <v>678</v>
      </c>
    </row>
    <row r="7692" customFormat="false" ht="17.15" hidden="false" customHeight="false" outlineLevel="0" collapsed="false">
      <c r="A7692" s="0" t="s">
        <v>681</v>
      </c>
      <c r="B7692" s="0" t="s">
        <v>52</v>
      </c>
      <c r="E7692" s="13" t="n">
        <f aca="false">Sens!$E$7691/Sens!$N$7691-1</f>
        <v>0.0405283968368082</v>
      </c>
      <c r="F7692" s="13" t="n">
        <f aca="false">Sens!$O$7691/(Q!$F$11+Q!$G$11)-1</f>
        <v>0.0579254187100955</v>
      </c>
      <c r="G7692" s="13" t="n">
        <f aca="false">Sens!$G$7691/Sens!$D$7691-1</f>
        <v>0.0271208040881397</v>
      </c>
      <c r="H7692" s="13" t="n">
        <f aca="false">Sens!$F$7692+(g_ps-Sens!$F$7692)*1/4</f>
        <v>0.0509440640325716</v>
      </c>
      <c r="I7692" s="13" t="n">
        <f aca="false">Sens!$F$7692+(g_ps-Sens!$F$7692)*2/4</f>
        <v>0.0439627093550477</v>
      </c>
      <c r="J7692" s="13" t="n">
        <f aca="false">Sens!$F$7692+(g_ps-Sens!$F$7692)*3/4</f>
        <v>0.0369813546775239</v>
      </c>
      <c r="K7692" s="13" t="n">
        <f aca="false">Sens!$F$7692+(g_ps-Sens!$F$7692)*4/4</f>
        <v>0.03</v>
      </c>
      <c r="L7692" s="13" t="n">
        <f aca="false">g_ps</f>
        <v>0.03</v>
      </c>
      <c r="M7692" s="13" t="n">
        <f aca="false">g_ps</f>
        <v>0.03</v>
      </c>
      <c r="P7692" s="8" t="s">
        <v>682</v>
      </c>
    </row>
    <row r="7693" customFormat="false" ht="17.15" hidden="false" customHeight="false" outlineLevel="0" collapsed="false">
      <c r="A7693" s="0" t="s">
        <v>528</v>
      </c>
      <c r="B7693" s="0" t="s">
        <v>86</v>
      </c>
      <c r="C7693" s="38" t="n">
        <f aca="false">Q!$D$12</f>
        <v>156.146</v>
      </c>
      <c r="D7693" s="38" t="n">
        <f aca="false">Q!$E$12</f>
        <v>172.162</v>
      </c>
      <c r="E7693" s="38" t="n">
        <f aca="false">Q!$P$12</f>
        <v>88.358</v>
      </c>
      <c r="F7693" s="38" t="n">
        <f aca="false">Sens!$O$7693*(1+Sens!$F$7694)*Sens!$F$7701</f>
        <v>102.004388260171</v>
      </c>
      <c r="G7693" s="38" t="n">
        <f aca="false">Sens!$E$7693+Sens!$F$7693</f>
        <v>190.362388260171</v>
      </c>
      <c r="H7693" s="38" t="n">
        <f aca="false">Sens!$G$7693*(1+Sens!$H$7694)</f>
        <v>210.343106588311</v>
      </c>
      <c r="I7693" s="38" t="n">
        <f aca="false">Sens!$H$7693*(1+Sens!$I$7694)</f>
        <v>229.969728494648</v>
      </c>
      <c r="J7693" s="38" t="n">
        <f aca="false">Sens!$I$7693*(1+Sens!$J$7694)</f>
        <v>248.747636972598</v>
      </c>
      <c r="K7693" s="38" t="n">
        <f aca="false">Sens!$J$7693*(1+Sens!$K$7694)</f>
        <v>266.15997156068</v>
      </c>
      <c r="L7693" s="38" t="n">
        <f aca="false">Sens!$K$7693*(1+Sens!$L$7694)</f>
        <v>284.791169569927</v>
      </c>
      <c r="M7693" s="38" t="n">
        <f aca="false">Sens!$L$7693*(1+Sens!$M$7694)</f>
        <v>304.726551439822</v>
      </c>
      <c r="N7693" s="38" t="n">
        <f aca="false">Q!$N$12</f>
        <v>76.86</v>
      </c>
      <c r="O7693" s="38" t="n">
        <f aca="false">Q!$O$12</f>
        <v>95.302</v>
      </c>
      <c r="P7693" s="8" t="s">
        <v>678</v>
      </c>
    </row>
    <row r="7694" customFormat="false" ht="17.15" hidden="false" customHeight="false" outlineLevel="0" collapsed="false">
      <c r="A7694" s="0" t="s">
        <v>683</v>
      </c>
      <c r="B7694" s="0" t="s">
        <v>52</v>
      </c>
      <c r="E7694" s="13" t="n">
        <f aca="false">Sens!$E$7693/Sens!$N$7693-1</f>
        <v>0.1495966692688</v>
      </c>
      <c r="F7694" s="13" t="n">
        <f aca="false">Sens!$O$7693/(Q!$F$12+Q!$G$12)-1</f>
        <v>0.11661530890813</v>
      </c>
      <c r="G7694" s="13" t="n">
        <f aca="false">Sens!$G$7693/Sens!$D$7693-1</f>
        <v>0.105716640490767</v>
      </c>
      <c r="H7694" s="13" t="n">
        <f aca="false">Sens!$F$7694+(g_sp-Sens!$F$7694)*1/4</f>
        <v>0.104961481681098</v>
      </c>
      <c r="I7694" s="13" t="n">
        <f aca="false">Sens!$F$7694+(g_sp-Sens!$F$7694)*2/4</f>
        <v>0.0933076544540651</v>
      </c>
      <c r="J7694" s="13" t="n">
        <f aca="false">Sens!$F$7694+(g_sp-Sens!$F$7694)*3/4</f>
        <v>0.0816538272270325</v>
      </c>
      <c r="K7694" s="13" t="n">
        <f aca="false">Sens!$F$7694+(g_sp-Sens!$F$7694)*4/4</f>
        <v>0.07</v>
      </c>
      <c r="L7694" s="13" t="n">
        <f aca="false">g_sp</f>
        <v>0.07</v>
      </c>
      <c r="M7694" s="13" t="n">
        <f aca="false">g_sp</f>
        <v>0.07</v>
      </c>
      <c r="P7694" s="8" t="s">
        <v>684</v>
      </c>
    </row>
    <row r="7695" customFormat="false" ht="17.15" hidden="false" customHeight="false" outlineLevel="0" collapsed="false">
      <c r="A7695" s="0" t="s">
        <v>529</v>
      </c>
      <c r="B7695" s="0" t="s">
        <v>86</v>
      </c>
      <c r="C7695" s="38" t="n">
        <f aca="false">Q!$D$13</f>
        <v>56.214</v>
      </c>
      <c r="D7695" s="38" t="n">
        <f aca="false">Q!$E$13</f>
        <v>68.635</v>
      </c>
      <c r="E7695" s="38" t="n">
        <f aca="false">Q!$P$13</f>
        <v>37.052</v>
      </c>
      <c r="F7695" s="38" t="n">
        <f aca="false">Sens!$O$7695*(1+Sens!$F$7696)*Sens!$F$7701</f>
        <v>46.1572219944148</v>
      </c>
      <c r="G7695" s="38" t="n">
        <f aca="false">Sens!$E$7695+Sens!$F$7695</f>
        <v>83.2092219944148</v>
      </c>
      <c r="H7695" s="38" t="n">
        <f aca="false">Sens!$G$7695*(1+Sens!$H$7696)</f>
        <v>99.8969223878976</v>
      </c>
      <c r="I7695" s="38" t="n">
        <f aca="false">Sens!$H$7695*(1+Sens!$I$7696)</f>
        <v>116.583111095496</v>
      </c>
      <c r="J7695" s="38" t="n">
        <f aca="false">Sens!$I$7695*(1+Sens!$J$7696)</f>
        <v>132.148941941952</v>
      </c>
      <c r="K7695" s="38" t="n">
        <f aca="false">Sens!$J$7695*(1+Sens!$K$7696)</f>
        <v>145.363836136147</v>
      </c>
      <c r="L7695" s="38" t="n">
        <f aca="false">Sens!$K$7695*(1+Sens!$L$7696)</f>
        <v>159.900219749762</v>
      </c>
      <c r="M7695" s="38" t="n">
        <f aca="false">Sens!$L$7695*(1+Sens!$M$7696)</f>
        <v>175.890241724738</v>
      </c>
      <c r="N7695" s="38" t="n">
        <f aca="false">Q!$N$13</f>
        <v>29.615</v>
      </c>
      <c r="O7695" s="38" t="n">
        <f aca="false">Q!$O$13</f>
        <v>39.02</v>
      </c>
      <c r="P7695" s="8" t="s">
        <v>678</v>
      </c>
    </row>
    <row r="7696" customFormat="false" ht="17.15" hidden="false" customHeight="false" outlineLevel="0" collapsed="false">
      <c r="A7696" s="0" t="s">
        <v>685</v>
      </c>
      <c r="B7696" s="0" t="s">
        <v>52</v>
      </c>
      <c r="E7696" s="13" t="n">
        <f aca="false">Sens!$E$7695/Sens!$N$7695-1</f>
        <v>0.25112274185379</v>
      </c>
      <c r="F7696" s="13" t="n">
        <f aca="false">Sens!$O$7695/(Q!$F$13+Q!$G$13)-1</f>
        <v>0.234068123596572</v>
      </c>
      <c r="G7696" s="13" t="n">
        <f aca="false">Sens!$G$7695/Sens!$D$7695-1</f>
        <v>0.212343876949294</v>
      </c>
      <c r="H7696" s="13" t="n">
        <f aca="false">Sens!$F$7696+(g_ad-Sens!$F$7696)*1/4</f>
        <v>0.200551092697429</v>
      </c>
      <c r="I7696" s="13" t="n">
        <f aca="false">Sens!$F$7696+(g_ad-Sens!$F$7696)*2/4</f>
        <v>0.167034061798286</v>
      </c>
      <c r="J7696" s="13" t="n">
        <f aca="false">Sens!$F$7696+(g_ad-Sens!$F$7696)*3/4</f>
        <v>0.133517030899143</v>
      </c>
      <c r="K7696" s="13" t="n">
        <f aca="false">Sens!$F$7696+(g_ad-Sens!$F$7696)*4/4</f>
        <v>0.1</v>
      </c>
      <c r="L7696" s="13" t="n">
        <f aca="false">g_ad</f>
        <v>0.1</v>
      </c>
      <c r="M7696" s="13" t="n">
        <f aca="false">g_ad</f>
        <v>0.1</v>
      </c>
      <c r="P7696" s="8" t="s">
        <v>686</v>
      </c>
    </row>
    <row r="7697" customFormat="false" ht="17.15" hidden="false" customHeight="false" outlineLevel="0" collapsed="false">
      <c r="A7697" s="0" t="s">
        <v>530</v>
      </c>
      <c r="B7697" s="0" t="s">
        <v>86</v>
      </c>
      <c r="C7697" s="38" t="n">
        <f aca="false">Q!$D$14</f>
        <v>44.374</v>
      </c>
      <c r="D7697" s="38" t="n">
        <f aca="false">Q!$E$14</f>
        <v>49.619</v>
      </c>
      <c r="E7697" s="38" t="n">
        <f aca="false">Q!$P$14</f>
        <v>27.157</v>
      </c>
      <c r="F7697" s="38" t="n">
        <f aca="false">Sens!$O$7697*(1+Sens!$F$7698)*Sens!$F$7701</f>
        <v>27.7764165988154</v>
      </c>
      <c r="G7697" s="38" t="n">
        <f aca="false">Sens!$E$7697+Sens!$F$7697</f>
        <v>54.9334165988154</v>
      </c>
      <c r="H7697" s="38" t="n">
        <f aca="false">Sens!$G$7697*(1+Sens!$H$7698)</f>
        <v>61.1564112561829</v>
      </c>
      <c r="I7697" s="38" t="n">
        <f aca="false">Sens!$H$7697*(1+Sens!$I$7698)</f>
        <v>67.2020282103945</v>
      </c>
      <c r="J7697" s="38" t="n">
        <f aca="false">Sens!$I$7697*(1+Sens!$J$7698)</f>
        <v>72.8757274028885</v>
      </c>
      <c r="K7697" s="38" t="n">
        <f aca="false">Sens!$J$7697*(1+Sens!$K$7698)</f>
        <v>77.9770283210907</v>
      </c>
      <c r="L7697" s="38" t="n">
        <f aca="false">Sens!$K$7697*(1+Sens!$L$7698)</f>
        <v>83.4354203035671</v>
      </c>
      <c r="M7697" s="38" t="n">
        <f aca="false">Sens!$L$7697*(1+Sens!$M$7698)</f>
        <v>89.2758997248168</v>
      </c>
      <c r="N7697" s="38" t="n">
        <f aca="false">Q!$N$14</f>
        <v>23.923</v>
      </c>
      <c r="O7697" s="38" t="n">
        <f aca="false">Q!$O$14</f>
        <v>25.696</v>
      </c>
      <c r="P7697" s="8" t="s">
        <v>678</v>
      </c>
    </row>
    <row r="7698" customFormat="false" ht="17.15" hidden="false" customHeight="false" outlineLevel="0" collapsed="false">
      <c r="A7698" s="0" t="s">
        <v>687</v>
      </c>
      <c r="B7698" s="0" t="s">
        <v>52</v>
      </c>
      <c r="E7698" s="13" t="n">
        <f aca="false">Sens!$E$7697/Sens!$N$7697-1</f>
        <v>0.135183714417088</v>
      </c>
      <c r="F7698" s="13" t="n">
        <f aca="false">Sens!$O$7697/(Q!$F$14+Q!$G$14)-1</f>
        <v>0.127709997366804</v>
      </c>
      <c r="G7698" s="13" t="n">
        <f aca="false">Sens!$G$7697/Sens!$D$7697-1</f>
        <v>0.107104468022641</v>
      </c>
      <c r="H7698" s="13" t="n">
        <f aca="false">Sens!$F$7698+(g_sub-Sens!$F$7698)*1/4</f>
        <v>0.113282498025103</v>
      </c>
      <c r="I7698" s="13" t="n">
        <f aca="false">Sens!$F$7698+(g_sub-Sens!$F$7698)*2/4</f>
        <v>0.0988549986834021</v>
      </c>
      <c r="J7698" s="13" t="n">
        <f aca="false">Sens!$F$7698+(g_sub-Sens!$F$7698)*3/4</f>
        <v>0.084427499341701</v>
      </c>
      <c r="K7698" s="13" t="n">
        <f aca="false">Sens!$F$7698+(g_sub-Sens!$F$7698)*4/4</f>
        <v>0.07</v>
      </c>
      <c r="L7698" s="13" t="n">
        <f aca="false">g_sub</f>
        <v>0.07</v>
      </c>
      <c r="M7698" s="13" t="n">
        <f aca="false">g_sub</f>
        <v>0.07</v>
      </c>
      <c r="P7698" s="8" t="s">
        <v>688</v>
      </c>
    </row>
    <row r="7699" customFormat="false" ht="17.15" hidden="false" customHeight="false" outlineLevel="0" collapsed="false">
      <c r="A7699" s="0" t="s">
        <v>531</v>
      </c>
      <c r="B7699" s="0" t="s">
        <v>86</v>
      </c>
      <c r="C7699" s="38" t="n">
        <f aca="false">Q!$D$15</f>
        <v>5.425</v>
      </c>
      <c r="D7699" s="38" t="n">
        <f aca="false">Q!$E$15</f>
        <v>5.935</v>
      </c>
      <c r="E7699" s="38" t="n">
        <f aca="false">Q!$P$15</f>
        <v>3.474</v>
      </c>
      <c r="F7699" s="38" t="n">
        <f aca="false">Sens!$O$7699*(1+Sens!$F$7700)*Sens!$F$7701</f>
        <v>3.22246550883619</v>
      </c>
      <c r="G7699" s="38" t="n">
        <f aca="false">Sens!$E$7699+Sens!$F$7699</f>
        <v>6.69646550883619</v>
      </c>
      <c r="H7699" s="38" t="n">
        <f aca="false">Sens!$G$7699*(1+Sens!$H$7700)</f>
        <v>7.16251344209196</v>
      </c>
      <c r="I7699" s="38" t="n">
        <f aca="false">Sens!$H$7699*(1+Sens!$I$7700)</f>
        <v>7.61421070299826</v>
      </c>
      <c r="J7699" s="38" t="n">
        <f aca="false">Sens!$I$7699*(1+Sens!$J$7700)</f>
        <v>8.04465753523932</v>
      </c>
      <c r="K7699" s="38" t="n">
        <f aca="false">Sens!$J$7699*(1+Sens!$K$7700)</f>
        <v>8.44689041200128</v>
      </c>
      <c r="L7699" s="38" t="n">
        <f aca="false">Sens!$K$7699*(1+Sens!$L$7700)</f>
        <v>8.86923493260135</v>
      </c>
      <c r="M7699" s="38" t="n">
        <f aca="false">Sens!$L$7699*(1+Sens!$M$7700)</f>
        <v>9.31269667923142</v>
      </c>
      <c r="N7699" s="38" t="n">
        <f aca="false">Q!$N$15</f>
        <v>2.811</v>
      </c>
      <c r="O7699" s="38" t="n">
        <f aca="false">Q!$O$15</f>
        <v>3.124</v>
      </c>
      <c r="P7699" s="8" t="s">
        <v>678</v>
      </c>
    </row>
    <row r="7700" customFormat="false" ht="17.15" hidden="false" customHeight="false" outlineLevel="0" collapsed="false">
      <c r="A7700" s="0" t="s">
        <v>689</v>
      </c>
      <c r="B7700" s="0" t="s">
        <v>52</v>
      </c>
      <c r="E7700" s="13" t="n">
        <f aca="false">Sens!$E$7699/Sens!$N$7699-1</f>
        <v>0.235859124866596</v>
      </c>
      <c r="F7700" s="13" t="n">
        <f aca="false">Sens!$O$7699/(Q!$F$15+Q!$G$15)-1</f>
        <v>0.0761281433000345</v>
      </c>
      <c r="G7700" s="13" t="n">
        <f aca="false">Sens!$G$7699/Sens!$D$7699-1</f>
        <v>0.128300843948811</v>
      </c>
      <c r="H7700" s="13" t="n">
        <f aca="false">Sens!$F$7700+(g_ot-Sens!$F$7700)*1/4</f>
        <v>0.0695961074750259</v>
      </c>
      <c r="I7700" s="13" t="n">
        <f aca="false">Sens!$F$7700+(g_ot-Sens!$F$7700)*2/4</f>
        <v>0.0630640716500172</v>
      </c>
      <c r="J7700" s="13" t="n">
        <f aca="false">Sens!$F$7700+(g_ot-Sens!$F$7700)*3/4</f>
        <v>0.0565320358250086</v>
      </c>
      <c r="K7700" s="13" t="n">
        <f aca="false">Sens!$F$7700+(g_ot-Sens!$F$7700)*4/4</f>
        <v>0.05</v>
      </c>
      <c r="L7700" s="13" t="n">
        <f aca="false">g_ot</f>
        <v>0.05</v>
      </c>
      <c r="M7700" s="13" t="n">
        <f aca="false">g_ot</f>
        <v>0.05</v>
      </c>
      <c r="P7700" s="8" t="s">
        <v>690</v>
      </c>
    </row>
    <row r="7701" customFormat="false" ht="17.15" hidden="false" customHeight="false" outlineLevel="0" collapsed="false">
      <c r="A7701" s="0" t="s">
        <v>691</v>
      </c>
      <c r="B7701" s="0" t="s">
        <v>57</v>
      </c>
      <c r="F7701" s="40" t="n">
        <f aca="false">(g26q3_mid*Q!$O$8/Q!$J$8-Thesis!$F$89-Thesis!$F$93)/(Sens!$O$7689*(1+Sens!$F$7690)+Sens!$O$7691*(1+Sens!$F$7692)+Sens!$O$7693*(1+Sens!$F$7694)+Sens!$O$7695*(1+Sens!$F$7696)+Sens!$O$7697*(1+Sens!$F$7698)+Sens!$O$7699*(1+Sens!$F$7700))</f>
        <v>0.958546670622329</v>
      </c>
      <c r="P7701" s="8" t="s">
        <v>692</v>
      </c>
    </row>
    <row r="7702" customFormat="false" ht="17.15" hidden="false" customHeight="false" outlineLevel="0" collapsed="false">
      <c r="A7702" s="3" t="s">
        <v>693</v>
      </c>
      <c r="B7702" s="8" t="s">
        <v>86</v>
      </c>
      <c r="C7702" s="38" t="n">
        <f aca="false">Sens!$C$7689+Sens!$C$7691+Sens!$C$7693+Sens!$C$7695+Sens!$C$7697+Sens!$C$7699</f>
        <v>530.403</v>
      </c>
      <c r="D7702" s="38" t="n">
        <f aca="false">Sens!$D$7689+Sens!$D$7691+Sens!$D$7693+Sens!$D$7695+Sens!$D$7697+Sens!$D$7699</f>
        <v>588.199</v>
      </c>
      <c r="E7702" s="38" t="n">
        <f aca="false">Sens!$E$7689+Sens!$E$7691+Sens!$E$7693+Sens!$E$7695+Sens!$E$7697+Sens!$E$7699</f>
        <v>302.306</v>
      </c>
      <c r="F7702" s="38" t="n">
        <f aca="false">Sens!$F$7689+Sens!$F$7691+Sens!$F$7693+Sens!$F$7695+Sens!$F$7697+Sens!$F$7699</f>
        <v>349.048241645537</v>
      </c>
      <c r="G7702" s="38" t="n">
        <f aca="false">Sens!$G$7689+Sens!$G$7691+Sens!$G$7693+Sens!$G$7695+Sens!$G$7697+Sens!$G$7699</f>
        <v>651.354241645537</v>
      </c>
      <c r="H7702" s="38" t="n">
        <f aca="false">Sens!$H$7689+Sens!$H$7691+Sens!$H$7693+Sens!$H$7695+Sens!$H$7697+Sens!$H$7699</f>
        <v>721.096889521386</v>
      </c>
      <c r="I7702" s="38" t="n">
        <f aca="false">Sens!$I$7689+Sens!$I$7691+Sens!$I$7693+Sens!$I$7695+Sens!$I$7697+Sens!$I$7699</f>
        <v>788.529391152531</v>
      </c>
      <c r="J7702" s="38" t="n">
        <f aca="false">Sens!$J$7689+Sens!$J$7691+Sens!$J$7693+Sens!$J$7695+Sens!$J$7697+Sens!$J$7699</f>
        <v>851.108405741443</v>
      </c>
      <c r="K7702" s="38" t="n">
        <f aca="false">Sens!$K$7689+Sens!$K$7691+Sens!$K$7693+Sens!$K$7695+Sens!$K$7697+Sens!$K$7699</f>
        <v>906.176455431088</v>
      </c>
      <c r="L7702" s="38" t="n">
        <f aca="false">Sens!$L$7689+Sens!$L$7691+Sens!$L$7693+Sens!$L$7695+Sens!$L$7697+Sens!$L$7699</f>
        <v>965.093106475589</v>
      </c>
      <c r="M7702" s="38" t="n">
        <f aca="false">Sens!$M$7689+Sens!$M$7691+Sens!$M$7693+Sens!$M$7695+Sens!$M$7697+Sens!$M$7699</f>
        <v>1028.14790794689</v>
      </c>
      <c r="N7702" s="38" t="n">
        <f aca="false">Sens!$N$7689+Sens!$N$7691+Sens!$N$7693+Sens!$N$7695+Sens!$N$7697+Sens!$N$7699</f>
        <v>263.229</v>
      </c>
      <c r="O7702" s="38" t="n">
        <f aca="false">Sens!$O$7689+Sens!$O$7691+Sens!$O$7693+Sens!$O$7695+Sens!$O$7697+Sens!$O$7699</f>
        <v>324.97</v>
      </c>
    </row>
    <row r="7703" customFormat="false" ht="17.15" hidden="false" customHeight="false" outlineLevel="0" collapsed="false">
      <c r="A7703" s="5" t="s">
        <v>694</v>
      </c>
      <c r="B7703" s="0" t="s">
        <v>52</v>
      </c>
      <c r="C7703" s="13" t="n">
        <f aca="false">Q!$D$5/(Q!$D$5+Q!$D$6)</f>
        <v>0.730570905519011</v>
      </c>
      <c r="D7703" s="13" t="n">
        <f aca="false">Q!$E$5/(Q!$E$5+Q!$E$6)</f>
        <v>0.724763217890544</v>
      </c>
      <c r="E7703" s="13" t="n">
        <f aca="false">Q!$P$5/(Q!$P$5+Q!$P$6)</f>
        <v>0.728797972914861</v>
      </c>
      <c r="F7703" s="13" t="n">
        <f aca="false">Sens!$O$7703</f>
        <v>0.718066283041511</v>
      </c>
      <c r="G7703" s="13" t="n">
        <f aca="false">Sens!$G$7704/Sens!$G$7702</f>
        <v>0.723047066202847</v>
      </c>
      <c r="H7703" s="13" t="n">
        <f aca="false">Sens!$G$7703</f>
        <v>0.723047066202847</v>
      </c>
      <c r="I7703" s="13" t="n">
        <f aca="false">Sens!$G$7703</f>
        <v>0.723047066202847</v>
      </c>
      <c r="J7703" s="13" t="n">
        <f aca="false">Sens!$G$7703</f>
        <v>0.723047066202847</v>
      </c>
      <c r="K7703" s="13" t="n">
        <f aca="false">Sens!$G$7703</f>
        <v>0.723047066202847</v>
      </c>
      <c r="L7703" s="13" t="n">
        <f aca="false">Sens!$G$7703</f>
        <v>0.723047066202847</v>
      </c>
      <c r="M7703" s="13" t="n">
        <f aca="false">Sens!$G$7703</f>
        <v>0.723047066202847</v>
      </c>
      <c r="N7703" s="13" t="n">
        <f aca="false">Q!$N$5/(Q!$N$5+Q!$N$6)</f>
        <v>0.733030935041352</v>
      </c>
      <c r="O7703" s="13" t="n">
        <f aca="false">Q!$O$5/(Q!$O$5+Q!$O$6)</f>
        <v>0.718066283041511</v>
      </c>
      <c r="P7703" s="8" t="s">
        <v>695</v>
      </c>
    </row>
    <row r="7704" customFormat="false" ht="17.15" hidden="false" customHeight="false" outlineLevel="0" collapsed="false">
      <c r="A7704" s="1" t="s">
        <v>519</v>
      </c>
      <c r="B7704" s="8" t="s">
        <v>86</v>
      </c>
      <c r="C7704" s="38" t="n">
        <f aca="false">Q!$D$5</f>
        <v>387.497</v>
      </c>
      <c r="D7704" s="38" t="n">
        <f aca="false">Q!$E$5</f>
        <v>426.305</v>
      </c>
      <c r="E7704" s="38" t="n">
        <f aca="false">Q!$P$5</f>
        <v>220.32</v>
      </c>
      <c r="F7704" s="38" t="n">
        <f aca="false">Sens!$F$7702*Sens!$F$7703</f>
        <v>250.639773480586</v>
      </c>
      <c r="G7704" s="38" t="n">
        <f aca="false">Sens!$E$7704+Sens!$F$7704</f>
        <v>470.959773480586</v>
      </c>
      <c r="H7704" s="38" t="n">
        <f aca="false">Sens!$H$7702*Sens!$H$7703</f>
        <v>521.386990416437</v>
      </c>
      <c r="I7704" s="38" t="n">
        <f aca="false">Sens!$I$7702*Sens!$I$7703</f>
        <v>570.143862887555</v>
      </c>
      <c r="J7704" s="38" t="n">
        <f aca="false">Sens!$J$7702*Sens!$J$7703</f>
        <v>615.391435791933</v>
      </c>
      <c r="K7704" s="38" t="n">
        <f aca="false">Sens!$K$7702*Sens!$K$7703</f>
        <v>655.208227561543</v>
      </c>
      <c r="L7704" s="38" t="n">
        <f aca="false">Sens!$L$7702*Sens!$L$7703</f>
        <v>697.807739249767</v>
      </c>
      <c r="M7704" s="38" t="n">
        <f aca="false">Sens!$M$7702*Sens!$M$7703</f>
        <v>743.399328463592</v>
      </c>
      <c r="N7704" s="38" t="n">
        <f aca="false">Q!$N$5</f>
        <v>192.955</v>
      </c>
      <c r="O7704" s="38" t="n">
        <f aca="false">Q!$O$5</f>
        <v>233.35</v>
      </c>
      <c r="P7704" s="5" t="s">
        <v>696</v>
      </c>
    </row>
    <row r="7705" customFormat="false" ht="17.15" hidden="false" customHeight="false" outlineLevel="0" collapsed="false">
      <c r="A7705" s="1" t="s">
        <v>522</v>
      </c>
      <c r="B7705" s="8" t="s">
        <v>86</v>
      </c>
      <c r="C7705" s="38" t="n">
        <f aca="false">Q!$D$6</f>
        <v>142.906</v>
      </c>
      <c r="D7705" s="38" t="n">
        <f aca="false">Q!$E$6</f>
        <v>161.894</v>
      </c>
      <c r="E7705" s="38" t="n">
        <f aca="false">Q!$P$6</f>
        <v>81.986</v>
      </c>
      <c r="F7705" s="38" t="n">
        <f aca="false">Sens!$F$7702*(1-Sens!$F$7703)</f>
        <v>98.408468164951</v>
      </c>
      <c r="G7705" s="38" t="n">
        <f aca="false">Sens!$E$7705+Sens!$F$7705</f>
        <v>180.394468164951</v>
      </c>
      <c r="H7705" s="38" t="n">
        <f aca="false">Sens!$H$7702*(1-Sens!$H$7703)</f>
        <v>199.709899104949</v>
      </c>
      <c r="I7705" s="38" t="n">
        <f aca="false">Sens!$I$7702*(1-Sens!$I$7703)</f>
        <v>218.385528264976</v>
      </c>
      <c r="J7705" s="38" t="n">
        <f aca="false">Sens!$J$7702*(1-Sens!$J$7703)</f>
        <v>235.71696994951</v>
      </c>
      <c r="K7705" s="38" t="n">
        <f aca="false">Sens!$K$7702*(1-Sens!$K$7703)</f>
        <v>250.968227869545</v>
      </c>
      <c r="L7705" s="38" t="n">
        <f aca="false">Sens!$L$7702*(1-Sens!$L$7703)</f>
        <v>267.285367225822</v>
      </c>
      <c r="M7705" s="38" t="n">
        <f aca="false">Sens!$M$7702*(1-Sens!$M$7703)</f>
        <v>284.748579483295</v>
      </c>
      <c r="N7705" s="38" t="n">
        <f aca="false">Q!$N$6</f>
        <v>70.274</v>
      </c>
      <c r="O7705" s="38" t="n">
        <f aca="false">Q!$O$6</f>
        <v>91.62</v>
      </c>
      <c r="P7705" s="5" t="s">
        <v>697</v>
      </c>
    </row>
    <row r="7706" customFormat="false" ht="17.15" hidden="false" customHeight="false" outlineLevel="0" collapsed="false">
      <c r="A7706" s="5" t="s">
        <v>698</v>
      </c>
      <c r="B7706" s="0" t="s">
        <v>86</v>
      </c>
      <c r="C7706" s="38" t="n">
        <f aca="false">Sens!$C$7695*Sens!$C$7703</f>
        <v>41.0683128828457</v>
      </c>
      <c r="D7706" s="38" t="n">
        <f aca="false">Sens!$D$7695*Sens!$D$7703</f>
        <v>49.7441234599175</v>
      </c>
      <c r="E7706" s="38" t="n">
        <f aca="false">Sens!$E$7695*Sens!$E$7703</f>
        <v>27.0034224924414</v>
      </c>
      <c r="F7706" s="38" t="n">
        <f aca="false">Sens!$F$7695*Sens!$F$7703</f>
        <v>33.1439448330513</v>
      </c>
      <c r="G7706" s="38" t="n">
        <f aca="false">Sens!$G$7695*Sens!$G$7703</f>
        <v>60.164183844083</v>
      </c>
      <c r="H7706" s="38" t="n">
        <f aca="false">Sens!$H$7695*Sens!$H$7703</f>
        <v>72.2301766552629</v>
      </c>
      <c r="I7706" s="38" t="n">
        <f aca="false">Sens!$I$7695*Sens!$I$7703</f>
        <v>84.2950764463991</v>
      </c>
      <c r="J7706" s="38" t="n">
        <f aca="false">Sens!$J$7695*Sens!$J$7703</f>
        <v>95.5499047729386</v>
      </c>
      <c r="K7706" s="38" t="n">
        <f aca="false">Sens!$K$7695*Sens!$K$7703</f>
        <v>105.104895250232</v>
      </c>
      <c r="L7706" s="38" t="n">
        <f aca="false">Sens!$L$7695*Sens!$L$7703</f>
        <v>115.615384775256</v>
      </c>
      <c r="M7706" s="38" t="n">
        <f aca="false">Sens!$M$7695*Sens!$M$7703</f>
        <v>127.176923252781</v>
      </c>
      <c r="N7706" s="38" t="n">
        <f aca="false">Sens!$N$7695*Sens!$N$7703</f>
        <v>21.7087111412496</v>
      </c>
      <c r="O7706" s="38" t="n">
        <f aca="false">Sens!$O$7695*Sens!$O$7703</f>
        <v>28.0189463642798</v>
      </c>
      <c r="P7706" s="5" t="s">
        <v>699</v>
      </c>
    </row>
    <row r="7707" customFormat="false" ht="15" hidden="false" customHeight="false" outlineLevel="0" collapsed="false">
      <c r="A7707" s="5" t="s">
        <v>700</v>
      </c>
      <c r="B7707" s="0" t="s">
        <v>86</v>
      </c>
      <c r="C7707" s="38" t="n">
        <f aca="false">Sens!$C$7695-Sens!$C$7706</f>
        <v>15.1456871171543</v>
      </c>
      <c r="D7707" s="38" t="n">
        <f aca="false">Sens!$D$7695-Sens!$D$7706</f>
        <v>18.8908765400825</v>
      </c>
      <c r="E7707" s="38" t="n">
        <f aca="false">Sens!$E$7695-Sens!$E$7706</f>
        <v>10.0485775075586</v>
      </c>
      <c r="F7707" s="38" t="n">
        <f aca="false">Sens!$F$7695-Sens!$F$7706</f>
        <v>13.0132771613635</v>
      </c>
      <c r="G7707" s="38" t="n">
        <f aca="false">Sens!$G$7695-Sens!$G$7706</f>
        <v>23.0450381503318</v>
      </c>
      <c r="H7707" s="38" t="n">
        <f aca="false">Sens!$H$7695-Sens!$H$7706</f>
        <v>27.6667457326347</v>
      </c>
      <c r="I7707" s="38" t="n">
        <f aca="false">Sens!$I$7695-Sens!$I$7706</f>
        <v>32.2880346490971</v>
      </c>
      <c r="J7707" s="38" t="n">
        <f aca="false">Sens!$J$7695-Sens!$J$7706</f>
        <v>36.5990371690132</v>
      </c>
      <c r="K7707" s="38" t="n">
        <f aca="false">Sens!$K$7695-Sens!$K$7706</f>
        <v>40.2589408859145</v>
      </c>
      <c r="L7707" s="38" t="n">
        <f aca="false">Sens!$L$7695-Sens!$L$7706</f>
        <v>44.2848349745059</v>
      </c>
      <c r="M7707" s="38" t="n">
        <f aca="false">Sens!$M$7695-Sens!$M$7706</f>
        <v>48.7133184719565</v>
      </c>
      <c r="N7707" s="38" t="n">
        <f aca="false">Sens!$N$7695-Sens!$N$7706</f>
        <v>7.90628885875037</v>
      </c>
      <c r="O7707" s="38" t="n">
        <f aca="false">Sens!$O$7695-Sens!$O$7706</f>
        <v>11.0010536357202</v>
      </c>
    </row>
    <row r="7708" customFormat="false" ht="19.4" hidden="false" customHeight="false" outlineLevel="0" collapsed="false">
      <c r="A7708" s="31" t="s">
        <v>1308</v>
      </c>
    </row>
    <row r="7709" customFormat="false" ht="17.15" hidden="false" customHeight="false" outlineLevel="0" collapsed="false">
      <c r="A7709" s="6" t="s">
        <v>16</v>
      </c>
      <c r="B7709" s="6" t="s">
        <v>17</v>
      </c>
      <c r="C7709" s="20" t="s">
        <v>504</v>
      </c>
      <c r="D7709" s="20" t="s">
        <v>505</v>
      </c>
      <c r="E7709" s="20" t="s">
        <v>587</v>
      </c>
      <c r="F7709" s="20" t="s">
        <v>588</v>
      </c>
      <c r="G7709" s="20" t="s">
        <v>589</v>
      </c>
      <c r="H7709" s="20" t="s">
        <v>590</v>
      </c>
      <c r="I7709" s="20" t="s">
        <v>591</v>
      </c>
      <c r="J7709" s="20" t="s">
        <v>592</v>
      </c>
      <c r="K7709" s="20" t="s">
        <v>593</v>
      </c>
      <c r="L7709" s="20" t="s">
        <v>594</v>
      </c>
      <c r="M7709" s="20" t="s">
        <v>595</v>
      </c>
      <c r="N7709" s="20" t="s">
        <v>596</v>
      </c>
      <c r="O7709" s="20" t="s">
        <v>597</v>
      </c>
      <c r="P7709" s="6" t="s">
        <v>23</v>
      </c>
      <c r="R7709" s="20" t="n">
        <v>2023</v>
      </c>
      <c r="S7709" s="20" t="n">
        <v>2024</v>
      </c>
      <c r="T7709" s="20" t="n">
        <v>2025</v>
      </c>
      <c r="U7709" s="20" t="n">
        <v>2026</v>
      </c>
      <c r="V7709" s="20" t="n">
        <v>2027</v>
      </c>
      <c r="W7709" s="20" t="n">
        <v>2028</v>
      </c>
      <c r="X7709" s="20" t="n">
        <v>2029</v>
      </c>
      <c r="Y7709" s="20" t="n">
        <v>2030</v>
      </c>
      <c r="Z7709" s="20" t="n">
        <v>2031</v>
      </c>
      <c r="AA7709" s="20" t="n">
        <v>2032</v>
      </c>
    </row>
    <row r="7710" customFormat="false" ht="17.15" hidden="false" customHeight="false" outlineLevel="0" collapsed="false">
      <c r="A7710" s="1" t="s">
        <v>598</v>
      </c>
    </row>
    <row r="7711" customFormat="false" ht="17.15" hidden="false" customHeight="false" outlineLevel="0" collapsed="false">
      <c r="A7711" s="5" t="s">
        <v>599</v>
      </c>
      <c r="B7711" s="0" t="s">
        <v>144</v>
      </c>
      <c r="H7711" s="32" t="n">
        <f aca="false">pace_B</f>
        <v>3634.3</v>
      </c>
      <c r="I7711" s="32" t="n">
        <f aca="false">pace_B</f>
        <v>3634.3</v>
      </c>
      <c r="J7711" s="32" t="n">
        <f aca="false">pace_B</f>
        <v>3634.3</v>
      </c>
      <c r="K7711" s="32" t="n">
        <f aca="false">pace_B+(Sens!$J$7712*tg-pace_B)*1/3</f>
        <v>2570.86716666667</v>
      </c>
      <c r="L7711" s="32" t="n">
        <f aca="false">pace_B+(Sens!$J$7712*tg-pace_B)*2/3</f>
        <v>1507.43433333333</v>
      </c>
      <c r="M7711" s="32" t="n">
        <f aca="false">pace_B+(Sens!$J$7712*tg-pace_B)*3/3</f>
        <v>444.0015</v>
      </c>
      <c r="P7711" s="5" t="s">
        <v>600</v>
      </c>
    </row>
    <row r="7712" customFormat="false" ht="17.15" hidden="false" customHeight="false" outlineLevel="0" collapsed="false">
      <c r="A7712" s="15" t="s">
        <v>601</v>
      </c>
      <c r="B7712" s="14" t="s">
        <v>129</v>
      </c>
      <c r="C7712" s="33" t="n">
        <f aca="false">mw_ye24</f>
        <v>360</v>
      </c>
      <c r="D7712" s="33" t="n">
        <f aca="false">mw_ye25</f>
        <v>1440</v>
      </c>
      <c r="E7712" s="33" t="n">
        <f aca="false">mw_open</f>
        <v>2080</v>
      </c>
      <c r="F7712" s="33" t="n">
        <f aca="false">Sens!$E$7712+pace_B*0.5</f>
        <v>3897.15</v>
      </c>
      <c r="G7712" s="33" t="n">
        <f aca="false">Sens!$F$7712</f>
        <v>3897.15</v>
      </c>
      <c r="H7712" s="33" t="n">
        <f aca="false">Sens!$G$7712+Sens!$H$7711</f>
        <v>7531.45</v>
      </c>
      <c r="I7712" s="33" t="n">
        <f aca="false">Sens!$H$7712+Sens!$I$7711</f>
        <v>11165.75</v>
      </c>
      <c r="J7712" s="33" t="n">
        <f aca="false">Sens!$I$7712+Sens!$J$7711</f>
        <v>14800.05</v>
      </c>
      <c r="K7712" s="33" t="n">
        <f aca="false">Sens!$J$7712+Sens!$K$7711</f>
        <v>17370.9171666667</v>
      </c>
      <c r="L7712" s="33" t="n">
        <f aca="false">Sens!$K$7712+Sens!$L$7711</f>
        <v>18878.3515</v>
      </c>
      <c r="M7712" s="33" t="n">
        <f aca="false">Sens!$L$7712+Sens!$M$7711</f>
        <v>19322.353</v>
      </c>
      <c r="N7712" s="33" t="n">
        <f aca="false">(mw_ye24+mw_ye25)/2</f>
        <v>900</v>
      </c>
      <c r="O7712" s="33" t="n">
        <f aca="false">mw_ye25</f>
        <v>1440</v>
      </c>
      <c r="P7712" s="5" t="s">
        <v>602</v>
      </c>
    </row>
    <row r="7713" customFormat="false" ht="17.15" hidden="false" customHeight="false" outlineLevel="0" collapsed="false">
      <c r="A7713" s="5" t="s">
        <v>603</v>
      </c>
      <c r="B7713" s="0" t="s">
        <v>129</v>
      </c>
      <c r="C7713" s="32" t="n">
        <f aca="false">(mw_ye23+mw_ye24)/2</f>
        <v>240</v>
      </c>
      <c r="D7713" s="32" t="n">
        <f aca="false">(Sens!$C$7712+Sens!$D$7712)/2</f>
        <v>900</v>
      </c>
      <c r="E7713" s="32" t="n">
        <f aca="false">(Sens!$D$7712+Sens!$E$7712)/2</f>
        <v>1760</v>
      </c>
      <c r="F7713" s="32" t="n">
        <f aca="false">(Sens!$E$7712+Sens!$F$7712)/2</f>
        <v>2988.575</v>
      </c>
      <c r="G7713" s="32" t="n">
        <f aca="false">(Sens!$E$7713+Sens!$F$7713)/2</f>
        <v>2374.2875</v>
      </c>
      <c r="H7713" s="32" t="n">
        <f aca="false">(Sens!$G$7712+Sens!$H$7712)/2</f>
        <v>5714.3</v>
      </c>
      <c r="I7713" s="32" t="n">
        <f aca="false">(Sens!$H$7712+Sens!$I$7712)/2</f>
        <v>9348.6</v>
      </c>
      <c r="J7713" s="32" t="n">
        <f aca="false">(Sens!$I$7712+Sens!$J$7712)/2</f>
        <v>12982.9</v>
      </c>
      <c r="K7713" s="32" t="n">
        <f aca="false">(Sens!$J$7712+Sens!$K$7712)/2</f>
        <v>16085.4835833333</v>
      </c>
      <c r="L7713" s="32" t="n">
        <f aca="false">(Sens!$K$7712+Sens!$L$7712)/2</f>
        <v>18124.6343333333</v>
      </c>
      <c r="M7713" s="32" t="n">
        <f aca="false">(Sens!$L$7712+Sens!$M$7712)/2</f>
        <v>19100.35225</v>
      </c>
      <c r="N7713" s="32" t="n">
        <f aca="false">(Sens!$C$7712+Sens!$N$7712)/2</f>
        <v>630</v>
      </c>
      <c r="O7713" s="32" t="n">
        <f aca="false">(Sens!$N$7712+Sens!$O$7712)/2</f>
        <v>1170</v>
      </c>
    </row>
    <row r="7714" customFormat="false" ht="15" hidden="false" customHeight="false" outlineLevel="0" collapsed="false">
      <c r="A7714" s="5" t="s">
        <v>604</v>
      </c>
      <c r="B7714" s="5" t="s">
        <v>123</v>
      </c>
      <c r="C7714" s="34" t="n">
        <v>1</v>
      </c>
      <c r="D7714" s="34" t="n">
        <v>1</v>
      </c>
      <c r="E7714" s="34" t="n">
        <v>0.5</v>
      </c>
      <c r="F7714" s="34" t="n">
        <v>0.5</v>
      </c>
      <c r="G7714" s="34" t="n">
        <v>1</v>
      </c>
      <c r="H7714" s="34" t="n">
        <v>1</v>
      </c>
      <c r="I7714" s="34" t="n">
        <v>1</v>
      </c>
      <c r="J7714" s="34" t="n">
        <v>1</v>
      </c>
      <c r="K7714" s="34" t="n">
        <v>1</v>
      </c>
      <c r="L7714" s="34" t="n">
        <v>1</v>
      </c>
      <c r="M7714" s="34" t="n">
        <v>1</v>
      </c>
      <c r="N7714" s="34" t="n">
        <v>0.5</v>
      </c>
      <c r="O7714" s="34" t="n">
        <v>0.5</v>
      </c>
    </row>
    <row r="7715" customFormat="false" ht="17.15" hidden="false" customHeight="false" outlineLevel="0" collapsed="false">
      <c r="A7715" s="5" t="s">
        <v>605</v>
      </c>
      <c r="B7715" s="0" t="s">
        <v>129</v>
      </c>
      <c r="C7715" s="32" t="n">
        <f aca="false">Sens!$C$7712-mw_ye23</f>
        <v>240</v>
      </c>
      <c r="D7715" s="32" t="n">
        <f aca="false">Sens!$D$7712-Sens!$C$7712</f>
        <v>1080</v>
      </c>
      <c r="E7715" s="32" t="n">
        <f aca="false">Sens!$E$7712-Sens!$D$7712</f>
        <v>640</v>
      </c>
      <c r="F7715" s="32" t="n">
        <f aca="false">Sens!$F$7712-Sens!$E$7712</f>
        <v>1817.15</v>
      </c>
      <c r="G7715" s="32" t="n">
        <f aca="false">Sens!$E$7715+Sens!$F$7715</f>
        <v>2457.15</v>
      </c>
      <c r="H7715" s="32" t="n">
        <f aca="false">Sens!$H$7712-Sens!$G$7712</f>
        <v>3634.3</v>
      </c>
      <c r="I7715" s="32" t="n">
        <f aca="false">Sens!$I$7712-Sens!$H$7712</f>
        <v>3634.3</v>
      </c>
      <c r="J7715" s="32" t="n">
        <f aca="false">Sens!$J$7712-Sens!$I$7712</f>
        <v>3634.3</v>
      </c>
      <c r="K7715" s="32" t="n">
        <f aca="false">Sens!$K$7712-Sens!$J$7712</f>
        <v>2570.86716666667</v>
      </c>
      <c r="L7715" s="32" t="n">
        <f aca="false">Sens!$L$7712-Sens!$K$7712</f>
        <v>1507.43433333333</v>
      </c>
      <c r="M7715" s="32" t="n">
        <f aca="false">Sens!$M$7712-Sens!$L$7712</f>
        <v>444.001499999999</v>
      </c>
      <c r="N7715" s="32" t="n">
        <f aca="false">Sens!$N$7712-Sens!$C$7712</f>
        <v>540</v>
      </c>
      <c r="O7715" s="32" t="n">
        <f aca="false">Sens!$O$7712-Sens!$N$7712</f>
        <v>540</v>
      </c>
    </row>
    <row r="7716" customFormat="false" ht="17.15" hidden="false" customHeight="false" outlineLevel="0" collapsed="false">
      <c r="A7716" s="5" t="s">
        <v>606</v>
      </c>
      <c r="B7716" s="0" t="s">
        <v>129</v>
      </c>
      <c r="C7716" s="32" t="n">
        <f aca="false">Sens!$C$7715/ext_sh</f>
        <v>300</v>
      </c>
      <c r="D7716" s="32" t="n">
        <f aca="false">Sens!$D$7715/ext_sh</f>
        <v>1350</v>
      </c>
      <c r="E7716" s="32" t="n">
        <f aca="false">Sens!$E$7715/ext_sh</f>
        <v>800</v>
      </c>
      <c r="F7716" s="32" t="n">
        <f aca="false">Sens!$F$7715/ext_sh</f>
        <v>2271.4375</v>
      </c>
      <c r="G7716" s="32" t="n">
        <f aca="false">Sens!$G$7715/ext_sh</f>
        <v>3071.4375</v>
      </c>
      <c r="H7716" s="32" t="n">
        <f aca="false">Sens!$H$7715/ext_sh</f>
        <v>4542.875</v>
      </c>
      <c r="I7716" s="32" t="n">
        <f aca="false">Sens!$I$7715/ext_sh</f>
        <v>4542.875</v>
      </c>
      <c r="J7716" s="32" t="n">
        <f aca="false">Sens!$J$7715/ext_sh</f>
        <v>4542.875</v>
      </c>
      <c r="K7716" s="32" t="n">
        <f aca="false">Sens!$K$7715/ext_sh</f>
        <v>3213.58395833333</v>
      </c>
      <c r="L7716" s="32" t="n">
        <f aca="false">Sens!$L$7715/ext_sh</f>
        <v>1884.29291666667</v>
      </c>
      <c r="M7716" s="32" t="n">
        <f aca="false">Sens!$M$7715/ext_sh</f>
        <v>555.001874999998</v>
      </c>
      <c r="N7716" s="32" t="n">
        <f aca="false">Sens!$N$7715/ext_sh</f>
        <v>675</v>
      </c>
      <c r="O7716" s="32" t="n">
        <f aca="false">Sens!$O$7715/ext_sh</f>
        <v>675</v>
      </c>
      <c r="P7716" s="8" t="s">
        <v>607</v>
      </c>
      <c r="R7716" s="32" t="n">
        <f aca="false">mw_ye23/ext_sh</f>
        <v>150</v>
      </c>
      <c r="S7716" s="32" t="n">
        <f aca="false">Sens!$C$7716</f>
        <v>300</v>
      </c>
      <c r="T7716" s="32" t="n">
        <f aca="false">Sens!$D$7716</f>
        <v>1350</v>
      </c>
      <c r="U7716" s="32" t="n">
        <f aca="false">Sens!$G$7716</f>
        <v>3071.4375</v>
      </c>
      <c r="V7716" s="32" t="n">
        <f aca="false">Sens!$H$7716</f>
        <v>4542.875</v>
      </c>
      <c r="W7716" s="32" t="n">
        <f aca="false">Sens!$I$7716</f>
        <v>4542.875</v>
      </c>
      <c r="X7716" s="32" t="n">
        <f aca="false">Sens!$J$7716</f>
        <v>4542.875</v>
      </c>
      <c r="Y7716" s="32" t="n">
        <f aca="false">Sens!$K$7716</f>
        <v>3213.58395833333</v>
      </c>
      <c r="Z7716" s="32" t="n">
        <f aca="false">Sens!$L$7716</f>
        <v>1884.29291666667</v>
      </c>
      <c r="AA7716" s="32" t="n">
        <f aca="false">Sens!$M$7716</f>
        <v>555.001874999998</v>
      </c>
    </row>
    <row r="7717" customFormat="false" ht="17.15" hidden="false" customHeight="false" outlineLevel="0" collapsed="false">
      <c r="A7717" s="1" t="s">
        <v>608</v>
      </c>
    </row>
    <row r="7718" customFormat="false" ht="17.15" hidden="false" customHeight="false" outlineLevel="0" collapsed="false">
      <c r="A7718" s="0" t="s">
        <v>609</v>
      </c>
      <c r="B7718" s="0" t="s">
        <v>52</v>
      </c>
      <c r="F7718" s="35" t="n">
        <f aca="false">na_vr26</f>
        <v>0</v>
      </c>
      <c r="G7718" s="35" t="n">
        <f aca="false">na_vr26</f>
        <v>0</v>
      </c>
      <c r="H7718" s="35" t="n">
        <f aca="false">na_vr27</f>
        <v>0.5</v>
      </c>
      <c r="I7718" s="35" t="n">
        <f aca="false">na_vr28</f>
        <v>1</v>
      </c>
      <c r="J7718" s="35" t="n">
        <f aca="false">na_vr28</f>
        <v>1</v>
      </c>
      <c r="K7718" s="35" t="n">
        <f aca="false">na_vr28</f>
        <v>1</v>
      </c>
      <c r="L7718" s="35" t="n">
        <f aca="false">na_vr28</f>
        <v>1</v>
      </c>
      <c r="M7718" s="35" t="n">
        <f aca="false">na_vr28</f>
        <v>1</v>
      </c>
    </row>
    <row r="7719" customFormat="false" ht="17.15" hidden="false" customHeight="false" outlineLevel="0" collapsed="false">
      <c r="A7719" s="5" t="s">
        <v>610</v>
      </c>
      <c r="B7719" s="0" t="s">
        <v>173</v>
      </c>
      <c r="F7719" s="36" t="n">
        <f aca="false">cust_sh*tk_he_gb300*cf_chip+(1-cust_sh)*((1-Sens!$F$7718)*tk_he_gb300+Sens!$F$7718*tk_he_vr200)</f>
        <v>10.8864110021101</v>
      </c>
      <c r="G7719" s="36" t="n">
        <f aca="false">cust_sh*tk_he_gb300*cf_chip+(1-cust_sh)*((1-Sens!$G$7718)*tk_he_gb300+Sens!$G$7718*tk_he_vr200)</f>
        <v>10.8864110021101</v>
      </c>
      <c r="H7719" s="36" t="n">
        <f aca="false">cust_sh*tk_he_gb300*cf_chip+(1-cust_sh)*((1-Sens!$H$7718)*tk_he_gb300+Sens!$H$7718*tk_he_vr200)</f>
        <v>11.2211760027286</v>
      </c>
      <c r="I7719" s="36" t="n">
        <f aca="false">cust_sh*tk_he_gb300*cf_chip+(1-cust_sh)*((1-Sens!$I$7718)*tk_he_gb300+Sens!$I$7718*tk_he_vr200)</f>
        <v>11.5559410033471</v>
      </c>
      <c r="J7719" s="36" t="n">
        <f aca="false">cust_sh*tk_he_gb300*cf_chip+(1-cust_sh)*((1-Sens!$J$7718)*tk_he_gb300+Sens!$J$7718*tk_he_vr200)</f>
        <v>11.5559410033471</v>
      </c>
      <c r="K7719" s="36" t="n">
        <f aca="false">cust_sh*tk_he_gb300*cf_chip+(1-cust_sh)*((1-Sens!$K$7718)*tk_he_gb300+Sens!$K$7718*tk_he_vr200)</f>
        <v>11.5559410033471</v>
      </c>
      <c r="L7719" s="36" t="n">
        <f aca="false">cust_sh*tk_he_gb300*cf_chip+(1-cust_sh)*((1-Sens!$L$7718)*tk_he_gb300+Sens!$L$7718*tk_he_vr200)</f>
        <v>11.5559410033471</v>
      </c>
      <c r="M7719" s="36" t="n">
        <f aca="false">cust_sh*tk_he_gb300*cf_chip+(1-cust_sh)*((1-Sens!$M$7718)*tk_he_gb300+Sens!$M$7718*tk_he_vr200)</f>
        <v>11.5559410033471</v>
      </c>
    </row>
    <row r="7720" customFormat="false" ht="17.15" hidden="false" customHeight="false" outlineLevel="0" collapsed="false">
      <c r="A7720" s="5" t="s">
        <v>611</v>
      </c>
      <c r="B7720" s="0" t="s">
        <v>173</v>
      </c>
      <c r="F7720" s="36" t="n">
        <f aca="false">cust_sh*tk_ox_gb300+(1-cust_sh)*((1-Sens!$F$7718)*tk_ox_gb300+Sens!$F$7718*tk_ox_vr200)</f>
        <v>1.98263481314457</v>
      </c>
      <c r="G7720" s="36" t="n">
        <f aca="false">cust_sh*tk_ox_gb300+(1-cust_sh)*((1-Sens!$G$7718)*tk_ox_gb300+Sens!$G$7718*tk_ox_vr200)</f>
        <v>1.98263481314457</v>
      </c>
      <c r="H7720" s="36" t="n">
        <f aca="false">cust_sh*tk_ox_gb300+(1-cust_sh)*((1-Sens!$H$7718)*tk_ox_gb300+Sens!$H$7718*tk_ox_vr200)</f>
        <v>2.01034999693694</v>
      </c>
      <c r="I7720" s="36" t="n">
        <f aca="false">cust_sh*tk_ox_gb300+(1-cust_sh)*((1-Sens!$I$7718)*tk_ox_gb300+Sens!$I$7718*tk_ox_vr200)</f>
        <v>2.0380651807293</v>
      </c>
      <c r="J7720" s="36" t="n">
        <f aca="false">cust_sh*tk_ox_gb300+(1-cust_sh)*((1-Sens!$J$7718)*tk_ox_gb300+Sens!$J$7718*tk_ox_vr200)</f>
        <v>2.0380651807293</v>
      </c>
      <c r="K7720" s="36" t="n">
        <f aca="false">cust_sh*tk_ox_gb300+(1-cust_sh)*((1-Sens!$K$7718)*tk_ox_gb300+Sens!$K$7718*tk_ox_vr200)</f>
        <v>2.0380651807293</v>
      </c>
      <c r="L7720" s="36" t="n">
        <f aca="false">cust_sh*tk_ox_gb300+(1-cust_sh)*((1-Sens!$L$7718)*tk_ox_gb300+Sens!$L$7718*tk_ox_vr200)</f>
        <v>2.0380651807293</v>
      </c>
      <c r="M7720" s="36" t="n">
        <f aca="false">cust_sh*tk_ox_gb300+(1-cust_sh)*((1-Sens!$M$7718)*tk_ox_gb300+Sens!$M$7718*tk_ox_vr200)</f>
        <v>2.0380651807293</v>
      </c>
    </row>
    <row r="7721" customFormat="false" ht="17.15" hidden="false" customHeight="false" outlineLevel="0" collapsed="false">
      <c r="A7721" s="5" t="s">
        <v>612</v>
      </c>
      <c r="B7721" s="0" t="s">
        <v>192</v>
      </c>
      <c r="F7721" s="36" t="n">
        <f aca="false">cust_sh*tk_cx_gb300*cf_cx+(1-cust_sh)*((1-Sens!$F$7718)*tk_cx_gb300+Sens!$F$7718*tk_cx_vr200)</f>
        <v>32.237224</v>
      </c>
      <c r="G7721" s="36" t="n">
        <f aca="false">cust_sh*tk_cx_gb300*cf_cx+(1-cust_sh)*((1-Sens!$G$7718)*tk_cx_gb300+Sens!$G$7718*tk_cx_vr200)</f>
        <v>32.237224</v>
      </c>
      <c r="H7721" s="36" t="n">
        <f aca="false">cust_sh*tk_cx_gb300*cf_cx+(1-cust_sh)*((1-Sens!$H$7718)*tk_cx_gb300+Sens!$H$7718*tk_cx_vr200)</f>
        <v>33.574506</v>
      </c>
      <c r="I7721" s="36" t="n">
        <f aca="false">cust_sh*tk_cx_gb300*cf_cx+(1-cust_sh)*((1-Sens!$I$7718)*tk_cx_gb300+Sens!$I$7718*tk_cx_vr200)</f>
        <v>34.911788</v>
      </c>
      <c r="J7721" s="36" t="n">
        <f aca="false">cust_sh*tk_cx_gb300*cf_cx+(1-cust_sh)*((1-Sens!$J$7718)*tk_cx_gb300+Sens!$J$7718*tk_cx_vr200)</f>
        <v>34.911788</v>
      </c>
      <c r="K7721" s="36" t="n">
        <f aca="false">cust_sh*tk_cx_gb300*cf_cx+(1-cust_sh)*((1-Sens!$K$7718)*tk_cx_gb300+Sens!$K$7718*tk_cx_vr200)</f>
        <v>34.911788</v>
      </c>
      <c r="L7721" s="36" t="n">
        <f aca="false">cust_sh*tk_cx_gb300*cf_cx+(1-cust_sh)*((1-Sens!$L$7718)*tk_cx_gb300+Sens!$L$7718*tk_cx_vr200)</f>
        <v>34.911788</v>
      </c>
      <c r="M7721" s="36" t="n">
        <f aca="false">cust_sh*tk_cx_gb300*cf_cx+(1-cust_sh)*((1-Sens!$M$7718)*tk_cx_gb300+Sens!$M$7718*tk_cx_vr200)</f>
        <v>34.911788</v>
      </c>
    </row>
    <row r="7722" customFormat="false" ht="17.15" hidden="false" customHeight="false" outlineLevel="0" collapsed="false">
      <c r="A7722" s="5" t="s">
        <v>613</v>
      </c>
      <c r="B7722" s="0" t="s">
        <v>129</v>
      </c>
      <c r="F7722" s="32" t="n">
        <f aca="false">Sens!$F$7712-mw_open</f>
        <v>1817.15</v>
      </c>
      <c r="G7722" s="32" t="n">
        <f aca="false">Sens!$F$7722</f>
        <v>1817.15</v>
      </c>
      <c r="H7722" s="32" t="n">
        <f aca="false">Sens!$H$7712-mw_open</f>
        <v>5451.45</v>
      </c>
      <c r="I7722" s="32" t="n">
        <f aca="false">Sens!$I$7712-mw_open</f>
        <v>9085.75</v>
      </c>
      <c r="J7722" s="32" t="n">
        <f aca="false">Sens!$J$7712-mw_open</f>
        <v>12720.05</v>
      </c>
      <c r="K7722" s="32" t="n">
        <f aca="false">Sens!$K$7712-mw_open</f>
        <v>15290.9171666667</v>
      </c>
      <c r="L7722" s="32" t="n">
        <f aca="false">Sens!$L$7712-mw_open</f>
        <v>16798.3515</v>
      </c>
      <c r="M7722" s="32" t="n">
        <f aca="false">Sens!$M$7712-mw_open</f>
        <v>17242.353</v>
      </c>
    </row>
    <row r="7723" customFormat="false" ht="17.15" hidden="false" customHeight="false" outlineLevel="0" collapsed="false">
      <c r="A7723" s="0" t="s">
        <v>614</v>
      </c>
      <c r="B7723" s="0" t="s">
        <v>615</v>
      </c>
      <c r="F7723" s="32" t="n">
        <f aca="false">Sens!$F$7715*Sens!$F$7719</f>
        <v>19782.2417524844</v>
      </c>
      <c r="G7723" s="32" t="n">
        <f aca="false">Sens!$F$7723</f>
        <v>19782.2417524844</v>
      </c>
      <c r="H7723" s="32" t="n">
        <f aca="false">Sens!$G$7723+Sens!$H$7715*Sens!$H$7719</f>
        <v>60563.3616992009</v>
      </c>
      <c r="I7723" s="32" t="n">
        <f aca="false">Sens!$H$7723+Sens!$I$7715*Sens!$I$7719</f>
        <v>102561.118087665</v>
      </c>
      <c r="J7723" s="32" t="n">
        <f aca="false">Sens!$I$7723+Sens!$J$7715*Sens!$J$7719</f>
        <v>144558.87447613</v>
      </c>
      <c r="K7723" s="32" t="n">
        <f aca="false">Sens!$J$7723+Sens!$K$7715*Sens!$K$7719</f>
        <v>174267.663781572</v>
      </c>
      <c r="L7723" s="32" t="n">
        <f aca="false">Sens!$K$7723+Sens!$L$7715*Sens!$L$7719</f>
        <v>191687.486003992</v>
      </c>
      <c r="M7723" s="32" t="n">
        <f aca="false">Sens!$L$7723+Sens!$M$7715*Sens!$M$7719</f>
        <v>196818.341143389</v>
      </c>
    </row>
    <row r="7724" customFormat="false" ht="17.15" hidden="false" customHeight="false" outlineLevel="0" collapsed="false">
      <c r="A7724" s="0" t="s">
        <v>616</v>
      </c>
      <c r="B7724" s="0" t="s">
        <v>615</v>
      </c>
      <c r="F7724" s="32" t="n">
        <f aca="false">Sens!$F$7715*Sens!$F$7720</f>
        <v>3602.74485070566</v>
      </c>
      <c r="G7724" s="32" t="n">
        <f aca="false">Sens!$F$7724</f>
        <v>3602.74485070566</v>
      </c>
      <c r="H7724" s="32" t="n">
        <f aca="false">Sens!$G$7724+Sens!$H$7715*Sens!$H$7720</f>
        <v>10908.9598445736</v>
      </c>
      <c r="I7724" s="32" t="n">
        <f aca="false">Sens!$H$7724+Sens!$I$7715*Sens!$I$7720</f>
        <v>18315.9001308981</v>
      </c>
      <c r="J7724" s="32" t="n">
        <f aca="false">Sens!$I$7724+Sens!$J$7715*Sens!$J$7720</f>
        <v>25722.8404172225</v>
      </c>
      <c r="K7724" s="32" t="n">
        <f aca="false">Sens!$J$7724+Sens!$K$7715*Sens!$K$7720</f>
        <v>30962.4352738861</v>
      </c>
      <c r="L7724" s="32" t="n">
        <f aca="false">Sens!$K$7724+Sens!$L$7715*Sens!$L$7720</f>
        <v>34034.6847008886</v>
      </c>
      <c r="M7724" s="32" t="n">
        <f aca="false">Sens!$L$7724+Sens!$M$7715*Sens!$M$7720</f>
        <v>34939.5886982302</v>
      </c>
    </row>
    <row r="7725" customFormat="false" ht="17.15" hidden="false" customHeight="false" outlineLevel="0" collapsed="false">
      <c r="A7725" s="5" t="s">
        <v>617</v>
      </c>
      <c r="B7725" s="0" t="s">
        <v>173</v>
      </c>
      <c r="F7725" s="36" t="n">
        <f aca="false">IF(Sens!$F$7722&gt;0,Sens!$F$7723/Sens!$F$7722,Sens!$F$7719)</f>
        <v>10.8864110021101</v>
      </c>
      <c r="G7725" s="36" t="n">
        <f aca="false">IF(Sens!$G$7722&gt;0,Sens!$G$7723/Sens!$G$7722,Sens!$G$7719)</f>
        <v>10.8864110021101</v>
      </c>
      <c r="H7725" s="36" t="n">
        <f aca="false">IF(Sens!$H$7722&gt;0,Sens!$H$7723/Sens!$H$7722,Sens!$H$7719)</f>
        <v>11.1095876691891</v>
      </c>
      <c r="I7725" s="36" t="n">
        <f aca="false">IF(Sens!$I$7722&gt;0,Sens!$I$7723/Sens!$I$7722,Sens!$I$7719)</f>
        <v>11.2881290028523</v>
      </c>
      <c r="J7725" s="36" t="n">
        <f aca="false">IF(Sens!$J$7722&gt;0,Sens!$J$7723/Sens!$J$7722,Sens!$J$7719)</f>
        <v>11.3646467172794</v>
      </c>
      <c r="K7725" s="36" t="n">
        <f aca="false">IF(Sens!$K$7722&gt;0,Sens!$K$7723/Sens!$K$7722,Sens!$K$7719)</f>
        <v>11.3968090914432</v>
      </c>
      <c r="L7725" s="36" t="n">
        <f aca="false">IF(Sens!$L$7722&gt;0,Sens!$L$7723/Sens!$L$7722,Sens!$L$7719)</f>
        <v>11.4110891181192</v>
      </c>
      <c r="M7725" s="36" t="n">
        <f aca="false">IF(Sens!$M$7722&gt;0,Sens!$M$7723/Sens!$M$7722,Sens!$M$7719)</f>
        <v>11.4148191458201</v>
      </c>
    </row>
    <row r="7726" customFormat="false" ht="17.15" hidden="false" customHeight="false" outlineLevel="0" collapsed="false">
      <c r="A7726" s="5" t="s">
        <v>618</v>
      </c>
      <c r="B7726" s="0" t="s">
        <v>173</v>
      </c>
      <c r="F7726" s="36" t="n">
        <f aca="false">IF(Sens!$F$7722&gt;0,Sens!$F$7724/Sens!$F$7722,Sens!$F$7720)</f>
        <v>1.98263481314457</v>
      </c>
      <c r="G7726" s="36" t="n">
        <f aca="false">IF(Sens!$G$7722&gt;0,Sens!$G$7724/Sens!$G$7722,Sens!$G$7720)</f>
        <v>1.98263481314457</v>
      </c>
      <c r="H7726" s="36" t="n">
        <f aca="false">IF(Sens!$H$7722&gt;0,Sens!$H$7724/Sens!$H$7722,Sens!$H$7720)</f>
        <v>2.00111160233948</v>
      </c>
      <c r="I7726" s="36" t="n">
        <f aca="false">IF(Sens!$I$7722&gt;0,Sens!$I$7724/Sens!$I$7722,Sens!$I$7720)</f>
        <v>2.01589303369541</v>
      </c>
      <c r="J7726" s="36" t="n">
        <f aca="false">IF(Sens!$J$7722&gt;0,Sens!$J$7724/Sens!$J$7722,Sens!$J$7720)</f>
        <v>2.02222793284795</v>
      </c>
      <c r="K7726" s="36" t="n">
        <f aca="false">IF(Sens!$K$7722&gt;0,Sens!$K$7724/Sens!$K$7722,Sens!$K$7720)</f>
        <v>2.02489065478573</v>
      </c>
      <c r="L7726" s="36" t="n">
        <f aca="false">IF(Sens!$L$7722&gt;0,Sens!$L$7724/Sens!$L$7722,Sens!$L$7720)</f>
        <v>2.0260728977417</v>
      </c>
      <c r="M7726" s="36" t="n">
        <f aca="false">IF(Sens!$M$7722&gt;0,Sens!$M$7724/Sens!$M$7722,Sens!$M$7720)</f>
        <v>2.02638170661685</v>
      </c>
    </row>
    <row r="7727" customFormat="false" ht="17.15" hidden="false" customHeight="false" outlineLevel="0" collapsed="false">
      <c r="A7727" s="15" t="s">
        <v>619</v>
      </c>
      <c r="B7727" s="14" t="s">
        <v>173</v>
      </c>
      <c r="C7727" s="14"/>
      <c r="D7727" s="14"/>
      <c r="E7727" s="14"/>
      <c r="F7727" s="37" t="n">
        <f aca="false">Sens!$F$7725*k_B</f>
        <v>10.7987645808025</v>
      </c>
      <c r="G7727" s="37" t="n">
        <f aca="false">Sens!$G$7725*k_B</f>
        <v>10.7987645808025</v>
      </c>
      <c r="H7727" s="37" t="n">
        <f aca="false">Sens!$H$7725*k_B</f>
        <v>11.0201444540452</v>
      </c>
      <c r="I7727" s="37" t="n">
        <f aca="false">Sens!$I$7725*k_B</f>
        <v>11.1972483526393</v>
      </c>
      <c r="J7727" s="37" t="n">
        <f aca="false">Sens!$J$7725*k_B</f>
        <v>11.2731500234653</v>
      </c>
      <c r="K7727" s="37" t="n">
        <f aca="false">Sens!$K$7725*k_B</f>
        <v>11.3050534585724</v>
      </c>
      <c r="L7727" s="37" t="n">
        <f aca="false">Sens!$L$7725*k_B</f>
        <v>11.3192185168503</v>
      </c>
      <c r="M7727" s="37" t="n">
        <f aca="false">Sens!$M$7725*k_B</f>
        <v>11.3229185141234</v>
      </c>
      <c r="N7727" s="14"/>
      <c r="O7727" s="14"/>
      <c r="P7727" s="5" t="s">
        <v>620</v>
      </c>
    </row>
    <row r="7728" customFormat="false" ht="17.15" hidden="false" customHeight="false" outlineLevel="0" collapsed="false">
      <c r="A7728" s="5" t="s">
        <v>621</v>
      </c>
      <c r="B7728" s="0" t="s">
        <v>129</v>
      </c>
      <c r="F7728" s="32" t="n">
        <f aca="false">Sens!$F$7722/2</f>
        <v>908.575</v>
      </c>
      <c r="H7728" s="32" t="n">
        <f aca="false">(Sens!$G$7722+Sens!$H$7722)/2</f>
        <v>3634.3</v>
      </c>
      <c r="I7728" s="32" t="n">
        <f aca="false">(Sens!$H$7722+Sens!$I$7722)/2</f>
        <v>7268.6</v>
      </c>
      <c r="J7728" s="32" t="n">
        <f aca="false">(Sens!$I$7722+Sens!$J$7722)/2</f>
        <v>10902.9</v>
      </c>
      <c r="K7728" s="32" t="n">
        <f aca="false">(Sens!$J$7722+Sens!$K$7722)/2</f>
        <v>14005.4835833333</v>
      </c>
      <c r="L7728" s="32" t="n">
        <f aca="false">(Sens!$K$7722+Sens!$L$7722)/2</f>
        <v>16044.6343333333</v>
      </c>
      <c r="M7728" s="32" t="n">
        <f aca="false">(Sens!$L$7722+Sens!$M$7722)/2</f>
        <v>17020.35225</v>
      </c>
    </row>
    <row r="7729" customFormat="false" ht="17.15" hidden="false" customHeight="false" outlineLevel="0" collapsed="false">
      <c r="A7729" s="1" t="s">
        <v>622</v>
      </c>
    </row>
    <row r="7730" customFormat="false" ht="17.15" hidden="false" customHeight="false" outlineLevel="0" collapsed="false">
      <c r="A7730" s="1" t="s">
        <v>623</v>
      </c>
      <c r="B7730" s="8" t="s">
        <v>86</v>
      </c>
      <c r="C7730" s="38" t="n">
        <f aca="false">Sens!$C$7713*rpm_open*Sens!$C$7714/1000</f>
        <v>2.32100535697364</v>
      </c>
      <c r="D7730" s="38" t="n">
        <f aca="false">Sens!$D$7713*rpm_open*Sens!$D$7714/1000</f>
        <v>8.70377008865116</v>
      </c>
      <c r="E7730" s="38" t="n">
        <f aca="false">Sens!$E$7713*rpm_open*Sens!$E$7714/1000</f>
        <v>8.51035297557002</v>
      </c>
      <c r="F7730" s="38" t="n">
        <f aca="false">(mw_open*rpm_open+Sens!$F$7728*Sens!$F$7727)*Sens!$F$7714/1000</f>
        <v>14.9634336447205</v>
      </c>
      <c r="G7730" s="38" t="n">
        <f aca="false">Sens!$E$7730+Sens!$F$7730</f>
        <v>23.4737866202905</v>
      </c>
      <c r="H7730" s="38" t="n">
        <f aca="false">(mw_open*rpm_open+Sens!$H$7728*Sens!$H$7727)/1000</f>
        <v>60.1658907497746</v>
      </c>
      <c r="I7730" s="38" t="n">
        <f aca="false">(mw_open*rpm_open+Sens!$I$7728*Sens!$I$7727)/1000</f>
        <v>101.503699136432</v>
      </c>
      <c r="J7730" s="38" t="n">
        <f aca="false">(mw_open*rpm_open+Sens!$J$7728*Sens!$J$7727)/1000</f>
        <v>143.025407151278</v>
      </c>
      <c r="K7730" s="38" t="n">
        <f aca="false">(mw_open*rpm_open+Sens!$K$7728*Sens!$K$7727)/1000</f>
        <v>178.44812038318</v>
      </c>
      <c r="L7730" s="38" t="n">
        <f aca="false">(mw_open*rpm_open+Sens!$L$7728*Sens!$L$7727)/1000</f>
        <v>201.728101802396</v>
      </c>
      <c r="M7730" s="38" t="n">
        <f aca="false">(mw_open*rpm_open+Sens!$M$7728*Sens!$M$7727)/1000</f>
        <v>212.835441368865</v>
      </c>
      <c r="N7730" s="38" t="n">
        <f aca="false">Sens!$N$7713*rpm_open*Sens!$N$7714/1000</f>
        <v>3.04631953102791</v>
      </c>
      <c r="O7730" s="38" t="n">
        <f aca="false">Sens!$O$7713*rpm_open*Sens!$O$7714/1000</f>
        <v>5.65745055762326</v>
      </c>
      <c r="P7730" s="5" t="s">
        <v>624</v>
      </c>
    </row>
    <row r="7731" customFormat="false" ht="17.15" hidden="false" customHeight="false" outlineLevel="0" collapsed="false">
      <c r="A7731" s="5" t="s">
        <v>625</v>
      </c>
      <c r="B7731" s="0" t="s">
        <v>173</v>
      </c>
      <c r="C7731" s="36" t="n">
        <f aca="false">Sens!$C$7730*1000/(Sens!$C$7713*Sens!$C$7714)</f>
        <v>9.67085565405685</v>
      </c>
      <c r="D7731" s="36" t="n">
        <f aca="false">Sens!$D$7730*1000/(Sens!$D$7713*Sens!$D$7714)</f>
        <v>9.67085565405685</v>
      </c>
      <c r="E7731" s="36" t="n">
        <f aca="false">Sens!$E$7730*1000/(Sens!$E$7713*Sens!$E$7714)</f>
        <v>9.67085565405685</v>
      </c>
      <c r="F7731" s="36" t="n">
        <f aca="false">Sens!$F$7730*1000/(Sens!$F$7713*Sens!$F$7714)</f>
        <v>10.0137581588017</v>
      </c>
      <c r="G7731" s="36" t="n">
        <f aca="false">Sens!$G$7730*1000/(Sens!$G$7713*Sens!$G$7714)</f>
        <v>9.88666562928478</v>
      </c>
      <c r="H7731" s="36" t="n">
        <f aca="false">Sens!$H$7730*1000/(Sens!$H$7713*Sens!$H$7714)</f>
        <v>10.5290045586992</v>
      </c>
      <c r="I7731" s="36" t="n">
        <f aca="false">Sens!$I$7730*1000/(Sens!$I$7713*Sens!$I$7714)</f>
        <v>10.8576363451674</v>
      </c>
      <c r="J7731" s="36" t="n">
        <f aca="false">Sens!$J$7730*1000/(Sens!$J$7713*Sens!$J$7714)</f>
        <v>11.0164452588619</v>
      </c>
      <c r="K7731" s="36" t="n">
        <f aca="false">Sens!$K$7730*1000/(Sens!$K$7713*Sens!$K$7714)</f>
        <v>11.0937367508227</v>
      </c>
      <c r="L7731" s="36" t="n">
        <f aca="false">Sens!$L$7730*1000/(Sens!$L$7713*Sens!$L$7714)</f>
        <v>11.1300508519168</v>
      </c>
      <c r="M7731" s="36" t="n">
        <f aca="false">Sens!$M$7730*1000/(Sens!$M$7713*Sens!$M$7714)</f>
        <v>11.1430113216297</v>
      </c>
      <c r="N7731" s="36" t="n">
        <f aca="false">Sens!$N$7730*1000/(Sens!$N$7713*Sens!$N$7714)</f>
        <v>9.67085565405685</v>
      </c>
      <c r="O7731" s="36" t="n">
        <f aca="false">Sens!$O$7730*1000/(Sens!$O$7713*Sens!$O$7714)</f>
        <v>9.67085565405685</v>
      </c>
    </row>
    <row r="7732" customFormat="false" ht="17.15" hidden="false" customHeight="false" outlineLevel="0" collapsed="false">
      <c r="A7732" s="0" t="s">
        <v>626</v>
      </c>
      <c r="B7732" s="0" t="s">
        <v>86</v>
      </c>
      <c r="C7732" s="38" t="n">
        <f aca="false">Sens!$C$7713/ext_sh*(ox_open+rent_mw)*Sens!$C$7714/1000</f>
        <v>0.642569210675032</v>
      </c>
      <c r="D7732" s="38" t="n">
        <f aca="false">Sens!$D$7713/ext_sh*(ox_open+rent_mw)*Sens!$D$7714/1000</f>
        <v>2.40963454003137</v>
      </c>
      <c r="E7732" s="38" t="n">
        <f aca="false">Sens!$E$7713/ext_sh*(ox_open+rent_mw)*Sens!$E$7714/1000</f>
        <v>2.35608710580845</v>
      </c>
      <c r="F7732" s="38" t="n">
        <f aca="false">((mw_open*ox_open+Sens!$F$7728*Sens!$F$7726)/ext_sh+Sens!$F$7713/ext_sh*rent_mw)*Sens!$F$7714/1000</f>
        <v>4.05421991106232</v>
      </c>
      <c r="G7732" s="38" t="n">
        <f aca="false">Sens!$E$7732+Sens!$F$7732</f>
        <v>6.41030701687077</v>
      </c>
      <c r="H7732" s="38" t="n">
        <f aca="false">((mw_open*ox_open+Sens!$H$7728*Sens!$H$7726)/ext_sh+Sens!$H$7713/ext_sh*rent_mw)*Sens!$H$7714/1000</f>
        <v>15.8108975546616</v>
      </c>
      <c r="I7732" s="38" t="n">
        <f aca="false">((mw_open*ox_open+Sens!$I$7728*Sens!$I$7726)/ext_sh+Sens!$I$7713/ext_sh*rent_mw)*Sens!$I$7714/1000</f>
        <v>26.1871623400817</v>
      </c>
      <c r="J7732" s="38" t="n">
        <f aca="false">((mw_open*ox_open+Sens!$J$7728*Sens!$J$7726)/ext_sh+Sens!$J$7713/ext_sh*rent_mw)*Sens!$J$7714/1000</f>
        <v>36.5826128954935</v>
      </c>
      <c r="K7732" s="38" t="n">
        <f aca="false">((mw_open*ox_open+Sens!$K$7728*Sens!$K$7726)/ext_sh+Sens!$K$7713/ext_sh*rent_mw)*Sens!$K$7714/1000</f>
        <v>45.4546361137628</v>
      </c>
      <c r="L7732" s="38" t="n">
        <f aca="false">((mw_open*ox_open+Sens!$L$7728*Sens!$L$7726)/ext_sh+Sens!$L$7713/ext_sh*rent_mw)*Sens!$L$7714/1000</f>
        <v>51.2855695554452</v>
      </c>
      <c r="M7732" s="38" t="n">
        <f aca="false">((mw_open*ox_open+Sens!$M$7728*Sens!$M$7726)/ext_sh+Sens!$M$7713/ext_sh*rent_mw)*Sens!$M$7714/1000</f>
        <v>54.0722927838398</v>
      </c>
      <c r="N7732" s="38" t="n">
        <f aca="false">Sens!$N$7713/ext_sh*(ox_open+rent_mw)*Sens!$N$7714/1000</f>
        <v>0.84337208901098</v>
      </c>
      <c r="O7732" s="38" t="n">
        <f aca="false">Sens!$O$7713/ext_sh*(ox_open+rent_mw)*Sens!$O$7714/1000</f>
        <v>1.56626245102039</v>
      </c>
    </row>
    <row r="7733" customFormat="false" ht="17.15" hidden="false" customHeight="false" outlineLevel="0" collapsed="false">
      <c r="A7733" s="0" t="s">
        <v>627</v>
      </c>
      <c r="B7733" s="0" t="s">
        <v>86</v>
      </c>
      <c r="C7733" s="38" t="n">
        <f aca="false">Q!$D$7</f>
        <v>107.556</v>
      </c>
      <c r="D7733" s="38" t="n">
        <f aca="false">Q!$E$7</f>
        <v>128.725</v>
      </c>
      <c r="E7733" s="38" t="n">
        <f aca="false">Q!$P$7</f>
        <v>79.819</v>
      </c>
      <c r="N7733" s="38" t="n">
        <f aca="false">Q!$N$7</f>
        <v>60.14</v>
      </c>
      <c r="O7733" s="38" t="n">
        <f aca="false">Q!$O$7</f>
        <v>68.585</v>
      </c>
    </row>
    <row r="7734" customFormat="false" ht="17.15" hidden="false" customHeight="false" outlineLevel="0" collapsed="false">
      <c r="A7734" s="1" t="s">
        <v>628</v>
      </c>
      <c r="B7734" s="8" t="s">
        <v>86</v>
      </c>
      <c r="C7734" s="38" t="n">
        <f aca="false">Sens!$C$7733-Sens!$C$7730</f>
        <v>105.234994643026</v>
      </c>
      <c r="D7734" s="38" t="n">
        <f aca="false">Sens!$D$7733-Sens!$D$7730</f>
        <v>120.021229911349</v>
      </c>
      <c r="E7734" s="38" t="n">
        <f aca="false">Sens!$E$7733-Sens!$E$7730</f>
        <v>71.30864702443</v>
      </c>
      <c r="F7734" s="38" t="n">
        <f aca="false">Sens!$O$7734*(1+Sens!$F$7735)</f>
        <v>71.7692997942464</v>
      </c>
      <c r="G7734" s="38" t="n">
        <f aca="false">Sens!$E$7734+Sens!$F$7734</f>
        <v>143.077946818676</v>
      </c>
      <c r="H7734" s="38" t="n">
        <f aca="false">Sens!$G$7734*(1+Sens!$H$7735)</f>
        <v>161.017077079203</v>
      </c>
      <c r="I7734" s="38" t="n">
        <f aca="false">Sens!$H$7734*(1+Sens!$I$7735)</f>
        <v>178.769759521457</v>
      </c>
      <c r="J7734" s="38" t="n">
        <f aca="false">Sens!$I$7734*(1+Sens!$J$7735)</f>
        <v>195.775538045907</v>
      </c>
      <c r="K7734" s="38" t="n">
        <f aca="false">Sens!$J$7734*(1+Sens!$K$7735)</f>
        <v>211.43758108958</v>
      </c>
      <c r="L7734" s="38" t="n">
        <f aca="false">Sens!$K$7734*(1+Sens!$L$7735)</f>
        <v>228.352587576746</v>
      </c>
      <c r="M7734" s="38" t="n">
        <f aca="false">Sens!$L$7734*(1+Sens!$M$7735)</f>
        <v>246.620794582886</v>
      </c>
      <c r="N7734" s="38" t="n">
        <f aca="false">Sens!$N$7733-Sens!$N$7730</f>
        <v>57.0936804689721</v>
      </c>
      <c r="O7734" s="38" t="n">
        <f aca="false">Sens!$O$7733-Sens!$O$7730</f>
        <v>62.9275494423768</v>
      </c>
      <c r="P7734" s="5" t="s">
        <v>629</v>
      </c>
    </row>
    <row r="7735" customFormat="false" ht="17.15" hidden="false" customHeight="false" outlineLevel="0" collapsed="false">
      <c r="A7735" s="0" t="s">
        <v>630</v>
      </c>
      <c r="B7735" s="0" t="s">
        <v>52</v>
      </c>
      <c r="D7735" s="13" t="n">
        <f aca="false">Sens!$D$7734/Sens!$C$7734-1</f>
        <v>0.140506827776062</v>
      </c>
      <c r="E7735" s="13" t="n">
        <f aca="false">Sens!$E$7734/Sens!$N$7734-1</f>
        <v>0.248976181579029</v>
      </c>
      <c r="F7735" s="13" t="n">
        <f aca="false">Sens!$D$7735</f>
        <v>0.140506827776062</v>
      </c>
      <c r="G7735" s="13" t="n">
        <f aca="false">Sens!$G$7734/Sens!$D$7734-1</f>
        <v>0.19210532106993</v>
      </c>
      <c r="H7735" s="13" t="n">
        <f aca="false">Sens!$F$7735+(g_awso_lt-Sens!$F$7735)*1/4</f>
        <v>0.125380120832046</v>
      </c>
      <c r="I7735" s="13" t="n">
        <f aca="false">Sens!$F$7735+(g_awso_lt-Sens!$F$7735)*2/4</f>
        <v>0.110253413888031</v>
      </c>
      <c r="J7735" s="13" t="n">
        <f aca="false">Sens!$F$7735+(g_awso_lt-Sens!$F$7735)*3/4</f>
        <v>0.0951267069440154</v>
      </c>
      <c r="K7735" s="13" t="n">
        <f aca="false">Sens!$F$7735+(g_awso_lt-Sens!$F$7735)*4/4</f>
        <v>0.08</v>
      </c>
      <c r="L7735" s="13" t="n">
        <f aca="false">g_awso_lt</f>
        <v>0.08</v>
      </c>
      <c r="M7735" s="13" t="n">
        <f aca="false">g_awso_lt</f>
        <v>0.08</v>
      </c>
      <c r="P7735" s="5" t="s">
        <v>631</v>
      </c>
    </row>
    <row r="7736" customFormat="false" ht="17.15" hidden="false" customHeight="false" outlineLevel="0" collapsed="false">
      <c r="A7736" s="1" t="s">
        <v>632</v>
      </c>
    </row>
    <row r="7737" customFormat="false" ht="17.15" hidden="false" customHeight="false" outlineLevel="0" collapsed="false">
      <c r="A7737" s="0" t="s">
        <v>633</v>
      </c>
      <c r="B7737" s="0" t="s">
        <v>86</v>
      </c>
      <c r="F7737" s="38" t="n">
        <f aca="false">cx_rt*Sens!$F$7702+cx_awso*Sens!$F$7734</f>
        <v>34.9734495387866</v>
      </c>
    </row>
    <row r="7738" customFormat="false" ht="17.15" hidden="false" customHeight="false" outlineLevel="0" collapsed="false">
      <c r="A7738" s="0" t="s">
        <v>634</v>
      </c>
      <c r="B7738" s="0" t="s">
        <v>52</v>
      </c>
      <c r="C7738" s="13" t="n">
        <f aca="false">tk_cx_h100/(tk_cx_h100+tk_fac*(1-colo_sh))</f>
        <v>0.730756458006641</v>
      </c>
      <c r="D7738" s="13" t="n">
        <f aca="false">tk_cx_h100/(tk_cx_h100+tk_fac*(1-colo_sh))</f>
        <v>0.730756458006641</v>
      </c>
      <c r="E7738" s="13" t="n">
        <f aca="false">Sens!$F$7738</f>
        <v>0.760792334328868</v>
      </c>
      <c r="F7738" s="13" t="n">
        <f aca="false">Sens!$F$7721/(Sens!$F$7721+tk_fac*(1-colo_sh))</f>
        <v>0.760792334328868</v>
      </c>
      <c r="G7738" s="13" t="n">
        <f aca="false">Sens!$G$7721/(Sens!$G$7721+tk_fac*(1-colo_sh))</f>
        <v>0.760792334328868</v>
      </c>
      <c r="H7738" s="13" t="n">
        <f aca="false">Sens!$H$7721/(Sens!$H$7721+tk_fac*(1-colo_sh))</f>
        <v>0.768110668862996</v>
      </c>
      <c r="I7738" s="13" t="n">
        <f aca="false">Sens!$I$7721/(Sens!$I$7721+tk_fac*(1-colo_sh))</f>
        <v>0.77499450139483</v>
      </c>
      <c r="J7738" s="13" t="n">
        <f aca="false">Sens!$J$7721/(Sens!$J$7721+tk_fac*(1-colo_sh))</f>
        <v>0.77499450139483</v>
      </c>
      <c r="K7738" s="13" t="n">
        <f aca="false">Sens!$K$7721/(Sens!$K$7721+tk_fac*(1-colo_sh))</f>
        <v>0.77499450139483</v>
      </c>
      <c r="L7738" s="13" t="n">
        <f aca="false">Sens!$L$7721/(Sens!$L$7721+tk_fac*(1-colo_sh))</f>
        <v>0.77499450139483</v>
      </c>
      <c r="M7738" s="13" t="n">
        <f aca="false">Sens!$M$7721/(Sens!$M$7721+tk_fac*(1-colo_sh))</f>
        <v>0.77499450139483</v>
      </c>
    </row>
    <row r="7739" customFormat="false" ht="17.15" hidden="false" customHeight="false" outlineLevel="0" collapsed="false">
      <c r="A7739" s="1" t="s">
        <v>635</v>
      </c>
      <c r="B7739" s="8" t="s">
        <v>86</v>
      </c>
      <c r="C7739" s="38" t="n">
        <f aca="false">Q!$D$46-cx_rt*Q!$D$16-cx_awso*Sens!$C$7734</f>
        <v>25.2781053077374</v>
      </c>
      <c r="D7739" s="38" t="n">
        <f aca="false">Q!$E$46-cx_rt*Q!$E$16-cx_awso*Sens!$D$7734</f>
        <v>69.5686316310026</v>
      </c>
      <c r="E7739" s="38" t="n">
        <f aca="false">Q!$P$46-cx_rt*Q!$P$16-cx_awso*Sens!$E$7734</f>
        <v>64.1899206485108</v>
      </c>
      <c r="F7739" s="38" t="n">
        <f aca="false">capex_g26-Q!$P$46-Sens!$F$7737</f>
        <v>88.7165504612134</v>
      </c>
      <c r="G7739" s="38" t="n">
        <f aca="false">Sens!$E$7739+Sens!$F$7739</f>
        <v>152.906471109724</v>
      </c>
      <c r="H7739" s="38" t="n">
        <f aca="false">Sens!$H$7716*(Sens!$H$7721+tk_fac*(1-colo_sh))/1000+Sens!$H$7740</f>
        <v>198.57136494475</v>
      </c>
      <c r="I7739" s="38" t="n">
        <f aca="false">Sens!$I$7716*(Sens!$I$7721+tk_fac*(1-colo_sh))/1000+Sens!$I$7740</f>
        <v>204.6464699105</v>
      </c>
      <c r="J7739" s="38" t="n">
        <f aca="false">Sens!$J$7716*(Sens!$J$7721+tk_fac*(1-colo_sh))/1000+Sens!$J$7740</f>
        <v>209.8832381105</v>
      </c>
      <c r="K7739" s="38" t="n">
        <f aca="false">Sens!$K$7716*(Sens!$K$7721+tk_fac*(1-colo_sh))/1000+Sens!$K$7740</f>
        <v>155.238385275201</v>
      </c>
      <c r="L7739" s="38" t="n">
        <f aca="false">Sens!$L$7716*(Sens!$L$7721+tk_fac*(1-colo_sh))/1000+Sens!$L$7740</f>
        <v>132.014141639902</v>
      </c>
      <c r="M7739" s="38" t="n">
        <f aca="false">Sens!$M$7716*(Sens!$M$7721+tk_fac*(1-colo_sh))/1000+Sens!$M$7740</f>
        <v>132.230981659852</v>
      </c>
      <c r="P7739" s="5" t="s">
        <v>636</v>
      </c>
      <c r="R7739" s="38" t="n">
        <f aca="false">Q!$C$46-cx_rt*Q!$C$16-cx_awso*(Q!$C$7-mw_ye23/2*rpm_open/1000)</f>
        <v>1.50429979529945</v>
      </c>
      <c r="S7739" s="38" t="n">
        <f aca="false">Sens!$C$7739</f>
        <v>25.2781053077374</v>
      </c>
      <c r="T7739" s="38" t="n">
        <f aca="false">Sens!$D$7739</f>
        <v>69.5686316310026</v>
      </c>
      <c r="U7739" s="38" t="n">
        <f aca="false">Sens!$G$7739</f>
        <v>152.906471109724</v>
      </c>
      <c r="V7739" s="38" t="n">
        <f aca="false">Sens!$H$7739</f>
        <v>198.57136494475</v>
      </c>
      <c r="W7739" s="38" t="n">
        <f aca="false">Sens!$I$7739</f>
        <v>204.6464699105</v>
      </c>
      <c r="X7739" s="38" t="n">
        <f aca="false">Sens!$J$7739</f>
        <v>209.8832381105</v>
      </c>
      <c r="Y7739" s="38" t="n">
        <f aca="false">Sens!$K$7739</f>
        <v>155.238385275201</v>
      </c>
      <c r="Z7739" s="38" t="n">
        <f aca="false">Sens!$L$7739</f>
        <v>132.014141639902</v>
      </c>
      <c r="AA7739" s="38" t="n">
        <f aca="false">Sens!$M$7739</f>
        <v>132.230981659852</v>
      </c>
    </row>
    <row r="7740" customFormat="false" ht="17.15" hidden="false" customHeight="false" outlineLevel="0" collapsed="false">
      <c r="A7740" s="0" t="s">
        <v>637</v>
      </c>
      <c r="B7740" s="0" t="s">
        <v>86</v>
      </c>
      <c r="H7740" s="38" t="n">
        <f aca="false">SUMPRODUCT(--(Sens!$R$7709:$AA$7709=2027-tk_life),Sens!$R$7716:$AA$7716)*Sens!$H$7721/1000</f>
        <v>0</v>
      </c>
      <c r="I7740" s="38" t="n">
        <f aca="false">SUMPRODUCT(--(Sens!$R$7709:$AA$7709=2028-tk_life),Sens!$R$7716:$AA$7716)*Sens!$I$7721/1000</f>
        <v>0</v>
      </c>
      <c r="J7740" s="38" t="n">
        <f aca="false">SUMPRODUCT(--(Sens!$R$7709:$AA$7709=2029-tk_life),Sens!$R$7716:$AA$7716)*Sens!$J$7721/1000</f>
        <v>5.2367682</v>
      </c>
      <c r="K7740" s="38" t="n">
        <f aca="false">SUMPRODUCT(--(Sens!$R$7709:$AA$7709=2030-tk_life),Sens!$R$7716:$AA$7716)*Sens!$K$7721/1000</f>
        <v>10.4735364</v>
      </c>
      <c r="L7740" s="38" t="n">
        <f aca="false">SUMPRODUCT(--(Sens!$R$7709:$AA$7709=2031-tk_life),Sens!$R$7716:$AA$7716)*Sens!$L$7721/1000</f>
        <v>47.1309138</v>
      </c>
      <c r="M7740" s="38" t="n">
        <f aca="false">SUMPRODUCT(--(Sens!$R$7709:$AA$7709=2032-tk_life),Sens!$R$7716:$AA$7716)*Sens!$M$7721/1000</f>
        <v>107.22937485525</v>
      </c>
    </row>
    <row r="7741" customFormat="false" ht="17.15" hidden="false" customHeight="false" outlineLevel="0" collapsed="false">
      <c r="A7741" s="0" t="s">
        <v>638</v>
      </c>
      <c r="B7741" s="0" t="s">
        <v>86</v>
      </c>
      <c r="C7741" s="38" t="n">
        <f aca="false">MIN(Sens!$C$7739,Sens!$C$7716*(tk_cx_h100+tk_fac*(1-colo_sh))/1000)</f>
        <v>11.2938642</v>
      </c>
      <c r="D7741" s="38" t="n">
        <f aca="false">MIN(Sens!$D$7739,Sens!$D$7716*(tk_cx_h100+tk_fac*(1-colo_sh))/1000)</f>
        <v>50.8223889</v>
      </c>
      <c r="E7741" s="38" t="n">
        <f aca="false">MIN(Sens!$E$7739,Sens!$E$7716*(Sens!$F$7721+tk_fac*(1-colo_sh))/1000)</f>
        <v>33.8985792</v>
      </c>
      <c r="F7741" s="38" t="n">
        <f aca="false">Sens!$F$7739</f>
        <v>88.7165504612134</v>
      </c>
      <c r="G7741" s="38" t="n">
        <f aca="false">Sens!$E$7741+Sens!$F$7741</f>
        <v>122.615129661213</v>
      </c>
      <c r="H7741" s="38" t="n">
        <f aca="false">Sens!$H$7739</f>
        <v>198.57136494475</v>
      </c>
      <c r="I7741" s="38" t="n">
        <f aca="false">Sens!$I$7739</f>
        <v>204.6464699105</v>
      </c>
      <c r="J7741" s="38" t="n">
        <f aca="false">Sens!$J$7739</f>
        <v>209.8832381105</v>
      </c>
      <c r="K7741" s="38" t="n">
        <f aca="false">Sens!$K$7739</f>
        <v>155.238385275201</v>
      </c>
      <c r="L7741" s="38" t="n">
        <f aca="false">Sens!$L$7739</f>
        <v>132.014141639902</v>
      </c>
      <c r="M7741" s="38" t="n">
        <f aca="false">Sens!$M$7739</f>
        <v>132.230981659852</v>
      </c>
      <c r="P7741" s="5" t="s">
        <v>639</v>
      </c>
      <c r="R7741" s="38" t="n">
        <f aca="false">MIN(Sens!$R$7739,Sens!$R$7716*(tk_cx_h100+tk_fac*(1-colo_sh))/1000)</f>
        <v>1.50429979529945</v>
      </c>
      <c r="S7741" s="38" t="n">
        <f aca="false">Sens!$C$7741</f>
        <v>11.2938642</v>
      </c>
      <c r="T7741" s="38" t="n">
        <f aca="false">Sens!$D$7741</f>
        <v>50.8223889</v>
      </c>
      <c r="U7741" s="38" t="n">
        <f aca="false">Sens!$G$7741</f>
        <v>122.615129661213</v>
      </c>
      <c r="V7741" s="38" t="n">
        <f aca="false">Sens!$H$7741</f>
        <v>198.57136494475</v>
      </c>
      <c r="W7741" s="38" t="n">
        <f aca="false">Sens!$I$7741</f>
        <v>204.6464699105</v>
      </c>
      <c r="X7741" s="38" t="n">
        <f aca="false">Sens!$J$7741</f>
        <v>209.8832381105</v>
      </c>
      <c r="Y7741" s="38" t="n">
        <f aca="false">Sens!$K$7741</f>
        <v>155.238385275201</v>
      </c>
      <c r="Z7741" s="38" t="n">
        <f aca="false">Sens!$L$7741</f>
        <v>132.014141639902</v>
      </c>
      <c r="AA7741" s="38" t="n">
        <f aca="false">Sens!$M$7741</f>
        <v>132.230981659852</v>
      </c>
    </row>
    <row r="7742" customFormat="false" ht="17.15" hidden="false" customHeight="false" outlineLevel="0" collapsed="false">
      <c r="A7742" s="5" t="s">
        <v>640</v>
      </c>
      <c r="B7742" s="0" t="s">
        <v>86</v>
      </c>
      <c r="C7742" s="38" t="n">
        <f aca="false">Sens!$C$7739-Sens!$C$7741</f>
        <v>13.9842411077374</v>
      </c>
      <c r="D7742" s="38" t="n">
        <f aca="false">Sens!$D$7739-Sens!$D$7741</f>
        <v>18.7462427310026</v>
      </c>
      <c r="E7742" s="38" t="n">
        <f aca="false">Sens!$E$7739-Sens!$E$7741</f>
        <v>30.2913414485108</v>
      </c>
      <c r="F7742" s="38" t="n">
        <f aca="false">Sens!$F$7739-Sens!$F$7741</f>
        <v>0</v>
      </c>
      <c r="G7742" s="38" t="n">
        <f aca="false">Sens!$G$7739-Sens!$G$7741</f>
        <v>30.2913414485108</v>
      </c>
      <c r="H7742" s="38" t="n">
        <f aca="false">Sens!$H$7739-Sens!$H$7741</f>
        <v>0</v>
      </c>
      <c r="I7742" s="38" t="n">
        <f aca="false">Sens!$I$7739-Sens!$I$7741</f>
        <v>0</v>
      </c>
      <c r="J7742" s="38" t="n">
        <f aca="false">Sens!$J$7739-Sens!$J$7741</f>
        <v>0</v>
      </c>
      <c r="K7742" s="38" t="n">
        <f aca="false">Sens!$K$7739-Sens!$K$7741</f>
        <v>0</v>
      </c>
      <c r="L7742" s="38" t="n">
        <f aca="false">Sens!$L$7739-Sens!$L$7741</f>
        <v>0</v>
      </c>
      <c r="M7742" s="38" t="n">
        <f aca="false">Sens!$M$7739-Sens!$M$7741</f>
        <v>0</v>
      </c>
      <c r="P7742" s="5" t="s">
        <v>641</v>
      </c>
      <c r="R7742" s="38" t="n">
        <f aca="false">Sens!$R$7739-Sens!$R$7741</f>
        <v>0</v>
      </c>
      <c r="S7742" s="38" t="n">
        <f aca="false">Sens!$S$7739-Sens!$S$7741</f>
        <v>13.9842411077374</v>
      </c>
      <c r="T7742" s="38" t="n">
        <f aca="false">Sens!$T$7739-Sens!$T$7741</f>
        <v>18.7462427310026</v>
      </c>
      <c r="U7742" s="38" t="n">
        <f aca="false">Sens!$U$7739-Sens!$U$7741</f>
        <v>30.2913414485108</v>
      </c>
      <c r="V7742" s="38" t="n">
        <f aca="false">Sens!$V$7739-Sens!$V$7741</f>
        <v>0</v>
      </c>
      <c r="W7742" s="38" t="n">
        <f aca="false">Sens!$W$7739-Sens!$W$7741</f>
        <v>0</v>
      </c>
      <c r="X7742" s="38" t="n">
        <f aca="false">Sens!$X$7739-Sens!$X$7741</f>
        <v>0</v>
      </c>
      <c r="Y7742" s="38" t="n">
        <f aca="false">Sens!$Y$7739-Sens!$Y$7741</f>
        <v>0</v>
      </c>
      <c r="Z7742" s="38" t="n">
        <f aca="false">Sens!$Z$7739-Sens!$Z$7741</f>
        <v>0</v>
      </c>
      <c r="AA7742" s="38" t="n">
        <f aca="false">Sens!$AA$7739-Sens!$AA$7741</f>
        <v>0</v>
      </c>
    </row>
    <row r="7743" customFormat="false" ht="17.15" hidden="false" customHeight="false" outlineLevel="0" collapsed="false">
      <c r="A7743" s="5" t="s">
        <v>642</v>
      </c>
      <c r="B7743" s="0" t="s">
        <v>86</v>
      </c>
      <c r="R7743" s="38" t="n">
        <f aca="false">Sens!$R$7742*Sens!$C$7738</f>
        <v>0</v>
      </c>
      <c r="S7743" s="38" t="n">
        <f aca="false">Sens!$S$7742*Sens!$C$7738</f>
        <v>10.219074499801</v>
      </c>
      <c r="T7743" s="38" t="n">
        <f aca="false">Sens!$T$7742*Sens!$C$7738</f>
        <v>13.6989379390402</v>
      </c>
      <c r="U7743" s="38" t="n">
        <f aca="false">Sens!$U$7742*Sens!$E$7738</f>
        <v>23.0454203705653</v>
      </c>
      <c r="V7743" s="38" t="n">
        <f aca="false">Sens!$V$7742*Sens!$E$7738</f>
        <v>0</v>
      </c>
      <c r="W7743" s="38" t="n">
        <f aca="false">Sens!$W$7742*Sens!$E$7738</f>
        <v>0</v>
      </c>
      <c r="X7743" s="38" t="n">
        <f aca="false">Sens!$X$7742*Sens!$E$7738</f>
        <v>0</v>
      </c>
      <c r="Y7743" s="38" t="n">
        <f aca="false">Sens!$Y$7742*Sens!$E$7738</f>
        <v>0</v>
      </c>
      <c r="Z7743" s="38" t="n">
        <f aca="false">Sens!$Z$7742*Sens!$E$7738</f>
        <v>0</v>
      </c>
      <c r="AA7743" s="38" t="n">
        <f aca="false">Sens!$AA$7742*Sens!$E$7738</f>
        <v>0</v>
      </c>
    </row>
    <row r="7744" customFormat="false" ht="17.15" hidden="false" customHeight="false" outlineLevel="0" collapsed="false">
      <c r="A7744" s="5" t="s">
        <v>643</v>
      </c>
      <c r="B7744" s="0" t="s">
        <v>86</v>
      </c>
      <c r="R7744" s="38" t="n">
        <f aca="false">SUMPRODUCT(--(Sens!$R$7709:$AA$7709=2023-cip_lag),Sens!$R$7743:$AA$7743)</f>
        <v>0</v>
      </c>
      <c r="S7744" s="38" t="n">
        <f aca="false">SUMPRODUCT(--(Sens!$R$7709:$AA$7709=2024-cip_lag),Sens!$R$7743:$AA$7743)</f>
        <v>0</v>
      </c>
      <c r="T7744" s="38" t="n">
        <f aca="false">SUMPRODUCT(--(Sens!$R$7709:$AA$7709=2025-cip_lag),Sens!$R$7743:$AA$7743)</f>
        <v>10.219074499801</v>
      </c>
      <c r="U7744" s="38" t="n">
        <f aca="false">SUMPRODUCT(--(Sens!$R$7709:$AA$7709=2026-cip_lag),Sens!$R$7743:$AA$7743)</f>
        <v>13.6989379390402</v>
      </c>
      <c r="V7744" s="38" t="n">
        <f aca="false">SUMPRODUCT(--(Sens!$R$7709:$AA$7709=2027-cip_lag),Sens!$R$7743:$AA$7743)</f>
        <v>23.0454203705653</v>
      </c>
      <c r="W7744" s="38" t="n">
        <f aca="false">SUMPRODUCT(--(Sens!$R$7709:$AA$7709=2028-cip_lag),Sens!$R$7743:$AA$7743)</f>
        <v>0</v>
      </c>
      <c r="X7744" s="38" t="n">
        <f aca="false">SUMPRODUCT(--(Sens!$R$7709:$AA$7709=2029-cip_lag),Sens!$R$7743:$AA$7743)</f>
        <v>0</v>
      </c>
      <c r="Y7744" s="38" t="n">
        <f aca="false">SUMPRODUCT(--(Sens!$R$7709:$AA$7709=2030-cip_lag),Sens!$R$7743:$AA$7743)</f>
        <v>0</v>
      </c>
      <c r="Z7744" s="38" t="n">
        <f aca="false">SUMPRODUCT(--(Sens!$R$7709:$AA$7709=2031-cip_lag),Sens!$R$7743:$AA$7743)</f>
        <v>0</v>
      </c>
      <c r="AA7744" s="38" t="n">
        <f aca="false">SUMPRODUCT(--(Sens!$R$7709:$AA$7709=2032-cip_lag),Sens!$R$7743:$AA$7743)</f>
        <v>0</v>
      </c>
    </row>
    <row r="7745" customFormat="false" ht="15" hidden="false" customHeight="false" outlineLevel="0" collapsed="false">
      <c r="A7745" s="5" t="s">
        <v>644</v>
      </c>
      <c r="B7745" s="0" t="s">
        <v>86</v>
      </c>
      <c r="R7745" s="38" t="n">
        <f aca="false">SUMPRODUCT(--(Sens!$R$7709:$AA$7709=2023-cip_lag),Sens!$R$7742:$AA$7742)-Sens!$R$7744</f>
        <v>0</v>
      </c>
      <c r="S7745" s="38" t="n">
        <f aca="false">SUMPRODUCT(--(Sens!$R$7709:$AA$7709=2024-cip_lag),Sens!$R$7742:$AA$7742)-Sens!$S$7744</f>
        <v>0</v>
      </c>
      <c r="T7745" s="38" t="n">
        <f aca="false">SUMPRODUCT(--(Sens!$R$7709:$AA$7709=2025-cip_lag),Sens!$R$7742:$AA$7742)-Sens!$T$7744</f>
        <v>3.76516660793636</v>
      </c>
      <c r="U7745" s="38" t="n">
        <f aca="false">SUMPRODUCT(--(Sens!$R$7709:$AA$7709=2026-cip_lag),Sens!$R$7742:$AA$7742)-Sens!$U$7744</f>
        <v>5.04730479196242</v>
      </c>
      <c r="V7745" s="38" t="n">
        <f aca="false">SUMPRODUCT(--(Sens!$R$7709:$AA$7709=2027-cip_lag),Sens!$R$7742:$AA$7742)-Sens!$V$7744</f>
        <v>7.24592107794548</v>
      </c>
      <c r="W7745" s="38" t="n">
        <f aca="false">SUMPRODUCT(--(Sens!$R$7709:$AA$7709=2028-cip_lag),Sens!$R$7742:$AA$7742)-Sens!$W$7744</f>
        <v>0</v>
      </c>
      <c r="X7745" s="38" t="n">
        <f aca="false">SUMPRODUCT(--(Sens!$R$7709:$AA$7709=2029-cip_lag),Sens!$R$7742:$AA$7742)-Sens!$X$7744</f>
        <v>0</v>
      </c>
      <c r="Y7745" s="38" t="n">
        <f aca="false">SUMPRODUCT(--(Sens!$R$7709:$AA$7709=2030-cip_lag),Sens!$R$7742:$AA$7742)-Sens!$Y$7744</f>
        <v>0</v>
      </c>
      <c r="Z7745" s="38" t="n">
        <f aca="false">SUMPRODUCT(--(Sens!$R$7709:$AA$7709=2031-cip_lag),Sens!$R$7742:$AA$7742)-Sens!$Z$7744</f>
        <v>0</v>
      </c>
      <c r="AA7745" s="38" t="n">
        <f aca="false">SUMPRODUCT(--(Sens!$R$7709:$AA$7709=2032-cip_lag),Sens!$R$7742:$AA$7742)-Sens!$AA$7744</f>
        <v>0</v>
      </c>
    </row>
    <row r="7746" customFormat="false" ht="17.15" hidden="false" customHeight="false" outlineLevel="0" collapsed="false">
      <c r="A7746" s="5" t="s">
        <v>645</v>
      </c>
      <c r="B7746" s="0" t="s">
        <v>86</v>
      </c>
      <c r="C7746" s="38" t="n">
        <f aca="false">Sens!$C$7741*Sens!$C$7738</f>
        <v>8.2530642</v>
      </c>
      <c r="D7746" s="38" t="n">
        <f aca="false">Sens!$D$7741*Sens!$D$7738</f>
        <v>37.1387889</v>
      </c>
      <c r="E7746" s="38" t="n">
        <f aca="false">Sens!$E$7741*Sens!$E$7738</f>
        <v>25.7897792</v>
      </c>
      <c r="F7746" s="38" t="n">
        <f aca="false">Sens!$F$7741*Sens!$F$7738</f>
        <v>67.4948715189913</v>
      </c>
      <c r="G7746" s="38" t="n">
        <f aca="false">Sens!$E$7746+Sens!$F$7746</f>
        <v>93.2846507189913</v>
      </c>
      <c r="H7746" s="38" t="n">
        <f aca="false">(Sens!$H$7741-Sens!$H$7740)*Sens!$H$7738+Sens!$H$7740</f>
        <v>152.52478394475</v>
      </c>
      <c r="I7746" s="38" t="n">
        <f aca="false">(Sens!$I$7741-Sens!$I$7740)*Sens!$I$7738+Sens!$I$7740</f>
        <v>158.5998889105</v>
      </c>
      <c r="J7746" s="38" t="n">
        <f aca="false">(Sens!$J$7741-Sens!$J$7740)*Sens!$J$7738+Sens!$J$7740</f>
        <v>163.8366571105</v>
      </c>
      <c r="K7746" s="38" t="n">
        <f aca="false">(Sens!$K$7741-Sens!$K$7740)*Sens!$K$7738+Sens!$K$7740</f>
        <v>122.665498273534</v>
      </c>
      <c r="L7746" s="38" t="n">
        <f aca="false">(Sens!$L$7741-Sens!$L$7740)*Sens!$L$7738+Sens!$L$7740</f>
        <v>112.914948636568</v>
      </c>
      <c r="M7746" s="38" t="n">
        <f aca="false">(Sens!$M$7741-Sens!$M$7740)*Sens!$M$7738+Sens!$M$7740</f>
        <v>126.605482654852</v>
      </c>
      <c r="R7746" s="38" t="n">
        <f aca="false">Sens!$R$7741*Sens!$C$7738</f>
        <v>1.09927679019314</v>
      </c>
      <c r="S7746" s="38" t="n">
        <f aca="false">Sens!$C$7746</f>
        <v>8.2530642</v>
      </c>
      <c r="T7746" s="38" t="n">
        <f aca="false">Sens!$D$7746</f>
        <v>37.1387889</v>
      </c>
      <c r="U7746" s="38" t="n">
        <f aca="false">Sens!$G$7746</f>
        <v>93.2846507189913</v>
      </c>
      <c r="V7746" s="38" t="n">
        <f aca="false">Sens!$H$7746</f>
        <v>152.52478394475</v>
      </c>
      <c r="W7746" s="38" t="n">
        <f aca="false">Sens!$I$7746</f>
        <v>158.5998889105</v>
      </c>
      <c r="X7746" s="38" t="n">
        <f aca="false">Sens!$J$7746</f>
        <v>163.8366571105</v>
      </c>
      <c r="Y7746" s="38" t="n">
        <f aca="false">Sens!$K$7746</f>
        <v>122.665498273534</v>
      </c>
      <c r="Z7746" s="38" t="n">
        <f aca="false">Sens!$L$7746</f>
        <v>112.914948636568</v>
      </c>
      <c r="AA7746" s="38" t="n">
        <f aca="false">Sens!$M$7746</f>
        <v>126.605482654852</v>
      </c>
    </row>
    <row r="7747" customFormat="false" ht="15" hidden="false" customHeight="false" outlineLevel="0" collapsed="false">
      <c r="A7747" s="5" t="s">
        <v>646</v>
      </c>
      <c r="B7747" s="0" t="s">
        <v>86</v>
      </c>
      <c r="C7747" s="38" t="n">
        <f aca="false">Sens!$C$7741-Sens!$C$7746</f>
        <v>3.0408</v>
      </c>
      <c r="D7747" s="38" t="n">
        <f aca="false">Sens!$D$7741-Sens!$D$7746</f>
        <v>13.6836</v>
      </c>
      <c r="E7747" s="38" t="n">
        <f aca="false">Sens!$E$7741-Sens!$E$7746</f>
        <v>8.1088</v>
      </c>
      <c r="F7747" s="38" t="n">
        <f aca="false">Sens!$F$7741-Sens!$F$7746</f>
        <v>21.2216789422221</v>
      </c>
      <c r="G7747" s="38" t="n">
        <f aca="false">Sens!$G$7741-Sens!$G$7746</f>
        <v>29.3304789422221</v>
      </c>
      <c r="H7747" s="38" t="n">
        <f aca="false">Sens!$H$7741-Sens!$H$7746</f>
        <v>46.046581</v>
      </c>
      <c r="I7747" s="38" t="n">
        <f aca="false">Sens!$I$7741-Sens!$I$7746</f>
        <v>46.046581</v>
      </c>
      <c r="J7747" s="38" t="n">
        <f aca="false">Sens!$J$7741-Sens!$J$7746</f>
        <v>46.046581</v>
      </c>
      <c r="K7747" s="38" t="n">
        <f aca="false">Sens!$K$7741-Sens!$K$7746</f>
        <v>32.5728870016667</v>
      </c>
      <c r="L7747" s="38" t="n">
        <f aca="false">Sens!$L$7741-Sens!$L$7746</f>
        <v>19.0991930033334</v>
      </c>
      <c r="M7747" s="38" t="n">
        <f aca="false">Sens!$M$7741-Sens!$M$7746</f>
        <v>5.62549900499998</v>
      </c>
      <c r="R7747" s="38" t="n">
        <f aca="false">Sens!$R$7741-Sens!$R$7746</f>
        <v>0.405023005106309</v>
      </c>
      <c r="S7747" s="38" t="n">
        <f aca="false">Sens!$S$7741-Sens!$S$7746</f>
        <v>3.0408</v>
      </c>
      <c r="T7747" s="38" t="n">
        <f aca="false">Sens!$T$7741-Sens!$T$7746</f>
        <v>13.6836</v>
      </c>
      <c r="U7747" s="38" t="n">
        <f aca="false">Sens!$U$7741-Sens!$U$7746</f>
        <v>29.3304789422221</v>
      </c>
      <c r="V7747" s="38" t="n">
        <f aca="false">Sens!$V$7741-Sens!$V$7746</f>
        <v>46.046581</v>
      </c>
      <c r="W7747" s="38" t="n">
        <f aca="false">Sens!$W$7741-Sens!$W$7746</f>
        <v>46.046581</v>
      </c>
      <c r="X7747" s="38" t="n">
        <f aca="false">Sens!$X$7741-Sens!$X$7746</f>
        <v>46.046581</v>
      </c>
      <c r="Y7747" s="38" t="n">
        <f aca="false">Sens!$Y$7741-Sens!$Y$7746</f>
        <v>32.5728870016667</v>
      </c>
      <c r="Z7747" s="38" t="n">
        <f aca="false">Sens!$Z$7741-Sens!$Z$7746</f>
        <v>19.0991930033334</v>
      </c>
      <c r="AA7747" s="38" t="n">
        <f aca="false">Sens!$AA$7741-Sens!$AA$7746</f>
        <v>5.62549900499998</v>
      </c>
    </row>
    <row r="7748" customFormat="false" ht="17.15" hidden="false" customHeight="false" outlineLevel="0" collapsed="false">
      <c r="A7748" s="0" t="s">
        <v>647</v>
      </c>
      <c r="B7748" s="0" t="s">
        <v>52</v>
      </c>
      <c r="C7748" s="13" t="n">
        <f aca="false">Sens!$C$7739/Sens!$C$7864</f>
        <v>0.325505489553393</v>
      </c>
      <c r="D7748" s="13" t="n">
        <f aca="false">Sens!$D$7739/Sens!$D$7864</f>
        <v>0.54214956071542</v>
      </c>
      <c r="E7748" s="13" t="n">
        <f aca="false">Sens!$E$7739/Sens!$E$7864</f>
        <v>0.666492790452817</v>
      </c>
      <c r="F7748" s="13" t="n">
        <f aca="false">Sens!$F$7739/Sens!$F$7864</f>
        <v>0.71724917504417</v>
      </c>
      <c r="G7748" s="13" t="n">
        <f aca="false">Sens!$G$7739/Sens!$G$7864</f>
        <v>0.69502941413511</v>
      </c>
      <c r="H7748" s="13" t="n">
        <f aca="false">Sens!$H$7739/Sens!$H$7864</f>
        <v>0.726376041178204</v>
      </c>
      <c r="I7748" s="13" t="n">
        <f aca="false">Sens!$I$7739/Sens!$I$7864</f>
        <v>0.713099092661699</v>
      </c>
      <c r="J7748" s="13" t="n">
        <f aca="false">Sens!$J$7739/Sens!$J$7864</f>
        <v>0.701208348786245</v>
      </c>
      <c r="K7748" s="13" t="n">
        <f aca="false">Sens!$K$7739/Sens!$K$7864</f>
        <v>0.618338844562383</v>
      </c>
      <c r="L7748" s="13" t="n">
        <f aca="false">Sens!$L$7739/Sens!$L$7864</f>
        <v>0.562489158462506</v>
      </c>
      <c r="M7748" s="13" t="n">
        <f aca="false">Sens!$M$7739/Sens!$M$7864</f>
        <v>0.545751190895923</v>
      </c>
    </row>
    <row r="7749" customFormat="false" ht="17.15" hidden="false" customHeight="false" outlineLevel="0" collapsed="false">
      <c r="A7749" s="0" t="s">
        <v>648</v>
      </c>
      <c r="B7749" s="0" t="s">
        <v>86</v>
      </c>
      <c r="C7749" s="38" t="n">
        <f aca="false">Sens!$S$7749</f>
        <v>0.183212798365523</v>
      </c>
      <c r="D7749" s="38" t="n">
        <f aca="false">Sens!$T$7749</f>
        <v>1.55872349836552</v>
      </c>
      <c r="E7749" s="38" t="n">
        <f aca="false">Sens!$G$7749/2</f>
        <v>4.72585036583285</v>
      </c>
      <c r="F7749" s="38" t="n">
        <f aca="false">Sens!$G$7749/2</f>
        <v>4.72585036583285</v>
      </c>
      <c r="G7749" s="38" t="n">
        <f aca="false">Sens!$U$7749</f>
        <v>9.4517007316657</v>
      </c>
      <c r="H7749" s="38" t="n">
        <f aca="false">Sens!$V$7749</f>
        <v>27.2822988413376</v>
      </c>
      <c r="I7749" s="38" t="n">
        <f aca="false">Sens!$W$7749</f>
        <v>56.5439995605568</v>
      </c>
      <c r="J7749" s="38" t="n">
        <f aca="false">Sens!$X$7749</f>
        <v>82.9773143789735</v>
      </c>
      <c r="K7749" s="38" t="n">
        <f aca="false">Sens!$Y$7749</f>
        <v>110.100211099025</v>
      </c>
      <c r="L7749" s="38" t="n">
        <f aca="false">Sens!$Z$7749</f>
        <v>129.16895011128</v>
      </c>
      <c r="M7749" s="38" t="n">
        <f aca="false">Sens!$AA$7749</f>
        <v>140.095130984075</v>
      </c>
      <c r="N7749" s="38" t="n">
        <f aca="false">Sens!$D$7749/2</f>
        <v>0.779361749182762</v>
      </c>
      <c r="O7749" s="38" t="n">
        <f aca="false">Sens!$D$7749/2</f>
        <v>0.779361749182762</v>
      </c>
      <c r="R7749" s="38" t="n">
        <f aca="false">(SUMPRODUCT(--(Sens!$R$7709:$AA$7709&lt;Sens!R$7709),--(Sens!$R$7709:$AA$7709&gt;=Sens!R$7709-tk_life),Sens!$R$7746:$AA$7746)+SUMPRODUCT(--(Sens!$R$7709:$AA$7709&lt;Sens!R$7709),--(Sens!$R$7709:$AA$7709&gt;=Sens!R$7709-tk_life),Sens!$R$7744:$AA$7744))/tk_life</f>
        <v>0</v>
      </c>
      <c r="S7749" s="38" t="n">
        <f aca="false">(SUMPRODUCT(--(Sens!$R$7709:$AA$7709&lt;Sens!S$7709),--(Sens!$R$7709:$AA$7709&gt;=Sens!S$7709-tk_life),Sens!$R$7746:$AA$7746)+SUMPRODUCT(--(Sens!$R$7709:$AA$7709&lt;Sens!S$7709),--(Sens!$R$7709:$AA$7709&gt;=Sens!S$7709-tk_life),Sens!$R$7744:$AA$7744))/tk_life</f>
        <v>0.183212798365523</v>
      </c>
      <c r="T7749" s="38" t="n">
        <f aca="false">(SUMPRODUCT(--(Sens!$R$7709:$AA$7709&lt;Sens!T$7709),--(Sens!$R$7709:$AA$7709&gt;=Sens!T$7709-tk_life),Sens!$R$7746:$AA$7746)+SUMPRODUCT(--(Sens!$R$7709:$AA$7709&lt;Sens!T$7709),--(Sens!$R$7709:$AA$7709&gt;=Sens!T$7709-tk_life),Sens!$R$7744:$AA$7744))/tk_life</f>
        <v>1.55872349836552</v>
      </c>
      <c r="U7749" s="38" t="n">
        <f aca="false">(SUMPRODUCT(--(Sens!$R$7709:$AA$7709&lt;Sens!U$7709),--(Sens!$R$7709:$AA$7709&gt;=Sens!U$7709-tk_life),Sens!$R$7746:$AA$7746)+SUMPRODUCT(--(Sens!$R$7709:$AA$7709&lt;Sens!U$7709),--(Sens!$R$7709:$AA$7709&gt;=Sens!U$7709-tk_life),Sens!$R$7744:$AA$7744))/tk_life</f>
        <v>9.4517007316657</v>
      </c>
      <c r="V7749" s="38" t="n">
        <f aca="false">(SUMPRODUCT(--(Sens!$R$7709:$AA$7709&lt;Sens!V$7709),--(Sens!$R$7709:$AA$7709&gt;=Sens!V$7709-tk_life),Sens!$R$7746:$AA$7746)+SUMPRODUCT(--(Sens!$R$7709:$AA$7709&lt;Sens!V$7709),--(Sens!$R$7709:$AA$7709&gt;=Sens!V$7709-tk_life),Sens!$R$7744:$AA$7744))/tk_life</f>
        <v>27.2822988413376</v>
      </c>
      <c r="W7749" s="38" t="n">
        <f aca="false">(SUMPRODUCT(--(Sens!$R$7709:$AA$7709&lt;Sens!W$7709),--(Sens!$R$7709:$AA$7709&gt;=Sens!W$7709-tk_life),Sens!$R$7746:$AA$7746)+SUMPRODUCT(--(Sens!$R$7709:$AA$7709&lt;Sens!W$7709),--(Sens!$R$7709:$AA$7709&gt;=Sens!W$7709-tk_life),Sens!$R$7744:$AA$7744))/tk_life</f>
        <v>56.5439995605568</v>
      </c>
      <c r="X7749" s="38" t="n">
        <f aca="false">(SUMPRODUCT(--(Sens!$R$7709:$AA$7709&lt;Sens!X$7709),--(Sens!$R$7709:$AA$7709&gt;=Sens!X$7709-tk_life),Sens!$R$7746:$AA$7746)+SUMPRODUCT(--(Sens!$R$7709:$AA$7709&lt;Sens!X$7709),--(Sens!$R$7709:$AA$7709&gt;=Sens!X$7709-tk_life),Sens!$R$7744:$AA$7744))/tk_life</f>
        <v>82.9773143789735</v>
      </c>
      <c r="Y7749" s="38" t="n">
        <f aca="false">(SUMPRODUCT(--(Sens!$R$7709:$AA$7709&lt;Sens!Y$7709),--(Sens!$R$7709:$AA$7709&gt;=Sens!Y$7709-tk_life),Sens!$R$7746:$AA$7746)+SUMPRODUCT(--(Sens!$R$7709:$AA$7709&lt;Sens!Y$7709),--(Sens!$R$7709:$AA$7709&gt;=Sens!Y$7709-tk_life),Sens!$R$7744:$AA$7744))/tk_life</f>
        <v>110.100211099025</v>
      </c>
      <c r="Z7749" s="38" t="n">
        <f aca="false">(SUMPRODUCT(--(Sens!$R$7709:$AA$7709&lt;Sens!Z$7709),--(Sens!$R$7709:$AA$7709&gt;=Sens!Z$7709-tk_life),Sens!$R$7746:$AA$7746)+SUMPRODUCT(--(Sens!$R$7709:$AA$7709&lt;Sens!Z$7709),--(Sens!$R$7709:$AA$7709&gt;=Sens!Z$7709-tk_life),Sens!$R$7744:$AA$7744))/tk_life</f>
        <v>129.16895011128</v>
      </c>
      <c r="AA7749" s="38" t="n">
        <f aca="false">(SUMPRODUCT(--(Sens!$R$7709:$AA$7709&lt;Sens!AA$7709),--(Sens!$R$7709:$AA$7709&gt;=Sens!AA$7709-tk_life),Sens!$R$7746:$AA$7746)+SUMPRODUCT(--(Sens!$R$7709:$AA$7709&lt;Sens!AA$7709),--(Sens!$R$7709:$AA$7709&gt;=Sens!AA$7709-tk_life),Sens!$R$7744:$AA$7744))/tk_life</f>
        <v>140.095130984075</v>
      </c>
    </row>
    <row r="7750" customFormat="false" ht="17.15" hidden="false" customHeight="false" outlineLevel="0" collapsed="false">
      <c r="A7750" s="0" t="s">
        <v>649</v>
      </c>
      <c r="B7750" s="0" t="s">
        <v>86</v>
      </c>
      <c r="C7750" s="38" t="n">
        <f aca="false">Sens!$S$7750</f>
        <v>0.0202511502553155</v>
      </c>
      <c r="D7750" s="38" t="n">
        <f aca="false">Sens!$T$7750</f>
        <v>0.172291150255315</v>
      </c>
      <c r="E7750" s="38" t="n">
        <f aca="false">Sens!$G$7750/2</f>
        <v>0.522364740326067</v>
      </c>
      <c r="F7750" s="38" t="n">
        <f aca="false">Sens!$G$7750/2</f>
        <v>0.522364740326067</v>
      </c>
      <c r="G7750" s="38" t="n">
        <f aca="false">Sens!$U$7750</f>
        <v>1.04472948065213</v>
      </c>
      <c r="H7750" s="38" t="n">
        <f aca="false">Sens!$V$7750</f>
        <v>2.76361866736136</v>
      </c>
      <c r="I7750" s="38" t="n">
        <f aca="false">Sens!$W$7750</f>
        <v>5.42824377125863</v>
      </c>
      <c r="J7750" s="38" t="n">
        <f aca="false">Sens!$X$7750</f>
        <v>7.73057282125864</v>
      </c>
      <c r="K7750" s="38" t="n">
        <f aca="false">Sens!$Y$7750</f>
        <v>10.0329018712586</v>
      </c>
      <c r="L7750" s="38" t="n">
        <f aca="false">Sens!$Z$7750</f>
        <v>11.661546221342</v>
      </c>
      <c r="M7750" s="38" t="n">
        <f aca="false">Sens!$AA$7750</f>
        <v>12.6165058715086</v>
      </c>
      <c r="N7750" s="38" t="n">
        <f aca="false">Sens!$D$7750/2</f>
        <v>0.0861455751276577</v>
      </c>
      <c r="O7750" s="38" t="n">
        <f aca="false">Sens!$D$7750/2</f>
        <v>0.0861455751276577</v>
      </c>
      <c r="R7750" s="38" t="n">
        <f aca="false">(SUMPRODUCT(--(Sens!$R$7709:$AA$7709&lt;Sens!R$7709),Sens!$R$7747:$AA$7747)+SUMPRODUCT(--(Sens!$R$7709:$AA$7709&lt;Sens!R$7709),Sens!$R$7745:$AA$7745))/fac_life</f>
        <v>0</v>
      </c>
      <c r="S7750" s="38" t="n">
        <f aca="false">(SUMPRODUCT(--(Sens!$R$7709:$AA$7709&lt;Sens!S$7709),Sens!$R$7747:$AA$7747)+SUMPRODUCT(--(Sens!$R$7709:$AA$7709&lt;Sens!S$7709),Sens!$R$7745:$AA$7745))/fac_life</f>
        <v>0.0202511502553155</v>
      </c>
      <c r="T7750" s="38" t="n">
        <f aca="false">(SUMPRODUCT(--(Sens!$R$7709:$AA$7709&lt;Sens!T$7709),Sens!$R$7747:$AA$7747)+SUMPRODUCT(--(Sens!$R$7709:$AA$7709&lt;Sens!T$7709),Sens!$R$7745:$AA$7745))/fac_life</f>
        <v>0.172291150255315</v>
      </c>
      <c r="U7750" s="38" t="n">
        <f aca="false">(SUMPRODUCT(--(Sens!$R$7709:$AA$7709&lt;Sens!U$7709),Sens!$R$7747:$AA$7747)+SUMPRODUCT(--(Sens!$R$7709:$AA$7709&lt;Sens!U$7709),Sens!$R$7745:$AA$7745))/fac_life</f>
        <v>1.04472948065213</v>
      </c>
      <c r="V7750" s="38" t="n">
        <f aca="false">(SUMPRODUCT(--(Sens!$R$7709:$AA$7709&lt;Sens!V$7709),Sens!$R$7747:$AA$7747)+SUMPRODUCT(--(Sens!$R$7709:$AA$7709&lt;Sens!V$7709),Sens!$R$7745:$AA$7745))/fac_life</f>
        <v>2.76361866736136</v>
      </c>
      <c r="W7750" s="38" t="n">
        <f aca="false">(SUMPRODUCT(--(Sens!$R$7709:$AA$7709&lt;Sens!W$7709),Sens!$R$7747:$AA$7747)+SUMPRODUCT(--(Sens!$R$7709:$AA$7709&lt;Sens!W$7709),Sens!$R$7745:$AA$7745))/fac_life</f>
        <v>5.42824377125863</v>
      </c>
      <c r="X7750" s="38" t="n">
        <f aca="false">(SUMPRODUCT(--(Sens!$R$7709:$AA$7709&lt;Sens!X$7709),Sens!$R$7747:$AA$7747)+SUMPRODUCT(--(Sens!$R$7709:$AA$7709&lt;Sens!X$7709),Sens!$R$7745:$AA$7745))/fac_life</f>
        <v>7.73057282125864</v>
      </c>
      <c r="Y7750" s="38" t="n">
        <f aca="false">(SUMPRODUCT(--(Sens!$R$7709:$AA$7709&lt;Sens!Y$7709),Sens!$R$7747:$AA$7747)+SUMPRODUCT(--(Sens!$R$7709:$AA$7709&lt;Sens!Y$7709),Sens!$R$7745:$AA$7745))/fac_life</f>
        <v>10.0329018712586</v>
      </c>
      <c r="Z7750" s="38" t="n">
        <f aca="false">(SUMPRODUCT(--(Sens!$R$7709:$AA$7709&lt;Sens!Z$7709),Sens!$R$7747:$AA$7747)+SUMPRODUCT(--(Sens!$R$7709:$AA$7709&lt;Sens!Z$7709),Sens!$R$7745:$AA$7745))/fac_life</f>
        <v>11.661546221342</v>
      </c>
      <c r="AA7750" s="38" t="n">
        <f aca="false">(SUMPRODUCT(--(Sens!$R$7709:$AA$7709&lt;Sens!AA$7709),Sens!$R$7747:$AA$7747)+SUMPRODUCT(--(Sens!$R$7709:$AA$7709&lt;Sens!AA$7709),Sens!$R$7745:$AA$7745))/fac_life</f>
        <v>12.6165058715086</v>
      </c>
    </row>
    <row r="7751" customFormat="false" ht="17.15" hidden="false" customHeight="false" outlineLevel="0" collapsed="false">
      <c r="A7751" s="1" t="s">
        <v>650</v>
      </c>
      <c r="B7751" s="8" t="s">
        <v>86</v>
      </c>
      <c r="C7751" s="38" t="n">
        <f aca="false">Sens!$C$7749+Sens!$C$7750</f>
        <v>0.203463948620839</v>
      </c>
      <c r="D7751" s="38" t="n">
        <f aca="false">Sens!$D$7749+Sens!$D$7750</f>
        <v>1.73101464862084</v>
      </c>
      <c r="E7751" s="38" t="n">
        <f aca="false">Sens!$E$7749+Sens!$E$7750</f>
        <v>5.24821510615892</v>
      </c>
      <c r="F7751" s="38" t="n">
        <f aca="false">Sens!$F$7749+Sens!$F$7750</f>
        <v>5.24821510615892</v>
      </c>
      <c r="G7751" s="38" t="n">
        <f aca="false">Sens!$G$7749+Sens!$G$7750</f>
        <v>10.4964302123178</v>
      </c>
      <c r="H7751" s="38" t="n">
        <f aca="false">Sens!$H$7749+Sens!$H$7750</f>
        <v>30.045917508699</v>
      </c>
      <c r="I7751" s="38" t="n">
        <f aca="false">Sens!$I$7749+Sens!$I$7750</f>
        <v>61.9722433318155</v>
      </c>
      <c r="J7751" s="38" t="n">
        <f aca="false">Sens!$J$7749+Sens!$J$7750</f>
        <v>90.7078872002321</v>
      </c>
      <c r="K7751" s="38" t="n">
        <f aca="false">Sens!$K$7749+Sens!$K$7750</f>
        <v>120.133112970283</v>
      </c>
      <c r="L7751" s="38" t="n">
        <f aca="false">Sens!$L$7749+Sens!$L$7750</f>
        <v>140.830496332622</v>
      </c>
      <c r="M7751" s="38" t="n">
        <f aca="false">Sens!$M$7749+Sens!$M$7750</f>
        <v>152.711636855584</v>
      </c>
      <c r="N7751" s="38" t="n">
        <f aca="false">Sens!$N$7749+Sens!$N$7750</f>
        <v>0.865507324310419</v>
      </c>
      <c r="O7751" s="38" t="n">
        <f aca="false">Sens!$O$7749+Sens!$O$7750</f>
        <v>0.865507324310419</v>
      </c>
      <c r="R7751" s="38" t="n">
        <f aca="false">Sens!$R$7749+Sens!$R$7750</f>
        <v>0</v>
      </c>
      <c r="S7751" s="38" t="n">
        <f aca="false">Sens!$S$7749+Sens!$S$7750</f>
        <v>0.203463948620839</v>
      </c>
      <c r="T7751" s="38" t="n">
        <f aca="false">Sens!$T$7749+Sens!$T$7750</f>
        <v>1.73101464862084</v>
      </c>
      <c r="U7751" s="38" t="n">
        <f aca="false">Sens!$U$7749+Sens!$U$7750</f>
        <v>10.4964302123178</v>
      </c>
      <c r="V7751" s="38" t="n">
        <f aca="false">Sens!$V$7749+Sens!$V$7750</f>
        <v>30.045917508699</v>
      </c>
      <c r="W7751" s="38" t="n">
        <f aca="false">Sens!$W$7749+Sens!$W$7750</f>
        <v>61.9722433318155</v>
      </c>
      <c r="X7751" s="38" t="n">
        <f aca="false">Sens!$X$7749+Sens!$X$7750</f>
        <v>90.7078872002321</v>
      </c>
      <c r="Y7751" s="38" t="n">
        <f aca="false">Sens!$Y$7749+Sens!$Y$7750</f>
        <v>120.133112970283</v>
      </c>
      <c r="Z7751" s="38" t="n">
        <f aca="false">Sens!$Z$7749+Sens!$Z$7750</f>
        <v>140.830496332622</v>
      </c>
      <c r="AA7751" s="38" t="n">
        <f aca="false">Sens!$AA$7749+Sens!$AA$7750</f>
        <v>152.711636855584</v>
      </c>
    </row>
    <row r="7752" customFormat="false" ht="17.15" hidden="false" customHeight="false" outlineLevel="0" collapsed="false">
      <c r="A7752" s="0" t="s">
        <v>651</v>
      </c>
      <c r="B7752" s="0" t="s">
        <v>86</v>
      </c>
      <c r="C7752" s="38" t="n">
        <f aca="false">Sens!$S$7752</f>
        <v>26.578941154416</v>
      </c>
      <c r="D7752" s="38" t="n">
        <f aca="false">Sens!$T$7752</f>
        <v>94.4165581367978</v>
      </c>
      <c r="G7752" s="38" t="n">
        <f aca="false">Sens!$U$7752</f>
        <v>236.826599034204</v>
      </c>
      <c r="H7752" s="38" t="n">
        <f aca="false">Sens!$V$7752</f>
        <v>405.352046470255</v>
      </c>
      <c r="I7752" s="38" t="n">
        <f aca="false">Sens!$W$7752</f>
        <v>548.02627304894</v>
      </c>
      <c r="J7752" s="38" t="n">
        <f aca="false">Sens!$X$7752</f>
        <v>667.201623959208</v>
      </c>
      <c r="K7752" s="38" t="n">
        <f aca="false">Sens!$Y$7752</f>
        <v>702.306896264125</v>
      </c>
      <c r="L7752" s="38" t="n">
        <f aca="false">Sens!$Z$7752</f>
        <v>693.490541571405</v>
      </c>
      <c r="M7752" s="38" t="n">
        <f aca="false">Sens!$AA$7752</f>
        <v>673.009886375674</v>
      </c>
      <c r="R7752" s="38" t="n">
        <f aca="false">SUM(Sens!$R$7739:$R$7739)-SUM(Sens!$R$7751:$R$7751)</f>
        <v>1.50429979529945</v>
      </c>
      <c r="S7752" s="38" t="n">
        <f aca="false">SUM(Sens!$R$7739:$S$7739)-SUM(Sens!$R$7751:$S$7751)</f>
        <v>26.578941154416</v>
      </c>
      <c r="T7752" s="38" t="n">
        <f aca="false">SUM(Sens!$R$7739:$T$7739)-SUM(Sens!$R$7751:$T$7751)</f>
        <v>94.4165581367978</v>
      </c>
      <c r="U7752" s="38" t="n">
        <f aca="false">SUM(Sens!$R$7739:$U$7739)-SUM(Sens!$R$7751:$U$7751)</f>
        <v>236.826599034204</v>
      </c>
      <c r="V7752" s="38" t="n">
        <f aca="false">SUM(Sens!$R$7739:$V$7739)-SUM(Sens!$R$7751:$V$7751)</f>
        <v>405.352046470255</v>
      </c>
      <c r="W7752" s="38" t="n">
        <f aca="false">SUM(Sens!$R$7739:$W$7739)-SUM(Sens!$R$7751:$W$7751)</f>
        <v>548.02627304894</v>
      </c>
      <c r="X7752" s="38" t="n">
        <f aca="false">SUM(Sens!$R$7739:$X$7739)-SUM(Sens!$R$7751:$X$7751)</f>
        <v>667.201623959208</v>
      </c>
      <c r="Y7752" s="38" t="n">
        <f aca="false">SUM(Sens!$R$7739:$Y$7739)-SUM(Sens!$R$7751:$Y$7751)</f>
        <v>702.306896264125</v>
      </c>
      <c r="Z7752" s="38" t="n">
        <f aca="false">SUM(Sens!$R$7739:$Z$7739)-SUM(Sens!$R$7751:$Z$7751)</f>
        <v>693.490541571405</v>
      </c>
      <c r="AA7752" s="38" t="n">
        <f aca="false">SUM(Sens!$R$7739:$AA$7739)-SUM(Sens!$R$7751:$AA$7751)</f>
        <v>673.009886375674</v>
      </c>
    </row>
    <row r="7753" customFormat="false" ht="17.15" hidden="false" customHeight="false" outlineLevel="0" collapsed="false">
      <c r="A7753" s="1" t="s">
        <v>652</v>
      </c>
    </row>
    <row r="7754" customFormat="false" ht="17.15" hidden="false" customHeight="false" outlineLevel="0" collapsed="false">
      <c r="A7754" s="0" t="s">
        <v>653</v>
      </c>
      <c r="B7754" s="0" t="s">
        <v>86</v>
      </c>
      <c r="C7754" s="38" t="n">
        <f aca="false">Sens!$C$7730-ext_sh*Sens!$C$7732</f>
        <v>1.80694998843362</v>
      </c>
      <c r="D7754" s="38" t="n">
        <f aca="false">Sens!$D$7730-ext_sh*Sens!$D$7732</f>
        <v>6.77606245662607</v>
      </c>
      <c r="E7754" s="38" t="n">
        <f aca="false">Sens!$E$7730-ext_sh*Sens!$E$7732</f>
        <v>6.62548329092326</v>
      </c>
      <c r="F7754" s="38" t="n">
        <f aca="false">Sens!$F$7730-ext_sh*Sens!$F$7732</f>
        <v>11.7200577158706</v>
      </c>
      <c r="G7754" s="38" t="n">
        <f aca="false">Sens!$G$7730-ext_sh*Sens!$G$7732</f>
        <v>18.3455410067939</v>
      </c>
      <c r="H7754" s="38" t="n">
        <f aca="false">Sens!$H$7730-ext_sh*Sens!$H$7732</f>
        <v>47.5171727060453</v>
      </c>
      <c r="I7754" s="38" t="n">
        <f aca="false">Sens!$I$7730-ext_sh*Sens!$I$7732</f>
        <v>80.5539692643667</v>
      </c>
      <c r="J7754" s="38" t="n">
        <f aca="false">Sens!$J$7730-ext_sh*Sens!$J$7732</f>
        <v>113.759316834883</v>
      </c>
      <c r="K7754" s="38" t="n">
        <f aca="false">Sens!$K$7730-ext_sh*Sens!$K$7732</f>
        <v>142.084411492169</v>
      </c>
      <c r="L7754" s="38" t="n">
        <f aca="false">Sens!$L$7730-ext_sh*Sens!$L$7732</f>
        <v>160.69964615804</v>
      </c>
      <c r="M7754" s="38" t="n">
        <f aca="false">Sens!$M$7730-ext_sh*Sens!$M$7732</f>
        <v>169.577607141793</v>
      </c>
      <c r="N7754" s="38" t="n">
        <f aca="false">Sens!$N$7730-ext_sh*Sens!$N$7732</f>
        <v>2.37162185981912</v>
      </c>
      <c r="O7754" s="38" t="n">
        <f aca="false">Sens!$O$7730-ext_sh*Sens!$O$7732</f>
        <v>4.40444059680694</v>
      </c>
    </row>
    <row r="7755" customFormat="false" ht="17.15" hidden="false" customHeight="false" outlineLevel="0" collapsed="false">
      <c r="A7755" s="1" t="s">
        <v>654</v>
      </c>
      <c r="B7755" s="8" t="s">
        <v>86</v>
      </c>
      <c r="C7755" s="38" t="n">
        <f aca="false">Sens!$C$7754-ext_sh*Sens!$C$7751</f>
        <v>1.64417882953695</v>
      </c>
      <c r="D7755" s="38" t="n">
        <f aca="false">Sens!$D$7754-ext_sh*Sens!$D$7751</f>
        <v>5.39125073772939</v>
      </c>
      <c r="E7755" s="38" t="n">
        <f aca="false">Sens!$E$7754-ext_sh*Sens!$E$7751</f>
        <v>2.42691120599613</v>
      </c>
      <c r="F7755" s="38" t="n">
        <f aca="false">Sens!$F$7754-ext_sh*Sens!$F$7751</f>
        <v>7.52148563094346</v>
      </c>
      <c r="G7755" s="38" t="n">
        <f aca="false">Sens!$G$7754-ext_sh*Sens!$G$7751</f>
        <v>9.94839683693959</v>
      </c>
      <c r="H7755" s="38" t="n">
        <f aca="false">Sens!$H$7754-ext_sh*Sens!$H$7751</f>
        <v>23.4804386990861</v>
      </c>
      <c r="I7755" s="38" t="n">
        <f aca="false">Sens!$I$7754-ext_sh*Sens!$I$7751</f>
        <v>30.9761745989143</v>
      </c>
      <c r="J7755" s="38" t="n">
        <f aca="false">Sens!$J$7754-ext_sh*Sens!$J$7751</f>
        <v>41.1930070746977</v>
      </c>
      <c r="K7755" s="38" t="n">
        <f aca="false">Sens!$K$7754-ext_sh*Sens!$K$7751</f>
        <v>45.9779211159428</v>
      </c>
      <c r="L7755" s="38" t="n">
        <f aca="false">Sens!$L$7754-ext_sh*Sens!$L$7751</f>
        <v>48.0352490919424</v>
      </c>
      <c r="M7755" s="38" t="n">
        <f aca="false">Sens!$M$7754-ext_sh*Sens!$M$7751</f>
        <v>47.4082976573265</v>
      </c>
      <c r="N7755" s="38" t="n">
        <f aca="false">Sens!$N$7754-ext_sh*Sens!$N$7751</f>
        <v>1.67921600037079</v>
      </c>
      <c r="O7755" s="38" t="n">
        <f aca="false">Sens!$O$7754-ext_sh*Sens!$O$7751</f>
        <v>3.71203473735861</v>
      </c>
    </row>
    <row r="7756" customFormat="false" ht="17.15" hidden="false" customHeight="false" outlineLevel="0" collapsed="false">
      <c r="A7756" s="0" t="s">
        <v>655</v>
      </c>
      <c r="B7756" s="0" t="s">
        <v>52</v>
      </c>
      <c r="C7756" s="13" t="n">
        <f aca="false">Sens!$C$7755/Sens!$C$7730</f>
        <v>0.708390794789371</v>
      </c>
      <c r="D7756" s="13" t="n">
        <f aca="false">Sens!$D$7755/Sens!$D$7730</f>
        <v>0.619415573115729</v>
      </c>
      <c r="E7756" s="13" t="n">
        <f aca="false">Sens!$E$7755/Sens!$E$7730</f>
        <v>0.285171627189009</v>
      </c>
      <c r="F7756" s="13" t="n">
        <f aca="false">Sens!$F$7755/Sens!$F$7730</f>
        <v>0.502657732812366</v>
      </c>
      <c r="G7756" s="13" t="n">
        <f aca="false">Sens!$G$7755/Sens!$G$7730</f>
        <v>0.423808778611812</v>
      </c>
      <c r="H7756" s="13" t="n">
        <f aca="false">Sens!$H$7755/Sens!$H$7730</f>
        <v>0.390261631739809</v>
      </c>
      <c r="I7756" s="13" t="n">
        <f aca="false">Sens!$I$7755/Sens!$I$7730</f>
        <v>0.305172864264572</v>
      </c>
      <c r="J7756" s="13" t="n">
        <f aca="false">Sens!$J$7755/Sens!$J$7730</f>
        <v>0.288011814789856</v>
      </c>
      <c r="K7756" s="13" t="n">
        <f aca="false">Sens!$K$7755/Sens!$K$7730</f>
        <v>0.25765427518774</v>
      </c>
      <c r="L7756" s="13" t="n">
        <f aca="false">Sens!$L$7755/Sens!$L$7730</f>
        <v>0.238118778012374</v>
      </c>
      <c r="M7756" s="13" t="n">
        <f aca="false">Sens!$M$7755/Sens!$M$7730</f>
        <v>0.222746255757109</v>
      </c>
      <c r="N7756" s="13" t="n">
        <f aca="false">Sens!$N$7755/Sens!$N$7730</f>
        <v>0.551227795793364</v>
      </c>
      <c r="O7756" s="13" t="n">
        <f aca="false">Sens!$O$7755/Sens!$O$7730</f>
        <v>0.656132068597002</v>
      </c>
    </row>
    <row r="7757" customFormat="false" ht="17.15" hidden="false" customHeight="false" outlineLevel="0" collapsed="false">
      <c r="A7757" s="5" t="s">
        <v>656</v>
      </c>
      <c r="B7757" s="0" t="s">
        <v>86</v>
      </c>
      <c r="C7757" s="39" t="n">
        <v>0</v>
      </c>
      <c r="D7757" s="39" t="n">
        <v>0</v>
      </c>
      <c r="E7757" s="39" t="n">
        <v>0</v>
      </c>
      <c r="F7757" s="38" t="n">
        <f aca="false">IF(internal_ai_reading=2,1,0)*(1-ext_sh)/ext_sh*(mw_open*he_open+Sens!$F$7728*Sens!$F$7725)*Sens!$F$7714/1000</f>
        <v>3.77122048175818</v>
      </c>
      <c r="G7757" s="38" t="n">
        <f aca="false">Sens!$E$7757+Sens!$F$7757</f>
        <v>3.77122048175818</v>
      </c>
      <c r="H7757" s="38" t="n">
        <f aca="false">IF(internal_ai_reading=2,1,0)*(1-ext_sh)/ext_sh*(mw_open*he_open+Sens!$H$7728*Sens!$H$7725)*Sens!$H$7714/1000</f>
        <v>15.1635543609893</v>
      </c>
      <c r="I7757" s="38" t="n">
        <f aca="false">IF(internal_ai_reading=2,1,0)*(1-ext_sh)/ext_sh*(mw_open*he_open+Sens!$I$7728*Sens!$I$7725)*Sens!$I$7714/1000</f>
        <v>25.5818843619889</v>
      </c>
      <c r="J7757" s="38" t="n">
        <f aca="false">IF(internal_ai_reading=2,1,0)*(1-ext_sh)/ext_sh*(mw_open*he_open+Sens!$J$7728*Sens!$J$7725)*Sens!$J$7714/1000</f>
        <v>36.0465624179122</v>
      </c>
      <c r="K7757" s="38" t="n">
        <f aca="false">IF(internal_ai_reading=2,1,0)*(1-ext_sh)/ext_sh*(mw_open*he_open+Sens!$K$7728*Sens!$K$7725)*Sens!$K$7714/1000</f>
        <v>44.9741164026038</v>
      </c>
      <c r="L7757" s="38" t="n">
        <f aca="false">IF(internal_ai_reading=2,1,0)*(1-ext_sh)/ext_sh*(mw_open*he_open+Sens!$L$7728*Sens!$L$7725)*Sens!$L$7714/1000</f>
        <v>50.8413488057813</v>
      </c>
      <c r="M7757" s="38" t="n">
        <f aca="false">IF(internal_ai_reading=2,1,0)*(1-ext_sh)/ext_sh*(mw_open*he_open+Sens!$M$7728*Sens!$M$7725)*Sens!$M$7714/1000</f>
        <v>53.6407214274315</v>
      </c>
      <c r="N7757" s="39" t="n">
        <v>0</v>
      </c>
      <c r="O7757" s="39" t="n">
        <v>0</v>
      </c>
      <c r="P7757" s="8" t="s">
        <v>657</v>
      </c>
    </row>
    <row r="7758" customFormat="false" ht="17.15" hidden="false" customHeight="false" outlineLevel="0" collapsed="false">
      <c r="A7758" s="5" t="s">
        <v>658</v>
      </c>
      <c r="B7758" s="0" t="s">
        <v>86</v>
      </c>
      <c r="C7758" s="38" t="n">
        <f aca="false">(1-ext_sh)*(Sens!$C$7732+Sens!$C$7751)</f>
        <v>0.169206631859174</v>
      </c>
      <c r="D7758" s="38" t="n">
        <f aca="false">(1-ext_sh)*(Sens!$D$7732+Sens!$D$7751)</f>
        <v>0.828129837730442</v>
      </c>
      <c r="E7758" s="38" t="n">
        <f aca="false">(1-ext_sh)*(Sens!$E$7732+Sens!$E$7751)</f>
        <v>1.52086044239347</v>
      </c>
      <c r="F7758" s="38" t="n">
        <f aca="false">(1-ext_sh)*(Sens!$F$7732+Sens!$F$7751)</f>
        <v>1.86048700344425</v>
      </c>
      <c r="G7758" s="38" t="n">
        <f aca="false">(1-ext_sh)*(Sens!$G$7732+Sens!$G$7751)</f>
        <v>3.38134744583772</v>
      </c>
      <c r="H7758" s="38" t="n">
        <f aca="false">(1-ext_sh)*(Sens!$H$7732+Sens!$H$7751)</f>
        <v>9.17136301267211</v>
      </c>
      <c r="I7758" s="38" t="n">
        <f aca="false">(1-ext_sh)*(Sens!$I$7732+Sens!$I$7751)</f>
        <v>17.6318811343794</v>
      </c>
      <c r="J7758" s="38" t="n">
        <f aca="false">(1-ext_sh)*(Sens!$J$7732+Sens!$J$7751)</f>
        <v>25.4581000191451</v>
      </c>
      <c r="K7758" s="38" t="n">
        <f aca="false">(1-ext_sh)*(Sens!$K$7732+Sens!$K$7751)</f>
        <v>33.1175498168092</v>
      </c>
      <c r="L7758" s="38" t="n">
        <f aca="false">(1-ext_sh)*(Sens!$L$7732+Sens!$L$7751)</f>
        <v>38.4232131776135</v>
      </c>
      <c r="M7758" s="38" t="n">
        <f aca="false">(1-ext_sh)*(Sens!$M$7732+Sens!$M$7751)</f>
        <v>41.3567859278847</v>
      </c>
      <c r="N7758" s="38" t="n">
        <f aca="false">(1-ext_sh)*(Sens!$N$7732+Sens!$N$7751)</f>
        <v>0.34177588266428</v>
      </c>
      <c r="O7758" s="38" t="n">
        <f aca="false">(1-ext_sh)*(Sens!$O$7732+Sens!$O$7751)</f>
        <v>0.486353955066162</v>
      </c>
    </row>
    <row r="7759" customFormat="false" ht="17.15" hidden="false" customHeight="false" outlineLevel="0" collapsed="false">
      <c r="A7759" s="0" t="s">
        <v>659</v>
      </c>
      <c r="B7759" s="0" t="s">
        <v>86</v>
      </c>
      <c r="C7759" s="38" t="n">
        <f aca="false">Q!$D$24</f>
        <v>39.834</v>
      </c>
      <c r="D7759" s="38" t="n">
        <f aca="false">Q!$E$24</f>
        <v>45.606</v>
      </c>
      <c r="E7759" s="38" t="n">
        <f aca="false">Q!$P$24</f>
        <v>30.782</v>
      </c>
      <c r="N7759" s="38" t="n">
        <f aca="false">Q!$N$24</f>
        <v>21.707</v>
      </c>
      <c r="O7759" s="38" t="n">
        <f aca="false">Q!$O$24</f>
        <v>23.899</v>
      </c>
    </row>
    <row r="7760" customFormat="false" ht="17.15" hidden="false" customHeight="false" outlineLevel="0" collapsed="false">
      <c r="A7760" s="0" t="s">
        <v>660</v>
      </c>
      <c r="B7760" s="0" t="s">
        <v>86</v>
      </c>
      <c r="C7760" s="38" t="n">
        <f aca="false">Sens!$C$7759-Sens!$C$7755</f>
        <v>38.1898211704631</v>
      </c>
      <c r="D7760" s="38" t="n">
        <f aca="false">Sens!$D$7759-Sens!$D$7755</f>
        <v>40.2147492622706</v>
      </c>
      <c r="E7760" s="38" t="n">
        <f aca="false">Sens!$E$7759-Sens!$E$7755</f>
        <v>28.3550887940039</v>
      </c>
      <c r="F7760" s="38" t="n">
        <f aca="false">Sens!$F$7734*Sens!$F$7761</f>
        <v>25.9529793149447</v>
      </c>
      <c r="G7760" s="38" t="n">
        <f aca="false">Sens!$E$7760+Sens!$F$7760</f>
        <v>54.3080681089486</v>
      </c>
      <c r="H7760" s="38" t="n">
        <f aca="false">Sens!$H$7734*Sens!$H$7761</f>
        <v>58.2264684589333</v>
      </c>
      <c r="I7760" s="38" t="n">
        <f aca="false">Sens!$I$7734*Sens!$I$7761</f>
        <v>64.6461353851744</v>
      </c>
      <c r="J7760" s="38" t="n">
        <f aca="false">Sens!$J$7734*Sens!$J$7761</f>
        <v>70.7957093610231</v>
      </c>
      <c r="K7760" s="38" t="n">
        <f aca="false">Sens!$K$7734*Sens!$K$7761</f>
        <v>76.4593661099049</v>
      </c>
      <c r="L7760" s="38" t="n">
        <f aca="false">Sens!$L$7734*Sens!$L$7761</f>
        <v>82.5761153986973</v>
      </c>
      <c r="M7760" s="38" t="n">
        <f aca="false">Sens!$M$7734*Sens!$M$7761</f>
        <v>89.1822046305931</v>
      </c>
      <c r="N7760" s="38" t="n">
        <f aca="false">Sens!$N$7759-Sens!$N$7755</f>
        <v>20.0277839996292</v>
      </c>
      <c r="O7760" s="38" t="n">
        <f aca="false">Sens!$O$7759-Sens!$O$7755</f>
        <v>20.1869652626414</v>
      </c>
      <c r="P7760" s="5" t="s">
        <v>661</v>
      </c>
    </row>
    <row r="7761" customFormat="false" ht="17.15" hidden="false" customHeight="false" outlineLevel="0" collapsed="false">
      <c r="A7761" s="0" t="s">
        <v>662</v>
      </c>
      <c r="B7761" s="0" t="s">
        <v>52</v>
      </c>
      <c r="C7761" s="13" t="n">
        <f aca="false">Sens!$C$7760/Sens!$C$7734</f>
        <v>0.362900395443635</v>
      </c>
      <c r="D7761" s="13" t="n">
        <f aca="false">Sens!$D$7760/Sens!$D$7734</f>
        <v>0.335063632425483</v>
      </c>
      <c r="E7761" s="13" t="n">
        <f aca="false">Sens!$E$7760/Sens!$E$7734</f>
        <v>0.397638855555478</v>
      </c>
      <c r="F7761" s="13" t="n">
        <f aca="false">(Sens!$O$7760+Sens!$E$7760)/(Sens!$O$7734+Sens!$E$7734)</f>
        <v>0.361616727338133</v>
      </c>
      <c r="G7761" s="13" t="n">
        <f aca="false">Sens!$G$7760/Sens!$G$7734</f>
        <v>0.379569803149143</v>
      </c>
      <c r="H7761" s="13" t="n">
        <f aca="false">Sens!$F$7761</f>
        <v>0.361616727338133</v>
      </c>
      <c r="I7761" s="13" t="n">
        <f aca="false">Sens!$F$7761</f>
        <v>0.361616727338133</v>
      </c>
      <c r="J7761" s="13" t="n">
        <f aca="false">Sens!$F$7761</f>
        <v>0.361616727338133</v>
      </c>
      <c r="K7761" s="13" t="n">
        <f aca="false">Sens!$F$7761</f>
        <v>0.361616727338133</v>
      </c>
      <c r="L7761" s="13" t="n">
        <f aca="false">Sens!$F$7761</f>
        <v>0.361616727338133</v>
      </c>
      <c r="M7761" s="13" t="n">
        <f aca="false">Sens!$F$7761</f>
        <v>0.361616727338133</v>
      </c>
      <c r="N7761" s="13" t="n">
        <f aca="false">Sens!$N$7760/Sens!$N$7734</f>
        <v>0.35078810535806</v>
      </c>
      <c r="O7761" s="13" t="n">
        <f aca="false">Sens!$O$7760/Sens!$O$7734</f>
        <v>0.320796939361619</v>
      </c>
      <c r="P7761" s="8" t="s">
        <v>663</v>
      </c>
    </row>
    <row r="7762" customFormat="false" ht="17.15" hidden="false" customHeight="false" outlineLevel="0" collapsed="false">
      <c r="A7762" s="0" t="s">
        <v>664</v>
      </c>
      <c r="B7762" s="0" t="s">
        <v>52</v>
      </c>
      <c r="D7762" s="13" t="n">
        <f aca="false">(Q!$E$31-ext_sh*Sens!$D$7751)/Sens!$D$7734</f>
        <v>0.167180325480118</v>
      </c>
    </row>
    <row r="7763" customFormat="false" ht="17.15" hidden="false" customHeight="false" outlineLevel="0" collapsed="false">
      <c r="A7763" s="0" t="s">
        <v>665</v>
      </c>
      <c r="B7763" s="0" t="s">
        <v>86</v>
      </c>
      <c r="C7763" s="38" t="n">
        <f aca="false">Q!$D$31</f>
        <v>13.32</v>
      </c>
      <c r="D7763" s="38" t="n">
        <f aca="false">Q!$E$31</f>
        <v>21.45</v>
      </c>
      <c r="E7763" s="38" t="n">
        <f aca="false">Q!$P$31</f>
        <v>15.353</v>
      </c>
      <c r="F7763" s="38" t="n">
        <f aca="false">ext_sh*Sens!$F$7751+Sens!$D$7762*Sens!$F$7734</f>
        <v>16.1969869840094</v>
      </c>
      <c r="G7763" s="38" t="n">
        <f aca="false">Sens!$E$7763+Sens!$F$7763</f>
        <v>31.5499869840094</v>
      </c>
      <c r="H7763" s="38" t="n">
        <f aca="false">ext_sh*Sens!$H$7751+Sens!$D$7762*Sens!$H$7734</f>
        <v>50.9556213609176</v>
      </c>
      <c r="I7763" s="38" t="n">
        <f aca="false">ext_sh*Sens!$I$7751+Sens!$D$7762*Sens!$I$7734</f>
        <v>79.464581248252</v>
      </c>
      <c r="J7763" s="38" t="n">
        <f aca="false">ext_sh*Sens!$J$7751+Sens!$D$7762*Sens!$J$7734</f>
        <v>105.296127931746</v>
      </c>
      <c r="K7763" s="38" t="n">
        <f aca="false">ext_sh*Sens!$K$7751+Sens!$D$7762*Sens!$K$7734</f>
        <v>131.454694001511</v>
      </c>
      <c r="L7763" s="38" t="n">
        <f aca="false">ext_sh*Sens!$L$7751+Sens!$D$7762*Sens!$L$7734</f>
        <v>150.840456981405</v>
      </c>
      <c r="M7763" s="38" t="n">
        <f aca="false">ext_sh*Sens!$M$7751+Sens!$D$7762*Sens!$M$7734</f>
        <v>163.399454192999</v>
      </c>
      <c r="N7763" s="38" t="n">
        <f aca="false">Q!$N$31</f>
        <v>9.234</v>
      </c>
      <c r="O7763" s="38" t="n">
        <f aca="false">Q!$O$31</f>
        <v>12.216</v>
      </c>
    </row>
    <row r="7764" customFormat="false" ht="17.15" hidden="false" customHeight="false" outlineLevel="0" collapsed="false">
      <c r="A7764" s="1" t="s">
        <v>666</v>
      </c>
    </row>
    <row r="7765" customFormat="false" ht="17.15" hidden="false" customHeight="false" outlineLevel="0" collapsed="false">
      <c r="A7765" s="15" t="s">
        <v>667</v>
      </c>
      <c r="B7765" s="14" t="s">
        <v>52</v>
      </c>
      <c r="C7765" s="14"/>
      <c r="D7765" s="14"/>
      <c r="E7765" s="14"/>
      <c r="F7765" s="14"/>
      <c r="G7765" s="17" t="n">
        <f aca="false">Sens!$G$7755*(1-tax)/(ext_sh*(Sens!$D$7752+Sens!$G$7752)/2)</f>
        <v>0.0620504069546486</v>
      </c>
      <c r="H7765" s="17" t="n">
        <f aca="false">Sens!$H$7755*(1-tax)/(ext_sh*(Sens!$G$7752+Sens!$H$7752)/2)</f>
        <v>0.0755420551527686</v>
      </c>
      <c r="I7765" s="17" t="n">
        <f aca="false">Sens!$I$7755*(1-tax)/(ext_sh*(Sens!$H$7752+Sens!$I$7752)/2)</f>
        <v>0.067127575356291</v>
      </c>
      <c r="J7765" s="17" t="n">
        <f aca="false">Sens!$J$7755*(1-tax)/(ext_sh*(Sens!$I$7752+Sens!$J$7752)/2)</f>
        <v>0.0700332392906535</v>
      </c>
      <c r="K7765" s="17" t="n">
        <f aca="false">Sens!$K$7755*(1-tax)/(ext_sh*(Sens!$J$7752+Sens!$K$7752)/2)</f>
        <v>0.0693622290093833</v>
      </c>
      <c r="L7765" s="17" t="n">
        <f aca="false">Sens!$L$7755*(1-tax)/(ext_sh*(Sens!$K$7752+Sens!$L$7752)/2)</f>
        <v>0.0711010638813626</v>
      </c>
      <c r="M7765" s="17" t="n">
        <f aca="false">Sens!$M$7755*(1-tax)/(ext_sh*(Sens!$L$7752+Sens!$M$7752)/2)</f>
        <v>0.071677531066401</v>
      </c>
      <c r="N7765" s="14"/>
      <c r="O7765" s="14"/>
      <c r="P7765" s="8" t="s">
        <v>668</v>
      </c>
    </row>
    <row r="7766" customFormat="false" ht="17.15" hidden="false" customHeight="false" outlineLevel="0" collapsed="false">
      <c r="A7766" s="5" t="s">
        <v>669</v>
      </c>
      <c r="B7766" s="0" t="s">
        <v>57</v>
      </c>
      <c r="H7766" s="36" t="n">
        <f aca="false">Sens!$H$7730*1000/(mw_open*he_open+Sens!$H$7728*Sens!$H$7725)</f>
        <v>0.991949006767191</v>
      </c>
      <c r="I7766" s="36" t="n">
        <f aca="false">Sens!$I$7730*1000/(mw_open*he_open+Sens!$I$7728*Sens!$I$7725)</f>
        <v>0.991949006767191</v>
      </c>
      <c r="J7766" s="36" t="n">
        <f aca="false">Sens!$J$7730*1000/(mw_open*he_open+Sens!$J$7728*Sens!$J$7725)</f>
        <v>0.991949006767191</v>
      </c>
      <c r="K7766" s="36" t="n">
        <f aca="false">Sens!$K$7730*1000/(mw_open*he_open+Sens!$K$7728*Sens!$K$7725)</f>
        <v>0.991949006767191</v>
      </c>
      <c r="L7766" s="36" t="n">
        <f aca="false">Sens!$L$7730*1000/(mw_open*he_open+Sens!$L$7728*Sens!$L$7725)</f>
        <v>0.991949006767191</v>
      </c>
      <c r="M7766" s="36" t="n">
        <f aca="false">Sens!$M$7730*1000/(mw_open*he_open+Sens!$M$7728*Sens!$M$7725)</f>
        <v>0.991949006767191</v>
      </c>
    </row>
    <row r="7767" customFormat="false" ht="17.15" hidden="false" customHeight="false" outlineLevel="0" collapsed="false">
      <c r="A7767" s="5" t="s">
        <v>670</v>
      </c>
      <c r="B7767" s="0" t="s">
        <v>57</v>
      </c>
      <c r="H7767" s="36" t="n">
        <f aca="false">Sens!$H$7766*(Sens!$H$7730+wacc*ext_sh*(Sens!$G$7752+Sens!$H$7752)/2/(1-tax)-Sens!$H$7755)/Sens!$H$7730</f>
        <v>1.18542857552197</v>
      </c>
      <c r="I7767" s="36" t="n">
        <f aca="false">Sens!$I$7766*(Sens!$I$7730+wacc*ext_sh*(Sens!$H$7752+Sens!$I$7752)/2/(1-tax)-Sens!$I$7755)/Sens!$I$7730</f>
        <v>1.20015476648903</v>
      </c>
      <c r="J7767" s="36" t="n">
        <f aca="false">Sens!$J$7766*(Sens!$J$7730+wacc*ext_sh*(Sens!$I$7752+Sens!$J$7752)/2/(1-tax)-Sens!$J$7755)/Sens!$J$7730</f>
        <v>1.16844056931249</v>
      </c>
      <c r="K7767" s="36" t="n">
        <f aca="false">Sens!$K$7766*(Sens!$K$7730+wacc*ext_sh*(Sens!$J$7752+Sens!$K$7752)/2/(1-tax)-Sens!$K$7755)/Sens!$K$7730</f>
        <v>1.15383758356873</v>
      </c>
      <c r="L7767" s="36" t="n">
        <f aca="false">Sens!$L$7766*(Sens!$L$7730+wacc*ext_sh*(Sens!$K$7752+Sens!$L$7752)/2/(1-tax)-Sens!$L$7755)/Sens!$L$7730</f>
        <v>1.13212765595665</v>
      </c>
      <c r="M7767" s="36" t="n">
        <f aca="false">Sens!$M$7766*(Sens!$M$7730+wacc*ext_sh*(Sens!$L$7752+Sens!$M$7752)/2/(1-tax)-Sens!$M$7755)/Sens!$M$7730</f>
        <v>1.12024635139935</v>
      </c>
    </row>
    <row r="7768" customFormat="false" ht="17.15" hidden="false" customHeight="false" outlineLevel="0" collapsed="false">
      <c r="A7768" s="5" t="s">
        <v>671</v>
      </c>
      <c r="B7768" s="0" t="s">
        <v>52</v>
      </c>
      <c r="C7768" s="13" t="n">
        <f aca="false">Sens!$C$7731/tk_pq</f>
        <v>0.195316432429398</v>
      </c>
      <c r="D7768" s="13" t="n">
        <f aca="false">Sens!$D$7731/tk_pq</f>
        <v>0.195316432429398</v>
      </c>
      <c r="E7768" s="13" t="n">
        <f aca="false">Sens!$E$7731/tk_pq</f>
        <v>0.195316432429398</v>
      </c>
      <c r="F7768" s="13" t="n">
        <f aca="false">Sens!$F$7731/tk_pq</f>
        <v>0.202241827274866</v>
      </c>
      <c r="G7768" s="13" t="n">
        <f aca="false">Sens!$G$7731/tk_pq</f>
        <v>0.199675016194063</v>
      </c>
      <c r="H7768" s="13" t="n">
        <f aca="false">Sens!$H$7731/tk_pq</f>
        <v>0.212647947710325</v>
      </c>
      <c r="I7768" s="13" t="n">
        <f aca="false">Sens!$I$7731/tk_pq</f>
        <v>0.219285125475351</v>
      </c>
      <c r="J7768" s="13" t="n">
        <f aca="false">Sens!$J$7731/tk_pq</f>
        <v>0.222492493217189</v>
      </c>
      <c r="K7768" s="13" t="n">
        <f aca="false">Sens!$K$7731/tk_pq</f>
        <v>0.224053502812094</v>
      </c>
      <c r="L7768" s="13" t="n">
        <f aca="false">Sens!$L$7731/tk_pq</f>
        <v>0.224786916785614</v>
      </c>
      <c r="M7768" s="13" t="n">
        <f aca="false">Sens!$M$7731/tk_pq</f>
        <v>0.225048671566937</v>
      </c>
      <c r="N7768" s="13" t="n">
        <f aca="false">Sens!$N$7731/tk_pq</f>
        <v>0.195316432429398</v>
      </c>
      <c r="O7768" s="13" t="n">
        <f aca="false">Sens!$O$7731/tk_pq</f>
        <v>0.195316432429398</v>
      </c>
      <c r="P7768" s="5" t="s">
        <v>672</v>
      </c>
    </row>
    <row r="7771" customFormat="false" ht="17.15" hidden="false" customHeight="false" outlineLevel="0" collapsed="false">
      <c r="A7771" s="1" t="s">
        <v>701</v>
      </c>
    </row>
    <row r="7772" customFormat="false" ht="17.15" hidden="false" customHeight="false" outlineLevel="0" collapsed="false">
      <c r="A7772" s="0" t="s">
        <v>702</v>
      </c>
      <c r="B7772" s="0" t="s">
        <v>86</v>
      </c>
      <c r="C7772" s="38" t="n">
        <f aca="false">Sens!$C$7730</f>
        <v>2.32100535697364</v>
      </c>
      <c r="D7772" s="38" t="n">
        <f aca="false">Sens!$D$7730</f>
        <v>8.70377008865116</v>
      </c>
      <c r="E7772" s="38" t="n">
        <f aca="false">Sens!$E$7730</f>
        <v>8.51035297557002</v>
      </c>
      <c r="F7772" s="38" t="n">
        <f aca="false">Sens!$F$7730</f>
        <v>14.9634336447205</v>
      </c>
      <c r="G7772" s="38" t="n">
        <f aca="false">Sens!$G$7730</f>
        <v>23.4737866202905</v>
      </c>
      <c r="H7772" s="38" t="n">
        <f aca="false">Sens!$H$7730</f>
        <v>60.1658907497746</v>
      </c>
      <c r="I7772" s="38" t="n">
        <f aca="false">Sens!$I$7730</f>
        <v>101.503699136432</v>
      </c>
      <c r="J7772" s="38" t="n">
        <f aca="false">Sens!$J$7730</f>
        <v>143.025407151278</v>
      </c>
      <c r="K7772" s="38" t="n">
        <f aca="false">Sens!$K$7730</f>
        <v>178.44812038318</v>
      </c>
      <c r="L7772" s="38" t="n">
        <f aca="false">Sens!$L$7730</f>
        <v>201.728101802396</v>
      </c>
      <c r="M7772" s="38" t="n">
        <f aca="false">Sens!$M$7730</f>
        <v>212.835441368865</v>
      </c>
      <c r="N7772" s="38" t="n">
        <f aca="false">Sens!$N$7730</f>
        <v>3.04631953102791</v>
      </c>
      <c r="O7772" s="38" t="n">
        <f aca="false">Sens!$O$7730</f>
        <v>5.65745055762326</v>
      </c>
      <c r="P7772" s="8" t="s">
        <v>703</v>
      </c>
    </row>
    <row r="7773" customFormat="false" ht="17.15" hidden="false" customHeight="false" outlineLevel="0" collapsed="false">
      <c r="A7773" s="0" t="s">
        <v>704</v>
      </c>
      <c r="B7773" s="0" t="s">
        <v>86</v>
      </c>
      <c r="C7773" s="38" t="n">
        <f aca="false">Sens!$C$7734</f>
        <v>105.234994643026</v>
      </c>
      <c r="D7773" s="38" t="n">
        <f aca="false">Sens!$D$7734</f>
        <v>120.021229911349</v>
      </c>
      <c r="E7773" s="38" t="n">
        <f aca="false">Sens!$E$7734</f>
        <v>71.30864702443</v>
      </c>
      <c r="F7773" s="38" t="n">
        <f aca="false">Sens!$F$7734</f>
        <v>71.7692997942464</v>
      </c>
      <c r="G7773" s="38" t="n">
        <f aca="false">Sens!$G$7734</f>
        <v>143.077946818676</v>
      </c>
      <c r="H7773" s="38" t="n">
        <f aca="false">Sens!$H$7734</f>
        <v>161.017077079203</v>
      </c>
      <c r="I7773" s="38" t="n">
        <f aca="false">Sens!$I$7734</f>
        <v>178.769759521457</v>
      </c>
      <c r="J7773" s="38" t="n">
        <f aca="false">Sens!$J$7734</f>
        <v>195.775538045907</v>
      </c>
      <c r="K7773" s="38" t="n">
        <f aca="false">Sens!$K$7734</f>
        <v>211.43758108958</v>
      </c>
      <c r="L7773" s="38" t="n">
        <f aca="false">Sens!$L$7734</f>
        <v>228.352587576746</v>
      </c>
      <c r="M7773" s="38" t="n">
        <f aca="false">Sens!$M$7734</f>
        <v>246.620794582886</v>
      </c>
      <c r="N7773" s="38" t="n">
        <f aca="false">Sens!$N$7734</f>
        <v>57.0936804689721</v>
      </c>
      <c r="O7773" s="38" t="n">
        <f aca="false">Sens!$O$7734</f>
        <v>62.9275494423768</v>
      </c>
      <c r="P7773" s="8" t="s">
        <v>703</v>
      </c>
    </row>
    <row r="7774" customFormat="false" ht="17.15" hidden="false" customHeight="false" outlineLevel="0" collapsed="false">
      <c r="A7774" s="1" t="s">
        <v>523</v>
      </c>
      <c r="B7774" s="8" t="s">
        <v>86</v>
      </c>
      <c r="C7774" s="38" t="n">
        <f aca="false">Q!$D$7</f>
        <v>107.556</v>
      </c>
      <c r="D7774" s="38" t="n">
        <f aca="false">Q!$E$7</f>
        <v>128.725</v>
      </c>
      <c r="E7774" s="38" t="n">
        <f aca="false">Q!$P$7</f>
        <v>79.819</v>
      </c>
      <c r="F7774" s="38" t="n">
        <f aca="false">Sens!$F$7772+Sens!$F$7773</f>
        <v>86.7327334389669</v>
      </c>
      <c r="G7774" s="38" t="n">
        <f aca="false">Sens!$G$7772+Sens!$G$7773</f>
        <v>166.551733438967</v>
      </c>
      <c r="H7774" s="38" t="n">
        <f aca="false">Sens!$H$7772+Sens!$H$7773</f>
        <v>221.182967828978</v>
      </c>
      <c r="I7774" s="38" t="n">
        <f aca="false">Sens!$I$7772+Sens!$I$7773</f>
        <v>280.27345865789</v>
      </c>
      <c r="J7774" s="38" t="n">
        <f aca="false">Sens!$J$7772+Sens!$J$7773</f>
        <v>338.800945197185</v>
      </c>
      <c r="K7774" s="38" t="n">
        <f aca="false">Sens!$K$7772+Sens!$K$7773</f>
        <v>389.88570147276</v>
      </c>
      <c r="L7774" s="38" t="n">
        <f aca="false">Sens!$L$7772+Sens!$L$7773</f>
        <v>430.080689379143</v>
      </c>
      <c r="M7774" s="38" t="n">
        <f aca="false">Sens!$M$7772+Sens!$M$7773</f>
        <v>459.456235951751</v>
      </c>
      <c r="N7774" s="38" t="n">
        <f aca="false">Q!$N$7</f>
        <v>60.14</v>
      </c>
      <c r="O7774" s="38" t="n">
        <f aca="false">Q!$O$7</f>
        <v>68.585</v>
      </c>
      <c r="P7774" s="5" t="s">
        <v>705</v>
      </c>
    </row>
    <row r="7775" customFormat="false" ht="15" hidden="false" customHeight="false" outlineLevel="0" collapsed="false">
      <c r="A7775" s="3" t="s">
        <v>706</v>
      </c>
      <c r="B7775" s="8" t="s">
        <v>86</v>
      </c>
      <c r="C7775" s="38" t="n">
        <f aca="false">Q!$D$8</f>
        <v>637.959</v>
      </c>
      <c r="D7775" s="38" t="n">
        <f aca="false">Q!$E$8</f>
        <v>716.924</v>
      </c>
      <c r="E7775" s="38" t="n">
        <f aca="false">Q!$P$8</f>
        <v>382.125</v>
      </c>
      <c r="F7775" s="38" t="n">
        <f aca="false">Sens!$F$7702+Sens!$F$7774</f>
        <v>435.780975084504</v>
      </c>
      <c r="G7775" s="38" t="n">
        <f aca="false">Sens!$G$7702+Sens!$G$7774</f>
        <v>817.905975084504</v>
      </c>
      <c r="H7775" s="38" t="n">
        <f aca="false">Sens!$H$7702+Sens!$H$7774</f>
        <v>942.279857350364</v>
      </c>
      <c r="I7775" s="38" t="n">
        <f aca="false">Sens!$I$7702+Sens!$I$7774</f>
        <v>1068.80284981042</v>
      </c>
      <c r="J7775" s="38" t="n">
        <f aca="false">Sens!$J$7702+Sens!$J$7774</f>
        <v>1189.90935093863</v>
      </c>
      <c r="K7775" s="38" t="n">
        <f aca="false">Sens!$K$7702+Sens!$K$7774</f>
        <v>1296.06215690385</v>
      </c>
      <c r="L7775" s="38" t="n">
        <f aca="false">Sens!$L$7702+Sens!$L$7774</f>
        <v>1395.17379585473</v>
      </c>
      <c r="M7775" s="38" t="n">
        <f aca="false">Sens!$M$7702+Sens!$M$7774</f>
        <v>1487.60414389864</v>
      </c>
      <c r="N7775" s="38" t="n">
        <f aca="false">Q!$N$8</f>
        <v>323.369</v>
      </c>
      <c r="O7775" s="38" t="n">
        <f aca="false">Q!$O$8</f>
        <v>393.555</v>
      </c>
    </row>
    <row r="7776" customFormat="false" ht="17.15" hidden="false" customHeight="false" outlineLevel="0" collapsed="false">
      <c r="A7776" s="24" t="s">
        <v>714</v>
      </c>
      <c r="B7776" s="25" t="s">
        <v>86</v>
      </c>
      <c r="C7776" s="41" t="n">
        <f aca="false">Sens!$C$7702-(Sens!$C$7704+Sens!$C$7705)</f>
        <v>0</v>
      </c>
      <c r="D7776" s="41" t="n">
        <f aca="false">Sens!$D$7702-(Sens!$D$7704+Sens!$D$7705)</f>
        <v>0</v>
      </c>
      <c r="E7776" s="41" t="n">
        <f aca="false">Sens!$E$7702-(Sens!$E$7704+Sens!$E$7705)</f>
        <v>0</v>
      </c>
      <c r="F7776" s="41" t="n">
        <f aca="false">Sens!$F$7702-(Sens!$F$7704+Sens!$F$7705)</f>
        <v>0</v>
      </c>
      <c r="G7776" s="41" t="n">
        <f aca="false">Sens!$G$7702-(Sens!$G$7704+Sens!$G$7705)</f>
        <v>0</v>
      </c>
      <c r="H7776" s="41" t="n">
        <f aca="false">Sens!$H$7702-(Sens!$H$7704+Sens!$H$7705)</f>
        <v>0</v>
      </c>
      <c r="I7776" s="41" t="n">
        <f aca="false">Sens!$I$7702-(Sens!$I$7704+Sens!$I$7705)</f>
        <v>0</v>
      </c>
      <c r="J7776" s="41" t="n">
        <f aca="false">Sens!$J$7702-(Sens!$J$7704+Sens!$J$7705)</f>
        <v>0</v>
      </c>
      <c r="K7776" s="41" t="n">
        <f aca="false">Sens!$K$7702-(Sens!$K$7704+Sens!$K$7705)</f>
        <v>0</v>
      </c>
      <c r="L7776" s="41" t="n">
        <f aca="false">Sens!$L$7702-(Sens!$L$7704+Sens!$L$7705)</f>
        <v>0</v>
      </c>
      <c r="M7776" s="41" t="n">
        <f aca="false">Sens!$M$7702-(Sens!$M$7704+Sens!$M$7705)</f>
        <v>0</v>
      </c>
      <c r="N7776" s="41" t="n">
        <f aca="false">Sens!$N$7702-(Sens!$N$7704+Sens!$N$7705)</f>
        <v>0</v>
      </c>
      <c r="O7776" s="41" t="n">
        <f aca="false">Sens!$O$7702-(Sens!$O$7704+Sens!$O$7705)</f>
        <v>0</v>
      </c>
    </row>
    <row r="7777" customFormat="false" ht="17.15" hidden="false" customHeight="false" outlineLevel="0" collapsed="false">
      <c r="A7777" s="24" t="s">
        <v>715</v>
      </c>
      <c r="B7777" s="25" t="s">
        <v>86</v>
      </c>
      <c r="C7777" s="41" t="n">
        <f aca="false">Sens!$C$7772+Sens!$C$7773-Sens!$C$7774</f>
        <v>0</v>
      </c>
      <c r="D7777" s="41" t="n">
        <f aca="false">Sens!$D$7772+Sens!$D$7773-Sens!$D$7774</f>
        <v>0</v>
      </c>
      <c r="E7777" s="41" t="n">
        <f aca="false">Sens!$E$7772+Sens!$E$7773-Sens!$E$7774</f>
        <v>0</v>
      </c>
      <c r="F7777" s="41" t="n">
        <f aca="false">Sens!$F$7772+Sens!$F$7773-Sens!$F$7774</f>
        <v>0</v>
      </c>
      <c r="G7777" s="41" t="n">
        <f aca="false">Sens!$G$7772+Sens!$G$7773-Sens!$G$7774</f>
        <v>0</v>
      </c>
      <c r="H7777" s="41" t="n">
        <f aca="false">Sens!$H$7772+Sens!$H$7773-Sens!$H$7774</f>
        <v>0</v>
      </c>
      <c r="I7777" s="41" t="n">
        <f aca="false">Sens!$I$7772+Sens!$I$7773-Sens!$I$7774</f>
        <v>0</v>
      </c>
      <c r="J7777" s="41" t="n">
        <f aca="false">Sens!$J$7772+Sens!$J$7773-Sens!$J$7774</f>
        <v>0</v>
      </c>
      <c r="K7777" s="41" t="n">
        <f aca="false">Sens!$K$7772+Sens!$K$7773-Sens!$K$7774</f>
        <v>0</v>
      </c>
      <c r="L7777" s="41" t="n">
        <f aca="false">Sens!$L$7772+Sens!$L$7773-Sens!$L$7774</f>
        <v>0</v>
      </c>
      <c r="M7777" s="41" t="n">
        <f aca="false">Sens!$M$7772+Sens!$M$7773-Sens!$M$7774</f>
        <v>0</v>
      </c>
      <c r="N7777" s="41" t="n">
        <f aca="false">Sens!$N$7772+Sens!$N$7773-Sens!$N$7774</f>
        <v>0</v>
      </c>
      <c r="O7777" s="41" t="n">
        <f aca="false">Sens!$O$7772+Sens!$O$7773-Sens!$O$7774</f>
        <v>0</v>
      </c>
    </row>
    <row r="7778" customFormat="false" ht="17.15" hidden="false" customHeight="false" outlineLevel="0" collapsed="false">
      <c r="A7778" s="24" t="s">
        <v>716</v>
      </c>
      <c r="B7778" s="25" t="s">
        <v>86</v>
      </c>
      <c r="C7778" s="41" t="n">
        <f aca="false">Sens!$C$7704+Sens!$C$7705+Sens!$C$7774-Sens!$C$7775</f>
        <v>0</v>
      </c>
      <c r="D7778" s="41" t="n">
        <f aca="false">Sens!$D$7704+Sens!$D$7705+Sens!$D$7774-Sens!$D$7775</f>
        <v>0</v>
      </c>
      <c r="E7778" s="41" t="n">
        <f aca="false">Sens!$E$7704+Sens!$E$7705+Sens!$E$7774-Sens!$E$7775</f>
        <v>0</v>
      </c>
      <c r="F7778" s="41" t="n">
        <f aca="false">Sens!$F$7704+Sens!$F$7705+Sens!$F$7774-Sens!$F$7775</f>
        <v>0</v>
      </c>
      <c r="G7778" s="41" t="n">
        <f aca="false">Sens!$G$7704+Sens!$G$7705+Sens!$G$7774-Sens!$G$7775</f>
        <v>0</v>
      </c>
      <c r="H7778" s="41" t="n">
        <f aca="false">Sens!$H$7704+Sens!$H$7705+Sens!$H$7774-Sens!$H$7775</f>
        <v>0</v>
      </c>
      <c r="I7778" s="41" t="n">
        <f aca="false">Sens!$I$7704+Sens!$I$7705+Sens!$I$7774-Sens!$I$7775</f>
        <v>0</v>
      </c>
      <c r="J7778" s="41" t="n">
        <f aca="false">Sens!$J$7704+Sens!$J$7705+Sens!$J$7774-Sens!$J$7775</f>
        <v>0</v>
      </c>
      <c r="K7778" s="41" t="n">
        <f aca="false">Sens!$K$7704+Sens!$K$7705+Sens!$K$7774-Sens!$K$7775</f>
        <v>0</v>
      </c>
      <c r="L7778" s="41" t="n">
        <f aca="false">Sens!$L$7704+Sens!$L$7705+Sens!$L$7774-Sens!$L$7775</f>
        <v>0</v>
      </c>
      <c r="M7778" s="41" t="n">
        <f aca="false">Sens!$M$7704+Sens!$M$7705+Sens!$M$7774-Sens!$M$7775</f>
        <v>0</v>
      </c>
      <c r="N7778" s="41" t="n">
        <f aca="false">Sens!$N$7704+Sens!$N$7705+Sens!$N$7774-Sens!$N$7775</f>
        <v>0</v>
      </c>
      <c r="O7778" s="41" t="n">
        <f aca="false">Sens!$O$7704+Sens!$O$7705+Sens!$O$7774-Sens!$O$7775</f>
        <v>0</v>
      </c>
    </row>
    <row r="7779" customFormat="false" ht="15" hidden="false" customHeight="false" outlineLevel="0" collapsed="false">
      <c r="A7779" s="5" t="s">
        <v>710</v>
      </c>
      <c r="B7779" s="0" t="s">
        <v>52</v>
      </c>
      <c r="G7779" s="13" t="n">
        <f aca="false">Sens!$G$7775/Sens!$D$7775-1</f>
        <v>0.140854504918937</v>
      </c>
      <c r="H7779" s="13" t="n">
        <f aca="false">Sens!$H$7775/Sens!$G$7775-1</f>
        <v>0.152063789793209</v>
      </c>
      <c r="I7779" s="13" t="n">
        <f aca="false">Sens!$I$7775/Sens!$H$7775-1</f>
        <v>0.134273264437417</v>
      </c>
      <c r="J7779" s="13" t="n">
        <f aca="false">Sens!$J$7775/Sens!$I$7775-1</f>
        <v>0.113310421234083</v>
      </c>
      <c r="K7779" s="13" t="n">
        <f aca="false">Sens!$K$7775/Sens!$J$7775-1</f>
        <v>0.0892108343223652</v>
      </c>
      <c r="L7779" s="13" t="n">
        <f aca="false">Sens!$L$7775/Sens!$K$7775-1</f>
        <v>0.076471362444261</v>
      </c>
      <c r="M7779" s="13" t="n">
        <f aca="false">Sens!$M$7775/Sens!$L$7775-1</f>
        <v>0.066250060256672</v>
      </c>
    </row>
    <row r="7780" customFormat="false" ht="17.15" hidden="false" customHeight="false" outlineLevel="0" collapsed="false">
      <c r="A7780" s="0" t="s">
        <v>711</v>
      </c>
      <c r="B7780" s="0" t="s">
        <v>52</v>
      </c>
      <c r="C7780" s="13" t="n">
        <f aca="false">Sens!$C$7774/Sens!$C$7775</f>
        <v>0.168593906504964</v>
      </c>
      <c r="D7780" s="13" t="n">
        <f aca="false">Sens!$D$7774/Sens!$D$7775</f>
        <v>0.179551807444025</v>
      </c>
      <c r="E7780" s="13" t="n">
        <f aca="false">Sens!$E$7774/Sens!$E$7775</f>
        <v>0.208881910369643</v>
      </c>
      <c r="F7780" s="13" t="n">
        <f aca="false">Sens!$F$7774/Sens!$F$7775</f>
        <v>0.199028269699356</v>
      </c>
      <c r="G7780" s="13" t="n">
        <f aca="false">Sens!$G$7774/Sens!$G$7775</f>
        <v>0.203631882529968</v>
      </c>
      <c r="H7780" s="13" t="n">
        <f aca="false">Sens!$H$7774/Sens!$H$7775</f>
        <v>0.234731715958496</v>
      </c>
      <c r="I7780" s="13" t="n">
        <f aca="false">Sens!$I$7774/Sens!$I$7775</f>
        <v>0.262231204480418</v>
      </c>
      <c r="J7780" s="13" t="n">
        <f aca="false">Sens!$J$7774/Sens!$J$7775</f>
        <v>0.284728366013706</v>
      </c>
      <c r="K7780" s="13" t="n">
        <f aca="false">Sens!$K$7774/Sens!$K$7775</f>
        <v>0.300823304959505</v>
      </c>
      <c r="L7780" s="13" t="n">
        <f aca="false">Sens!$L$7774/Sens!$L$7775</f>
        <v>0.308263164529735</v>
      </c>
      <c r="M7780" s="13" t="n">
        <f aca="false">Sens!$M$7774/Sens!$M$7775</f>
        <v>0.308856517936036</v>
      </c>
      <c r="N7780" s="13" t="n">
        <f aca="false">Sens!$N$7774/Sens!$N$7775</f>
        <v>0.185979484737251</v>
      </c>
      <c r="O7780" s="13" t="n">
        <f aca="false">Sens!$O$7774/Sens!$O$7775</f>
        <v>0.174270432341096</v>
      </c>
    </row>
    <row r="7781" customFormat="false" ht="17.15" hidden="false" customHeight="false" outlineLevel="0" collapsed="false">
      <c r="A7781" s="0" t="s">
        <v>712</v>
      </c>
      <c r="B7781" s="0" t="s">
        <v>52</v>
      </c>
      <c r="C7781" s="13" t="n">
        <f aca="false">Sens!$C$7772/Sens!$C$7774</f>
        <v>0.0215795060896058</v>
      </c>
      <c r="D7781" s="13" t="n">
        <f aca="false">Sens!$D$7772/Sens!$D$7774</f>
        <v>0.0676152269462122</v>
      </c>
      <c r="E7781" s="13" t="n">
        <f aca="false">Sens!$E$7772/Sens!$E$7774</f>
        <v>0.106620641395783</v>
      </c>
      <c r="F7781" s="13" t="n">
        <f aca="false">Sens!$F$7772/Sens!$F$7774</f>
        <v>0.172523487401099</v>
      </c>
      <c r="G7781" s="13" t="n">
        <f aca="false">Sens!$G$7772/Sens!$G$7774</f>
        <v>0.140939911795589</v>
      </c>
      <c r="H7781" s="13" t="n">
        <f aca="false">Sens!$H$7772/Sens!$H$7774</f>
        <v>0.272018642937714</v>
      </c>
      <c r="I7781" s="13" t="n">
        <f aca="false">Sens!$I$7772/Sens!$I$7774</f>
        <v>0.362159512436497</v>
      </c>
      <c r="J7781" s="13" t="n">
        <f aca="false">Sens!$J$7772/Sens!$J$7774</f>
        <v>0.422151735934609</v>
      </c>
      <c r="K7781" s="13" t="n">
        <f aca="false">Sens!$K$7772/Sens!$K$7774</f>
        <v>0.45769342068485</v>
      </c>
      <c r="L7781" s="13" t="n">
        <f aca="false">Sens!$L$7772/Sens!$L$7774</f>
        <v>0.469047103913472</v>
      </c>
      <c r="M7781" s="13" t="n">
        <f aca="false">Sens!$M$7772/Sens!$M$7774</f>
        <v>0.463233328258093</v>
      </c>
      <c r="N7781" s="13" t="n">
        <f aca="false">Sens!$N$7772/Sens!$N$7774</f>
        <v>0.0506537999838362</v>
      </c>
      <c r="O7781" s="13" t="n">
        <f aca="false">Sens!$O$7772/Sens!$O$7774</f>
        <v>0.0824881615167056</v>
      </c>
    </row>
    <row r="7784" customFormat="false" ht="19.4" hidden="false" customHeight="false" outlineLevel="0" collapsed="false">
      <c r="A7784" s="31" t="s">
        <v>1309</v>
      </c>
    </row>
    <row r="7785" customFormat="false" ht="17.15" hidden="false" customHeight="false" outlineLevel="0" collapsed="false">
      <c r="A7785" s="6" t="s">
        <v>16</v>
      </c>
      <c r="B7785" s="6" t="s">
        <v>17</v>
      </c>
      <c r="C7785" s="20" t="s">
        <v>504</v>
      </c>
      <c r="D7785" s="20" t="s">
        <v>505</v>
      </c>
      <c r="E7785" s="20" t="s">
        <v>587</v>
      </c>
      <c r="F7785" s="20" t="s">
        <v>588</v>
      </c>
      <c r="G7785" s="20" t="s">
        <v>589</v>
      </c>
      <c r="H7785" s="20" t="s">
        <v>590</v>
      </c>
      <c r="I7785" s="20" t="s">
        <v>591</v>
      </c>
      <c r="J7785" s="20" t="s">
        <v>592</v>
      </c>
      <c r="K7785" s="20" t="s">
        <v>593</v>
      </c>
      <c r="L7785" s="20" t="s">
        <v>594</v>
      </c>
      <c r="M7785" s="20" t="s">
        <v>595</v>
      </c>
      <c r="N7785" s="20" t="s">
        <v>596</v>
      </c>
      <c r="O7785" s="20" t="s">
        <v>597</v>
      </c>
      <c r="P7785" s="6" t="s">
        <v>23</v>
      </c>
      <c r="R7785" s="20" t="n">
        <v>2023</v>
      </c>
      <c r="S7785" s="20" t="n">
        <v>2024</v>
      </c>
      <c r="T7785" s="20" t="n">
        <v>2025</v>
      </c>
      <c r="U7785" s="20" t="n">
        <v>2026</v>
      </c>
      <c r="V7785" s="20" t="n">
        <v>2027</v>
      </c>
      <c r="W7785" s="20" t="n">
        <v>2028</v>
      </c>
      <c r="X7785" s="20" t="n">
        <v>2029</v>
      </c>
      <c r="Y7785" s="20" t="n">
        <v>2030</v>
      </c>
      <c r="Z7785" s="20" t="n">
        <v>2031</v>
      </c>
      <c r="AA7785" s="20" t="n">
        <v>2032</v>
      </c>
    </row>
    <row r="7786" customFormat="false" ht="17.15" hidden="false" customHeight="false" outlineLevel="0" collapsed="false">
      <c r="A7786" s="1" t="s">
        <v>727</v>
      </c>
    </row>
    <row r="7787" customFormat="false" ht="15" hidden="false" customHeight="false" outlineLevel="0" collapsed="false">
      <c r="A7787" s="0" t="s">
        <v>526</v>
      </c>
      <c r="B7787" s="0" t="s">
        <v>86</v>
      </c>
      <c r="C7787" s="38" t="n">
        <f aca="false">Sens!$C$7689</f>
        <v>247.029</v>
      </c>
      <c r="D7787" s="38" t="n">
        <f aca="false">Sens!$D$7689</f>
        <v>269.287</v>
      </c>
      <c r="E7787" s="38" t="n">
        <f aca="false">Sens!$E$7689</f>
        <v>134.686</v>
      </c>
      <c r="F7787" s="38" t="n">
        <f aca="false">Sens!$F$7689</f>
        <v>158.293876822267</v>
      </c>
      <c r="G7787" s="38" t="n">
        <f aca="false">Sens!$G$7689</f>
        <v>292.979876822267</v>
      </c>
      <c r="H7787" s="38" t="n">
        <f aca="false">Sens!$H$7689</f>
        <v>318.184543087396</v>
      </c>
      <c r="I7787" s="38" t="n">
        <f aca="false">Sens!$I$7689</f>
        <v>341.736278761793</v>
      </c>
      <c r="J7787" s="38" t="n">
        <f aca="false">Sens!$J$7689</f>
        <v>362.927192787048</v>
      </c>
      <c r="K7787" s="38" t="n">
        <f aca="false">Sens!$K$7689</f>
        <v>381.0735524264</v>
      </c>
      <c r="L7787" s="38" t="n">
        <f aca="false">Sens!$L$7689</f>
        <v>400.12723004772</v>
      </c>
      <c r="M7787" s="38" t="n">
        <f aca="false">Sens!$M$7689</f>
        <v>420.133591550106</v>
      </c>
      <c r="N7787" s="38" t="n">
        <f aca="false">Sens!$N$7689</f>
        <v>118.892</v>
      </c>
      <c r="O7787" s="38" t="n">
        <f aca="false">Sens!$O$7689</f>
        <v>150.395</v>
      </c>
    </row>
    <row r="7788" customFormat="false" ht="15" hidden="false" customHeight="false" outlineLevel="0" collapsed="false">
      <c r="A7788" s="0" t="s">
        <v>527</v>
      </c>
      <c r="B7788" s="0" t="s">
        <v>86</v>
      </c>
      <c r="C7788" s="38" t="n">
        <f aca="false">Sens!$C$7691</f>
        <v>21.215</v>
      </c>
      <c r="D7788" s="38" t="n">
        <f aca="false">Sens!$D$7691</f>
        <v>22.561</v>
      </c>
      <c r="E7788" s="38" t="n">
        <f aca="false">Sens!$E$7691</f>
        <v>11.579</v>
      </c>
      <c r="F7788" s="38" t="n">
        <f aca="false">Sens!$F$7691</f>
        <v>11.5938724610325</v>
      </c>
      <c r="G7788" s="38" t="n">
        <f aca="false">Sens!$G$7691</f>
        <v>23.1728724610325</v>
      </c>
      <c r="H7788" s="38" t="n">
        <f aca="false">Sens!$H$7691</f>
        <v>24.353392759506</v>
      </c>
      <c r="I7788" s="38" t="n">
        <f aca="false">Sens!$I$7691</f>
        <v>25.4240338872015</v>
      </c>
      <c r="J7788" s="38" t="n">
        <f aca="false">Sens!$J$7691</f>
        <v>26.3642491017174</v>
      </c>
      <c r="K7788" s="38" t="n">
        <f aca="false">Sens!$K$7691</f>
        <v>27.155176574769</v>
      </c>
      <c r="L7788" s="38" t="n">
        <f aca="false">Sens!$L$7691</f>
        <v>27.969831872012</v>
      </c>
      <c r="M7788" s="38" t="n">
        <f aca="false">Sens!$M$7691</f>
        <v>28.8089268281724</v>
      </c>
      <c r="N7788" s="38" t="n">
        <f aca="false">Sens!$N$7691</f>
        <v>11.128</v>
      </c>
      <c r="O7788" s="38" t="n">
        <f aca="false">Sens!$O$7691</f>
        <v>11.433</v>
      </c>
    </row>
    <row r="7789" customFormat="false" ht="15" hidden="false" customHeight="false" outlineLevel="0" collapsed="false">
      <c r="A7789" s="0" t="s">
        <v>528</v>
      </c>
      <c r="B7789" s="0" t="s">
        <v>86</v>
      </c>
      <c r="C7789" s="38" t="n">
        <f aca="false">Sens!$C$7693</f>
        <v>156.146</v>
      </c>
      <c r="D7789" s="38" t="n">
        <f aca="false">Sens!$D$7693</f>
        <v>172.162</v>
      </c>
      <c r="E7789" s="38" t="n">
        <f aca="false">Sens!$E$7693</f>
        <v>88.358</v>
      </c>
      <c r="F7789" s="38" t="n">
        <f aca="false">Sens!$F$7693</f>
        <v>102.004388260171</v>
      </c>
      <c r="G7789" s="38" t="n">
        <f aca="false">Sens!$G$7693</f>
        <v>190.362388260171</v>
      </c>
      <c r="H7789" s="38" t="n">
        <f aca="false">Sens!$H$7693</f>
        <v>210.343106588311</v>
      </c>
      <c r="I7789" s="38" t="n">
        <f aca="false">Sens!$I$7693</f>
        <v>229.969728494648</v>
      </c>
      <c r="J7789" s="38" t="n">
        <f aca="false">Sens!$J$7693</f>
        <v>248.747636972598</v>
      </c>
      <c r="K7789" s="38" t="n">
        <f aca="false">Sens!$K$7693</f>
        <v>266.15997156068</v>
      </c>
      <c r="L7789" s="38" t="n">
        <f aca="false">Sens!$L$7693</f>
        <v>284.791169569927</v>
      </c>
      <c r="M7789" s="38" t="n">
        <f aca="false">Sens!$M$7693</f>
        <v>304.726551439822</v>
      </c>
      <c r="N7789" s="38" t="n">
        <f aca="false">Sens!$N$7693</f>
        <v>76.86</v>
      </c>
      <c r="O7789" s="38" t="n">
        <f aca="false">Sens!$O$7693</f>
        <v>95.302</v>
      </c>
    </row>
    <row r="7790" customFormat="false" ht="15" hidden="false" customHeight="false" outlineLevel="0" collapsed="false">
      <c r="A7790" s="0" t="s">
        <v>529</v>
      </c>
      <c r="B7790" s="0" t="s">
        <v>86</v>
      </c>
      <c r="C7790" s="38" t="n">
        <f aca="false">Sens!$C$7695</f>
        <v>56.214</v>
      </c>
      <c r="D7790" s="38" t="n">
        <f aca="false">Sens!$D$7695</f>
        <v>68.635</v>
      </c>
      <c r="E7790" s="38" t="n">
        <f aca="false">Sens!$E$7695</f>
        <v>37.052</v>
      </c>
      <c r="F7790" s="38" t="n">
        <f aca="false">Sens!$F$7695</f>
        <v>46.1572219944148</v>
      </c>
      <c r="G7790" s="38" t="n">
        <f aca="false">Sens!$G$7695</f>
        <v>83.2092219944148</v>
      </c>
      <c r="H7790" s="38" t="n">
        <f aca="false">Sens!$H$7695</f>
        <v>99.8969223878976</v>
      </c>
      <c r="I7790" s="38" t="n">
        <f aca="false">Sens!$I$7695</f>
        <v>116.583111095496</v>
      </c>
      <c r="J7790" s="38" t="n">
        <f aca="false">Sens!$J$7695</f>
        <v>132.148941941952</v>
      </c>
      <c r="K7790" s="38" t="n">
        <f aca="false">Sens!$K$7695</f>
        <v>145.363836136147</v>
      </c>
      <c r="L7790" s="38" t="n">
        <f aca="false">Sens!$L$7695</f>
        <v>159.900219749762</v>
      </c>
      <c r="M7790" s="38" t="n">
        <f aca="false">Sens!$M$7695</f>
        <v>175.890241724738</v>
      </c>
      <c r="N7790" s="38" t="n">
        <f aca="false">Sens!$N$7695</f>
        <v>29.615</v>
      </c>
      <c r="O7790" s="38" t="n">
        <f aca="false">Sens!$O$7695</f>
        <v>39.02</v>
      </c>
    </row>
    <row r="7791" customFormat="false" ht="15" hidden="false" customHeight="false" outlineLevel="0" collapsed="false">
      <c r="A7791" s="0" t="s">
        <v>530</v>
      </c>
      <c r="B7791" s="0" t="s">
        <v>86</v>
      </c>
      <c r="C7791" s="38" t="n">
        <f aca="false">Sens!$C$7697</f>
        <v>44.374</v>
      </c>
      <c r="D7791" s="38" t="n">
        <f aca="false">Sens!$D$7697</f>
        <v>49.619</v>
      </c>
      <c r="E7791" s="38" t="n">
        <f aca="false">Sens!$E$7697</f>
        <v>27.157</v>
      </c>
      <c r="F7791" s="38" t="n">
        <f aca="false">Sens!$F$7697</f>
        <v>27.7764165988154</v>
      </c>
      <c r="G7791" s="38" t="n">
        <f aca="false">Sens!$G$7697</f>
        <v>54.9334165988154</v>
      </c>
      <c r="H7791" s="38" t="n">
        <f aca="false">Sens!$H$7697</f>
        <v>61.1564112561829</v>
      </c>
      <c r="I7791" s="38" t="n">
        <f aca="false">Sens!$I$7697</f>
        <v>67.2020282103945</v>
      </c>
      <c r="J7791" s="38" t="n">
        <f aca="false">Sens!$J$7697</f>
        <v>72.8757274028885</v>
      </c>
      <c r="K7791" s="38" t="n">
        <f aca="false">Sens!$K$7697</f>
        <v>77.9770283210907</v>
      </c>
      <c r="L7791" s="38" t="n">
        <f aca="false">Sens!$L$7697</f>
        <v>83.4354203035671</v>
      </c>
      <c r="M7791" s="38" t="n">
        <f aca="false">Sens!$M$7697</f>
        <v>89.2758997248168</v>
      </c>
      <c r="N7791" s="38" t="n">
        <f aca="false">Sens!$N$7697</f>
        <v>23.923</v>
      </c>
      <c r="O7791" s="38" t="n">
        <f aca="false">Sens!$O$7697</f>
        <v>25.696</v>
      </c>
    </row>
    <row r="7792" customFormat="false" ht="15" hidden="false" customHeight="false" outlineLevel="0" collapsed="false">
      <c r="A7792" s="0" t="s">
        <v>531</v>
      </c>
      <c r="B7792" s="0" t="s">
        <v>86</v>
      </c>
      <c r="C7792" s="38" t="n">
        <f aca="false">Sens!$C$7699</f>
        <v>5.425</v>
      </c>
      <c r="D7792" s="38" t="n">
        <f aca="false">Sens!$D$7699</f>
        <v>5.935</v>
      </c>
      <c r="E7792" s="38" t="n">
        <f aca="false">Sens!$E$7699</f>
        <v>3.474</v>
      </c>
      <c r="F7792" s="38" t="n">
        <f aca="false">Sens!$F$7699</f>
        <v>3.22246550883619</v>
      </c>
      <c r="G7792" s="38" t="n">
        <f aca="false">Sens!$G$7699</f>
        <v>6.69646550883619</v>
      </c>
      <c r="H7792" s="38" t="n">
        <f aca="false">Sens!$H$7699</f>
        <v>7.16251344209196</v>
      </c>
      <c r="I7792" s="38" t="n">
        <f aca="false">Sens!$I$7699</f>
        <v>7.61421070299826</v>
      </c>
      <c r="J7792" s="38" t="n">
        <f aca="false">Sens!$J$7699</f>
        <v>8.04465753523932</v>
      </c>
      <c r="K7792" s="38" t="n">
        <f aca="false">Sens!$K$7699</f>
        <v>8.44689041200128</v>
      </c>
      <c r="L7792" s="38" t="n">
        <f aca="false">Sens!$L$7699</f>
        <v>8.86923493260135</v>
      </c>
      <c r="M7792" s="38" t="n">
        <f aca="false">Sens!$M$7699</f>
        <v>9.31269667923142</v>
      </c>
      <c r="N7792" s="38" t="n">
        <f aca="false">Sens!$N$7699</f>
        <v>2.811</v>
      </c>
      <c r="O7792" s="38" t="n">
        <f aca="false">Sens!$O$7699</f>
        <v>3.124</v>
      </c>
    </row>
    <row r="7793" customFormat="false" ht="17.15" hidden="false" customHeight="false" outlineLevel="0" collapsed="false">
      <c r="A7793" s="0" t="s">
        <v>728</v>
      </c>
      <c r="B7793" s="0" t="s">
        <v>86</v>
      </c>
      <c r="C7793" s="38" t="n">
        <f aca="false">Sens!$C$7774</f>
        <v>107.556</v>
      </c>
      <c r="D7793" s="38" t="n">
        <f aca="false">Sens!$D$7774</f>
        <v>128.725</v>
      </c>
      <c r="E7793" s="38" t="n">
        <f aca="false">Sens!$E$7774</f>
        <v>79.819</v>
      </c>
      <c r="F7793" s="38" t="n">
        <f aca="false">Sens!$F$7774</f>
        <v>86.7327334389669</v>
      </c>
      <c r="G7793" s="38" t="n">
        <f aca="false">Sens!$G$7774</f>
        <v>166.551733438967</v>
      </c>
      <c r="H7793" s="38" t="n">
        <f aca="false">Sens!$H$7774</f>
        <v>221.182967828978</v>
      </c>
      <c r="I7793" s="38" t="n">
        <f aca="false">Sens!$I$7774</f>
        <v>280.27345865789</v>
      </c>
      <c r="J7793" s="38" t="n">
        <f aca="false">Sens!$J$7774</f>
        <v>338.800945197185</v>
      </c>
      <c r="K7793" s="38" t="n">
        <f aca="false">Sens!$K$7774</f>
        <v>389.88570147276</v>
      </c>
      <c r="L7793" s="38" t="n">
        <f aca="false">Sens!$L$7774</f>
        <v>430.080689379143</v>
      </c>
      <c r="M7793" s="38" t="n">
        <f aca="false">Sens!$M$7774</f>
        <v>459.456235951751</v>
      </c>
      <c r="N7793" s="38" t="n">
        <f aca="false">Sens!$N$7774</f>
        <v>60.14</v>
      </c>
      <c r="O7793" s="38" t="n">
        <f aca="false">Sens!$O$7774</f>
        <v>68.585</v>
      </c>
    </row>
    <row r="7794" customFormat="false" ht="15" hidden="false" customHeight="false" outlineLevel="0" collapsed="false">
      <c r="A7794" s="1" t="s">
        <v>519</v>
      </c>
      <c r="B7794" s="8" t="s">
        <v>86</v>
      </c>
      <c r="C7794" s="38" t="n">
        <f aca="false">Sens!$C$7704</f>
        <v>387.497</v>
      </c>
      <c r="D7794" s="38" t="n">
        <f aca="false">Sens!$D$7704</f>
        <v>426.305</v>
      </c>
      <c r="E7794" s="38" t="n">
        <f aca="false">Sens!$E$7704</f>
        <v>220.32</v>
      </c>
      <c r="F7794" s="38" t="n">
        <f aca="false">Sens!$F$7704</f>
        <v>250.639773480586</v>
      </c>
      <c r="G7794" s="38" t="n">
        <f aca="false">Sens!$G$7704</f>
        <v>470.959773480586</v>
      </c>
      <c r="H7794" s="38" t="n">
        <f aca="false">Sens!$H$7704</f>
        <v>521.386990416437</v>
      </c>
      <c r="I7794" s="38" t="n">
        <f aca="false">Sens!$I$7704</f>
        <v>570.143862887555</v>
      </c>
      <c r="J7794" s="38" t="n">
        <f aca="false">Sens!$J$7704</f>
        <v>615.391435791933</v>
      </c>
      <c r="K7794" s="38" t="n">
        <f aca="false">Sens!$K$7704</f>
        <v>655.208227561543</v>
      </c>
      <c r="L7794" s="38" t="n">
        <f aca="false">Sens!$L$7704</f>
        <v>697.807739249767</v>
      </c>
      <c r="M7794" s="38" t="n">
        <f aca="false">Sens!$M$7704</f>
        <v>743.399328463592</v>
      </c>
      <c r="N7794" s="38" t="n">
        <f aca="false">Sens!$N$7704</f>
        <v>192.955</v>
      </c>
      <c r="O7794" s="38" t="n">
        <f aca="false">Sens!$O$7704</f>
        <v>233.35</v>
      </c>
    </row>
    <row r="7795" customFormat="false" ht="15" hidden="false" customHeight="false" outlineLevel="0" collapsed="false">
      <c r="A7795" s="1" t="s">
        <v>522</v>
      </c>
      <c r="B7795" s="8" t="s">
        <v>86</v>
      </c>
      <c r="C7795" s="38" t="n">
        <f aca="false">Sens!$C$7705</f>
        <v>142.906</v>
      </c>
      <c r="D7795" s="38" t="n">
        <f aca="false">Sens!$D$7705</f>
        <v>161.894</v>
      </c>
      <c r="E7795" s="38" t="n">
        <f aca="false">Sens!$E$7705</f>
        <v>81.986</v>
      </c>
      <c r="F7795" s="38" t="n">
        <f aca="false">Sens!$F$7705</f>
        <v>98.408468164951</v>
      </c>
      <c r="G7795" s="38" t="n">
        <f aca="false">Sens!$G$7705</f>
        <v>180.394468164951</v>
      </c>
      <c r="H7795" s="38" t="n">
        <f aca="false">Sens!$H$7705</f>
        <v>199.709899104949</v>
      </c>
      <c r="I7795" s="38" t="n">
        <f aca="false">Sens!$I$7705</f>
        <v>218.385528264976</v>
      </c>
      <c r="J7795" s="38" t="n">
        <f aca="false">Sens!$J$7705</f>
        <v>235.71696994951</v>
      </c>
      <c r="K7795" s="38" t="n">
        <f aca="false">Sens!$K$7705</f>
        <v>250.968227869545</v>
      </c>
      <c r="L7795" s="38" t="n">
        <f aca="false">Sens!$L$7705</f>
        <v>267.285367225822</v>
      </c>
      <c r="M7795" s="38" t="n">
        <f aca="false">Sens!$M$7705</f>
        <v>284.748579483295</v>
      </c>
      <c r="N7795" s="38" t="n">
        <f aca="false">Sens!$N$7705</f>
        <v>70.274</v>
      </c>
      <c r="O7795" s="38" t="n">
        <f aca="false">Sens!$O$7705</f>
        <v>91.62</v>
      </c>
    </row>
    <row r="7796" customFormat="false" ht="15" hidden="false" customHeight="false" outlineLevel="0" collapsed="false">
      <c r="A7796" s="1" t="s">
        <v>523</v>
      </c>
      <c r="B7796" s="8" t="s">
        <v>86</v>
      </c>
      <c r="C7796" s="38" t="n">
        <f aca="false">Sens!$C$7774</f>
        <v>107.556</v>
      </c>
      <c r="D7796" s="38" t="n">
        <f aca="false">Sens!$D$7774</f>
        <v>128.725</v>
      </c>
      <c r="E7796" s="38" t="n">
        <f aca="false">Sens!$E$7774</f>
        <v>79.819</v>
      </c>
      <c r="F7796" s="38" t="n">
        <f aca="false">Sens!$F$7774</f>
        <v>86.7327334389669</v>
      </c>
      <c r="G7796" s="38" t="n">
        <f aca="false">Sens!$G$7774</f>
        <v>166.551733438967</v>
      </c>
      <c r="H7796" s="38" t="n">
        <f aca="false">Sens!$H$7774</f>
        <v>221.182967828978</v>
      </c>
      <c r="I7796" s="38" t="n">
        <f aca="false">Sens!$I$7774</f>
        <v>280.27345865789</v>
      </c>
      <c r="J7796" s="38" t="n">
        <f aca="false">Sens!$J$7774</f>
        <v>338.800945197185</v>
      </c>
      <c r="K7796" s="38" t="n">
        <f aca="false">Sens!$K$7774</f>
        <v>389.88570147276</v>
      </c>
      <c r="L7796" s="38" t="n">
        <f aca="false">Sens!$L$7774</f>
        <v>430.080689379143</v>
      </c>
      <c r="M7796" s="38" t="n">
        <f aca="false">Sens!$M$7774</f>
        <v>459.456235951751</v>
      </c>
      <c r="N7796" s="38" t="n">
        <f aca="false">Sens!$N$7774</f>
        <v>60.14</v>
      </c>
      <c r="O7796" s="38" t="n">
        <f aca="false">Sens!$O$7774</f>
        <v>68.585</v>
      </c>
    </row>
    <row r="7797" customFormat="false" ht="17.15" hidden="false" customHeight="false" outlineLevel="0" collapsed="false">
      <c r="A7797" s="0" t="s">
        <v>702</v>
      </c>
      <c r="B7797" s="0" t="s">
        <v>86</v>
      </c>
      <c r="C7797" s="38" t="n">
        <f aca="false">Sens!$C$7772</f>
        <v>2.32100535697364</v>
      </c>
      <c r="D7797" s="38" t="n">
        <f aca="false">Sens!$D$7772</f>
        <v>8.70377008865116</v>
      </c>
      <c r="E7797" s="38" t="n">
        <f aca="false">Sens!$E$7772</f>
        <v>8.51035297557002</v>
      </c>
      <c r="F7797" s="38" t="n">
        <f aca="false">Sens!$F$7772</f>
        <v>14.9634336447205</v>
      </c>
      <c r="G7797" s="38" t="n">
        <f aca="false">Sens!$G$7772</f>
        <v>23.4737866202905</v>
      </c>
      <c r="H7797" s="38" t="n">
        <f aca="false">Sens!$H$7772</f>
        <v>60.1658907497746</v>
      </c>
      <c r="I7797" s="38" t="n">
        <f aca="false">Sens!$I$7772</f>
        <v>101.503699136432</v>
      </c>
      <c r="J7797" s="38" t="n">
        <f aca="false">Sens!$J$7772</f>
        <v>143.025407151278</v>
      </c>
      <c r="K7797" s="38" t="n">
        <f aca="false">Sens!$K$7772</f>
        <v>178.44812038318</v>
      </c>
      <c r="L7797" s="38" t="n">
        <f aca="false">Sens!$L$7772</f>
        <v>201.728101802396</v>
      </c>
      <c r="M7797" s="38" t="n">
        <f aca="false">Sens!$M$7772</f>
        <v>212.835441368865</v>
      </c>
      <c r="N7797" s="38" t="n">
        <f aca="false">Sens!$N$7772</f>
        <v>3.04631953102791</v>
      </c>
      <c r="O7797" s="38" t="n">
        <f aca="false">Sens!$O$7772</f>
        <v>5.65745055762326</v>
      </c>
    </row>
    <row r="7798" customFormat="false" ht="17.15" hidden="false" customHeight="false" outlineLevel="0" collapsed="false">
      <c r="A7798" s="0" t="s">
        <v>704</v>
      </c>
      <c r="B7798" s="0" t="s">
        <v>86</v>
      </c>
      <c r="C7798" s="38" t="n">
        <f aca="false">Sens!$C$7773</f>
        <v>105.234994643026</v>
      </c>
      <c r="D7798" s="38" t="n">
        <f aca="false">Sens!$D$7773</f>
        <v>120.021229911349</v>
      </c>
      <c r="E7798" s="38" t="n">
        <f aca="false">Sens!$E$7773</f>
        <v>71.30864702443</v>
      </c>
      <c r="F7798" s="38" t="n">
        <f aca="false">Sens!$F$7773</f>
        <v>71.7692997942464</v>
      </c>
      <c r="G7798" s="38" t="n">
        <f aca="false">Sens!$G$7773</f>
        <v>143.077946818676</v>
      </c>
      <c r="H7798" s="38" t="n">
        <f aca="false">Sens!$H$7773</f>
        <v>161.017077079203</v>
      </c>
      <c r="I7798" s="38" t="n">
        <f aca="false">Sens!$I$7773</f>
        <v>178.769759521457</v>
      </c>
      <c r="J7798" s="38" t="n">
        <f aca="false">Sens!$J$7773</f>
        <v>195.775538045907</v>
      </c>
      <c r="K7798" s="38" t="n">
        <f aca="false">Sens!$K$7773</f>
        <v>211.43758108958</v>
      </c>
      <c r="L7798" s="38" t="n">
        <f aca="false">Sens!$L$7773</f>
        <v>228.352587576746</v>
      </c>
      <c r="M7798" s="38" t="n">
        <f aca="false">Sens!$M$7773</f>
        <v>246.620794582886</v>
      </c>
      <c r="N7798" s="38" t="n">
        <f aca="false">Sens!$N$7773</f>
        <v>57.0936804689721</v>
      </c>
      <c r="O7798" s="38" t="n">
        <f aca="false">Sens!$O$7773</f>
        <v>62.9275494423768</v>
      </c>
    </row>
    <row r="7799" customFormat="false" ht="15" hidden="false" customHeight="false" outlineLevel="0" collapsed="false">
      <c r="A7799" s="3" t="s">
        <v>524</v>
      </c>
      <c r="B7799" s="8" t="s">
        <v>86</v>
      </c>
      <c r="C7799" s="38" t="n">
        <f aca="false">Sens!$C$7775</f>
        <v>637.959</v>
      </c>
      <c r="D7799" s="38" t="n">
        <f aca="false">Sens!$D$7775</f>
        <v>716.924</v>
      </c>
      <c r="E7799" s="38" t="n">
        <f aca="false">Sens!$E$7775</f>
        <v>382.125</v>
      </c>
      <c r="F7799" s="38" t="n">
        <f aca="false">Sens!$F$7775</f>
        <v>435.780975084504</v>
      </c>
      <c r="G7799" s="38" t="n">
        <f aca="false">Sens!$G$7775</f>
        <v>817.905975084504</v>
      </c>
      <c r="H7799" s="38" t="n">
        <f aca="false">Sens!$H$7775</f>
        <v>942.279857350364</v>
      </c>
      <c r="I7799" s="38" t="n">
        <f aca="false">Sens!$I$7775</f>
        <v>1068.80284981042</v>
      </c>
      <c r="J7799" s="38" t="n">
        <f aca="false">Sens!$J$7775</f>
        <v>1189.90935093863</v>
      </c>
      <c r="K7799" s="38" t="n">
        <f aca="false">Sens!$K$7775</f>
        <v>1296.06215690385</v>
      </c>
      <c r="L7799" s="38" t="n">
        <f aca="false">Sens!$L$7775</f>
        <v>1395.17379585473</v>
      </c>
      <c r="M7799" s="38" t="n">
        <f aca="false">Sens!$M$7775</f>
        <v>1487.60414389864</v>
      </c>
      <c r="N7799" s="38" t="n">
        <f aca="false">Sens!$N$7775</f>
        <v>323.369</v>
      </c>
      <c r="O7799" s="38" t="n">
        <f aca="false">Sens!$O$7775</f>
        <v>393.555</v>
      </c>
    </row>
    <row r="7800" customFormat="false" ht="17.15" hidden="false" customHeight="false" outlineLevel="0" collapsed="false">
      <c r="A7800" s="24" t="s">
        <v>714</v>
      </c>
      <c r="B7800" s="25" t="s">
        <v>86</v>
      </c>
      <c r="C7800" s="41" t="n">
        <f aca="false">Sens!$C$7787+Sens!$C$7788+Sens!$C$7789+Sens!$C$7790+Sens!$C$7791+Sens!$C$7792-(Sens!$C$7794+Sens!$C$7795)</f>
        <v>0</v>
      </c>
      <c r="D7800" s="41" t="n">
        <f aca="false">Sens!$D$7787+Sens!$D$7788+Sens!$D$7789+Sens!$D$7790+Sens!$D$7791+Sens!$D$7792-(Sens!$D$7794+Sens!$D$7795)</f>
        <v>0</v>
      </c>
      <c r="E7800" s="41" t="n">
        <f aca="false">Sens!$E$7787+Sens!$E$7788+Sens!$E$7789+Sens!$E$7790+Sens!$E$7791+Sens!$E$7792-(Sens!$E$7794+Sens!$E$7795)</f>
        <v>0</v>
      </c>
      <c r="F7800" s="41" t="n">
        <f aca="false">Sens!$F$7787+Sens!$F$7788+Sens!$F$7789+Sens!$F$7790+Sens!$F$7791+Sens!$F$7792-(Sens!$F$7794+Sens!$F$7795)</f>
        <v>0</v>
      </c>
      <c r="G7800" s="41" t="n">
        <f aca="false">Sens!$G$7787+Sens!$G$7788+Sens!$G$7789+Sens!$G$7790+Sens!$G$7791+Sens!$G$7792-(Sens!$G$7794+Sens!$G$7795)</f>
        <v>0</v>
      </c>
      <c r="H7800" s="41" t="n">
        <f aca="false">Sens!$H$7787+Sens!$H$7788+Sens!$H$7789+Sens!$H$7790+Sens!$H$7791+Sens!$H$7792-(Sens!$H$7794+Sens!$H$7795)</f>
        <v>0</v>
      </c>
      <c r="I7800" s="41" t="n">
        <f aca="false">Sens!$I$7787+Sens!$I$7788+Sens!$I$7789+Sens!$I$7790+Sens!$I$7791+Sens!$I$7792-(Sens!$I$7794+Sens!$I$7795)</f>
        <v>0</v>
      </c>
      <c r="J7800" s="41" t="n">
        <f aca="false">Sens!$J$7787+Sens!$J$7788+Sens!$J$7789+Sens!$J$7790+Sens!$J$7791+Sens!$J$7792-(Sens!$J$7794+Sens!$J$7795)</f>
        <v>0</v>
      </c>
      <c r="K7800" s="41" t="n">
        <f aca="false">Sens!$K$7787+Sens!$K$7788+Sens!$K$7789+Sens!$K$7790+Sens!$K$7791+Sens!$K$7792-(Sens!$K$7794+Sens!$K$7795)</f>
        <v>0</v>
      </c>
      <c r="L7800" s="41" t="n">
        <f aca="false">Sens!$L$7787+Sens!$L$7788+Sens!$L$7789+Sens!$L$7790+Sens!$L$7791+Sens!$L$7792-(Sens!$L$7794+Sens!$L$7795)</f>
        <v>0</v>
      </c>
      <c r="M7800" s="41" t="n">
        <f aca="false">Sens!$M$7787+Sens!$M$7788+Sens!$M$7789+Sens!$M$7790+Sens!$M$7791+Sens!$M$7792-(Sens!$M$7794+Sens!$M$7795)</f>
        <v>0</v>
      </c>
      <c r="N7800" s="41" t="n">
        <f aca="false">Sens!$N$7787+Sens!$N$7788+Sens!$N$7789+Sens!$N$7790+Sens!$N$7791+Sens!$N$7792-(Sens!$N$7794+Sens!$N$7795)</f>
        <v>0</v>
      </c>
      <c r="O7800" s="41" t="n">
        <f aca="false">Sens!$O$7787+Sens!$O$7788+Sens!$O$7789+Sens!$O$7790+Sens!$O$7791+Sens!$O$7792-(Sens!$O$7794+Sens!$O$7795)</f>
        <v>0</v>
      </c>
    </row>
    <row r="7801" customFormat="false" ht="17.15" hidden="false" customHeight="false" outlineLevel="0" collapsed="false">
      <c r="A7801" s="24" t="s">
        <v>715</v>
      </c>
      <c r="B7801" s="25" t="s">
        <v>86</v>
      </c>
      <c r="C7801" s="41" t="n">
        <f aca="false">Sens!$C$7797+Sens!$C$7798-Sens!$C$7796</f>
        <v>0</v>
      </c>
      <c r="D7801" s="41" t="n">
        <f aca="false">Sens!$D$7797+Sens!$D$7798-Sens!$D$7796</f>
        <v>0</v>
      </c>
      <c r="E7801" s="41" t="n">
        <f aca="false">Sens!$E$7797+Sens!$E$7798-Sens!$E$7796</f>
        <v>0</v>
      </c>
      <c r="F7801" s="41" t="n">
        <f aca="false">Sens!$F$7797+Sens!$F$7798-Sens!$F$7796</f>
        <v>0</v>
      </c>
      <c r="G7801" s="41" t="n">
        <f aca="false">Sens!$G$7797+Sens!$G$7798-Sens!$G$7796</f>
        <v>0</v>
      </c>
      <c r="H7801" s="41" t="n">
        <f aca="false">Sens!$H$7797+Sens!$H$7798-Sens!$H$7796</f>
        <v>0</v>
      </c>
      <c r="I7801" s="41" t="n">
        <f aca="false">Sens!$I$7797+Sens!$I$7798-Sens!$I$7796</f>
        <v>0</v>
      </c>
      <c r="J7801" s="41" t="n">
        <f aca="false">Sens!$J$7797+Sens!$J$7798-Sens!$J$7796</f>
        <v>0</v>
      </c>
      <c r="K7801" s="41" t="n">
        <f aca="false">Sens!$K$7797+Sens!$K$7798-Sens!$K$7796</f>
        <v>0</v>
      </c>
      <c r="L7801" s="41" t="n">
        <f aca="false">Sens!$L$7797+Sens!$L$7798-Sens!$L$7796</f>
        <v>0</v>
      </c>
      <c r="M7801" s="41" t="n">
        <f aca="false">Sens!$M$7797+Sens!$M$7798-Sens!$M$7796</f>
        <v>0</v>
      </c>
      <c r="N7801" s="41" t="n">
        <f aca="false">Sens!$N$7797+Sens!$N$7798-Sens!$N$7796</f>
        <v>0</v>
      </c>
      <c r="O7801" s="41" t="n">
        <f aca="false">Sens!$O$7797+Sens!$O$7798-Sens!$O$7796</f>
        <v>0</v>
      </c>
    </row>
    <row r="7802" customFormat="false" ht="17.15" hidden="false" customHeight="false" outlineLevel="0" collapsed="false">
      <c r="A7802" s="24" t="s">
        <v>774</v>
      </c>
      <c r="B7802" s="25" t="s">
        <v>86</v>
      </c>
      <c r="C7802" s="41" t="n">
        <f aca="false">Sens!$C$7787+Sens!$C$7788+Sens!$C$7789+Sens!$C$7790+Sens!$C$7791+Sens!$C$7792+Sens!$C$7793-Sens!$C$7799</f>
        <v>0</v>
      </c>
      <c r="D7802" s="41" t="n">
        <f aca="false">Sens!$D$7787+Sens!$D$7788+Sens!$D$7789+Sens!$D$7790+Sens!$D$7791+Sens!$D$7792+Sens!$D$7793-Sens!$D$7799</f>
        <v>0</v>
      </c>
      <c r="E7802" s="41" t="n">
        <f aca="false">Sens!$E$7787+Sens!$E$7788+Sens!$E$7789+Sens!$E$7790+Sens!$E$7791+Sens!$E$7792+Sens!$E$7793-Sens!$E$7799</f>
        <v>0</v>
      </c>
      <c r="F7802" s="41" t="n">
        <f aca="false">Sens!$F$7787+Sens!$F$7788+Sens!$F$7789+Sens!$F$7790+Sens!$F$7791+Sens!$F$7792+Sens!$F$7793-Sens!$F$7799</f>
        <v>0</v>
      </c>
      <c r="G7802" s="41" t="n">
        <f aca="false">Sens!$G$7787+Sens!$G$7788+Sens!$G$7789+Sens!$G$7790+Sens!$G$7791+Sens!$G$7792+Sens!$G$7793-Sens!$G$7799</f>
        <v>0</v>
      </c>
      <c r="H7802" s="41" t="n">
        <f aca="false">Sens!$H$7787+Sens!$H$7788+Sens!$H$7789+Sens!$H$7790+Sens!$H$7791+Sens!$H$7792+Sens!$H$7793-Sens!$H$7799</f>
        <v>0</v>
      </c>
      <c r="I7802" s="41" t="n">
        <f aca="false">Sens!$I$7787+Sens!$I$7788+Sens!$I$7789+Sens!$I$7790+Sens!$I$7791+Sens!$I$7792+Sens!$I$7793-Sens!$I$7799</f>
        <v>0</v>
      </c>
      <c r="J7802" s="41" t="n">
        <f aca="false">Sens!$J$7787+Sens!$J$7788+Sens!$J$7789+Sens!$J$7790+Sens!$J$7791+Sens!$J$7792+Sens!$J$7793-Sens!$J$7799</f>
        <v>0</v>
      </c>
      <c r="K7802" s="41" t="n">
        <f aca="false">Sens!$K$7787+Sens!$K$7788+Sens!$K$7789+Sens!$K$7790+Sens!$K$7791+Sens!$K$7792+Sens!$K$7793-Sens!$K$7799</f>
        <v>0</v>
      </c>
      <c r="L7802" s="41" t="n">
        <f aca="false">Sens!$L$7787+Sens!$L$7788+Sens!$L$7789+Sens!$L$7790+Sens!$L$7791+Sens!$L$7792+Sens!$L$7793-Sens!$L$7799</f>
        <v>0</v>
      </c>
      <c r="M7802" s="41" t="n">
        <f aca="false">Sens!$M$7787+Sens!$M$7788+Sens!$M$7789+Sens!$M$7790+Sens!$M$7791+Sens!$M$7792+Sens!$M$7793-Sens!$M$7799</f>
        <v>0</v>
      </c>
      <c r="N7802" s="41" t="n">
        <f aca="false">Sens!$N$7787+Sens!$N$7788+Sens!$N$7789+Sens!$N$7790+Sens!$N$7791+Sens!$N$7792+Sens!$N$7793-Sens!$N$7799</f>
        <v>0</v>
      </c>
      <c r="O7802" s="41" t="n">
        <f aca="false">Sens!$O$7787+Sens!$O$7788+Sens!$O$7789+Sens!$O$7790+Sens!$O$7791+Sens!$O$7792+Sens!$O$7793-Sens!$O$7799</f>
        <v>0</v>
      </c>
    </row>
    <row r="7803" customFormat="false" ht="17.15" hidden="false" customHeight="false" outlineLevel="0" collapsed="false">
      <c r="A7803" s="24" t="s">
        <v>716</v>
      </c>
      <c r="B7803" s="25" t="s">
        <v>86</v>
      </c>
      <c r="C7803" s="41" t="n">
        <f aca="false">Sens!$C$7794+Sens!$C$7795+Sens!$C$7796-Sens!$C$7799</f>
        <v>0</v>
      </c>
      <c r="D7803" s="41" t="n">
        <f aca="false">Sens!$D$7794+Sens!$D$7795+Sens!$D$7796-Sens!$D$7799</f>
        <v>0</v>
      </c>
      <c r="E7803" s="41" t="n">
        <f aca="false">Sens!$E$7794+Sens!$E$7795+Sens!$E$7796-Sens!$E$7799</f>
        <v>0</v>
      </c>
      <c r="F7803" s="41" t="n">
        <f aca="false">Sens!$F$7794+Sens!$F$7795+Sens!$F$7796-Sens!$F$7799</f>
        <v>0</v>
      </c>
      <c r="G7803" s="41" t="n">
        <f aca="false">Sens!$G$7794+Sens!$G$7795+Sens!$G$7796-Sens!$G$7799</f>
        <v>0</v>
      </c>
      <c r="H7803" s="41" t="n">
        <f aca="false">Sens!$H$7794+Sens!$H$7795+Sens!$H$7796-Sens!$H$7799</f>
        <v>0</v>
      </c>
      <c r="I7803" s="41" t="n">
        <f aca="false">Sens!$I$7794+Sens!$I$7795+Sens!$I$7796-Sens!$I$7799</f>
        <v>0</v>
      </c>
      <c r="J7803" s="41" t="n">
        <f aca="false">Sens!$J$7794+Sens!$J$7795+Sens!$J$7796-Sens!$J$7799</f>
        <v>0</v>
      </c>
      <c r="K7803" s="41" t="n">
        <f aca="false">Sens!$K$7794+Sens!$K$7795+Sens!$K$7796-Sens!$K$7799</f>
        <v>0</v>
      </c>
      <c r="L7803" s="41" t="n">
        <f aca="false">Sens!$L$7794+Sens!$L$7795+Sens!$L$7796-Sens!$L$7799</f>
        <v>0</v>
      </c>
      <c r="M7803" s="41" t="n">
        <f aca="false">Sens!$M$7794+Sens!$M$7795+Sens!$M$7796-Sens!$M$7799</f>
        <v>0</v>
      </c>
      <c r="N7803" s="41" t="n">
        <f aca="false">Sens!$N$7794+Sens!$N$7795+Sens!$N$7796-Sens!$N$7799</f>
        <v>0</v>
      </c>
      <c r="O7803" s="41" t="n">
        <f aca="false">Sens!$O$7794+Sens!$O$7795+Sens!$O$7796-Sens!$O$7799</f>
        <v>0</v>
      </c>
    </row>
    <row r="7804" customFormat="false" ht="17.15" hidden="false" customHeight="false" outlineLevel="0" collapsed="false">
      <c r="A7804" s="1" t="s">
        <v>730</v>
      </c>
    </row>
    <row r="7805" customFormat="false" ht="17.15" hidden="false" customHeight="false" outlineLevel="0" collapsed="false">
      <c r="A7805" s="0" t="s">
        <v>731</v>
      </c>
      <c r="B7805" s="0" t="s">
        <v>86</v>
      </c>
      <c r="C7805" s="38" t="n">
        <f aca="false">Sens!$C$7706*m_ad</f>
        <v>20.5341564414228</v>
      </c>
      <c r="D7805" s="38" t="n">
        <f aca="false">Sens!$D$7706*m_ad</f>
        <v>24.8720617299587</v>
      </c>
      <c r="E7805" s="38" t="n">
        <f aca="false">Sens!$E$7706*m_ad</f>
        <v>13.5017112462207</v>
      </c>
      <c r="F7805" s="38" t="n">
        <f aca="false">Sens!$F$7706*m_ad</f>
        <v>16.5719724165257</v>
      </c>
      <c r="G7805" s="38" t="n">
        <f aca="false">Sens!$G$7706*m_ad</f>
        <v>30.0820919220415</v>
      </c>
      <c r="H7805" s="38" t="n">
        <f aca="false">Sens!$H$7706*m_ad</f>
        <v>36.1150883276314</v>
      </c>
      <c r="I7805" s="38" t="n">
        <f aca="false">Sens!$I$7706*m_ad</f>
        <v>42.1475382231996</v>
      </c>
      <c r="J7805" s="38" t="n">
        <f aca="false">Sens!$J$7706*m_ad</f>
        <v>47.7749523864693</v>
      </c>
      <c r="K7805" s="38" t="n">
        <f aca="false">Sens!$K$7706*m_ad</f>
        <v>52.5524476251162</v>
      </c>
      <c r="L7805" s="38" t="n">
        <f aca="false">Sens!$L$7706*m_ad</f>
        <v>57.8076923876279</v>
      </c>
      <c r="M7805" s="38" t="n">
        <f aca="false">Sens!$M$7706*m_ad</f>
        <v>63.5884616263907</v>
      </c>
      <c r="N7805" s="38" t="n">
        <f aca="false">Sens!$N$7706*m_ad</f>
        <v>10.8543555706248</v>
      </c>
      <c r="O7805" s="38" t="n">
        <f aca="false">Sens!$O$7706*m_ad</f>
        <v>14.0094731821399</v>
      </c>
    </row>
    <row r="7806" customFormat="false" ht="17.15" hidden="false" customHeight="false" outlineLevel="0" collapsed="false">
      <c r="A7806" s="0" t="s">
        <v>732</v>
      </c>
      <c r="B7806" s="0" t="s">
        <v>86</v>
      </c>
      <c r="C7806" s="38" t="n">
        <f aca="false">Sens!$C$7704-Sens!$C$7706</f>
        <v>346.428687117154</v>
      </c>
      <c r="D7806" s="38" t="n">
        <f aca="false">Sens!$D$7704-Sens!$D$7706</f>
        <v>376.560876540083</v>
      </c>
      <c r="E7806" s="38" t="n">
        <f aca="false">Sens!$E$7704-Sens!$E$7706</f>
        <v>193.316577507559</v>
      </c>
      <c r="F7806" s="38" t="n">
        <f aca="false">Sens!$F$7704-Sens!$F$7706</f>
        <v>217.495828647535</v>
      </c>
      <c r="G7806" s="38" t="n">
        <f aca="false">Sens!$G$7704-Sens!$G$7706</f>
        <v>410.795589636503</v>
      </c>
      <c r="H7806" s="38" t="n">
        <f aca="false">Sens!$H$7704-Sens!$H$7706</f>
        <v>449.156813761174</v>
      </c>
      <c r="I7806" s="38" t="n">
        <f aca="false">Sens!$I$7704-Sens!$I$7706</f>
        <v>485.848786441156</v>
      </c>
      <c r="J7806" s="38" t="n">
        <f aca="false">Sens!$J$7704-Sens!$J$7706</f>
        <v>519.841531018994</v>
      </c>
      <c r="K7806" s="38" t="n">
        <f aca="false">Sens!$K$7704-Sens!$K$7706</f>
        <v>550.103332311311</v>
      </c>
      <c r="L7806" s="38" t="n">
        <f aca="false">Sens!$L$7704-Sens!$L$7706</f>
        <v>582.192354474511</v>
      </c>
      <c r="M7806" s="38" t="n">
        <f aca="false">Sens!$M$7704-Sens!$M$7706</f>
        <v>616.22240521081</v>
      </c>
      <c r="N7806" s="38" t="n">
        <f aca="false">Sens!$N$7704-Sens!$N$7706</f>
        <v>171.24628885875</v>
      </c>
      <c r="O7806" s="38" t="n">
        <f aca="false">Sens!$O$7704-Sens!$O$7706</f>
        <v>205.33105363572</v>
      </c>
    </row>
    <row r="7807" customFormat="false" ht="17.15" hidden="false" customHeight="false" outlineLevel="0" collapsed="false">
      <c r="A7807" s="0" t="s">
        <v>733</v>
      </c>
      <c r="B7807" s="0" t="s">
        <v>86</v>
      </c>
      <c r="C7807" s="38" t="n">
        <f aca="false">Sens!$C$7758*Sens!$C$7703</f>
        <v>0.123617442257179</v>
      </c>
      <c r="D7807" s="38" t="n">
        <f aca="false">Sens!$D$7758*Sens!$D$7703</f>
        <v>0.600198046024689</v>
      </c>
      <c r="E7807" s="38" t="n">
        <f aca="false">Sens!$E$7758*Sens!$E$7703</f>
        <v>1.10840000750276</v>
      </c>
      <c r="F7807" s="38" t="n">
        <f aca="false">Sens!$F$7758*Sens!$F$7703</f>
        <v>1.33595298721025</v>
      </c>
      <c r="G7807" s="38" t="n">
        <f aca="false">Sens!$G$7758*Sens!$G$7703</f>
        <v>2.44487335052545</v>
      </c>
      <c r="H7807" s="38" t="n">
        <f aca="false">Sens!$H$7758*Sens!$H$7703</f>
        <v>6.63132711939388</v>
      </c>
      <c r="I7807" s="38" t="n">
        <f aca="false">Sens!$I$7758*Sens!$I$7703</f>
        <v>12.7486799258504</v>
      </c>
      <c r="J7807" s="38" t="n">
        <f aca="false">Sens!$J$7758*Sens!$J$7703</f>
        <v>18.4074045299415</v>
      </c>
      <c r="K7807" s="38" t="n">
        <f aca="false">Sens!$K$7758*Sens!$K$7703</f>
        <v>23.9455472348705</v>
      </c>
      <c r="L7807" s="38" t="n">
        <f aca="false">Sens!$L$7758*Sens!$L$7703</f>
        <v>27.78179156216</v>
      </c>
      <c r="M7807" s="38" t="n">
        <f aca="false">Sens!$M$7758*Sens!$M$7703</f>
        <v>29.9029027327362</v>
      </c>
      <c r="N7807" s="38" t="n">
        <f aca="false">Sens!$N$7758*Sens!$N$7703</f>
        <v>0.25053229484398</v>
      </c>
      <c r="O7807" s="38" t="n">
        <f aca="false">Sens!$O$7758*Sens!$O$7703</f>
        <v>0.349234376756897</v>
      </c>
    </row>
    <row r="7808" customFormat="false" ht="17.15" hidden="false" customHeight="false" outlineLevel="0" collapsed="false">
      <c r="A7808" s="0" t="s">
        <v>734</v>
      </c>
      <c r="B7808" s="0" t="s">
        <v>52</v>
      </c>
      <c r="C7808" s="28" t="n">
        <f aca="false">(Sens!$C$7809-Sens!$C$7805+Sens!$C$7807)/Sens!$C$7806</f>
        <v>0.0131526665379575</v>
      </c>
      <c r="D7808" s="28" t="n">
        <f aca="false">(Sens!$D$7809-Sens!$D$7805+Sens!$D$7807)/Sens!$D$7806</f>
        <v>0.0141999252954702</v>
      </c>
      <c r="E7808" s="28" t="n">
        <f aca="false">(Sens!$E$7809-Sens!$E$7805+Sens!$E$7807)/Sens!$E$7806</f>
        <v>0.0258471819939326</v>
      </c>
      <c r="F7808" s="28" t="n">
        <f aca="false">Sens!$O$7808+(Sens!$E$7808-Sens!$N$7808)</f>
        <v>0.0224302350712874</v>
      </c>
      <c r="G7808" s="28" t="n">
        <f aca="false">(Sens!$G$7809-Sens!$G$7805+Sens!$G$7807)/Sens!$G$7806</f>
        <v>0.0240199351461372</v>
      </c>
      <c r="H7808" s="28" t="n">
        <f aca="false">Sens!$G$7808+step_na</f>
        <v>0.0270199351461372</v>
      </c>
      <c r="I7808" s="28" t="n">
        <f aca="false">Sens!$H$7808+step_na</f>
        <v>0.0300199351461372</v>
      </c>
      <c r="J7808" s="28" t="n">
        <f aca="false">Sens!$I$7808+step_na</f>
        <v>0.0330199351461372</v>
      </c>
      <c r="K7808" s="28" t="n">
        <f aca="false">Sens!$J$7808+step_na</f>
        <v>0.0360199351461372</v>
      </c>
      <c r="L7808" s="28" t="n">
        <f aca="false">Sens!$K$7808</f>
        <v>0.0360199351461372</v>
      </c>
      <c r="M7808" s="28" t="n">
        <f aca="false">Sens!$L$7808</f>
        <v>0.0360199351461372</v>
      </c>
      <c r="N7808" s="28" t="n">
        <f aca="false">(Sens!$N$7809-Sens!$N$7805+Sens!$N$7807)/Sens!$N$7806</f>
        <v>0.0160831323269779</v>
      </c>
      <c r="O7808" s="28" t="n">
        <f aca="false">(Sens!$O$7809-Sens!$O$7805+Sens!$O$7807)/Sens!$O$7806</f>
        <v>0.0126661854043327</v>
      </c>
      <c r="P7808" s="8" t="s">
        <v>735</v>
      </c>
    </row>
    <row r="7809" customFormat="false" ht="17.15" hidden="false" customHeight="false" outlineLevel="0" collapsed="false">
      <c r="A7809" s="1" t="s">
        <v>736</v>
      </c>
      <c r="B7809" s="8" t="s">
        <v>86</v>
      </c>
      <c r="C7809" s="38" t="n">
        <f aca="false">Q!$D$22</f>
        <v>24.967</v>
      </c>
      <c r="D7809" s="38" t="n">
        <f aca="false">Q!$E$22</f>
        <v>29.619</v>
      </c>
      <c r="E7809" s="38" t="n">
        <f aca="false">Q!$P$22</f>
        <v>17.39</v>
      </c>
      <c r="F7809" s="38" t="n">
        <f aca="false">Sens!$F$7805+Sens!$F$7806*Sens!$F$7808-Sens!$F$7807</f>
        <v>20.1145019929041</v>
      </c>
      <c r="G7809" s="38" t="n">
        <f aca="false">Sens!$E$7809+Sens!$F$7809</f>
        <v>37.5045019929041</v>
      </c>
      <c r="H7809" s="38" t="n">
        <f aca="false">Sens!$H$7805+Sens!$H$7806*Sens!$H$7808-Sens!$H$7807</f>
        <v>41.6199491865101</v>
      </c>
      <c r="I7809" s="38" t="n">
        <f aca="false">Sens!$I$7805+Sens!$I$7806*Sens!$I$7808-Sens!$I$7807</f>
        <v>43.9840073571422</v>
      </c>
      <c r="J7809" s="38" t="n">
        <f aca="false">Sens!$J$7805+Sens!$J$7806*Sens!$J$7808-Sens!$J$7807</f>
        <v>46.5326814970436</v>
      </c>
      <c r="K7809" s="38" t="n">
        <f aca="false">Sens!$K$7805+Sens!$K$7806*Sens!$K$7808-Sens!$K$7807</f>
        <v>48.4215867437731</v>
      </c>
      <c r="L7809" s="38" t="n">
        <f aca="false">Sens!$L$7805+Sens!$L$7806*Sens!$L$7808-Sens!$L$7807</f>
        <v>50.9964316762167</v>
      </c>
      <c r="M7809" s="38" t="n">
        <f aca="false">Sens!$M$7805+Sens!$M$7806*Sens!$M$7808-Sens!$M$7807</f>
        <v>55.8818499649445</v>
      </c>
      <c r="N7809" s="38" t="n">
        <f aca="false">Q!$N$22</f>
        <v>13.358</v>
      </c>
      <c r="O7809" s="38" t="n">
        <f aca="false">Q!$O$22</f>
        <v>16.261</v>
      </c>
    </row>
    <row r="7810" customFormat="false" ht="17.15" hidden="false" customHeight="false" outlineLevel="0" collapsed="false">
      <c r="A7810" s="0" t="s">
        <v>737</v>
      </c>
      <c r="B7810" s="0" t="s">
        <v>86</v>
      </c>
      <c r="C7810" s="38" t="n">
        <f aca="false">Sens!$C$7707*m_ad</f>
        <v>7.57284355857716</v>
      </c>
      <c r="D7810" s="38" t="n">
        <f aca="false">Sens!$D$7707*m_ad</f>
        <v>9.44543827004127</v>
      </c>
      <c r="E7810" s="38" t="n">
        <f aca="false">Sens!$E$7707*m_ad</f>
        <v>5.02428875377928</v>
      </c>
      <c r="F7810" s="38" t="n">
        <f aca="false">Sens!$F$7707*m_ad</f>
        <v>6.50663858068173</v>
      </c>
      <c r="G7810" s="38" t="n">
        <f aca="false">Sens!$G$7707*m_ad</f>
        <v>11.5225190751659</v>
      </c>
      <c r="H7810" s="38" t="n">
        <f aca="false">Sens!$H$7707*m_ad</f>
        <v>13.8333728663174</v>
      </c>
      <c r="I7810" s="38" t="n">
        <f aca="false">Sens!$I$7707*m_ad</f>
        <v>16.1440173245485</v>
      </c>
      <c r="J7810" s="38" t="n">
        <f aca="false">Sens!$J$7707*m_ad</f>
        <v>18.2995185845066</v>
      </c>
      <c r="K7810" s="38" t="n">
        <f aca="false">Sens!$K$7707*m_ad</f>
        <v>20.1294704429572</v>
      </c>
      <c r="L7810" s="38" t="n">
        <f aca="false">Sens!$L$7707*m_ad</f>
        <v>22.142417487253</v>
      </c>
      <c r="M7810" s="38" t="n">
        <f aca="false">Sens!$M$7707*m_ad</f>
        <v>24.3566592359783</v>
      </c>
      <c r="N7810" s="38" t="n">
        <f aca="false">Sens!$N$7707*m_ad</f>
        <v>3.95314442937518</v>
      </c>
      <c r="O7810" s="38" t="n">
        <f aca="false">Sens!$O$7707*m_ad</f>
        <v>5.50052681786011</v>
      </c>
    </row>
    <row r="7811" customFormat="false" ht="17.15" hidden="false" customHeight="false" outlineLevel="0" collapsed="false">
      <c r="A7811" s="0" t="s">
        <v>738</v>
      </c>
      <c r="B7811" s="0" t="s">
        <v>86</v>
      </c>
      <c r="C7811" s="38" t="n">
        <f aca="false">Sens!$C$7705-Sens!$C$7707</f>
        <v>127.760312882846</v>
      </c>
      <c r="D7811" s="38" t="n">
        <f aca="false">Sens!$D$7705-Sens!$D$7707</f>
        <v>143.003123459917</v>
      </c>
      <c r="E7811" s="38" t="n">
        <f aca="false">Sens!$E$7705-Sens!$E$7707</f>
        <v>71.9374224924414</v>
      </c>
      <c r="F7811" s="38" t="n">
        <f aca="false">Sens!$F$7705-Sens!$F$7707</f>
        <v>85.3951910035875</v>
      </c>
      <c r="G7811" s="38" t="n">
        <f aca="false">Sens!$G$7705-Sens!$G$7707</f>
        <v>157.349430014619</v>
      </c>
      <c r="H7811" s="38" t="n">
        <f aca="false">Sens!$H$7705-Sens!$H$7707</f>
        <v>172.043153372315</v>
      </c>
      <c r="I7811" s="38" t="n">
        <f aca="false">Sens!$I$7705-Sens!$I$7707</f>
        <v>186.097493615879</v>
      </c>
      <c r="J7811" s="38" t="n">
        <f aca="false">Sens!$J$7705-Sens!$J$7707</f>
        <v>199.117932780497</v>
      </c>
      <c r="K7811" s="38" t="n">
        <f aca="false">Sens!$K$7705-Sens!$K$7707</f>
        <v>210.70928698363</v>
      </c>
      <c r="L7811" s="38" t="n">
        <f aca="false">Sens!$L$7705-Sens!$L$7707</f>
        <v>223.000532251316</v>
      </c>
      <c r="M7811" s="38" t="n">
        <f aca="false">Sens!$M$7705-Sens!$M$7707</f>
        <v>236.035261011339</v>
      </c>
      <c r="N7811" s="38" t="n">
        <f aca="false">Sens!$N$7705-Sens!$N$7707</f>
        <v>62.3677111412496</v>
      </c>
      <c r="O7811" s="38" t="n">
        <f aca="false">Sens!$O$7705-Sens!$O$7707</f>
        <v>80.6189463642798</v>
      </c>
    </row>
    <row r="7812" customFormat="false" ht="17.15" hidden="false" customHeight="false" outlineLevel="0" collapsed="false">
      <c r="A7812" s="0" t="s">
        <v>739</v>
      </c>
      <c r="B7812" s="0" t="s">
        <v>86</v>
      </c>
      <c r="C7812" s="38" t="n">
        <f aca="false">Sens!$C$7758*(1-Sens!$C$7703)</f>
        <v>0.0455891896019953</v>
      </c>
      <c r="D7812" s="38" t="n">
        <f aca="false">Sens!$D$7758*(1-Sens!$D$7703)</f>
        <v>0.227931791705753</v>
      </c>
      <c r="E7812" s="38" t="n">
        <f aca="false">Sens!$E$7758*(1-Sens!$E$7703)</f>
        <v>0.412460434890711</v>
      </c>
      <c r="F7812" s="38" t="n">
        <f aca="false">Sens!$F$7758*(1-Sens!$F$7703)</f>
        <v>0.524534016233997</v>
      </c>
      <c r="G7812" s="38" t="n">
        <f aca="false">Sens!$G$7758*(1-Sens!$G$7703)</f>
        <v>0.936474095312266</v>
      </c>
      <c r="H7812" s="38" t="n">
        <f aca="false">Sens!$H$7758*(1-Sens!$H$7703)</f>
        <v>2.54003589327823</v>
      </c>
      <c r="I7812" s="38" t="n">
        <f aca="false">Sens!$I$7758*(1-Sens!$I$7703)</f>
        <v>4.88320120852905</v>
      </c>
      <c r="J7812" s="38" t="n">
        <f aca="false">Sens!$J$7758*(1-Sens!$J$7703)</f>
        <v>7.05069548920359</v>
      </c>
      <c r="K7812" s="38" t="n">
        <f aca="false">Sens!$K$7758*(1-Sens!$K$7703)</f>
        <v>9.17200258193867</v>
      </c>
      <c r="L7812" s="38" t="n">
        <f aca="false">Sens!$L$7758*(1-Sens!$L$7703)</f>
        <v>10.6414216154535</v>
      </c>
      <c r="M7812" s="38" t="n">
        <f aca="false">Sens!$M$7758*(1-Sens!$M$7703)</f>
        <v>11.4538831951485</v>
      </c>
      <c r="N7812" s="38" t="n">
        <f aca="false">Sens!$N$7758*(1-Sens!$N$7703)</f>
        <v>0.0912435878202994</v>
      </c>
      <c r="O7812" s="38" t="n">
        <f aca="false">Sens!$O$7758*(1-Sens!$O$7703)</f>
        <v>0.137119578309265</v>
      </c>
    </row>
    <row r="7813" customFormat="false" ht="17.15" hidden="false" customHeight="false" outlineLevel="0" collapsed="false">
      <c r="A7813" s="0" t="s">
        <v>740</v>
      </c>
      <c r="B7813" s="0" t="s">
        <v>52</v>
      </c>
      <c r="C7813" s="28" t="n">
        <f aca="false">(Sens!$C$7814-Sens!$C$7810+Sens!$C$7812)/Sens!$C$7811</f>
        <v>-0.0292364215826579</v>
      </c>
      <c r="D7813" s="28" t="n">
        <f aca="false">(Sens!$D$7814-Sens!$D$7810+Sens!$D$7812)/Sens!$D$7811</f>
        <v>-0.0312406216748665</v>
      </c>
      <c r="E7813" s="28" t="n">
        <f aca="false">(Sens!$E$7814-Sens!$E$7810+Sens!$E$7812)/Sens!$E$7811</f>
        <v>-0.0204459413185552</v>
      </c>
      <c r="F7813" s="28" t="n">
        <f aca="false">Sens!$O$7813+(Sens!$E$7813-Sens!$N$7813)</f>
        <v>-0.0375409290246314</v>
      </c>
      <c r="G7813" s="28" t="n">
        <f aca="false">(Sens!$G$7814-Sens!$G$7810+Sens!$G$7812)/Sens!$G$7811</f>
        <v>-0.0296712560031684</v>
      </c>
      <c r="H7813" s="28" t="n">
        <f aca="false">Sens!$G$7813+step_in</f>
        <v>-0.0296712560031684</v>
      </c>
      <c r="I7813" s="28" t="n">
        <f aca="false">Sens!$H$7813+step_in</f>
        <v>-0.0296712560031684</v>
      </c>
      <c r="J7813" s="28" t="n">
        <f aca="false">Sens!$I$7813+step_in</f>
        <v>-0.0296712560031684</v>
      </c>
      <c r="K7813" s="28" t="n">
        <f aca="false">Sens!$J$7813+step_in</f>
        <v>-0.0296712560031684</v>
      </c>
      <c r="L7813" s="28" t="n">
        <f aca="false">Sens!$K$7813</f>
        <v>-0.0296712560031684</v>
      </c>
      <c r="M7813" s="28" t="n">
        <f aca="false">Sens!$L$7813</f>
        <v>-0.0296712560031684</v>
      </c>
      <c r="N7813" s="28" t="n">
        <f aca="false">(Sens!$N$7814-Sens!$N$7810+Sens!$N$7812)/Sens!$N$7811</f>
        <v>-0.0216602600421776</v>
      </c>
      <c r="O7813" s="28" t="n">
        <f aca="false">(Sens!$O$7814-Sens!$O$7810+Sens!$O$7812)/Sens!$O$7811</f>
        <v>-0.0387552477482538</v>
      </c>
      <c r="P7813" s="8" t="s">
        <v>735</v>
      </c>
    </row>
    <row r="7814" customFormat="false" ht="17.15" hidden="false" customHeight="false" outlineLevel="0" collapsed="false">
      <c r="A7814" s="1" t="s">
        <v>741</v>
      </c>
      <c r="B7814" s="8" t="s">
        <v>86</v>
      </c>
      <c r="C7814" s="38" t="n">
        <f aca="false">Q!$D$23</f>
        <v>3.792</v>
      </c>
      <c r="D7814" s="38" t="n">
        <f aca="false">Q!$E$23</f>
        <v>4.75</v>
      </c>
      <c r="E7814" s="38" t="n">
        <f aca="false">Q!$P$23</f>
        <v>3.141</v>
      </c>
      <c r="F7814" s="38" t="n">
        <f aca="false">Sens!$F$7810+Sens!$F$7811*Sens!$F$7813-Sens!$F$7812</f>
        <v>2.77628975993721</v>
      </c>
      <c r="G7814" s="38" t="n">
        <f aca="false">Sens!$E$7814+Sens!$F$7814</f>
        <v>5.91728975993721</v>
      </c>
      <c r="H7814" s="38" t="n">
        <f aca="false">Sens!$H$7810+Sens!$H$7811*Sens!$H$7813-Sens!$H$7812</f>
        <v>6.18860052573681</v>
      </c>
      <c r="I7814" s="38" t="n">
        <f aca="false">Sens!$I$7810+Sens!$I$7811*Sens!$I$7813-Sens!$I$7812</f>
        <v>5.73906974139474</v>
      </c>
      <c r="J7814" s="38" t="n">
        <f aca="false">Sens!$J$7810+Sens!$J$7811*Sens!$J$7813-Sens!$J$7812</f>
        <v>5.34074393695119</v>
      </c>
      <c r="K7814" s="38" t="n">
        <f aca="false">Sens!$K$7810+Sens!$K$7811*Sens!$K$7813-Sens!$K$7812</f>
        <v>4.7054586646822</v>
      </c>
      <c r="L7814" s="38" t="n">
        <f aca="false">Sens!$L$7810+Sens!$L$7811*Sens!$L$7813-Sens!$L$7812</f>
        <v>4.88428999052786</v>
      </c>
      <c r="M7814" s="38" t="n">
        <f aca="false">Sens!$M$7810+Sens!$M$7811*Sens!$M$7813-Sens!$M$7812</f>
        <v>5.89931338558769</v>
      </c>
      <c r="N7814" s="38" t="n">
        <f aca="false">Q!$N$23</f>
        <v>2.511</v>
      </c>
      <c r="O7814" s="38" t="n">
        <f aca="false">Q!$O$23</f>
        <v>2.239</v>
      </c>
    </row>
    <row r="7815" customFormat="false" ht="17.15" hidden="false" customHeight="false" outlineLevel="0" collapsed="false">
      <c r="A7815" s="0" t="s">
        <v>742</v>
      </c>
      <c r="B7815" s="0" t="s">
        <v>86</v>
      </c>
      <c r="C7815" s="38" t="n">
        <f aca="false">Sens!$C$7755</f>
        <v>1.64417882953695</v>
      </c>
      <c r="D7815" s="38" t="n">
        <f aca="false">Sens!$D$7755</f>
        <v>5.39125073772939</v>
      </c>
      <c r="E7815" s="38" t="n">
        <f aca="false">Sens!$E$7755</f>
        <v>2.42691120599613</v>
      </c>
      <c r="F7815" s="38" t="n">
        <f aca="false">Sens!$F$7755</f>
        <v>7.52148563094346</v>
      </c>
      <c r="G7815" s="38" t="n">
        <f aca="false">Sens!$G$7755</f>
        <v>9.94839683693959</v>
      </c>
      <c r="H7815" s="38" t="n">
        <f aca="false">Sens!$H$7755</f>
        <v>23.4804386990861</v>
      </c>
      <c r="I7815" s="38" t="n">
        <f aca="false">Sens!$I$7755</f>
        <v>30.9761745989143</v>
      </c>
      <c r="J7815" s="38" t="n">
        <f aca="false">Sens!$J$7755</f>
        <v>41.1930070746977</v>
      </c>
      <c r="K7815" s="38" t="n">
        <f aca="false">Sens!$K$7755</f>
        <v>45.9779211159428</v>
      </c>
      <c r="L7815" s="38" t="n">
        <f aca="false">Sens!$L$7755</f>
        <v>48.0352490919424</v>
      </c>
      <c r="M7815" s="38" t="n">
        <f aca="false">Sens!$M$7755</f>
        <v>47.4082976573265</v>
      </c>
      <c r="N7815" s="38" t="n">
        <f aca="false">Sens!$N$7755</f>
        <v>1.67921600037079</v>
      </c>
      <c r="O7815" s="38" t="n">
        <f aca="false">Sens!$O$7755</f>
        <v>3.71203473735861</v>
      </c>
    </row>
    <row r="7816" customFormat="false" ht="17.15" hidden="false" customHeight="false" outlineLevel="0" collapsed="false">
      <c r="A7816" s="0" t="s">
        <v>660</v>
      </c>
      <c r="B7816" s="0" t="s">
        <v>86</v>
      </c>
      <c r="C7816" s="38" t="n">
        <f aca="false">Sens!$C$7760</f>
        <v>38.1898211704631</v>
      </c>
      <c r="D7816" s="38" t="n">
        <f aca="false">Sens!$D$7760</f>
        <v>40.2147492622706</v>
      </c>
      <c r="E7816" s="38" t="n">
        <f aca="false">Sens!$E$7760</f>
        <v>28.3550887940039</v>
      </c>
      <c r="F7816" s="38" t="n">
        <f aca="false">Sens!$F$7760</f>
        <v>25.9529793149447</v>
      </c>
      <c r="G7816" s="38" t="n">
        <f aca="false">Sens!$G$7760</f>
        <v>54.3080681089486</v>
      </c>
      <c r="H7816" s="38" t="n">
        <f aca="false">Sens!$H$7760</f>
        <v>58.2264684589333</v>
      </c>
      <c r="I7816" s="38" t="n">
        <f aca="false">Sens!$I$7760</f>
        <v>64.6461353851744</v>
      </c>
      <c r="J7816" s="38" t="n">
        <f aca="false">Sens!$J$7760</f>
        <v>70.7957093610231</v>
      </c>
      <c r="K7816" s="38" t="n">
        <f aca="false">Sens!$K$7760</f>
        <v>76.4593661099049</v>
      </c>
      <c r="L7816" s="38" t="n">
        <f aca="false">Sens!$L$7760</f>
        <v>82.5761153986973</v>
      </c>
      <c r="M7816" s="38" t="n">
        <f aca="false">Sens!$M$7760</f>
        <v>89.1822046305931</v>
      </c>
      <c r="N7816" s="38" t="n">
        <f aca="false">Sens!$N$7760</f>
        <v>20.0277839996292</v>
      </c>
      <c r="O7816" s="38" t="n">
        <f aca="false">Sens!$O$7760</f>
        <v>20.1869652626414</v>
      </c>
    </row>
    <row r="7817" customFormat="false" ht="17.15" hidden="false" customHeight="false" outlineLevel="0" collapsed="false">
      <c r="A7817" s="1" t="s">
        <v>743</v>
      </c>
      <c r="B7817" s="8" t="s">
        <v>86</v>
      </c>
      <c r="C7817" s="38" t="n">
        <f aca="false">Q!$D$24</f>
        <v>39.834</v>
      </c>
      <c r="D7817" s="38" t="n">
        <f aca="false">Q!$E$24</f>
        <v>45.606</v>
      </c>
      <c r="E7817" s="38" t="n">
        <f aca="false">Q!$P$24</f>
        <v>30.782</v>
      </c>
      <c r="F7817" s="38" t="n">
        <f aca="false">Sens!$F$7815+Sens!$F$7816</f>
        <v>33.4744649458882</v>
      </c>
      <c r="G7817" s="38" t="n">
        <f aca="false">Sens!$G$7815+Sens!$G$7816</f>
        <v>64.2564649458882</v>
      </c>
      <c r="H7817" s="38" t="n">
        <f aca="false">Sens!$H$7815+Sens!$H$7816</f>
        <v>81.7069071580194</v>
      </c>
      <c r="I7817" s="38" t="n">
        <f aca="false">Sens!$I$7815+Sens!$I$7816</f>
        <v>95.6223099840887</v>
      </c>
      <c r="J7817" s="38" t="n">
        <f aca="false">Sens!$J$7815+Sens!$J$7816</f>
        <v>111.988716435721</v>
      </c>
      <c r="K7817" s="38" t="n">
        <f aca="false">Sens!$K$7815+Sens!$K$7816</f>
        <v>122.437287225848</v>
      </c>
      <c r="L7817" s="38" t="n">
        <f aca="false">Sens!$L$7815+Sens!$L$7816</f>
        <v>130.61136449064</v>
      </c>
      <c r="M7817" s="38" t="n">
        <f aca="false">Sens!$M$7815+Sens!$M$7816</f>
        <v>136.59050228792</v>
      </c>
      <c r="N7817" s="38" t="n">
        <f aca="false">Q!$N$24</f>
        <v>21.707</v>
      </c>
      <c r="O7817" s="38" t="n">
        <f aca="false">Q!$O$24</f>
        <v>23.899</v>
      </c>
    </row>
    <row r="7818" customFormat="false" ht="17.15" hidden="false" customHeight="false" outlineLevel="0" collapsed="false">
      <c r="A7818" s="5" t="s">
        <v>744</v>
      </c>
      <c r="B7818" s="0" t="s">
        <v>86</v>
      </c>
      <c r="C7818" s="38" t="n">
        <f aca="false">Q!$D$26</f>
        <v>0</v>
      </c>
      <c r="D7818" s="38" t="n">
        <f aca="false">Q!$E$26</f>
        <v>0</v>
      </c>
      <c r="E7818" s="38" t="n">
        <f aca="false">Q!$P$26</f>
        <v>0</v>
      </c>
      <c r="F7818" s="39" t="n">
        <v>0</v>
      </c>
      <c r="G7818" s="38" t="n">
        <f aca="false">Sens!$E$7818+Sens!$F$7818</f>
        <v>0</v>
      </c>
      <c r="H7818" s="39" t="n">
        <v>0</v>
      </c>
      <c r="I7818" s="39" t="n">
        <v>0</v>
      </c>
      <c r="J7818" s="39" t="n">
        <v>0</v>
      </c>
      <c r="K7818" s="39" t="n">
        <v>0</v>
      </c>
      <c r="L7818" s="39" t="n">
        <v>0</v>
      </c>
      <c r="M7818" s="39" t="n">
        <v>0</v>
      </c>
      <c r="N7818" s="38" t="n">
        <f aca="false">Q!$N$26</f>
        <v>0</v>
      </c>
      <c r="O7818" s="38" t="n">
        <f aca="false">Q!$O$26</f>
        <v>0</v>
      </c>
    </row>
    <row r="7819" customFormat="false" ht="15" hidden="false" customHeight="false" outlineLevel="0" collapsed="false">
      <c r="A7819" s="3" t="s">
        <v>541</v>
      </c>
      <c r="B7819" s="8" t="s">
        <v>86</v>
      </c>
      <c r="C7819" s="38" t="n">
        <f aca="false">Q!$D$25</f>
        <v>68.593</v>
      </c>
      <c r="D7819" s="38" t="n">
        <f aca="false">Q!$E$25</f>
        <v>79.975</v>
      </c>
      <c r="E7819" s="38" t="n">
        <f aca="false">Q!$P$25</f>
        <v>51.313</v>
      </c>
      <c r="F7819" s="38" t="n">
        <f aca="false">Sens!$F$7809+Sens!$F$7814+Sens!$F$7817+Sens!$F$7818</f>
        <v>56.3652566987294</v>
      </c>
      <c r="G7819" s="38" t="n">
        <f aca="false">Sens!$G$7809+Sens!$G$7814+Sens!$G$7817+Sens!$G$7818</f>
        <v>107.678256698729</v>
      </c>
      <c r="H7819" s="38" t="n">
        <f aca="false">Sens!$H$7809+Sens!$H$7814+Sens!$H$7817+Sens!$H$7818</f>
        <v>129.515456870266</v>
      </c>
      <c r="I7819" s="38" t="n">
        <f aca="false">Sens!$I$7809+Sens!$I$7814+Sens!$I$7817+Sens!$I$7818</f>
        <v>145.345387082626</v>
      </c>
      <c r="J7819" s="38" t="n">
        <f aca="false">Sens!$J$7809+Sens!$J$7814+Sens!$J$7817+Sens!$J$7818</f>
        <v>163.862141869716</v>
      </c>
      <c r="K7819" s="38" t="n">
        <f aca="false">Sens!$K$7809+Sens!$K$7814+Sens!$K$7817+Sens!$K$7818</f>
        <v>175.564332634303</v>
      </c>
      <c r="L7819" s="38" t="n">
        <f aca="false">Sens!$L$7809+Sens!$L$7814+Sens!$L$7817+Sens!$L$7818</f>
        <v>186.492086157384</v>
      </c>
      <c r="M7819" s="38" t="n">
        <f aca="false">Sens!$M$7809+Sens!$M$7814+Sens!$M$7817+Sens!$M$7818</f>
        <v>198.371665638452</v>
      </c>
      <c r="N7819" s="38" t="n">
        <f aca="false">Q!$N$25</f>
        <v>37.576</v>
      </c>
      <c r="O7819" s="38" t="n">
        <f aca="false">Q!$O$25</f>
        <v>42.399</v>
      </c>
    </row>
    <row r="7820" customFormat="false" ht="17.15" hidden="false" customHeight="false" outlineLevel="0" collapsed="false">
      <c r="A7820" s="24" t="s">
        <v>775</v>
      </c>
      <c r="B7820" s="25" t="s">
        <v>86</v>
      </c>
      <c r="C7820" s="41" t="n">
        <f aca="false">Sens!$C$7809+Sens!$C$7814+Sens!$C$7817+Sens!$C$7818-Sens!$C$7819</f>
        <v>0</v>
      </c>
      <c r="D7820" s="41" t="n">
        <f aca="false">Sens!$D$7809+Sens!$D$7814+Sens!$D$7817+Sens!$D$7818-Sens!$D$7819</f>
        <v>0</v>
      </c>
      <c r="E7820" s="41" t="n">
        <f aca="false">Sens!$E$7809+Sens!$E$7814+Sens!$E$7817+Sens!$E$7818-Sens!$E$7819</f>
        <v>0</v>
      </c>
      <c r="F7820" s="41" t="n">
        <f aca="false">Sens!$F$7809+Sens!$F$7814+Sens!$F$7817+Sens!$F$7818-Sens!$F$7819</f>
        <v>0</v>
      </c>
      <c r="G7820" s="41" t="n">
        <f aca="false">Sens!$G$7809+Sens!$G$7814+Sens!$G$7817+Sens!$G$7818-Sens!$G$7819</f>
        <v>0</v>
      </c>
      <c r="H7820" s="41" t="n">
        <f aca="false">Sens!$H$7809+Sens!$H$7814+Sens!$H$7817+Sens!$H$7818-Sens!$H$7819</f>
        <v>0</v>
      </c>
      <c r="I7820" s="41" t="n">
        <f aca="false">Sens!$I$7809+Sens!$I$7814+Sens!$I$7817+Sens!$I$7818-Sens!$I$7819</f>
        <v>0</v>
      </c>
      <c r="J7820" s="41" t="n">
        <f aca="false">Sens!$J$7809+Sens!$J$7814+Sens!$J$7817+Sens!$J$7818-Sens!$J$7819</f>
        <v>0</v>
      </c>
      <c r="K7820" s="41" t="n">
        <f aca="false">Sens!$K$7809+Sens!$K$7814+Sens!$K$7817+Sens!$K$7818-Sens!$K$7819</f>
        <v>0</v>
      </c>
      <c r="L7820" s="41" t="n">
        <f aca="false">Sens!$L$7809+Sens!$L$7814+Sens!$L$7817+Sens!$L$7818-Sens!$L$7819</f>
        <v>0</v>
      </c>
      <c r="M7820" s="41" t="n">
        <f aca="false">Sens!$M$7809+Sens!$M$7814+Sens!$M$7817+Sens!$M$7818-Sens!$M$7819</f>
        <v>0</v>
      </c>
      <c r="N7820" s="41" t="n">
        <f aca="false">Sens!$N$7809+Sens!$N$7814+Sens!$N$7817+Sens!$N$7818-Sens!$N$7819</f>
        <v>0</v>
      </c>
      <c r="O7820" s="41" t="n">
        <f aca="false">Sens!$O$7809+Sens!$O$7814+Sens!$O$7817+Sens!$O$7818-Sens!$O$7819</f>
        <v>0</v>
      </c>
    </row>
    <row r="7821" customFormat="false" ht="17.15" hidden="false" customHeight="false" outlineLevel="0" collapsed="false">
      <c r="A7821" s="5" t="s">
        <v>746</v>
      </c>
      <c r="B7821" s="0" t="s">
        <v>86</v>
      </c>
      <c r="C7821" s="38" t="n">
        <f aca="false">Sens!$C$7757</f>
        <v>0</v>
      </c>
      <c r="D7821" s="38" t="n">
        <f aca="false">Sens!$D$7757</f>
        <v>0</v>
      </c>
      <c r="E7821" s="38" t="n">
        <f aca="false">Sens!$E$7757</f>
        <v>0</v>
      </c>
      <c r="F7821" s="38" t="n">
        <f aca="false">Sens!$F$7757</f>
        <v>3.77122048175818</v>
      </c>
      <c r="G7821" s="38" t="n">
        <f aca="false">Sens!$G$7757</f>
        <v>3.77122048175818</v>
      </c>
      <c r="H7821" s="38" t="n">
        <f aca="false">Sens!$H$7757</f>
        <v>15.1635543609893</v>
      </c>
      <c r="I7821" s="38" t="n">
        <f aca="false">Sens!$I$7757</f>
        <v>25.5818843619889</v>
      </c>
      <c r="J7821" s="38" t="n">
        <f aca="false">Sens!$J$7757</f>
        <v>36.0465624179122</v>
      </c>
      <c r="K7821" s="38" t="n">
        <f aca="false">Sens!$K$7757</f>
        <v>44.9741164026038</v>
      </c>
      <c r="L7821" s="38" t="n">
        <f aca="false">Sens!$L$7757</f>
        <v>50.8413488057813</v>
      </c>
      <c r="M7821" s="38" t="n">
        <f aca="false">Sens!$M$7757</f>
        <v>53.6407214274315</v>
      </c>
      <c r="N7821" s="38" t="n">
        <f aca="false">Sens!$N$7757</f>
        <v>0</v>
      </c>
      <c r="O7821" s="38" t="n">
        <f aca="false">Sens!$O$7757</f>
        <v>0</v>
      </c>
      <c r="P7821" s="5" t="s">
        <v>747</v>
      </c>
    </row>
    <row r="7822" customFormat="false" ht="17.15" hidden="false" customHeight="false" outlineLevel="0" collapsed="false">
      <c r="A7822" s="5" t="s">
        <v>748</v>
      </c>
      <c r="B7822" s="0" t="s">
        <v>86</v>
      </c>
      <c r="C7822" s="38" t="n">
        <f aca="false">Sens!$C$7819+Sens!$C$7821</f>
        <v>68.593</v>
      </c>
      <c r="D7822" s="38" t="n">
        <f aca="false">Sens!$D$7819+Sens!$D$7821</f>
        <v>79.975</v>
      </c>
      <c r="E7822" s="38" t="n">
        <f aca="false">Sens!$E$7819+Sens!$E$7821</f>
        <v>51.313</v>
      </c>
      <c r="F7822" s="38" t="n">
        <f aca="false">Sens!$F$7819+Sens!$F$7821</f>
        <v>60.1364771804876</v>
      </c>
      <c r="G7822" s="38" t="n">
        <f aca="false">Sens!$G$7819+Sens!$G$7821</f>
        <v>111.449477180488</v>
      </c>
      <c r="H7822" s="38" t="n">
        <f aca="false">Sens!$H$7819+Sens!$H$7821</f>
        <v>144.679011231256</v>
      </c>
      <c r="I7822" s="38" t="n">
        <f aca="false">Sens!$I$7819+Sens!$I$7821</f>
        <v>170.927271444615</v>
      </c>
      <c r="J7822" s="38" t="n">
        <f aca="false">Sens!$J$7819+Sens!$J$7821</f>
        <v>199.908704287628</v>
      </c>
      <c r="K7822" s="38" t="n">
        <f aca="false">Sens!$K$7819+Sens!$K$7821</f>
        <v>220.538449036907</v>
      </c>
      <c r="L7822" s="38" t="n">
        <f aca="false">Sens!$L$7819+Sens!$L$7821</f>
        <v>237.333434963166</v>
      </c>
      <c r="M7822" s="38" t="n">
        <f aca="false">Sens!$M$7819+Sens!$M$7821</f>
        <v>252.012387065883</v>
      </c>
      <c r="N7822" s="38" t="n">
        <f aca="false">Sens!$N$7819+Sens!$N$7821</f>
        <v>37.576</v>
      </c>
      <c r="O7822" s="38" t="n">
        <f aca="false">Sens!$O$7819+Sens!$O$7821</f>
        <v>42.399</v>
      </c>
    </row>
    <row r="7823" customFormat="false" ht="17.15" hidden="false" customHeight="false" outlineLevel="0" collapsed="false">
      <c r="A7823" s="0" t="s">
        <v>749</v>
      </c>
      <c r="B7823" s="0" t="s">
        <v>52</v>
      </c>
      <c r="C7823" s="13" t="n">
        <f aca="false">Sens!$C$7809/Sens!$C$7794</f>
        <v>0.0644314665661928</v>
      </c>
      <c r="D7823" s="13" t="n">
        <f aca="false">Sens!$D$7809/Sens!$D$7794</f>
        <v>0.0694784250712518</v>
      </c>
      <c r="E7823" s="13" t="n">
        <f aca="false">Sens!$E$7809/Sens!$E$7794</f>
        <v>0.0789306463326071</v>
      </c>
      <c r="F7823" s="13" t="n">
        <f aca="false">Sens!$F$7809/Sens!$F$7794</f>
        <v>0.0802526339438384</v>
      </c>
      <c r="G7823" s="13" t="n">
        <f aca="false">Sens!$G$7809/Sens!$G$7794</f>
        <v>0.0796341940538369</v>
      </c>
      <c r="H7823" s="13" t="n">
        <f aca="false">Sens!$H$7809/Sens!$H$7794</f>
        <v>0.0798254462645258</v>
      </c>
      <c r="I7823" s="13" t="n">
        <f aca="false">Sens!$I$7809/Sens!$I$7794</f>
        <v>0.0771454543672196</v>
      </c>
      <c r="J7823" s="13" t="n">
        <f aca="false">Sens!$J$7809/Sens!$J$7794</f>
        <v>0.0756147693819656</v>
      </c>
      <c r="K7823" s="13" t="n">
        <f aca="false">Sens!$K$7809/Sens!$K$7794</f>
        <v>0.0739025926520816</v>
      </c>
      <c r="L7823" s="13" t="n">
        <f aca="false">Sens!$L$7809/Sens!$L$7794</f>
        <v>0.0730809201558074</v>
      </c>
      <c r="M7823" s="13" t="n">
        <f aca="false">Sens!$M$7809/Sens!$M$7794</f>
        <v>0.0751707027775199</v>
      </c>
      <c r="N7823" s="13" t="n">
        <f aca="false">Sens!$N$7809/Sens!$N$7794</f>
        <v>0.069228576611127</v>
      </c>
      <c r="O7823" s="13" t="n">
        <f aca="false">Sens!$O$7809/Sens!$O$7794</f>
        <v>0.069685022498393</v>
      </c>
    </row>
    <row r="7824" customFormat="false" ht="17.15" hidden="false" customHeight="false" outlineLevel="0" collapsed="false">
      <c r="A7824" s="0" t="s">
        <v>750</v>
      </c>
      <c r="B7824" s="0" t="s">
        <v>52</v>
      </c>
      <c r="C7824" s="13" t="n">
        <f aca="false">Sens!$C$7814/Sens!$C$7795</f>
        <v>0.026534925055631</v>
      </c>
      <c r="D7824" s="13" t="n">
        <f aca="false">Sens!$D$7814/Sens!$D$7795</f>
        <v>0.0293401855535103</v>
      </c>
      <c r="E7824" s="13" t="n">
        <f aca="false">Sens!$E$7814/Sens!$E$7795</f>
        <v>0.03831141902276</v>
      </c>
      <c r="F7824" s="13" t="n">
        <f aca="false">Sens!$F$7814/Sens!$F$7795</f>
        <v>0.0282118989524726</v>
      </c>
      <c r="G7824" s="13" t="n">
        <f aca="false">Sens!$G$7814/Sens!$G$7795</f>
        <v>0.0328019468674976</v>
      </c>
      <c r="H7824" s="13" t="n">
        <f aca="false">Sens!$H$7814/Sens!$H$7795</f>
        <v>0.0309879507899839</v>
      </c>
      <c r="I7824" s="13" t="n">
        <f aca="false">Sens!$I$7814/Sens!$I$7795</f>
        <v>0.0262795332043765</v>
      </c>
      <c r="J7824" s="13" t="n">
        <f aca="false">Sens!$J$7814/Sens!$J$7795</f>
        <v>0.0226574435353346</v>
      </c>
      <c r="K7824" s="13" t="n">
        <f aca="false">Sens!$K$7814/Sens!$K$7795</f>
        <v>0.0187492205871101</v>
      </c>
      <c r="L7824" s="13" t="n">
        <f aca="false">Sens!$L$7814/Sens!$L$7795</f>
        <v>0.018273690180732</v>
      </c>
      <c r="M7824" s="13" t="n">
        <f aca="false">Sens!$M$7814/Sens!$M$7795</f>
        <v>0.0207176218272716</v>
      </c>
      <c r="N7824" s="13" t="n">
        <f aca="false">Sens!$N$7814/Sens!$N$7795</f>
        <v>0.0357315650169337</v>
      </c>
      <c r="O7824" s="13" t="n">
        <f aca="false">Sens!$O$7814/Sens!$O$7795</f>
        <v>0.0244378956559703</v>
      </c>
    </row>
    <row r="7825" customFormat="false" ht="17.15" hidden="false" customHeight="false" outlineLevel="0" collapsed="false">
      <c r="A7825" s="14" t="s">
        <v>751</v>
      </c>
      <c r="B7825" s="14" t="s">
        <v>52</v>
      </c>
      <c r="C7825" s="17" t="n">
        <f aca="false">Sens!$C$7817/Sens!$C$7796</f>
        <v>0.370355907620217</v>
      </c>
      <c r="D7825" s="17" t="n">
        <f aca="false">Sens!$D$7817/Sens!$D$7796</f>
        <v>0.35429015342785</v>
      </c>
      <c r="E7825" s="17" t="n">
        <f aca="false">Sens!$E$7817/Sens!$E$7796</f>
        <v>0.385647527531039</v>
      </c>
      <c r="F7825" s="17" t="n">
        <f aca="false">Sens!$F$7817/Sens!$F$7796</f>
        <v>0.385949613469105</v>
      </c>
      <c r="G7825" s="17" t="n">
        <f aca="false">Sens!$G$7817/Sens!$G$7796</f>
        <v>0.385804840448779</v>
      </c>
      <c r="H7825" s="17" t="n">
        <f aca="false">Sens!$H$7817/Sens!$H$7796</f>
        <v>0.369408675360557</v>
      </c>
      <c r="I7825" s="17" t="n">
        <f aca="false">Sens!$I$7817/Sens!$I$7796</f>
        <v>0.34117504540738</v>
      </c>
      <c r="J7825" s="17" t="n">
        <f aca="false">Sens!$J$7817/Sens!$J$7796</f>
        <v>0.330544285732563</v>
      </c>
      <c r="K7825" s="17" t="n">
        <f aca="false">Sens!$K$7817/Sens!$K$7796</f>
        <v>0.314033796990635</v>
      </c>
      <c r="L7825" s="17" t="n">
        <f aca="false">Sens!$L$7817/Sens!$L$7796</f>
        <v>0.303690371867633</v>
      </c>
      <c r="M7825" s="17" t="n">
        <f aca="false">Sens!$M$7817/Sens!$M$7796</f>
        <v>0.297287296590884</v>
      </c>
      <c r="N7825" s="17" t="n">
        <f aca="false">Sens!$N$7817/Sens!$N$7796</f>
        <v>0.360941137346192</v>
      </c>
      <c r="O7825" s="17" t="n">
        <f aca="false">Sens!$O$7817/Sens!$O$7796</f>
        <v>0.348458117664212</v>
      </c>
    </row>
    <row r="7826" customFormat="false" ht="17.15" hidden="false" customHeight="false" outlineLevel="0" collapsed="false">
      <c r="A7826" s="0" t="s">
        <v>752</v>
      </c>
      <c r="B7826" s="0" t="s">
        <v>52</v>
      </c>
      <c r="C7826" s="13" t="n">
        <f aca="false">Sens!$C$7815/Sens!$C$7797</f>
        <v>0.708390794789371</v>
      </c>
      <c r="D7826" s="13" t="n">
        <f aca="false">Sens!$D$7815/Sens!$D$7797</f>
        <v>0.619415573115729</v>
      </c>
      <c r="E7826" s="13" t="n">
        <f aca="false">Sens!$E$7815/Sens!$E$7797</f>
        <v>0.285171627189009</v>
      </c>
      <c r="F7826" s="13" t="n">
        <f aca="false">Sens!$F$7815/Sens!$F$7797</f>
        <v>0.502657732812366</v>
      </c>
      <c r="G7826" s="13" t="n">
        <f aca="false">Sens!$G$7815/Sens!$G$7797</f>
        <v>0.423808778611812</v>
      </c>
      <c r="H7826" s="13" t="n">
        <f aca="false">Sens!$H$7815/Sens!$H$7797</f>
        <v>0.390261631739809</v>
      </c>
      <c r="I7826" s="13" t="n">
        <f aca="false">Sens!$I$7815/Sens!$I$7797</f>
        <v>0.305172864264572</v>
      </c>
      <c r="J7826" s="13" t="n">
        <f aca="false">Sens!$J$7815/Sens!$J$7797</f>
        <v>0.288011814789856</v>
      </c>
      <c r="K7826" s="13" t="n">
        <f aca="false">Sens!$K$7815/Sens!$K$7797</f>
        <v>0.25765427518774</v>
      </c>
      <c r="L7826" s="13" t="n">
        <f aca="false">Sens!$L$7815/Sens!$L$7797</f>
        <v>0.238118778012374</v>
      </c>
      <c r="M7826" s="13" t="n">
        <f aca="false">Sens!$M$7815/Sens!$M$7797</f>
        <v>0.222746255757109</v>
      </c>
      <c r="N7826" s="13" t="n">
        <f aca="false">Sens!$N$7815/Sens!$N$7797</f>
        <v>0.551227795793364</v>
      </c>
      <c r="O7826" s="13" t="n">
        <f aca="false">Sens!$O$7815/Sens!$O$7797</f>
        <v>0.656132068597002</v>
      </c>
    </row>
    <row r="7827" customFormat="false" ht="15" hidden="false" customHeight="false" outlineLevel="0" collapsed="false">
      <c r="A7827" s="5" t="s">
        <v>753</v>
      </c>
      <c r="B7827" s="0" t="s">
        <v>52</v>
      </c>
      <c r="C7827" s="13" t="n">
        <f aca="false">Sens!$C$7819/Sens!$C$7799</f>
        <v>0.107519448742004</v>
      </c>
      <c r="D7827" s="13" t="n">
        <f aca="false">Sens!$D$7819/Sens!$D$7799</f>
        <v>0.111552967957552</v>
      </c>
      <c r="E7827" s="13" t="n">
        <f aca="false">Sens!$E$7819/Sens!$E$7799</f>
        <v>0.13428328426562</v>
      </c>
      <c r="F7827" s="13" t="n">
        <f aca="false">Sens!$F$7819/Sens!$F$7799</f>
        <v>0.129343087287827</v>
      </c>
      <c r="G7827" s="13" t="n">
        <f aca="false">Sens!$G$7819/Sens!$G$7799</f>
        <v>0.131651143259596</v>
      </c>
      <c r="H7827" s="13" t="n">
        <f aca="false">Sens!$H$7819/Sens!$H$7799</f>
        <v>0.137449034763893</v>
      </c>
      <c r="I7827" s="13" t="n">
        <f aca="false">Sens!$I$7819/Sens!$I$7799</f>
        <v>0.13598895915033</v>
      </c>
      <c r="J7827" s="13" t="n">
        <f aca="false">Sens!$J$7819/Sens!$J$7799</f>
        <v>0.137709769017663</v>
      </c>
      <c r="K7827" s="13" t="n">
        <f aca="false">Sens!$K$7819/Sens!$K$7799</f>
        <v>0.135459809314784</v>
      </c>
      <c r="L7827" s="13" t="n">
        <f aca="false">Sens!$L$7819/Sens!$L$7799</f>
        <v>0.133669430082102</v>
      </c>
      <c r="M7827" s="13" t="n">
        <f aca="false">Sens!$M$7819/Sens!$M$7799</f>
        <v>0.133349766772341</v>
      </c>
      <c r="N7827" s="13" t="n">
        <f aca="false">Sens!$N$7819/Sens!$N$7799</f>
        <v>0.116201614873411</v>
      </c>
      <c r="O7827" s="13" t="n">
        <f aca="false">Sens!$O$7819/Sens!$O$7799</f>
        <v>0.107733353660861</v>
      </c>
    </row>
    <row r="7828" customFormat="false" ht="17.15" hidden="false" customHeight="false" outlineLevel="0" collapsed="false">
      <c r="A7828" s="1" t="s">
        <v>754</v>
      </c>
    </row>
    <row r="7829" customFormat="false" ht="17.15" hidden="false" customHeight="false" outlineLevel="0" collapsed="false">
      <c r="A7829" s="5" t="s">
        <v>755</v>
      </c>
      <c r="B7829" s="0" t="s">
        <v>52</v>
      </c>
      <c r="D7829" s="28" t="n">
        <f aca="false">(Q!$E$29+Q!$E$30-(1-ext_sh)*Sens!$D$7751)/Sens!$D$7702</f>
        <v>0.0341105596409988</v>
      </c>
    </row>
    <row r="7830" customFormat="false" ht="17.15" hidden="false" customHeight="false" outlineLevel="0" collapsed="false">
      <c r="A7830" s="0" t="s">
        <v>545</v>
      </c>
      <c r="B7830" s="0" t="s">
        <v>86</v>
      </c>
      <c r="C7830" s="38" t="n">
        <f aca="false">Q!$D$29</f>
        <v>14.285</v>
      </c>
      <c r="D7830" s="38" t="n">
        <f aca="false">Q!$E$29</f>
        <v>15.503</v>
      </c>
      <c r="E7830" s="38" t="n">
        <f aca="false">Q!$P$29</f>
        <v>8.78</v>
      </c>
      <c r="F7830" s="38" t="n">
        <f aca="false">(Sens!$D$7829*Sens!$F$7702+(1-ext_sh)*Sens!$F$7751)*Sens!$F$7703</f>
        <v>9.30317620449232</v>
      </c>
      <c r="G7830" s="38" t="n">
        <f aca="false">Sens!$E$7830+Sens!$F$7830</f>
        <v>18.0831762044923</v>
      </c>
      <c r="H7830" s="38" t="n">
        <f aca="false">(Sens!$D$7829*Sens!$H$7702+(1-ext_sh)*Sens!$H$7751)*Sens!$H$7703</f>
        <v>22.1297245338482</v>
      </c>
      <c r="I7830" s="38" t="n">
        <f aca="false">(Sens!$D$7829*Sens!$I$7702+(1-ext_sh)*Sens!$I$7751)*Sens!$I$7703</f>
        <v>28.409695984391</v>
      </c>
      <c r="J7830" s="38" t="n">
        <f aca="false">(Sens!$D$7829*Sens!$J$7702+(1-ext_sh)*Sens!$J$7751)*Sens!$J$7703</f>
        <v>34.1085606174579</v>
      </c>
      <c r="K7830" s="38" t="n">
        <f aca="false">(Sens!$D$7829*Sens!$K$7702+(1-ext_sh)*Sens!$K$7751)*Sens!$K$7703</f>
        <v>39.7218983009068</v>
      </c>
      <c r="L7830" s="38" t="n">
        <f aca="false">(Sens!$D$7829*Sens!$L$7702+(1-ext_sh)*Sens!$L$7751)*Sens!$L$7703</f>
        <v>44.1680279486684</v>
      </c>
      <c r="M7830" s="38" t="n">
        <f aca="false">(Sens!$D$7829*Sens!$M$7702+(1-ext_sh)*Sens!$M$7751)*Sens!$M$7703</f>
        <v>47.4413073313286</v>
      </c>
      <c r="N7830" s="38" t="n">
        <f aca="false">Q!$N$29</f>
        <v>7.272</v>
      </c>
      <c r="O7830" s="38" t="n">
        <f aca="false">Q!$O$29</f>
        <v>8.231</v>
      </c>
    </row>
    <row r="7831" customFormat="false" ht="17.15" hidden="false" customHeight="false" outlineLevel="0" collapsed="false">
      <c r="A7831" s="0" t="s">
        <v>547</v>
      </c>
      <c r="B7831" s="0" t="s">
        <v>86</v>
      </c>
      <c r="C7831" s="38" t="n">
        <f aca="false">Q!$D$30</f>
        <v>4.462</v>
      </c>
      <c r="D7831" s="38" t="n">
        <f aca="false">Q!$E$30</f>
        <v>4.907</v>
      </c>
      <c r="E7831" s="38" t="n">
        <f aca="false">Q!$P$30</f>
        <v>2.57</v>
      </c>
      <c r="F7831" s="38" t="n">
        <f aca="false">(Sens!$D$7829*Sens!$F$7702+(1-ext_sh)*Sens!$F$7751)*(1-Sens!$F$7703)</f>
        <v>3.6526976809753</v>
      </c>
      <c r="G7831" s="38" t="n">
        <f aca="false">Sens!$E$7831+Sens!$F$7831</f>
        <v>6.2226976809753</v>
      </c>
      <c r="H7831" s="38" t="n">
        <f aca="false">(Sens!$D$7829*Sens!$H$7702+(1-ext_sh)*Sens!$H$7751)*(1-Sens!$H$7703)</f>
        <v>8.4764774248495</v>
      </c>
      <c r="I7831" s="38" t="n">
        <f aca="false">(Sens!$D$7829*Sens!$I$7702+(1-ext_sh)*Sens!$I$7751)*(1-Sens!$I$7703)</f>
        <v>10.881931507561</v>
      </c>
      <c r="J7831" s="38" t="n">
        <f aca="false">(Sens!$D$7829*Sens!$J$7702+(1-ext_sh)*Sens!$J$7751)*(1-Sens!$J$7703)</f>
        <v>13.0648008575874</v>
      </c>
      <c r="K7831" s="38" t="n">
        <f aca="false">(Sens!$D$7829*Sens!$K$7702+(1-ext_sh)*Sens!$K$7751)*(1-Sens!$K$7703)</f>
        <v>15.2149103214008</v>
      </c>
      <c r="L7831" s="38" t="n">
        <f aca="false">(Sens!$D$7829*Sens!$L$7702+(1-ext_sh)*Sens!$L$7751)*(1-Sens!$L$7703)</f>
        <v>16.9179372854085</v>
      </c>
      <c r="M7831" s="38" t="n">
        <f aca="false">(Sens!$D$7829*Sens!$M$7702+(1-ext_sh)*Sens!$M$7751)*(1-Sens!$M$7703)</f>
        <v>18.1717205735785</v>
      </c>
      <c r="N7831" s="38" t="n">
        <f aca="false">Q!$N$30</f>
        <v>2.316</v>
      </c>
      <c r="O7831" s="38" t="n">
        <f aca="false">Q!$O$30</f>
        <v>2.591</v>
      </c>
    </row>
    <row r="7832" customFormat="false" ht="17.15" hidden="false" customHeight="false" outlineLevel="0" collapsed="false">
      <c r="A7832" s="0" t="s">
        <v>548</v>
      </c>
      <c r="B7832" s="0" t="s">
        <v>86</v>
      </c>
      <c r="C7832" s="38" t="n">
        <f aca="false">Sens!$C$7763</f>
        <v>13.32</v>
      </c>
      <c r="D7832" s="38" t="n">
        <f aca="false">Sens!$D$7763</f>
        <v>21.45</v>
      </c>
      <c r="E7832" s="38" t="n">
        <f aca="false">Sens!$E$7763</f>
        <v>15.353</v>
      </c>
      <c r="F7832" s="38" t="n">
        <f aca="false">Sens!$F$7763</f>
        <v>16.1969869840094</v>
      </c>
      <c r="G7832" s="38" t="n">
        <f aca="false">Sens!$G$7763</f>
        <v>31.5499869840094</v>
      </c>
      <c r="H7832" s="38" t="n">
        <f aca="false">Sens!$H$7763</f>
        <v>50.9556213609176</v>
      </c>
      <c r="I7832" s="38" t="n">
        <f aca="false">Sens!$I$7763</f>
        <v>79.464581248252</v>
      </c>
      <c r="J7832" s="38" t="n">
        <f aca="false">Sens!$J$7763</f>
        <v>105.296127931746</v>
      </c>
      <c r="K7832" s="38" t="n">
        <f aca="false">Sens!$K$7763</f>
        <v>131.454694001511</v>
      </c>
      <c r="L7832" s="38" t="n">
        <f aca="false">Sens!$L$7763</f>
        <v>150.840456981405</v>
      </c>
      <c r="M7832" s="38" t="n">
        <f aca="false">Sens!$M$7763</f>
        <v>163.399454192999</v>
      </c>
      <c r="N7832" s="38" t="n">
        <f aca="false">Sens!$N$7763</f>
        <v>9.234</v>
      </c>
      <c r="O7832" s="38" t="n">
        <f aca="false">Sens!$O$7763</f>
        <v>12.216</v>
      </c>
    </row>
    <row r="7833" customFormat="false" ht="17.15" hidden="false" customHeight="false" outlineLevel="0" collapsed="false">
      <c r="A7833" s="5" t="s">
        <v>756</v>
      </c>
      <c r="B7833" s="0" t="s">
        <v>86</v>
      </c>
      <c r="C7833" s="38" t="n">
        <f aca="false">Sens!$C$7830+Sens!$C$7831+Sens!$C$7832</f>
        <v>32.067</v>
      </c>
      <c r="D7833" s="38" t="n">
        <f aca="false">Sens!$D$7830+Sens!$D$7831+Sens!$D$7832</f>
        <v>41.86</v>
      </c>
      <c r="E7833" s="38" t="n">
        <f aca="false">Sens!$E$7830+Sens!$E$7831+Sens!$E$7832</f>
        <v>26.703</v>
      </c>
      <c r="F7833" s="38" t="n">
        <f aca="false">Sens!$F$7830+Sens!$F$7831+Sens!$F$7832</f>
        <v>29.152860869477</v>
      </c>
      <c r="G7833" s="38" t="n">
        <f aca="false">Sens!$G$7830+Sens!$G$7831+Sens!$G$7832</f>
        <v>55.855860869477</v>
      </c>
      <c r="H7833" s="38" t="n">
        <f aca="false">Sens!$H$7830+Sens!$H$7831+Sens!$H$7832</f>
        <v>81.5618233196153</v>
      </c>
      <c r="I7833" s="38" t="n">
        <f aca="false">Sens!$I$7830+Sens!$I$7831+Sens!$I$7832</f>
        <v>118.756208740204</v>
      </c>
      <c r="J7833" s="38" t="n">
        <f aca="false">Sens!$J$7830+Sens!$J$7831+Sens!$J$7832</f>
        <v>152.469489406791</v>
      </c>
      <c r="K7833" s="38" t="n">
        <f aca="false">Sens!$K$7830+Sens!$K$7831+Sens!$K$7832</f>
        <v>186.391502623819</v>
      </c>
      <c r="L7833" s="38" t="n">
        <f aca="false">Sens!$L$7830+Sens!$L$7831+Sens!$L$7832</f>
        <v>211.926422215482</v>
      </c>
      <c r="M7833" s="38" t="n">
        <f aca="false">Sens!$M$7830+Sens!$M$7831+Sens!$M$7832</f>
        <v>229.012482097906</v>
      </c>
      <c r="N7833" s="38" t="n">
        <f aca="false">Sens!$N$7830+Sens!$N$7831+Sens!$N$7832</f>
        <v>18.822</v>
      </c>
      <c r="O7833" s="38" t="n">
        <f aca="false">Sens!$O$7830+Sens!$O$7831+Sens!$O$7832</f>
        <v>23.038</v>
      </c>
    </row>
    <row r="7834" customFormat="false" ht="17.15" hidden="false" customHeight="false" outlineLevel="0" collapsed="false">
      <c r="A7834" s="0" t="s">
        <v>757</v>
      </c>
      <c r="B7834" s="0" t="s">
        <v>86</v>
      </c>
      <c r="C7834" s="38" t="n">
        <f aca="false">Sens!$C$7805+Sens!$C$7810</f>
        <v>28.107</v>
      </c>
      <c r="D7834" s="38" t="n">
        <f aca="false">Sens!$D$7805+Sens!$D$7810</f>
        <v>34.3175</v>
      </c>
      <c r="E7834" s="38" t="n">
        <f aca="false">Sens!$E$7805+Sens!$E$7810</f>
        <v>18.526</v>
      </c>
      <c r="F7834" s="38" t="n">
        <f aca="false">Sens!$F$7805+Sens!$F$7810</f>
        <v>23.0786109972074</v>
      </c>
      <c r="G7834" s="38" t="n">
        <f aca="false">Sens!$G$7805+Sens!$G$7810</f>
        <v>41.6046109972074</v>
      </c>
      <c r="H7834" s="38" t="n">
        <f aca="false">Sens!$H$7805+Sens!$H$7810</f>
        <v>49.9484611939488</v>
      </c>
      <c r="I7834" s="38" t="n">
        <f aca="false">Sens!$I$7805+Sens!$I$7810</f>
        <v>58.2915555477481</v>
      </c>
      <c r="J7834" s="38" t="n">
        <f aca="false">Sens!$J$7805+Sens!$J$7810</f>
        <v>66.0744709709759</v>
      </c>
      <c r="K7834" s="38" t="n">
        <f aca="false">Sens!$K$7805+Sens!$K$7810</f>
        <v>72.6819180680735</v>
      </c>
      <c r="L7834" s="38" t="n">
        <f aca="false">Sens!$L$7805+Sens!$L$7810</f>
        <v>79.9501098748808</v>
      </c>
      <c r="M7834" s="38" t="n">
        <f aca="false">Sens!$M$7805+Sens!$M$7810</f>
        <v>87.9451208623689</v>
      </c>
      <c r="N7834" s="38" t="n">
        <f aca="false">Sens!$N$7805+Sens!$N$7810</f>
        <v>14.8075</v>
      </c>
      <c r="O7834" s="38" t="n">
        <f aca="false">Sens!$O$7805+Sens!$O$7810</f>
        <v>19.51</v>
      </c>
    </row>
    <row r="7835" customFormat="false" ht="17.15" hidden="false" customHeight="false" outlineLevel="0" collapsed="false">
      <c r="A7835" s="0" t="s">
        <v>758</v>
      </c>
      <c r="B7835" s="0" t="s">
        <v>86</v>
      </c>
      <c r="C7835" s="38" t="n">
        <f aca="false">Sens!$C$7809+Sens!$C$7814+Sens!$C$7830+Sens!$C$7831-Sens!$C$7834</f>
        <v>19.399</v>
      </c>
      <c r="D7835" s="38" t="n">
        <f aca="false">Sens!$D$7809+Sens!$D$7814+Sens!$D$7830+Sens!$D$7831-Sens!$D$7834</f>
        <v>20.4615</v>
      </c>
      <c r="E7835" s="38" t="n">
        <f aca="false">Sens!$E$7809+Sens!$E$7814+Sens!$E$7830+Sens!$E$7831-Sens!$E$7834</f>
        <v>13.355</v>
      </c>
      <c r="F7835" s="38" t="n">
        <f aca="false">Sens!$F$7809+Sens!$F$7814+Sens!$F$7830+Sens!$F$7831-Sens!$F$7834</f>
        <v>12.7680546411015</v>
      </c>
      <c r="G7835" s="38" t="n">
        <f aca="false">Sens!$G$7809+Sens!$G$7814+Sens!$G$7830+Sens!$G$7831-Sens!$G$7834</f>
        <v>26.1230546411015</v>
      </c>
      <c r="H7835" s="38" t="n">
        <f aca="false">Sens!$H$7809+Sens!$H$7814+Sens!$H$7830+Sens!$H$7831-Sens!$H$7834</f>
        <v>28.4662904769959</v>
      </c>
      <c r="I7835" s="38" t="n">
        <f aca="false">Sens!$I$7809+Sens!$I$7814+Sens!$I$7830+Sens!$I$7831-Sens!$I$7834</f>
        <v>30.7231490427408</v>
      </c>
      <c r="J7835" s="38" t="n">
        <f aca="false">Sens!$J$7809+Sens!$J$7814+Sens!$J$7830+Sens!$J$7831-Sens!$J$7834</f>
        <v>32.9723159380642</v>
      </c>
      <c r="K7835" s="38" t="n">
        <f aca="false">Sens!$K$7809+Sens!$K$7814+Sens!$K$7830+Sens!$K$7831-Sens!$K$7834</f>
        <v>35.3819359626894</v>
      </c>
      <c r="L7835" s="38" t="n">
        <f aca="false">Sens!$L$7809+Sens!$L$7814+Sens!$L$7830+Sens!$L$7831-Sens!$L$7834</f>
        <v>37.0165770259405</v>
      </c>
      <c r="M7835" s="38" t="n">
        <f aca="false">Sens!$M$7809+Sens!$M$7814+Sens!$M$7830+Sens!$M$7831-Sens!$M$7834</f>
        <v>39.4490703930704</v>
      </c>
      <c r="N7835" s="38" t="n">
        <f aca="false">Sens!$N$7809+Sens!$N$7814+Sens!$N$7830+Sens!$N$7831-Sens!$N$7834</f>
        <v>10.6495</v>
      </c>
      <c r="O7835" s="38" t="n">
        <f aca="false">Sens!$O$7809+Sens!$O$7814+Sens!$O$7830+Sens!$O$7831-Sens!$O$7834</f>
        <v>9.81200000000001</v>
      </c>
    </row>
    <row r="7836" customFormat="false" ht="17.15" hidden="false" customHeight="false" outlineLevel="0" collapsed="false">
      <c r="A7836" s="0" t="s">
        <v>759</v>
      </c>
      <c r="B7836" s="0" t="s">
        <v>86</v>
      </c>
      <c r="C7836" s="38" t="n">
        <f aca="false">Sens!$C$7816+Sens!$C$7832-ext_sh*Sens!$C$7751</f>
        <v>51.3470500115664</v>
      </c>
      <c r="D7836" s="38" t="n">
        <f aca="false">Sens!$D$7816+Sens!$D$7832-ext_sh*Sens!$D$7751</f>
        <v>60.2799375433739</v>
      </c>
      <c r="E7836" s="38" t="n">
        <f aca="false">Sens!$E$7816+Sens!$E$7832-ext_sh*Sens!$E$7751</f>
        <v>39.5095167090767</v>
      </c>
      <c r="F7836" s="38" t="n">
        <f aca="false">Sens!$F$7816+Sens!$F$7832-ext_sh*Sens!$F$7751</f>
        <v>37.951394214027</v>
      </c>
      <c r="G7836" s="38" t="n">
        <f aca="false">Sens!$G$7816+Sens!$G$7832-ext_sh*Sens!$G$7751</f>
        <v>77.4609109231037</v>
      </c>
      <c r="H7836" s="38" t="n">
        <f aca="false">Sens!$H$7816+Sens!$H$7832-ext_sh*Sens!$H$7751</f>
        <v>85.1453558128916</v>
      </c>
      <c r="I7836" s="38" t="n">
        <f aca="false">Sens!$I$7816+Sens!$I$7832-ext_sh*Sens!$I$7751</f>
        <v>94.532921967974</v>
      </c>
      <c r="J7836" s="38" t="n">
        <f aca="false">Sens!$J$7816+Sens!$J$7832-ext_sh*Sens!$J$7751</f>
        <v>103.525527532583</v>
      </c>
      <c r="K7836" s="38" t="n">
        <f aca="false">Sens!$K$7816+Sens!$K$7832-ext_sh*Sens!$K$7751</f>
        <v>111.80756973519</v>
      </c>
      <c r="L7836" s="38" t="n">
        <f aca="false">Sens!$L$7816+Sens!$L$7832-ext_sh*Sens!$L$7751</f>
        <v>120.752175314005</v>
      </c>
      <c r="M7836" s="38" t="n">
        <f aca="false">Sens!$M$7816+Sens!$M$7832-ext_sh*Sens!$M$7751</f>
        <v>130.412349339125</v>
      </c>
      <c r="N7836" s="38" t="n">
        <f aca="false">Sens!$N$7816+Sens!$N$7832-ext_sh*Sens!$N$7751</f>
        <v>28.5693781401809</v>
      </c>
      <c r="O7836" s="38" t="n">
        <f aca="false">Sens!$O$7816+Sens!$O$7832-ext_sh*Sens!$O$7751</f>
        <v>31.7105594031931</v>
      </c>
    </row>
    <row r="7837" customFormat="false" ht="17.15" hidden="false" customHeight="false" outlineLevel="0" collapsed="false">
      <c r="A7837" s="0" t="s">
        <v>760</v>
      </c>
      <c r="B7837" s="0" t="s">
        <v>86</v>
      </c>
      <c r="C7837" s="38" t="n">
        <f aca="false">Sens!$C$7754</f>
        <v>1.80694998843362</v>
      </c>
      <c r="D7837" s="38" t="n">
        <f aca="false">Sens!$D$7754</f>
        <v>6.77606245662607</v>
      </c>
      <c r="E7837" s="38" t="n">
        <f aca="false">Sens!$E$7754</f>
        <v>6.62548329092326</v>
      </c>
      <c r="F7837" s="38" t="n">
        <f aca="false">Sens!$F$7754</f>
        <v>11.7200577158706</v>
      </c>
      <c r="G7837" s="38" t="n">
        <f aca="false">Sens!$G$7754</f>
        <v>18.3455410067939</v>
      </c>
      <c r="H7837" s="38" t="n">
        <f aca="false">Sens!$H$7754</f>
        <v>47.5171727060453</v>
      </c>
      <c r="I7837" s="38" t="n">
        <f aca="false">Sens!$I$7754</f>
        <v>80.5539692643667</v>
      </c>
      <c r="J7837" s="38" t="n">
        <f aca="false">Sens!$J$7754</f>
        <v>113.759316834883</v>
      </c>
      <c r="K7837" s="38" t="n">
        <f aca="false">Sens!$K$7754</f>
        <v>142.084411492169</v>
      </c>
      <c r="L7837" s="38" t="n">
        <f aca="false">Sens!$L$7754</f>
        <v>160.69964615804</v>
      </c>
      <c r="M7837" s="38" t="n">
        <f aca="false">Sens!$M$7754</f>
        <v>169.577607141793</v>
      </c>
      <c r="N7837" s="38" t="n">
        <f aca="false">Sens!$N$7754</f>
        <v>2.37162185981912</v>
      </c>
      <c r="O7837" s="38" t="n">
        <f aca="false">Sens!$O$7754</f>
        <v>4.40444059680694</v>
      </c>
    </row>
    <row r="7838" customFormat="false" ht="17.15" hidden="false" customHeight="false" outlineLevel="0" collapsed="false">
      <c r="A7838" s="0" t="s">
        <v>761</v>
      </c>
      <c r="B7838" s="0" t="s">
        <v>86</v>
      </c>
      <c r="C7838" s="38" t="n">
        <f aca="false">Sens!$C$7819+Sens!$C$7833</f>
        <v>100.66</v>
      </c>
      <c r="D7838" s="38" t="n">
        <f aca="false">Sens!$D$7819+Sens!$D$7833</f>
        <v>121.835</v>
      </c>
      <c r="E7838" s="38" t="n">
        <f aca="false">Sens!$E$7819+Sens!$E$7833</f>
        <v>78.016</v>
      </c>
      <c r="F7838" s="38" t="n">
        <f aca="false">Sens!$F$7819+Sens!$F$7833</f>
        <v>85.5181175682064</v>
      </c>
      <c r="G7838" s="38" t="n">
        <f aca="false">Sens!$G$7819+Sens!$G$7833</f>
        <v>163.534117568206</v>
      </c>
      <c r="H7838" s="38" t="n">
        <f aca="false">Sens!$H$7819+Sens!$H$7833</f>
        <v>211.077280189882</v>
      </c>
      <c r="I7838" s="38" t="n">
        <f aca="false">Sens!$I$7819+Sens!$I$7833</f>
        <v>264.10159582283</v>
      </c>
      <c r="J7838" s="38" t="n">
        <f aca="false">Sens!$J$7819+Sens!$J$7833</f>
        <v>316.331631276507</v>
      </c>
      <c r="K7838" s="38" t="n">
        <f aca="false">Sens!$K$7819+Sens!$K$7833</f>
        <v>361.955835258122</v>
      </c>
      <c r="L7838" s="38" t="n">
        <f aca="false">Sens!$L$7819+Sens!$L$7833</f>
        <v>398.418508372866</v>
      </c>
      <c r="M7838" s="38" t="n">
        <f aca="false">Sens!$M$7819+Sens!$M$7833</f>
        <v>427.384147736358</v>
      </c>
      <c r="N7838" s="38" t="n">
        <f aca="false">Sens!$N$7819+Sens!$N$7833</f>
        <v>56.398</v>
      </c>
      <c r="O7838" s="38" t="n">
        <f aca="false">Sens!$O$7819+Sens!$O$7833</f>
        <v>65.437</v>
      </c>
    </row>
    <row r="7839" customFormat="false" ht="17.15" hidden="false" customHeight="false" outlineLevel="0" collapsed="false">
      <c r="A7839" s="1" t="s">
        <v>762</v>
      </c>
    </row>
    <row r="7840" customFormat="false" ht="15" hidden="false" customHeight="false" outlineLevel="0" collapsed="false">
      <c r="A7840" s="5" t="s">
        <v>551</v>
      </c>
      <c r="B7840" s="0" t="s">
        <v>86</v>
      </c>
      <c r="C7840" s="38" t="n">
        <f aca="false">Q!$D$34</f>
        <v>2.406</v>
      </c>
      <c r="D7840" s="38" t="n">
        <f aca="false">Q!$E$34</f>
        <v>2.274</v>
      </c>
      <c r="E7840" s="38" t="n">
        <f aca="false">Q!$P$34</f>
        <v>2.114</v>
      </c>
      <c r="F7840" s="38" t="n">
        <f aca="false">Sens!$F$7878</f>
        <v>3.24888962733561</v>
      </c>
      <c r="G7840" s="38" t="n">
        <f aca="false">Sens!$E$7840+Sens!$F$7840</f>
        <v>5.36288962733561</v>
      </c>
      <c r="H7840" s="38" t="n">
        <f aca="false">Sens!$H$7878</f>
        <v>7.42354172302123</v>
      </c>
      <c r="I7840" s="38" t="n">
        <f aca="false">Sens!$I$7878</f>
        <v>7.84418947693382</v>
      </c>
      <c r="J7840" s="38" t="n">
        <f aca="false">Sens!$J$7878</f>
        <v>8.79561318891235</v>
      </c>
      <c r="K7840" s="38" t="n">
        <f aca="false">Sens!$K$7878</f>
        <v>8.79561318891235</v>
      </c>
      <c r="L7840" s="38" t="n">
        <f aca="false">Sens!$L$7878</f>
        <v>8.79561318891235</v>
      </c>
      <c r="M7840" s="38" t="n">
        <f aca="false">Sens!$M$7878</f>
        <v>8.79561318891235</v>
      </c>
      <c r="N7840" s="38" t="n">
        <f aca="false">Q!$N$34</f>
        <v>1.057</v>
      </c>
      <c r="O7840" s="38" t="n">
        <f aca="false">Q!$O$34</f>
        <v>1.217</v>
      </c>
    </row>
    <row r="7841" customFormat="false" ht="15" hidden="false" customHeight="false" outlineLevel="0" collapsed="false">
      <c r="A7841" s="5" t="s">
        <v>763</v>
      </c>
      <c r="B7841" s="0" t="s">
        <v>86</v>
      </c>
      <c r="F7841" s="38" t="n">
        <f aca="false">Sens!$F$7879</f>
        <v>2.59</v>
      </c>
      <c r="H7841" s="38" t="n">
        <f aca="false">Sens!$H$7879</f>
        <v>4.1153774832261</v>
      </c>
      <c r="I7841" s="38" t="n">
        <f aca="false">Sens!$I$7879</f>
        <v>2.10589651022864</v>
      </c>
      <c r="J7841" s="38" t="n">
        <f aca="false">Sens!$J$7879</f>
        <v>2.10589651022864</v>
      </c>
      <c r="K7841" s="38" t="n">
        <f aca="false">Sens!$K$7879</f>
        <v>3.172800358404</v>
      </c>
      <c r="L7841" s="38" t="n">
        <f aca="false">Sens!$L$7879</f>
        <v>8.31037272592208</v>
      </c>
      <c r="M7841" s="38" t="n">
        <f aca="false">Sens!$M$7879</f>
        <v>15.9256588704093</v>
      </c>
    </row>
    <row r="7842" customFormat="false" ht="17.15" hidden="false" customHeight="false" outlineLevel="0" collapsed="false">
      <c r="A7842" s="5" t="s">
        <v>764</v>
      </c>
      <c r="B7842" s="0" t="s">
        <v>86</v>
      </c>
      <c r="C7842" s="38" t="n">
        <f aca="false">Q!$D$39</f>
        <v>2.427</v>
      </c>
      <c r="D7842" s="38" t="n">
        <f aca="false">Q!$E$39</f>
        <v>19.61</v>
      </c>
      <c r="E7842" s="38" t="n">
        <f aca="false">Q!$P$39</f>
        <v>71.492</v>
      </c>
      <c r="F7842" s="39" t="n">
        <v>0</v>
      </c>
      <c r="G7842" s="38" t="n">
        <f aca="false">Sens!$E$7842+Sens!$F$7842</f>
        <v>71.492</v>
      </c>
      <c r="H7842" s="39" t="n">
        <v>0</v>
      </c>
      <c r="I7842" s="39" t="n">
        <v>0</v>
      </c>
      <c r="J7842" s="39" t="n">
        <v>0</v>
      </c>
      <c r="K7842" s="39" t="n">
        <v>0</v>
      </c>
      <c r="L7842" s="39" t="n">
        <v>0</v>
      </c>
      <c r="M7842" s="39" t="n">
        <v>0</v>
      </c>
      <c r="N7842" s="38" t="n">
        <f aca="false">Q!$N$39</f>
        <v>6.017</v>
      </c>
      <c r="O7842" s="38" t="n">
        <f aca="false">Q!$O$39</f>
        <v>13.593</v>
      </c>
      <c r="P7842" s="5" t="s">
        <v>765</v>
      </c>
    </row>
    <row r="7843" customFormat="false" ht="15" hidden="false" customHeight="false" outlineLevel="0" collapsed="false">
      <c r="A7843" s="5" t="s">
        <v>554</v>
      </c>
      <c r="B7843" s="0" t="s">
        <v>86</v>
      </c>
      <c r="C7843" s="38" t="n">
        <f aca="false">Q!$D$36</f>
        <v>68.614</v>
      </c>
      <c r="D7843" s="38" t="n">
        <f aca="false">Q!$E$36</f>
        <v>97.311</v>
      </c>
      <c r="E7843" s="38" t="n">
        <f aca="false">Q!$P$36</f>
        <v>120.691</v>
      </c>
      <c r="F7843" s="38" t="n">
        <f aca="false">Sens!$F$7819-Sens!$F$7840+Sens!$F$7841+Sens!$F$7842</f>
        <v>55.7063670713938</v>
      </c>
      <c r="G7843" s="38" t="n">
        <f aca="false">Sens!$E$7843+Sens!$F$7843</f>
        <v>176.397367071394</v>
      </c>
      <c r="H7843" s="38" t="n">
        <f aca="false">Sens!$H$7819-Sens!$H$7840+Sens!$H$7841+Sens!$H$7842</f>
        <v>126.207292630471</v>
      </c>
      <c r="I7843" s="38" t="n">
        <f aca="false">Sens!$I$7819-Sens!$I$7840+Sens!$I$7841+Sens!$I$7842</f>
        <v>139.60709411592</v>
      </c>
      <c r="J7843" s="38" t="n">
        <f aca="false">Sens!$J$7819-Sens!$J$7840+Sens!$J$7841+Sens!$J$7842</f>
        <v>157.172425191032</v>
      </c>
      <c r="K7843" s="38" t="n">
        <f aca="false">Sens!$K$7819-Sens!$K$7840+Sens!$K$7841+Sens!$K$7842</f>
        <v>169.941519803795</v>
      </c>
      <c r="L7843" s="38" t="n">
        <f aca="false">Sens!$L$7819-Sens!$L$7840+Sens!$L$7841+Sens!$L$7842</f>
        <v>186.006845694394</v>
      </c>
      <c r="M7843" s="38" t="n">
        <f aca="false">Sens!$M$7819-Sens!$M$7840+Sens!$M$7841+Sens!$M$7842</f>
        <v>205.501711319949</v>
      </c>
      <c r="N7843" s="38" t="n">
        <f aca="false">Q!$N$36</f>
        <v>42.536</v>
      </c>
      <c r="O7843" s="38" t="n">
        <f aca="false">Q!$O$36</f>
        <v>54.775</v>
      </c>
    </row>
    <row r="7844" customFormat="false" ht="15" hidden="false" customHeight="false" outlineLevel="0" collapsed="false">
      <c r="A7844" s="5" t="s">
        <v>555</v>
      </c>
      <c r="B7844" s="0" t="s">
        <v>86</v>
      </c>
      <c r="C7844" s="38" t="n">
        <f aca="false">Q!$D$37</f>
        <v>9.265</v>
      </c>
      <c r="D7844" s="38" t="n">
        <f aca="false">Q!$E$37</f>
        <v>19.087</v>
      </c>
      <c r="E7844" s="38" t="n">
        <f aca="false">Q!$P$37</f>
        <v>27.759</v>
      </c>
      <c r="F7844" s="38" t="n">
        <f aca="false">Sens!$F$7843*tax</f>
        <v>9.669763357865</v>
      </c>
      <c r="G7844" s="38" t="n">
        <f aca="false">Sens!$E$7844+Sens!$F$7844</f>
        <v>37.428763357865</v>
      </c>
      <c r="H7844" s="38" t="n">
        <f aca="false">Sens!$H$7843*tax</f>
        <v>21.9076331473816</v>
      </c>
      <c r="I7844" s="38" t="n">
        <f aca="false">Sens!$I$7843*tax</f>
        <v>24.2336313450491</v>
      </c>
      <c r="J7844" s="38" t="n">
        <f aca="false">Sens!$J$7843*tax</f>
        <v>27.2827010246639</v>
      </c>
      <c r="K7844" s="38" t="n">
        <f aca="false">Sens!$K$7843*tax</f>
        <v>29.4992182683994</v>
      </c>
      <c r="L7844" s="38" t="n">
        <f aca="false">Sens!$L$7843*tax</f>
        <v>32.2879102581316</v>
      </c>
      <c r="M7844" s="38" t="n">
        <f aca="false">Sens!$M$7843*tax</f>
        <v>35.671917279284</v>
      </c>
      <c r="N7844" s="38" t="n">
        <f aca="false">Q!$N$37</f>
        <v>7.231</v>
      </c>
      <c r="O7844" s="38" t="n">
        <f aca="false">Q!$O$37</f>
        <v>11.856</v>
      </c>
    </row>
    <row r="7845" customFormat="false" ht="15" hidden="false" customHeight="false" outlineLevel="0" collapsed="false">
      <c r="A7845" s="3" t="s">
        <v>556</v>
      </c>
      <c r="B7845" s="8" t="s">
        <v>86</v>
      </c>
      <c r="C7845" s="38" t="n">
        <f aca="false">Q!$D$38</f>
        <v>59.248</v>
      </c>
      <c r="D7845" s="38" t="n">
        <f aca="false">Q!$E$38</f>
        <v>77.67</v>
      </c>
      <c r="E7845" s="38" t="n">
        <f aca="false">Q!$P$38</f>
        <v>92.902</v>
      </c>
      <c r="F7845" s="38" t="n">
        <f aca="false">Sens!$F$7843-Sens!$F$7844</f>
        <v>46.0366037135288</v>
      </c>
      <c r="G7845" s="38" t="n">
        <f aca="false">Sens!$E$7845+Sens!$F$7845</f>
        <v>138.938603713529</v>
      </c>
      <c r="H7845" s="38" t="n">
        <f aca="false">Sens!$H$7843-Sens!$H$7844</f>
        <v>104.29965948309</v>
      </c>
      <c r="I7845" s="38" t="n">
        <f aca="false">Sens!$I$7843-Sens!$I$7844</f>
        <v>115.373462770871</v>
      </c>
      <c r="J7845" s="38" t="n">
        <f aca="false">Sens!$J$7843-Sens!$J$7844</f>
        <v>129.889724166368</v>
      </c>
      <c r="K7845" s="38" t="n">
        <f aca="false">Sens!$K$7843-Sens!$K$7844</f>
        <v>140.442301535395</v>
      </c>
      <c r="L7845" s="38" t="n">
        <f aca="false">Sens!$L$7843-Sens!$L$7844</f>
        <v>153.718935436262</v>
      </c>
      <c r="M7845" s="38" t="n">
        <f aca="false">Sens!$M$7843-Sens!$M$7844</f>
        <v>169.829794040665</v>
      </c>
      <c r="N7845" s="38" t="n">
        <f aca="false">Q!$N$38</f>
        <v>35.291</v>
      </c>
      <c r="O7845" s="38" t="n">
        <f aca="false">Q!$O$38</f>
        <v>42.379</v>
      </c>
    </row>
    <row r="7846" customFormat="false" ht="17.15" hidden="false" customHeight="false" outlineLevel="0" collapsed="false">
      <c r="A7846" s="5" t="s">
        <v>559</v>
      </c>
      <c r="B7846" s="5" t="s">
        <v>33</v>
      </c>
      <c r="C7846" s="22" t="n">
        <f aca="false">Q!$D$41</f>
        <v>10.721</v>
      </c>
      <c r="D7846" s="22" t="n">
        <f aca="false">Q!$E$41</f>
        <v>10.827</v>
      </c>
      <c r="E7846" s="22" t="n">
        <f aca="false">(Q!$L$41+Q!$M$41)/2</f>
        <v>10.8885</v>
      </c>
      <c r="F7846" s="22" t="n">
        <f aca="false">Sens!$G$7846</f>
        <v>10.924806</v>
      </c>
      <c r="G7846" s="22" t="n">
        <f aca="false">Q!$M$41*(1+sh_g*0.25)</f>
        <v>10.924806</v>
      </c>
      <c r="H7846" s="22" t="n">
        <f aca="false">Sens!$G$7846*(1+sh_g)</f>
        <v>11.012204448</v>
      </c>
      <c r="I7846" s="22" t="n">
        <f aca="false">Sens!$H$7846*(1+sh_g)</f>
        <v>11.100302083584</v>
      </c>
      <c r="J7846" s="22" t="n">
        <f aca="false">Sens!$I$7846*(1+sh_g)</f>
        <v>11.1891045002527</v>
      </c>
      <c r="K7846" s="22" t="n">
        <f aca="false">Sens!$J$7846*(1+sh_g)</f>
        <v>11.2786173362547</v>
      </c>
      <c r="L7846" s="22" t="n">
        <f aca="false">Sens!$K$7846*(1+sh_g)</f>
        <v>11.3688462749447</v>
      </c>
      <c r="M7846" s="22" t="n">
        <f aca="false">Sens!$L$7846*(1+sh_g)</f>
        <v>11.4597970451443</v>
      </c>
      <c r="P7846" s="5" t="s">
        <v>766</v>
      </c>
    </row>
    <row r="7847" customFormat="false" ht="17.15" hidden="false" customHeight="false" outlineLevel="0" collapsed="false">
      <c r="A7847" s="5" t="s">
        <v>767</v>
      </c>
      <c r="B7847" s="0" t="s">
        <v>86</v>
      </c>
      <c r="C7847" s="38" t="n">
        <f aca="false">Sens!$C$7845+Sens!$C$7821*(1-tax)</f>
        <v>59.248</v>
      </c>
      <c r="D7847" s="38" t="n">
        <f aca="false">Sens!$D$7845+Sens!$D$7821*(1-tax)</f>
        <v>77.67</v>
      </c>
      <c r="E7847" s="38" t="n">
        <f aca="false">Sens!$E$7845+Sens!$E$7821*(1-tax)</f>
        <v>92.902</v>
      </c>
      <c r="F7847" s="38" t="n">
        <f aca="false">Sens!$F$7845+Sens!$F$7821*(1-tax)</f>
        <v>49.1531986731775</v>
      </c>
      <c r="G7847" s="38" t="n">
        <f aca="false">Sens!$G$7845+Sens!$G$7821*(1-tax)</f>
        <v>142.055198673178</v>
      </c>
      <c r="H7847" s="38" t="n">
        <f aca="false">Sens!$H$7845+Sens!$H$7821*(1-tax)</f>
        <v>116.831055438434</v>
      </c>
      <c r="I7847" s="38" t="n">
        <f aca="false">Sens!$I$7845+Sens!$I$7821*(1-tax)</f>
        <v>136.514727845811</v>
      </c>
      <c r="J7847" s="38" t="n">
        <f aca="false">Sens!$J$7845+Sens!$J$7821*(1-tax)</f>
        <v>159.679161110652</v>
      </c>
      <c r="K7847" s="38" t="n">
        <f aca="false">Sens!$K$7845+Sens!$K$7821*(1-tax)</f>
        <v>177.609607232054</v>
      </c>
      <c r="L7847" s="38" t="n">
        <f aca="false">Sens!$L$7845+Sens!$L$7821*(1-tax)</f>
        <v>195.735012776818</v>
      </c>
      <c r="M7847" s="38" t="n">
        <f aca="false">Sens!$M$7845+Sens!$M$7821*(1-tax)</f>
        <v>214.159316231505</v>
      </c>
      <c r="N7847" s="38" t="n">
        <f aca="false">Sens!$N$7845+Sens!$N$7821*(1-tax)</f>
        <v>35.291</v>
      </c>
      <c r="O7847" s="38" t="n">
        <f aca="false">Sens!$O$7845+Sens!$O$7821*(1-tax)</f>
        <v>42.379</v>
      </c>
    </row>
    <row r="7848" customFormat="false" ht="17.15" hidden="false" customHeight="false" outlineLevel="0" collapsed="false">
      <c r="A7848" s="43" t="s">
        <v>768</v>
      </c>
      <c r="B7848" s="14" t="s">
        <v>27</v>
      </c>
      <c r="C7848" s="44" t="n">
        <f aca="false">Sens!$C$7847/Sens!$C$7846</f>
        <v>5.52635015390355</v>
      </c>
      <c r="D7848" s="44" t="n">
        <f aca="false">Sens!$D$7847/Sens!$D$7846</f>
        <v>7.1737323358271</v>
      </c>
      <c r="E7848" s="44" t="n">
        <f aca="false">Sens!$E$7847/Sens!$E$7846</f>
        <v>8.53212104513937</v>
      </c>
      <c r="F7848" s="14"/>
      <c r="G7848" s="44" t="n">
        <f aca="false">Sens!$G$7847/Sens!$G$7846</f>
        <v>13.0029950804781</v>
      </c>
      <c r="H7848" s="44" t="n">
        <f aca="false">Sens!$H$7847/Sens!$H$7846</f>
        <v>10.6092341447268</v>
      </c>
      <c r="I7848" s="44" t="n">
        <f aca="false">Sens!$I$7847/Sens!$I$7846</f>
        <v>12.298289435537</v>
      </c>
      <c r="J7848" s="44" t="n">
        <f aca="false">Sens!$J$7847/Sens!$J$7846</f>
        <v>14.2709509154236</v>
      </c>
      <c r="K7848" s="44" t="n">
        <f aca="false">Sens!$K$7847/Sens!$K$7846</f>
        <v>15.7474628260624</v>
      </c>
      <c r="L7848" s="44" t="n">
        <f aca="false">Sens!$L$7847/Sens!$L$7846</f>
        <v>17.2167877059072</v>
      </c>
      <c r="M7848" s="44" t="n">
        <f aca="false">Sens!$M$7847/Sens!$M$7846</f>
        <v>18.6878803688978</v>
      </c>
      <c r="N7848" s="14"/>
      <c r="O7848" s="14"/>
    </row>
    <row r="7849" customFormat="false" ht="17.15" hidden="false" customHeight="false" outlineLevel="0" collapsed="false">
      <c r="A7849" s="0" t="s">
        <v>769</v>
      </c>
      <c r="B7849" s="0" t="s">
        <v>27</v>
      </c>
      <c r="C7849" s="30" t="n">
        <f aca="false">Sens!$C$7845/Sens!$C$7846</f>
        <v>5.52635015390355</v>
      </c>
      <c r="D7849" s="30" t="n">
        <f aca="false">Sens!$D$7845/Sens!$D$7846</f>
        <v>7.1737323358271</v>
      </c>
      <c r="E7849" s="30" t="n">
        <f aca="false">Sens!$E$7845/Sens!$E$7846</f>
        <v>8.53212104513937</v>
      </c>
      <c r="G7849" s="30" t="n">
        <f aca="false">Sens!$G$7845/Sens!$G$7846</f>
        <v>12.7177181648378</v>
      </c>
      <c r="H7849" s="30" t="n">
        <f aca="false">Sens!$H$7845/Sens!$H$7846</f>
        <v>9.47127888658407</v>
      </c>
      <c r="I7849" s="30" t="n">
        <f aca="false">Sens!$I$7845/Sens!$I$7846</f>
        <v>10.3937227925981</v>
      </c>
      <c r="J7849" s="30" t="n">
        <f aca="false">Sens!$J$7845/Sens!$J$7846</f>
        <v>11.6085897815536</v>
      </c>
      <c r="K7849" s="30" t="n">
        <f aca="false">Sens!$K$7845/Sens!$K$7846</f>
        <v>12.4520849806606</v>
      </c>
      <c r="L7849" s="30" t="n">
        <f aca="false">Sens!$L$7845/Sens!$L$7846</f>
        <v>13.5210672849924</v>
      </c>
      <c r="M7849" s="30" t="n">
        <f aca="false">Sens!$M$7845/Sens!$M$7846</f>
        <v>14.8196162088773</v>
      </c>
    </row>
    <row r="7850" customFormat="false" ht="17.15" hidden="false" customHeight="false" outlineLevel="0" collapsed="false">
      <c r="A7850" s="0" t="s">
        <v>770</v>
      </c>
      <c r="B7850" s="0" t="s">
        <v>27</v>
      </c>
      <c r="C7850" s="30" t="n">
        <f aca="false">(Sens!$C$7845-Sens!$C$7842*(1-tax))/Sens!$C$7846</f>
        <v>5.33926775917445</v>
      </c>
      <c r="D7850" s="30" t="n">
        <f aca="false">(Sens!$D$7845-Sens!$D$7842*(1-tax))/Sens!$D$7846</f>
        <v>5.67691812755503</v>
      </c>
      <c r="E7850" s="30" t="n">
        <f aca="false">(Sens!$E$7845-Sens!$E$7842*(1-tax))/Sens!$E$7846</f>
        <v>3.10602057006846</v>
      </c>
      <c r="G7850" s="30" t="n">
        <f aca="false">(Sens!$G$7845-Sens!$G$7842*(1-tax))/Sens!$G$7846</f>
        <v>7.30965004694081</v>
      </c>
      <c r="H7850" s="30" t="n">
        <f aca="false">(Sens!$H$7845-Sens!$H$7842*(1-tax))/Sens!$H$7846</f>
        <v>9.47127888658407</v>
      </c>
      <c r="I7850" s="30" t="n">
        <f aca="false">(Sens!$I$7845-Sens!$I$7842*(1-tax))/Sens!$I$7846</f>
        <v>10.3937227925981</v>
      </c>
      <c r="J7850" s="30" t="n">
        <f aca="false">(Sens!$J$7845-Sens!$J$7842*(1-tax))/Sens!$J$7846</f>
        <v>11.6085897815536</v>
      </c>
      <c r="K7850" s="30" t="n">
        <f aca="false">(Sens!$K$7845-Sens!$K$7842*(1-tax))/Sens!$K$7846</f>
        <v>12.4520849806606</v>
      </c>
      <c r="L7850" s="30" t="n">
        <f aca="false">(Sens!$L$7845-Sens!$L$7842*(1-tax))/Sens!$L$7846</f>
        <v>13.5210672849924</v>
      </c>
      <c r="M7850" s="30" t="n">
        <f aca="false">(Sens!$M$7845-Sens!$M$7842*(1-tax))/Sens!$M$7846</f>
        <v>14.8196162088773</v>
      </c>
      <c r="P7850" s="5" t="s">
        <v>771</v>
      </c>
    </row>
    <row r="7851" customFormat="false" ht="17.15" hidden="false" customHeight="false" outlineLevel="0" collapsed="false">
      <c r="A7851" s="0" t="s">
        <v>772</v>
      </c>
      <c r="B7851" s="0" t="s">
        <v>52</v>
      </c>
      <c r="H7851" s="13" t="n">
        <f aca="false">Sens!$H$7848/Sens!$G$7848-1</f>
        <v>-0.184093043251635</v>
      </c>
      <c r="I7851" s="13" t="n">
        <f aca="false">Sens!$I$7848/Sens!$H$7848-1</f>
        <v>0.159206147000695</v>
      </c>
      <c r="J7851" s="13" t="n">
        <f aca="false">Sens!$J$7848/Sens!$I$7848-1</f>
        <v>0.160401289157047</v>
      </c>
      <c r="K7851" s="13" t="n">
        <f aca="false">Sens!$K$7848/Sens!$J$7848-1</f>
        <v>0.103462755873053</v>
      </c>
      <c r="L7851" s="13" t="n">
        <f aca="false">Sens!$L$7848/Sens!$K$7848-1</f>
        <v>0.093305499182575</v>
      </c>
      <c r="M7851" s="13" t="n">
        <f aca="false">Sens!$M$7848/Sens!$L$7848-1</f>
        <v>0.0854452461236912</v>
      </c>
    </row>
    <row r="7854" customFormat="false" ht="19.4" hidden="false" customHeight="false" outlineLevel="0" collapsed="false">
      <c r="A7854" s="31" t="s">
        <v>1310</v>
      </c>
    </row>
    <row r="7855" customFormat="false" ht="17.15" hidden="false" customHeight="false" outlineLevel="0" collapsed="false">
      <c r="A7855" s="6" t="s">
        <v>16</v>
      </c>
      <c r="B7855" s="6" t="s">
        <v>17</v>
      </c>
      <c r="C7855" s="20" t="s">
        <v>504</v>
      </c>
      <c r="D7855" s="20" t="s">
        <v>505</v>
      </c>
      <c r="E7855" s="20" t="s">
        <v>587</v>
      </c>
      <c r="F7855" s="20" t="s">
        <v>588</v>
      </c>
      <c r="G7855" s="20" t="s">
        <v>589</v>
      </c>
      <c r="H7855" s="20" t="s">
        <v>590</v>
      </c>
      <c r="I7855" s="20" t="s">
        <v>591</v>
      </c>
      <c r="J7855" s="20" t="s">
        <v>592</v>
      </c>
      <c r="K7855" s="20" t="s">
        <v>593</v>
      </c>
      <c r="L7855" s="20" t="s">
        <v>594</v>
      </c>
      <c r="M7855" s="20" t="s">
        <v>595</v>
      </c>
      <c r="N7855" s="20" t="s">
        <v>596</v>
      </c>
      <c r="O7855" s="20" t="s">
        <v>597</v>
      </c>
      <c r="P7855" s="6" t="s">
        <v>23</v>
      </c>
      <c r="R7855" s="20" t="n">
        <v>2023</v>
      </c>
      <c r="S7855" s="20" t="n">
        <v>2024</v>
      </c>
      <c r="T7855" s="20" t="n">
        <v>2025</v>
      </c>
      <c r="U7855" s="20" t="n">
        <v>2026</v>
      </c>
      <c r="V7855" s="20" t="n">
        <v>2027</v>
      </c>
      <c r="W7855" s="20" t="n">
        <v>2028</v>
      </c>
      <c r="X7855" s="20" t="n">
        <v>2029</v>
      </c>
      <c r="Y7855" s="20" t="n">
        <v>2030</v>
      </c>
      <c r="Z7855" s="20" t="n">
        <v>2031</v>
      </c>
      <c r="AA7855" s="20" t="n">
        <v>2032</v>
      </c>
    </row>
    <row r="7856" customFormat="false" ht="15" hidden="false" customHeight="false" outlineLevel="0" collapsed="false">
      <c r="A7856" s="5" t="s">
        <v>556</v>
      </c>
      <c r="B7856" s="0" t="s">
        <v>86</v>
      </c>
      <c r="C7856" s="38" t="n">
        <f aca="false">Sens!$C$7845</f>
        <v>59.248</v>
      </c>
      <c r="D7856" s="38" t="n">
        <f aca="false">Sens!$D$7845</f>
        <v>77.67</v>
      </c>
      <c r="E7856" s="38" t="n">
        <f aca="false">Sens!$E$7845</f>
        <v>92.902</v>
      </c>
      <c r="F7856" s="38" t="n">
        <f aca="false">Sens!$F$7845</f>
        <v>46.0366037135288</v>
      </c>
      <c r="G7856" s="38" t="n">
        <f aca="false">Sens!$G$7845</f>
        <v>138.938603713529</v>
      </c>
      <c r="H7856" s="38" t="n">
        <f aca="false">Sens!$H$7845</f>
        <v>104.29965948309</v>
      </c>
      <c r="I7856" s="38" t="n">
        <f aca="false">Sens!$I$7845</f>
        <v>115.373462770871</v>
      </c>
      <c r="J7856" s="38" t="n">
        <f aca="false">Sens!$J$7845</f>
        <v>129.889724166368</v>
      </c>
      <c r="K7856" s="38" t="n">
        <f aca="false">Sens!$K$7845</f>
        <v>140.442301535395</v>
      </c>
      <c r="L7856" s="38" t="n">
        <f aca="false">Sens!$L$7845</f>
        <v>153.718935436262</v>
      </c>
      <c r="M7856" s="38" t="n">
        <f aca="false">Sens!$M$7845</f>
        <v>169.829794040665</v>
      </c>
    </row>
    <row r="7857" customFormat="false" ht="17.15" hidden="false" customHeight="false" outlineLevel="0" collapsed="false">
      <c r="A7857" s="5" t="s">
        <v>795</v>
      </c>
      <c r="B7857" s="0" t="s">
        <v>86</v>
      </c>
      <c r="C7857" s="38" t="n">
        <f aca="false">Sens!$C$7833</f>
        <v>32.067</v>
      </c>
      <c r="D7857" s="38" t="n">
        <f aca="false">Sens!$D$7833</f>
        <v>41.86</v>
      </c>
      <c r="E7857" s="38" t="n">
        <f aca="false">Sens!$E$7833</f>
        <v>26.703</v>
      </c>
      <c r="F7857" s="38" t="n">
        <f aca="false">Sens!$F$7833</f>
        <v>29.152860869477</v>
      </c>
      <c r="G7857" s="38" t="n">
        <f aca="false">Sens!$G$7833</f>
        <v>55.855860869477</v>
      </c>
      <c r="H7857" s="38" t="n">
        <f aca="false">Sens!$H$7833</f>
        <v>81.5618233196153</v>
      </c>
      <c r="I7857" s="38" t="n">
        <f aca="false">Sens!$I$7833</f>
        <v>118.756208740204</v>
      </c>
      <c r="J7857" s="38" t="n">
        <f aca="false">Sens!$J$7833</f>
        <v>152.469489406791</v>
      </c>
      <c r="K7857" s="38" t="n">
        <f aca="false">Sens!$K$7833</f>
        <v>186.391502623819</v>
      </c>
      <c r="L7857" s="38" t="n">
        <f aca="false">Sens!$L$7833</f>
        <v>211.926422215482</v>
      </c>
      <c r="M7857" s="38" t="n">
        <f aca="false">Sens!$M$7833</f>
        <v>229.012482097906</v>
      </c>
    </row>
    <row r="7858" customFormat="false" ht="15" hidden="false" customHeight="false" outlineLevel="0" collapsed="false">
      <c r="A7858" s="5" t="s">
        <v>796</v>
      </c>
      <c r="B7858" s="0" t="s">
        <v>86</v>
      </c>
      <c r="C7858" s="38" t="n">
        <f aca="false">Q!$D$48</f>
        <v>22.011</v>
      </c>
      <c r="D7858" s="38" t="n">
        <f aca="false">Q!$E$48</f>
        <v>19.467</v>
      </c>
      <c r="E7858" s="38" t="n">
        <f aca="false">Q!$P$48</f>
        <v>10.07</v>
      </c>
      <c r="F7858" s="38" t="n">
        <f aca="false">sbc_r*Sens!$F$7775</f>
        <v>10.8507035798037</v>
      </c>
      <c r="G7858" s="38" t="n">
        <f aca="false">Sens!$E$7858+Sens!$F$7858</f>
        <v>20.9207035798037</v>
      </c>
      <c r="H7858" s="38" t="n">
        <f aca="false">sbc_r*Sens!$H$7775</f>
        <v>23.46224366345</v>
      </c>
      <c r="I7858" s="38" t="n">
        <f aca="false">sbc_r*Sens!$I$7775</f>
        <v>26.6125957111676</v>
      </c>
      <c r="J7858" s="38" t="n">
        <f aca="false">sbc_r*Sens!$J$7775</f>
        <v>29.6280801413323</v>
      </c>
      <c r="K7858" s="38" t="n">
        <f aca="false">sbc_r*Sens!$K$7775</f>
        <v>32.2712258901105</v>
      </c>
      <c r="L7858" s="38" t="n">
        <f aca="false">sbc_r*Sens!$L$7775</f>
        <v>34.7390505016737</v>
      </c>
      <c r="M7858" s="38" t="n">
        <f aca="false">sbc_r*Sens!$M$7775</f>
        <v>37.0405146906692</v>
      </c>
    </row>
    <row r="7859" customFormat="false" ht="17.15" hidden="false" customHeight="false" outlineLevel="0" collapsed="false">
      <c r="A7859" s="5" t="s">
        <v>797</v>
      </c>
      <c r="B7859" s="0" t="s">
        <v>86</v>
      </c>
      <c r="C7859" s="38" t="n">
        <f aca="false">Q!$D$44-Sens!$C$7856-Sens!$C$7857-Sens!$C$7858</f>
        <v>2.551</v>
      </c>
      <c r="D7859" s="38" t="n">
        <f aca="false">Q!$E$44-Sens!$D$7856-Sens!$D$7857-Sens!$D$7858</f>
        <v>0.51700000000001</v>
      </c>
      <c r="E7859" s="38" t="n">
        <f aca="false">Q!$P$44-Sens!$E$7856-Sens!$E$7857-Sens!$E$7858</f>
        <v>-58.256</v>
      </c>
      <c r="F7859" s="38" t="n">
        <f aca="false">oth_r*Sens!$F$7775</f>
        <v>5.22265251035878</v>
      </c>
      <c r="G7859" s="38" t="n">
        <f aca="false">Sens!$E$7859+Sens!$F$7859</f>
        <v>-53.0333474896412</v>
      </c>
      <c r="H7859" s="38" t="n">
        <f aca="false">oth_r*Sens!$H$7775</f>
        <v>11.2928295263397</v>
      </c>
      <c r="I7859" s="38" t="n">
        <f aca="false">oth_r*Sens!$I$7775</f>
        <v>12.8091546115766</v>
      </c>
      <c r="J7859" s="38" t="n">
        <f aca="false">oth_r*Sens!$J$7775</f>
        <v>14.2605653162668</v>
      </c>
      <c r="K7859" s="38" t="n">
        <f aca="false">oth_r*Sens!$K$7775</f>
        <v>15.5327622460396</v>
      </c>
      <c r="L7859" s="38" t="n">
        <f aca="false">oth_r*Sens!$L$7775</f>
        <v>16.720573737517</v>
      </c>
      <c r="M7859" s="38" t="n">
        <f aca="false">oth_r*Sens!$M$7775</f>
        <v>17.8283127551536</v>
      </c>
      <c r="P7859" s="8" t="s">
        <v>798</v>
      </c>
    </row>
    <row r="7860" customFormat="false" ht="15" hidden="false" customHeight="false" outlineLevel="0" collapsed="false">
      <c r="A7860" s="3" t="s">
        <v>562</v>
      </c>
      <c r="B7860" s="8" t="s">
        <v>86</v>
      </c>
      <c r="C7860" s="38" t="n">
        <f aca="false">Q!$D$44</f>
        <v>115.877</v>
      </c>
      <c r="D7860" s="38" t="n">
        <f aca="false">Q!$E$44</f>
        <v>139.514</v>
      </c>
      <c r="E7860" s="38" t="n">
        <f aca="false">Q!$P$44</f>
        <v>71.419</v>
      </c>
      <c r="F7860" s="38" t="n">
        <f aca="false">Sens!$F$7856+Sens!$F$7857+Sens!$F$7858+Sens!$F$7859</f>
        <v>91.2628206731683</v>
      </c>
      <c r="G7860" s="38" t="n">
        <f aca="false">Sens!$E$7860+Sens!$F$7860</f>
        <v>162.681820673168</v>
      </c>
      <c r="H7860" s="38" t="n">
        <f aca="false">Sens!$H$7856+Sens!$H$7857+Sens!$H$7858+Sens!$H$7859</f>
        <v>220.616555992495</v>
      </c>
      <c r="I7860" s="38" t="n">
        <f aca="false">Sens!$I$7856+Sens!$I$7857+Sens!$I$7858+Sens!$I$7859</f>
        <v>273.55142183382</v>
      </c>
      <c r="J7860" s="38" t="n">
        <f aca="false">Sens!$J$7856+Sens!$J$7857+Sens!$J$7858+Sens!$J$7859</f>
        <v>326.247859030758</v>
      </c>
      <c r="K7860" s="38" t="n">
        <f aca="false">Sens!$K$7856+Sens!$K$7857+Sens!$K$7858+Sens!$K$7859</f>
        <v>374.637792295364</v>
      </c>
      <c r="L7860" s="38" t="n">
        <f aca="false">Sens!$L$7856+Sens!$L$7857+Sens!$L$7858+Sens!$L$7859</f>
        <v>417.104981890935</v>
      </c>
      <c r="M7860" s="38" t="n">
        <f aca="false">Sens!$M$7856+Sens!$M$7857+Sens!$M$7858+Sens!$M$7859</f>
        <v>453.711103584394</v>
      </c>
    </row>
    <row r="7861" customFormat="false" ht="17.15" hidden="false" customHeight="false" outlineLevel="0" collapsed="false">
      <c r="A7861" s="5" t="s">
        <v>799</v>
      </c>
      <c r="B7861" s="0" t="s">
        <v>86</v>
      </c>
      <c r="C7861" s="38" t="n">
        <f aca="false">Sens!$C$7739</f>
        <v>25.2781053077374</v>
      </c>
      <c r="D7861" s="38" t="n">
        <f aca="false">Sens!$D$7739</f>
        <v>69.5686316310026</v>
      </c>
      <c r="E7861" s="38" t="n">
        <f aca="false">Sens!$E$7739</f>
        <v>64.1899206485108</v>
      </c>
      <c r="F7861" s="38" t="n">
        <f aca="false">Sens!$F$7739</f>
        <v>88.7165504612134</v>
      </c>
      <c r="G7861" s="38" t="n">
        <f aca="false">Sens!$G$7739</f>
        <v>152.906471109724</v>
      </c>
      <c r="H7861" s="38" t="n">
        <f aca="false">Sens!$H$7739</f>
        <v>198.57136494475</v>
      </c>
      <c r="I7861" s="38" t="n">
        <f aca="false">Sens!$I$7739</f>
        <v>204.6464699105</v>
      </c>
      <c r="J7861" s="38" t="n">
        <f aca="false">Sens!$J$7739</f>
        <v>209.8832381105</v>
      </c>
      <c r="K7861" s="38" t="n">
        <f aca="false">Sens!$K$7739</f>
        <v>155.238385275201</v>
      </c>
      <c r="L7861" s="38" t="n">
        <f aca="false">Sens!$L$7739</f>
        <v>132.014141639902</v>
      </c>
      <c r="M7861" s="38" t="n">
        <f aca="false">Sens!$M$7739</f>
        <v>132.230981659852</v>
      </c>
    </row>
    <row r="7862" customFormat="false" ht="17.15" hidden="false" customHeight="false" outlineLevel="0" collapsed="false">
      <c r="A7862" s="5" t="s">
        <v>800</v>
      </c>
      <c r="B7862" s="0" t="s">
        <v>86</v>
      </c>
      <c r="C7862" s="38" t="n">
        <f aca="false">cx_awso*Sens!$C$7773</f>
        <v>21.0469989286053</v>
      </c>
      <c r="D7862" s="38" t="n">
        <f aca="false">cx_awso*Sens!$D$7773</f>
        <v>24.0042459822698</v>
      </c>
      <c r="E7862" s="38" t="n">
        <f aca="false">cx_awso*Sens!$E$7773</f>
        <v>14.261729404886</v>
      </c>
      <c r="F7862" s="38" t="n">
        <f aca="false">cx_awso*Sens!$F$7773</f>
        <v>14.3538599588493</v>
      </c>
      <c r="G7862" s="38" t="n">
        <f aca="false">Sens!$E$7862+Sens!$F$7862</f>
        <v>28.6155893637353</v>
      </c>
      <c r="H7862" s="38" t="n">
        <f aca="false">cx_awso*Sens!$H$7773</f>
        <v>32.2034154158406</v>
      </c>
      <c r="I7862" s="38" t="n">
        <f aca="false">cx_awso*Sens!$I$7773</f>
        <v>35.7539519042915</v>
      </c>
      <c r="J7862" s="38" t="n">
        <f aca="false">cx_awso*Sens!$J$7773</f>
        <v>39.1551076091815</v>
      </c>
      <c r="K7862" s="38" t="n">
        <f aca="false">cx_awso*Sens!$K$7773</f>
        <v>42.287516217916</v>
      </c>
      <c r="L7862" s="38" t="n">
        <f aca="false">cx_awso*Sens!$L$7773</f>
        <v>45.6705175153492</v>
      </c>
      <c r="M7862" s="38" t="n">
        <f aca="false">cx_awso*Sens!$M$7773</f>
        <v>49.3241589165772</v>
      </c>
    </row>
    <row r="7863" customFormat="false" ht="17.15" hidden="false" customHeight="false" outlineLevel="0" collapsed="false">
      <c r="A7863" s="5" t="s">
        <v>801</v>
      </c>
      <c r="B7863" s="0" t="s">
        <v>86</v>
      </c>
      <c r="C7863" s="38" t="n">
        <f aca="false">Q!$D$46-Sens!$C$7861-Sens!$C$7862</f>
        <v>31.3328957636573</v>
      </c>
      <c r="D7863" s="38" t="n">
        <f aca="false">Q!$E$46-Sens!$D$7861-Sens!$D$7862</f>
        <v>34.7471223867276</v>
      </c>
      <c r="E7863" s="38" t="n">
        <f aca="false">Q!$P$46-Sens!$E$7861-Sens!$E$7862</f>
        <v>17.8583499466032</v>
      </c>
      <c r="F7863" s="38" t="n">
        <f aca="false">cx_rt*Sens!$F$7702</f>
        <v>20.6195895799373</v>
      </c>
      <c r="G7863" s="38" t="n">
        <f aca="false">Sens!$E$7863+Sens!$F$7863</f>
        <v>38.4779395265405</v>
      </c>
      <c r="H7863" s="38" t="n">
        <f aca="false">cx_rt*Sens!$H$7702</f>
        <v>42.5978994743075</v>
      </c>
      <c r="I7863" s="38" t="n">
        <f aca="false">cx_rt*Sens!$I$7702</f>
        <v>46.5813904136335</v>
      </c>
      <c r="J7863" s="38" t="n">
        <f aca="false">cx_rt*Sens!$J$7702</f>
        <v>50.2781676586844</v>
      </c>
      <c r="K7863" s="38" t="n">
        <f aca="false">cx_rt*Sens!$K$7702</f>
        <v>53.5312440191755</v>
      </c>
      <c r="L7863" s="38" t="n">
        <f aca="false">cx_rt*Sens!$L$7702</f>
        <v>57.0116717051447</v>
      </c>
      <c r="M7863" s="38" t="n">
        <f aca="false">cx_rt*Sens!$M$7702</f>
        <v>60.7365554669226</v>
      </c>
    </row>
    <row r="7864" customFormat="false" ht="15" hidden="false" customHeight="false" outlineLevel="0" collapsed="false">
      <c r="A7864" s="3" t="s">
        <v>802</v>
      </c>
      <c r="B7864" s="8" t="s">
        <v>86</v>
      </c>
      <c r="C7864" s="38" t="n">
        <f aca="false">Q!$D$46</f>
        <v>77.658</v>
      </c>
      <c r="D7864" s="38" t="n">
        <f aca="false">Q!$E$46</f>
        <v>128.32</v>
      </c>
      <c r="E7864" s="38" t="n">
        <f aca="false">Q!$P$46</f>
        <v>96.31</v>
      </c>
      <c r="F7864" s="38" t="n">
        <f aca="false">Sens!$F$7861+Sens!$F$7862+Sens!$F$7863</f>
        <v>123.69</v>
      </c>
      <c r="G7864" s="38" t="n">
        <f aca="false">Sens!$E$7864+Sens!$F$7864</f>
        <v>220</v>
      </c>
      <c r="H7864" s="38" t="n">
        <f aca="false">Sens!$H$7861+Sens!$H$7862+Sens!$H$7863</f>
        <v>273.372679834898</v>
      </c>
      <c r="I7864" s="38" t="n">
        <f aca="false">Sens!$I$7861+Sens!$I$7862+Sens!$I$7863</f>
        <v>286.981812228425</v>
      </c>
      <c r="J7864" s="38" t="n">
        <f aca="false">Sens!$J$7861+Sens!$J$7862+Sens!$J$7863</f>
        <v>299.316513378366</v>
      </c>
      <c r="K7864" s="38" t="n">
        <f aca="false">Sens!$K$7861+Sens!$K$7862+Sens!$K$7863</f>
        <v>251.057145512292</v>
      </c>
      <c r="L7864" s="38" t="n">
        <f aca="false">Sens!$L$7861+Sens!$L$7862+Sens!$L$7863</f>
        <v>234.696330860396</v>
      </c>
      <c r="M7864" s="38" t="n">
        <f aca="false">Sens!$M$7861+Sens!$M$7862+Sens!$M$7863</f>
        <v>242.291696043352</v>
      </c>
    </row>
    <row r="7865" customFormat="false" ht="17.15" hidden="false" customHeight="false" outlineLevel="0" collapsed="false">
      <c r="A7865" s="5" t="s">
        <v>570</v>
      </c>
      <c r="B7865" s="0" t="s">
        <v>86</v>
      </c>
      <c r="C7865" s="38" t="n">
        <f aca="false">Q!$D$50</f>
        <v>2.043</v>
      </c>
      <c r="D7865" s="38" t="n">
        <f aca="false">Q!$E$50</f>
        <v>1.557</v>
      </c>
      <c r="E7865" s="38" t="n">
        <f aca="false">lease_pr/2</f>
        <v>0.8</v>
      </c>
      <c r="F7865" s="38" t="n">
        <f aca="false">lease_pr/2</f>
        <v>0.8</v>
      </c>
      <c r="G7865" s="38" t="n">
        <f aca="false">Sens!$E$7865+Sens!$F$7865</f>
        <v>1.6</v>
      </c>
      <c r="H7865" s="38" t="n">
        <f aca="false">lease_pr</f>
        <v>1.6</v>
      </c>
      <c r="I7865" s="38" t="n">
        <f aca="false">lease_pr</f>
        <v>1.6</v>
      </c>
      <c r="J7865" s="38" t="n">
        <f aca="false">lease_pr</f>
        <v>1.6</v>
      </c>
      <c r="K7865" s="38" t="n">
        <f aca="false">lease_pr</f>
        <v>1.6</v>
      </c>
      <c r="L7865" s="38" t="n">
        <f aca="false">lease_pr</f>
        <v>1.6</v>
      </c>
      <c r="M7865" s="38" t="n">
        <f aca="false">lease_pr</f>
        <v>1.6</v>
      </c>
      <c r="P7865" s="8" t="s">
        <v>803</v>
      </c>
    </row>
    <row r="7866" customFormat="false" ht="15" hidden="false" customHeight="false" outlineLevel="0" collapsed="false">
      <c r="A7866" s="47" t="s">
        <v>804</v>
      </c>
      <c r="B7866" s="14" t="s">
        <v>86</v>
      </c>
      <c r="C7866" s="48" t="n">
        <f aca="false">Sens!$C$7860-Sens!$C$7864-Sens!$C$7865</f>
        <v>36.176</v>
      </c>
      <c r="D7866" s="48" t="n">
        <f aca="false">Sens!$D$7860-Sens!$D$7864-Sens!$D$7865</f>
        <v>9.63700000000002</v>
      </c>
      <c r="E7866" s="48" t="n">
        <f aca="false">Sens!$E$7860-Sens!$E$7864-Sens!$E$7865</f>
        <v>-25.691</v>
      </c>
      <c r="F7866" s="48" t="n">
        <f aca="false">Sens!$F$7860-Sens!$F$7864-Sens!$F$7865</f>
        <v>-33.2271793268317</v>
      </c>
      <c r="G7866" s="48" t="n">
        <f aca="false">Sens!$G$7860-Sens!$G$7864-Sens!$G$7865</f>
        <v>-58.9181793268317</v>
      </c>
      <c r="H7866" s="48" t="n">
        <f aca="false">Sens!$H$7860-Sens!$H$7864-Sens!$H$7865</f>
        <v>-54.3561238424036</v>
      </c>
      <c r="I7866" s="48" t="n">
        <f aca="false">Sens!$I$7860-Sens!$I$7864-Sens!$I$7865</f>
        <v>-15.0303903946055</v>
      </c>
      <c r="J7866" s="48" t="n">
        <f aca="false">Sens!$J$7860-Sens!$J$7864-Sens!$J$7865</f>
        <v>25.3313456523922</v>
      </c>
      <c r="K7866" s="48" t="n">
        <f aca="false">Sens!$K$7860-Sens!$K$7864-Sens!$K$7865</f>
        <v>121.980646783072</v>
      </c>
      <c r="L7866" s="48" t="n">
        <f aca="false">Sens!$L$7860-Sens!$L$7864-Sens!$L$7865</f>
        <v>180.80865103054</v>
      </c>
      <c r="M7866" s="48" t="n">
        <f aca="false">Sens!$M$7860-Sens!$M$7864-Sens!$M$7865</f>
        <v>209.819407541041</v>
      </c>
      <c r="N7866" s="14"/>
      <c r="O7866" s="14"/>
    </row>
    <row r="7867" customFormat="false" ht="17.15" hidden="false" customHeight="false" outlineLevel="0" collapsed="false">
      <c r="A7867" s="5" t="s">
        <v>805</v>
      </c>
      <c r="B7867" s="0" t="s">
        <v>86</v>
      </c>
      <c r="C7867" s="38" t="n">
        <f aca="false">dps*Sens!$C$7846</f>
        <v>0</v>
      </c>
      <c r="D7867" s="38" t="n">
        <f aca="false">dps*Sens!$D$7846</f>
        <v>0</v>
      </c>
      <c r="E7867" s="38" t="n">
        <f aca="false">dps*Sens!$E$7846</f>
        <v>0</v>
      </c>
      <c r="F7867" s="38" t="n">
        <f aca="false">0</f>
        <v>0</v>
      </c>
      <c r="G7867" s="38" t="n">
        <f aca="false">dps*Sens!$G$7846</f>
        <v>0</v>
      </c>
      <c r="H7867" s="38" t="n">
        <f aca="false">dps*Sens!$H$7846</f>
        <v>0</v>
      </c>
      <c r="I7867" s="38" t="n">
        <f aca="false">dps*Sens!$I$7846</f>
        <v>0</v>
      </c>
      <c r="J7867" s="38" t="n">
        <f aca="false">dps*Sens!$J$7846</f>
        <v>0</v>
      </c>
      <c r="K7867" s="38" t="n">
        <f aca="false">dps*Sens!$K$7846</f>
        <v>0</v>
      </c>
      <c r="L7867" s="38" t="n">
        <f aca="false">dps*Sens!$L$7846</f>
        <v>0</v>
      </c>
      <c r="M7867" s="38" t="n">
        <f aca="false">dps*Sens!$M$7846</f>
        <v>0</v>
      </c>
      <c r="P7867" s="8" t="s">
        <v>806</v>
      </c>
    </row>
    <row r="7868" customFormat="false" ht="17.15" hidden="false" customHeight="false" outlineLevel="0" collapsed="false">
      <c r="A7868" s="5" t="s">
        <v>807</v>
      </c>
      <c r="B7868" s="0" t="s">
        <v>86</v>
      </c>
      <c r="C7868" s="38" t="n">
        <f aca="false">0</f>
        <v>0</v>
      </c>
      <c r="D7868" s="38" t="n">
        <f aca="false">0</f>
        <v>0</v>
      </c>
      <c r="E7868" s="38" t="n">
        <f aca="false">0</f>
        <v>0</v>
      </c>
      <c r="F7868" s="38" t="n">
        <f aca="false">0</f>
        <v>0</v>
      </c>
      <c r="G7868" s="38" t="n">
        <f aca="false">0</f>
        <v>0</v>
      </c>
      <c r="H7868" s="38" t="n">
        <f aca="false">0</f>
        <v>0</v>
      </c>
      <c r="I7868" s="38" t="n">
        <f aca="false">0</f>
        <v>0</v>
      </c>
      <c r="J7868" s="38" t="n">
        <f aca="false">0</f>
        <v>0</v>
      </c>
      <c r="K7868" s="38" t="n">
        <f aca="false">0</f>
        <v>0</v>
      </c>
      <c r="L7868" s="38" t="n">
        <f aca="false">0</f>
        <v>0</v>
      </c>
      <c r="M7868" s="38" t="n">
        <f aca="false">0</f>
        <v>0</v>
      </c>
      <c r="P7868" s="8" t="s">
        <v>808</v>
      </c>
    </row>
    <row r="7869" customFormat="false" ht="15" hidden="false" customHeight="false" outlineLevel="0" collapsed="false">
      <c r="A7869" s="3" t="s">
        <v>809</v>
      </c>
      <c r="B7869" s="8" t="s">
        <v>86</v>
      </c>
      <c r="C7869" s="38" t="n">
        <f aca="false">Sens!$C$7866-Sens!$C$7867</f>
        <v>36.176</v>
      </c>
      <c r="D7869" s="38" t="n">
        <f aca="false">Sens!$D$7866-Sens!$D$7867</f>
        <v>9.63700000000002</v>
      </c>
      <c r="E7869" s="38" t="n">
        <f aca="false">Sens!$E$7866-Sens!$E$7867</f>
        <v>-25.691</v>
      </c>
      <c r="F7869" s="38" t="n">
        <f aca="false">Sens!$F$7866-Sens!$F$7867</f>
        <v>-33.2271793268317</v>
      </c>
      <c r="G7869" s="38" t="n">
        <f aca="false">Sens!$G$7866-Sens!$G$7867</f>
        <v>-58.9181793268317</v>
      </c>
      <c r="H7869" s="38" t="n">
        <f aca="false">Sens!$H$7866-Sens!$H$7867</f>
        <v>-54.3561238424036</v>
      </c>
      <c r="I7869" s="38" t="n">
        <f aca="false">Sens!$I$7866-Sens!$I$7867</f>
        <v>-15.0303903946055</v>
      </c>
      <c r="J7869" s="38" t="n">
        <f aca="false">Sens!$J$7866-Sens!$J$7867</f>
        <v>25.3313456523922</v>
      </c>
      <c r="K7869" s="38" t="n">
        <f aca="false">Sens!$K$7866-Sens!$K$7867</f>
        <v>121.980646783072</v>
      </c>
      <c r="L7869" s="38" t="n">
        <f aca="false">Sens!$L$7866-Sens!$L$7867</f>
        <v>180.80865103054</v>
      </c>
      <c r="M7869" s="38" t="n">
        <f aca="false">Sens!$M$7866-Sens!$M$7867</f>
        <v>209.819407541041</v>
      </c>
    </row>
    <row r="7870" customFormat="false" ht="17.15" hidden="false" customHeight="false" outlineLevel="0" collapsed="false">
      <c r="A7870" s="5" t="s">
        <v>810</v>
      </c>
      <c r="B7870" s="0" t="s">
        <v>86</v>
      </c>
      <c r="E7870" s="38" t="n">
        <f aca="false">Q!$P$53</f>
        <v>39.767</v>
      </c>
      <c r="F7870" s="38" t="n">
        <f aca="false">inv_2h26</f>
        <v>21.3</v>
      </c>
      <c r="G7870" s="38" t="n">
        <f aca="false">Sens!$E$7870+Sens!$F$7870</f>
        <v>61.067</v>
      </c>
      <c r="H7870" s="39" t="n">
        <v>0</v>
      </c>
      <c r="I7870" s="39" t="n">
        <v>0</v>
      </c>
      <c r="J7870" s="39" t="n">
        <v>0</v>
      </c>
      <c r="K7870" s="39" t="n">
        <v>0</v>
      </c>
      <c r="L7870" s="39" t="n">
        <v>0</v>
      </c>
      <c r="M7870" s="39" t="n">
        <v>0</v>
      </c>
    </row>
    <row r="7871" customFormat="false" ht="17.15" hidden="false" customHeight="false" outlineLevel="0" collapsed="false">
      <c r="A7871" s="5" t="s">
        <v>811</v>
      </c>
      <c r="B7871" s="0" t="s">
        <v>86</v>
      </c>
      <c r="F7871" s="38" t="n">
        <f aca="false">iss_2h26</f>
        <v>29.249999</v>
      </c>
      <c r="G7871" s="38" t="n">
        <f aca="false">Sens!$F$7871</f>
        <v>29.249999</v>
      </c>
      <c r="H7871" s="39" t="n">
        <v>0</v>
      </c>
      <c r="I7871" s="39" t="n">
        <v>0</v>
      </c>
      <c r="J7871" s="39" t="n">
        <v>0</v>
      </c>
      <c r="K7871" s="39" t="n">
        <v>0</v>
      </c>
      <c r="L7871" s="39" t="n">
        <v>0</v>
      </c>
      <c r="M7871" s="39" t="n">
        <v>0</v>
      </c>
    </row>
    <row r="7872" customFormat="false" ht="17.15" hidden="false" customHeight="false" outlineLevel="0" collapsed="false">
      <c r="A7872" s="5" t="s">
        <v>812</v>
      </c>
      <c r="B7872" s="0" t="s">
        <v>86</v>
      </c>
      <c r="F7872" s="38" t="n">
        <f aca="false">cash_q2</f>
        <v>122.988</v>
      </c>
      <c r="G7872" s="38" t="n">
        <f aca="false">cash_q2</f>
        <v>122.988</v>
      </c>
      <c r="H7872" s="38" t="n">
        <f aca="false">Sens!$G$7875</f>
        <v>97.7108196731683</v>
      </c>
      <c r="I7872" s="38" t="n">
        <f aca="false">Sens!$H$7875</f>
        <v>50</v>
      </c>
      <c r="J7872" s="38" t="n">
        <f aca="false">Sens!$I$7875</f>
        <v>50</v>
      </c>
      <c r="K7872" s="38" t="n">
        <f aca="false">Sens!$J$7875</f>
        <v>75.3313456523922</v>
      </c>
      <c r="L7872" s="38" t="n">
        <f aca="false">Sens!$K$7875</f>
        <v>197.311992435464</v>
      </c>
      <c r="M7872" s="38" t="n">
        <f aca="false">Sens!$L$7875</f>
        <v>378.120643466004</v>
      </c>
    </row>
    <row r="7873" customFormat="false" ht="15" hidden="false" customHeight="false" outlineLevel="0" collapsed="false">
      <c r="A7873" s="5" t="s">
        <v>813</v>
      </c>
      <c r="B7873" s="0" t="s">
        <v>86</v>
      </c>
      <c r="F7873" s="38" t="n">
        <f aca="false">Sens!$F$7872+Sens!$F$7869-Sens!$F$7868-Sens!$F$7870+Sens!$F$7871</f>
        <v>97.7108196731683</v>
      </c>
      <c r="H7873" s="38" t="n">
        <f aca="false">Sens!$H$7872+Sens!$H$7869-Sens!$H$7868-Sens!$H$7870+Sens!$H$7871</f>
        <v>43.3546958307647</v>
      </c>
      <c r="I7873" s="38" t="n">
        <f aca="false">Sens!$I$7872+Sens!$I$7869-Sens!$I$7868-Sens!$I$7870+Sens!$I$7871</f>
        <v>34.9696096053945</v>
      </c>
      <c r="J7873" s="38" t="n">
        <f aca="false">Sens!$J$7872+Sens!$J$7869-Sens!$J$7868-Sens!$J$7870+Sens!$J$7871</f>
        <v>75.3313456523922</v>
      </c>
      <c r="K7873" s="38" t="n">
        <f aca="false">Sens!$K$7872+Sens!$K$7869-Sens!$K$7868-Sens!$K$7870+Sens!$K$7871</f>
        <v>197.311992435464</v>
      </c>
      <c r="L7873" s="38" t="n">
        <f aca="false">Sens!$L$7872+Sens!$L$7869-Sens!$L$7868-Sens!$L$7870+Sens!$L$7871</f>
        <v>378.120643466004</v>
      </c>
      <c r="M7873" s="38" t="n">
        <f aca="false">Sens!$M$7872+Sens!$M$7869-Sens!$M$7868-Sens!$M$7870+Sens!$M$7871</f>
        <v>587.940051007045</v>
      </c>
    </row>
    <row r="7874" customFormat="false" ht="17.15" hidden="false" customHeight="false" outlineLevel="0" collapsed="false">
      <c r="A7874" s="5" t="s">
        <v>814</v>
      </c>
      <c r="B7874" s="0" t="s">
        <v>86</v>
      </c>
      <c r="F7874" s="38" t="n">
        <f aca="false">MAX(0,min_cash-Sens!$F$7873)</f>
        <v>0</v>
      </c>
      <c r="G7874" s="38" t="n">
        <f aca="false">Sens!$F$7874</f>
        <v>0</v>
      </c>
      <c r="H7874" s="38" t="n">
        <f aca="false">MAX(0,min_cash-Sens!$H$7873)</f>
        <v>6.64530416923528</v>
      </c>
      <c r="I7874" s="38" t="n">
        <f aca="false">MAX(0,min_cash-Sens!$I$7873)</f>
        <v>15.0303903946055</v>
      </c>
      <c r="J7874" s="38" t="n">
        <f aca="false">MAX(0,min_cash-Sens!$J$7873)</f>
        <v>0</v>
      </c>
      <c r="K7874" s="38" t="n">
        <f aca="false">MAX(0,min_cash-Sens!$K$7873)</f>
        <v>0</v>
      </c>
      <c r="L7874" s="38" t="n">
        <f aca="false">MAX(0,min_cash-Sens!$L$7873)</f>
        <v>0</v>
      </c>
      <c r="M7874" s="38" t="n">
        <f aca="false">MAX(0,min_cash-Sens!$M$7873)</f>
        <v>0</v>
      </c>
      <c r="P7874" s="5" t="s">
        <v>815</v>
      </c>
    </row>
    <row r="7875" customFormat="false" ht="15" hidden="false" customHeight="false" outlineLevel="0" collapsed="false">
      <c r="A7875" s="5" t="s">
        <v>816</v>
      </c>
      <c r="B7875" s="0" t="s">
        <v>86</v>
      </c>
      <c r="D7875" s="38" t="n">
        <f aca="false">Q!$E$61</f>
        <v>123.029</v>
      </c>
      <c r="E7875" s="38" t="n">
        <f aca="false">Q!$M$61</f>
        <v>122.988</v>
      </c>
      <c r="F7875" s="38" t="n">
        <f aca="false">Sens!$F$7873+Sens!$F$7874</f>
        <v>97.7108196731683</v>
      </c>
      <c r="G7875" s="38" t="n">
        <f aca="false">Sens!$F$7875</f>
        <v>97.7108196731683</v>
      </c>
      <c r="H7875" s="38" t="n">
        <f aca="false">Sens!$H$7873+Sens!$H$7874</f>
        <v>50</v>
      </c>
      <c r="I7875" s="38" t="n">
        <f aca="false">Sens!$I$7873+Sens!$I$7874</f>
        <v>50</v>
      </c>
      <c r="J7875" s="38" t="n">
        <f aca="false">Sens!$J$7873+Sens!$J$7874</f>
        <v>75.3313456523922</v>
      </c>
      <c r="K7875" s="38" t="n">
        <f aca="false">Sens!$K$7873+Sens!$K$7874</f>
        <v>197.311992435464</v>
      </c>
      <c r="L7875" s="38" t="n">
        <f aca="false">Sens!$L$7873+Sens!$L$7874</f>
        <v>378.120643466004</v>
      </c>
      <c r="M7875" s="38" t="n">
        <f aca="false">Sens!$M$7873+Sens!$M$7874</f>
        <v>587.940051007045</v>
      </c>
    </row>
    <row r="7876" customFormat="false" ht="15" hidden="false" customHeight="false" outlineLevel="0" collapsed="false">
      <c r="A7876" s="5" t="s">
        <v>817</v>
      </c>
      <c r="B7876" s="0" t="s">
        <v>86</v>
      </c>
      <c r="D7876" s="38" t="n">
        <f aca="false">Q!$E$62</f>
        <v>68.836</v>
      </c>
      <c r="E7876" s="38" t="n">
        <f aca="false">Q!$M$62</f>
        <v>132.995</v>
      </c>
      <c r="F7876" s="38" t="n">
        <f aca="false">debt_q2+Sens!$F$7871+Sens!$F$7874</f>
        <v>162.244999</v>
      </c>
      <c r="G7876" s="38" t="n">
        <f aca="false">Sens!$F$7876</f>
        <v>162.244999</v>
      </c>
      <c r="H7876" s="38" t="n">
        <f aca="false">Sens!$G$7876+Sens!$H$7874</f>
        <v>168.890303169235</v>
      </c>
      <c r="I7876" s="38" t="n">
        <f aca="false">Sens!$H$7876+Sens!$I$7874</f>
        <v>183.920693563841</v>
      </c>
      <c r="J7876" s="38" t="n">
        <f aca="false">Sens!$I$7876+Sens!$J$7874</f>
        <v>183.920693563841</v>
      </c>
      <c r="K7876" s="38" t="n">
        <f aca="false">Sens!$J$7876+Sens!$K$7874</f>
        <v>183.920693563841</v>
      </c>
      <c r="L7876" s="38" t="n">
        <f aca="false">Sens!$K$7876+Sens!$L$7874</f>
        <v>183.920693563841</v>
      </c>
      <c r="M7876" s="38" t="n">
        <f aca="false">Sens!$L$7876+Sens!$M$7874</f>
        <v>183.920693563841</v>
      </c>
    </row>
    <row r="7877" customFormat="false" ht="15" hidden="false" customHeight="false" outlineLevel="0" collapsed="false">
      <c r="A7877" s="5" t="s">
        <v>818</v>
      </c>
      <c r="B7877" s="0" t="s">
        <v>86</v>
      </c>
      <c r="D7877" s="38" t="n">
        <f aca="false">Sens!$D$7876-Sens!$D$7875</f>
        <v>-54.193</v>
      </c>
      <c r="E7877" s="38" t="n">
        <f aca="false">Sens!$E$7876-Sens!$E$7875</f>
        <v>10.007</v>
      </c>
      <c r="F7877" s="38" t="n">
        <f aca="false">Sens!$F$7876-Sens!$F$7875</f>
        <v>64.5341793268317</v>
      </c>
      <c r="G7877" s="38" t="n">
        <f aca="false">Sens!$G$7876-Sens!$G$7875</f>
        <v>64.5341793268317</v>
      </c>
      <c r="H7877" s="38" t="n">
        <f aca="false">Sens!$H$7876-Sens!$H$7875</f>
        <v>118.890303169235</v>
      </c>
      <c r="I7877" s="38" t="n">
        <f aca="false">Sens!$I$7876-Sens!$I$7875</f>
        <v>133.920693563841</v>
      </c>
      <c r="J7877" s="38" t="n">
        <f aca="false">Sens!$J$7876-Sens!$J$7875</f>
        <v>108.589347911449</v>
      </c>
      <c r="K7877" s="38" t="n">
        <f aca="false">Sens!$K$7876-Sens!$K$7875</f>
        <v>-13.3912988716235</v>
      </c>
      <c r="L7877" s="38" t="n">
        <f aca="false">Sens!$L$7876-Sens!$L$7875</f>
        <v>-194.199949902163</v>
      </c>
      <c r="M7877" s="38" t="n">
        <f aca="false">Sens!$M$7876-Sens!$M$7875</f>
        <v>-404.019357443204</v>
      </c>
    </row>
    <row r="7878" customFormat="false" ht="17.15" hidden="false" customHeight="false" outlineLevel="0" collapsed="false">
      <c r="A7878" s="5" t="s">
        <v>819</v>
      </c>
      <c r="B7878" s="0" t="s">
        <v>86</v>
      </c>
      <c r="F7878" s="38" t="n">
        <f aca="false">debt_q2*kd_book*0.5+iss_2h26*kd_new*iss_t</f>
        <v>3.24888962733561</v>
      </c>
      <c r="H7878" s="38" t="n">
        <f aca="false">debt_q2*kd_book+(Sens!$G$7876-debt_q2)*kd_new</f>
        <v>7.42354172302123</v>
      </c>
      <c r="I7878" s="38" t="n">
        <f aca="false">debt_q2*kd_book+(Sens!$H$7876-debt_q2)*kd_new</f>
        <v>7.84418947693382</v>
      </c>
      <c r="J7878" s="38" t="n">
        <f aca="false">debt_q2*kd_book+(Sens!$I$7876-debt_q2)*kd_new</f>
        <v>8.79561318891235</v>
      </c>
      <c r="K7878" s="38" t="n">
        <f aca="false">debt_q2*kd_book+(Sens!$J$7876-debt_q2)*kd_new</f>
        <v>8.79561318891235</v>
      </c>
      <c r="L7878" s="38" t="n">
        <f aca="false">debt_q2*kd_book+(Sens!$K$7876-debt_q2)*kd_new</f>
        <v>8.79561318891235</v>
      </c>
      <c r="M7878" s="38" t="n">
        <f aca="false">debt_q2*kd_book+(Sens!$L$7876-debt_q2)*kd_new</f>
        <v>8.79561318891235</v>
      </c>
    </row>
    <row r="7879" customFormat="false" ht="17.15" hidden="false" customHeight="false" outlineLevel="0" collapsed="false">
      <c r="A7879" s="5" t="s">
        <v>820</v>
      </c>
      <c r="B7879" s="0" t="s">
        <v>86</v>
      </c>
      <c r="F7879" s="38" t="n">
        <f aca="false">cash_q2*y_cash*0.5</f>
        <v>2.59</v>
      </c>
      <c r="H7879" s="38" t="n">
        <f aca="false">Sens!$G$7875*y_cash</f>
        <v>4.1153774832261</v>
      </c>
      <c r="I7879" s="38" t="n">
        <f aca="false">Sens!$H$7875*y_cash</f>
        <v>2.10589651022864</v>
      </c>
      <c r="J7879" s="38" t="n">
        <f aca="false">Sens!$I$7875*y_cash</f>
        <v>2.10589651022864</v>
      </c>
      <c r="K7879" s="38" t="n">
        <f aca="false">Sens!$J$7875*y_cash</f>
        <v>3.172800358404</v>
      </c>
      <c r="L7879" s="38" t="n">
        <f aca="false">Sens!$K$7875*y_cash</f>
        <v>8.31037272592208</v>
      </c>
      <c r="M7879" s="38" t="n">
        <f aca="false">Sens!$L$7875*y_cash</f>
        <v>15.9256588704093</v>
      </c>
    </row>
    <row r="7880" customFormat="false" ht="17.15" hidden="false" customHeight="false" outlineLevel="0" collapsed="false">
      <c r="A7880" s="47" t="s">
        <v>821</v>
      </c>
      <c r="B7880" s="14" t="s">
        <v>86</v>
      </c>
      <c r="C7880" s="14"/>
      <c r="D7880" s="14"/>
      <c r="E7880" s="14"/>
      <c r="F7880" s="14"/>
      <c r="G7880" s="48" t="n">
        <f aca="false">SUM(Sens!$G$7869:$K$7869)</f>
        <v>19.0072988716234</v>
      </c>
      <c r="H7880" s="14"/>
      <c r="I7880" s="14"/>
      <c r="J7880" s="14"/>
      <c r="K7880" s="14"/>
      <c r="L7880" s="14"/>
      <c r="M7880" s="14"/>
      <c r="N7880" s="14"/>
      <c r="O7880" s="14"/>
    </row>
    <row r="7881" customFormat="false" ht="17.15" hidden="false" customHeight="false" outlineLevel="0" collapsed="false">
      <c r="A7881" s="0" t="s">
        <v>787</v>
      </c>
      <c r="B7881" s="0" t="s">
        <v>86</v>
      </c>
      <c r="G7881" s="38" t="n">
        <f aca="false">SUM(Sens!$G$7874:$K$7874)</f>
        <v>21.6756945638408</v>
      </c>
    </row>
    <row r="7882" customFormat="false" ht="17.15" hidden="false" customHeight="false" outlineLevel="0" collapsed="false">
      <c r="A7882" s="24" t="s">
        <v>824</v>
      </c>
      <c r="B7882" s="25" t="s">
        <v>86</v>
      </c>
      <c r="C7882" s="25"/>
      <c r="D7882" s="25"/>
      <c r="E7882" s="25"/>
      <c r="F7882" s="25"/>
      <c r="G7882" s="41" t="n">
        <f aca="false">Sens!$G$7880-(Sens!$G$7869+Sens!$H$7869+Sens!$I$7869+Sens!$J$7869+Sens!$K$7869)</f>
        <v>0</v>
      </c>
      <c r="H7882" s="25"/>
      <c r="I7882" s="25"/>
      <c r="J7882" s="25"/>
      <c r="K7882" s="25"/>
      <c r="L7882" s="25"/>
      <c r="M7882" s="25"/>
      <c r="N7882" s="25"/>
      <c r="O7882" s="25"/>
    </row>
    <row r="7885" customFormat="false" ht="19.4" hidden="false" customHeight="false" outlineLevel="0" collapsed="false">
      <c r="A7885" s="31" t="s">
        <v>1311</v>
      </c>
    </row>
    <row r="7886" customFormat="false" ht="17.15" hidden="false" customHeight="false" outlineLevel="0" collapsed="false">
      <c r="A7886" s="6" t="s">
        <v>16</v>
      </c>
      <c r="B7886" s="6" t="s">
        <v>17</v>
      </c>
      <c r="C7886" s="20" t="s">
        <v>504</v>
      </c>
      <c r="D7886" s="20" t="s">
        <v>505</v>
      </c>
      <c r="E7886" s="20" t="s">
        <v>587</v>
      </c>
      <c r="F7886" s="20" t="s">
        <v>588</v>
      </c>
      <c r="G7886" s="20" t="s">
        <v>589</v>
      </c>
      <c r="H7886" s="20" t="s">
        <v>590</v>
      </c>
      <c r="I7886" s="20" t="s">
        <v>591</v>
      </c>
      <c r="J7886" s="20" t="s">
        <v>592</v>
      </c>
      <c r="K7886" s="20" t="s">
        <v>593</v>
      </c>
      <c r="L7886" s="20" t="s">
        <v>594</v>
      </c>
      <c r="M7886" s="20" t="s">
        <v>595</v>
      </c>
      <c r="N7886" s="20" t="s">
        <v>596</v>
      </c>
      <c r="O7886" s="20" t="s">
        <v>597</v>
      </c>
      <c r="P7886" s="6" t="s">
        <v>23</v>
      </c>
      <c r="R7886" s="20" t="n">
        <v>2023</v>
      </c>
      <c r="S7886" s="20" t="n">
        <v>2024</v>
      </c>
      <c r="T7886" s="20" t="n">
        <v>2025</v>
      </c>
      <c r="U7886" s="20" t="n">
        <v>2026</v>
      </c>
      <c r="V7886" s="20" t="n">
        <v>2027</v>
      </c>
      <c r="W7886" s="20" t="n">
        <v>2028</v>
      </c>
      <c r="X7886" s="20" t="n">
        <v>2029</v>
      </c>
      <c r="Y7886" s="20" t="n">
        <v>2030</v>
      </c>
      <c r="Z7886" s="20" t="n">
        <v>2031</v>
      </c>
      <c r="AA7886" s="20" t="n">
        <v>2032</v>
      </c>
    </row>
    <row r="7887" customFormat="false" ht="17.15" hidden="false" customHeight="false" outlineLevel="0" collapsed="false">
      <c r="A7887" s="1" t="s">
        <v>926</v>
      </c>
    </row>
    <row r="7888" customFormat="false" ht="17.15" hidden="false" customHeight="false" outlineLevel="0" collapsed="false">
      <c r="A7888" s="0" t="s">
        <v>927</v>
      </c>
      <c r="B7888" s="0" t="s">
        <v>86</v>
      </c>
      <c r="H7888" s="38" t="n">
        <f aca="false">Sens!$H$7822*(1-tax)</f>
        <v>119.56497355468</v>
      </c>
      <c r="I7888" s="38" t="n">
        <f aca="false">Sens!$I$7822*(1-tax)</f>
        <v>141.256941944278</v>
      </c>
      <c r="J7888" s="38" t="n">
        <f aca="false">Sens!$J$7822*(1-tax)</f>
        <v>165.207646486437</v>
      </c>
      <c r="K7888" s="38" t="n">
        <f aca="false">Sens!$K$7822*(1-tax)</f>
        <v>182.2563867591</v>
      </c>
      <c r="L7888" s="38" t="n">
        <f aca="false">Sens!$L$7822*(1-tax)</f>
        <v>196.136023003742</v>
      </c>
      <c r="M7888" s="38" t="n">
        <f aca="false">Sens!$M$7822*(1-tax)</f>
        <v>208.266936154417</v>
      </c>
    </row>
    <row r="7889" customFormat="false" ht="15" hidden="false" customHeight="false" outlineLevel="0" collapsed="false">
      <c r="A7889" s="5" t="s">
        <v>928</v>
      </c>
      <c r="B7889" s="0" t="s">
        <v>86</v>
      </c>
      <c r="H7889" s="38" t="n">
        <f aca="false">Sens!$H$7833</f>
        <v>81.5618233196153</v>
      </c>
      <c r="I7889" s="38" t="n">
        <f aca="false">Sens!$I$7833</f>
        <v>118.756208740204</v>
      </c>
      <c r="J7889" s="38" t="n">
        <f aca="false">Sens!$J$7833</f>
        <v>152.469489406791</v>
      </c>
      <c r="K7889" s="38" t="n">
        <f aca="false">Sens!$K$7833</f>
        <v>186.391502623819</v>
      </c>
      <c r="L7889" s="38" t="n">
        <f aca="false">Sens!$L$7833</f>
        <v>211.926422215482</v>
      </c>
      <c r="M7889" s="38" t="n">
        <f aca="false">Sens!$M$7833</f>
        <v>229.012482097906</v>
      </c>
    </row>
    <row r="7890" customFormat="false" ht="15" hidden="false" customHeight="false" outlineLevel="0" collapsed="false">
      <c r="A7890" s="5" t="s">
        <v>929</v>
      </c>
      <c r="B7890" s="0" t="s">
        <v>86</v>
      </c>
      <c r="H7890" s="38" t="n">
        <f aca="false">Sens!$H$7864</f>
        <v>273.372679834898</v>
      </c>
      <c r="I7890" s="38" t="n">
        <f aca="false">Sens!$I$7864</f>
        <v>286.981812228425</v>
      </c>
      <c r="J7890" s="38" t="n">
        <f aca="false">Sens!$J$7864</f>
        <v>299.316513378366</v>
      </c>
      <c r="K7890" s="38" t="n">
        <f aca="false">Sens!$K$7864</f>
        <v>251.057145512292</v>
      </c>
      <c r="L7890" s="38" t="n">
        <f aca="false">Sens!$L$7864</f>
        <v>234.696330860396</v>
      </c>
      <c r="M7890" s="38" t="n">
        <f aca="false">Sens!$M$7864</f>
        <v>242.291696043352</v>
      </c>
    </row>
    <row r="7891" customFormat="false" ht="15" hidden="false" customHeight="false" outlineLevel="0" collapsed="false">
      <c r="A7891" s="5" t="s">
        <v>930</v>
      </c>
      <c r="B7891" s="0" t="s">
        <v>86</v>
      </c>
      <c r="H7891" s="38" t="n">
        <f aca="false">Sens!$H$7865</f>
        <v>1.6</v>
      </c>
      <c r="I7891" s="38" t="n">
        <f aca="false">Sens!$I$7865</f>
        <v>1.6</v>
      </c>
      <c r="J7891" s="38" t="n">
        <f aca="false">Sens!$J$7865</f>
        <v>1.6</v>
      </c>
      <c r="K7891" s="38" t="n">
        <f aca="false">Sens!$K$7865</f>
        <v>1.6</v>
      </c>
      <c r="L7891" s="38" t="n">
        <f aca="false">Sens!$L$7865</f>
        <v>1.6</v>
      </c>
      <c r="M7891" s="38" t="n">
        <f aca="false">Sens!$M$7865</f>
        <v>1.6</v>
      </c>
    </row>
    <row r="7892" customFormat="false" ht="15" hidden="false" customHeight="false" outlineLevel="0" collapsed="false">
      <c r="A7892" s="5" t="s">
        <v>931</v>
      </c>
      <c r="B7892" s="0" t="s">
        <v>86</v>
      </c>
      <c r="H7892" s="38" t="n">
        <f aca="false">Sens!$H$7859</f>
        <v>11.2928295263397</v>
      </c>
      <c r="I7892" s="38" t="n">
        <f aca="false">Sens!$I$7859</f>
        <v>12.8091546115766</v>
      </c>
      <c r="J7892" s="38" t="n">
        <f aca="false">Sens!$J$7859</f>
        <v>14.2605653162668</v>
      </c>
      <c r="K7892" s="38" t="n">
        <f aca="false">Sens!$K$7859</f>
        <v>15.5327622460396</v>
      </c>
      <c r="L7892" s="38" t="n">
        <f aca="false">Sens!$L$7859</f>
        <v>16.720573737517</v>
      </c>
      <c r="M7892" s="38" t="n">
        <f aca="false">Sens!$M$7859</f>
        <v>17.8283127551536</v>
      </c>
    </row>
    <row r="7893" customFormat="false" ht="17.15" hidden="false" customHeight="false" outlineLevel="0" collapsed="false">
      <c r="A7893" s="1" t="s">
        <v>932</v>
      </c>
      <c r="B7893" s="8" t="s">
        <v>86</v>
      </c>
      <c r="H7893" s="38" t="n">
        <f aca="false">Sens!$H$7888+Sens!$H$7889-Sens!$H$7890-Sens!$H$7891+Sens!$H$7892</f>
        <v>-62.5530534342631</v>
      </c>
      <c r="I7893" s="38" t="n">
        <f aca="false">Sens!$I$7888+Sens!$I$7889-Sens!$I$7890-Sens!$I$7891+Sens!$I$7892</f>
        <v>-15.7595069323669</v>
      </c>
      <c r="J7893" s="38" t="n">
        <f aca="false">Sens!$J$7888+Sens!$J$7889-Sens!$J$7890-Sens!$J$7891+Sens!$J$7892</f>
        <v>31.0211878311291</v>
      </c>
      <c r="K7893" s="38" t="n">
        <f aca="false">Sens!$K$7888+Sens!$K$7889-Sens!$K$7890-Sens!$K$7891+Sens!$K$7892</f>
        <v>131.523506116666</v>
      </c>
      <c r="L7893" s="38" t="n">
        <f aca="false">Sens!$L$7888+Sens!$L$7889-Sens!$L$7890-Sens!$L$7891+Sens!$L$7892</f>
        <v>188.486688096346</v>
      </c>
      <c r="M7893" s="38" t="n">
        <f aca="false">Sens!$M$7888+Sens!$M$7889-Sens!$M$7890-Sens!$M$7891+Sens!$M$7892</f>
        <v>211.216034964125</v>
      </c>
    </row>
    <row r="7894" customFormat="false" ht="15" hidden="false" customHeight="false" outlineLevel="0" collapsed="false">
      <c r="A7894" s="5" t="s">
        <v>933</v>
      </c>
      <c r="B7894" s="0" t="s">
        <v>57</v>
      </c>
      <c r="H7894" s="40" t="n">
        <f aca="false">1/(1+wacc)^(2027-2026-0.5)</f>
        <v>0.947751320380232</v>
      </c>
      <c r="I7894" s="40" t="n">
        <f aca="false">1/(1+wacc)^(2028-2026-0.5)</f>
        <v>0.851301099754987</v>
      </c>
      <c r="J7894" s="40" t="n">
        <f aca="false">1/(1+wacc)^(2029-2026-0.5)</f>
        <v>0.764666370660713</v>
      </c>
      <c r="K7894" s="40" t="n">
        <f aca="false">1/(1+wacc)^(2030-2026-0.5)</f>
        <v>0.686848235703811</v>
      </c>
      <c r="L7894" s="40" t="n">
        <f aca="false">1/(1+wacc)^(2031-2026-0.5)</f>
        <v>0.616949452715975</v>
      </c>
      <c r="M7894" s="40" t="n">
        <f aca="false">1/(1+wacc)^(2032-2026-0.5)</f>
        <v>0.554164089562688</v>
      </c>
    </row>
    <row r="7895" customFormat="false" ht="15" hidden="false" customHeight="false" outlineLevel="0" collapsed="false">
      <c r="A7895" s="5" t="s">
        <v>934</v>
      </c>
      <c r="B7895" s="0" t="s">
        <v>86</v>
      </c>
      <c r="H7895" s="38" t="n">
        <f aca="false">Sens!$H$7893*Sens!$H$7894</f>
        <v>-59.2847389861381</v>
      </c>
      <c r="I7895" s="38" t="n">
        <f aca="false">Sens!$I$7893*Sens!$I$7894</f>
        <v>-13.4160855831203</v>
      </c>
      <c r="J7895" s="38" t="n">
        <f aca="false">Sens!$J$7893*Sens!$J$7894</f>
        <v>23.7208591124138</v>
      </c>
      <c r="K7895" s="38" t="n">
        <f aca="false">Sens!$K$7893*Sens!$K$7894</f>
        <v>90.3366881298116</v>
      </c>
      <c r="L7895" s="38" t="n">
        <f aca="false">Sens!$L$7893*Sens!$L$7894</f>
        <v>116.286759065287</v>
      </c>
      <c r="M7895" s="38" t="n">
        <f aca="false">Sens!$M$7893*Sens!$M$7894</f>
        <v>117.048341716935</v>
      </c>
    </row>
    <row r="7896" customFormat="false" ht="15" hidden="false" customHeight="false" outlineLevel="0" collapsed="false">
      <c r="A7896" s="5" t="s">
        <v>935</v>
      </c>
      <c r="B7896" s="0" t="s">
        <v>86</v>
      </c>
      <c r="C7896" s="38" t="n">
        <f aca="false">SUM(Sens!$H$7895:$M$7895)</f>
        <v>274.691823455189</v>
      </c>
    </row>
    <row r="7897" customFormat="false" ht="17.15" hidden="false" customHeight="false" outlineLevel="0" collapsed="false">
      <c r="A7897" s="5" t="s">
        <v>936</v>
      </c>
      <c r="B7897" s="0" t="s">
        <v>86</v>
      </c>
      <c r="C7897" s="38" t="n">
        <f aca="false">Sens!$M$7888*(1+tg)*(1-tg/ronic)/(wacc-tg)</f>
        <v>1893.37885139876</v>
      </c>
    </row>
    <row r="7898" customFormat="false" ht="15" hidden="false" customHeight="false" outlineLevel="0" collapsed="false">
      <c r="A7898" s="5" t="s">
        <v>937</v>
      </c>
      <c r="B7898" s="0" t="s">
        <v>86</v>
      </c>
      <c r="C7898" s="38" t="n">
        <f aca="false">Sens!$C$7897/(1+wacc)^6</f>
        <v>994.421028636041</v>
      </c>
    </row>
    <row r="7899" customFormat="false" ht="17.15" hidden="false" customHeight="false" outlineLevel="0" collapsed="false">
      <c r="A7899" s="5" t="s">
        <v>938</v>
      </c>
      <c r="B7899" s="0" t="s">
        <v>86</v>
      </c>
      <c r="C7899" s="38" t="n">
        <f aca="false">Sens!$C$7896+Sens!$C$7898</f>
        <v>1269.11285209123</v>
      </c>
    </row>
    <row r="7900" customFormat="false" ht="17.15" hidden="false" customHeight="false" outlineLevel="0" collapsed="false">
      <c r="A7900" s="5" t="s">
        <v>939</v>
      </c>
      <c r="B7900" s="0" t="s">
        <v>52</v>
      </c>
      <c r="C7900" s="13" t="n">
        <f aca="false">Sens!$C$7898/Sens!$C$7899</f>
        <v>0.783556030495984</v>
      </c>
    </row>
    <row r="7901" customFormat="false" ht="17.15" hidden="false" customHeight="false" outlineLevel="0" collapsed="false">
      <c r="A7901" s="5" t="s">
        <v>940</v>
      </c>
      <c r="B7901" s="0" t="s">
        <v>86</v>
      </c>
      <c r="C7901" s="38" t="n">
        <f aca="false">Sens!$G$7877+fin_debt</f>
        <v>89.0551793268317</v>
      </c>
    </row>
    <row r="7902" customFormat="false" ht="17.15" hidden="false" customHeight="false" outlineLevel="0" collapsed="false">
      <c r="A7902" s="5" t="s">
        <v>941</v>
      </c>
      <c r="B7902" s="0" t="s">
        <v>86</v>
      </c>
      <c r="C7902" s="38" t="n">
        <f aca="false">(ant_val*ant_sh_lo+oai_val*oai_sh)*(1-liq_disc)</f>
        <v>155.784</v>
      </c>
    </row>
    <row r="7903" customFormat="false" ht="15" hidden="false" customHeight="false" outlineLevel="0" collapsed="false">
      <c r="A7903" s="5" t="s">
        <v>942</v>
      </c>
      <c r="B7903" s="0" t="s">
        <v>86</v>
      </c>
      <c r="C7903" s="38" t="n">
        <f aca="false">Sens!$C$7899-Sens!$C$7901+Sens!$C$7902</f>
        <v>1335.8416727644</v>
      </c>
    </row>
    <row r="7904" customFormat="false" ht="17.15" hidden="false" customHeight="false" outlineLevel="0" collapsed="false">
      <c r="A7904" s="5" t="s">
        <v>943</v>
      </c>
      <c r="B7904" s="0" t="s">
        <v>27</v>
      </c>
      <c r="C7904" s="30" t="n">
        <f aca="false">Sens!$C$7903/sh_out</f>
        <v>123.845984157739</v>
      </c>
    </row>
    <row r="7905" customFormat="false" ht="17.15" hidden="false" customHeight="false" outlineLevel="0" collapsed="false">
      <c r="A7905" s="1" t="s">
        <v>944</v>
      </c>
      <c r="B7905" s="8" t="s">
        <v>27</v>
      </c>
      <c r="C7905" s="30" t="n">
        <f aca="false">Sens!$C$7904*(1+ke)^tp_yf-dps*tp_yf</f>
        <v>135.657032807379</v>
      </c>
    </row>
    <row r="7906" customFormat="false" ht="17.15" hidden="false" customHeight="false" outlineLevel="0" collapsed="false">
      <c r="A7906" s="3" t="s">
        <v>945</v>
      </c>
    </row>
    <row r="7907" customFormat="false" ht="17.15" hidden="false" customHeight="false" outlineLevel="0" collapsed="false">
      <c r="A7907" s="5" t="s">
        <v>946</v>
      </c>
      <c r="B7907" s="0" t="s">
        <v>86</v>
      </c>
      <c r="C7907" s="38" t="n">
        <f aca="false">(1-tp_yf)*(Sens!$H$7834+sbc_ab*Sens!$H$7858*Sens!$H$7695/Sens!$H$7775)+tp_yf*(Sens!$I$7834+sbc_ab*Sens!$I$7858*Sens!$I$7695/Sens!$I$7775)</f>
        <v>59.634664536349</v>
      </c>
    </row>
    <row r="7908" customFormat="false" ht="15" hidden="false" customHeight="false" outlineLevel="0" collapsed="false">
      <c r="A7908" s="5" t="s">
        <v>947</v>
      </c>
      <c r="B7908" s="0" t="s">
        <v>57</v>
      </c>
      <c r="C7908" s="30" t="n">
        <f aca="false">m_ads*m_x</f>
        <v>9.11</v>
      </c>
    </row>
    <row r="7909" customFormat="false" ht="17.15" hidden="false" customHeight="false" outlineLevel="0" collapsed="false">
      <c r="A7909" s="5" t="s">
        <v>948</v>
      </c>
      <c r="B7909" s="0" t="s">
        <v>86</v>
      </c>
      <c r="C7909" s="38" t="n">
        <f aca="false">Sens!$C$7907*Sens!$C$7908</f>
        <v>543.271793926139</v>
      </c>
    </row>
    <row r="7910" customFormat="false" ht="17.15" hidden="false" customHeight="false" outlineLevel="0" collapsed="false">
      <c r="A7910" s="5" t="s">
        <v>949</v>
      </c>
      <c r="B7910" s="0" t="s">
        <v>86</v>
      </c>
      <c r="C7910" s="38" t="n">
        <f aca="false">(1-tp_yf)*(Sens!$H$7835+sbc_ab*Sens!$H$7858*(Sens!$H$7702-Sens!$H$7695)/Sens!$H$7775+IF(internal_ai_reading=2,1,0)*(1-ext_sh)*Sens!$H$7732)+tp_yf*(Sens!$I$7835+sbc_ab*Sens!$I$7858*(Sens!$I$7702-Sens!$I$7695)/Sens!$I$7775+IF(internal_ai_reading=2,1,0)*(1-ext_sh)*Sens!$I$7732)</f>
        <v>51.6951811103438</v>
      </c>
    </row>
    <row r="7911" customFormat="false" ht="17.15" hidden="false" customHeight="false" outlineLevel="0" collapsed="false">
      <c r="A7911" s="5" t="s">
        <v>950</v>
      </c>
      <c r="B7911" s="0" t="s">
        <v>57</v>
      </c>
      <c r="C7911" s="30" t="n">
        <f aca="false">m_retail*m_x</f>
        <v>17.72</v>
      </c>
    </row>
    <row r="7912" customFormat="false" ht="17.15" hidden="false" customHeight="false" outlineLevel="0" collapsed="false">
      <c r="A7912" s="5" t="s">
        <v>951</v>
      </c>
      <c r="B7912" s="0" t="s">
        <v>86</v>
      </c>
      <c r="C7912" s="38" t="n">
        <f aca="false">Sens!$C$7910*Sens!$C$7911</f>
        <v>916.038609275292</v>
      </c>
    </row>
    <row r="7913" customFormat="false" ht="17.15" hidden="false" customHeight="false" outlineLevel="0" collapsed="false">
      <c r="A7913" s="0" t="s">
        <v>952</v>
      </c>
      <c r="B7913" s="0" t="s">
        <v>86</v>
      </c>
      <c r="C7913" s="38" t="n">
        <f aca="false">(1-tp_yf)*(Sens!$H$7836+sbc_ab*Sens!$H$7858*Sens!$H$7773/Sens!$H$7775)+tp_yf*(Sens!$I$7836+sbc_ab*Sens!$I$7858*Sens!$I$7773/Sens!$I$7775)</f>
        <v>97.2337130506861</v>
      </c>
    </row>
    <row r="7914" customFormat="false" ht="17.15" hidden="false" customHeight="false" outlineLevel="0" collapsed="false">
      <c r="A7914" s="0" t="s">
        <v>953</v>
      </c>
      <c r="B7914" s="0" t="s">
        <v>57</v>
      </c>
      <c r="C7914" s="30" t="n">
        <f aca="false">m_cloud*m_x</f>
        <v>13.82</v>
      </c>
    </row>
    <row r="7915" customFormat="false" ht="17.15" hidden="false" customHeight="false" outlineLevel="0" collapsed="false">
      <c r="A7915" s="0" t="s">
        <v>954</v>
      </c>
      <c r="B7915" s="0" t="s">
        <v>86</v>
      </c>
      <c r="C7915" s="38" t="n">
        <f aca="false">Sens!$C$7913*Sens!$C$7914</f>
        <v>1343.76991436048</v>
      </c>
    </row>
    <row r="7916" customFormat="false" ht="17.15" hidden="false" customHeight="false" outlineLevel="0" collapsed="false">
      <c r="A7916" s="0" t="s">
        <v>955</v>
      </c>
      <c r="B7916" s="0" t="s">
        <v>86</v>
      </c>
      <c r="H7916" s="38" t="n">
        <f aca="false">Sens!$H$7754-tax*Sens!$H$7755-ext_sh*Sens!$H$7739</f>
        <v>-115.41576008619</v>
      </c>
      <c r="I7916" s="38" t="n">
        <f aca="false">Sens!$I$7754-tax*Sens!$I$7755-ext_sh*Sens!$I$7739</f>
        <v>-88.5401912683161</v>
      </c>
      <c r="J7916" s="38" t="n">
        <f aca="false">Sens!$J$7754-tax*Sens!$J$7755-ext_sh*Sens!$J$7739</f>
        <v>-61.2977422866746</v>
      </c>
      <c r="K7916" s="38" t="n">
        <f aca="false">Sens!$K$7754-tax*Sens!$K$7755-ext_sh*Sens!$K$7739</f>
        <v>9.91264760007891</v>
      </c>
      <c r="L7916" s="38" t="n">
        <f aca="false">Sens!$L$7754-tax*Sens!$L$7755-ext_sh*Sens!$L$7739</f>
        <v>46.750156871371</v>
      </c>
      <c r="M7916" s="38" t="n">
        <f aca="false">Sens!$M$7754-tax*Sens!$M$7755-ext_sh*Sens!$M$7739</f>
        <v>55.5634749071557</v>
      </c>
    </row>
    <row r="7917" customFormat="false" ht="17.15" hidden="false" customHeight="false" outlineLevel="0" collapsed="false">
      <c r="A7917" s="5" t="s">
        <v>956</v>
      </c>
      <c r="B7917" s="0" t="s">
        <v>86</v>
      </c>
      <c r="H7917" s="38" t="n">
        <f aca="false">Sens!$H$7916*Sens!$H$7894</f>
        <v>-109.385439014374</v>
      </c>
      <c r="I7917" s="38" t="n">
        <f aca="false">Sens!$I$7916*Sens!$I$7894</f>
        <v>-75.3743621992344</v>
      </c>
      <c r="J7917" s="38" t="n">
        <f aca="false">Sens!$J$7916*Sens!$J$7894</f>
        <v>-46.8723221240472</v>
      </c>
      <c r="K7917" s="38" t="n">
        <f aca="false">Sens!$K$7916*Sens!$K$7894</f>
        <v>6.80848451526782</v>
      </c>
      <c r="L7917" s="38" t="n">
        <f aca="false">Sens!$L$7916*Sens!$L$7894</f>
        <v>28.8424836961783</v>
      </c>
      <c r="M7917" s="38" t="n">
        <f aca="false">Sens!$M$7916*Sens!$M$7894</f>
        <v>30.7912824848632</v>
      </c>
    </row>
    <row r="7918" customFormat="false" ht="17.15" hidden="false" customHeight="false" outlineLevel="0" collapsed="false">
      <c r="A7918" s="5" t="s">
        <v>957</v>
      </c>
      <c r="B7918" s="0" t="s">
        <v>86</v>
      </c>
      <c r="C7918" s="38" t="n">
        <f aca="false">Sens!$M$7755*(1-tax)*(1+tg)*(1-tg/ronic)/(wacc-tg)</f>
        <v>356.180381489473</v>
      </c>
    </row>
    <row r="7919" customFormat="false" ht="17.15" hidden="false" customHeight="false" outlineLevel="0" collapsed="false">
      <c r="A7919" s="0" t="s">
        <v>958</v>
      </c>
      <c r="B7919" s="0" t="s">
        <v>86</v>
      </c>
      <c r="C7919" s="38" t="n">
        <f aca="false">(SUM(Sens!$I$7917:$M$7917)+Sens!$C$7918/(1+wacc)^6)*(1+wacc)^tp_yf</f>
        <v>143.3703803388</v>
      </c>
    </row>
    <row r="7920" customFormat="false" ht="17.15" hidden="false" customHeight="false" outlineLevel="0" collapsed="false">
      <c r="A7920" s="5" t="s">
        <v>959</v>
      </c>
      <c r="B7920" s="0" t="s">
        <v>86</v>
      </c>
      <c r="C7920" s="38" t="n">
        <f aca="false">(1-tp_yf)*(Sens!$H$7837)+tp_yf*(Sens!$I$7837)</f>
        <v>74.6707041238437</v>
      </c>
    </row>
    <row r="7921" customFormat="false" ht="17.15" hidden="false" customHeight="false" outlineLevel="0" collapsed="false">
      <c r="A7921" s="5" t="s">
        <v>960</v>
      </c>
      <c r="B7921" s="0" t="s">
        <v>86</v>
      </c>
      <c r="C7921" s="38" t="n">
        <f aca="false">Sens!$C$7920*m_ai</f>
        <v>448.024224743062</v>
      </c>
    </row>
    <row r="7922" customFormat="false" ht="17.15" hidden="false" customHeight="false" outlineLevel="0" collapsed="false">
      <c r="A7922" s="0" t="s">
        <v>961</v>
      </c>
      <c r="B7922" s="0" t="s">
        <v>86</v>
      </c>
      <c r="C7922" s="38" t="n">
        <f aca="false">IF(ai_leg=1,Sens!$C$7919,Sens!$C$7921)</f>
        <v>143.3703803388</v>
      </c>
    </row>
    <row r="7923" customFormat="false" ht="17.15" hidden="false" customHeight="false" outlineLevel="0" collapsed="false">
      <c r="A7923" s="5" t="s">
        <v>962</v>
      </c>
      <c r="B7923" s="0" t="s">
        <v>86</v>
      </c>
      <c r="C7923" s="38" t="n">
        <f aca="false">Sens!$C$7909+Sens!$C$7912+Sens!$C$7915+Sens!$C$7922</f>
        <v>2946.45069790071</v>
      </c>
    </row>
    <row r="7924" customFormat="false" ht="17.15" hidden="false" customHeight="false" outlineLevel="0" collapsed="false">
      <c r="A7924" s="5" t="s">
        <v>963</v>
      </c>
      <c r="B7924" s="0" t="s">
        <v>86</v>
      </c>
      <c r="C7924" s="38" t="n">
        <f aca="false">Sens!$H$7877+fin_debt</f>
        <v>143.411303169235</v>
      </c>
    </row>
    <row r="7925" customFormat="false" ht="15" hidden="false" customHeight="false" outlineLevel="0" collapsed="false">
      <c r="A7925" s="5" t="s">
        <v>964</v>
      </c>
      <c r="B7925" s="0" t="s">
        <v>86</v>
      </c>
      <c r="C7925" s="38" t="n">
        <f aca="false">Sens!$C$7923-Sens!$C$7924+Sens!$C$7902</f>
        <v>2958.82339473148</v>
      </c>
    </row>
    <row r="7926" customFormat="false" ht="15" hidden="false" customHeight="false" outlineLevel="0" collapsed="false">
      <c r="A7926" s="3" t="s">
        <v>965</v>
      </c>
      <c r="B7926" s="8" t="s">
        <v>27</v>
      </c>
      <c r="C7926" s="30" t="n">
        <f aca="false">Sens!$C$7925/sh_val</f>
        <v>268.244711322949</v>
      </c>
    </row>
    <row r="7927" customFormat="false" ht="17.15" hidden="false" customHeight="false" outlineLevel="0" collapsed="false">
      <c r="A7927" s="47" t="s">
        <v>966</v>
      </c>
      <c r="B7927" s="14" t="s">
        <v>27</v>
      </c>
      <c r="C7927" s="44" t="n">
        <f aca="false">w_dcf*Sens!$C$7905+(1-w_dcf)*Sens!$C$7926</f>
        <v>201.950872065164</v>
      </c>
      <c r="D7927" s="14"/>
      <c r="E7927" s="14"/>
      <c r="F7927" s="14"/>
      <c r="G7927" s="14"/>
      <c r="H7927" s="14"/>
      <c r="I7927" s="14"/>
      <c r="J7927" s="14"/>
      <c r="K7927" s="14"/>
      <c r="L7927" s="14"/>
      <c r="M7927" s="14"/>
      <c r="N7927" s="14"/>
      <c r="O7927" s="14"/>
    </row>
    <row r="7928" customFormat="false" ht="17.15" hidden="false" customHeight="false" outlineLevel="0" collapsed="false">
      <c r="A7928" s="5" t="s">
        <v>967</v>
      </c>
      <c r="B7928" s="0" t="s">
        <v>27</v>
      </c>
      <c r="C7928" s="30" t="n">
        <f aca="false">v022_wdcf*Sens!$C$7905+(1-v022_wdcf)*Sens!$C$7926</f>
        <v>208.580255990942</v>
      </c>
    </row>
    <row r="7929" customFormat="false" ht="17.15" hidden="false" customHeight="false" outlineLevel="0" collapsed="false">
      <c r="A7929" s="5" t="s">
        <v>968</v>
      </c>
      <c r="B7929" s="0" t="s">
        <v>27</v>
      </c>
      <c r="C7929" s="30" t="n">
        <f aca="false">(Sens!$C$7925-Sens!$C$7922+Sens!$C$7921)/sh_val</f>
        <v>295.86440051804</v>
      </c>
    </row>
    <row r="7932" customFormat="false" ht="19.4" hidden="false" customHeight="false" outlineLevel="0" collapsed="false">
      <c r="A7932" s="31" t="s">
        <v>1312</v>
      </c>
    </row>
    <row r="7933" customFormat="false" ht="17.15" hidden="false" customHeight="false" outlineLevel="0" collapsed="false">
      <c r="A7933" s="6" t="s">
        <v>16</v>
      </c>
      <c r="B7933" s="6" t="s">
        <v>17</v>
      </c>
      <c r="C7933" s="20" t="s">
        <v>504</v>
      </c>
      <c r="D7933" s="20" t="s">
        <v>505</v>
      </c>
      <c r="E7933" s="20" t="s">
        <v>587</v>
      </c>
      <c r="F7933" s="20" t="s">
        <v>588</v>
      </c>
      <c r="G7933" s="20" t="s">
        <v>589</v>
      </c>
      <c r="H7933" s="20" t="s">
        <v>590</v>
      </c>
      <c r="I7933" s="20" t="s">
        <v>591</v>
      </c>
      <c r="J7933" s="20" t="s">
        <v>592</v>
      </c>
      <c r="K7933" s="20" t="s">
        <v>593</v>
      </c>
      <c r="L7933" s="20" t="s">
        <v>594</v>
      </c>
      <c r="M7933" s="20" t="s">
        <v>595</v>
      </c>
      <c r="N7933" s="20" t="s">
        <v>596</v>
      </c>
      <c r="O7933" s="20" t="s">
        <v>597</v>
      </c>
      <c r="P7933" s="6" t="s">
        <v>23</v>
      </c>
      <c r="R7933" s="20" t="n">
        <v>2023</v>
      </c>
      <c r="S7933" s="20" t="n">
        <v>2024</v>
      </c>
      <c r="T7933" s="20" t="n">
        <v>2025</v>
      </c>
      <c r="U7933" s="20" t="n">
        <v>2026</v>
      </c>
      <c r="V7933" s="20" t="n">
        <v>2027</v>
      </c>
      <c r="W7933" s="20" t="n">
        <v>2028</v>
      </c>
      <c r="X7933" s="20" t="n">
        <v>2029</v>
      </c>
      <c r="Y7933" s="20" t="n">
        <v>2030</v>
      </c>
      <c r="Z7933" s="20" t="n">
        <v>2031</v>
      </c>
      <c r="AA7933" s="20" t="n">
        <v>2032</v>
      </c>
    </row>
    <row r="7934" customFormat="false" ht="17.15" hidden="false" customHeight="false" outlineLevel="0" collapsed="false">
      <c r="A7934" s="1" t="s">
        <v>677</v>
      </c>
    </row>
    <row r="7935" customFormat="false" ht="17.15" hidden="false" customHeight="false" outlineLevel="0" collapsed="false">
      <c r="A7935" s="0" t="s">
        <v>526</v>
      </c>
      <c r="B7935" s="0" t="s">
        <v>86</v>
      </c>
      <c r="C7935" s="38" t="n">
        <f aca="false">Q!$D$10</f>
        <v>247.029</v>
      </c>
      <c r="D7935" s="38" t="n">
        <f aca="false">Q!$E$10</f>
        <v>269.287</v>
      </c>
      <c r="E7935" s="38" t="n">
        <f aca="false">Q!$P$10</f>
        <v>134.686</v>
      </c>
      <c r="F7935" s="38" t="n">
        <f aca="false">Sens!$O$7935*(1+Sens!$F$7936)*Sens!$F$7947</f>
        <v>158.293876822267</v>
      </c>
      <c r="G7935" s="38" t="n">
        <f aca="false">Sens!$E$7935+Sens!$F$7935</f>
        <v>292.979876822267</v>
      </c>
      <c r="H7935" s="38" t="n">
        <f aca="false">Sens!$G$7935*(1+Sens!$H$7936)</f>
        <v>318.184543087396</v>
      </c>
      <c r="I7935" s="38" t="n">
        <f aca="false">Sens!$H$7935*(1+Sens!$I$7936)</f>
        <v>341.736278761793</v>
      </c>
      <c r="J7935" s="38" t="n">
        <f aca="false">Sens!$I$7935*(1+Sens!$J$7936)</f>
        <v>362.927192787048</v>
      </c>
      <c r="K7935" s="38" t="n">
        <f aca="false">Sens!$J$7935*(1+Sens!$K$7936)</f>
        <v>381.0735524264</v>
      </c>
      <c r="L7935" s="38" t="n">
        <f aca="false">Sens!$K$7935*(1+Sens!$L$7936)</f>
        <v>400.12723004772</v>
      </c>
      <c r="M7935" s="38" t="n">
        <f aca="false">Sens!$L$7935*(1+Sens!$M$7936)</f>
        <v>420.133591550106</v>
      </c>
      <c r="N7935" s="38" t="n">
        <f aca="false">Q!$N$10</f>
        <v>118.892</v>
      </c>
      <c r="O7935" s="38" t="n">
        <f aca="false">Q!$O$10</f>
        <v>150.395</v>
      </c>
      <c r="P7935" s="8" t="s">
        <v>678</v>
      </c>
    </row>
    <row r="7936" customFormat="false" ht="17.15" hidden="false" customHeight="false" outlineLevel="0" collapsed="false">
      <c r="A7936" s="0" t="s">
        <v>679</v>
      </c>
      <c r="B7936" s="0" t="s">
        <v>52</v>
      </c>
      <c r="E7936" s="13" t="n">
        <f aca="false">Sens!$E$7935/Sens!$N$7935-1</f>
        <v>0.132843252699929</v>
      </c>
      <c r="F7936" s="13" t="n">
        <f aca="false">Sens!$O$7935/(Q!$F$10+Q!$G$10)-1</f>
        <v>0.0980382135842941</v>
      </c>
      <c r="G7936" s="13" t="n">
        <f aca="false">Sens!$G$7935/Sens!$D$7935-1</f>
        <v>0.0879837378791657</v>
      </c>
      <c r="H7936" s="13" t="n">
        <f aca="false">Sens!$F$7936+(g_os-Sens!$F$7936)*1/4</f>
        <v>0.0860286601882206</v>
      </c>
      <c r="I7936" s="13" t="n">
        <f aca="false">Sens!$F$7936+(g_os-Sens!$F$7936)*2/4</f>
        <v>0.074019106792147</v>
      </c>
      <c r="J7936" s="13" t="n">
        <f aca="false">Sens!$F$7936+(g_os-Sens!$F$7936)*3/4</f>
        <v>0.0620095533960735</v>
      </c>
      <c r="K7936" s="13" t="n">
        <f aca="false">Sens!$F$7936+(g_os-Sens!$F$7936)*4/4</f>
        <v>0.05</v>
      </c>
      <c r="L7936" s="13" t="n">
        <f aca="false">g_os</f>
        <v>0.05</v>
      </c>
      <c r="M7936" s="13" t="n">
        <f aca="false">g_os</f>
        <v>0.05</v>
      </c>
      <c r="P7936" s="8" t="s">
        <v>680</v>
      </c>
    </row>
    <row r="7937" customFormat="false" ht="17.15" hidden="false" customHeight="false" outlineLevel="0" collapsed="false">
      <c r="A7937" s="0" t="s">
        <v>527</v>
      </c>
      <c r="B7937" s="0" t="s">
        <v>86</v>
      </c>
      <c r="C7937" s="38" t="n">
        <f aca="false">Q!$D$11</f>
        <v>21.215</v>
      </c>
      <c r="D7937" s="38" t="n">
        <f aca="false">Q!$E$11</f>
        <v>22.561</v>
      </c>
      <c r="E7937" s="38" t="n">
        <f aca="false">Q!$P$11</f>
        <v>11.579</v>
      </c>
      <c r="F7937" s="38" t="n">
        <f aca="false">Sens!$O$7937*(1+Sens!$F$7938)*Sens!$F$7947</f>
        <v>11.5938724610325</v>
      </c>
      <c r="G7937" s="38" t="n">
        <f aca="false">Sens!$E$7937+Sens!$F$7937</f>
        <v>23.1728724610325</v>
      </c>
      <c r="H7937" s="38" t="n">
        <f aca="false">Sens!$G$7937*(1+Sens!$H$7938)</f>
        <v>24.353392759506</v>
      </c>
      <c r="I7937" s="38" t="n">
        <f aca="false">Sens!$H$7937*(1+Sens!$I$7938)</f>
        <v>25.4240338872015</v>
      </c>
      <c r="J7937" s="38" t="n">
        <f aca="false">Sens!$I$7937*(1+Sens!$J$7938)</f>
        <v>26.3642491017174</v>
      </c>
      <c r="K7937" s="38" t="n">
        <f aca="false">Sens!$J$7937*(1+Sens!$K$7938)</f>
        <v>27.155176574769</v>
      </c>
      <c r="L7937" s="38" t="n">
        <f aca="false">Sens!$K$7937*(1+Sens!$L$7938)</f>
        <v>27.969831872012</v>
      </c>
      <c r="M7937" s="38" t="n">
        <f aca="false">Sens!$L$7937*(1+Sens!$M$7938)</f>
        <v>28.8089268281724</v>
      </c>
      <c r="N7937" s="38" t="n">
        <f aca="false">Q!$N$11</f>
        <v>11.128</v>
      </c>
      <c r="O7937" s="38" t="n">
        <f aca="false">Q!$O$11</f>
        <v>11.433</v>
      </c>
      <c r="P7937" s="8" t="s">
        <v>678</v>
      </c>
    </row>
    <row r="7938" customFormat="false" ht="17.15" hidden="false" customHeight="false" outlineLevel="0" collapsed="false">
      <c r="A7938" s="0" t="s">
        <v>681</v>
      </c>
      <c r="B7938" s="0" t="s">
        <v>52</v>
      </c>
      <c r="E7938" s="13" t="n">
        <f aca="false">Sens!$E$7937/Sens!$N$7937-1</f>
        <v>0.0405283968368082</v>
      </c>
      <c r="F7938" s="13" t="n">
        <f aca="false">Sens!$O$7937/(Q!$F$11+Q!$G$11)-1</f>
        <v>0.0579254187100955</v>
      </c>
      <c r="G7938" s="13" t="n">
        <f aca="false">Sens!$G$7937/Sens!$D$7937-1</f>
        <v>0.0271208040881397</v>
      </c>
      <c r="H7938" s="13" t="n">
        <f aca="false">Sens!$F$7938+(g_ps-Sens!$F$7938)*1/4</f>
        <v>0.0509440640325716</v>
      </c>
      <c r="I7938" s="13" t="n">
        <f aca="false">Sens!$F$7938+(g_ps-Sens!$F$7938)*2/4</f>
        <v>0.0439627093550477</v>
      </c>
      <c r="J7938" s="13" t="n">
        <f aca="false">Sens!$F$7938+(g_ps-Sens!$F$7938)*3/4</f>
        <v>0.0369813546775239</v>
      </c>
      <c r="K7938" s="13" t="n">
        <f aca="false">Sens!$F$7938+(g_ps-Sens!$F$7938)*4/4</f>
        <v>0.03</v>
      </c>
      <c r="L7938" s="13" t="n">
        <f aca="false">g_ps</f>
        <v>0.03</v>
      </c>
      <c r="M7938" s="13" t="n">
        <f aca="false">g_ps</f>
        <v>0.03</v>
      </c>
      <c r="P7938" s="8" t="s">
        <v>682</v>
      </c>
    </row>
    <row r="7939" customFormat="false" ht="17.15" hidden="false" customHeight="false" outlineLevel="0" collapsed="false">
      <c r="A7939" s="0" t="s">
        <v>528</v>
      </c>
      <c r="B7939" s="0" t="s">
        <v>86</v>
      </c>
      <c r="C7939" s="38" t="n">
        <f aca="false">Q!$D$12</f>
        <v>156.146</v>
      </c>
      <c r="D7939" s="38" t="n">
        <f aca="false">Q!$E$12</f>
        <v>172.162</v>
      </c>
      <c r="E7939" s="38" t="n">
        <f aca="false">Q!$P$12</f>
        <v>88.358</v>
      </c>
      <c r="F7939" s="38" t="n">
        <f aca="false">Sens!$O$7939*(1+Sens!$F$7940)*Sens!$F$7947</f>
        <v>102.004388260171</v>
      </c>
      <c r="G7939" s="38" t="n">
        <f aca="false">Sens!$E$7939+Sens!$F$7939</f>
        <v>190.362388260171</v>
      </c>
      <c r="H7939" s="38" t="n">
        <f aca="false">Sens!$G$7939*(1+Sens!$H$7940)</f>
        <v>210.343106588311</v>
      </c>
      <c r="I7939" s="38" t="n">
        <f aca="false">Sens!$H$7939*(1+Sens!$I$7940)</f>
        <v>229.969728494648</v>
      </c>
      <c r="J7939" s="38" t="n">
        <f aca="false">Sens!$I$7939*(1+Sens!$J$7940)</f>
        <v>248.747636972598</v>
      </c>
      <c r="K7939" s="38" t="n">
        <f aca="false">Sens!$J$7939*(1+Sens!$K$7940)</f>
        <v>266.15997156068</v>
      </c>
      <c r="L7939" s="38" t="n">
        <f aca="false">Sens!$K$7939*(1+Sens!$L$7940)</f>
        <v>284.791169569927</v>
      </c>
      <c r="M7939" s="38" t="n">
        <f aca="false">Sens!$L$7939*(1+Sens!$M$7940)</f>
        <v>304.726551439822</v>
      </c>
      <c r="N7939" s="38" t="n">
        <f aca="false">Q!$N$12</f>
        <v>76.86</v>
      </c>
      <c r="O7939" s="38" t="n">
        <f aca="false">Q!$O$12</f>
        <v>95.302</v>
      </c>
      <c r="P7939" s="8" t="s">
        <v>678</v>
      </c>
    </row>
    <row r="7940" customFormat="false" ht="17.15" hidden="false" customHeight="false" outlineLevel="0" collapsed="false">
      <c r="A7940" s="0" t="s">
        <v>683</v>
      </c>
      <c r="B7940" s="0" t="s">
        <v>52</v>
      </c>
      <c r="E7940" s="13" t="n">
        <f aca="false">Sens!$E$7939/Sens!$N$7939-1</f>
        <v>0.1495966692688</v>
      </c>
      <c r="F7940" s="13" t="n">
        <f aca="false">Sens!$O$7939/(Q!$F$12+Q!$G$12)-1</f>
        <v>0.11661530890813</v>
      </c>
      <c r="G7940" s="13" t="n">
        <f aca="false">Sens!$G$7939/Sens!$D$7939-1</f>
        <v>0.105716640490767</v>
      </c>
      <c r="H7940" s="13" t="n">
        <f aca="false">Sens!$F$7940+(g_sp-Sens!$F$7940)*1/4</f>
        <v>0.104961481681098</v>
      </c>
      <c r="I7940" s="13" t="n">
        <f aca="false">Sens!$F$7940+(g_sp-Sens!$F$7940)*2/4</f>
        <v>0.0933076544540651</v>
      </c>
      <c r="J7940" s="13" t="n">
        <f aca="false">Sens!$F$7940+(g_sp-Sens!$F$7940)*3/4</f>
        <v>0.0816538272270325</v>
      </c>
      <c r="K7940" s="13" t="n">
        <f aca="false">Sens!$F$7940+(g_sp-Sens!$F$7940)*4/4</f>
        <v>0.07</v>
      </c>
      <c r="L7940" s="13" t="n">
        <f aca="false">g_sp</f>
        <v>0.07</v>
      </c>
      <c r="M7940" s="13" t="n">
        <f aca="false">g_sp</f>
        <v>0.07</v>
      </c>
      <c r="P7940" s="8" t="s">
        <v>684</v>
      </c>
    </row>
    <row r="7941" customFormat="false" ht="17.15" hidden="false" customHeight="false" outlineLevel="0" collapsed="false">
      <c r="A7941" s="0" t="s">
        <v>529</v>
      </c>
      <c r="B7941" s="0" t="s">
        <v>86</v>
      </c>
      <c r="C7941" s="38" t="n">
        <f aca="false">Q!$D$13</f>
        <v>56.214</v>
      </c>
      <c r="D7941" s="38" t="n">
        <f aca="false">Q!$E$13</f>
        <v>68.635</v>
      </c>
      <c r="E7941" s="38" t="n">
        <f aca="false">Q!$P$13</f>
        <v>37.052</v>
      </c>
      <c r="F7941" s="38" t="n">
        <f aca="false">Sens!$O$7941*(1+Sens!$F$7942)*Sens!$F$7947</f>
        <v>46.1572219944148</v>
      </c>
      <c r="G7941" s="38" t="n">
        <f aca="false">Sens!$E$7941+Sens!$F$7941</f>
        <v>83.2092219944148</v>
      </c>
      <c r="H7941" s="38" t="n">
        <f aca="false">Sens!$G$7941*(1+Sens!$H$7942)</f>
        <v>99.8969223878976</v>
      </c>
      <c r="I7941" s="38" t="n">
        <f aca="false">Sens!$H$7941*(1+Sens!$I$7942)</f>
        <v>116.583111095496</v>
      </c>
      <c r="J7941" s="38" t="n">
        <f aca="false">Sens!$I$7941*(1+Sens!$J$7942)</f>
        <v>132.148941941952</v>
      </c>
      <c r="K7941" s="38" t="n">
        <f aca="false">Sens!$J$7941*(1+Sens!$K$7942)</f>
        <v>145.363836136147</v>
      </c>
      <c r="L7941" s="38" t="n">
        <f aca="false">Sens!$K$7941*(1+Sens!$L$7942)</f>
        <v>159.900219749762</v>
      </c>
      <c r="M7941" s="38" t="n">
        <f aca="false">Sens!$L$7941*(1+Sens!$M$7942)</f>
        <v>175.890241724738</v>
      </c>
      <c r="N7941" s="38" t="n">
        <f aca="false">Q!$N$13</f>
        <v>29.615</v>
      </c>
      <c r="O7941" s="38" t="n">
        <f aca="false">Q!$O$13</f>
        <v>39.02</v>
      </c>
      <c r="P7941" s="8" t="s">
        <v>678</v>
      </c>
    </row>
    <row r="7942" customFormat="false" ht="17.15" hidden="false" customHeight="false" outlineLevel="0" collapsed="false">
      <c r="A7942" s="0" t="s">
        <v>685</v>
      </c>
      <c r="B7942" s="0" t="s">
        <v>52</v>
      </c>
      <c r="E7942" s="13" t="n">
        <f aca="false">Sens!$E$7941/Sens!$N$7941-1</f>
        <v>0.25112274185379</v>
      </c>
      <c r="F7942" s="13" t="n">
        <f aca="false">Sens!$O$7941/(Q!$F$13+Q!$G$13)-1</f>
        <v>0.234068123596572</v>
      </c>
      <c r="G7942" s="13" t="n">
        <f aca="false">Sens!$G$7941/Sens!$D$7941-1</f>
        <v>0.212343876949294</v>
      </c>
      <c r="H7942" s="13" t="n">
        <f aca="false">Sens!$F$7942+(g_ad-Sens!$F$7942)*1/4</f>
        <v>0.200551092697429</v>
      </c>
      <c r="I7942" s="13" t="n">
        <f aca="false">Sens!$F$7942+(g_ad-Sens!$F$7942)*2/4</f>
        <v>0.167034061798286</v>
      </c>
      <c r="J7942" s="13" t="n">
        <f aca="false">Sens!$F$7942+(g_ad-Sens!$F$7942)*3/4</f>
        <v>0.133517030899143</v>
      </c>
      <c r="K7942" s="13" t="n">
        <f aca="false">Sens!$F$7942+(g_ad-Sens!$F$7942)*4/4</f>
        <v>0.1</v>
      </c>
      <c r="L7942" s="13" t="n">
        <f aca="false">g_ad</f>
        <v>0.1</v>
      </c>
      <c r="M7942" s="13" t="n">
        <f aca="false">g_ad</f>
        <v>0.1</v>
      </c>
      <c r="P7942" s="8" t="s">
        <v>686</v>
      </c>
    </row>
    <row r="7943" customFormat="false" ht="17.15" hidden="false" customHeight="false" outlineLevel="0" collapsed="false">
      <c r="A7943" s="0" t="s">
        <v>530</v>
      </c>
      <c r="B7943" s="0" t="s">
        <v>86</v>
      </c>
      <c r="C7943" s="38" t="n">
        <f aca="false">Q!$D$14</f>
        <v>44.374</v>
      </c>
      <c r="D7943" s="38" t="n">
        <f aca="false">Q!$E$14</f>
        <v>49.619</v>
      </c>
      <c r="E7943" s="38" t="n">
        <f aca="false">Q!$P$14</f>
        <v>27.157</v>
      </c>
      <c r="F7943" s="38" t="n">
        <f aca="false">Sens!$O$7943*(1+Sens!$F$7944)*Sens!$F$7947</f>
        <v>27.7764165988154</v>
      </c>
      <c r="G7943" s="38" t="n">
        <f aca="false">Sens!$E$7943+Sens!$F$7943</f>
        <v>54.9334165988154</v>
      </c>
      <c r="H7943" s="38" t="n">
        <f aca="false">Sens!$G$7943*(1+Sens!$H$7944)</f>
        <v>61.1564112561829</v>
      </c>
      <c r="I7943" s="38" t="n">
        <f aca="false">Sens!$H$7943*(1+Sens!$I$7944)</f>
        <v>67.2020282103945</v>
      </c>
      <c r="J7943" s="38" t="n">
        <f aca="false">Sens!$I$7943*(1+Sens!$J$7944)</f>
        <v>72.8757274028885</v>
      </c>
      <c r="K7943" s="38" t="n">
        <f aca="false">Sens!$J$7943*(1+Sens!$K$7944)</f>
        <v>77.9770283210907</v>
      </c>
      <c r="L7943" s="38" t="n">
        <f aca="false">Sens!$K$7943*(1+Sens!$L$7944)</f>
        <v>83.4354203035671</v>
      </c>
      <c r="M7943" s="38" t="n">
        <f aca="false">Sens!$L$7943*(1+Sens!$M$7944)</f>
        <v>89.2758997248168</v>
      </c>
      <c r="N7943" s="38" t="n">
        <f aca="false">Q!$N$14</f>
        <v>23.923</v>
      </c>
      <c r="O7943" s="38" t="n">
        <f aca="false">Q!$O$14</f>
        <v>25.696</v>
      </c>
      <c r="P7943" s="8" t="s">
        <v>678</v>
      </c>
    </row>
    <row r="7944" customFormat="false" ht="17.15" hidden="false" customHeight="false" outlineLevel="0" collapsed="false">
      <c r="A7944" s="0" t="s">
        <v>687</v>
      </c>
      <c r="B7944" s="0" t="s">
        <v>52</v>
      </c>
      <c r="E7944" s="13" t="n">
        <f aca="false">Sens!$E$7943/Sens!$N$7943-1</f>
        <v>0.135183714417088</v>
      </c>
      <c r="F7944" s="13" t="n">
        <f aca="false">Sens!$O$7943/(Q!$F$14+Q!$G$14)-1</f>
        <v>0.127709997366804</v>
      </c>
      <c r="G7944" s="13" t="n">
        <f aca="false">Sens!$G$7943/Sens!$D$7943-1</f>
        <v>0.107104468022641</v>
      </c>
      <c r="H7944" s="13" t="n">
        <f aca="false">Sens!$F$7944+(g_sub-Sens!$F$7944)*1/4</f>
        <v>0.113282498025103</v>
      </c>
      <c r="I7944" s="13" t="n">
        <f aca="false">Sens!$F$7944+(g_sub-Sens!$F$7944)*2/4</f>
        <v>0.0988549986834021</v>
      </c>
      <c r="J7944" s="13" t="n">
        <f aca="false">Sens!$F$7944+(g_sub-Sens!$F$7944)*3/4</f>
        <v>0.084427499341701</v>
      </c>
      <c r="K7944" s="13" t="n">
        <f aca="false">Sens!$F$7944+(g_sub-Sens!$F$7944)*4/4</f>
        <v>0.07</v>
      </c>
      <c r="L7944" s="13" t="n">
        <f aca="false">g_sub</f>
        <v>0.07</v>
      </c>
      <c r="M7944" s="13" t="n">
        <f aca="false">g_sub</f>
        <v>0.07</v>
      </c>
      <c r="P7944" s="8" t="s">
        <v>688</v>
      </c>
    </row>
    <row r="7945" customFormat="false" ht="17.15" hidden="false" customHeight="false" outlineLevel="0" collapsed="false">
      <c r="A7945" s="0" t="s">
        <v>531</v>
      </c>
      <c r="B7945" s="0" t="s">
        <v>86</v>
      </c>
      <c r="C7945" s="38" t="n">
        <f aca="false">Q!$D$15</f>
        <v>5.425</v>
      </c>
      <c r="D7945" s="38" t="n">
        <f aca="false">Q!$E$15</f>
        <v>5.935</v>
      </c>
      <c r="E7945" s="38" t="n">
        <f aca="false">Q!$P$15</f>
        <v>3.474</v>
      </c>
      <c r="F7945" s="38" t="n">
        <f aca="false">Sens!$O$7945*(1+Sens!$F$7946)*Sens!$F$7947</f>
        <v>3.22246550883619</v>
      </c>
      <c r="G7945" s="38" t="n">
        <f aca="false">Sens!$E$7945+Sens!$F$7945</f>
        <v>6.69646550883619</v>
      </c>
      <c r="H7945" s="38" t="n">
        <f aca="false">Sens!$G$7945*(1+Sens!$H$7946)</f>
        <v>7.16251344209196</v>
      </c>
      <c r="I7945" s="38" t="n">
        <f aca="false">Sens!$H$7945*(1+Sens!$I$7946)</f>
        <v>7.61421070299826</v>
      </c>
      <c r="J7945" s="38" t="n">
        <f aca="false">Sens!$I$7945*(1+Sens!$J$7946)</f>
        <v>8.04465753523932</v>
      </c>
      <c r="K7945" s="38" t="n">
        <f aca="false">Sens!$J$7945*(1+Sens!$K$7946)</f>
        <v>8.44689041200128</v>
      </c>
      <c r="L7945" s="38" t="n">
        <f aca="false">Sens!$K$7945*(1+Sens!$L$7946)</f>
        <v>8.86923493260135</v>
      </c>
      <c r="M7945" s="38" t="n">
        <f aca="false">Sens!$L$7945*(1+Sens!$M$7946)</f>
        <v>9.31269667923142</v>
      </c>
      <c r="N7945" s="38" t="n">
        <f aca="false">Q!$N$15</f>
        <v>2.811</v>
      </c>
      <c r="O7945" s="38" t="n">
        <f aca="false">Q!$O$15</f>
        <v>3.124</v>
      </c>
      <c r="P7945" s="8" t="s">
        <v>678</v>
      </c>
    </row>
    <row r="7946" customFormat="false" ht="17.15" hidden="false" customHeight="false" outlineLevel="0" collapsed="false">
      <c r="A7946" s="0" t="s">
        <v>689</v>
      </c>
      <c r="B7946" s="0" t="s">
        <v>52</v>
      </c>
      <c r="E7946" s="13" t="n">
        <f aca="false">Sens!$E$7945/Sens!$N$7945-1</f>
        <v>0.235859124866596</v>
      </c>
      <c r="F7946" s="13" t="n">
        <f aca="false">Sens!$O$7945/(Q!$F$15+Q!$G$15)-1</f>
        <v>0.0761281433000345</v>
      </c>
      <c r="G7946" s="13" t="n">
        <f aca="false">Sens!$G$7945/Sens!$D$7945-1</f>
        <v>0.128300843948811</v>
      </c>
      <c r="H7946" s="13" t="n">
        <f aca="false">Sens!$F$7946+(g_ot-Sens!$F$7946)*1/4</f>
        <v>0.0695961074750259</v>
      </c>
      <c r="I7946" s="13" t="n">
        <f aca="false">Sens!$F$7946+(g_ot-Sens!$F$7946)*2/4</f>
        <v>0.0630640716500172</v>
      </c>
      <c r="J7946" s="13" t="n">
        <f aca="false">Sens!$F$7946+(g_ot-Sens!$F$7946)*3/4</f>
        <v>0.0565320358250086</v>
      </c>
      <c r="K7946" s="13" t="n">
        <f aca="false">Sens!$F$7946+(g_ot-Sens!$F$7946)*4/4</f>
        <v>0.05</v>
      </c>
      <c r="L7946" s="13" t="n">
        <f aca="false">g_ot</f>
        <v>0.05</v>
      </c>
      <c r="M7946" s="13" t="n">
        <f aca="false">g_ot</f>
        <v>0.05</v>
      </c>
      <c r="P7946" s="8" t="s">
        <v>690</v>
      </c>
    </row>
    <row r="7947" customFormat="false" ht="17.15" hidden="false" customHeight="false" outlineLevel="0" collapsed="false">
      <c r="A7947" s="0" t="s">
        <v>691</v>
      </c>
      <c r="B7947" s="0" t="s">
        <v>57</v>
      </c>
      <c r="F7947" s="40" t="n">
        <f aca="false">(g26q3_mid*Q!$O$8/Q!$J$8-Thesis!$F$89-Thesis!$F$93)/(Sens!$O$7935*(1+Sens!$F$7936)+Sens!$O$7937*(1+Sens!$F$7938)+Sens!$O$7939*(1+Sens!$F$7940)+Sens!$O$7941*(1+Sens!$F$7942)+Sens!$O$7943*(1+Sens!$F$7944)+Sens!$O$7945*(1+Sens!$F$7946))</f>
        <v>0.958546670622329</v>
      </c>
      <c r="P7947" s="8" t="s">
        <v>692</v>
      </c>
    </row>
    <row r="7948" customFormat="false" ht="17.15" hidden="false" customHeight="false" outlineLevel="0" collapsed="false">
      <c r="A7948" s="3" t="s">
        <v>693</v>
      </c>
      <c r="B7948" s="8" t="s">
        <v>86</v>
      </c>
      <c r="C7948" s="38" t="n">
        <f aca="false">Sens!$C$7935+Sens!$C$7937+Sens!$C$7939+Sens!$C$7941+Sens!$C$7943+Sens!$C$7945</f>
        <v>530.403</v>
      </c>
      <c r="D7948" s="38" t="n">
        <f aca="false">Sens!$D$7935+Sens!$D$7937+Sens!$D$7939+Sens!$D$7941+Sens!$D$7943+Sens!$D$7945</f>
        <v>588.199</v>
      </c>
      <c r="E7948" s="38" t="n">
        <f aca="false">Sens!$E$7935+Sens!$E$7937+Sens!$E$7939+Sens!$E$7941+Sens!$E$7943+Sens!$E$7945</f>
        <v>302.306</v>
      </c>
      <c r="F7948" s="38" t="n">
        <f aca="false">Sens!$F$7935+Sens!$F$7937+Sens!$F$7939+Sens!$F$7941+Sens!$F$7943+Sens!$F$7945</f>
        <v>349.048241645537</v>
      </c>
      <c r="G7948" s="38" t="n">
        <f aca="false">Sens!$G$7935+Sens!$G$7937+Sens!$G$7939+Sens!$G$7941+Sens!$G$7943+Sens!$G$7945</f>
        <v>651.354241645537</v>
      </c>
      <c r="H7948" s="38" t="n">
        <f aca="false">Sens!$H$7935+Sens!$H$7937+Sens!$H$7939+Sens!$H$7941+Sens!$H$7943+Sens!$H$7945</f>
        <v>721.096889521386</v>
      </c>
      <c r="I7948" s="38" t="n">
        <f aca="false">Sens!$I$7935+Sens!$I$7937+Sens!$I$7939+Sens!$I$7941+Sens!$I$7943+Sens!$I$7945</f>
        <v>788.529391152531</v>
      </c>
      <c r="J7948" s="38" t="n">
        <f aca="false">Sens!$J$7935+Sens!$J$7937+Sens!$J$7939+Sens!$J$7941+Sens!$J$7943+Sens!$J$7945</f>
        <v>851.108405741443</v>
      </c>
      <c r="K7948" s="38" t="n">
        <f aca="false">Sens!$K$7935+Sens!$K$7937+Sens!$K$7939+Sens!$K$7941+Sens!$K$7943+Sens!$K$7945</f>
        <v>906.176455431088</v>
      </c>
      <c r="L7948" s="38" t="n">
        <f aca="false">Sens!$L$7935+Sens!$L$7937+Sens!$L$7939+Sens!$L$7941+Sens!$L$7943+Sens!$L$7945</f>
        <v>965.093106475589</v>
      </c>
      <c r="M7948" s="38" t="n">
        <f aca="false">Sens!$M$7935+Sens!$M$7937+Sens!$M$7939+Sens!$M$7941+Sens!$M$7943+Sens!$M$7945</f>
        <v>1028.14790794689</v>
      </c>
      <c r="N7948" s="38" t="n">
        <f aca="false">Sens!$N$7935+Sens!$N$7937+Sens!$N$7939+Sens!$N$7941+Sens!$N$7943+Sens!$N$7945</f>
        <v>263.229</v>
      </c>
      <c r="O7948" s="38" t="n">
        <f aca="false">Sens!$O$7935+Sens!$O$7937+Sens!$O$7939+Sens!$O$7941+Sens!$O$7943+Sens!$O$7945</f>
        <v>324.97</v>
      </c>
    </row>
    <row r="7949" customFormat="false" ht="17.15" hidden="false" customHeight="false" outlineLevel="0" collapsed="false">
      <c r="A7949" s="5" t="s">
        <v>694</v>
      </c>
      <c r="B7949" s="0" t="s">
        <v>52</v>
      </c>
      <c r="C7949" s="13" t="n">
        <f aca="false">Q!$D$5/(Q!$D$5+Q!$D$6)</f>
        <v>0.730570905519011</v>
      </c>
      <c r="D7949" s="13" t="n">
        <f aca="false">Q!$E$5/(Q!$E$5+Q!$E$6)</f>
        <v>0.724763217890544</v>
      </c>
      <c r="E7949" s="13" t="n">
        <f aca="false">Q!$P$5/(Q!$P$5+Q!$P$6)</f>
        <v>0.728797972914861</v>
      </c>
      <c r="F7949" s="13" t="n">
        <f aca="false">Sens!$O$7949</f>
        <v>0.718066283041511</v>
      </c>
      <c r="G7949" s="13" t="n">
        <f aca="false">Sens!$G$7950/Sens!$G$7948</f>
        <v>0.723047066202847</v>
      </c>
      <c r="H7949" s="13" t="n">
        <f aca="false">Sens!$G$7949</f>
        <v>0.723047066202847</v>
      </c>
      <c r="I7949" s="13" t="n">
        <f aca="false">Sens!$G$7949</f>
        <v>0.723047066202847</v>
      </c>
      <c r="J7949" s="13" t="n">
        <f aca="false">Sens!$G$7949</f>
        <v>0.723047066202847</v>
      </c>
      <c r="K7949" s="13" t="n">
        <f aca="false">Sens!$G$7949</f>
        <v>0.723047066202847</v>
      </c>
      <c r="L7949" s="13" t="n">
        <f aca="false">Sens!$G$7949</f>
        <v>0.723047066202847</v>
      </c>
      <c r="M7949" s="13" t="n">
        <f aca="false">Sens!$G$7949</f>
        <v>0.723047066202847</v>
      </c>
      <c r="N7949" s="13" t="n">
        <f aca="false">Q!$N$5/(Q!$N$5+Q!$N$6)</f>
        <v>0.733030935041352</v>
      </c>
      <c r="O7949" s="13" t="n">
        <f aca="false">Q!$O$5/(Q!$O$5+Q!$O$6)</f>
        <v>0.718066283041511</v>
      </c>
      <c r="P7949" s="8" t="s">
        <v>695</v>
      </c>
    </row>
    <row r="7950" customFormat="false" ht="17.15" hidden="false" customHeight="false" outlineLevel="0" collapsed="false">
      <c r="A7950" s="1" t="s">
        <v>519</v>
      </c>
      <c r="B7950" s="8" t="s">
        <v>86</v>
      </c>
      <c r="C7950" s="38" t="n">
        <f aca="false">Q!$D$5</f>
        <v>387.497</v>
      </c>
      <c r="D7950" s="38" t="n">
        <f aca="false">Q!$E$5</f>
        <v>426.305</v>
      </c>
      <c r="E7950" s="38" t="n">
        <f aca="false">Q!$P$5</f>
        <v>220.32</v>
      </c>
      <c r="F7950" s="38" t="n">
        <f aca="false">Sens!$F$7948*Sens!$F$7949</f>
        <v>250.639773480586</v>
      </c>
      <c r="G7950" s="38" t="n">
        <f aca="false">Sens!$E$7950+Sens!$F$7950</f>
        <v>470.959773480586</v>
      </c>
      <c r="H7950" s="38" t="n">
        <f aca="false">Sens!$H$7948*Sens!$H$7949</f>
        <v>521.386990416437</v>
      </c>
      <c r="I7950" s="38" t="n">
        <f aca="false">Sens!$I$7948*Sens!$I$7949</f>
        <v>570.143862887555</v>
      </c>
      <c r="J7950" s="38" t="n">
        <f aca="false">Sens!$J$7948*Sens!$J$7949</f>
        <v>615.391435791933</v>
      </c>
      <c r="K7950" s="38" t="n">
        <f aca="false">Sens!$K$7948*Sens!$K$7949</f>
        <v>655.208227561543</v>
      </c>
      <c r="L7950" s="38" t="n">
        <f aca="false">Sens!$L$7948*Sens!$L$7949</f>
        <v>697.807739249767</v>
      </c>
      <c r="M7950" s="38" t="n">
        <f aca="false">Sens!$M$7948*Sens!$M$7949</f>
        <v>743.399328463592</v>
      </c>
      <c r="N7950" s="38" t="n">
        <f aca="false">Q!$N$5</f>
        <v>192.955</v>
      </c>
      <c r="O7950" s="38" t="n">
        <f aca="false">Q!$O$5</f>
        <v>233.35</v>
      </c>
      <c r="P7950" s="5" t="s">
        <v>696</v>
      </c>
    </row>
    <row r="7951" customFormat="false" ht="17.15" hidden="false" customHeight="false" outlineLevel="0" collapsed="false">
      <c r="A7951" s="1" t="s">
        <v>522</v>
      </c>
      <c r="B7951" s="8" t="s">
        <v>86</v>
      </c>
      <c r="C7951" s="38" t="n">
        <f aca="false">Q!$D$6</f>
        <v>142.906</v>
      </c>
      <c r="D7951" s="38" t="n">
        <f aca="false">Q!$E$6</f>
        <v>161.894</v>
      </c>
      <c r="E7951" s="38" t="n">
        <f aca="false">Q!$P$6</f>
        <v>81.986</v>
      </c>
      <c r="F7951" s="38" t="n">
        <f aca="false">Sens!$F$7948*(1-Sens!$F$7949)</f>
        <v>98.408468164951</v>
      </c>
      <c r="G7951" s="38" t="n">
        <f aca="false">Sens!$E$7951+Sens!$F$7951</f>
        <v>180.394468164951</v>
      </c>
      <c r="H7951" s="38" t="n">
        <f aca="false">Sens!$H$7948*(1-Sens!$H$7949)</f>
        <v>199.709899104949</v>
      </c>
      <c r="I7951" s="38" t="n">
        <f aca="false">Sens!$I$7948*(1-Sens!$I$7949)</f>
        <v>218.385528264976</v>
      </c>
      <c r="J7951" s="38" t="n">
        <f aca="false">Sens!$J$7948*(1-Sens!$J$7949)</f>
        <v>235.71696994951</v>
      </c>
      <c r="K7951" s="38" t="n">
        <f aca="false">Sens!$K$7948*(1-Sens!$K$7949)</f>
        <v>250.968227869545</v>
      </c>
      <c r="L7951" s="38" t="n">
        <f aca="false">Sens!$L$7948*(1-Sens!$L$7949)</f>
        <v>267.285367225822</v>
      </c>
      <c r="M7951" s="38" t="n">
        <f aca="false">Sens!$M$7948*(1-Sens!$M$7949)</f>
        <v>284.748579483295</v>
      </c>
      <c r="N7951" s="38" t="n">
        <f aca="false">Q!$N$6</f>
        <v>70.274</v>
      </c>
      <c r="O7951" s="38" t="n">
        <f aca="false">Q!$O$6</f>
        <v>91.62</v>
      </c>
      <c r="P7951" s="5" t="s">
        <v>697</v>
      </c>
    </row>
    <row r="7952" customFormat="false" ht="17.15" hidden="false" customHeight="false" outlineLevel="0" collapsed="false">
      <c r="A7952" s="5" t="s">
        <v>698</v>
      </c>
      <c r="B7952" s="0" t="s">
        <v>86</v>
      </c>
      <c r="C7952" s="38" t="n">
        <f aca="false">Sens!$C$7941*Sens!$C$7949</f>
        <v>41.0683128828457</v>
      </c>
      <c r="D7952" s="38" t="n">
        <f aca="false">Sens!$D$7941*Sens!$D$7949</f>
        <v>49.7441234599175</v>
      </c>
      <c r="E7952" s="38" t="n">
        <f aca="false">Sens!$E$7941*Sens!$E$7949</f>
        <v>27.0034224924414</v>
      </c>
      <c r="F7952" s="38" t="n">
        <f aca="false">Sens!$F$7941*Sens!$F$7949</f>
        <v>33.1439448330513</v>
      </c>
      <c r="G7952" s="38" t="n">
        <f aca="false">Sens!$G$7941*Sens!$G$7949</f>
        <v>60.164183844083</v>
      </c>
      <c r="H7952" s="38" t="n">
        <f aca="false">Sens!$H$7941*Sens!$H$7949</f>
        <v>72.2301766552629</v>
      </c>
      <c r="I7952" s="38" t="n">
        <f aca="false">Sens!$I$7941*Sens!$I$7949</f>
        <v>84.2950764463991</v>
      </c>
      <c r="J7952" s="38" t="n">
        <f aca="false">Sens!$J$7941*Sens!$J$7949</f>
        <v>95.5499047729386</v>
      </c>
      <c r="K7952" s="38" t="n">
        <f aca="false">Sens!$K$7941*Sens!$K$7949</f>
        <v>105.104895250232</v>
      </c>
      <c r="L7952" s="38" t="n">
        <f aca="false">Sens!$L$7941*Sens!$L$7949</f>
        <v>115.615384775256</v>
      </c>
      <c r="M7952" s="38" t="n">
        <f aca="false">Sens!$M$7941*Sens!$M$7949</f>
        <v>127.176923252781</v>
      </c>
      <c r="N7952" s="38" t="n">
        <f aca="false">Sens!$N$7941*Sens!$N$7949</f>
        <v>21.7087111412496</v>
      </c>
      <c r="O7952" s="38" t="n">
        <f aca="false">Sens!$O$7941*Sens!$O$7949</f>
        <v>28.0189463642798</v>
      </c>
      <c r="P7952" s="5" t="s">
        <v>699</v>
      </c>
    </row>
    <row r="7953" customFormat="false" ht="15" hidden="false" customHeight="false" outlineLevel="0" collapsed="false">
      <c r="A7953" s="5" t="s">
        <v>700</v>
      </c>
      <c r="B7953" s="0" t="s">
        <v>86</v>
      </c>
      <c r="C7953" s="38" t="n">
        <f aca="false">Sens!$C$7941-Sens!$C$7952</f>
        <v>15.1456871171543</v>
      </c>
      <c r="D7953" s="38" t="n">
        <f aca="false">Sens!$D$7941-Sens!$D$7952</f>
        <v>18.8908765400825</v>
      </c>
      <c r="E7953" s="38" t="n">
        <f aca="false">Sens!$E$7941-Sens!$E$7952</f>
        <v>10.0485775075586</v>
      </c>
      <c r="F7953" s="38" t="n">
        <f aca="false">Sens!$F$7941-Sens!$F$7952</f>
        <v>13.0132771613635</v>
      </c>
      <c r="G7953" s="38" t="n">
        <f aca="false">Sens!$G$7941-Sens!$G$7952</f>
        <v>23.0450381503318</v>
      </c>
      <c r="H7953" s="38" t="n">
        <f aca="false">Sens!$H$7941-Sens!$H$7952</f>
        <v>27.6667457326347</v>
      </c>
      <c r="I7953" s="38" t="n">
        <f aca="false">Sens!$I$7941-Sens!$I$7952</f>
        <v>32.2880346490971</v>
      </c>
      <c r="J7953" s="38" t="n">
        <f aca="false">Sens!$J$7941-Sens!$J$7952</f>
        <v>36.5990371690132</v>
      </c>
      <c r="K7953" s="38" t="n">
        <f aca="false">Sens!$K$7941-Sens!$K$7952</f>
        <v>40.2589408859145</v>
      </c>
      <c r="L7953" s="38" t="n">
        <f aca="false">Sens!$L$7941-Sens!$L$7952</f>
        <v>44.2848349745059</v>
      </c>
      <c r="M7953" s="38" t="n">
        <f aca="false">Sens!$M$7941-Sens!$M$7952</f>
        <v>48.7133184719565</v>
      </c>
      <c r="N7953" s="38" t="n">
        <f aca="false">Sens!$N$7941-Sens!$N$7952</f>
        <v>7.90628885875037</v>
      </c>
      <c r="O7953" s="38" t="n">
        <f aca="false">Sens!$O$7941-Sens!$O$7952</f>
        <v>11.0010536357202</v>
      </c>
    </row>
    <row r="7954" customFormat="false" ht="19.4" hidden="false" customHeight="false" outlineLevel="0" collapsed="false">
      <c r="A7954" s="31" t="s">
        <v>1313</v>
      </c>
    </row>
    <row r="7955" customFormat="false" ht="17.15" hidden="false" customHeight="false" outlineLevel="0" collapsed="false">
      <c r="A7955" s="6" t="s">
        <v>16</v>
      </c>
      <c r="B7955" s="6" t="s">
        <v>17</v>
      </c>
      <c r="C7955" s="20" t="s">
        <v>504</v>
      </c>
      <c r="D7955" s="20" t="s">
        <v>505</v>
      </c>
      <c r="E7955" s="20" t="s">
        <v>587</v>
      </c>
      <c r="F7955" s="20" t="s">
        <v>588</v>
      </c>
      <c r="G7955" s="20" t="s">
        <v>589</v>
      </c>
      <c r="H7955" s="20" t="s">
        <v>590</v>
      </c>
      <c r="I7955" s="20" t="s">
        <v>591</v>
      </c>
      <c r="J7955" s="20" t="s">
        <v>592</v>
      </c>
      <c r="K7955" s="20" t="s">
        <v>593</v>
      </c>
      <c r="L7955" s="20" t="s">
        <v>594</v>
      </c>
      <c r="M7955" s="20" t="s">
        <v>595</v>
      </c>
      <c r="N7955" s="20" t="s">
        <v>596</v>
      </c>
      <c r="O7955" s="20" t="s">
        <v>597</v>
      </c>
      <c r="P7955" s="6" t="s">
        <v>23</v>
      </c>
      <c r="R7955" s="20" t="n">
        <v>2023</v>
      </c>
      <c r="S7955" s="20" t="n">
        <v>2024</v>
      </c>
      <c r="T7955" s="20" t="n">
        <v>2025</v>
      </c>
      <c r="U7955" s="20" t="n">
        <v>2026</v>
      </c>
      <c r="V7955" s="20" t="n">
        <v>2027</v>
      </c>
      <c r="W7955" s="20" t="n">
        <v>2028</v>
      </c>
      <c r="X7955" s="20" t="n">
        <v>2029</v>
      </c>
      <c r="Y7955" s="20" t="n">
        <v>2030</v>
      </c>
      <c r="Z7955" s="20" t="n">
        <v>2031</v>
      </c>
      <c r="AA7955" s="20" t="n">
        <v>2032</v>
      </c>
    </row>
    <row r="7956" customFormat="false" ht="17.15" hidden="false" customHeight="false" outlineLevel="0" collapsed="false">
      <c r="A7956" s="1" t="s">
        <v>598</v>
      </c>
    </row>
    <row r="7957" customFormat="false" ht="17.15" hidden="false" customHeight="false" outlineLevel="0" collapsed="false">
      <c r="A7957" s="5" t="s">
        <v>599</v>
      </c>
      <c r="B7957" s="0" t="s">
        <v>144</v>
      </c>
      <c r="H7957" s="32" t="n">
        <f aca="false">pace_B</f>
        <v>3634.3</v>
      </c>
      <c r="I7957" s="32" t="n">
        <f aca="false">pace_B</f>
        <v>3634.3</v>
      </c>
      <c r="J7957" s="32" t="n">
        <f aca="false">pace_B</f>
        <v>3634.3</v>
      </c>
      <c r="K7957" s="32" t="n">
        <f aca="false">pace_B+(Sens!$J$7958*tg-pace_B)*1/3</f>
        <v>2570.86716666667</v>
      </c>
      <c r="L7957" s="32" t="n">
        <f aca="false">pace_B+(Sens!$J$7958*tg-pace_B)*2/3</f>
        <v>1507.43433333333</v>
      </c>
      <c r="M7957" s="32" t="n">
        <f aca="false">pace_B+(Sens!$J$7958*tg-pace_B)*3/3</f>
        <v>444.0015</v>
      </c>
      <c r="P7957" s="5" t="s">
        <v>600</v>
      </c>
    </row>
    <row r="7958" customFormat="false" ht="17.15" hidden="false" customHeight="false" outlineLevel="0" collapsed="false">
      <c r="A7958" s="15" t="s">
        <v>601</v>
      </c>
      <c r="B7958" s="14" t="s">
        <v>129</v>
      </c>
      <c r="C7958" s="33" t="n">
        <f aca="false">mw_ye24</f>
        <v>360</v>
      </c>
      <c r="D7958" s="33" t="n">
        <f aca="false">mw_ye25</f>
        <v>1440</v>
      </c>
      <c r="E7958" s="33" t="n">
        <f aca="false">mw_open</f>
        <v>2080</v>
      </c>
      <c r="F7958" s="33" t="n">
        <f aca="false">Sens!$E$7958+pace_B*0.5</f>
        <v>3897.15</v>
      </c>
      <c r="G7958" s="33" t="n">
        <f aca="false">Sens!$F$7958</f>
        <v>3897.15</v>
      </c>
      <c r="H7958" s="33" t="n">
        <f aca="false">Sens!$G$7958+Sens!$H$7957</f>
        <v>7531.45</v>
      </c>
      <c r="I7958" s="33" t="n">
        <f aca="false">Sens!$H$7958+Sens!$I$7957</f>
        <v>11165.75</v>
      </c>
      <c r="J7958" s="33" t="n">
        <f aca="false">Sens!$I$7958+Sens!$J$7957</f>
        <v>14800.05</v>
      </c>
      <c r="K7958" s="33" t="n">
        <f aca="false">Sens!$J$7958+Sens!$K$7957</f>
        <v>17370.9171666667</v>
      </c>
      <c r="L7958" s="33" t="n">
        <f aca="false">Sens!$K$7958+Sens!$L$7957</f>
        <v>18878.3515</v>
      </c>
      <c r="M7958" s="33" t="n">
        <f aca="false">Sens!$L$7958+Sens!$M$7957</f>
        <v>19322.353</v>
      </c>
      <c r="N7958" s="33" t="n">
        <f aca="false">(mw_ye24+mw_ye25)/2</f>
        <v>900</v>
      </c>
      <c r="O7958" s="33" t="n">
        <f aca="false">mw_ye25</f>
        <v>1440</v>
      </c>
      <c r="P7958" s="5" t="s">
        <v>602</v>
      </c>
    </row>
    <row r="7959" customFormat="false" ht="17.15" hidden="false" customHeight="false" outlineLevel="0" collapsed="false">
      <c r="A7959" s="5" t="s">
        <v>603</v>
      </c>
      <c r="B7959" s="0" t="s">
        <v>129</v>
      </c>
      <c r="C7959" s="32" t="n">
        <f aca="false">(mw_ye23+mw_ye24)/2</f>
        <v>240</v>
      </c>
      <c r="D7959" s="32" t="n">
        <f aca="false">(Sens!$C$7958+Sens!$D$7958)/2</f>
        <v>900</v>
      </c>
      <c r="E7959" s="32" t="n">
        <f aca="false">(Sens!$D$7958+Sens!$E$7958)/2</f>
        <v>1760</v>
      </c>
      <c r="F7959" s="32" t="n">
        <f aca="false">(Sens!$E$7958+Sens!$F$7958)/2</f>
        <v>2988.575</v>
      </c>
      <c r="G7959" s="32" t="n">
        <f aca="false">(Sens!$E$7959+Sens!$F$7959)/2</f>
        <v>2374.2875</v>
      </c>
      <c r="H7959" s="32" t="n">
        <f aca="false">(Sens!$G$7958+Sens!$H$7958)/2</f>
        <v>5714.3</v>
      </c>
      <c r="I7959" s="32" t="n">
        <f aca="false">(Sens!$H$7958+Sens!$I$7958)/2</f>
        <v>9348.6</v>
      </c>
      <c r="J7959" s="32" t="n">
        <f aca="false">(Sens!$I$7958+Sens!$J$7958)/2</f>
        <v>12982.9</v>
      </c>
      <c r="K7959" s="32" t="n">
        <f aca="false">(Sens!$J$7958+Sens!$K$7958)/2</f>
        <v>16085.4835833333</v>
      </c>
      <c r="L7959" s="32" t="n">
        <f aca="false">(Sens!$K$7958+Sens!$L$7958)/2</f>
        <v>18124.6343333333</v>
      </c>
      <c r="M7959" s="32" t="n">
        <f aca="false">(Sens!$L$7958+Sens!$M$7958)/2</f>
        <v>19100.35225</v>
      </c>
      <c r="N7959" s="32" t="n">
        <f aca="false">(Sens!$C$7958+Sens!$N$7958)/2</f>
        <v>630</v>
      </c>
      <c r="O7959" s="32" t="n">
        <f aca="false">(Sens!$N$7958+Sens!$O$7958)/2</f>
        <v>1170</v>
      </c>
    </row>
    <row r="7960" customFormat="false" ht="15" hidden="false" customHeight="false" outlineLevel="0" collapsed="false">
      <c r="A7960" s="5" t="s">
        <v>604</v>
      </c>
      <c r="B7960" s="5" t="s">
        <v>123</v>
      </c>
      <c r="C7960" s="34" t="n">
        <v>1</v>
      </c>
      <c r="D7960" s="34" t="n">
        <v>1</v>
      </c>
      <c r="E7960" s="34" t="n">
        <v>0.5</v>
      </c>
      <c r="F7960" s="34" t="n">
        <v>0.5</v>
      </c>
      <c r="G7960" s="34" t="n">
        <v>1</v>
      </c>
      <c r="H7960" s="34" t="n">
        <v>1</v>
      </c>
      <c r="I7960" s="34" t="n">
        <v>1</v>
      </c>
      <c r="J7960" s="34" t="n">
        <v>1</v>
      </c>
      <c r="K7960" s="34" t="n">
        <v>1</v>
      </c>
      <c r="L7960" s="34" t="n">
        <v>1</v>
      </c>
      <c r="M7960" s="34" t="n">
        <v>1</v>
      </c>
      <c r="N7960" s="34" t="n">
        <v>0.5</v>
      </c>
      <c r="O7960" s="34" t="n">
        <v>0.5</v>
      </c>
    </row>
    <row r="7961" customFormat="false" ht="17.15" hidden="false" customHeight="false" outlineLevel="0" collapsed="false">
      <c r="A7961" s="5" t="s">
        <v>605</v>
      </c>
      <c r="B7961" s="0" t="s">
        <v>129</v>
      </c>
      <c r="C7961" s="32" t="n">
        <f aca="false">Sens!$C$7958-mw_ye23</f>
        <v>240</v>
      </c>
      <c r="D7961" s="32" t="n">
        <f aca="false">Sens!$D$7958-Sens!$C$7958</f>
        <v>1080</v>
      </c>
      <c r="E7961" s="32" t="n">
        <f aca="false">Sens!$E$7958-Sens!$D$7958</f>
        <v>640</v>
      </c>
      <c r="F7961" s="32" t="n">
        <f aca="false">Sens!$F$7958-Sens!$E$7958</f>
        <v>1817.15</v>
      </c>
      <c r="G7961" s="32" t="n">
        <f aca="false">Sens!$E$7961+Sens!$F$7961</f>
        <v>2457.15</v>
      </c>
      <c r="H7961" s="32" t="n">
        <f aca="false">Sens!$H$7958-Sens!$G$7958</f>
        <v>3634.3</v>
      </c>
      <c r="I7961" s="32" t="n">
        <f aca="false">Sens!$I$7958-Sens!$H$7958</f>
        <v>3634.3</v>
      </c>
      <c r="J7961" s="32" t="n">
        <f aca="false">Sens!$J$7958-Sens!$I$7958</f>
        <v>3634.3</v>
      </c>
      <c r="K7961" s="32" t="n">
        <f aca="false">Sens!$K$7958-Sens!$J$7958</f>
        <v>2570.86716666667</v>
      </c>
      <c r="L7961" s="32" t="n">
        <f aca="false">Sens!$L$7958-Sens!$K$7958</f>
        <v>1507.43433333333</v>
      </c>
      <c r="M7961" s="32" t="n">
        <f aca="false">Sens!$M$7958-Sens!$L$7958</f>
        <v>444.001499999999</v>
      </c>
      <c r="N7961" s="32" t="n">
        <f aca="false">Sens!$N$7958-Sens!$C$7958</f>
        <v>540</v>
      </c>
      <c r="O7961" s="32" t="n">
        <f aca="false">Sens!$O$7958-Sens!$N$7958</f>
        <v>540</v>
      </c>
    </row>
    <row r="7962" customFormat="false" ht="17.15" hidden="false" customHeight="false" outlineLevel="0" collapsed="false">
      <c r="A7962" s="5" t="s">
        <v>606</v>
      </c>
      <c r="B7962" s="0" t="s">
        <v>129</v>
      </c>
      <c r="C7962" s="32" t="n">
        <f aca="false">Sens!$C$7961/ext_sh</f>
        <v>300</v>
      </c>
      <c r="D7962" s="32" t="n">
        <f aca="false">Sens!$D$7961/ext_sh</f>
        <v>1350</v>
      </c>
      <c r="E7962" s="32" t="n">
        <f aca="false">Sens!$E$7961/ext_sh</f>
        <v>800</v>
      </c>
      <c r="F7962" s="32" t="n">
        <f aca="false">Sens!$F$7961/ext_sh</f>
        <v>2271.4375</v>
      </c>
      <c r="G7962" s="32" t="n">
        <f aca="false">Sens!$G$7961/ext_sh</f>
        <v>3071.4375</v>
      </c>
      <c r="H7962" s="32" t="n">
        <f aca="false">Sens!$H$7961/ext_sh</f>
        <v>4542.875</v>
      </c>
      <c r="I7962" s="32" t="n">
        <f aca="false">Sens!$I$7961/ext_sh</f>
        <v>4542.875</v>
      </c>
      <c r="J7962" s="32" t="n">
        <f aca="false">Sens!$J$7961/ext_sh</f>
        <v>4542.875</v>
      </c>
      <c r="K7962" s="32" t="n">
        <f aca="false">Sens!$K$7961/ext_sh</f>
        <v>3213.58395833333</v>
      </c>
      <c r="L7962" s="32" t="n">
        <f aca="false">Sens!$L$7961/ext_sh</f>
        <v>1884.29291666667</v>
      </c>
      <c r="M7962" s="32" t="n">
        <f aca="false">Sens!$M$7961/ext_sh</f>
        <v>555.001874999998</v>
      </c>
      <c r="N7962" s="32" t="n">
        <f aca="false">Sens!$N$7961/ext_sh</f>
        <v>675</v>
      </c>
      <c r="O7962" s="32" t="n">
        <f aca="false">Sens!$O$7961/ext_sh</f>
        <v>675</v>
      </c>
      <c r="P7962" s="8" t="s">
        <v>607</v>
      </c>
      <c r="R7962" s="32" t="n">
        <f aca="false">mw_ye23/ext_sh</f>
        <v>150</v>
      </c>
      <c r="S7962" s="32" t="n">
        <f aca="false">Sens!$C$7962</f>
        <v>300</v>
      </c>
      <c r="T7962" s="32" t="n">
        <f aca="false">Sens!$D$7962</f>
        <v>1350</v>
      </c>
      <c r="U7962" s="32" t="n">
        <f aca="false">Sens!$G$7962</f>
        <v>3071.4375</v>
      </c>
      <c r="V7962" s="32" t="n">
        <f aca="false">Sens!$H$7962</f>
        <v>4542.875</v>
      </c>
      <c r="W7962" s="32" t="n">
        <f aca="false">Sens!$I$7962</f>
        <v>4542.875</v>
      </c>
      <c r="X7962" s="32" t="n">
        <f aca="false">Sens!$J$7962</f>
        <v>4542.875</v>
      </c>
      <c r="Y7962" s="32" t="n">
        <f aca="false">Sens!$K$7962</f>
        <v>3213.58395833333</v>
      </c>
      <c r="Z7962" s="32" t="n">
        <f aca="false">Sens!$L$7962</f>
        <v>1884.29291666667</v>
      </c>
      <c r="AA7962" s="32" t="n">
        <f aca="false">Sens!$M$7962</f>
        <v>555.001874999998</v>
      </c>
    </row>
    <row r="7963" customFormat="false" ht="17.15" hidden="false" customHeight="false" outlineLevel="0" collapsed="false">
      <c r="A7963" s="1" t="s">
        <v>608</v>
      </c>
    </row>
    <row r="7964" customFormat="false" ht="17.15" hidden="false" customHeight="false" outlineLevel="0" collapsed="false">
      <c r="A7964" s="0" t="s">
        <v>609</v>
      </c>
      <c r="B7964" s="0" t="s">
        <v>52</v>
      </c>
      <c r="F7964" s="35" t="n">
        <f aca="false">na_vr26</f>
        <v>0</v>
      </c>
      <c r="G7964" s="35" t="n">
        <f aca="false">na_vr26</f>
        <v>0</v>
      </c>
      <c r="H7964" s="35" t="n">
        <f aca="false">na_vr27</f>
        <v>0.5</v>
      </c>
      <c r="I7964" s="35" t="n">
        <f aca="false">na_vr28</f>
        <v>1</v>
      </c>
      <c r="J7964" s="35" t="n">
        <f aca="false">na_vr28</f>
        <v>1</v>
      </c>
      <c r="K7964" s="35" t="n">
        <f aca="false">na_vr28</f>
        <v>1</v>
      </c>
      <c r="L7964" s="35" t="n">
        <f aca="false">na_vr28</f>
        <v>1</v>
      </c>
      <c r="M7964" s="35" t="n">
        <f aca="false">na_vr28</f>
        <v>1</v>
      </c>
    </row>
    <row r="7965" customFormat="false" ht="17.15" hidden="false" customHeight="false" outlineLevel="0" collapsed="false">
      <c r="A7965" s="5" t="s">
        <v>610</v>
      </c>
      <c r="B7965" s="0" t="s">
        <v>173</v>
      </c>
      <c r="F7965" s="36" t="n">
        <f aca="false">cust_sh*tk_he_gb300*cf_chip+(1-cust_sh)*((1-Sens!$F$7964)*tk_he_gb300+Sens!$F$7964*tk_he_vr200)</f>
        <v>10.8864110021101</v>
      </c>
      <c r="G7965" s="36" t="n">
        <f aca="false">cust_sh*tk_he_gb300*cf_chip+(1-cust_sh)*((1-Sens!$G$7964)*tk_he_gb300+Sens!$G$7964*tk_he_vr200)</f>
        <v>10.8864110021101</v>
      </c>
      <c r="H7965" s="36" t="n">
        <f aca="false">cust_sh*tk_he_gb300*cf_chip+(1-cust_sh)*((1-Sens!$H$7964)*tk_he_gb300+Sens!$H$7964*tk_he_vr200)</f>
        <v>11.2211760027286</v>
      </c>
      <c r="I7965" s="36" t="n">
        <f aca="false">cust_sh*tk_he_gb300*cf_chip+(1-cust_sh)*((1-Sens!$I$7964)*tk_he_gb300+Sens!$I$7964*tk_he_vr200)</f>
        <v>11.5559410033471</v>
      </c>
      <c r="J7965" s="36" t="n">
        <f aca="false">cust_sh*tk_he_gb300*cf_chip+(1-cust_sh)*((1-Sens!$J$7964)*tk_he_gb300+Sens!$J$7964*tk_he_vr200)</f>
        <v>11.5559410033471</v>
      </c>
      <c r="K7965" s="36" t="n">
        <f aca="false">cust_sh*tk_he_gb300*cf_chip+(1-cust_sh)*((1-Sens!$K$7964)*tk_he_gb300+Sens!$K$7964*tk_he_vr200)</f>
        <v>11.5559410033471</v>
      </c>
      <c r="L7965" s="36" t="n">
        <f aca="false">cust_sh*tk_he_gb300*cf_chip+(1-cust_sh)*((1-Sens!$L$7964)*tk_he_gb300+Sens!$L$7964*tk_he_vr200)</f>
        <v>11.5559410033471</v>
      </c>
      <c r="M7965" s="36" t="n">
        <f aca="false">cust_sh*tk_he_gb300*cf_chip+(1-cust_sh)*((1-Sens!$M$7964)*tk_he_gb300+Sens!$M$7964*tk_he_vr200)</f>
        <v>11.5559410033471</v>
      </c>
    </row>
    <row r="7966" customFormat="false" ht="17.15" hidden="false" customHeight="false" outlineLevel="0" collapsed="false">
      <c r="A7966" s="5" t="s">
        <v>611</v>
      </c>
      <c r="B7966" s="0" t="s">
        <v>173</v>
      </c>
      <c r="F7966" s="36" t="n">
        <f aca="false">cust_sh*tk_ox_gb300+(1-cust_sh)*((1-Sens!$F$7964)*tk_ox_gb300+Sens!$F$7964*tk_ox_vr200)</f>
        <v>1.98263481314457</v>
      </c>
      <c r="G7966" s="36" t="n">
        <f aca="false">cust_sh*tk_ox_gb300+(1-cust_sh)*((1-Sens!$G$7964)*tk_ox_gb300+Sens!$G$7964*tk_ox_vr200)</f>
        <v>1.98263481314457</v>
      </c>
      <c r="H7966" s="36" t="n">
        <f aca="false">cust_sh*tk_ox_gb300+(1-cust_sh)*((1-Sens!$H$7964)*tk_ox_gb300+Sens!$H$7964*tk_ox_vr200)</f>
        <v>2.01034999693694</v>
      </c>
      <c r="I7966" s="36" t="n">
        <f aca="false">cust_sh*tk_ox_gb300+(1-cust_sh)*((1-Sens!$I$7964)*tk_ox_gb300+Sens!$I$7964*tk_ox_vr200)</f>
        <v>2.0380651807293</v>
      </c>
      <c r="J7966" s="36" t="n">
        <f aca="false">cust_sh*tk_ox_gb300+(1-cust_sh)*((1-Sens!$J$7964)*tk_ox_gb300+Sens!$J$7964*tk_ox_vr200)</f>
        <v>2.0380651807293</v>
      </c>
      <c r="K7966" s="36" t="n">
        <f aca="false">cust_sh*tk_ox_gb300+(1-cust_sh)*((1-Sens!$K$7964)*tk_ox_gb300+Sens!$K$7964*tk_ox_vr200)</f>
        <v>2.0380651807293</v>
      </c>
      <c r="L7966" s="36" t="n">
        <f aca="false">cust_sh*tk_ox_gb300+(1-cust_sh)*((1-Sens!$L$7964)*tk_ox_gb300+Sens!$L$7964*tk_ox_vr200)</f>
        <v>2.0380651807293</v>
      </c>
      <c r="M7966" s="36" t="n">
        <f aca="false">cust_sh*tk_ox_gb300+(1-cust_sh)*((1-Sens!$M$7964)*tk_ox_gb300+Sens!$M$7964*tk_ox_vr200)</f>
        <v>2.0380651807293</v>
      </c>
    </row>
    <row r="7967" customFormat="false" ht="17.15" hidden="false" customHeight="false" outlineLevel="0" collapsed="false">
      <c r="A7967" s="5" t="s">
        <v>612</v>
      </c>
      <c r="B7967" s="0" t="s">
        <v>192</v>
      </c>
      <c r="F7967" s="36" t="n">
        <f aca="false">cust_sh*tk_cx_gb300*cf_cx+(1-cust_sh)*((1-Sens!$F$7964)*tk_cx_gb300+Sens!$F$7964*tk_cx_vr200)</f>
        <v>32.237224</v>
      </c>
      <c r="G7967" s="36" t="n">
        <f aca="false">cust_sh*tk_cx_gb300*cf_cx+(1-cust_sh)*((1-Sens!$G$7964)*tk_cx_gb300+Sens!$G$7964*tk_cx_vr200)</f>
        <v>32.237224</v>
      </c>
      <c r="H7967" s="36" t="n">
        <f aca="false">cust_sh*tk_cx_gb300*cf_cx+(1-cust_sh)*((1-Sens!$H$7964)*tk_cx_gb300+Sens!$H$7964*tk_cx_vr200)</f>
        <v>33.574506</v>
      </c>
      <c r="I7967" s="36" t="n">
        <f aca="false">cust_sh*tk_cx_gb300*cf_cx+(1-cust_sh)*((1-Sens!$I$7964)*tk_cx_gb300+Sens!$I$7964*tk_cx_vr200)</f>
        <v>34.911788</v>
      </c>
      <c r="J7967" s="36" t="n">
        <f aca="false">cust_sh*tk_cx_gb300*cf_cx+(1-cust_sh)*((1-Sens!$J$7964)*tk_cx_gb300+Sens!$J$7964*tk_cx_vr200)</f>
        <v>34.911788</v>
      </c>
      <c r="K7967" s="36" t="n">
        <f aca="false">cust_sh*tk_cx_gb300*cf_cx+(1-cust_sh)*((1-Sens!$K$7964)*tk_cx_gb300+Sens!$K$7964*tk_cx_vr200)</f>
        <v>34.911788</v>
      </c>
      <c r="L7967" s="36" t="n">
        <f aca="false">cust_sh*tk_cx_gb300*cf_cx+(1-cust_sh)*((1-Sens!$L$7964)*tk_cx_gb300+Sens!$L$7964*tk_cx_vr200)</f>
        <v>34.911788</v>
      </c>
      <c r="M7967" s="36" t="n">
        <f aca="false">cust_sh*tk_cx_gb300*cf_cx+(1-cust_sh)*((1-Sens!$M$7964)*tk_cx_gb300+Sens!$M$7964*tk_cx_vr200)</f>
        <v>34.911788</v>
      </c>
    </row>
    <row r="7968" customFormat="false" ht="17.15" hidden="false" customHeight="false" outlineLevel="0" collapsed="false">
      <c r="A7968" s="5" t="s">
        <v>613</v>
      </c>
      <c r="B7968" s="0" t="s">
        <v>129</v>
      </c>
      <c r="F7968" s="32" t="n">
        <f aca="false">Sens!$F$7958-mw_open</f>
        <v>1817.15</v>
      </c>
      <c r="G7968" s="32" t="n">
        <f aca="false">Sens!$F$7968</f>
        <v>1817.15</v>
      </c>
      <c r="H7968" s="32" t="n">
        <f aca="false">Sens!$H$7958-mw_open</f>
        <v>5451.45</v>
      </c>
      <c r="I7968" s="32" t="n">
        <f aca="false">Sens!$I$7958-mw_open</f>
        <v>9085.75</v>
      </c>
      <c r="J7968" s="32" t="n">
        <f aca="false">Sens!$J$7958-mw_open</f>
        <v>12720.05</v>
      </c>
      <c r="K7968" s="32" t="n">
        <f aca="false">Sens!$K$7958-mw_open</f>
        <v>15290.9171666667</v>
      </c>
      <c r="L7968" s="32" t="n">
        <f aca="false">Sens!$L$7958-mw_open</f>
        <v>16798.3515</v>
      </c>
      <c r="M7968" s="32" t="n">
        <f aca="false">Sens!$M$7958-mw_open</f>
        <v>17242.353</v>
      </c>
    </row>
    <row r="7969" customFormat="false" ht="17.15" hidden="false" customHeight="false" outlineLevel="0" collapsed="false">
      <c r="A7969" s="0" t="s">
        <v>614</v>
      </c>
      <c r="B7969" s="0" t="s">
        <v>615</v>
      </c>
      <c r="F7969" s="32" t="n">
        <f aca="false">Sens!$F$7961*Sens!$F$7965</f>
        <v>19782.2417524844</v>
      </c>
      <c r="G7969" s="32" t="n">
        <f aca="false">Sens!$F$7969</f>
        <v>19782.2417524844</v>
      </c>
      <c r="H7969" s="32" t="n">
        <f aca="false">Sens!$G$7969+Sens!$H$7961*Sens!$H$7965</f>
        <v>60563.3616992009</v>
      </c>
      <c r="I7969" s="32" t="n">
        <f aca="false">Sens!$H$7969+Sens!$I$7961*Sens!$I$7965</f>
        <v>102561.118087665</v>
      </c>
      <c r="J7969" s="32" t="n">
        <f aca="false">Sens!$I$7969+Sens!$J$7961*Sens!$J$7965</f>
        <v>144558.87447613</v>
      </c>
      <c r="K7969" s="32" t="n">
        <f aca="false">Sens!$J$7969+Sens!$K$7961*Sens!$K$7965</f>
        <v>174267.663781572</v>
      </c>
      <c r="L7969" s="32" t="n">
        <f aca="false">Sens!$K$7969+Sens!$L$7961*Sens!$L$7965</f>
        <v>191687.486003992</v>
      </c>
      <c r="M7969" s="32" t="n">
        <f aca="false">Sens!$L$7969+Sens!$M$7961*Sens!$M$7965</f>
        <v>196818.341143389</v>
      </c>
    </row>
    <row r="7970" customFormat="false" ht="17.15" hidden="false" customHeight="false" outlineLevel="0" collapsed="false">
      <c r="A7970" s="0" t="s">
        <v>616</v>
      </c>
      <c r="B7970" s="0" t="s">
        <v>615</v>
      </c>
      <c r="F7970" s="32" t="n">
        <f aca="false">Sens!$F$7961*Sens!$F$7966</f>
        <v>3602.74485070566</v>
      </c>
      <c r="G7970" s="32" t="n">
        <f aca="false">Sens!$F$7970</f>
        <v>3602.74485070566</v>
      </c>
      <c r="H7970" s="32" t="n">
        <f aca="false">Sens!$G$7970+Sens!$H$7961*Sens!$H$7966</f>
        <v>10908.9598445736</v>
      </c>
      <c r="I7970" s="32" t="n">
        <f aca="false">Sens!$H$7970+Sens!$I$7961*Sens!$I$7966</f>
        <v>18315.9001308981</v>
      </c>
      <c r="J7970" s="32" t="n">
        <f aca="false">Sens!$I$7970+Sens!$J$7961*Sens!$J$7966</f>
        <v>25722.8404172225</v>
      </c>
      <c r="K7970" s="32" t="n">
        <f aca="false">Sens!$J$7970+Sens!$K$7961*Sens!$K$7966</f>
        <v>30962.4352738861</v>
      </c>
      <c r="L7970" s="32" t="n">
        <f aca="false">Sens!$K$7970+Sens!$L$7961*Sens!$L$7966</f>
        <v>34034.6847008886</v>
      </c>
      <c r="M7970" s="32" t="n">
        <f aca="false">Sens!$L$7970+Sens!$M$7961*Sens!$M$7966</f>
        <v>34939.5886982302</v>
      </c>
    </row>
    <row r="7971" customFormat="false" ht="17.15" hidden="false" customHeight="false" outlineLevel="0" collapsed="false">
      <c r="A7971" s="5" t="s">
        <v>617</v>
      </c>
      <c r="B7971" s="0" t="s">
        <v>173</v>
      </c>
      <c r="F7971" s="36" t="n">
        <f aca="false">IF(Sens!$F$7968&gt;0,Sens!$F$7969/Sens!$F$7968,Sens!$F$7965)</f>
        <v>10.8864110021101</v>
      </c>
      <c r="G7971" s="36" t="n">
        <f aca="false">IF(Sens!$G$7968&gt;0,Sens!$G$7969/Sens!$G$7968,Sens!$G$7965)</f>
        <v>10.8864110021101</v>
      </c>
      <c r="H7971" s="36" t="n">
        <f aca="false">IF(Sens!$H$7968&gt;0,Sens!$H$7969/Sens!$H$7968,Sens!$H$7965)</f>
        <v>11.1095876691891</v>
      </c>
      <c r="I7971" s="36" t="n">
        <f aca="false">IF(Sens!$I$7968&gt;0,Sens!$I$7969/Sens!$I$7968,Sens!$I$7965)</f>
        <v>11.2881290028523</v>
      </c>
      <c r="J7971" s="36" t="n">
        <f aca="false">IF(Sens!$J$7968&gt;0,Sens!$J$7969/Sens!$J$7968,Sens!$J$7965)</f>
        <v>11.3646467172794</v>
      </c>
      <c r="K7971" s="36" t="n">
        <f aca="false">IF(Sens!$K$7968&gt;0,Sens!$K$7969/Sens!$K$7968,Sens!$K$7965)</f>
        <v>11.3968090914432</v>
      </c>
      <c r="L7971" s="36" t="n">
        <f aca="false">IF(Sens!$L$7968&gt;0,Sens!$L$7969/Sens!$L$7968,Sens!$L$7965)</f>
        <v>11.4110891181192</v>
      </c>
      <c r="M7971" s="36" t="n">
        <f aca="false">IF(Sens!$M$7968&gt;0,Sens!$M$7969/Sens!$M$7968,Sens!$M$7965)</f>
        <v>11.4148191458201</v>
      </c>
    </row>
    <row r="7972" customFormat="false" ht="17.15" hidden="false" customHeight="false" outlineLevel="0" collapsed="false">
      <c r="A7972" s="5" t="s">
        <v>618</v>
      </c>
      <c r="B7972" s="0" t="s">
        <v>173</v>
      </c>
      <c r="F7972" s="36" t="n">
        <f aca="false">IF(Sens!$F$7968&gt;0,Sens!$F$7970/Sens!$F$7968,Sens!$F$7966)</f>
        <v>1.98263481314457</v>
      </c>
      <c r="G7972" s="36" t="n">
        <f aca="false">IF(Sens!$G$7968&gt;0,Sens!$G$7970/Sens!$G$7968,Sens!$G$7966)</f>
        <v>1.98263481314457</v>
      </c>
      <c r="H7972" s="36" t="n">
        <f aca="false">IF(Sens!$H$7968&gt;0,Sens!$H$7970/Sens!$H$7968,Sens!$H$7966)</f>
        <v>2.00111160233948</v>
      </c>
      <c r="I7972" s="36" t="n">
        <f aca="false">IF(Sens!$I$7968&gt;0,Sens!$I$7970/Sens!$I$7968,Sens!$I$7966)</f>
        <v>2.01589303369541</v>
      </c>
      <c r="J7972" s="36" t="n">
        <f aca="false">IF(Sens!$J$7968&gt;0,Sens!$J$7970/Sens!$J$7968,Sens!$J$7966)</f>
        <v>2.02222793284795</v>
      </c>
      <c r="K7972" s="36" t="n">
        <f aca="false">IF(Sens!$K$7968&gt;0,Sens!$K$7970/Sens!$K$7968,Sens!$K$7966)</f>
        <v>2.02489065478573</v>
      </c>
      <c r="L7972" s="36" t="n">
        <f aca="false">IF(Sens!$L$7968&gt;0,Sens!$L$7970/Sens!$L$7968,Sens!$L$7966)</f>
        <v>2.0260728977417</v>
      </c>
      <c r="M7972" s="36" t="n">
        <f aca="false">IF(Sens!$M$7968&gt;0,Sens!$M$7970/Sens!$M$7968,Sens!$M$7966)</f>
        <v>2.02638170661685</v>
      </c>
    </row>
    <row r="7973" customFormat="false" ht="17.15" hidden="false" customHeight="false" outlineLevel="0" collapsed="false">
      <c r="A7973" s="15" t="s">
        <v>619</v>
      </c>
      <c r="B7973" s="14" t="s">
        <v>173</v>
      </c>
      <c r="C7973" s="14"/>
      <c r="D7973" s="14"/>
      <c r="E7973" s="14"/>
      <c r="F7973" s="37" t="n">
        <f aca="false">Sens!$F$7971*k_B</f>
        <v>10.7987645808025</v>
      </c>
      <c r="G7973" s="37" t="n">
        <f aca="false">Sens!$G$7971*k_B</f>
        <v>10.7987645808025</v>
      </c>
      <c r="H7973" s="37" t="n">
        <f aca="false">Sens!$H$7971*k_B</f>
        <v>11.0201444540452</v>
      </c>
      <c r="I7973" s="37" t="n">
        <f aca="false">Sens!$I$7971*k_B</f>
        <v>11.1972483526393</v>
      </c>
      <c r="J7973" s="37" t="n">
        <f aca="false">Sens!$J$7971*k_B</f>
        <v>11.2731500234653</v>
      </c>
      <c r="K7973" s="37" t="n">
        <f aca="false">Sens!$K$7971*k_B</f>
        <v>11.3050534585724</v>
      </c>
      <c r="L7973" s="37" t="n">
        <f aca="false">Sens!$L$7971*k_B</f>
        <v>11.3192185168503</v>
      </c>
      <c r="M7973" s="37" t="n">
        <f aca="false">Sens!$M$7971*k_B</f>
        <v>11.3229185141234</v>
      </c>
      <c r="N7973" s="14"/>
      <c r="O7973" s="14"/>
      <c r="P7973" s="5" t="s">
        <v>620</v>
      </c>
    </row>
    <row r="7974" customFormat="false" ht="17.15" hidden="false" customHeight="false" outlineLevel="0" collapsed="false">
      <c r="A7974" s="5" t="s">
        <v>621</v>
      </c>
      <c r="B7974" s="0" t="s">
        <v>129</v>
      </c>
      <c r="F7974" s="32" t="n">
        <f aca="false">Sens!$F$7968/2</f>
        <v>908.575</v>
      </c>
      <c r="H7974" s="32" t="n">
        <f aca="false">(Sens!$G$7968+Sens!$H$7968)/2</f>
        <v>3634.3</v>
      </c>
      <c r="I7974" s="32" t="n">
        <f aca="false">(Sens!$H$7968+Sens!$I$7968)/2</f>
        <v>7268.6</v>
      </c>
      <c r="J7974" s="32" t="n">
        <f aca="false">(Sens!$I$7968+Sens!$J$7968)/2</f>
        <v>10902.9</v>
      </c>
      <c r="K7974" s="32" t="n">
        <f aca="false">(Sens!$J$7968+Sens!$K$7968)/2</f>
        <v>14005.4835833333</v>
      </c>
      <c r="L7974" s="32" t="n">
        <f aca="false">(Sens!$K$7968+Sens!$L$7968)/2</f>
        <v>16044.6343333333</v>
      </c>
      <c r="M7974" s="32" t="n">
        <f aca="false">(Sens!$L$7968+Sens!$M$7968)/2</f>
        <v>17020.35225</v>
      </c>
    </row>
    <row r="7975" customFormat="false" ht="17.15" hidden="false" customHeight="false" outlineLevel="0" collapsed="false">
      <c r="A7975" s="1" t="s">
        <v>622</v>
      </c>
    </row>
    <row r="7976" customFormat="false" ht="17.15" hidden="false" customHeight="false" outlineLevel="0" collapsed="false">
      <c r="A7976" s="1" t="s">
        <v>623</v>
      </c>
      <c r="B7976" s="8" t="s">
        <v>86</v>
      </c>
      <c r="C7976" s="38" t="n">
        <f aca="false">Sens!$C$7959*rpm_open*Sens!$C$7960/1000</f>
        <v>2.32100535697364</v>
      </c>
      <c r="D7976" s="38" t="n">
        <f aca="false">Sens!$D$7959*rpm_open*Sens!$D$7960/1000</f>
        <v>8.70377008865116</v>
      </c>
      <c r="E7976" s="38" t="n">
        <f aca="false">Sens!$E$7959*rpm_open*Sens!$E$7960/1000</f>
        <v>8.51035297557002</v>
      </c>
      <c r="F7976" s="38" t="n">
        <f aca="false">(mw_open*rpm_open+Sens!$F$7974*Sens!$F$7973)*Sens!$F$7960/1000</f>
        <v>14.9634336447205</v>
      </c>
      <c r="G7976" s="38" t="n">
        <f aca="false">Sens!$E$7976+Sens!$F$7976</f>
        <v>23.4737866202905</v>
      </c>
      <c r="H7976" s="38" t="n">
        <f aca="false">(mw_open*rpm_open+Sens!$H$7974*Sens!$H$7973)/1000</f>
        <v>60.1658907497746</v>
      </c>
      <c r="I7976" s="38" t="n">
        <f aca="false">(mw_open*rpm_open+Sens!$I$7974*Sens!$I$7973)/1000</f>
        <v>101.503699136432</v>
      </c>
      <c r="J7976" s="38" t="n">
        <f aca="false">(mw_open*rpm_open+Sens!$J$7974*Sens!$J$7973)/1000</f>
        <v>143.025407151278</v>
      </c>
      <c r="K7976" s="38" t="n">
        <f aca="false">(mw_open*rpm_open+Sens!$K$7974*Sens!$K$7973)/1000</f>
        <v>178.44812038318</v>
      </c>
      <c r="L7976" s="38" t="n">
        <f aca="false">(mw_open*rpm_open+Sens!$L$7974*Sens!$L$7973)/1000</f>
        <v>201.728101802396</v>
      </c>
      <c r="M7976" s="38" t="n">
        <f aca="false">(mw_open*rpm_open+Sens!$M$7974*Sens!$M$7973)/1000</f>
        <v>212.835441368865</v>
      </c>
      <c r="N7976" s="38" t="n">
        <f aca="false">Sens!$N$7959*rpm_open*Sens!$N$7960/1000</f>
        <v>3.04631953102791</v>
      </c>
      <c r="O7976" s="38" t="n">
        <f aca="false">Sens!$O$7959*rpm_open*Sens!$O$7960/1000</f>
        <v>5.65745055762326</v>
      </c>
      <c r="P7976" s="5" t="s">
        <v>624</v>
      </c>
    </row>
    <row r="7977" customFormat="false" ht="17.15" hidden="false" customHeight="false" outlineLevel="0" collapsed="false">
      <c r="A7977" s="5" t="s">
        <v>625</v>
      </c>
      <c r="B7977" s="0" t="s">
        <v>173</v>
      </c>
      <c r="C7977" s="36" t="n">
        <f aca="false">Sens!$C$7976*1000/(Sens!$C$7959*Sens!$C$7960)</f>
        <v>9.67085565405685</v>
      </c>
      <c r="D7977" s="36" t="n">
        <f aca="false">Sens!$D$7976*1000/(Sens!$D$7959*Sens!$D$7960)</f>
        <v>9.67085565405685</v>
      </c>
      <c r="E7977" s="36" t="n">
        <f aca="false">Sens!$E$7976*1000/(Sens!$E$7959*Sens!$E$7960)</f>
        <v>9.67085565405685</v>
      </c>
      <c r="F7977" s="36" t="n">
        <f aca="false">Sens!$F$7976*1000/(Sens!$F$7959*Sens!$F$7960)</f>
        <v>10.0137581588017</v>
      </c>
      <c r="G7977" s="36" t="n">
        <f aca="false">Sens!$G$7976*1000/(Sens!$G$7959*Sens!$G$7960)</f>
        <v>9.88666562928478</v>
      </c>
      <c r="H7977" s="36" t="n">
        <f aca="false">Sens!$H$7976*1000/(Sens!$H$7959*Sens!$H$7960)</f>
        <v>10.5290045586992</v>
      </c>
      <c r="I7977" s="36" t="n">
        <f aca="false">Sens!$I$7976*1000/(Sens!$I$7959*Sens!$I$7960)</f>
        <v>10.8576363451674</v>
      </c>
      <c r="J7977" s="36" t="n">
        <f aca="false">Sens!$J$7976*1000/(Sens!$J$7959*Sens!$J$7960)</f>
        <v>11.0164452588619</v>
      </c>
      <c r="K7977" s="36" t="n">
        <f aca="false">Sens!$K$7976*1000/(Sens!$K$7959*Sens!$K$7960)</f>
        <v>11.0937367508227</v>
      </c>
      <c r="L7977" s="36" t="n">
        <f aca="false">Sens!$L$7976*1000/(Sens!$L$7959*Sens!$L$7960)</f>
        <v>11.1300508519168</v>
      </c>
      <c r="M7977" s="36" t="n">
        <f aca="false">Sens!$M$7976*1000/(Sens!$M$7959*Sens!$M$7960)</f>
        <v>11.1430113216297</v>
      </c>
      <c r="N7977" s="36" t="n">
        <f aca="false">Sens!$N$7976*1000/(Sens!$N$7959*Sens!$N$7960)</f>
        <v>9.67085565405685</v>
      </c>
      <c r="O7977" s="36" t="n">
        <f aca="false">Sens!$O$7976*1000/(Sens!$O$7959*Sens!$O$7960)</f>
        <v>9.67085565405685</v>
      </c>
    </row>
    <row r="7978" customFormat="false" ht="17.15" hidden="false" customHeight="false" outlineLevel="0" collapsed="false">
      <c r="A7978" s="0" t="s">
        <v>626</v>
      </c>
      <c r="B7978" s="0" t="s">
        <v>86</v>
      </c>
      <c r="C7978" s="38" t="n">
        <f aca="false">Sens!$C$7959/ext_sh*(ox_open+rent_mw)*Sens!$C$7960/1000</f>
        <v>0.642569210675032</v>
      </c>
      <c r="D7978" s="38" t="n">
        <f aca="false">Sens!$D$7959/ext_sh*(ox_open+rent_mw)*Sens!$D$7960/1000</f>
        <v>2.40963454003137</v>
      </c>
      <c r="E7978" s="38" t="n">
        <f aca="false">Sens!$E$7959/ext_sh*(ox_open+rent_mw)*Sens!$E$7960/1000</f>
        <v>2.35608710580845</v>
      </c>
      <c r="F7978" s="38" t="n">
        <f aca="false">((mw_open*ox_open+Sens!$F$7974*Sens!$F$7972)/ext_sh+Sens!$F$7959/ext_sh*rent_mw)*Sens!$F$7960/1000</f>
        <v>4.05421991106232</v>
      </c>
      <c r="G7978" s="38" t="n">
        <f aca="false">Sens!$E$7978+Sens!$F$7978</f>
        <v>6.41030701687077</v>
      </c>
      <c r="H7978" s="38" t="n">
        <f aca="false">((mw_open*ox_open+Sens!$H$7974*Sens!$H$7972)/ext_sh+Sens!$H$7959/ext_sh*rent_mw)*Sens!$H$7960/1000</f>
        <v>15.8108975546616</v>
      </c>
      <c r="I7978" s="38" t="n">
        <f aca="false">((mw_open*ox_open+Sens!$I$7974*Sens!$I$7972)/ext_sh+Sens!$I$7959/ext_sh*rent_mw)*Sens!$I$7960/1000</f>
        <v>26.1871623400817</v>
      </c>
      <c r="J7978" s="38" t="n">
        <f aca="false">((mw_open*ox_open+Sens!$J$7974*Sens!$J$7972)/ext_sh+Sens!$J$7959/ext_sh*rent_mw)*Sens!$J$7960/1000</f>
        <v>36.5826128954935</v>
      </c>
      <c r="K7978" s="38" t="n">
        <f aca="false">((mw_open*ox_open+Sens!$K$7974*Sens!$K$7972)/ext_sh+Sens!$K$7959/ext_sh*rent_mw)*Sens!$K$7960/1000</f>
        <v>45.4546361137628</v>
      </c>
      <c r="L7978" s="38" t="n">
        <f aca="false">((mw_open*ox_open+Sens!$L$7974*Sens!$L$7972)/ext_sh+Sens!$L$7959/ext_sh*rent_mw)*Sens!$L$7960/1000</f>
        <v>51.2855695554452</v>
      </c>
      <c r="M7978" s="38" t="n">
        <f aca="false">((mw_open*ox_open+Sens!$M$7974*Sens!$M$7972)/ext_sh+Sens!$M$7959/ext_sh*rent_mw)*Sens!$M$7960/1000</f>
        <v>54.0722927838398</v>
      </c>
      <c r="N7978" s="38" t="n">
        <f aca="false">Sens!$N$7959/ext_sh*(ox_open+rent_mw)*Sens!$N$7960/1000</f>
        <v>0.84337208901098</v>
      </c>
      <c r="O7978" s="38" t="n">
        <f aca="false">Sens!$O$7959/ext_sh*(ox_open+rent_mw)*Sens!$O$7960/1000</f>
        <v>1.56626245102039</v>
      </c>
    </row>
    <row r="7979" customFormat="false" ht="17.15" hidden="false" customHeight="false" outlineLevel="0" collapsed="false">
      <c r="A7979" s="0" t="s">
        <v>627</v>
      </c>
      <c r="B7979" s="0" t="s">
        <v>86</v>
      </c>
      <c r="C7979" s="38" t="n">
        <f aca="false">Q!$D$7</f>
        <v>107.556</v>
      </c>
      <c r="D7979" s="38" t="n">
        <f aca="false">Q!$E$7</f>
        <v>128.725</v>
      </c>
      <c r="E7979" s="38" t="n">
        <f aca="false">Q!$P$7</f>
        <v>79.819</v>
      </c>
      <c r="N7979" s="38" t="n">
        <f aca="false">Q!$N$7</f>
        <v>60.14</v>
      </c>
      <c r="O7979" s="38" t="n">
        <f aca="false">Q!$O$7</f>
        <v>68.585</v>
      </c>
    </row>
    <row r="7980" customFormat="false" ht="17.15" hidden="false" customHeight="false" outlineLevel="0" collapsed="false">
      <c r="A7980" s="1" t="s">
        <v>628</v>
      </c>
      <c r="B7980" s="8" t="s">
        <v>86</v>
      </c>
      <c r="C7980" s="38" t="n">
        <f aca="false">Sens!$C$7979-Sens!$C$7976</f>
        <v>105.234994643026</v>
      </c>
      <c r="D7980" s="38" t="n">
        <f aca="false">Sens!$D$7979-Sens!$D$7976</f>
        <v>120.021229911349</v>
      </c>
      <c r="E7980" s="38" t="n">
        <f aca="false">Sens!$E$7979-Sens!$E$7976</f>
        <v>71.30864702443</v>
      </c>
      <c r="F7980" s="38" t="n">
        <f aca="false">Sens!$O$7980*(1+Sens!$F$7981)</f>
        <v>71.7692997942464</v>
      </c>
      <c r="G7980" s="38" t="n">
        <f aca="false">Sens!$E$7980+Sens!$F$7980</f>
        <v>143.077946818676</v>
      </c>
      <c r="H7980" s="38" t="n">
        <f aca="false">Sens!$G$7980*(1+Sens!$H$7981)</f>
        <v>161.017077079203</v>
      </c>
      <c r="I7980" s="38" t="n">
        <f aca="false">Sens!$H$7980*(1+Sens!$I$7981)</f>
        <v>178.769759521457</v>
      </c>
      <c r="J7980" s="38" t="n">
        <f aca="false">Sens!$I$7980*(1+Sens!$J$7981)</f>
        <v>195.775538045907</v>
      </c>
      <c r="K7980" s="38" t="n">
        <f aca="false">Sens!$J$7980*(1+Sens!$K$7981)</f>
        <v>211.43758108958</v>
      </c>
      <c r="L7980" s="38" t="n">
        <f aca="false">Sens!$K$7980*(1+Sens!$L$7981)</f>
        <v>228.352587576746</v>
      </c>
      <c r="M7980" s="38" t="n">
        <f aca="false">Sens!$L$7980*(1+Sens!$M$7981)</f>
        <v>246.620794582886</v>
      </c>
      <c r="N7980" s="38" t="n">
        <f aca="false">Sens!$N$7979-Sens!$N$7976</f>
        <v>57.0936804689721</v>
      </c>
      <c r="O7980" s="38" t="n">
        <f aca="false">Sens!$O$7979-Sens!$O$7976</f>
        <v>62.9275494423768</v>
      </c>
      <c r="P7980" s="5" t="s">
        <v>629</v>
      </c>
    </row>
    <row r="7981" customFormat="false" ht="17.15" hidden="false" customHeight="false" outlineLevel="0" collapsed="false">
      <c r="A7981" s="0" t="s">
        <v>630</v>
      </c>
      <c r="B7981" s="0" t="s">
        <v>52</v>
      </c>
      <c r="D7981" s="13" t="n">
        <f aca="false">Sens!$D$7980/Sens!$C$7980-1</f>
        <v>0.140506827776062</v>
      </c>
      <c r="E7981" s="13" t="n">
        <f aca="false">Sens!$E$7980/Sens!$N$7980-1</f>
        <v>0.248976181579029</v>
      </c>
      <c r="F7981" s="13" t="n">
        <f aca="false">Sens!$D$7981</f>
        <v>0.140506827776062</v>
      </c>
      <c r="G7981" s="13" t="n">
        <f aca="false">Sens!$G$7980/Sens!$D$7980-1</f>
        <v>0.19210532106993</v>
      </c>
      <c r="H7981" s="13" t="n">
        <f aca="false">Sens!$F$7981+(g_awso_lt-Sens!$F$7981)*1/4</f>
        <v>0.125380120832046</v>
      </c>
      <c r="I7981" s="13" t="n">
        <f aca="false">Sens!$F$7981+(g_awso_lt-Sens!$F$7981)*2/4</f>
        <v>0.110253413888031</v>
      </c>
      <c r="J7981" s="13" t="n">
        <f aca="false">Sens!$F$7981+(g_awso_lt-Sens!$F$7981)*3/4</f>
        <v>0.0951267069440154</v>
      </c>
      <c r="K7981" s="13" t="n">
        <f aca="false">Sens!$F$7981+(g_awso_lt-Sens!$F$7981)*4/4</f>
        <v>0.08</v>
      </c>
      <c r="L7981" s="13" t="n">
        <f aca="false">g_awso_lt</f>
        <v>0.08</v>
      </c>
      <c r="M7981" s="13" t="n">
        <f aca="false">g_awso_lt</f>
        <v>0.08</v>
      </c>
      <c r="P7981" s="5" t="s">
        <v>631</v>
      </c>
    </row>
    <row r="7982" customFormat="false" ht="17.15" hidden="false" customHeight="false" outlineLevel="0" collapsed="false">
      <c r="A7982" s="1" t="s">
        <v>632</v>
      </c>
    </row>
    <row r="7983" customFormat="false" ht="17.15" hidden="false" customHeight="false" outlineLevel="0" collapsed="false">
      <c r="A7983" s="0" t="s">
        <v>633</v>
      </c>
      <c r="B7983" s="0" t="s">
        <v>86</v>
      </c>
      <c r="F7983" s="38" t="n">
        <f aca="false">cx_rt*Sens!$F$7948+cx_awso*Sens!$F$7980</f>
        <v>34.9734495387866</v>
      </c>
    </row>
    <row r="7984" customFormat="false" ht="17.15" hidden="false" customHeight="false" outlineLevel="0" collapsed="false">
      <c r="A7984" s="0" t="s">
        <v>634</v>
      </c>
      <c r="B7984" s="0" t="s">
        <v>52</v>
      </c>
      <c r="C7984" s="13" t="n">
        <f aca="false">tk_cx_h100/(tk_cx_h100+tk_fac*(1-colo_sh))</f>
        <v>0.730756458006641</v>
      </c>
      <c r="D7984" s="13" t="n">
        <f aca="false">tk_cx_h100/(tk_cx_h100+tk_fac*(1-colo_sh))</f>
        <v>0.730756458006641</v>
      </c>
      <c r="E7984" s="13" t="n">
        <f aca="false">Sens!$F$7984</f>
        <v>0.760792334328868</v>
      </c>
      <c r="F7984" s="13" t="n">
        <f aca="false">Sens!$F$7967/(Sens!$F$7967+tk_fac*(1-colo_sh))</f>
        <v>0.760792334328868</v>
      </c>
      <c r="G7984" s="13" t="n">
        <f aca="false">Sens!$G$7967/(Sens!$G$7967+tk_fac*(1-colo_sh))</f>
        <v>0.760792334328868</v>
      </c>
      <c r="H7984" s="13" t="n">
        <f aca="false">Sens!$H$7967/(Sens!$H$7967+tk_fac*(1-colo_sh))</f>
        <v>0.768110668862996</v>
      </c>
      <c r="I7984" s="13" t="n">
        <f aca="false">Sens!$I$7967/(Sens!$I$7967+tk_fac*(1-colo_sh))</f>
        <v>0.77499450139483</v>
      </c>
      <c r="J7984" s="13" t="n">
        <f aca="false">Sens!$J$7967/(Sens!$J$7967+tk_fac*(1-colo_sh))</f>
        <v>0.77499450139483</v>
      </c>
      <c r="K7984" s="13" t="n">
        <f aca="false">Sens!$K$7967/(Sens!$K$7967+tk_fac*(1-colo_sh))</f>
        <v>0.77499450139483</v>
      </c>
      <c r="L7984" s="13" t="n">
        <f aca="false">Sens!$L$7967/(Sens!$L$7967+tk_fac*(1-colo_sh))</f>
        <v>0.77499450139483</v>
      </c>
      <c r="M7984" s="13" t="n">
        <f aca="false">Sens!$M$7967/(Sens!$M$7967+tk_fac*(1-colo_sh))</f>
        <v>0.77499450139483</v>
      </c>
    </row>
    <row r="7985" customFormat="false" ht="17.15" hidden="false" customHeight="false" outlineLevel="0" collapsed="false">
      <c r="A7985" s="1" t="s">
        <v>635</v>
      </c>
      <c r="B7985" s="8" t="s">
        <v>86</v>
      </c>
      <c r="C7985" s="38" t="n">
        <f aca="false">Q!$D$46-cx_rt*Q!$D$16-cx_awso*Sens!$C$7980</f>
        <v>25.2781053077374</v>
      </c>
      <c r="D7985" s="38" t="n">
        <f aca="false">Q!$E$46-cx_rt*Q!$E$16-cx_awso*Sens!$D$7980</f>
        <v>69.5686316310026</v>
      </c>
      <c r="E7985" s="38" t="n">
        <f aca="false">Q!$P$46-cx_rt*Q!$P$16-cx_awso*Sens!$E$7980</f>
        <v>64.1899206485108</v>
      </c>
      <c r="F7985" s="38" t="n">
        <f aca="false">capex_g26-Q!$P$46-Sens!$F$7983</f>
        <v>88.7165504612134</v>
      </c>
      <c r="G7985" s="38" t="n">
        <f aca="false">Sens!$E$7985+Sens!$F$7985</f>
        <v>152.906471109724</v>
      </c>
      <c r="H7985" s="38" t="n">
        <f aca="false">Sens!$H$7962*(Sens!$H$7967+tk_fac*(1-colo_sh))/1000+Sens!$H$7986</f>
        <v>198.57136494475</v>
      </c>
      <c r="I7985" s="38" t="n">
        <f aca="false">Sens!$I$7962*(Sens!$I$7967+tk_fac*(1-colo_sh))/1000+Sens!$I$7986</f>
        <v>204.6464699105</v>
      </c>
      <c r="J7985" s="38" t="n">
        <f aca="false">Sens!$J$7962*(Sens!$J$7967+tk_fac*(1-colo_sh))/1000+Sens!$J$7986</f>
        <v>209.8832381105</v>
      </c>
      <c r="K7985" s="38" t="n">
        <f aca="false">Sens!$K$7962*(Sens!$K$7967+tk_fac*(1-colo_sh))/1000+Sens!$K$7986</f>
        <v>155.238385275201</v>
      </c>
      <c r="L7985" s="38" t="n">
        <f aca="false">Sens!$L$7962*(Sens!$L$7967+tk_fac*(1-colo_sh))/1000+Sens!$L$7986</f>
        <v>132.014141639902</v>
      </c>
      <c r="M7985" s="38" t="n">
        <f aca="false">Sens!$M$7962*(Sens!$M$7967+tk_fac*(1-colo_sh))/1000+Sens!$M$7986</f>
        <v>132.230981659852</v>
      </c>
      <c r="P7985" s="5" t="s">
        <v>636</v>
      </c>
      <c r="R7985" s="38" t="n">
        <f aca="false">Q!$C$46-cx_rt*Q!$C$16-cx_awso*(Q!$C$7-mw_ye23/2*rpm_open/1000)</f>
        <v>1.50429979529945</v>
      </c>
      <c r="S7985" s="38" t="n">
        <f aca="false">Sens!$C$7985</f>
        <v>25.2781053077374</v>
      </c>
      <c r="T7985" s="38" t="n">
        <f aca="false">Sens!$D$7985</f>
        <v>69.5686316310026</v>
      </c>
      <c r="U7985" s="38" t="n">
        <f aca="false">Sens!$G$7985</f>
        <v>152.906471109724</v>
      </c>
      <c r="V7985" s="38" t="n">
        <f aca="false">Sens!$H$7985</f>
        <v>198.57136494475</v>
      </c>
      <c r="W7985" s="38" t="n">
        <f aca="false">Sens!$I$7985</f>
        <v>204.6464699105</v>
      </c>
      <c r="X7985" s="38" t="n">
        <f aca="false">Sens!$J$7985</f>
        <v>209.8832381105</v>
      </c>
      <c r="Y7985" s="38" t="n">
        <f aca="false">Sens!$K$7985</f>
        <v>155.238385275201</v>
      </c>
      <c r="Z7985" s="38" t="n">
        <f aca="false">Sens!$L$7985</f>
        <v>132.014141639902</v>
      </c>
      <c r="AA7985" s="38" t="n">
        <f aca="false">Sens!$M$7985</f>
        <v>132.230981659852</v>
      </c>
    </row>
    <row r="7986" customFormat="false" ht="17.15" hidden="false" customHeight="false" outlineLevel="0" collapsed="false">
      <c r="A7986" s="0" t="s">
        <v>637</v>
      </c>
      <c r="B7986" s="0" t="s">
        <v>86</v>
      </c>
      <c r="H7986" s="38" t="n">
        <f aca="false">SUMPRODUCT(--(Sens!$R$7955:$AA$7955=2027-tk_life),Sens!$R$7962:$AA$7962)*Sens!$H$7967/1000</f>
        <v>0</v>
      </c>
      <c r="I7986" s="38" t="n">
        <f aca="false">SUMPRODUCT(--(Sens!$R$7955:$AA$7955=2028-tk_life),Sens!$R$7962:$AA$7962)*Sens!$I$7967/1000</f>
        <v>0</v>
      </c>
      <c r="J7986" s="38" t="n">
        <f aca="false">SUMPRODUCT(--(Sens!$R$7955:$AA$7955=2029-tk_life),Sens!$R$7962:$AA$7962)*Sens!$J$7967/1000</f>
        <v>5.2367682</v>
      </c>
      <c r="K7986" s="38" t="n">
        <f aca="false">SUMPRODUCT(--(Sens!$R$7955:$AA$7955=2030-tk_life),Sens!$R$7962:$AA$7962)*Sens!$K$7967/1000</f>
        <v>10.4735364</v>
      </c>
      <c r="L7986" s="38" t="n">
        <f aca="false">SUMPRODUCT(--(Sens!$R$7955:$AA$7955=2031-tk_life),Sens!$R$7962:$AA$7962)*Sens!$L$7967/1000</f>
        <v>47.1309138</v>
      </c>
      <c r="M7986" s="38" t="n">
        <f aca="false">SUMPRODUCT(--(Sens!$R$7955:$AA$7955=2032-tk_life),Sens!$R$7962:$AA$7962)*Sens!$M$7967/1000</f>
        <v>107.22937485525</v>
      </c>
    </row>
    <row r="7987" customFormat="false" ht="17.15" hidden="false" customHeight="false" outlineLevel="0" collapsed="false">
      <c r="A7987" s="0" t="s">
        <v>638</v>
      </c>
      <c r="B7987" s="0" t="s">
        <v>86</v>
      </c>
      <c r="C7987" s="38" t="n">
        <f aca="false">MIN(Sens!$C$7985,Sens!$C$7962*(tk_cx_h100+tk_fac*(1-colo_sh))/1000)</f>
        <v>11.2938642</v>
      </c>
      <c r="D7987" s="38" t="n">
        <f aca="false">MIN(Sens!$D$7985,Sens!$D$7962*(tk_cx_h100+tk_fac*(1-colo_sh))/1000)</f>
        <v>50.8223889</v>
      </c>
      <c r="E7987" s="38" t="n">
        <f aca="false">MIN(Sens!$E$7985,Sens!$E$7962*(Sens!$F$7967+tk_fac*(1-colo_sh))/1000)</f>
        <v>33.8985792</v>
      </c>
      <c r="F7987" s="38" t="n">
        <f aca="false">Sens!$F$7985</f>
        <v>88.7165504612134</v>
      </c>
      <c r="G7987" s="38" t="n">
        <f aca="false">Sens!$E$7987+Sens!$F$7987</f>
        <v>122.615129661213</v>
      </c>
      <c r="H7987" s="38" t="n">
        <f aca="false">Sens!$H$7985</f>
        <v>198.57136494475</v>
      </c>
      <c r="I7987" s="38" t="n">
        <f aca="false">Sens!$I$7985</f>
        <v>204.6464699105</v>
      </c>
      <c r="J7987" s="38" t="n">
        <f aca="false">Sens!$J$7985</f>
        <v>209.8832381105</v>
      </c>
      <c r="K7987" s="38" t="n">
        <f aca="false">Sens!$K$7985</f>
        <v>155.238385275201</v>
      </c>
      <c r="L7987" s="38" t="n">
        <f aca="false">Sens!$L$7985</f>
        <v>132.014141639902</v>
      </c>
      <c r="M7987" s="38" t="n">
        <f aca="false">Sens!$M$7985</f>
        <v>132.230981659852</v>
      </c>
      <c r="P7987" s="5" t="s">
        <v>639</v>
      </c>
      <c r="R7987" s="38" t="n">
        <f aca="false">MIN(Sens!$R$7985,Sens!$R$7962*(tk_cx_h100+tk_fac*(1-colo_sh))/1000)</f>
        <v>1.50429979529945</v>
      </c>
      <c r="S7987" s="38" t="n">
        <f aca="false">Sens!$C$7987</f>
        <v>11.2938642</v>
      </c>
      <c r="T7987" s="38" t="n">
        <f aca="false">Sens!$D$7987</f>
        <v>50.8223889</v>
      </c>
      <c r="U7987" s="38" t="n">
        <f aca="false">Sens!$G$7987</f>
        <v>122.615129661213</v>
      </c>
      <c r="V7987" s="38" t="n">
        <f aca="false">Sens!$H$7987</f>
        <v>198.57136494475</v>
      </c>
      <c r="W7987" s="38" t="n">
        <f aca="false">Sens!$I$7987</f>
        <v>204.6464699105</v>
      </c>
      <c r="X7987" s="38" t="n">
        <f aca="false">Sens!$J$7987</f>
        <v>209.8832381105</v>
      </c>
      <c r="Y7987" s="38" t="n">
        <f aca="false">Sens!$K$7987</f>
        <v>155.238385275201</v>
      </c>
      <c r="Z7987" s="38" t="n">
        <f aca="false">Sens!$L$7987</f>
        <v>132.014141639902</v>
      </c>
      <c r="AA7987" s="38" t="n">
        <f aca="false">Sens!$M$7987</f>
        <v>132.230981659852</v>
      </c>
    </row>
    <row r="7988" customFormat="false" ht="17.15" hidden="false" customHeight="false" outlineLevel="0" collapsed="false">
      <c r="A7988" s="5" t="s">
        <v>640</v>
      </c>
      <c r="B7988" s="0" t="s">
        <v>86</v>
      </c>
      <c r="C7988" s="38" t="n">
        <f aca="false">Sens!$C$7985-Sens!$C$7987</f>
        <v>13.9842411077374</v>
      </c>
      <c r="D7988" s="38" t="n">
        <f aca="false">Sens!$D$7985-Sens!$D$7987</f>
        <v>18.7462427310026</v>
      </c>
      <c r="E7988" s="38" t="n">
        <f aca="false">Sens!$E$7985-Sens!$E$7987</f>
        <v>30.2913414485108</v>
      </c>
      <c r="F7988" s="38" t="n">
        <f aca="false">Sens!$F$7985-Sens!$F$7987</f>
        <v>0</v>
      </c>
      <c r="G7988" s="38" t="n">
        <f aca="false">Sens!$G$7985-Sens!$G$7987</f>
        <v>30.2913414485108</v>
      </c>
      <c r="H7988" s="38" t="n">
        <f aca="false">Sens!$H$7985-Sens!$H$7987</f>
        <v>0</v>
      </c>
      <c r="I7988" s="38" t="n">
        <f aca="false">Sens!$I$7985-Sens!$I$7987</f>
        <v>0</v>
      </c>
      <c r="J7988" s="38" t="n">
        <f aca="false">Sens!$J$7985-Sens!$J$7987</f>
        <v>0</v>
      </c>
      <c r="K7988" s="38" t="n">
        <f aca="false">Sens!$K$7985-Sens!$K$7987</f>
        <v>0</v>
      </c>
      <c r="L7988" s="38" t="n">
        <f aca="false">Sens!$L$7985-Sens!$L$7987</f>
        <v>0</v>
      </c>
      <c r="M7988" s="38" t="n">
        <f aca="false">Sens!$M$7985-Sens!$M$7987</f>
        <v>0</v>
      </c>
      <c r="P7988" s="5" t="s">
        <v>641</v>
      </c>
      <c r="R7988" s="38" t="n">
        <f aca="false">Sens!$R$7985-Sens!$R$7987</f>
        <v>0</v>
      </c>
      <c r="S7988" s="38" t="n">
        <f aca="false">Sens!$S$7985-Sens!$S$7987</f>
        <v>13.9842411077374</v>
      </c>
      <c r="T7988" s="38" t="n">
        <f aca="false">Sens!$T$7985-Sens!$T$7987</f>
        <v>18.7462427310026</v>
      </c>
      <c r="U7988" s="38" t="n">
        <f aca="false">Sens!$U$7985-Sens!$U$7987</f>
        <v>30.2913414485108</v>
      </c>
      <c r="V7988" s="38" t="n">
        <f aca="false">Sens!$V$7985-Sens!$V$7987</f>
        <v>0</v>
      </c>
      <c r="W7988" s="38" t="n">
        <f aca="false">Sens!$W$7985-Sens!$W$7987</f>
        <v>0</v>
      </c>
      <c r="X7988" s="38" t="n">
        <f aca="false">Sens!$X$7985-Sens!$X$7987</f>
        <v>0</v>
      </c>
      <c r="Y7988" s="38" t="n">
        <f aca="false">Sens!$Y$7985-Sens!$Y$7987</f>
        <v>0</v>
      </c>
      <c r="Z7988" s="38" t="n">
        <f aca="false">Sens!$Z$7985-Sens!$Z$7987</f>
        <v>0</v>
      </c>
      <c r="AA7988" s="38" t="n">
        <f aca="false">Sens!$AA$7985-Sens!$AA$7987</f>
        <v>0</v>
      </c>
    </row>
    <row r="7989" customFormat="false" ht="17.15" hidden="false" customHeight="false" outlineLevel="0" collapsed="false">
      <c r="A7989" s="5" t="s">
        <v>642</v>
      </c>
      <c r="B7989" s="0" t="s">
        <v>86</v>
      </c>
      <c r="R7989" s="38" t="n">
        <f aca="false">Sens!$R$7988*Sens!$C$7984</f>
        <v>0</v>
      </c>
      <c r="S7989" s="38" t="n">
        <f aca="false">Sens!$S$7988*Sens!$C$7984</f>
        <v>10.219074499801</v>
      </c>
      <c r="T7989" s="38" t="n">
        <f aca="false">Sens!$T$7988*Sens!$C$7984</f>
        <v>13.6989379390402</v>
      </c>
      <c r="U7989" s="38" t="n">
        <f aca="false">Sens!$U$7988*Sens!$E$7984</f>
        <v>23.0454203705653</v>
      </c>
      <c r="V7989" s="38" t="n">
        <f aca="false">Sens!$V$7988*Sens!$E$7984</f>
        <v>0</v>
      </c>
      <c r="W7989" s="38" t="n">
        <f aca="false">Sens!$W$7988*Sens!$E$7984</f>
        <v>0</v>
      </c>
      <c r="X7989" s="38" t="n">
        <f aca="false">Sens!$X$7988*Sens!$E$7984</f>
        <v>0</v>
      </c>
      <c r="Y7989" s="38" t="n">
        <f aca="false">Sens!$Y$7988*Sens!$E$7984</f>
        <v>0</v>
      </c>
      <c r="Z7989" s="38" t="n">
        <f aca="false">Sens!$Z$7988*Sens!$E$7984</f>
        <v>0</v>
      </c>
      <c r="AA7989" s="38" t="n">
        <f aca="false">Sens!$AA$7988*Sens!$E$7984</f>
        <v>0</v>
      </c>
    </row>
    <row r="7990" customFormat="false" ht="17.15" hidden="false" customHeight="false" outlineLevel="0" collapsed="false">
      <c r="A7990" s="5" t="s">
        <v>643</v>
      </c>
      <c r="B7990" s="0" t="s">
        <v>86</v>
      </c>
      <c r="R7990" s="38" t="n">
        <f aca="false">SUMPRODUCT(--(Sens!$R$7955:$AA$7955=2023-cip_lag),Sens!$R$7989:$AA$7989)</f>
        <v>0</v>
      </c>
      <c r="S7990" s="38" t="n">
        <f aca="false">SUMPRODUCT(--(Sens!$R$7955:$AA$7955=2024-cip_lag),Sens!$R$7989:$AA$7989)</f>
        <v>0</v>
      </c>
      <c r="T7990" s="38" t="n">
        <f aca="false">SUMPRODUCT(--(Sens!$R$7955:$AA$7955=2025-cip_lag),Sens!$R$7989:$AA$7989)</f>
        <v>10.219074499801</v>
      </c>
      <c r="U7990" s="38" t="n">
        <f aca="false">SUMPRODUCT(--(Sens!$R$7955:$AA$7955=2026-cip_lag),Sens!$R$7989:$AA$7989)</f>
        <v>13.6989379390402</v>
      </c>
      <c r="V7990" s="38" t="n">
        <f aca="false">SUMPRODUCT(--(Sens!$R$7955:$AA$7955=2027-cip_lag),Sens!$R$7989:$AA$7989)</f>
        <v>23.0454203705653</v>
      </c>
      <c r="W7990" s="38" t="n">
        <f aca="false">SUMPRODUCT(--(Sens!$R$7955:$AA$7955=2028-cip_lag),Sens!$R$7989:$AA$7989)</f>
        <v>0</v>
      </c>
      <c r="X7990" s="38" t="n">
        <f aca="false">SUMPRODUCT(--(Sens!$R$7955:$AA$7955=2029-cip_lag),Sens!$R$7989:$AA$7989)</f>
        <v>0</v>
      </c>
      <c r="Y7990" s="38" t="n">
        <f aca="false">SUMPRODUCT(--(Sens!$R$7955:$AA$7955=2030-cip_lag),Sens!$R$7989:$AA$7989)</f>
        <v>0</v>
      </c>
      <c r="Z7990" s="38" t="n">
        <f aca="false">SUMPRODUCT(--(Sens!$R$7955:$AA$7955=2031-cip_lag),Sens!$R$7989:$AA$7989)</f>
        <v>0</v>
      </c>
      <c r="AA7990" s="38" t="n">
        <f aca="false">SUMPRODUCT(--(Sens!$R$7955:$AA$7955=2032-cip_lag),Sens!$R$7989:$AA$7989)</f>
        <v>0</v>
      </c>
    </row>
    <row r="7991" customFormat="false" ht="15" hidden="false" customHeight="false" outlineLevel="0" collapsed="false">
      <c r="A7991" s="5" t="s">
        <v>644</v>
      </c>
      <c r="B7991" s="0" t="s">
        <v>86</v>
      </c>
      <c r="R7991" s="38" t="n">
        <f aca="false">SUMPRODUCT(--(Sens!$R$7955:$AA$7955=2023-cip_lag),Sens!$R$7988:$AA$7988)-Sens!$R$7990</f>
        <v>0</v>
      </c>
      <c r="S7991" s="38" t="n">
        <f aca="false">SUMPRODUCT(--(Sens!$R$7955:$AA$7955=2024-cip_lag),Sens!$R$7988:$AA$7988)-Sens!$S$7990</f>
        <v>0</v>
      </c>
      <c r="T7991" s="38" t="n">
        <f aca="false">SUMPRODUCT(--(Sens!$R$7955:$AA$7955=2025-cip_lag),Sens!$R$7988:$AA$7988)-Sens!$T$7990</f>
        <v>3.76516660793636</v>
      </c>
      <c r="U7991" s="38" t="n">
        <f aca="false">SUMPRODUCT(--(Sens!$R$7955:$AA$7955=2026-cip_lag),Sens!$R$7988:$AA$7988)-Sens!$U$7990</f>
        <v>5.04730479196242</v>
      </c>
      <c r="V7991" s="38" t="n">
        <f aca="false">SUMPRODUCT(--(Sens!$R$7955:$AA$7955=2027-cip_lag),Sens!$R$7988:$AA$7988)-Sens!$V$7990</f>
        <v>7.24592107794548</v>
      </c>
      <c r="W7991" s="38" t="n">
        <f aca="false">SUMPRODUCT(--(Sens!$R$7955:$AA$7955=2028-cip_lag),Sens!$R$7988:$AA$7988)-Sens!$W$7990</f>
        <v>0</v>
      </c>
      <c r="X7991" s="38" t="n">
        <f aca="false">SUMPRODUCT(--(Sens!$R$7955:$AA$7955=2029-cip_lag),Sens!$R$7988:$AA$7988)-Sens!$X$7990</f>
        <v>0</v>
      </c>
      <c r="Y7991" s="38" t="n">
        <f aca="false">SUMPRODUCT(--(Sens!$R$7955:$AA$7955=2030-cip_lag),Sens!$R$7988:$AA$7988)-Sens!$Y$7990</f>
        <v>0</v>
      </c>
      <c r="Z7991" s="38" t="n">
        <f aca="false">SUMPRODUCT(--(Sens!$R$7955:$AA$7955=2031-cip_lag),Sens!$R$7988:$AA$7988)-Sens!$Z$7990</f>
        <v>0</v>
      </c>
      <c r="AA7991" s="38" t="n">
        <f aca="false">SUMPRODUCT(--(Sens!$R$7955:$AA$7955=2032-cip_lag),Sens!$R$7988:$AA$7988)-Sens!$AA$7990</f>
        <v>0</v>
      </c>
    </row>
    <row r="7992" customFormat="false" ht="17.15" hidden="false" customHeight="false" outlineLevel="0" collapsed="false">
      <c r="A7992" s="5" t="s">
        <v>645</v>
      </c>
      <c r="B7992" s="0" t="s">
        <v>86</v>
      </c>
      <c r="C7992" s="38" t="n">
        <f aca="false">Sens!$C$7987*Sens!$C$7984</f>
        <v>8.2530642</v>
      </c>
      <c r="D7992" s="38" t="n">
        <f aca="false">Sens!$D$7987*Sens!$D$7984</f>
        <v>37.1387889</v>
      </c>
      <c r="E7992" s="38" t="n">
        <f aca="false">Sens!$E$7987*Sens!$E$7984</f>
        <v>25.7897792</v>
      </c>
      <c r="F7992" s="38" t="n">
        <f aca="false">Sens!$F$7987*Sens!$F$7984</f>
        <v>67.4948715189913</v>
      </c>
      <c r="G7992" s="38" t="n">
        <f aca="false">Sens!$E$7992+Sens!$F$7992</f>
        <v>93.2846507189913</v>
      </c>
      <c r="H7992" s="38" t="n">
        <f aca="false">(Sens!$H$7987-Sens!$H$7986)*Sens!$H$7984+Sens!$H$7986</f>
        <v>152.52478394475</v>
      </c>
      <c r="I7992" s="38" t="n">
        <f aca="false">(Sens!$I$7987-Sens!$I$7986)*Sens!$I$7984+Sens!$I$7986</f>
        <v>158.5998889105</v>
      </c>
      <c r="J7992" s="38" t="n">
        <f aca="false">(Sens!$J$7987-Sens!$J$7986)*Sens!$J$7984+Sens!$J$7986</f>
        <v>163.8366571105</v>
      </c>
      <c r="K7992" s="38" t="n">
        <f aca="false">(Sens!$K$7987-Sens!$K$7986)*Sens!$K$7984+Sens!$K$7986</f>
        <v>122.665498273534</v>
      </c>
      <c r="L7992" s="38" t="n">
        <f aca="false">(Sens!$L$7987-Sens!$L$7986)*Sens!$L$7984+Sens!$L$7986</f>
        <v>112.914948636568</v>
      </c>
      <c r="M7992" s="38" t="n">
        <f aca="false">(Sens!$M$7987-Sens!$M$7986)*Sens!$M$7984+Sens!$M$7986</f>
        <v>126.605482654852</v>
      </c>
      <c r="R7992" s="38" t="n">
        <f aca="false">Sens!$R$7987*Sens!$C$7984</f>
        <v>1.09927679019314</v>
      </c>
      <c r="S7992" s="38" t="n">
        <f aca="false">Sens!$C$7992</f>
        <v>8.2530642</v>
      </c>
      <c r="T7992" s="38" t="n">
        <f aca="false">Sens!$D$7992</f>
        <v>37.1387889</v>
      </c>
      <c r="U7992" s="38" t="n">
        <f aca="false">Sens!$G$7992</f>
        <v>93.2846507189913</v>
      </c>
      <c r="V7992" s="38" t="n">
        <f aca="false">Sens!$H$7992</f>
        <v>152.52478394475</v>
      </c>
      <c r="W7992" s="38" t="n">
        <f aca="false">Sens!$I$7992</f>
        <v>158.5998889105</v>
      </c>
      <c r="X7992" s="38" t="n">
        <f aca="false">Sens!$J$7992</f>
        <v>163.8366571105</v>
      </c>
      <c r="Y7992" s="38" t="n">
        <f aca="false">Sens!$K$7992</f>
        <v>122.665498273534</v>
      </c>
      <c r="Z7992" s="38" t="n">
        <f aca="false">Sens!$L$7992</f>
        <v>112.914948636568</v>
      </c>
      <c r="AA7992" s="38" t="n">
        <f aca="false">Sens!$M$7992</f>
        <v>126.605482654852</v>
      </c>
    </row>
    <row r="7993" customFormat="false" ht="15" hidden="false" customHeight="false" outlineLevel="0" collapsed="false">
      <c r="A7993" s="5" t="s">
        <v>646</v>
      </c>
      <c r="B7993" s="0" t="s">
        <v>86</v>
      </c>
      <c r="C7993" s="38" t="n">
        <f aca="false">Sens!$C$7987-Sens!$C$7992</f>
        <v>3.0408</v>
      </c>
      <c r="D7993" s="38" t="n">
        <f aca="false">Sens!$D$7987-Sens!$D$7992</f>
        <v>13.6836</v>
      </c>
      <c r="E7993" s="38" t="n">
        <f aca="false">Sens!$E$7987-Sens!$E$7992</f>
        <v>8.1088</v>
      </c>
      <c r="F7993" s="38" t="n">
        <f aca="false">Sens!$F$7987-Sens!$F$7992</f>
        <v>21.2216789422221</v>
      </c>
      <c r="G7993" s="38" t="n">
        <f aca="false">Sens!$G$7987-Sens!$G$7992</f>
        <v>29.3304789422221</v>
      </c>
      <c r="H7993" s="38" t="n">
        <f aca="false">Sens!$H$7987-Sens!$H$7992</f>
        <v>46.046581</v>
      </c>
      <c r="I7993" s="38" t="n">
        <f aca="false">Sens!$I$7987-Sens!$I$7992</f>
        <v>46.046581</v>
      </c>
      <c r="J7993" s="38" t="n">
        <f aca="false">Sens!$J$7987-Sens!$J$7992</f>
        <v>46.046581</v>
      </c>
      <c r="K7993" s="38" t="n">
        <f aca="false">Sens!$K$7987-Sens!$K$7992</f>
        <v>32.5728870016667</v>
      </c>
      <c r="L7993" s="38" t="n">
        <f aca="false">Sens!$L$7987-Sens!$L$7992</f>
        <v>19.0991930033334</v>
      </c>
      <c r="M7993" s="38" t="n">
        <f aca="false">Sens!$M$7987-Sens!$M$7992</f>
        <v>5.62549900499998</v>
      </c>
      <c r="R7993" s="38" t="n">
        <f aca="false">Sens!$R$7987-Sens!$R$7992</f>
        <v>0.405023005106309</v>
      </c>
      <c r="S7993" s="38" t="n">
        <f aca="false">Sens!$S$7987-Sens!$S$7992</f>
        <v>3.0408</v>
      </c>
      <c r="T7993" s="38" t="n">
        <f aca="false">Sens!$T$7987-Sens!$T$7992</f>
        <v>13.6836</v>
      </c>
      <c r="U7993" s="38" t="n">
        <f aca="false">Sens!$U$7987-Sens!$U$7992</f>
        <v>29.3304789422221</v>
      </c>
      <c r="V7993" s="38" t="n">
        <f aca="false">Sens!$V$7987-Sens!$V$7992</f>
        <v>46.046581</v>
      </c>
      <c r="W7993" s="38" t="n">
        <f aca="false">Sens!$W$7987-Sens!$W$7992</f>
        <v>46.046581</v>
      </c>
      <c r="X7993" s="38" t="n">
        <f aca="false">Sens!$X$7987-Sens!$X$7992</f>
        <v>46.046581</v>
      </c>
      <c r="Y7993" s="38" t="n">
        <f aca="false">Sens!$Y$7987-Sens!$Y$7992</f>
        <v>32.5728870016667</v>
      </c>
      <c r="Z7993" s="38" t="n">
        <f aca="false">Sens!$Z$7987-Sens!$Z$7992</f>
        <v>19.0991930033334</v>
      </c>
      <c r="AA7993" s="38" t="n">
        <f aca="false">Sens!$AA$7987-Sens!$AA$7992</f>
        <v>5.62549900499998</v>
      </c>
    </row>
    <row r="7994" customFormat="false" ht="17.15" hidden="false" customHeight="false" outlineLevel="0" collapsed="false">
      <c r="A7994" s="0" t="s">
        <v>647</v>
      </c>
      <c r="B7994" s="0" t="s">
        <v>52</v>
      </c>
      <c r="C7994" s="13" t="n">
        <f aca="false">Sens!$C$7985/Sens!$C$8110</f>
        <v>0.325505489553393</v>
      </c>
      <c r="D7994" s="13" t="n">
        <f aca="false">Sens!$D$7985/Sens!$D$8110</f>
        <v>0.54214956071542</v>
      </c>
      <c r="E7994" s="13" t="n">
        <f aca="false">Sens!$E$7985/Sens!$E$8110</f>
        <v>0.666492790452817</v>
      </c>
      <c r="F7994" s="13" t="n">
        <f aca="false">Sens!$F$7985/Sens!$F$8110</f>
        <v>0.71724917504417</v>
      </c>
      <c r="G7994" s="13" t="n">
        <f aca="false">Sens!$G$7985/Sens!$G$8110</f>
        <v>0.69502941413511</v>
      </c>
      <c r="H7994" s="13" t="n">
        <f aca="false">Sens!$H$7985/Sens!$H$8110</f>
        <v>0.726376041178204</v>
      </c>
      <c r="I7994" s="13" t="n">
        <f aca="false">Sens!$I$7985/Sens!$I$8110</f>
        <v>0.713099092661699</v>
      </c>
      <c r="J7994" s="13" t="n">
        <f aca="false">Sens!$J$7985/Sens!$J$8110</f>
        <v>0.701208348786245</v>
      </c>
      <c r="K7994" s="13" t="n">
        <f aca="false">Sens!$K$7985/Sens!$K$8110</f>
        <v>0.618338844562383</v>
      </c>
      <c r="L7994" s="13" t="n">
        <f aca="false">Sens!$L$7985/Sens!$L$8110</f>
        <v>0.562489158462506</v>
      </c>
      <c r="M7994" s="13" t="n">
        <f aca="false">Sens!$M$7985/Sens!$M$8110</f>
        <v>0.545751190895923</v>
      </c>
    </row>
    <row r="7995" customFormat="false" ht="17.15" hidden="false" customHeight="false" outlineLevel="0" collapsed="false">
      <c r="A7995" s="0" t="s">
        <v>648</v>
      </c>
      <c r="B7995" s="0" t="s">
        <v>86</v>
      </c>
      <c r="C7995" s="38" t="n">
        <f aca="false">Sens!$S$7995</f>
        <v>0.183212798365523</v>
      </c>
      <c r="D7995" s="38" t="n">
        <f aca="false">Sens!$T$7995</f>
        <v>1.55872349836552</v>
      </c>
      <c r="E7995" s="38" t="n">
        <f aca="false">Sens!$G$7995/2</f>
        <v>4.72585036583285</v>
      </c>
      <c r="F7995" s="38" t="n">
        <f aca="false">Sens!$G$7995/2</f>
        <v>4.72585036583285</v>
      </c>
      <c r="G7995" s="38" t="n">
        <f aca="false">Sens!$U$7995</f>
        <v>9.4517007316657</v>
      </c>
      <c r="H7995" s="38" t="n">
        <f aca="false">Sens!$V$7995</f>
        <v>27.2822988413376</v>
      </c>
      <c r="I7995" s="38" t="n">
        <f aca="false">Sens!$W$7995</f>
        <v>56.5439995605568</v>
      </c>
      <c r="J7995" s="38" t="n">
        <f aca="false">Sens!$X$7995</f>
        <v>82.9773143789735</v>
      </c>
      <c r="K7995" s="38" t="n">
        <f aca="false">Sens!$Y$7995</f>
        <v>110.100211099025</v>
      </c>
      <c r="L7995" s="38" t="n">
        <f aca="false">Sens!$Z$7995</f>
        <v>129.16895011128</v>
      </c>
      <c r="M7995" s="38" t="n">
        <f aca="false">Sens!$AA$7995</f>
        <v>140.095130984075</v>
      </c>
      <c r="N7995" s="38" t="n">
        <f aca="false">Sens!$D$7995/2</f>
        <v>0.779361749182762</v>
      </c>
      <c r="O7995" s="38" t="n">
        <f aca="false">Sens!$D$7995/2</f>
        <v>0.779361749182762</v>
      </c>
      <c r="R7995" s="38" t="n">
        <f aca="false">(SUMPRODUCT(--(Sens!$R$7955:$AA$7955&lt;Sens!R$7955),--(Sens!$R$7955:$AA$7955&gt;=Sens!R$7955-tk_life),Sens!$R$7992:$AA$7992)+SUMPRODUCT(--(Sens!$R$7955:$AA$7955&lt;Sens!R$7955),--(Sens!$R$7955:$AA$7955&gt;=Sens!R$7955-tk_life),Sens!$R$7990:$AA$7990))/tk_life</f>
        <v>0</v>
      </c>
      <c r="S7995" s="38" t="n">
        <f aca="false">(SUMPRODUCT(--(Sens!$R$7955:$AA$7955&lt;Sens!S$7955),--(Sens!$R$7955:$AA$7955&gt;=Sens!S$7955-tk_life),Sens!$R$7992:$AA$7992)+SUMPRODUCT(--(Sens!$R$7955:$AA$7955&lt;Sens!S$7955),--(Sens!$R$7955:$AA$7955&gt;=Sens!S$7955-tk_life),Sens!$R$7990:$AA$7990))/tk_life</f>
        <v>0.183212798365523</v>
      </c>
      <c r="T7995" s="38" t="n">
        <f aca="false">(SUMPRODUCT(--(Sens!$R$7955:$AA$7955&lt;Sens!T$7955),--(Sens!$R$7955:$AA$7955&gt;=Sens!T$7955-tk_life),Sens!$R$7992:$AA$7992)+SUMPRODUCT(--(Sens!$R$7955:$AA$7955&lt;Sens!T$7955),--(Sens!$R$7955:$AA$7955&gt;=Sens!T$7955-tk_life),Sens!$R$7990:$AA$7990))/tk_life</f>
        <v>1.55872349836552</v>
      </c>
      <c r="U7995" s="38" t="n">
        <f aca="false">(SUMPRODUCT(--(Sens!$R$7955:$AA$7955&lt;Sens!U$7955),--(Sens!$R$7955:$AA$7955&gt;=Sens!U$7955-tk_life),Sens!$R$7992:$AA$7992)+SUMPRODUCT(--(Sens!$R$7955:$AA$7955&lt;Sens!U$7955),--(Sens!$R$7955:$AA$7955&gt;=Sens!U$7955-tk_life),Sens!$R$7990:$AA$7990))/tk_life</f>
        <v>9.4517007316657</v>
      </c>
      <c r="V7995" s="38" t="n">
        <f aca="false">(SUMPRODUCT(--(Sens!$R$7955:$AA$7955&lt;Sens!V$7955),--(Sens!$R$7955:$AA$7955&gt;=Sens!V$7955-tk_life),Sens!$R$7992:$AA$7992)+SUMPRODUCT(--(Sens!$R$7955:$AA$7955&lt;Sens!V$7955),--(Sens!$R$7955:$AA$7955&gt;=Sens!V$7955-tk_life),Sens!$R$7990:$AA$7990))/tk_life</f>
        <v>27.2822988413376</v>
      </c>
      <c r="W7995" s="38" t="n">
        <f aca="false">(SUMPRODUCT(--(Sens!$R$7955:$AA$7955&lt;Sens!W$7955),--(Sens!$R$7955:$AA$7955&gt;=Sens!W$7955-tk_life),Sens!$R$7992:$AA$7992)+SUMPRODUCT(--(Sens!$R$7955:$AA$7955&lt;Sens!W$7955),--(Sens!$R$7955:$AA$7955&gt;=Sens!W$7955-tk_life),Sens!$R$7990:$AA$7990))/tk_life</f>
        <v>56.5439995605568</v>
      </c>
      <c r="X7995" s="38" t="n">
        <f aca="false">(SUMPRODUCT(--(Sens!$R$7955:$AA$7955&lt;Sens!X$7955),--(Sens!$R$7955:$AA$7955&gt;=Sens!X$7955-tk_life),Sens!$R$7992:$AA$7992)+SUMPRODUCT(--(Sens!$R$7955:$AA$7955&lt;Sens!X$7955),--(Sens!$R$7955:$AA$7955&gt;=Sens!X$7955-tk_life),Sens!$R$7990:$AA$7990))/tk_life</f>
        <v>82.9773143789735</v>
      </c>
      <c r="Y7995" s="38" t="n">
        <f aca="false">(SUMPRODUCT(--(Sens!$R$7955:$AA$7955&lt;Sens!Y$7955),--(Sens!$R$7955:$AA$7955&gt;=Sens!Y$7955-tk_life),Sens!$R$7992:$AA$7992)+SUMPRODUCT(--(Sens!$R$7955:$AA$7955&lt;Sens!Y$7955),--(Sens!$R$7955:$AA$7955&gt;=Sens!Y$7955-tk_life),Sens!$R$7990:$AA$7990))/tk_life</f>
        <v>110.100211099025</v>
      </c>
      <c r="Z7995" s="38" t="n">
        <f aca="false">(SUMPRODUCT(--(Sens!$R$7955:$AA$7955&lt;Sens!Z$7955),--(Sens!$R$7955:$AA$7955&gt;=Sens!Z$7955-tk_life),Sens!$R$7992:$AA$7992)+SUMPRODUCT(--(Sens!$R$7955:$AA$7955&lt;Sens!Z$7955),--(Sens!$R$7955:$AA$7955&gt;=Sens!Z$7955-tk_life),Sens!$R$7990:$AA$7990))/tk_life</f>
        <v>129.16895011128</v>
      </c>
      <c r="AA7995" s="38" t="n">
        <f aca="false">(SUMPRODUCT(--(Sens!$R$7955:$AA$7955&lt;Sens!AA$7955),--(Sens!$R$7955:$AA$7955&gt;=Sens!AA$7955-tk_life),Sens!$R$7992:$AA$7992)+SUMPRODUCT(--(Sens!$R$7955:$AA$7955&lt;Sens!AA$7955),--(Sens!$R$7955:$AA$7955&gt;=Sens!AA$7955-tk_life),Sens!$R$7990:$AA$7990))/tk_life</f>
        <v>140.095130984075</v>
      </c>
    </row>
    <row r="7996" customFormat="false" ht="17.15" hidden="false" customHeight="false" outlineLevel="0" collapsed="false">
      <c r="A7996" s="0" t="s">
        <v>649</v>
      </c>
      <c r="B7996" s="0" t="s">
        <v>86</v>
      </c>
      <c r="C7996" s="38" t="n">
        <f aca="false">Sens!$S$7996</f>
        <v>0.0202511502553155</v>
      </c>
      <c r="D7996" s="38" t="n">
        <f aca="false">Sens!$T$7996</f>
        <v>0.172291150255315</v>
      </c>
      <c r="E7996" s="38" t="n">
        <f aca="false">Sens!$G$7996/2</f>
        <v>0.522364740326067</v>
      </c>
      <c r="F7996" s="38" t="n">
        <f aca="false">Sens!$G$7996/2</f>
        <v>0.522364740326067</v>
      </c>
      <c r="G7996" s="38" t="n">
        <f aca="false">Sens!$U$7996</f>
        <v>1.04472948065213</v>
      </c>
      <c r="H7996" s="38" t="n">
        <f aca="false">Sens!$V$7996</f>
        <v>2.76361866736136</v>
      </c>
      <c r="I7996" s="38" t="n">
        <f aca="false">Sens!$W$7996</f>
        <v>5.42824377125863</v>
      </c>
      <c r="J7996" s="38" t="n">
        <f aca="false">Sens!$X$7996</f>
        <v>7.73057282125864</v>
      </c>
      <c r="K7996" s="38" t="n">
        <f aca="false">Sens!$Y$7996</f>
        <v>10.0329018712586</v>
      </c>
      <c r="L7996" s="38" t="n">
        <f aca="false">Sens!$Z$7996</f>
        <v>11.661546221342</v>
      </c>
      <c r="M7996" s="38" t="n">
        <f aca="false">Sens!$AA$7996</f>
        <v>12.6165058715086</v>
      </c>
      <c r="N7996" s="38" t="n">
        <f aca="false">Sens!$D$7996/2</f>
        <v>0.0861455751276577</v>
      </c>
      <c r="O7996" s="38" t="n">
        <f aca="false">Sens!$D$7996/2</f>
        <v>0.0861455751276577</v>
      </c>
      <c r="R7996" s="38" t="n">
        <f aca="false">(SUMPRODUCT(--(Sens!$R$7955:$AA$7955&lt;Sens!R$7955),Sens!$R$7993:$AA$7993)+SUMPRODUCT(--(Sens!$R$7955:$AA$7955&lt;Sens!R$7955),Sens!$R$7991:$AA$7991))/fac_life</f>
        <v>0</v>
      </c>
      <c r="S7996" s="38" t="n">
        <f aca="false">(SUMPRODUCT(--(Sens!$R$7955:$AA$7955&lt;Sens!S$7955),Sens!$R$7993:$AA$7993)+SUMPRODUCT(--(Sens!$R$7955:$AA$7955&lt;Sens!S$7955),Sens!$R$7991:$AA$7991))/fac_life</f>
        <v>0.0202511502553155</v>
      </c>
      <c r="T7996" s="38" t="n">
        <f aca="false">(SUMPRODUCT(--(Sens!$R$7955:$AA$7955&lt;Sens!T$7955),Sens!$R$7993:$AA$7993)+SUMPRODUCT(--(Sens!$R$7955:$AA$7955&lt;Sens!T$7955),Sens!$R$7991:$AA$7991))/fac_life</f>
        <v>0.172291150255315</v>
      </c>
      <c r="U7996" s="38" t="n">
        <f aca="false">(SUMPRODUCT(--(Sens!$R$7955:$AA$7955&lt;Sens!U$7955),Sens!$R$7993:$AA$7993)+SUMPRODUCT(--(Sens!$R$7955:$AA$7955&lt;Sens!U$7955),Sens!$R$7991:$AA$7991))/fac_life</f>
        <v>1.04472948065213</v>
      </c>
      <c r="V7996" s="38" t="n">
        <f aca="false">(SUMPRODUCT(--(Sens!$R$7955:$AA$7955&lt;Sens!V$7955),Sens!$R$7993:$AA$7993)+SUMPRODUCT(--(Sens!$R$7955:$AA$7955&lt;Sens!V$7955),Sens!$R$7991:$AA$7991))/fac_life</f>
        <v>2.76361866736136</v>
      </c>
      <c r="W7996" s="38" t="n">
        <f aca="false">(SUMPRODUCT(--(Sens!$R$7955:$AA$7955&lt;Sens!W$7955),Sens!$R$7993:$AA$7993)+SUMPRODUCT(--(Sens!$R$7955:$AA$7955&lt;Sens!W$7955),Sens!$R$7991:$AA$7991))/fac_life</f>
        <v>5.42824377125863</v>
      </c>
      <c r="X7996" s="38" t="n">
        <f aca="false">(SUMPRODUCT(--(Sens!$R$7955:$AA$7955&lt;Sens!X$7955),Sens!$R$7993:$AA$7993)+SUMPRODUCT(--(Sens!$R$7955:$AA$7955&lt;Sens!X$7955),Sens!$R$7991:$AA$7991))/fac_life</f>
        <v>7.73057282125864</v>
      </c>
      <c r="Y7996" s="38" t="n">
        <f aca="false">(SUMPRODUCT(--(Sens!$R$7955:$AA$7955&lt;Sens!Y$7955),Sens!$R$7993:$AA$7993)+SUMPRODUCT(--(Sens!$R$7955:$AA$7955&lt;Sens!Y$7955),Sens!$R$7991:$AA$7991))/fac_life</f>
        <v>10.0329018712586</v>
      </c>
      <c r="Z7996" s="38" t="n">
        <f aca="false">(SUMPRODUCT(--(Sens!$R$7955:$AA$7955&lt;Sens!Z$7955),Sens!$R$7993:$AA$7993)+SUMPRODUCT(--(Sens!$R$7955:$AA$7955&lt;Sens!Z$7955),Sens!$R$7991:$AA$7991))/fac_life</f>
        <v>11.661546221342</v>
      </c>
      <c r="AA7996" s="38" t="n">
        <f aca="false">(SUMPRODUCT(--(Sens!$R$7955:$AA$7955&lt;Sens!AA$7955),Sens!$R$7993:$AA$7993)+SUMPRODUCT(--(Sens!$R$7955:$AA$7955&lt;Sens!AA$7955),Sens!$R$7991:$AA$7991))/fac_life</f>
        <v>12.6165058715086</v>
      </c>
    </row>
    <row r="7997" customFormat="false" ht="17.15" hidden="false" customHeight="false" outlineLevel="0" collapsed="false">
      <c r="A7997" s="1" t="s">
        <v>650</v>
      </c>
      <c r="B7997" s="8" t="s">
        <v>86</v>
      </c>
      <c r="C7997" s="38" t="n">
        <f aca="false">Sens!$C$7995+Sens!$C$7996</f>
        <v>0.203463948620839</v>
      </c>
      <c r="D7997" s="38" t="n">
        <f aca="false">Sens!$D$7995+Sens!$D$7996</f>
        <v>1.73101464862084</v>
      </c>
      <c r="E7997" s="38" t="n">
        <f aca="false">Sens!$E$7995+Sens!$E$7996</f>
        <v>5.24821510615892</v>
      </c>
      <c r="F7997" s="38" t="n">
        <f aca="false">Sens!$F$7995+Sens!$F$7996</f>
        <v>5.24821510615892</v>
      </c>
      <c r="G7997" s="38" t="n">
        <f aca="false">Sens!$G$7995+Sens!$G$7996</f>
        <v>10.4964302123178</v>
      </c>
      <c r="H7997" s="38" t="n">
        <f aca="false">Sens!$H$7995+Sens!$H$7996</f>
        <v>30.045917508699</v>
      </c>
      <c r="I7997" s="38" t="n">
        <f aca="false">Sens!$I$7995+Sens!$I$7996</f>
        <v>61.9722433318155</v>
      </c>
      <c r="J7997" s="38" t="n">
        <f aca="false">Sens!$J$7995+Sens!$J$7996</f>
        <v>90.7078872002321</v>
      </c>
      <c r="K7997" s="38" t="n">
        <f aca="false">Sens!$K$7995+Sens!$K$7996</f>
        <v>120.133112970283</v>
      </c>
      <c r="L7997" s="38" t="n">
        <f aca="false">Sens!$L$7995+Sens!$L$7996</f>
        <v>140.830496332622</v>
      </c>
      <c r="M7997" s="38" t="n">
        <f aca="false">Sens!$M$7995+Sens!$M$7996</f>
        <v>152.711636855584</v>
      </c>
      <c r="N7997" s="38" t="n">
        <f aca="false">Sens!$N$7995+Sens!$N$7996</f>
        <v>0.865507324310419</v>
      </c>
      <c r="O7997" s="38" t="n">
        <f aca="false">Sens!$O$7995+Sens!$O$7996</f>
        <v>0.865507324310419</v>
      </c>
      <c r="R7997" s="38" t="n">
        <f aca="false">Sens!$R$7995+Sens!$R$7996</f>
        <v>0</v>
      </c>
      <c r="S7997" s="38" t="n">
        <f aca="false">Sens!$S$7995+Sens!$S$7996</f>
        <v>0.203463948620839</v>
      </c>
      <c r="T7997" s="38" t="n">
        <f aca="false">Sens!$T$7995+Sens!$T$7996</f>
        <v>1.73101464862084</v>
      </c>
      <c r="U7997" s="38" t="n">
        <f aca="false">Sens!$U$7995+Sens!$U$7996</f>
        <v>10.4964302123178</v>
      </c>
      <c r="V7997" s="38" t="n">
        <f aca="false">Sens!$V$7995+Sens!$V$7996</f>
        <v>30.045917508699</v>
      </c>
      <c r="W7997" s="38" t="n">
        <f aca="false">Sens!$W$7995+Sens!$W$7996</f>
        <v>61.9722433318155</v>
      </c>
      <c r="X7997" s="38" t="n">
        <f aca="false">Sens!$X$7995+Sens!$X$7996</f>
        <v>90.7078872002321</v>
      </c>
      <c r="Y7997" s="38" t="n">
        <f aca="false">Sens!$Y$7995+Sens!$Y$7996</f>
        <v>120.133112970283</v>
      </c>
      <c r="Z7997" s="38" t="n">
        <f aca="false">Sens!$Z$7995+Sens!$Z$7996</f>
        <v>140.830496332622</v>
      </c>
      <c r="AA7997" s="38" t="n">
        <f aca="false">Sens!$AA$7995+Sens!$AA$7996</f>
        <v>152.711636855584</v>
      </c>
    </row>
    <row r="7998" customFormat="false" ht="17.15" hidden="false" customHeight="false" outlineLevel="0" collapsed="false">
      <c r="A7998" s="0" t="s">
        <v>651</v>
      </c>
      <c r="B7998" s="0" t="s">
        <v>86</v>
      </c>
      <c r="C7998" s="38" t="n">
        <f aca="false">Sens!$S$7998</f>
        <v>26.578941154416</v>
      </c>
      <c r="D7998" s="38" t="n">
        <f aca="false">Sens!$T$7998</f>
        <v>94.4165581367978</v>
      </c>
      <c r="G7998" s="38" t="n">
        <f aca="false">Sens!$U$7998</f>
        <v>236.826599034204</v>
      </c>
      <c r="H7998" s="38" t="n">
        <f aca="false">Sens!$V$7998</f>
        <v>405.352046470255</v>
      </c>
      <c r="I7998" s="38" t="n">
        <f aca="false">Sens!$W$7998</f>
        <v>548.02627304894</v>
      </c>
      <c r="J7998" s="38" t="n">
        <f aca="false">Sens!$X$7998</f>
        <v>667.201623959208</v>
      </c>
      <c r="K7998" s="38" t="n">
        <f aca="false">Sens!$Y$7998</f>
        <v>702.306896264125</v>
      </c>
      <c r="L7998" s="38" t="n">
        <f aca="false">Sens!$Z$7998</f>
        <v>693.490541571405</v>
      </c>
      <c r="M7998" s="38" t="n">
        <f aca="false">Sens!$AA$7998</f>
        <v>673.009886375674</v>
      </c>
      <c r="R7998" s="38" t="n">
        <f aca="false">SUM(Sens!$R$7985:$R$7985)-SUM(Sens!$R$7997:$R$7997)</f>
        <v>1.50429979529945</v>
      </c>
      <c r="S7998" s="38" t="n">
        <f aca="false">SUM(Sens!$R$7985:$S$7985)-SUM(Sens!$R$7997:$S$7997)</f>
        <v>26.578941154416</v>
      </c>
      <c r="T7998" s="38" t="n">
        <f aca="false">SUM(Sens!$R$7985:$T$7985)-SUM(Sens!$R$7997:$T$7997)</f>
        <v>94.4165581367978</v>
      </c>
      <c r="U7998" s="38" t="n">
        <f aca="false">SUM(Sens!$R$7985:$U$7985)-SUM(Sens!$R$7997:$U$7997)</f>
        <v>236.826599034204</v>
      </c>
      <c r="V7998" s="38" t="n">
        <f aca="false">SUM(Sens!$R$7985:$V$7985)-SUM(Sens!$R$7997:$V$7997)</f>
        <v>405.352046470255</v>
      </c>
      <c r="W7998" s="38" t="n">
        <f aca="false">SUM(Sens!$R$7985:$W$7985)-SUM(Sens!$R$7997:$W$7997)</f>
        <v>548.02627304894</v>
      </c>
      <c r="X7998" s="38" t="n">
        <f aca="false">SUM(Sens!$R$7985:$X$7985)-SUM(Sens!$R$7997:$X$7997)</f>
        <v>667.201623959208</v>
      </c>
      <c r="Y7998" s="38" t="n">
        <f aca="false">SUM(Sens!$R$7985:$Y$7985)-SUM(Sens!$R$7997:$Y$7997)</f>
        <v>702.306896264125</v>
      </c>
      <c r="Z7998" s="38" t="n">
        <f aca="false">SUM(Sens!$R$7985:$Z$7985)-SUM(Sens!$R$7997:$Z$7997)</f>
        <v>693.490541571405</v>
      </c>
      <c r="AA7998" s="38" t="n">
        <f aca="false">SUM(Sens!$R$7985:$AA$7985)-SUM(Sens!$R$7997:$AA$7997)</f>
        <v>673.009886375674</v>
      </c>
    </row>
    <row r="7999" customFormat="false" ht="17.15" hidden="false" customHeight="false" outlineLevel="0" collapsed="false">
      <c r="A7999" s="1" t="s">
        <v>652</v>
      </c>
    </row>
    <row r="8000" customFormat="false" ht="17.15" hidden="false" customHeight="false" outlineLevel="0" collapsed="false">
      <c r="A8000" s="0" t="s">
        <v>653</v>
      </c>
      <c r="B8000" s="0" t="s">
        <v>86</v>
      </c>
      <c r="C8000" s="38" t="n">
        <f aca="false">Sens!$C$7976-ext_sh*Sens!$C$7978</f>
        <v>1.80694998843362</v>
      </c>
      <c r="D8000" s="38" t="n">
        <f aca="false">Sens!$D$7976-ext_sh*Sens!$D$7978</f>
        <v>6.77606245662607</v>
      </c>
      <c r="E8000" s="38" t="n">
        <f aca="false">Sens!$E$7976-ext_sh*Sens!$E$7978</f>
        <v>6.62548329092326</v>
      </c>
      <c r="F8000" s="38" t="n">
        <f aca="false">Sens!$F$7976-ext_sh*Sens!$F$7978</f>
        <v>11.7200577158706</v>
      </c>
      <c r="G8000" s="38" t="n">
        <f aca="false">Sens!$G$7976-ext_sh*Sens!$G$7978</f>
        <v>18.3455410067939</v>
      </c>
      <c r="H8000" s="38" t="n">
        <f aca="false">Sens!$H$7976-ext_sh*Sens!$H$7978</f>
        <v>47.5171727060453</v>
      </c>
      <c r="I8000" s="38" t="n">
        <f aca="false">Sens!$I$7976-ext_sh*Sens!$I$7978</f>
        <v>80.5539692643667</v>
      </c>
      <c r="J8000" s="38" t="n">
        <f aca="false">Sens!$J$7976-ext_sh*Sens!$J$7978</f>
        <v>113.759316834883</v>
      </c>
      <c r="K8000" s="38" t="n">
        <f aca="false">Sens!$K$7976-ext_sh*Sens!$K$7978</f>
        <v>142.084411492169</v>
      </c>
      <c r="L8000" s="38" t="n">
        <f aca="false">Sens!$L$7976-ext_sh*Sens!$L$7978</f>
        <v>160.69964615804</v>
      </c>
      <c r="M8000" s="38" t="n">
        <f aca="false">Sens!$M$7976-ext_sh*Sens!$M$7978</f>
        <v>169.577607141793</v>
      </c>
      <c r="N8000" s="38" t="n">
        <f aca="false">Sens!$N$7976-ext_sh*Sens!$N$7978</f>
        <v>2.37162185981912</v>
      </c>
      <c r="O8000" s="38" t="n">
        <f aca="false">Sens!$O$7976-ext_sh*Sens!$O$7978</f>
        <v>4.40444059680694</v>
      </c>
    </row>
    <row r="8001" customFormat="false" ht="17.15" hidden="false" customHeight="false" outlineLevel="0" collapsed="false">
      <c r="A8001" s="1" t="s">
        <v>654</v>
      </c>
      <c r="B8001" s="8" t="s">
        <v>86</v>
      </c>
      <c r="C8001" s="38" t="n">
        <f aca="false">Sens!$C$8000-ext_sh*Sens!$C$7997</f>
        <v>1.64417882953695</v>
      </c>
      <c r="D8001" s="38" t="n">
        <f aca="false">Sens!$D$8000-ext_sh*Sens!$D$7997</f>
        <v>5.39125073772939</v>
      </c>
      <c r="E8001" s="38" t="n">
        <f aca="false">Sens!$E$8000-ext_sh*Sens!$E$7997</f>
        <v>2.42691120599613</v>
      </c>
      <c r="F8001" s="38" t="n">
        <f aca="false">Sens!$F$8000-ext_sh*Sens!$F$7997</f>
        <v>7.52148563094346</v>
      </c>
      <c r="G8001" s="38" t="n">
        <f aca="false">Sens!$G$8000-ext_sh*Sens!$G$7997</f>
        <v>9.94839683693959</v>
      </c>
      <c r="H8001" s="38" t="n">
        <f aca="false">Sens!$H$8000-ext_sh*Sens!$H$7997</f>
        <v>23.4804386990861</v>
      </c>
      <c r="I8001" s="38" t="n">
        <f aca="false">Sens!$I$8000-ext_sh*Sens!$I$7997</f>
        <v>30.9761745989143</v>
      </c>
      <c r="J8001" s="38" t="n">
        <f aca="false">Sens!$J$8000-ext_sh*Sens!$J$7997</f>
        <v>41.1930070746977</v>
      </c>
      <c r="K8001" s="38" t="n">
        <f aca="false">Sens!$K$8000-ext_sh*Sens!$K$7997</f>
        <v>45.9779211159428</v>
      </c>
      <c r="L8001" s="38" t="n">
        <f aca="false">Sens!$L$8000-ext_sh*Sens!$L$7997</f>
        <v>48.0352490919424</v>
      </c>
      <c r="M8001" s="38" t="n">
        <f aca="false">Sens!$M$8000-ext_sh*Sens!$M$7997</f>
        <v>47.4082976573265</v>
      </c>
      <c r="N8001" s="38" t="n">
        <f aca="false">Sens!$N$8000-ext_sh*Sens!$N$7997</f>
        <v>1.67921600037079</v>
      </c>
      <c r="O8001" s="38" t="n">
        <f aca="false">Sens!$O$8000-ext_sh*Sens!$O$7997</f>
        <v>3.71203473735861</v>
      </c>
    </row>
    <row r="8002" customFormat="false" ht="17.15" hidden="false" customHeight="false" outlineLevel="0" collapsed="false">
      <c r="A8002" s="0" t="s">
        <v>655</v>
      </c>
      <c r="B8002" s="0" t="s">
        <v>52</v>
      </c>
      <c r="C8002" s="13" t="n">
        <f aca="false">Sens!$C$8001/Sens!$C$7976</f>
        <v>0.708390794789371</v>
      </c>
      <c r="D8002" s="13" t="n">
        <f aca="false">Sens!$D$8001/Sens!$D$7976</f>
        <v>0.619415573115729</v>
      </c>
      <c r="E8002" s="13" t="n">
        <f aca="false">Sens!$E$8001/Sens!$E$7976</f>
        <v>0.285171627189009</v>
      </c>
      <c r="F8002" s="13" t="n">
        <f aca="false">Sens!$F$8001/Sens!$F$7976</f>
        <v>0.502657732812366</v>
      </c>
      <c r="G8002" s="13" t="n">
        <f aca="false">Sens!$G$8001/Sens!$G$7976</f>
        <v>0.423808778611812</v>
      </c>
      <c r="H8002" s="13" t="n">
        <f aca="false">Sens!$H$8001/Sens!$H$7976</f>
        <v>0.390261631739809</v>
      </c>
      <c r="I8002" s="13" t="n">
        <f aca="false">Sens!$I$8001/Sens!$I$7976</f>
        <v>0.305172864264572</v>
      </c>
      <c r="J8002" s="13" t="n">
        <f aca="false">Sens!$J$8001/Sens!$J$7976</f>
        <v>0.288011814789856</v>
      </c>
      <c r="K8002" s="13" t="n">
        <f aca="false">Sens!$K$8001/Sens!$K$7976</f>
        <v>0.25765427518774</v>
      </c>
      <c r="L8002" s="13" t="n">
        <f aca="false">Sens!$L$8001/Sens!$L$7976</f>
        <v>0.238118778012374</v>
      </c>
      <c r="M8002" s="13" t="n">
        <f aca="false">Sens!$M$8001/Sens!$M$7976</f>
        <v>0.222746255757109</v>
      </c>
      <c r="N8002" s="13" t="n">
        <f aca="false">Sens!$N$8001/Sens!$N$7976</f>
        <v>0.551227795793364</v>
      </c>
      <c r="O8002" s="13" t="n">
        <f aca="false">Sens!$O$8001/Sens!$O$7976</f>
        <v>0.656132068597002</v>
      </c>
    </row>
    <row r="8003" customFormat="false" ht="17.15" hidden="false" customHeight="false" outlineLevel="0" collapsed="false">
      <c r="A8003" s="5" t="s">
        <v>656</v>
      </c>
      <c r="B8003" s="0" t="s">
        <v>86</v>
      </c>
      <c r="C8003" s="39" t="n">
        <v>0</v>
      </c>
      <c r="D8003" s="39" t="n">
        <v>0</v>
      </c>
      <c r="E8003" s="39" t="n">
        <v>0</v>
      </c>
      <c r="F8003" s="38" t="n">
        <f aca="false">IF(internal_ai_reading=2,1,0)*(1-ext_sh)/ext_sh*(mw_open*he_open+Sens!$F$7974*Sens!$F$7971)*Sens!$F$7960/1000</f>
        <v>3.77122048175818</v>
      </c>
      <c r="G8003" s="38" t="n">
        <f aca="false">Sens!$E$8003+Sens!$F$8003</f>
        <v>3.77122048175818</v>
      </c>
      <c r="H8003" s="38" t="n">
        <f aca="false">IF(internal_ai_reading=2,1,0)*(1-ext_sh)/ext_sh*(mw_open*he_open+Sens!$H$7974*Sens!$H$7971)*Sens!$H$7960/1000</f>
        <v>15.1635543609893</v>
      </c>
      <c r="I8003" s="38" t="n">
        <f aca="false">IF(internal_ai_reading=2,1,0)*(1-ext_sh)/ext_sh*(mw_open*he_open+Sens!$I$7974*Sens!$I$7971)*Sens!$I$7960/1000</f>
        <v>25.5818843619889</v>
      </c>
      <c r="J8003" s="38" t="n">
        <f aca="false">IF(internal_ai_reading=2,1,0)*(1-ext_sh)/ext_sh*(mw_open*he_open+Sens!$J$7974*Sens!$J$7971)*Sens!$J$7960/1000</f>
        <v>36.0465624179122</v>
      </c>
      <c r="K8003" s="38" t="n">
        <f aca="false">IF(internal_ai_reading=2,1,0)*(1-ext_sh)/ext_sh*(mw_open*he_open+Sens!$K$7974*Sens!$K$7971)*Sens!$K$7960/1000</f>
        <v>44.9741164026038</v>
      </c>
      <c r="L8003" s="38" t="n">
        <f aca="false">IF(internal_ai_reading=2,1,0)*(1-ext_sh)/ext_sh*(mw_open*he_open+Sens!$L$7974*Sens!$L$7971)*Sens!$L$7960/1000</f>
        <v>50.8413488057813</v>
      </c>
      <c r="M8003" s="38" t="n">
        <f aca="false">IF(internal_ai_reading=2,1,0)*(1-ext_sh)/ext_sh*(mw_open*he_open+Sens!$M$7974*Sens!$M$7971)*Sens!$M$7960/1000</f>
        <v>53.6407214274315</v>
      </c>
      <c r="N8003" s="39" t="n">
        <v>0</v>
      </c>
      <c r="O8003" s="39" t="n">
        <v>0</v>
      </c>
      <c r="P8003" s="8" t="s">
        <v>657</v>
      </c>
    </row>
    <row r="8004" customFormat="false" ht="17.15" hidden="false" customHeight="false" outlineLevel="0" collapsed="false">
      <c r="A8004" s="5" t="s">
        <v>658</v>
      </c>
      <c r="B8004" s="0" t="s">
        <v>86</v>
      </c>
      <c r="C8004" s="38" t="n">
        <f aca="false">(1-ext_sh)*(Sens!$C$7978+Sens!$C$7997)</f>
        <v>0.169206631859174</v>
      </c>
      <c r="D8004" s="38" t="n">
        <f aca="false">(1-ext_sh)*(Sens!$D$7978+Sens!$D$7997)</f>
        <v>0.828129837730442</v>
      </c>
      <c r="E8004" s="38" t="n">
        <f aca="false">(1-ext_sh)*(Sens!$E$7978+Sens!$E$7997)</f>
        <v>1.52086044239347</v>
      </c>
      <c r="F8004" s="38" t="n">
        <f aca="false">(1-ext_sh)*(Sens!$F$7978+Sens!$F$7997)</f>
        <v>1.86048700344425</v>
      </c>
      <c r="G8004" s="38" t="n">
        <f aca="false">(1-ext_sh)*(Sens!$G$7978+Sens!$G$7997)</f>
        <v>3.38134744583772</v>
      </c>
      <c r="H8004" s="38" t="n">
        <f aca="false">(1-ext_sh)*(Sens!$H$7978+Sens!$H$7997)</f>
        <v>9.17136301267211</v>
      </c>
      <c r="I8004" s="38" t="n">
        <f aca="false">(1-ext_sh)*(Sens!$I$7978+Sens!$I$7997)</f>
        <v>17.6318811343794</v>
      </c>
      <c r="J8004" s="38" t="n">
        <f aca="false">(1-ext_sh)*(Sens!$J$7978+Sens!$J$7997)</f>
        <v>25.4581000191451</v>
      </c>
      <c r="K8004" s="38" t="n">
        <f aca="false">(1-ext_sh)*(Sens!$K$7978+Sens!$K$7997)</f>
        <v>33.1175498168092</v>
      </c>
      <c r="L8004" s="38" t="n">
        <f aca="false">(1-ext_sh)*(Sens!$L$7978+Sens!$L$7997)</f>
        <v>38.4232131776135</v>
      </c>
      <c r="M8004" s="38" t="n">
        <f aca="false">(1-ext_sh)*(Sens!$M$7978+Sens!$M$7997)</f>
        <v>41.3567859278847</v>
      </c>
      <c r="N8004" s="38" t="n">
        <f aca="false">(1-ext_sh)*(Sens!$N$7978+Sens!$N$7997)</f>
        <v>0.34177588266428</v>
      </c>
      <c r="O8004" s="38" t="n">
        <f aca="false">(1-ext_sh)*(Sens!$O$7978+Sens!$O$7997)</f>
        <v>0.486353955066162</v>
      </c>
    </row>
    <row r="8005" customFormat="false" ht="17.15" hidden="false" customHeight="false" outlineLevel="0" collapsed="false">
      <c r="A8005" s="0" t="s">
        <v>659</v>
      </c>
      <c r="B8005" s="0" t="s">
        <v>86</v>
      </c>
      <c r="C8005" s="38" t="n">
        <f aca="false">Q!$D$24</f>
        <v>39.834</v>
      </c>
      <c r="D8005" s="38" t="n">
        <f aca="false">Q!$E$24</f>
        <v>45.606</v>
      </c>
      <c r="E8005" s="38" t="n">
        <f aca="false">Q!$P$24</f>
        <v>30.782</v>
      </c>
      <c r="N8005" s="38" t="n">
        <f aca="false">Q!$N$24</f>
        <v>21.707</v>
      </c>
      <c r="O8005" s="38" t="n">
        <f aca="false">Q!$O$24</f>
        <v>23.899</v>
      </c>
    </row>
    <row r="8006" customFormat="false" ht="17.15" hidden="false" customHeight="false" outlineLevel="0" collapsed="false">
      <c r="A8006" s="0" t="s">
        <v>660</v>
      </c>
      <c r="B8006" s="0" t="s">
        <v>86</v>
      </c>
      <c r="C8006" s="38" t="n">
        <f aca="false">Sens!$C$8005-Sens!$C$8001</f>
        <v>38.1898211704631</v>
      </c>
      <c r="D8006" s="38" t="n">
        <f aca="false">Sens!$D$8005-Sens!$D$8001</f>
        <v>40.2147492622706</v>
      </c>
      <c r="E8006" s="38" t="n">
        <f aca="false">Sens!$E$8005-Sens!$E$8001</f>
        <v>28.3550887940039</v>
      </c>
      <c r="F8006" s="38" t="n">
        <f aca="false">Sens!$F$7980*Sens!$F$8007</f>
        <v>25.9529793149447</v>
      </c>
      <c r="G8006" s="38" t="n">
        <f aca="false">Sens!$E$8006+Sens!$F$8006</f>
        <v>54.3080681089486</v>
      </c>
      <c r="H8006" s="38" t="n">
        <f aca="false">Sens!$H$7980*Sens!$H$8007</f>
        <v>58.2264684589333</v>
      </c>
      <c r="I8006" s="38" t="n">
        <f aca="false">Sens!$I$7980*Sens!$I$8007</f>
        <v>64.6461353851744</v>
      </c>
      <c r="J8006" s="38" t="n">
        <f aca="false">Sens!$J$7980*Sens!$J$8007</f>
        <v>70.7957093610231</v>
      </c>
      <c r="K8006" s="38" t="n">
        <f aca="false">Sens!$K$7980*Sens!$K$8007</f>
        <v>76.4593661099049</v>
      </c>
      <c r="L8006" s="38" t="n">
        <f aca="false">Sens!$L$7980*Sens!$L$8007</f>
        <v>82.5761153986973</v>
      </c>
      <c r="M8006" s="38" t="n">
        <f aca="false">Sens!$M$7980*Sens!$M$8007</f>
        <v>89.1822046305931</v>
      </c>
      <c r="N8006" s="38" t="n">
        <f aca="false">Sens!$N$8005-Sens!$N$8001</f>
        <v>20.0277839996292</v>
      </c>
      <c r="O8006" s="38" t="n">
        <f aca="false">Sens!$O$8005-Sens!$O$8001</f>
        <v>20.1869652626414</v>
      </c>
      <c r="P8006" s="5" t="s">
        <v>661</v>
      </c>
    </row>
    <row r="8007" customFormat="false" ht="17.15" hidden="false" customHeight="false" outlineLevel="0" collapsed="false">
      <c r="A8007" s="0" t="s">
        <v>662</v>
      </c>
      <c r="B8007" s="0" t="s">
        <v>52</v>
      </c>
      <c r="C8007" s="13" t="n">
        <f aca="false">Sens!$C$8006/Sens!$C$7980</f>
        <v>0.362900395443635</v>
      </c>
      <c r="D8007" s="13" t="n">
        <f aca="false">Sens!$D$8006/Sens!$D$7980</f>
        <v>0.335063632425483</v>
      </c>
      <c r="E8007" s="13" t="n">
        <f aca="false">Sens!$E$8006/Sens!$E$7980</f>
        <v>0.397638855555478</v>
      </c>
      <c r="F8007" s="13" t="n">
        <f aca="false">(Sens!$O$8006+Sens!$E$8006)/(Sens!$O$7980+Sens!$E$7980)</f>
        <v>0.361616727338133</v>
      </c>
      <c r="G8007" s="13" t="n">
        <f aca="false">Sens!$G$8006/Sens!$G$7980</f>
        <v>0.379569803149143</v>
      </c>
      <c r="H8007" s="13" t="n">
        <f aca="false">Sens!$F$8007</f>
        <v>0.361616727338133</v>
      </c>
      <c r="I8007" s="13" t="n">
        <f aca="false">Sens!$F$8007</f>
        <v>0.361616727338133</v>
      </c>
      <c r="J8007" s="13" t="n">
        <f aca="false">Sens!$F$8007</f>
        <v>0.361616727338133</v>
      </c>
      <c r="K8007" s="13" t="n">
        <f aca="false">Sens!$F$8007</f>
        <v>0.361616727338133</v>
      </c>
      <c r="L8007" s="13" t="n">
        <f aca="false">Sens!$F$8007</f>
        <v>0.361616727338133</v>
      </c>
      <c r="M8007" s="13" t="n">
        <f aca="false">Sens!$F$8007</f>
        <v>0.361616727338133</v>
      </c>
      <c r="N8007" s="13" t="n">
        <f aca="false">Sens!$N$8006/Sens!$N$7980</f>
        <v>0.35078810535806</v>
      </c>
      <c r="O8007" s="13" t="n">
        <f aca="false">Sens!$O$8006/Sens!$O$7980</f>
        <v>0.320796939361619</v>
      </c>
      <c r="P8007" s="8" t="s">
        <v>663</v>
      </c>
    </row>
    <row r="8008" customFormat="false" ht="17.15" hidden="false" customHeight="false" outlineLevel="0" collapsed="false">
      <c r="A8008" s="0" t="s">
        <v>664</v>
      </c>
      <c r="B8008" s="0" t="s">
        <v>52</v>
      </c>
      <c r="D8008" s="13" t="n">
        <f aca="false">(Q!$E$31-ext_sh*Sens!$D$7997)/Sens!$D$7980</f>
        <v>0.167180325480118</v>
      </c>
    </row>
    <row r="8009" customFormat="false" ht="17.15" hidden="false" customHeight="false" outlineLevel="0" collapsed="false">
      <c r="A8009" s="0" t="s">
        <v>665</v>
      </c>
      <c r="B8009" s="0" t="s">
        <v>86</v>
      </c>
      <c r="C8009" s="38" t="n">
        <f aca="false">Q!$D$31</f>
        <v>13.32</v>
      </c>
      <c r="D8009" s="38" t="n">
        <f aca="false">Q!$E$31</f>
        <v>21.45</v>
      </c>
      <c r="E8009" s="38" t="n">
        <f aca="false">Q!$P$31</f>
        <v>15.353</v>
      </c>
      <c r="F8009" s="38" t="n">
        <f aca="false">ext_sh*Sens!$F$7997+Sens!$D$8008*Sens!$F$7980</f>
        <v>16.1969869840094</v>
      </c>
      <c r="G8009" s="38" t="n">
        <f aca="false">Sens!$E$8009+Sens!$F$8009</f>
        <v>31.5499869840094</v>
      </c>
      <c r="H8009" s="38" t="n">
        <f aca="false">ext_sh*Sens!$H$7997+Sens!$D$8008*Sens!$H$7980</f>
        <v>50.9556213609176</v>
      </c>
      <c r="I8009" s="38" t="n">
        <f aca="false">ext_sh*Sens!$I$7997+Sens!$D$8008*Sens!$I$7980</f>
        <v>79.464581248252</v>
      </c>
      <c r="J8009" s="38" t="n">
        <f aca="false">ext_sh*Sens!$J$7997+Sens!$D$8008*Sens!$J$7980</f>
        <v>105.296127931746</v>
      </c>
      <c r="K8009" s="38" t="n">
        <f aca="false">ext_sh*Sens!$K$7997+Sens!$D$8008*Sens!$K$7980</f>
        <v>131.454694001511</v>
      </c>
      <c r="L8009" s="38" t="n">
        <f aca="false">ext_sh*Sens!$L$7997+Sens!$D$8008*Sens!$L$7980</f>
        <v>150.840456981405</v>
      </c>
      <c r="M8009" s="38" t="n">
        <f aca="false">ext_sh*Sens!$M$7997+Sens!$D$8008*Sens!$M$7980</f>
        <v>163.399454192999</v>
      </c>
      <c r="N8009" s="38" t="n">
        <f aca="false">Q!$N$31</f>
        <v>9.234</v>
      </c>
      <c r="O8009" s="38" t="n">
        <f aca="false">Q!$O$31</f>
        <v>12.216</v>
      </c>
    </row>
    <row r="8010" customFormat="false" ht="17.15" hidden="false" customHeight="false" outlineLevel="0" collapsed="false">
      <c r="A8010" s="1" t="s">
        <v>666</v>
      </c>
    </row>
    <row r="8011" customFormat="false" ht="17.15" hidden="false" customHeight="false" outlineLevel="0" collapsed="false">
      <c r="A8011" s="15" t="s">
        <v>667</v>
      </c>
      <c r="B8011" s="14" t="s">
        <v>52</v>
      </c>
      <c r="C8011" s="14"/>
      <c r="D8011" s="14"/>
      <c r="E8011" s="14"/>
      <c r="F8011" s="14"/>
      <c r="G8011" s="17" t="n">
        <f aca="false">Sens!$G$8001*(1-tax)/(ext_sh*(Sens!$D$7998+Sens!$G$7998)/2)</f>
        <v>0.0620504069546486</v>
      </c>
      <c r="H8011" s="17" t="n">
        <f aca="false">Sens!$H$8001*(1-tax)/(ext_sh*(Sens!$G$7998+Sens!$H$7998)/2)</f>
        <v>0.0755420551527686</v>
      </c>
      <c r="I8011" s="17" t="n">
        <f aca="false">Sens!$I$8001*(1-tax)/(ext_sh*(Sens!$H$7998+Sens!$I$7998)/2)</f>
        <v>0.067127575356291</v>
      </c>
      <c r="J8011" s="17" t="n">
        <f aca="false">Sens!$J$8001*(1-tax)/(ext_sh*(Sens!$I$7998+Sens!$J$7998)/2)</f>
        <v>0.0700332392906535</v>
      </c>
      <c r="K8011" s="17" t="n">
        <f aca="false">Sens!$K$8001*(1-tax)/(ext_sh*(Sens!$J$7998+Sens!$K$7998)/2)</f>
        <v>0.0693622290093833</v>
      </c>
      <c r="L8011" s="17" t="n">
        <f aca="false">Sens!$L$8001*(1-tax)/(ext_sh*(Sens!$K$7998+Sens!$L$7998)/2)</f>
        <v>0.0711010638813626</v>
      </c>
      <c r="M8011" s="17" t="n">
        <f aca="false">Sens!$M$8001*(1-tax)/(ext_sh*(Sens!$L$7998+Sens!$M$7998)/2)</f>
        <v>0.071677531066401</v>
      </c>
      <c r="N8011" s="14"/>
      <c r="O8011" s="14"/>
      <c r="P8011" s="8" t="s">
        <v>668</v>
      </c>
    </row>
    <row r="8012" customFormat="false" ht="17.15" hidden="false" customHeight="false" outlineLevel="0" collapsed="false">
      <c r="A8012" s="5" t="s">
        <v>669</v>
      </c>
      <c r="B8012" s="0" t="s">
        <v>57</v>
      </c>
      <c r="H8012" s="36" t="n">
        <f aca="false">Sens!$H$7976*1000/(mw_open*he_open+Sens!$H$7974*Sens!$H$7971)</f>
        <v>0.991949006767191</v>
      </c>
      <c r="I8012" s="36" t="n">
        <f aca="false">Sens!$I$7976*1000/(mw_open*he_open+Sens!$I$7974*Sens!$I$7971)</f>
        <v>0.991949006767191</v>
      </c>
      <c r="J8012" s="36" t="n">
        <f aca="false">Sens!$J$7976*1000/(mw_open*he_open+Sens!$J$7974*Sens!$J$7971)</f>
        <v>0.991949006767191</v>
      </c>
      <c r="K8012" s="36" t="n">
        <f aca="false">Sens!$K$7976*1000/(mw_open*he_open+Sens!$K$7974*Sens!$K$7971)</f>
        <v>0.991949006767191</v>
      </c>
      <c r="L8012" s="36" t="n">
        <f aca="false">Sens!$L$7976*1000/(mw_open*he_open+Sens!$L$7974*Sens!$L$7971)</f>
        <v>0.991949006767191</v>
      </c>
      <c r="M8012" s="36" t="n">
        <f aca="false">Sens!$M$7976*1000/(mw_open*he_open+Sens!$M$7974*Sens!$M$7971)</f>
        <v>0.991949006767191</v>
      </c>
    </row>
    <row r="8013" customFormat="false" ht="17.15" hidden="false" customHeight="false" outlineLevel="0" collapsed="false">
      <c r="A8013" s="5" t="s">
        <v>670</v>
      </c>
      <c r="B8013" s="0" t="s">
        <v>57</v>
      </c>
      <c r="H8013" s="36" t="n">
        <f aca="false">Sens!$H$8012*(Sens!$H$7976+wacc*ext_sh*(Sens!$G$7998+Sens!$H$7998)/2/(1-tax)-Sens!$H$8001)/Sens!$H$7976</f>
        <v>1.18542857552197</v>
      </c>
      <c r="I8013" s="36" t="n">
        <f aca="false">Sens!$I$8012*(Sens!$I$7976+wacc*ext_sh*(Sens!$H$7998+Sens!$I$7998)/2/(1-tax)-Sens!$I$8001)/Sens!$I$7976</f>
        <v>1.20015476648903</v>
      </c>
      <c r="J8013" s="36" t="n">
        <f aca="false">Sens!$J$8012*(Sens!$J$7976+wacc*ext_sh*(Sens!$I$7998+Sens!$J$7998)/2/(1-tax)-Sens!$J$8001)/Sens!$J$7976</f>
        <v>1.16844056931249</v>
      </c>
      <c r="K8013" s="36" t="n">
        <f aca="false">Sens!$K$8012*(Sens!$K$7976+wacc*ext_sh*(Sens!$J$7998+Sens!$K$7998)/2/(1-tax)-Sens!$K$8001)/Sens!$K$7976</f>
        <v>1.15383758356873</v>
      </c>
      <c r="L8013" s="36" t="n">
        <f aca="false">Sens!$L$8012*(Sens!$L$7976+wacc*ext_sh*(Sens!$K$7998+Sens!$L$7998)/2/(1-tax)-Sens!$L$8001)/Sens!$L$7976</f>
        <v>1.13212765595665</v>
      </c>
      <c r="M8013" s="36" t="n">
        <f aca="false">Sens!$M$8012*(Sens!$M$7976+wacc*ext_sh*(Sens!$L$7998+Sens!$M$7998)/2/(1-tax)-Sens!$M$8001)/Sens!$M$7976</f>
        <v>1.12024635139935</v>
      </c>
    </row>
    <row r="8014" customFormat="false" ht="17.15" hidden="false" customHeight="false" outlineLevel="0" collapsed="false">
      <c r="A8014" s="5" t="s">
        <v>671</v>
      </c>
      <c r="B8014" s="0" t="s">
        <v>52</v>
      </c>
      <c r="C8014" s="13" t="n">
        <f aca="false">Sens!$C$7977/tk_pq</f>
        <v>0.195316432429398</v>
      </c>
      <c r="D8014" s="13" t="n">
        <f aca="false">Sens!$D$7977/tk_pq</f>
        <v>0.195316432429398</v>
      </c>
      <c r="E8014" s="13" t="n">
        <f aca="false">Sens!$E$7977/tk_pq</f>
        <v>0.195316432429398</v>
      </c>
      <c r="F8014" s="13" t="n">
        <f aca="false">Sens!$F$7977/tk_pq</f>
        <v>0.202241827274866</v>
      </c>
      <c r="G8014" s="13" t="n">
        <f aca="false">Sens!$G$7977/tk_pq</f>
        <v>0.199675016194063</v>
      </c>
      <c r="H8014" s="13" t="n">
        <f aca="false">Sens!$H$7977/tk_pq</f>
        <v>0.212647947710325</v>
      </c>
      <c r="I8014" s="13" t="n">
        <f aca="false">Sens!$I$7977/tk_pq</f>
        <v>0.219285125475351</v>
      </c>
      <c r="J8014" s="13" t="n">
        <f aca="false">Sens!$J$7977/tk_pq</f>
        <v>0.222492493217189</v>
      </c>
      <c r="K8014" s="13" t="n">
        <f aca="false">Sens!$K$7977/tk_pq</f>
        <v>0.224053502812094</v>
      </c>
      <c r="L8014" s="13" t="n">
        <f aca="false">Sens!$L$7977/tk_pq</f>
        <v>0.224786916785614</v>
      </c>
      <c r="M8014" s="13" t="n">
        <f aca="false">Sens!$M$7977/tk_pq</f>
        <v>0.225048671566937</v>
      </c>
      <c r="N8014" s="13" t="n">
        <f aca="false">Sens!$N$7977/tk_pq</f>
        <v>0.195316432429398</v>
      </c>
      <c r="O8014" s="13" t="n">
        <f aca="false">Sens!$O$7977/tk_pq</f>
        <v>0.195316432429398</v>
      </c>
      <c r="P8014" s="5" t="s">
        <v>672</v>
      </c>
    </row>
    <row r="8017" customFormat="false" ht="17.15" hidden="false" customHeight="false" outlineLevel="0" collapsed="false">
      <c r="A8017" s="1" t="s">
        <v>701</v>
      </c>
    </row>
    <row r="8018" customFormat="false" ht="17.15" hidden="false" customHeight="false" outlineLevel="0" collapsed="false">
      <c r="A8018" s="0" t="s">
        <v>702</v>
      </c>
      <c r="B8018" s="0" t="s">
        <v>86</v>
      </c>
      <c r="C8018" s="38" t="n">
        <f aca="false">Sens!$C$7976</f>
        <v>2.32100535697364</v>
      </c>
      <c r="D8018" s="38" t="n">
        <f aca="false">Sens!$D$7976</f>
        <v>8.70377008865116</v>
      </c>
      <c r="E8018" s="38" t="n">
        <f aca="false">Sens!$E$7976</f>
        <v>8.51035297557002</v>
      </c>
      <c r="F8018" s="38" t="n">
        <f aca="false">Sens!$F$7976</f>
        <v>14.9634336447205</v>
      </c>
      <c r="G8018" s="38" t="n">
        <f aca="false">Sens!$G$7976</f>
        <v>23.4737866202905</v>
      </c>
      <c r="H8018" s="38" t="n">
        <f aca="false">Sens!$H$7976</f>
        <v>60.1658907497746</v>
      </c>
      <c r="I8018" s="38" t="n">
        <f aca="false">Sens!$I$7976</f>
        <v>101.503699136432</v>
      </c>
      <c r="J8018" s="38" t="n">
        <f aca="false">Sens!$J$7976</f>
        <v>143.025407151278</v>
      </c>
      <c r="K8018" s="38" t="n">
        <f aca="false">Sens!$K$7976</f>
        <v>178.44812038318</v>
      </c>
      <c r="L8018" s="38" t="n">
        <f aca="false">Sens!$L$7976</f>
        <v>201.728101802396</v>
      </c>
      <c r="M8018" s="38" t="n">
        <f aca="false">Sens!$M$7976</f>
        <v>212.835441368865</v>
      </c>
      <c r="N8018" s="38" t="n">
        <f aca="false">Sens!$N$7976</f>
        <v>3.04631953102791</v>
      </c>
      <c r="O8018" s="38" t="n">
        <f aca="false">Sens!$O$7976</f>
        <v>5.65745055762326</v>
      </c>
      <c r="P8018" s="8" t="s">
        <v>703</v>
      </c>
    </row>
    <row r="8019" customFormat="false" ht="17.15" hidden="false" customHeight="false" outlineLevel="0" collapsed="false">
      <c r="A8019" s="0" t="s">
        <v>704</v>
      </c>
      <c r="B8019" s="0" t="s">
        <v>86</v>
      </c>
      <c r="C8019" s="38" t="n">
        <f aca="false">Sens!$C$7980</f>
        <v>105.234994643026</v>
      </c>
      <c r="D8019" s="38" t="n">
        <f aca="false">Sens!$D$7980</f>
        <v>120.021229911349</v>
      </c>
      <c r="E8019" s="38" t="n">
        <f aca="false">Sens!$E$7980</f>
        <v>71.30864702443</v>
      </c>
      <c r="F8019" s="38" t="n">
        <f aca="false">Sens!$F$7980</f>
        <v>71.7692997942464</v>
      </c>
      <c r="G8019" s="38" t="n">
        <f aca="false">Sens!$G$7980</f>
        <v>143.077946818676</v>
      </c>
      <c r="H8019" s="38" t="n">
        <f aca="false">Sens!$H$7980</f>
        <v>161.017077079203</v>
      </c>
      <c r="I8019" s="38" t="n">
        <f aca="false">Sens!$I$7980</f>
        <v>178.769759521457</v>
      </c>
      <c r="J8019" s="38" t="n">
        <f aca="false">Sens!$J$7980</f>
        <v>195.775538045907</v>
      </c>
      <c r="K8019" s="38" t="n">
        <f aca="false">Sens!$K$7980</f>
        <v>211.43758108958</v>
      </c>
      <c r="L8019" s="38" t="n">
        <f aca="false">Sens!$L$7980</f>
        <v>228.352587576746</v>
      </c>
      <c r="M8019" s="38" t="n">
        <f aca="false">Sens!$M$7980</f>
        <v>246.620794582886</v>
      </c>
      <c r="N8019" s="38" t="n">
        <f aca="false">Sens!$N$7980</f>
        <v>57.0936804689721</v>
      </c>
      <c r="O8019" s="38" t="n">
        <f aca="false">Sens!$O$7980</f>
        <v>62.9275494423768</v>
      </c>
      <c r="P8019" s="8" t="s">
        <v>703</v>
      </c>
    </row>
    <row r="8020" customFormat="false" ht="17.15" hidden="false" customHeight="false" outlineLevel="0" collapsed="false">
      <c r="A8020" s="1" t="s">
        <v>523</v>
      </c>
      <c r="B8020" s="8" t="s">
        <v>86</v>
      </c>
      <c r="C8020" s="38" t="n">
        <f aca="false">Q!$D$7</f>
        <v>107.556</v>
      </c>
      <c r="D8020" s="38" t="n">
        <f aca="false">Q!$E$7</f>
        <v>128.725</v>
      </c>
      <c r="E8020" s="38" t="n">
        <f aca="false">Q!$P$7</f>
        <v>79.819</v>
      </c>
      <c r="F8020" s="38" t="n">
        <f aca="false">Sens!$F$8018+Sens!$F$8019</f>
        <v>86.7327334389669</v>
      </c>
      <c r="G8020" s="38" t="n">
        <f aca="false">Sens!$G$8018+Sens!$G$8019</f>
        <v>166.551733438967</v>
      </c>
      <c r="H8020" s="38" t="n">
        <f aca="false">Sens!$H$8018+Sens!$H$8019</f>
        <v>221.182967828978</v>
      </c>
      <c r="I8020" s="38" t="n">
        <f aca="false">Sens!$I$8018+Sens!$I$8019</f>
        <v>280.27345865789</v>
      </c>
      <c r="J8020" s="38" t="n">
        <f aca="false">Sens!$J$8018+Sens!$J$8019</f>
        <v>338.800945197185</v>
      </c>
      <c r="K8020" s="38" t="n">
        <f aca="false">Sens!$K$8018+Sens!$K$8019</f>
        <v>389.88570147276</v>
      </c>
      <c r="L8020" s="38" t="n">
        <f aca="false">Sens!$L$8018+Sens!$L$8019</f>
        <v>430.080689379143</v>
      </c>
      <c r="M8020" s="38" t="n">
        <f aca="false">Sens!$M$8018+Sens!$M$8019</f>
        <v>459.456235951751</v>
      </c>
      <c r="N8020" s="38" t="n">
        <f aca="false">Q!$N$7</f>
        <v>60.14</v>
      </c>
      <c r="O8020" s="38" t="n">
        <f aca="false">Q!$O$7</f>
        <v>68.585</v>
      </c>
      <c r="P8020" s="5" t="s">
        <v>705</v>
      </c>
    </row>
    <row r="8021" customFormat="false" ht="15" hidden="false" customHeight="false" outlineLevel="0" collapsed="false">
      <c r="A8021" s="3" t="s">
        <v>706</v>
      </c>
      <c r="B8021" s="8" t="s">
        <v>86</v>
      </c>
      <c r="C8021" s="38" t="n">
        <f aca="false">Q!$D$8</f>
        <v>637.959</v>
      </c>
      <c r="D8021" s="38" t="n">
        <f aca="false">Q!$E$8</f>
        <v>716.924</v>
      </c>
      <c r="E8021" s="38" t="n">
        <f aca="false">Q!$P$8</f>
        <v>382.125</v>
      </c>
      <c r="F8021" s="38" t="n">
        <f aca="false">Sens!$F$7948+Sens!$F$8020</f>
        <v>435.780975084504</v>
      </c>
      <c r="G8021" s="38" t="n">
        <f aca="false">Sens!$G$7948+Sens!$G$8020</f>
        <v>817.905975084504</v>
      </c>
      <c r="H8021" s="38" t="n">
        <f aca="false">Sens!$H$7948+Sens!$H$8020</f>
        <v>942.279857350364</v>
      </c>
      <c r="I8021" s="38" t="n">
        <f aca="false">Sens!$I$7948+Sens!$I$8020</f>
        <v>1068.80284981042</v>
      </c>
      <c r="J8021" s="38" t="n">
        <f aca="false">Sens!$J$7948+Sens!$J$8020</f>
        <v>1189.90935093863</v>
      </c>
      <c r="K8021" s="38" t="n">
        <f aca="false">Sens!$K$7948+Sens!$K$8020</f>
        <v>1296.06215690385</v>
      </c>
      <c r="L8021" s="38" t="n">
        <f aca="false">Sens!$L$7948+Sens!$L$8020</f>
        <v>1395.17379585473</v>
      </c>
      <c r="M8021" s="38" t="n">
        <f aca="false">Sens!$M$7948+Sens!$M$8020</f>
        <v>1487.60414389864</v>
      </c>
      <c r="N8021" s="38" t="n">
        <f aca="false">Q!$N$8</f>
        <v>323.369</v>
      </c>
      <c r="O8021" s="38" t="n">
        <f aca="false">Q!$O$8</f>
        <v>393.555</v>
      </c>
    </row>
    <row r="8022" customFormat="false" ht="17.15" hidden="false" customHeight="false" outlineLevel="0" collapsed="false">
      <c r="A8022" s="24" t="s">
        <v>714</v>
      </c>
      <c r="B8022" s="25" t="s">
        <v>86</v>
      </c>
      <c r="C8022" s="41" t="n">
        <f aca="false">Sens!$C$7948-(Sens!$C$7950+Sens!$C$7951)</f>
        <v>0</v>
      </c>
      <c r="D8022" s="41" t="n">
        <f aca="false">Sens!$D$7948-(Sens!$D$7950+Sens!$D$7951)</f>
        <v>0</v>
      </c>
      <c r="E8022" s="41" t="n">
        <f aca="false">Sens!$E$7948-(Sens!$E$7950+Sens!$E$7951)</f>
        <v>0</v>
      </c>
      <c r="F8022" s="41" t="n">
        <f aca="false">Sens!$F$7948-(Sens!$F$7950+Sens!$F$7951)</f>
        <v>0</v>
      </c>
      <c r="G8022" s="41" t="n">
        <f aca="false">Sens!$G$7948-(Sens!$G$7950+Sens!$G$7951)</f>
        <v>0</v>
      </c>
      <c r="H8022" s="41" t="n">
        <f aca="false">Sens!$H$7948-(Sens!$H$7950+Sens!$H$7951)</f>
        <v>0</v>
      </c>
      <c r="I8022" s="41" t="n">
        <f aca="false">Sens!$I$7948-(Sens!$I$7950+Sens!$I$7951)</f>
        <v>0</v>
      </c>
      <c r="J8022" s="41" t="n">
        <f aca="false">Sens!$J$7948-(Sens!$J$7950+Sens!$J$7951)</f>
        <v>0</v>
      </c>
      <c r="K8022" s="41" t="n">
        <f aca="false">Sens!$K$7948-(Sens!$K$7950+Sens!$K$7951)</f>
        <v>0</v>
      </c>
      <c r="L8022" s="41" t="n">
        <f aca="false">Sens!$L$7948-(Sens!$L$7950+Sens!$L$7951)</f>
        <v>0</v>
      </c>
      <c r="M8022" s="41" t="n">
        <f aca="false">Sens!$M$7948-(Sens!$M$7950+Sens!$M$7951)</f>
        <v>0</v>
      </c>
      <c r="N8022" s="41" t="n">
        <f aca="false">Sens!$N$7948-(Sens!$N$7950+Sens!$N$7951)</f>
        <v>0</v>
      </c>
      <c r="O8022" s="41" t="n">
        <f aca="false">Sens!$O$7948-(Sens!$O$7950+Sens!$O$7951)</f>
        <v>0</v>
      </c>
    </row>
    <row r="8023" customFormat="false" ht="17.15" hidden="false" customHeight="false" outlineLevel="0" collapsed="false">
      <c r="A8023" s="24" t="s">
        <v>715</v>
      </c>
      <c r="B8023" s="25" t="s">
        <v>86</v>
      </c>
      <c r="C8023" s="41" t="n">
        <f aca="false">Sens!$C$8018+Sens!$C$8019-Sens!$C$8020</f>
        <v>0</v>
      </c>
      <c r="D8023" s="41" t="n">
        <f aca="false">Sens!$D$8018+Sens!$D$8019-Sens!$D$8020</f>
        <v>0</v>
      </c>
      <c r="E8023" s="41" t="n">
        <f aca="false">Sens!$E$8018+Sens!$E$8019-Sens!$E$8020</f>
        <v>0</v>
      </c>
      <c r="F8023" s="41" t="n">
        <f aca="false">Sens!$F$8018+Sens!$F$8019-Sens!$F$8020</f>
        <v>0</v>
      </c>
      <c r="G8023" s="41" t="n">
        <f aca="false">Sens!$G$8018+Sens!$G$8019-Sens!$G$8020</f>
        <v>0</v>
      </c>
      <c r="H8023" s="41" t="n">
        <f aca="false">Sens!$H$8018+Sens!$H$8019-Sens!$H$8020</f>
        <v>0</v>
      </c>
      <c r="I8023" s="41" t="n">
        <f aca="false">Sens!$I$8018+Sens!$I$8019-Sens!$I$8020</f>
        <v>0</v>
      </c>
      <c r="J8023" s="41" t="n">
        <f aca="false">Sens!$J$8018+Sens!$J$8019-Sens!$J$8020</f>
        <v>0</v>
      </c>
      <c r="K8023" s="41" t="n">
        <f aca="false">Sens!$K$8018+Sens!$K$8019-Sens!$K$8020</f>
        <v>0</v>
      </c>
      <c r="L8023" s="41" t="n">
        <f aca="false">Sens!$L$8018+Sens!$L$8019-Sens!$L$8020</f>
        <v>0</v>
      </c>
      <c r="M8023" s="41" t="n">
        <f aca="false">Sens!$M$8018+Sens!$M$8019-Sens!$M$8020</f>
        <v>0</v>
      </c>
      <c r="N8023" s="41" t="n">
        <f aca="false">Sens!$N$8018+Sens!$N$8019-Sens!$N$8020</f>
        <v>0</v>
      </c>
      <c r="O8023" s="41" t="n">
        <f aca="false">Sens!$O$8018+Sens!$O$8019-Sens!$O$8020</f>
        <v>0</v>
      </c>
    </row>
    <row r="8024" customFormat="false" ht="17.15" hidden="false" customHeight="false" outlineLevel="0" collapsed="false">
      <c r="A8024" s="24" t="s">
        <v>716</v>
      </c>
      <c r="B8024" s="25" t="s">
        <v>86</v>
      </c>
      <c r="C8024" s="41" t="n">
        <f aca="false">Sens!$C$7950+Sens!$C$7951+Sens!$C$8020-Sens!$C$8021</f>
        <v>0</v>
      </c>
      <c r="D8024" s="41" t="n">
        <f aca="false">Sens!$D$7950+Sens!$D$7951+Sens!$D$8020-Sens!$D$8021</f>
        <v>0</v>
      </c>
      <c r="E8024" s="41" t="n">
        <f aca="false">Sens!$E$7950+Sens!$E$7951+Sens!$E$8020-Sens!$E$8021</f>
        <v>0</v>
      </c>
      <c r="F8024" s="41" t="n">
        <f aca="false">Sens!$F$7950+Sens!$F$7951+Sens!$F$8020-Sens!$F$8021</f>
        <v>0</v>
      </c>
      <c r="G8024" s="41" t="n">
        <f aca="false">Sens!$G$7950+Sens!$G$7951+Sens!$G$8020-Sens!$G$8021</f>
        <v>0</v>
      </c>
      <c r="H8024" s="41" t="n">
        <f aca="false">Sens!$H$7950+Sens!$H$7951+Sens!$H$8020-Sens!$H$8021</f>
        <v>0</v>
      </c>
      <c r="I8024" s="41" t="n">
        <f aca="false">Sens!$I$7950+Sens!$I$7951+Sens!$I$8020-Sens!$I$8021</f>
        <v>0</v>
      </c>
      <c r="J8024" s="41" t="n">
        <f aca="false">Sens!$J$7950+Sens!$J$7951+Sens!$J$8020-Sens!$J$8021</f>
        <v>0</v>
      </c>
      <c r="K8024" s="41" t="n">
        <f aca="false">Sens!$K$7950+Sens!$K$7951+Sens!$K$8020-Sens!$K$8021</f>
        <v>0</v>
      </c>
      <c r="L8024" s="41" t="n">
        <f aca="false">Sens!$L$7950+Sens!$L$7951+Sens!$L$8020-Sens!$L$8021</f>
        <v>0</v>
      </c>
      <c r="M8024" s="41" t="n">
        <f aca="false">Sens!$M$7950+Sens!$M$7951+Sens!$M$8020-Sens!$M$8021</f>
        <v>0</v>
      </c>
      <c r="N8024" s="41" t="n">
        <f aca="false">Sens!$N$7950+Sens!$N$7951+Sens!$N$8020-Sens!$N$8021</f>
        <v>0</v>
      </c>
      <c r="O8024" s="41" t="n">
        <f aca="false">Sens!$O$7950+Sens!$O$7951+Sens!$O$8020-Sens!$O$8021</f>
        <v>0</v>
      </c>
    </row>
    <row r="8025" customFormat="false" ht="15" hidden="false" customHeight="false" outlineLevel="0" collapsed="false">
      <c r="A8025" s="5" t="s">
        <v>710</v>
      </c>
      <c r="B8025" s="0" t="s">
        <v>52</v>
      </c>
      <c r="G8025" s="13" t="n">
        <f aca="false">Sens!$G$8021/Sens!$D$8021-1</f>
        <v>0.140854504918937</v>
      </c>
      <c r="H8025" s="13" t="n">
        <f aca="false">Sens!$H$8021/Sens!$G$8021-1</f>
        <v>0.152063789793209</v>
      </c>
      <c r="I8025" s="13" t="n">
        <f aca="false">Sens!$I$8021/Sens!$H$8021-1</f>
        <v>0.134273264437417</v>
      </c>
      <c r="J8025" s="13" t="n">
        <f aca="false">Sens!$J$8021/Sens!$I$8021-1</f>
        <v>0.113310421234083</v>
      </c>
      <c r="K8025" s="13" t="n">
        <f aca="false">Sens!$K$8021/Sens!$J$8021-1</f>
        <v>0.0892108343223652</v>
      </c>
      <c r="L8025" s="13" t="n">
        <f aca="false">Sens!$L$8021/Sens!$K$8021-1</f>
        <v>0.076471362444261</v>
      </c>
      <c r="M8025" s="13" t="n">
        <f aca="false">Sens!$M$8021/Sens!$L$8021-1</f>
        <v>0.066250060256672</v>
      </c>
    </row>
    <row r="8026" customFormat="false" ht="17.15" hidden="false" customHeight="false" outlineLevel="0" collapsed="false">
      <c r="A8026" s="0" t="s">
        <v>711</v>
      </c>
      <c r="B8026" s="0" t="s">
        <v>52</v>
      </c>
      <c r="C8026" s="13" t="n">
        <f aca="false">Sens!$C$8020/Sens!$C$8021</f>
        <v>0.168593906504964</v>
      </c>
      <c r="D8026" s="13" t="n">
        <f aca="false">Sens!$D$8020/Sens!$D$8021</f>
        <v>0.179551807444025</v>
      </c>
      <c r="E8026" s="13" t="n">
        <f aca="false">Sens!$E$8020/Sens!$E$8021</f>
        <v>0.208881910369643</v>
      </c>
      <c r="F8026" s="13" t="n">
        <f aca="false">Sens!$F$8020/Sens!$F$8021</f>
        <v>0.199028269699356</v>
      </c>
      <c r="G8026" s="13" t="n">
        <f aca="false">Sens!$G$8020/Sens!$G$8021</f>
        <v>0.203631882529968</v>
      </c>
      <c r="H8026" s="13" t="n">
        <f aca="false">Sens!$H$8020/Sens!$H$8021</f>
        <v>0.234731715958496</v>
      </c>
      <c r="I8026" s="13" t="n">
        <f aca="false">Sens!$I$8020/Sens!$I$8021</f>
        <v>0.262231204480418</v>
      </c>
      <c r="J8026" s="13" t="n">
        <f aca="false">Sens!$J$8020/Sens!$J$8021</f>
        <v>0.284728366013706</v>
      </c>
      <c r="K8026" s="13" t="n">
        <f aca="false">Sens!$K$8020/Sens!$K$8021</f>
        <v>0.300823304959505</v>
      </c>
      <c r="L8026" s="13" t="n">
        <f aca="false">Sens!$L$8020/Sens!$L$8021</f>
        <v>0.308263164529735</v>
      </c>
      <c r="M8026" s="13" t="n">
        <f aca="false">Sens!$M$8020/Sens!$M$8021</f>
        <v>0.308856517936036</v>
      </c>
      <c r="N8026" s="13" t="n">
        <f aca="false">Sens!$N$8020/Sens!$N$8021</f>
        <v>0.185979484737251</v>
      </c>
      <c r="O8026" s="13" t="n">
        <f aca="false">Sens!$O$8020/Sens!$O$8021</f>
        <v>0.174270432341096</v>
      </c>
    </row>
    <row r="8027" customFormat="false" ht="17.15" hidden="false" customHeight="false" outlineLevel="0" collapsed="false">
      <c r="A8027" s="0" t="s">
        <v>712</v>
      </c>
      <c r="B8027" s="0" t="s">
        <v>52</v>
      </c>
      <c r="C8027" s="13" t="n">
        <f aca="false">Sens!$C$8018/Sens!$C$8020</f>
        <v>0.0215795060896058</v>
      </c>
      <c r="D8027" s="13" t="n">
        <f aca="false">Sens!$D$8018/Sens!$D$8020</f>
        <v>0.0676152269462122</v>
      </c>
      <c r="E8027" s="13" t="n">
        <f aca="false">Sens!$E$8018/Sens!$E$8020</f>
        <v>0.106620641395783</v>
      </c>
      <c r="F8027" s="13" t="n">
        <f aca="false">Sens!$F$8018/Sens!$F$8020</f>
        <v>0.172523487401099</v>
      </c>
      <c r="G8027" s="13" t="n">
        <f aca="false">Sens!$G$8018/Sens!$G$8020</f>
        <v>0.140939911795589</v>
      </c>
      <c r="H8027" s="13" t="n">
        <f aca="false">Sens!$H$8018/Sens!$H$8020</f>
        <v>0.272018642937714</v>
      </c>
      <c r="I8027" s="13" t="n">
        <f aca="false">Sens!$I$8018/Sens!$I$8020</f>
        <v>0.362159512436497</v>
      </c>
      <c r="J8027" s="13" t="n">
        <f aca="false">Sens!$J$8018/Sens!$J$8020</f>
        <v>0.422151735934609</v>
      </c>
      <c r="K8027" s="13" t="n">
        <f aca="false">Sens!$K$8018/Sens!$K$8020</f>
        <v>0.45769342068485</v>
      </c>
      <c r="L8027" s="13" t="n">
        <f aca="false">Sens!$L$8018/Sens!$L$8020</f>
        <v>0.469047103913472</v>
      </c>
      <c r="M8027" s="13" t="n">
        <f aca="false">Sens!$M$8018/Sens!$M$8020</f>
        <v>0.463233328258093</v>
      </c>
      <c r="N8027" s="13" t="n">
        <f aca="false">Sens!$N$8018/Sens!$N$8020</f>
        <v>0.0506537999838362</v>
      </c>
      <c r="O8027" s="13" t="n">
        <f aca="false">Sens!$O$8018/Sens!$O$8020</f>
        <v>0.0824881615167056</v>
      </c>
    </row>
    <row r="8030" customFormat="false" ht="19.4" hidden="false" customHeight="false" outlineLevel="0" collapsed="false">
      <c r="A8030" s="31" t="s">
        <v>1314</v>
      </c>
    </row>
    <row r="8031" customFormat="false" ht="17.15" hidden="false" customHeight="false" outlineLevel="0" collapsed="false">
      <c r="A8031" s="6" t="s">
        <v>16</v>
      </c>
      <c r="B8031" s="6" t="s">
        <v>17</v>
      </c>
      <c r="C8031" s="20" t="s">
        <v>504</v>
      </c>
      <c r="D8031" s="20" t="s">
        <v>505</v>
      </c>
      <c r="E8031" s="20" t="s">
        <v>587</v>
      </c>
      <c r="F8031" s="20" t="s">
        <v>588</v>
      </c>
      <c r="G8031" s="20" t="s">
        <v>589</v>
      </c>
      <c r="H8031" s="20" t="s">
        <v>590</v>
      </c>
      <c r="I8031" s="20" t="s">
        <v>591</v>
      </c>
      <c r="J8031" s="20" t="s">
        <v>592</v>
      </c>
      <c r="K8031" s="20" t="s">
        <v>593</v>
      </c>
      <c r="L8031" s="20" t="s">
        <v>594</v>
      </c>
      <c r="M8031" s="20" t="s">
        <v>595</v>
      </c>
      <c r="N8031" s="20" t="s">
        <v>596</v>
      </c>
      <c r="O8031" s="20" t="s">
        <v>597</v>
      </c>
      <c r="P8031" s="6" t="s">
        <v>23</v>
      </c>
      <c r="R8031" s="20" t="n">
        <v>2023</v>
      </c>
      <c r="S8031" s="20" t="n">
        <v>2024</v>
      </c>
      <c r="T8031" s="20" t="n">
        <v>2025</v>
      </c>
      <c r="U8031" s="20" t="n">
        <v>2026</v>
      </c>
      <c r="V8031" s="20" t="n">
        <v>2027</v>
      </c>
      <c r="W8031" s="20" t="n">
        <v>2028</v>
      </c>
      <c r="X8031" s="20" t="n">
        <v>2029</v>
      </c>
      <c r="Y8031" s="20" t="n">
        <v>2030</v>
      </c>
      <c r="Z8031" s="20" t="n">
        <v>2031</v>
      </c>
      <c r="AA8031" s="20" t="n">
        <v>2032</v>
      </c>
    </row>
    <row r="8032" customFormat="false" ht="17.15" hidden="false" customHeight="false" outlineLevel="0" collapsed="false">
      <c r="A8032" s="1" t="s">
        <v>727</v>
      </c>
    </row>
    <row r="8033" customFormat="false" ht="15" hidden="false" customHeight="false" outlineLevel="0" collapsed="false">
      <c r="A8033" s="0" t="s">
        <v>526</v>
      </c>
      <c r="B8033" s="0" t="s">
        <v>86</v>
      </c>
      <c r="C8033" s="38" t="n">
        <f aca="false">Sens!$C$7935</f>
        <v>247.029</v>
      </c>
      <c r="D8033" s="38" t="n">
        <f aca="false">Sens!$D$7935</f>
        <v>269.287</v>
      </c>
      <c r="E8033" s="38" t="n">
        <f aca="false">Sens!$E$7935</f>
        <v>134.686</v>
      </c>
      <c r="F8033" s="38" t="n">
        <f aca="false">Sens!$F$7935</f>
        <v>158.293876822267</v>
      </c>
      <c r="G8033" s="38" t="n">
        <f aca="false">Sens!$G$7935</f>
        <v>292.979876822267</v>
      </c>
      <c r="H8033" s="38" t="n">
        <f aca="false">Sens!$H$7935</f>
        <v>318.184543087396</v>
      </c>
      <c r="I8033" s="38" t="n">
        <f aca="false">Sens!$I$7935</f>
        <v>341.736278761793</v>
      </c>
      <c r="J8033" s="38" t="n">
        <f aca="false">Sens!$J$7935</f>
        <v>362.927192787048</v>
      </c>
      <c r="K8033" s="38" t="n">
        <f aca="false">Sens!$K$7935</f>
        <v>381.0735524264</v>
      </c>
      <c r="L8033" s="38" t="n">
        <f aca="false">Sens!$L$7935</f>
        <v>400.12723004772</v>
      </c>
      <c r="M8033" s="38" t="n">
        <f aca="false">Sens!$M$7935</f>
        <v>420.133591550106</v>
      </c>
      <c r="N8033" s="38" t="n">
        <f aca="false">Sens!$N$7935</f>
        <v>118.892</v>
      </c>
      <c r="O8033" s="38" t="n">
        <f aca="false">Sens!$O$7935</f>
        <v>150.395</v>
      </c>
    </row>
    <row r="8034" customFormat="false" ht="15" hidden="false" customHeight="false" outlineLevel="0" collapsed="false">
      <c r="A8034" s="0" t="s">
        <v>527</v>
      </c>
      <c r="B8034" s="0" t="s">
        <v>86</v>
      </c>
      <c r="C8034" s="38" t="n">
        <f aca="false">Sens!$C$7937</f>
        <v>21.215</v>
      </c>
      <c r="D8034" s="38" t="n">
        <f aca="false">Sens!$D$7937</f>
        <v>22.561</v>
      </c>
      <c r="E8034" s="38" t="n">
        <f aca="false">Sens!$E$7937</f>
        <v>11.579</v>
      </c>
      <c r="F8034" s="38" t="n">
        <f aca="false">Sens!$F$7937</f>
        <v>11.5938724610325</v>
      </c>
      <c r="G8034" s="38" t="n">
        <f aca="false">Sens!$G$7937</f>
        <v>23.1728724610325</v>
      </c>
      <c r="H8034" s="38" t="n">
        <f aca="false">Sens!$H$7937</f>
        <v>24.353392759506</v>
      </c>
      <c r="I8034" s="38" t="n">
        <f aca="false">Sens!$I$7937</f>
        <v>25.4240338872015</v>
      </c>
      <c r="J8034" s="38" t="n">
        <f aca="false">Sens!$J$7937</f>
        <v>26.3642491017174</v>
      </c>
      <c r="K8034" s="38" t="n">
        <f aca="false">Sens!$K$7937</f>
        <v>27.155176574769</v>
      </c>
      <c r="L8034" s="38" t="n">
        <f aca="false">Sens!$L$7937</f>
        <v>27.969831872012</v>
      </c>
      <c r="M8034" s="38" t="n">
        <f aca="false">Sens!$M$7937</f>
        <v>28.8089268281724</v>
      </c>
      <c r="N8034" s="38" t="n">
        <f aca="false">Sens!$N$7937</f>
        <v>11.128</v>
      </c>
      <c r="O8034" s="38" t="n">
        <f aca="false">Sens!$O$7937</f>
        <v>11.433</v>
      </c>
    </row>
    <row r="8035" customFormat="false" ht="15" hidden="false" customHeight="false" outlineLevel="0" collapsed="false">
      <c r="A8035" s="0" t="s">
        <v>528</v>
      </c>
      <c r="B8035" s="0" t="s">
        <v>86</v>
      </c>
      <c r="C8035" s="38" t="n">
        <f aca="false">Sens!$C$7939</f>
        <v>156.146</v>
      </c>
      <c r="D8035" s="38" t="n">
        <f aca="false">Sens!$D$7939</f>
        <v>172.162</v>
      </c>
      <c r="E8035" s="38" t="n">
        <f aca="false">Sens!$E$7939</f>
        <v>88.358</v>
      </c>
      <c r="F8035" s="38" t="n">
        <f aca="false">Sens!$F$7939</f>
        <v>102.004388260171</v>
      </c>
      <c r="G8035" s="38" t="n">
        <f aca="false">Sens!$G$7939</f>
        <v>190.362388260171</v>
      </c>
      <c r="H8035" s="38" t="n">
        <f aca="false">Sens!$H$7939</f>
        <v>210.343106588311</v>
      </c>
      <c r="I8035" s="38" t="n">
        <f aca="false">Sens!$I$7939</f>
        <v>229.969728494648</v>
      </c>
      <c r="J8035" s="38" t="n">
        <f aca="false">Sens!$J$7939</f>
        <v>248.747636972598</v>
      </c>
      <c r="K8035" s="38" t="n">
        <f aca="false">Sens!$K$7939</f>
        <v>266.15997156068</v>
      </c>
      <c r="L8035" s="38" t="n">
        <f aca="false">Sens!$L$7939</f>
        <v>284.791169569927</v>
      </c>
      <c r="M8035" s="38" t="n">
        <f aca="false">Sens!$M$7939</f>
        <v>304.726551439822</v>
      </c>
      <c r="N8035" s="38" t="n">
        <f aca="false">Sens!$N$7939</f>
        <v>76.86</v>
      </c>
      <c r="O8035" s="38" t="n">
        <f aca="false">Sens!$O$7939</f>
        <v>95.302</v>
      </c>
    </row>
    <row r="8036" customFormat="false" ht="15" hidden="false" customHeight="false" outlineLevel="0" collapsed="false">
      <c r="A8036" s="0" t="s">
        <v>529</v>
      </c>
      <c r="B8036" s="0" t="s">
        <v>86</v>
      </c>
      <c r="C8036" s="38" t="n">
        <f aca="false">Sens!$C$7941</f>
        <v>56.214</v>
      </c>
      <c r="D8036" s="38" t="n">
        <f aca="false">Sens!$D$7941</f>
        <v>68.635</v>
      </c>
      <c r="E8036" s="38" t="n">
        <f aca="false">Sens!$E$7941</f>
        <v>37.052</v>
      </c>
      <c r="F8036" s="38" t="n">
        <f aca="false">Sens!$F$7941</f>
        <v>46.1572219944148</v>
      </c>
      <c r="G8036" s="38" t="n">
        <f aca="false">Sens!$G$7941</f>
        <v>83.2092219944148</v>
      </c>
      <c r="H8036" s="38" t="n">
        <f aca="false">Sens!$H$7941</f>
        <v>99.8969223878976</v>
      </c>
      <c r="I8036" s="38" t="n">
        <f aca="false">Sens!$I$7941</f>
        <v>116.583111095496</v>
      </c>
      <c r="J8036" s="38" t="n">
        <f aca="false">Sens!$J$7941</f>
        <v>132.148941941952</v>
      </c>
      <c r="K8036" s="38" t="n">
        <f aca="false">Sens!$K$7941</f>
        <v>145.363836136147</v>
      </c>
      <c r="L8036" s="38" t="n">
        <f aca="false">Sens!$L$7941</f>
        <v>159.900219749762</v>
      </c>
      <c r="M8036" s="38" t="n">
        <f aca="false">Sens!$M$7941</f>
        <v>175.890241724738</v>
      </c>
      <c r="N8036" s="38" t="n">
        <f aca="false">Sens!$N$7941</f>
        <v>29.615</v>
      </c>
      <c r="O8036" s="38" t="n">
        <f aca="false">Sens!$O$7941</f>
        <v>39.02</v>
      </c>
    </row>
    <row r="8037" customFormat="false" ht="15" hidden="false" customHeight="false" outlineLevel="0" collapsed="false">
      <c r="A8037" s="0" t="s">
        <v>530</v>
      </c>
      <c r="B8037" s="0" t="s">
        <v>86</v>
      </c>
      <c r="C8037" s="38" t="n">
        <f aca="false">Sens!$C$7943</f>
        <v>44.374</v>
      </c>
      <c r="D8037" s="38" t="n">
        <f aca="false">Sens!$D$7943</f>
        <v>49.619</v>
      </c>
      <c r="E8037" s="38" t="n">
        <f aca="false">Sens!$E$7943</f>
        <v>27.157</v>
      </c>
      <c r="F8037" s="38" t="n">
        <f aca="false">Sens!$F$7943</f>
        <v>27.7764165988154</v>
      </c>
      <c r="G8037" s="38" t="n">
        <f aca="false">Sens!$G$7943</f>
        <v>54.9334165988154</v>
      </c>
      <c r="H8037" s="38" t="n">
        <f aca="false">Sens!$H$7943</f>
        <v>61.1564112561829</v>
      </c>
      <c r="I8037" s="38" t="n">
        <f aca="false">Sens!$I$7943</f>
        <v>67.2020282103945</v>
      </c>
      <c r="J8037" s="38" t="n">
        <f aca="false">Sens!$J$7943</f>
        <v>72.8757274028885</v>
      </c>
      <c r="K8037" s="38" t="n">
        <f aca="false">Sens!$K$7943</f>
        <v>77.9770283210907</v>
      </c>
      <c r="L8037" s="38" t="n">
        <f aca="false">Sens!$L$7943</f>
        <v>83.4354203035671</v>
      </c>
      <c r="M8037" s="38" t="n">
        <f aca="false">Sens!$M$7943</f>
        <v>89.2758997248168</v>
      </c>
      <c r="N8037" s="38" t="n">
        <f aca="false">Sens!$N$7943</f>
        <v>23.923</v>
      </c>
      <c r="O8037" s="38" t="n">
        <f aca="false">Sens!$O$7943</f>
        <v>25.696</v>
      </c>
    </row>
    <row r="8038" customFormat="false" ht="15" hidden="false" customHeight="false" outlineLevel="0" collapsed="false">
      <c r="A8038" s="0" t="s">
        <v>531</v>
      </c>
      <c r="B8038" s="0" t="s">
        <v>86</v>
      </c>
      <c r="C8038" s="38" t="n">
        <f aca="false">Sens!$C$7945</f>
        <v>5.425</v>
      </c>
      <c r="D8038" s="38" t="n">
        <f aca="false">Sens!$D$7945</f>
        <v>5.935</v>
      </c>
      <c r="E8038" s="38" t="n">
        <f aca="false">Sens!$E$7945</f>
        <v>3.474</v>
      </c>
      <c r="F8038" s="38" t="n">
        <f aca="false">Sens!$F$7945</f>
        <v>3.22246550883619</v>
      </c>
      <c r="G8038" s="38" t="n">
        <f aca="false">Sens!$G$7945</f>
        <v>6.69646550883619</v>
      </c>
      <c r="H8038" s="38" t="n">
        <f aca="false">Sens!$H$7945</f>
        <v>7.16251344209196</v>
      </c>
      <c r="I8038" s="38" t="n">
        <f aca="false">Sens!$I$7945</f>
        <v>7.61421070299826</v>
      </c>
      <c r="J8038" s="38" t="n">
        <f aca="false">Sens!$J$7945</f>
        <v>8.04465753523932</v>
      </c>
      <c r="K8038" s="38" t="n">
        <f aca="false">Sens!$K$7945</f>
        <v>8.44689041200128</v>
      </c>
      <c r="L8038" s="38" t="n">
        <f aca="false">Sens!$L$7945</f>
        <v>8.86923493260135</v>
      </c>
      <c r="M8038" s="38" t="n">
        <f aca="false">Sens!$M$7945</f>
        <v>9.31269667923142</v>
      </c>
      <c r="N8038" s="38" t="n">
        <f aca="false">Sens!$N$7945</f>
        <v>2.811</v>
      </c>
      <c r="O8038" s="38" t="n">
        <f aca="false">Sens!$O$7945</f>
        <v>3.124</v>
      </c>
    </row>
    <row r="8039" customFormat="false" ht="17.15" hidden="false" customHeight="false" outlineLevel="0" collapsed="false">
      <c r="A8039" s="0" t="s">
        <v>728</v>
      </c>
      <c r="B8039" s="0" t="s">
        <v>86</v>
      </c>
      <c r="C8039" s="38" t="n">
        <f aca="false">Sens!$C$8020</f>
        <v>107.556</v>
      </c>
      <c r="D8039" s="38" t="n">
        <f aca="false">Sens!$D$8020</f>
        <v>128.725</v>
      </c>
      <c r="E8039" s="38" t="n">
        <f aca="false">Sens!$E$8020</f>
        <v>79.819</v>
      </c>
      <c r="F8039" s="38" t="n">
        <f aca="false">Sens!$F$8020</f>
        <v>86.7327334389669</v>
      </c>
      <c r="G8039" s="38" t="n">
        <f aca="false">Sens!$G$8020</f>
        <v>166.551733438967</v>
      </c>
      <c r="H8039" s="38" t="n">
        <f aca="false">Sens!$H$8020</f>
        <v>221.182967828978</v>
      </c>
      <c r="I8039" s="38" t="n">
        <f aca="false">Sens!$I$8020</f>
        <v>280.27345865789</v>
      </c>
      <c r="J8039" s="38" t="n">
        <f aca="false">Sens!$J$8020</f>
        <v>338.800945197185</v>
      </c>
      <c r="K8039" s="38" t="n">
        <f aca="false">Sens!$K$8020</f>
        <v>389.88570147276</v>
      </c>
      <c r="L8039" s="38" t="n">
        <f aca="false">Sens!$L$8020</f>
        <v>430.080689379143</v>
      </c>
      <c r="M8039" s="38" t="n">
        <f aca="false">Sens!$M$8020</f>
        <v>459.456235951751</v>
      </c>
      <c r="N8039" s="38" t="n">
        <f aca="false">Sens!$N$8020</f>
        <v>60.14</v>
      </c>
      <c r="O8039" s="38" t="n">
        <f aca="false">Sens!$O$8020</f>
        <v>68.585</v>
      </c>
    </row>
    <row r="8040" customFormat="false" ht="15" hidden="false" customHeight="false" outlineLevel="0" collapsed="false">
      <c r="A8040" s="1" t="s">
        <v>519</v>
      </c>
      <c r="B8040" s="8" t="s">
        <v>86</v>
      </c>
      <c r="C8040" s="38" t="n">
        <f aca="false">Sens!$C$7950</f>
        <v>387.497</v>
      </c>
      <c r="D8040" s="38" t="n">
        <f aca="false">Sens!$D$7950</f>
        <v>426.305</v>
      </c>
      <c r="E8040" s="38" t="n">
        <f aca="false">Sens!$E$7950</f>
        <v>220.32</v>
      </c>
      <c r="F8040" s="38" t="n">
        <f aca="false">Sens!$F$7950</f>
        <v>250.639773480586</v>
      </c>
      <c r="G8040" s="38" t="n">
        <f aca="false">Sens!$G$7950</f>
        <v>470.959773480586</v>
      </c>
      <c r="H8040" s="38" t="n">
        <f aca="false">Sens!$H$7950</f>
        <v>521.386990416437</v>
      </c>
      <c r="I8040" s="38" t="n">
        <f aca="false">Sens!$I$7950</f>
        <v>570.143862887555</v>
      </c>
      <c r="J8040" s="38" t="n">
        <f aca="false">Sens!$J$7950</f>
        <v>615.391435791933</v>
      </c>
      <c r="K8040" s="38" t="n">
        <f aca="false">Sens!$K$7950</f>
        <v>655.208227561543</v>
      </c>
      <c r="L8040" s="38" t="n">
        <f aca="false">Sens!$L$7950</f>
        <v>697.807739249767</v>
      </c>
      <c r="M8040" s="38" t="n">
        <f aca="false">Sens!$M$7950</f>
        <v>743.399328463592</v>
      </c>
      <c r="N8040" s="38" t="n">
        <f aca="false">Sens!$N$7950</f>
        <v>192.955</v>
      </c>
      <c r="O8040" s="38" t="n">
        <f aca="false">Sens!$O$7950</f>
        <v>233.35</v>
      </c>
    </row>
    <row r="8041" customFormat="false" ht="15" hidden="false" customHeight="false" outlineLevel="0" collapsed="false">
      <c r="A8041" s="1" t="s">
        <v>522</v>
      </c>
      <c r="B8041" s="8" t="s">
        <v>86</v>
      </c>
      <c r="C8041" s="38" t="n">
        <f aca="false">Sens!$C$7951</f>
        <v>142.906</v>
      </c>
      <c r="D8041" s="38" t="n">
        <f aca="false">Sens!$D$7951</f>
        <v>161.894</v>
      </c>
      <c r="E8041" s="38" t="n">
        <f aca="false">Sens!$E$7951</f>
        <v>81.986</v>
      </c>
      <c r="F8041" s="38" t="n">
        <f aca="false">Sens!$F$7951</f>
        <v>98.408468164951</v>
      </c>
      <c r="G8041" s="38" t="n">
        <f aca="false">Sens!$G$7951</f>
        <v>180.394468164951</v>
      </c>
      <c r="H8041" s="38" t="n">
        <f aca="false">Sens!$H$7951</f>
        <v>199.709899104949</v>
      </c>
      <c r="I8041" s="38" t="n">
        <f aca="false">Sens!$I$7951</f>
        <v>218.385528264976</v>
      </c>
      <c r="J8041" s="38" t="n">
        <f aca="false">Sens!$J$7951</f>
        <v>235.71696994951</v>
      </c>
      <c r="K8041" s="38" t="n">
        <f aca="false">Sens!$K$7951</f>
        <v>250.968227869545</v>
      </c>
      <c r="L8041" s="38" t="n">
        <f aca="false">Sens!$L$7951</f>
        <v>267.285367225822</v>
      </c>
      <c r="M8041" s="38" t="n">
        <f aca="false">Sens!$M$7951</f>
        <v>284.748579483295</v>
      </c>
      <c r="N8041" s="38" t="n">
        <f aca="false">Sens!$N$7951</f>
        <v>70.274</v>
      </c>
      <c r="O8041" s="38" t="n">
        <f aca="false">Sens!$O$7951</f>
        <v>91.62</v>
      </c>
    </row>
    <row r="8042" customFormat="false" ht="15" hidden="false" customHeight="false" outlineLevel="0" collapsed="false">
      <c r="A8042" s="1" t="s">
        <v>523</v>
      </c>
      <c r="B8042" s="8" t="s">
        <v>86</v>
      </c>
      <c r="C8042" s="38" t="n">
        <f aca="false">Sens!$C$8020</f>
        <v>107.556</v>
      </c>
      <c r="D8042" s="38" t="n">
        <f aca="false">Sens!$D$8020</f>
        <v>128.725</v>
      </c>
      <c r="E8042" s="38" t="n">
        <f aca="false">Sens!$E$8020</f>
        <v>79.819</v>
      </c>
      <c r="F8042" s="38" t="n">
        <f aca="false">Sens!$F$8020</f>
        <v>86.7327334389669</v>
      </c>
      <c r="G8042" s="38" t="n">
        <f aca="false">Sens!$G$8020</f>
        <v>166.551733438967</v>
      </c>
      <c r="H8042" s="38" t="n">
        <f aca="false">Sens!$H$8020</f>
        <v>221.182967828978</v>
      </c>
      <c r="I8042" s="38" t="n">
        <f aca="false">Sens!$I$8020</f>
        <v>280.27345865789</v>
      </c>
      <c r="J8042" s="38" t="n">
        <f aca="false">Sens!$J$8020</f>
        <v>338.800945197185</v>
      </c>
      <c r="K8042" s="38" t="n">
        <f aca="false">Sens!$K$8020</f>
        <v>389.88570147276</v>
      </c>
      <c r="L8042" s="38" t="n">
        <f aca="false">Sens!$L$8020</f>
        <v>430.080689379143</v>
      </c>
      <c r="M8042" s="38" t="n">
        <f aca="false">Sens!$M$8020</f>
        <v>459.456235951751</v>
      </c>
      <c r="N8042" s="38" t="n">
        <f aca="false">Sens!$N$8020</f>
        <v>60.14</v>
      </c>
      <c r="O8042" s="38" t="n">
        <f aca="false">Sens!$O$8020</f>
        <v>68.585</v>
      </c>
    </row>
    <row r="8043" customFormat="false" ht="17.15" hidden="false" customHeight="false" outlineLevel="0" collapsed="false">
      <c r="A8043" s="0" t="s">
        <v>702</v>
      </c>
      <c r="B8043" s="0" t="s">
        <v>86</v>
      </c>
      <c r="C8043" s="38" t="n">
        <f aca="false">Sens!$C$8018</f>
        <v>2.32100535697364</v>
      </c>
      <c r="D8043" s="38" t="n">
        <f aca="false">Sens!$D$8018</f>
        <v>8.70377008865116</v>
      </c>
      <c r="E8043" s="38" t="n">
        <f aca="false">Sens!$E$8018</f>
        <v>8.51035297557002</v>
      </c>
      <c r="F8043" s="38" t="n">
        <f aca="false">Sens!$F$8018</f>
        <v>14.9634336447205</v>
      </c>
      <c r="G8043" s="38" t="n">
        <f aca="false">Sens!$G$8018</f>
        <v>23.4737866202905</v>
      </c>
      <c r="H8043" s="38" t="n">
        <f aca="false">Sens!$H$8018</f>
        <v>60.1658907497746</v>
      </c>
      <c r="I8043" s="38" t="n">
        <f aca="false">Sens!$I$8018</f>
        <v>101.503699136432</v>
      </c>
      <c r="J8043" s="38" t="n">
        <f aca="false">Sens!$J$8018</f>
        <v>143.025407151278</v>
      </c>
      <c r="K8043" s="38" t="n">
        <f aca="false">Sens!$K$8018</f>
        <v>178.44812038318</v>
      </c>
      <c r="L8043" s="38" t="n">
        <f aca="false">Sens!$L$8018</f>
        <v>201.728101802396</v>
      </c>
      <c r="M8043" s="38" t="n">
        <f aca="false">Sens!$M$8018</f>
        <v>212.835441368865</v>
      </c>
      <c r="N8043" s="38" t="n">
        <f aca="false">Sens!$N$8018</f>
        <v>3.04631953102791</v>
      </c>
      <c r="O8043" s="38" t="n">
        <f aca="false">Sens!$O$8018</f>
        <v>5.65745055762326</v>
      </c>
    </row>
    <row r="8044" customFormat="false" ht="17.15" hidden="false" customHeight="false" outlineLevel="0" collapsed="false">
      <c r="A8044" s="0" t="s">
        <v>704</v>
      </c>
      <c r="B8044" s="0" t="s">
        <v>86</v>
      </c>
      <c r="C8044" s="38" t="n">
        <f aca="false">Sens!$C$8019</f>
        <v>105.234994643026</v>
      </c>
      <c r="D8044" s="38" t="n">
        <f aca="false">Sens!$D$8019</f>
        <v>120.021229911349</v>
      </c>
      <c r="E8044" s="38" t="n">
        <f aca="false">Sens!$E$8019</f>
        <v>71.30864702443</v>
      </c>
      <c r="F8044" s="38" t="n">
        <f aca="false">Sens!$F$8019</f>
        <v>71.7692997942464</v>
      </c>
      <c r="G8044" s="38" t="n">
        <f aca="false">Sens!$G$8019</f>
        <v>143.077946818676</v>
      </c>
      <c r="H8044" s="38" t="n">
        <f aca="false">Sens!$H$8019</f>
        <v>161.017077079203</v>
      </c>
      <c r="I8044" s="38" t="n">
        <f aca="false">Sens!$I$8019</f>
        <v>178.769759521457</v>
      </c>
      <c r="J8044" s="38" t="n">
        <f aca="false">Sens!$J$8019</f>
        <v>195.775538045907</v>
      </c>
      <c r="K8044" s="38" t="n">
        <f aca="false">Sens!$K$8019</f>
        <v>211.43758108958</v>
      </c>
      <c r="L8044" s="38" t="n">
        <f aca="false">Sens!$L$8019</f>
        <v>228.352587576746</v>
      </c>
      <c r="M8044" s="38" t="n">
        <f aca="false">Sens!$M$8019</f>
        <v>246.620794582886</v>
      </c>
      <c r="N8044" s="38" t="n">
        <f aca="false">Sens!$N$8019</f>
        <v>57.0936804689721</v>
      </c>
      <c r="O8044" s="38" t="n">
        <f aca="false">Sens!$O$8019</f>
        <v>62.9275494423768</v>
      </c>
    </row>
    <row r="8045" customFormat="false" ht="15" hidden="false" customHeight="false" outlineLevel="0" collapsed="false">
      <c r="A8045" s="3" t="s">
        <v>524</v>
      </c>
      <c r="B8045" s="8" t="s">
        <v>86</v>
      </c>
      <c r="C8045" s="38" t="n">
        <f aca="false">Sens!$C$8021</f>
        <v>637.959</v>
      </c>
      <c r="D8045" s="38" t="n">
        <f aca="false">Sens!$D$8021</f>
        <v>716.924</v>
      </c>
      <c r="E8045" s="38" t="n">
        <f aca="false">Sens!$E$8021</f>
        <v>382.125</v>
      </c>
      <c r="F8045" s="38" t="n">
        <f aca="false">Sens!$F$8021</f>
        <v>435.780975084504</v>
      </c>
      <c r="G8045" s="38" t="n">
        <f aca="false">Sens!$G$8021</f>
        <v>817.905975084504</v>
      </c>
      <c r="H8045" s="38" t="n">
        <f aca="false">Sens!$H$8021</f>
        <v>942.279857350364</v>
      </c>
      <c r="I8045" s="38" t="n">
        <f aca="false">Sens!$I$8021</f>
        <v>1068.80284981042</v>
      </c>
      <c r="J8045" s="38" t="n">
        <f aca="false">Sens!$J$8021</f>
        <v>1189.90935093863</v>
      </c>
      <c r="K8045" s="38" t="n">
        <f aca="false">Sens!$K$8021</f>
        <v>1296.06215690385</v>
      </c>
      <c r="L8045" s="38" t="n">
        <f aca="false">Sens!$L$8021</f>
        <v>1395.17379585473</v>
      </c>
      <c r="M8045" s="38" t="n">
        <f aca="false">Sens!$M$8021</f>
        <v>1487.60414389864</v>
      </c>
      <c r="N8045" s="38" t="n">
        <f aca="false">Sens!$N$8021</f>
        <v>323.369</v>
      </c>
      <c r="O8045" s="38" t="n">
        <f aca="false">Sens!$O$8021</f>
        <v>393.555</v>
      </c>
    </row>
    <row r="8046" customFormat="false" ht="17.15" hidden="false" customHeight="false" outlineLevel="0" collapsed="false">
      <c r="A8046" s="24" t="s">
        <v>714</v>
      </c>
      <c r="B8046" s="25" t="s">
        <v>86</v>
      </c>
      <c r="C8046" s="41" t="n">
        <f aca="false">Sens!$C$8033+Sens!$C$8034+Sens!$C$8035+Sens!$C$8036+Sens!$C$8037+Sens!$C$8038-(Sens!$C$8040+Sens!$C$8041)</f>
        <v>0</v>
      </c>
      <c r="D8046" s="41" t="n">
        <f aca="false">Sens!$D$8033+Sens!$D$8034+Sens!$D$8035+Sens!$D$8036+Sens!$D$8037+Sens!$D$8038-(Sens!$D$8040+Sens!$D$8041)</f>
        <v>0</v>
      </c>
      <c r="E8046" s="41" t="n">
        <f aca="false">Sens!$E$8033+Sens!$E$8034+Sens!$E$8035+Sens!$E$8036+Sens!$E$8037+Sens!$E$8038-(Sens!$E$8040+Sens!$E$8041)</f>
        <v>0</v>
      </c>
      <c r="F8046" s="41" t="n">
        <f aca="false">Sens!$F$8033+Sens!$F$8034+Sens!$F$8035+Sens!$F$8036+Sens!$F$8037+Sens!$F$8038-(Sens!$F$8040+Sens!$F$8041)</f>
        <v>0</v>
      </c>
      <c r="G8046" s="41" t="n">
        <f aca="false">Sens!$G$8033+Sens!$G$8034+Sens!$G$8035+Sens!$G$8036+Sens!$G$8037+Sens!$G$8038-(Sens!$G$8040+Sens!$G$8041)</f>
        <v>0</v>
      </c>
      <c r="H8046" s="41" t="n">
        <f aca="false">Sens!$H$8033+Sens!$H$8034+Sens!$H$8035+Sens!$H$8036+Sens!$H$8037+Sens!$H$8038-(Sens!$H$8040+Sens!$H$8041)</f>
        <v>0</v>
      </c>
      <c r="I8046" s="41" t="n">
        <f aca="false">Sens!$I$8033+Sens!$I$8034+Sens!$I$8035+Sens!$I$8036+Sens!$I$8037+Sens!$I$8038-(Sens!$I$8040+Sens!$I$8041)</f>
        <v>0</v>
      </c>
      <c r="J8046" s="41" t="n">
        <f aca="false">Sens!$J$8033+Sens!$J$8034+Sens!$J$8035+Sens!$J$8036+Sens!$J$8037+Sens!$J$8038-(Sens!$J$8040+Sens!$J$8041)</f>
        <v>0</v>
      </c>
      <c r="K8046" s="41" t="n">
        <f aca="false">Sens!$K$8033+Sens!$K$8034+Sens!$K$8035+Sens!$K$8036+Sens!$K$8037+Sens!$K$8038-(Sens!$K$8040+Sens!$K$8041)</f>
        <v>0</v>
      </c>
      <c r="L8046" s="41" t="n">
        <f aca="false">Sens!$L$8033+Sens!$L$8034+Sens!$L$8035+Sens!$L$8036+Sens!$L$8037+Sens!$L$8038-(Sens!$L$8040+Sens!$L$8041)</f>
        <v>0</v>
      </c>
      <c r="M8046" s="41" t="n">
        <f aca="false">Sens!$M$8033+Sens!$M$8034+Sens!$M$8035+Sens!$M$8036+Sens!$M$8037+Sens!$M$8038-(Sens!$M$8040+Sens!$M$8041)</f>
        <v>0</v>
      </c>
      <c r="N8046" s="41" t="n">
        <f aca="false">Sens!$N$8033+Sens!$N$8034+Sens!$N$8035+Sens!$N$8036+Sens!$N$8037+Sens!$N$8038-(Sens!$N$8040+Sens!$N$8041)</f>
        <v>0</v>
      </c>
      <c r="O8046" s="41" t="n">
        <f aca="false">Sens!$O$8033+Sens!$O$8034+Sens!$O$8035+Sens!$O$8036+Sens!$O$8037+Sens!$O$8038-(Sens!$O$8040+Sens!$O$8041)</f>
        <v>0</v>
      </c>
    </row>
    <row r="8047" customFormat="false" ht="17.15" hidden="false" customHeight="false" outlineLevel="0" collapsed="false">
      <c r="A8047" s="24" t="s">
        <v>715</v>
      </c>
      <c r="B8047" s="25" t="s">
        <v>86</v>
      </c>
      <c r="C8047" s="41" t="n">
        <f aca="false">Sens!$C$8043+Sens!$C$8044-Sens!$C$8042</f>
        <v>0</v>
      </c>
      <c r="D8047" s="41" t="n">
        <f aca="false">Sens!$D$8043+Sens!$D$8044-Sens!$D$8042</f>
        <v>0</v>
      </c>
      <c r="E8047" s="41" t="n">
        <f aca="false">Sens!$E$8043+Sens!$E$8044-Sens!$E$8042</f>
        <v>0</v>
      </c>
      <c r="F8047" s="41" t="n">
        <f aca="false">Sens!$F$8043+Sens!$F$8044-Sens!$F$8042</f>
        <v>0</v>
      </c>
      <c r="G8047" s="41" t="n">
        <f aca="false">Sens!$G$8043+Sens!$G$8044-Sens!$G$8042</f>
        <v>0</v>
      </c>
      <c r="H8047" s="41" t="n">
        <f aca="false">Sens!$H$8043+Sens!$H$8044-Sens!$H$8042</f>
        <v>0</v>
      </c>
      <c r="I8047" s="41" t="n">
        <f aca="false">Sens!$I$8043+Sens!$I$8044-Sens!$I$8042</f>
        <v>0</v>
      </c>
      <c r="J8047" s="41" t="n">
        <f aca="false">Sens!$J$8043+Sens!$J$8044-Sens!$J$8042</f>
        <v>0</v>
      </c>
      <c r="K8047" s="41" t="n">
        <f aca="false">Sens!$K$8043+Sens!$K$8044-Sens!$K$8042</f>
        <v>0</v>
      </c>
      <c r="L8047" s="41" t="n">
        <f aca="false">Sens!$L$8043+Sens!$L$8044-Sens!$L$8042</f>
        <v>0</v>
      </c>
      <c r="M8047" s="41" t="n">
        <f aca="false">Sens!$M$8043+Sens!$M$8044-Sens!$M$8042</f>
        <v>0</v>
      </c>
      <c r="N8047" s="41" t="n">
        <f aca="false">Sens!$N$8043+Sens!$N$8044-Sens!$N$8042</f>
        <v>0</v>
      </c>
      <c r="O8047" s="41" t="n">
        <f aca="false">Sens!$O$8043+Sens!$O$8044-Sens!$O$8042</f>
        <v>0</v>
      </c>
    </row>
    <row r="8048" customFormat="false" ht="17.15" hidden="false" customHeight="false" outlineLevel="0" collapsed="false">
      <c r="A8048" s="24" t="s">
        <v>774</v>
      </c>
      <c r="B8048" s="25" t="s">
        <v>86</v>
      </c>
      <c r="C8048" s="41" t="n">
        <f aca="false">Sens!$C$8033+Sens!$C$8034+Sens!$C$8035+Sens!$C$8036+Sens!$C$8037+Sens!$C$8038+Sens!$C$8039-Sens!$C$8045</f>
        <v>0</v>
      </c>
      <c r="D8048" s="41" t="n">
        <f aca="false">Sens!$D$8033+Sens!$D$8034+Sens!$D$8035+Sens!$D$8036+Sens!$D$8037+Sens!$D$8038+Sens!$D$8039-Sens!$D$8045</f>
        <v>0</v>
      </c>
      <c r="E8048" s="41" t="n">
        <f aca="false">Sens!$E$8033+Sens!$E$8034+Sens!$E$8035+Sens!$E$8036+Sens!$E$8037+Sens!$E$8038+Sens!$E$8039-Sens!$E$8045</f>
        <v>0</v>
      </c>
      <c r="F8048" s="41" t="n">
        <f aca="false">Sens!$F$8033+Sens!$F$8034+Sens!$F$8035+Sens!$F$8036+Sens!$F$8037+Sens!$F$8038+Sens!$F$8039-Sens!$F$8045</f>
        <v>0</v>
      </c>
      <c r="G8048" s="41" t="n">
        <f aca="false">Sens!$G$8033+Sens!$G$8034+Sens!$G$8035+Sens!$G$8036+Sens!$G$8037+Sens!$G$8038+Sens!$G$8039-Sens!$G$8045</f>
        <v>0</v>
      </c>
      <c r="H8048" s="41" t="n">
        <f aca="false">Sens!$H$8033+Sens!$H$8034+Sens!$H$8035+Sens!$H$8036+Sens!$H$8037+Sens!$H$8038+Sens!$H$8039-Sens!$H$8045</f>
        <v>0</v>
      </c>
      <c r="I8048" s="41" t="n">
        <f aca="false">Sens!$I$8033+Sens!$I$8034+Sens!$I$8035+Sens!$I$8036+Sens!$I$8037+Sens!$I$8038+Sens!$I$8039-Sens!$I$8045</f>
        <v>0</v>
      </c>
      <c r="J8048" s="41" t="n">
        <f aca="false">Sens!$J$8033+Sens!$J$8034+Sens!$J$8035+Sens!$J$8036+Sens!$J$8037+Sens!$J$8038+Sens!$J$8039-Sens!$J$8045</f>
        <v>0</v>
      </c>
      <c r="K8048" s="41" t="n">
        <f aca="false">Sens!$K$8033+Sens!$K$8034+Sens!$K$8035+Sens!$K$8036+Sens!$K$8037+Sens!$K$8038+Sens!$K$8039-Sens!$K$8045</f>
        <v>0</v>
      </c>
      <c r="L8048" s="41" t="n">
        <f aca="false">Sens!$L$8033+Sens!$L$8034+Sens!$L$8035+Sens!$L$8036+Sens!$L$8037+Sens!$L$8038+Sens!$L$8039-Sens!$L$8045</f>
        <v>0</v>
      </c>
      <c r="M8048" s="41" t="n">
        <f aca="false">Sens!$M$8033+Sens!$M$8034+Sens!$M$8035+Sens!$M$8036+Sens!$M$8037+Sens!$M$8038+Sens!$M$8039-Sens!$M$8045</f>
        <v>0</v>
      </c>
      <c r="N8048" s="41" t="n">
        <f aca="false">Sens!$N$8033+Sens!$N$8034+Sens!$N$8035+Sens!$N$8036+Sens!$N$8037+Sens!$N$8038+Sens!$N$8039-Sens!$N$8045</f>
        <v>0</v>
      </c>
      <c r="O8048" s="41" t="n">
        <f aca="false">Sens!$O$8033+Sens!$O$8034+Sens!$O$8035+Sens!$O$8036+Sens!$O$8037+Sens!$O$8038+Sens!$O$8039-Sens!$O$8045</f>
        <v>0</v>
      </c>
    </row>
    <row r="8049" customFormat="false" ht="17.15" hidden="false" customHeight="false" outlineLevel="0" collapsed="false">
      <c r="A8049" s="24" t="s">
        <v>716</v>
      </c>
      <c r="B8049" s="25" t="s">
        <v>86</v>
      </c>
      <c r="C8049" s="41" t="n">
        <f aca="false">Sens!$C$8040+Sens!$C$8041+Sens!$C$8042-Sens!$C$8045</f>
        <v>0</v>
      </c>
      <c r="D8049" s="41" t="n">
        <f aca="false">Sens!$D$8040+Sens!$D$8041+Sens!$D$8042-Sens!$D$8045</f>
        <v>0</v>
      </c>
      <c r="E8049" s="41" t="n">
        <f aca="false">Sens!$E$8040+Sens!$E$8041+Sens!$E$8042-Sens!$E$8045</f>
        <v>0</v>
      </c>
      <c r="F8049" s="41" t="n">
        <f aca="false">Sens!$F$8040+Sens!$F$8041+Sens!$F$8042-Sens!$F$8045</f>
        <v>0</v>
      </c>
      <c r="G8049" s="41" t="n">
        <f aca="false">Sens!$G$8040+Sens!$G$8041+Sens!$G$8042-Sens!$G$8045</f>
        <v>0</v>
      </c>
      <c r="H8049" s="41" t="n">
        <f aca="false">Sens!$H$8040+Sens!$H$8041+Sens!$H$8042-Sens!$H$8045</f>
        <v>0</v>
      </c>
      <c r="I8049" s="41" t="n">
        <f aca="false">Sens!$I$8040+Sens!$I$8041+Sens!$I$8042-Sens!$I$8045</f>
        <v>0</v>
      </c>
      <c r="J8049" s="41" t="n">
        <f aca="false">Sens!$J$8040+Sens!$J$8041+Sens!$J$8042-Sens!$J$8045</f>
        <v>0</v>
      </c>
      <c r="K8049" s="41" t="n">
        <f aca="false">Sens!$K$8040+Sens!$K$8041+Sens!$K$8042-Sens!$K$8045</f>
        <v>0</v>
      </c>
      <c r="L8049" s="41" t="n">
        <f aca="false">Sens!$L$8040+Sens!$L$8041+Sens!$L$8042-Sens!$L$8045</f>
        <v>0</v>
      </c>
      <c r="M8049" s="41" t="n">
        <f aca="false">Sens!$M$8040+Sens!$M$8041+Sens!$M$8042-Sens!$M$8045</f>
        <v>0</v>
      </c>
      <c r="N8049" s="41" t="n">
        <f aca="false">Sens!$N$8040+Sens!$N$8041+Sens!$N$8042-Sens!$N$8045</f>
        <v>0</v>
      </c>
      <c r="O8049" s="41" t="n">
        <f aca="false">Sens!$O$8040+Sens!$O$8041+Sens!$O$8042-Sens!$O$8045</f>
        <v>0</v>
      </c>
    </row>
    <row r="8050" customFormat="false" ht="17.15" hidden="false" customHeight="false" outlineLevel="0" collapsed="false">
      <c r="A8050" s="1" t="s">
        <v>730</v>
      </c>
    </row>
    <row r="8051" customFormat="false" ht="17.15" hidden="false" customHeight="false" outlineLevel="0" collapsed="false">
      <c r="A8051" s="0" t="s">
        <v>731</v>
      </c>
      <c r="B8051" s="0" t="s">
        <v>86</v>
      </c>
      <c r="C8051" s="38" t="n">
        <f aca="false">Sens!$C$7952*m_ad</f>
        <v>20.5341564414228</v>
      </c>
      <c r="D8051" s="38" t="n">
        <f aca="false">Sens!$D$7952*m_ad</f>
        <v>24.8720617299587</v>
      </c>
      <c r="E8051" s="38" t="n">
        <f aca="false">Sens!$E$7952*m_ad</f>
        <v>13.5017112462207</v>
      </c>
      <c r="F8051" s="38" t="n">
        <f aca="false">Sens!$F$7952*m_ad</f>
        <v>16.5719724165257</v>
      </c>
      <c r="G8051" s="38" t="n">
        <f aca="false">Sens!$G$7952*m_ad</f>
        <v>30.0820919220415</v>
      </c>
      <c r="H8051" s="38" t="n">
        <f aca="false">Sens!$H$7952*m_ad</f>
        <v>36.1150883276314</v>
      </c>
      <c r="I8051" s="38" t="n">
        <f aca="false">Sens!$I$7952*m_ad</f>
        <v>42.1475382231996</v>
      </c>
      <c r="J8051" s="38" t="n">
        <f aca="false">Sens!$J$7952*m_ad</f>
        <v>47.7749523864693</v>
      </c>
      <c r="K8051" s="38" t="n">
        <f aca="false">Sens!$K$7952*m_ad</f>
        <v>52.5524476251162</v>
      </c>
      <c r="L8051" s="38" t="n">
        <f aca="false">Sens!$L$7952*m_ad</f>
        <v>57.8076923876279</v>
      </c>
      <c r="M8051" s="38" t="n">
        <f aca="false">Sens!$M$7952*m_ad</f>
        <v>63.5884616263907</v>
      </c>
      <c r="N8051" s="38" t="n">
        <f aca="false">Sens!$N$7952*m_ad</f>
        <v>10.8543555706248</v>
      </c>
      <c r="O8051" s="38" t="n">
        <f aca="false">Sens!$O$7952*m_ad</f>
        <v>14.0094731821399</v>
      </c>
    </row>
    <row r="8052" customFormat="false" ht="17.15" hidden="false" customHeight="false" outlineLevel="0" collapsed="false">
      <c r="A8052" s="0" t="s">
        <v>732</v>
      </c>
      <c r="B8052" s="0" t="s">
        <v>86</v>
      </c>
      <c r="C8052" s="38" t="n">
        <f aca="false">Sens!$C$7950-Sens!$C$7952</f>
        <v>346.428687117154</v>
      </c>
      <c r="D8052" s="38" t="n">
        <f aca="false">Sens!$D$7950-Sens!$D$7952</f>
        <v>376.560876540083</v>
      </c>
      <c r="E8052" s="38" t="n">
        <f aca="false">Sens!$E$7950-Sens!$E$7952</f>
        <v>193.316577507559</v>
      </c>
      <c r="F8052" s="38" t="n">
        <f aca="false">Sens!$F$7950-Sens!$F$7952</f>
        <v>217.495828647535</v>
      </c>
      <c r="G8052" s="38" t="n">
        <f aca="false">Sens!$G$7950-Sens!$G$7952</f>
        <v>410.795589636503</v>
      </c>
      <c r="H8052" s="38" t="n">
        <f aca="false">Sens!$H$7950-Sens!$H$7952</f>
        <v>449.156813761174</v>
      </c>
      <c r="I8052" s="38" t="n">
        <f aca="false">Sens!$I$7950-Sens!$I$7952</f>
        <v>485.848786441156</v>
      </c>
      <c r="J8052" s="38" t="n">
        <f aca="false">Sens!$J$7950-Sens!$J$7952</f>
        <v>519.841531018994</v>
      </c>
      <c r="K8052" s="38" t="n">
        <f aca="false">Sens!$K$7950-Sens!$K$7952</f>
        <v>550.103332311311</v>
      </c>
      <c r="L8052" s="38" t="n">
        <f aca="false">Sens!$L$7950-Sens!$L$7952</f>
        <v>582.192354474511</v>
      </c>
      <c r="M8052" s="38" t="n">
        <f aca="false">Sens!$M$7950-Sens!$M$7952</f>
        <v>616.22240521081</v>
      </c>
      <c r="N8052" s="38" t="n">
        <f aca="false">Sens!$N$7950-Sens!$N$7952</f>
        <v>171.24628885875</v>
      </c>
      <c r="O8052" s="38" t="n">
        <f aca="false">Sens!$O$7950-Sens!$O$7952</f>
        <v>205.33105363572</v>
      </c>
    </row>
    <row r="8053" customFormat="false" ht="17.15" hidden="false" customHeight="false" outlineLevel="0" collapsed="false">
      <c r="A8053" s="0" t="s">
        <v>733</v>
      </c>
      <c r="B8053" s="0" t="s">
        <v>86</v>
      </c>
      <c r="C8053" s="38" t="n">
        <f aca="false">Sens!$C$8004*Sens!$C$7949</f>
        <v>0.123617442257179</v>
      </c>
      <c r="D8053" s="38" t="n">
        <f aca="false">Sens!$D$8004*Sens!$D$7949</f>
        <v>0.600198046024689</v>
      </c>
      <c r="E8053" s="38" t="n">
        <f aca="false">Sens!$E$8004*Sens!$E$7949</f>
        <v>1.10840000750276</v>
      </c>
      <c r="F8053" s="38" t="n">
        <f aca="false">Sens!$F$8004*Sens!$F$7949</f>
        <v>1.33595298721025</v>
      </c>
      <c r="G8053" s="38" t="n">
        <f aca="false">Sens!$G$8004*Sens!$G$7949</f>
        <v>2.44487335052545</v>
      </c>
      <c r="H8053" s="38" t="n">
        <f aca="false">Sens!$H$8004*Sens!$H$7949</f>
        <v>6.63132711939388</v>
      </c>
      <c r="I8053" s="38" t="n">
        <f aca="false">Sens!$I$8004*Sens!$I$7949</f>
        <v>12.7486799258504</v>
      </c>
      <c r="J8053" s="38" t="n">
        <f aca="false">Sens!$J$8004*Sens!$J$7949</f>
        <v>18.4074045299415</v>
      </c>
      <c r="K8053" s="38" t="n">
        <f aca="false">Sens!$K$8004*Sens!$K$7949</f>
        <v>23.9455472348705</v>
      </c>
      <c r="L8053" s="38" t="n">
        <f aca="false">Sens!$L$8004*Sens!$L$7949</f>
        <v>27.78179156216</v>
      </c>
      <c r="M8053" s="38" t="n">
        <f aca="false">Sens!$M$8004*Sens!$M$7949</f>
        <v>29.9029027327362</v>
      </c>
      <c r="N8053" s="38" t="n">
        <f aca="false">Sens!$N$8004*Sens!$N$7949</f>
        <v>0.25053229484398</v>
      </c>
      <c r="O8053" s="38" t="n">
        <f aca="false">Sens!$O$8004*Sens!$O$7949</f>
        <v>0.349234376756897</v>
      </c>
    </row>
    <row r="8054" customFormat="false" ht="17.15" hidden="false" customHeight="false" outlineLevel="0" collapsed="false">
      <c r="A8054" s="0" t="s">
        <v>734</v>
      </c>
      <c r="B8054" s="0" t="s">
        <v>52</v>
      </c>
      <c r="C8054" s="28" t="n">
        <f aca="false">(Sens!$C$8055-Sens!$C$8051+Sens!$C$8053)/Sens!$C$8052</f>
        <v>0.0131526665379575</v>
      </c>
      <c r="D8054" s="28" t="n">
        <f aca="false">(Sens!$D$8055-Sens!$D$8051+Sens!$D$8053)/Sens!$D$8052</f>
        <v>0.0141999252954702</v>
      </c>
      <c r="E8054" s="28" t="n">
        <f aca="false">(Sens!$E$8055-Sens!$E$8051+Sens!$E$8053)/Sens!$E$8052</f>
        <v>0.0258471819939326</v>
      </c>
      <c r="F8054" s="28" t="n">
        <f aca="false">Sens!$O$8054+(Sens!$E$8054-Sens!$N$8054)</f>
        <v>0.0224302350712874</v>
      </c>
      <c r="G8054" s="28" t="n">
        <f aca="false">(Sens!$G$8055-Sens!$G$8051+Sens!$G$8053)/Sens!$G$8052</f>
        <v>0.0240199351461372</v>
      </c>
      <c r="H8054" s="28" t="n">
        <f aca="false">Sens!$G$8054+step_na</f>
        <v>0.0270199351461372</v>
      </c>
      <c r="I8054" s="28" t="n">
        <f aca="false">Sens!$H$8054+step_na</f>
        <v>0.0300199351461372</v>
      </c>
      <c r="J8054" s="28" t="n">
        <f aca="false">Sens!$I$8054+step_na</f>
        <v>0.0330199351461372</v>
      </c>
      <c r="K8054" s="28" t="n">
        <f aca="false">Sens!$J$8054+step_na</f>
        <v>0.0360199351461372</v>
      </c>
      <c r="L8054" s="28" t="n">
        <f aca="false">Sens!$K$8054</f>
        <v>0.0360199351461372</v>
      </c>
      <c r="M8054" s="28" t="n">
        <f aca="false">Sens!$L$8054</f>
        <v>0.0360199351461372</v>
      </c>
      <c r="N8054" s="28" t="n">
        <f aca="false">(Sens!$N$8055-Sens!$N$8051+Sens!$N$8053)/Sens!$N$8052</f>
        <v>0.0160831323269779</v>
      </c>
      <c r="O8054" s="28" t="n">
        <f aca="false">(Sens!$O$8055-Sens!$O$8051+Sens!$O$8053)/Sens!$O$8052</f>
        <v>0.0126661854043327</v>
      </c>
      <c r="P8054" s="8" t="s">
        <v>735</v>
      </c>
    </row>
    <row r="8055" customFormat="false" ht="17.15" hidden="false" customHeight="false" outlineLevel="0" collapsed="false">
      <c r="A8055" s="1" t="s">
        <v>736</v>
      </c>
      <c r="B8055" s="8" t="s">
        <v>86</v>
      </c>
      <c r="C8055" s="38" t="n">
        <f aca="false">Q!$D$22</f>
        <v>24.967</v>
      </c>
      <c r="D8055" s="38" t="n">
        <f aca="false">Q!$E$22</f>
        <v>29.619</v>
      </c>
      <c r="E8055" s="38" t="n">
        <f aca="false">Q!$P$22</f>
        <v>17.39</v>
      </c>
      <c r="F8055" s="38" t="n">
        <f aca="false">Sens!$F$8051+Sens!$F$8052*Sens!$F$8054-Sens!$F$8053</f>
        <v>20.1145019929041</v>
      </c>
      <c r="G8055" s="38" t="n">
        <f aca="false">Sens!$E$8055+Sens!$F$8055</f>
        <v>37.5045019929041</v>
      </c>
      <c r="H8055" s="38" t="n">
        <f aca="false">Sens!$H$8051+Sens!$H$8052*Sens!$H$8054-Sens!$H$8053</f>
        <v>41.6199491865101</v>
      </c>
      <c r="I8055" s="38" t="n">
        <f aca="false">Sens!$I$8051+Sens!$I$8052*Sens!$I$8054-Sens!$I$8053</f>
        <v>43.9840073571422</v>
      </c>
      <c r="J8055" s="38" t="n">
        <f aca="false">Sens!$J$8051+Sens!$J$8052*Sens!$J$8054-Sens!$J$8053</f>
        <v>46.5326814970436</v>
      </c>
      <c r="K8055" s="38" t="n">
        <f aca="false">Sens!$K$8051+Sens!$K$8052*Sens!$K$8054-Sens!$K$8053</f>
        <v>48.4215867437731</v>
      </c>
      <c r="L8055" s="38" t="n">
        <f aca="false">Sens!$L$8051+Sens!$L$8052*Sens!$L$8054-Sens!$L$8053</f>
        <v>50.9964316762167</v>
      </c>
      <c r="M8055" s="38" t="n">
        <f aca="false">Sens!$M$8051+Sens!$M$8052*Sens!$M$8054-Sens!$M$8053</f>
        <v>55.8818499649445</v>
      </c>
      <c r="N8055" s="38" t="n">
        <f aca="false">Q!$N$22</f>
        <v>13.358</v>
      </c>
      <c r="O8055" s="38" t="n">
        <f aca="false">Q!$O$22</f>
        <v>16.261</v>
      </c>
    </row>
    <row r="8056" customFormat="false" ht="17.15" hidden="false" customHeight="false" outlineLevel="0" collapsed="false">
      <c r="A8056" s="0" t="s">
        <v>737</v>
      </c>
      <c r="B8056" s="0" t="s">
        <v>86</v>
      </c>
      <c r="C8056" s="38" t="n">
        <f aca="false">Sens!$C$7953*m_ad</f>
        <v>7.57284355857716</v>
      </c>
      <c r="D8056" s="38" t="n">
        <f aca="false">Sens!$D$7953*m_ad</f>
        <v>9.44543827004127</v>
      </c>
      <c r="E8056" s="38" t="n">
        <f aca="false">Sens!$E$7953*m_ad</f>
        <v>5.02428875377928</v>
      </c>
      <c r="F8056" s="38" t="n">
        <f aca="false">Sens!$F$7953*m_ad</f>
        <v>6.50663858068173</v>
      </c>
      <c r="G8056" s="38" t="n">
        <f aca="false">Sens!$G$7953*m_ad</f>
        <v>11.5225190751659</v>
      </c>
      <c r="H8056" s="38" t="n">
        <f aca="false">Sens!$H$7953*m_ad</f>
        <v>13.8333728663174</v>
      </c>
      <c r="I8056" s="38" t="n">
        <f aca="false">Sens!$I$7953*m_ad</f>
        <v>16.1440173245485</v>
      </c>
      <c r="J8056" s="38" t="n">
        <f aca="false">Sens!$J$7953*m_ad</f>
        <v>18.2995185845066</v>
      </c>
      <c r="K8056" s="38" t="n">
        <f aca="false">Sens!$K$7953*m_ad</f>
        <v>20.1294704429572</v>
      </c>
      <c r="L8056" s="38" t="n">
        <f aca="false">Sens!$L$7953*m_ad</f>
        <v>22.142417487253</v>
      </c>
      <c r="M8056" s="38" t="n">
        <f aca="false">Sens!$M$7953*m_ad</f>
        <v>24.3566592359783</v>
      </c>
      <c r="N8056" s="38" t="n">
        <f aca="false">Sens!$N$7953*m_ad</f>
        <v>3.95314442937518</v>
      </c>
      <c r="O8056" s="38" t="n">
        <f aca="false">Sens!$O$7953*m_ad</f>
        <v>5.50052681786011</v>
      </c>
    </row>
    <row r="8057" customFormat="false" ht="17.15" hidden="false" customHeight="false" outlineLevel="0" collapsed="false">
      <c r="A8057" s="0" t="s">
        <v>738</v>
      </c>
      <c r="B8057" s="0" t="s">
        <v>86</v>
      </c>
      <c r="C8057" s="38" t="n">
        <f aca="false">Sens!$C$7951-Sens!$C$7953</f>
        <v>127.760312882846</v>
      </c>
      <c r="D8057" s="38" t="n">
        <f aca="false">Sens!$D$7951-Sens!$D$7953</f>
        <v>143.003123459917</v>
      </c>
      <c r="E8057" s="38" t="n">
        <f aca="false">Sens!$E$7951-Sens!$E$7953</f>
        <v>71.9374224924414</v>
      </c>
      <c r="F8057" s="38" t="n">
        <f aca="false">Sens!$F$7951-Sens!$F$7953</f>
        <v>85.3951910035875</v>
      </c>
      <c r="G8057" s="38" t="n">
        <f aca="false">Sens!$G$7951-Sens!$G$7953</f>
        <v>157.349430014619</v>
      </c>
      <c r="H8057" s="38" t="n">
        <f aca="false">Sens!$H$7951-Sens!$H$7953</f>
        <v>172.043153372315</v>
      </c>
      <c r="I8057" s="38" t="n">
        <f aca="false">Sens!$I$7951-Sens!$I$7953</f>
        <v>186.097493615879</v>
      </c>
      <c r="J8057" s="38" t="n">
        <f aca="false">Sens!$J$7951-Sens!$J$7953</f>
        <v>199.117932780497</v>
      </c>
      <c r="K8057" s="38" t="n">
        <f aca="false">Sens!$K$7951-Sens!$K$7953</f>
        <v>210.70928698363</v>
      </c>
      <c r="L8057" s="38" t="n">
        <f aca="false">Sens!$L$7951-Sens!$L$7953</f>
        <v>223.000532251316</v>
      </c>
      <c r="M8057" s="38" t="n">
        <f aca="false">Sens!$M$7951-Sens!$M$7953</f>
        <v>236.035261011339</v>
      </c>
      <c r="N8057" s="38" t="n">
        <f aca="false">Sens!$N$7951-Sens!$N$7953</f>
        <v>62.3677111412496</v>
      </c>
      <c r="O8057" s="38" t="n">
        <f aca="false">Sens!$O$7951-Sens!$O$7953</f>
        <v>80.6189463642798</v>
      </c>
    </row>
    <row r="8058" customFormat="false" ht="17.15" hidden="false" customHeight="false" outlineLevel="0" collapsed="false">
      <c r="A8058" s="0" t="s">
        <v>739</v>
      </c>
      <c r="B8058" s="0" t="s">
        <v>86</v>
      </c>
      <c r="C8058" s="38" t="n">
        <f aca="false">Sens!$C$8004*(1-Sens!$C$7949)</f>
        <v>0.0455891896019953</v>
      </c>
      <c r="D8058" s="38" t="n">
        <f aca="false">Sens!$D$8004*(1-Sens!$D$7949)</f>
        <v>0.227931791705753</v>
      </c>
      <c r="E8058" s="38" t="n">
        <f aca="false">Sens!$E$8004*(1-Sens!$E$7949)</f>
        <v>0.412460434890711</v>
      </c>
      <c r="F8058" s="38" t="n">
        <f aca="false">Sens!$F$8004*(1-Sens!$F$7949)</f>
        <v>0.524534016233997</v>
      </c>
      <c r="G8058" s="38" t="n">
        <f aca="false">Sens!$G$8004*(1-Sens!$G$7949)</f>
        <v>0.936474095312266</v>
      </c>
      <c r="H8058" s="38" t="n">
        <f aca="false">Sens!$H$8004*(1-Sens!$H$7949)</f>
        <v>2.54003589327823</v>
      </c>
      <c r="I8058" s="38" t="n">
        <f aca="false">Sens!$I$8004*(1-Sens!$I$7949)</f>
        <v>4.88320120852905</v>
      </c>
      <c r="J8058" s="38" t="n">
        <f aca="false">Sens!$J$8004*(1-Sens!$J$7949)</f>
        <v>7.05069548920359</v>
      </c>
      <c r="K8058" s="38" t="n">
        <f aca="false">Sens!$K$8004*(1-Sens!$K$7949)</f>
        <v>9.17200258193867</v>
      </c>
      <c r="L8058" s="38" t="n">
        <f aca="false">Sens!$L$8004*(1-Sens!$L$7949)</f>
        <v>10.6414216154535</v>
      </c>
      <c r="M8058" s="38" t="n">
        <f aca="false">Sens!$M$8004*(1-Sens!$M$7949)</f>
        <v>11.4538831951485</v>
      </c>
      <c r="N8058" s="38" t="n">
        <f aca="false">Sens!$N$8004*(1-Sens!$N$7949)</f>
        <v>0.0912435878202994</v>
      </c>
      <c r="O8058" s="38" t="n">
        <f aca="false">Sens!$O$8004*(1-Sens!$O$7949)</f>
        <v>0.137119578309265</v>
      </c>
    </row>
    <row r="8059" customFormat="false" ht="17.15" hidden="false" customHeight="false" outlineLevel="0" collapsed="false">
      <c r="A8059" s="0" t="s">
        <v>740</v>
      </c>
      <c r="B8059" s="0" t="s">
        <v>52</v>
      </c>
      <c r="C8059" s="28" t="n">
        <f aca="false">(Sens!$C$8060-Sens!$C$8056+Sens!$C$8058)/Sens!$C$8057</f>
        <v>-0.0292364215826579</v>
      </c>
      <c r="D8059" s="28" t="n">
        <f aca="false">(Sens!$D$8060-Sens!$D$8056+Sens!$D$8058)/Sens!$D$8057</f>
        <v>-0.0312406216748665</v>
      </c>
      <c r="E8059" s="28" t="n">
        <f aca="false">(Sens!$E$8060-Sens!$E$8056+Sens!$E$8058)/Sens!$E$8057</f>
        <v>-0.0204459413185552</v>
      </c>
      <c r="F8059" s="28" t="n">
        <f aca="false">Sens!$O$8059+(Sens!$E$8059-Sens!$N$8059)</f>
        <v>-0.0375409290246314</v>
      </c>
      <c r="G8059" s="28" t="n">
        <f aca="false">(Sens!$G$8060-Sens!$G$8056+Sens!$G$8058)/Sens!$G$8057</f>
        <v>-0.0296712560031684</v>
      </c>
      <c r="H8059" s="28" t="n">
        <f aca="false">Sens!$G$8059+step_in</f>
        <v>-0.0296712560031684</v>
      </c>
      <c r="I8059" s="28" t="n">
        <f aca="false">Sens!$H$8059+step_in</f>
        <v>-0.0296712560031684</v>
      </c>
      <c r="J8059" s="28" t="n">
        <f aca="false">Sens!$I$8059+step_in</f>
        <v>-0.0296712560031684</v>
      </c>
      <c r="K8059" s="28" t="n">
        <f aca="false">Sens!$J$8059+step_in</f>
        <v>-0.0296712560031684</v>
      </c>
      <c r="L8059" s="28" t="n">
        <f aca="false">Sens!$K$8059</f>
        <v>-0.0296712560031684</v>
      </c>
      <c r="M8059" s="28" t="n">
        <f aca="false">Sens!$L$8059</f>
        <v>-0.0296712560031684</v>
      </c>
      <c r="N8059" s="28" t="n">
        <f aca="false">(Sens!$N$8060-Sens!$N$8056+Sens!$N$8058)/Sens!$N$8057</f>
        <v>-0.0216602600421776</v>
      </c>
      <c r="O8059" s="28" t="n">
        <f aca="false">(Sens!$O$8060-Sens!$O$8056+Sens!$O$8058)/Sens!$O$8057</f>
        <v>-0.0387552477482538</v>
      </c>
      <c r="P8059" s="8" t="s">
        <v>735</v>
      </c>
    </row>
    <row r="8060" customFormat="false" ht="17.15" hidden="false" customHeight="false" outlineLevel="0" collapsed="false">
      <c r="A8060" s="1" t="s">
        <v>741</v>
      </c>
      <c r="B8060" s="8" t="s">
        <v>86</v>
      </c>
      <c r="C8060" s="38" t="n">
        <f aca="false">Q!$D$23</f>
        <v>3.792</v>
      </c>
      <c r="D8060" s="38" t="n">
        <f aca="false">Q!$E$23</f>
        <v>4.75</v>
      </c>
      <c r="E8060" s="38" t="n">
        <f aca="false">Q!$P$23</f>
        <v>3.141</v>
      </c>
      <c r="F8060" s="38" t="n">
        <f aca="false">Sens!$F$8056+Sens!$F$8057*Sens!$F$8059-Sens!$F$8058</f>
        <v>2.77628975993721</v>
      </c>
      <c r="G8060" s="38" t="n">
        <f aca="false">Sens!$E$8060+Sens!$F$8060</f>
        <v>5.91728975993721</v>
      </c>
      <c r="H8060" s="38" t="n">
        <f aca="false">Sens!$H$8056+Sens!$H$8057*Sens!$H$8059-Sens!$H$8058</f>
        <v>6.18860052573681</v>
      </c>
      <c r="I8060" s="38" t="n">
        <f aca="false">Sens!$I$8056+Sens!$I$8057*Sens!$I$8059-Sens!$I$8058</f>
        <v>5.73906974139474</v>
      </c>
      <c r="J8060" s="38" t="n">
        <f aca="false">Sens!$J$8056+Sens!$J$8057*Sens!$J$8059-Sens!$J$8058</f>
        <v>5.34074393695119</v>
      </c>
      <c r="K8060" s="38" t="n">
        <f aca="false">Sens!$K$8056+Sens!$K$8057*Sens!$K$8059-Sens!$K$8058</f>
        <v>4.7054586646822</v>
      </c>
      <c r="L8060" s="38" t="n">
        <f aca="false">Sens!$L$8056+Sens!$L$8057*Sens!$L$8059-Sens!$L$8058</f>
        <v>4.88428999052786</v>
      </c>
      <c r="M8060" s="38" t="n">
        <f aca="false">Sens!$M$8056+Sens!$M$8057*Sens!$M$8059-Sens!$M$8058</f>
        <v>5.89931338558769</v>
      </c>
      <c r="N8060" s="38" t="n">
        <f aca="false">Q!$N$23</f>
        <v>2.511</v>
      </c>
      <c r="O8060" s="38" t="n">
        <f aca="false">Q!$O$23</f>
        <v>2.239</v>
      </c>
    </row>
    <row r="8061" customFormat="false" ht="17.15" hidden="false" customHeight="false" outlineLevel="0" collapsed="false">
      <c r="A8061" s="0" t="s">
        <v>742</v>
      </c>
      <c r="B8061" s="0" t="s">
        <v>86</v>
      </c>
      <c r="C8061" s="38" t="n">
        <f aca="false">Sens!$C$8001</f>
        <v>1.64417882953695</v>
      </c>
      <c r="D8061" s="38" t="n">
        <f aca="false">Sens!$D$8001</f>
        <v>5.39125073772939</v>
      </c>
      <c r="E8061" s="38" t="n">
        <f aca="false">Sens!$E$8001</f>
        <v>2.42691120599613</v>
      </c>
      <c r="F8061" s="38" t="n">
        <f aca="false">Sens!$F$8001</f>
        <v>7.52148563094346</v>
      </c>
      <c r="G8061" s="38" t="n">
        <f aca="false">Sens!$G$8001</f>
        <v>9.94839683693959</v>
      </c>
      <c r="H8061" s="38" t="n">
        <f aca="false">Sens!$H$8001</f>
        <v>23.4804386990861</v>
      </c>
      <c r="I8061" s="38" t="n">
        <f aca="false">Sens!$I$8001</f>
        <v>30.9761745989143</v>
      </c>
      <c r="J8061" s="38" t="n">
        <f aca="false">Sens!$J$8001</f>
        <v>41.1930070746977</v>
      </c>
      <c r="K8061" s="38" t="n">
        <f aca="false">Sens!$K$8001</f>
        <v>45.9779211159428</v>
      </c>
      <c r="L8061" s="38" t="n">
        <f aca="false">Sens!$L$8001</f>
        <v>48.0352490919424</v>
      </c>
      <c r="M8061" s="38" t="n">
        <f aca="false">Sens!$M$8001</f>
        <v>47.4082976573265</v>
      </c>
      <c r="N8061" s="38" t="n">
        <f aca="false">Sens!$N$8001</f>
        <v>1.67921600037079</v>
      </c>
      <c r="O8061" s="38" t="n">
        <f aca="false">Sens!$O$8001</f>
        <v>3.71203473735861</v>
      </c>
    </row>
    <row r="8062" customFormat="false" ht="17.15" hidden="false" customHeight="false" outlineLevel="0" collapsed="false">
      <c r="A8062" s="0" t="s">
        <v>660</v>
      </c>
      <c r="B8062" s="0" t="s">
        <v>86</v>
      </c>
      <c r="C8062" s="38" t="n">
        <f aca="false">Sens!$C$8006</f>
        <v>38.1898211704631</v>
      </c>
      <c r="D8062" s="38" t="n">
        <f aca="false">Sens!$D$8006</f>
        <v>40.2147492622706</v>
      </c>
      <c r="E8062" s="38" t="n">
        <f aca="false">Sens!$E$8006</f>
        <v>28.3550887940039</v>
      </c>
      <c r="F8062" s="38" t="n">
        <f aca="false">Sens!$F$8006</f>
        <v>25.9529793149447</v>
      </c>
      <c r="G8062" s="38" t="n">
        <f aca="false">Sens!$G$8006</f>
        <v>54.3080681089486</v>
      </c>
      <c r="H8062" s="38" t="n">
        <f aca="false">Sens!$H$8006</f>
        <v>58.2264684589333</v>
      </c>
      <c r="I8062" s="38" t="n">
        <f aca="false">Sens!$I$8006</f>
        <v>64.6461353851744</v>
      </c>
      <c r="J8062" s="38" t="n">
        <f aca="false">Sens!$J$8006</f>
        <v>70.7957093610231</v>
      </c>
      <c r="K8062" s="38" t="n">
        <f aca="false">Sens!$K$8006</f>
        <v>76.4593661099049</v>
      </c>
      <c r="L8062" s="38" t="n">
        <f aca="false">Sens!$L$8006</f>
        <v>82.5761153986973</v>
      </c>
      <c r="M8062" s="38" t="n">
        <f aca="false">Sens!$M$8006</f>
        <v>89.1822046305931</v>
      </c>
      <c r="N8062" s="38" t="n">
        <f aca="false">Sens!$N$8006</f>
        <v>20.0277839996292</v>
      </c>
      <c r="O8062" s="38" t="n">
        <f aca="false">Sens!$O$8006</f>
        <v>20.1869652626414</v>
      </c>
    </row>
    <row r="8063" customFormat="false" ht="17.15" hidden="false" customHeight="false" outlineLevel="0" collapsed="false">
      <c r="A8063" s="1" t="s">
        <v>743</v>
      </c>
      <c r="B8063" s="8" t="s">
        <v>86</v>
      </c>
      <c r="C8063" s="38" t="n">
        <f aca="false">Q!$D$24</f>
        <v>39.834</v>
      </c>
      <c r="D8063" s="38" t="n">
        <f aca="false">Q!$E$24</f>
        <v>45.606</v>
      </c>
      <c r="E8063" s="38" t="n">
        <f aca="false">Q!$P$24</f>
        <v>30.782</v>
      </c>
      <c r="F8063" s="38" t="n">
        <f aca="false">Sens!$F$8061+Sens!$F$8062</f>
        <v>33.4744649458882</v>
      </c>
      <c r="G8063" s="38" t="n">
        <f aca="false">Sens!$G$8061+Sens!$G$8062</f>
        <v>64.2564649458882</v>
      </c>
      <c r="H8063" s="38" t="n">
        <f aca="false">Sens!$H$8061+Sens!$H$8062</f>
        <v>81.7069071580194</v>
      </c>
      <c r="I8063" s="38" t="n">
        <f aca="false">Sens!$I$8061+Sens!$I$8062</f>
        <v>95.6223099840887</v>
      </c>
      <c r="J8063" s="38" t="n">
        <f aca="false">Sens!$J$8061+Sens!$J$8062</f>
        <v>111.988716435721</v>
      </c>
      <c r="K8063" s="38" t="n">
        <f aca="false">Sens!$K$8061+Sens!$K$8062</f>
        <v>122.437287225848</v>
      </c>
      <c r="L8063" s="38" t="n">
        <f aca="false">Sens!$L$8061+Sens!$L$8062</f>
        <v>130.61136449064</v>
      </c>
      <c r="M8063" s="38" t="n">
        <f aca="false">Sens!$M$8061+Sens!$M$8062</f>
        <v>136.59050228792</v>
      </c>
      <c r="N8063" s="38" t="n">
        <f aca="false">Q!$N$24</f>
        <v>21.707</v>
      </c>
      <c r="O8063" s="38" t="n">
        <f aca="false">Q!$O$24</f>
        <v>23.899</v>
      </c>
    </row>
    <row r="8064" customFormat="false" ht="17.15" hidden="false" customHeight="false" outlineLevel="0" collapsed="false">
      <c r="A8064" s="5" t="s">
        <v>744</v>
      </c>
      <c r="B8064" s="0" t="s">
        <v>86</v>
      </c>
      <c r="C8064" s="38" t="n">
        <f aca="false">Q!$D$26</f>
        <v>0</v>
      </c>
      <c r="D8064" s="38" t="n">
        <f aca="false">Q!$E$26</f>
        <v>0</v>
      </c>
      <c r="E8064" s="38" t="n">
        <f aca="false">Q!$P$26</f>
        <v>0</v>
      </c>
      <c r="F8064" s="39" t="n">
        <v>0</v>
      </c>
      <c r="G8064" s="38" t="n">
        <f aca="false">Sens!$E$8064+Sens!$F$8064</f>
        <v>0</v>
      </c>
      <c r="H8064" s="39" t="n">
        <v>0</v>
      </c>
      <c r="I8064" s="39" t="n">
        <v>0</v>
      </c>
      <c r="J8064" s="39" t="n">
        <v>0</v>
      </c>
      <c r="K8064" s="39" t="n">
        <v>0</v>
      </c>
      <c r="L8064" s="39" t="n">
        <v>0</v>
      </c>
      <c r="M8064" s="39" t="n">
        <v>0</v>
      </c>
      <c r="N8064" s="38" t="n">
        <f aca="false">Q!$N$26</f>
        <v>0</v>
      </c>
      <c r="O8064" s="38" t="n">
        <f aca="false">Q!$O$26</f>
        <v>0</v>
      </c>
    </row>
    <row r="8065" customFormat="false" ht="15" hidden="false" customHeight="false" outlineLevel="0" collapsed="false">
      <c r="A8065" s="3" t="s">
        <v>541</v>
      </c>
      <c r="B8065" s="8" t="s">
        <v>86</v>
      </c>
      <c r="C8065" s="38" t="n">
        <f aca="false">Q!$D$25</f>
        <v>68.593</v>
      </c>
      <c r="D8065" s="38" t="n">
        <f aca="false">Q!$E$25</f>
        <v>79.975</v>
      </c>
      <c r="E8065" s="38" t="n">
        <f aca="false">Q!$P$25</f>
        <v>51.313</v>
      </c>
      <c r="F8065" s="38" t="n">
        <f aca="false">Sens!$F$8055+Sens!$F$8060+Sens!$F$8063+Sens!$F$8064</f>
        <v>56.3652566987294</v>
      </c>
      <c r="G8065" s="38" t="n">
        <f aca="false">Sens!$G$8055+Sens!$G$8060+Sens!$G$8063+Sens!$G$8064</f>
        <v>107.678256698729</v>
      </c>
      <c r="H8065" s="38" t="n">
        <f aca="false">Sens!$H$8055+Sens!$H$8060+Sens!$H$8063+Sens!$H$8064</f>
        <v>129.515456870266</v>
      </c>
      <c r="I8065" s="38" t="n">
        <f aca="false">Sens!$I$8055+Sens!$I$8060+Sens!$I$8063+Sens!$I$8064</f>
        <v>145.345387082626</v>
      </c>
      <c r="J8065" s="38" t="n">
        <f aca="false">Sens!$J$8055+Sens!$J$8060+Sens!$J$8063+Sens!$J$8064</f>
        <v>163.862141869716</v>
      </c>
      <c r="K8065" s="38" t="n">
        <f aca="false">Sens!$K$8055+Sens!$K$8060+Sens!$K$8063+Sens!$K$8064</f>
        <v>175.564332634303</v>
      </c>
      <c r="L8065" s="38" t="n">
        <f aca="false">Sens!$L$8055+Sens!$L$8060+Sens!$L$8063+Sens!$L$8064</f>
        <v>186.492086157384</v>
      </c>
      <c r="M8065" s="38" t="n">
        <f aca="false">Sens!$M$8055+Sens!$M$8060+Sens!$M$8063+Sens!$M$8064</f>
        <v>198.371665638452</v>
      </c>
      <c r="N8065" s="38" t="n">
        <f aca="false">Q!$N$25</f>
        <v>37.576</v>
      </c>
      <c r="O8065" s="38" t="n">
        <f aca="false">Q!$O$25</f>
        <v>42.399</v>
      </c>
    </row>
    <row r="8066" customFormat="false" ht="17.15" hidden="false" customHeight="false" outlineLevel="0" collapsed="false">
      <c r="A8066" s="24" t="s">
        <v>775</v>
      </c>
      <c r="B8066" s="25" t="s">
        <v>86</v>
      </c>
      <c r="C8066" s="41" t="n">
        <f aca="false">Sens!$C$8055+Sens!$C$8060+Sens!$C$8063+Sens!$C$8064-Sens!$C$8065</f>
        <v>0</v>
      </c>
      <c r="D8066" s="41" t="n">
        <f aca="false">Sens!$D$8055+Sens!$D$8060+Sens!$D$8063+Sens!$D$8064-Sens!$D$8065</f>
        <v>0</v>
      </c>
      <c r="E8066" s="41" t="n">
        <f aca="false">Sens!$E$8055+Sens!$E$8060+Sens!$E$8063+Sens!$E$8064-Sens!$E$8065</f>
        <v>0</v>
      </c>
      <c r="F8066" s="41" t="n">
        <f aca="false">Sens!$F$8055+Sens!$F$8060+Sens!$F$8063+Sens!$F$8064-Sens!$F$8065</f>
        <v>0</v>
      </c>
      <c r="G8066" s="41" t="n">
        <f aca="false">Sens!$G$8055+Sens!$G$8060+Sens!$G$8063+Sens!$G$8064-Sens!$G$8065</f>
        <v>0</v>
      </c>
      <c r="H8066" s="41" t="n">
        <f aca="false">Sens!$H$8055+Sens!$H$8060+Sens!$H$8063+Sens!$H$8064-Sens!$H$8065</f>
        <v>0</v>
      </c>
      <c r="I8066" s="41" t="n">
        <f aca="false">Sens!$I$8055+Sens!$I$8060+Sens!$I$8063+Sens!$I$8064-Sens!$I$8065</f>
        <v>0</v>
      </c>
      <c r="J8066" s="41" t="n">
        <f aca="false">Sens!$J$8055+Sens!$J$8060+Sens!$J$8063+Sens!$J$8064-Sens!$J$8065</f>
        <v>0</v>
      </c>
      <c r="K8066" s="41" t="n">
        <f aca="false">Sens!$K$8055+Sens!$K$8060+Sens!$K$8063+Sens!$K$8064-Sens!$K$8065</f>
        <v>0</v>
      </c>
      <c r="L8066" s="41" t="n">
        <f aca="false">Sens!$L$8055+Sens!$L$8060+Sens!$L$8063+Sens!$L$8064-Sens!$L$8065</f>
        <v>0</v>
      </c>
      <c r="M8066" s="41" t="n">
        <f aca="false">Sens!$M$8055+Sens!$M$8060+Sens!$M$8063+Sens!$M$8064-Sens!$M$8065</f>
        <v>0</v>
      </c>
      <c r="N8066" s="41" t="n">
        <f aca="false">Sens!$N$8055+Sens!$N$8060+Sens!$N$8063+Sens!$N$8064-Sens!$N$8065</f>
        <v>0</v>
      </c>
      <c r="O8066" s="41" t="n">
        <f aca="false">Sens!$O$8055+Sens!$O$8060+Sens!$O$8063+Sens!$O$8064-Sens!$O$8065</f>
        <v>0</v>
      </c>
    </row>
    <row r="8067" customFormat="false" ht="17.15" hidden="false" customHeight="false" outlineLevel="0" collapsed="false">
      <c r="A8067" s="5" t="s">
        <v>746</v>
      </c>
      <c r="B8067" s="0" t="s">
        <v>86</v>
      </c>
      <c r="C8067" s="38" t="n">
        <f aca="false">Sens!$C$8003</f>
        <v>0</v>
      </c>
      <c r="D8067" s="38" t="n">
        <f aca="false">Sens!$D$8003</f>
        <v>0</v>
      </c>
      <c r="E8067" s="38" t="n">
        <f aca="false">Sens!$E$8003</f>
        <v>0</v>
      </c>
      <c r="F8067" s="38" t="n">
        <f aca="false">Sens!$F$8003</f>
        <v>3.77122048175818</v>
      </c>
      <c r="G8067" s="38" t="n">
        <f aca="false">Sens!$G$8003</f>
        <v>3.77122048175818</v>
      </c>
      <c r="H8067" s="38" t="n">
        <f aca="false">Sens!$H$8003</f>
        <v>15.1635543609893</v>
      </c>
      <c r="I8067" s="38" t="n">
        <f aca="false">Sens!$I$8003</f>
        <v>25.5818843619889</v>
      </c>
      <c r="J8067" s="38" t="n">
        <f aca="false">Sens!$J$8003</f>
        <v>36.0465624179122</v>
      </c>
      <c r="K8067" s="38" t="n">
        <f aca="false">Sens!$K$8003</f>
        <v>44.9741164026038</v>
      </c>
      <c r="L8067" s="38" t="n">
        <f aca="false">Sens!$L$8003</f>
        <v>50.8413488057813</v>
      </c>
      <c r="M8067" s="38" t="n">
        <f aca="false">Sens!$M$8003</f>
        <v>53.6407214274315</v>
      </c>
      <c r="N8067" s="38" t="n">
        <f aca="false">Sens!$N$8003</f>
        <v>0</v>
      </c>
      <c r="O8067" s="38" t="n">
        <f aca="false">Sens!$O$8003</f>
        <v>0</v>
      </c>
      <c r="P8067" s="5" t="s">
        <v>747</v>
      </c>
    </row>
    <row r="8068" customFormat="false" ht="17.15" hidden="false" customHeight="false" outlineLevel="0" collapsed="false">
      <c r="A8068" s="5" t="s">
        <v>748</v>
      </c>
      <c r="B8068" s="0" t="s">
        <v>86</v>
      </c>
      <c r="C8068" s="38" t="n">
        <f aca="false">Sens!$C$8065+Sens!$C$8067</f>
        <v>68.593</v>
      </c>
      <c r="D8068" s="38" t="n">
        <f aca="false">Sens!$D$8065+Sens!$D$8067</f>
        <v>79.975</v>
      </c>
      <c r="E8068" s="38" t="n">
        <f aca="false">Sens!$E$8065+Sens!$E$8067</f>
        <v>51.313</v>
      </c>
      <c r="F8068" s="38" t="n">
        <f aca="false">Sens!$F$8065+Sens!$F$8067</f>
        <v>60.1364771804876</v>
      </c>
      <c r="G8068" s="38" t="n">
        <f aca="false">Sens!$G$8065+Sens!$G$8067</f>
        <v>111.449477180488</v>
      </c>
      <c r="H8068" s="38" t="n">
        <f aca="false">Sens!$H$8065+Sens!$H$8067</f>
        <v>144.679011231256</v>
      </c>
      <c r="I8068" s="38" t="n">
        <f aca="false">Sens!$I$8065+Sens!$I$8067</f>
        <v>170.927271444615</v>
      </c>
      <c r="J8068" s="38" t="n">
        <f aca="false">Sens!$J$8065+Sens!$J$8067</f>
        <v>199.908704287628</v>
      </c>
      <c r="K8068" s="38" t="n">
        <f aca="false">Sens!$K$8065+Sens!$K$8067</f>
        <v>220.538449036907</v>
      </c>
      <c r="L8068" s="38" t="n">
        <f aca="false">Sens!$L$8065+Sens!$L$8067</f>
        <v>237.333434963166</v>
      </c>
      <c r="M8068" s="38" t="n">
        <f aca="false">Sens!$M$8065+Sens!$M$8067</f>
        <v>252.012387065883</v>
      </c>
      <c r="N8068" s="38" t="n">
        <f aca="false">Sens!$N$8065+Sens!$N$8067</f>
        <v>37.576</v>
      </c>
      <c r="O8068" s="38" t="n">
        <f aca="false">Sens!$O$8065+Sens!$O$8067</f>
        <v>42.399</v>
      </c>
    </row>
    <row r="8069" customFormat="false" ht="17.15" hidden="false" customHeight="false" outlineLevel="0" collapsed="false">
      <c r="A8069" s="0" t="s">
        <v>749</v>
      </c>
      <c r="B8069" s="0" t="s">
        <v>52</v>
      </c>
      <c r="C8069" s="13" t="n">
        <f aca="false">Sens!$C$8055/Sens!$C$8040</f>
        <v>0.0644314665661928</v>
      </c>
      <c r="D8069" s="13" t="n">
        <f aca="false">Sens!$D$8055/Sens!$D$8040</f>
        <v>0.0694784250712518</v>
      </c>
      <c r="E8069" s="13" t="n">
        <f aca="false">Sens!$E$8055/Sens!$E$8040</f>
        <v>0.0789306463326071</v>
      </c>
      <c r="F8069" s="13" t="n">
        <f aca="false">Sens!$F$8055/Sens!$F$8040</f>
        <v>0.0802526339438384</v>
      </c>
      <c r="G8069" s="13" t="n">
        <f aca="false">Sens!$G$8055/Sens!$G$8040</f>
        <v>0.0796341940538369</v>
      </c>
      <c r="H8069" s="13" t="n">
        <f aca="false">Sens!$H$8055/Sens!$H$8040</f>
        <v>0.0798254462645258</v>
      </c>
      <c r="I8069" s="13" t="n">
        <f aca="false">Sens!$I$8055/Sens!$I$8040</f>
        <v>0.0771454543672196</v>
      </c>
      <c r="J8069" s="13" t="n">
        <f aca="false">Sens!$J$8055/Sens!$J$8040</f>
        <v>0.0756147693819656</v>
      </c>
      <c r="K8069" s="13" t="n">
        <f aca="false">Sens!$K$8055/Sens!$K$8040</f>
        <v>0.0739025926520816</v>
      </c>
      <c r="L8069" s="13" t="n">
        <f aca="false">Sens!$L$8055/Sens!$L$8040</f>
        <v>0.0730809201558074</v>
      </c>
      <c r="M8069" s="13" t="n">
        <f aca="false">Sens!$M$8055/Sens!$M$8040</f>
        <v>0.0751707027775199</v>
      </c>
      <c r="N8069" s="13" t="n">
        <f aca="false">Sens!$N$8055/Sens!$N$8040</f>
        <v>0.069228576611127</v>
      </c>
      <c r="O8069" s="13" t="n">
        <f aca="false">Sens!$O$8055/Sens!$O$8040</f>
        <v>0.069685022498393</v>
      </c>
    </row>
    <row r="8070" customFormat="false" ht="17.15" hidden="false" customHeight="false" outlineLevel="0" collapsed="false">
      <c r="A8070" s="0" t="s">
        <v>750</v>
      </c>
      <c r="B8070" s="0" t="s">
        <v>52</v>
      </c>
      <c r="C8070" s="13" t="n">
        <f aca="false">Sens!$C$8060/Sens!$C$8041</f>
        <v>0.026534925055631</v>
      </c>
      <c r="D8070" s="13" t="n">
        <f aca="false">Sens!$D$8060/Sens!$D$8041</f>
        <v>0.0293401855535103</v>
      </c>
      <c r="E8070" s="13" t="n">
        <f aca="false">Sens!$E$8060/Sens!$E$8041</f>
        <v>0.03831141902276</v>
      </c>
      <c r="F8070" s="13" t="n">
        <f aca="false">Sens!$F$8060/Sens!$F$8041</f>
        <v>0.0282118989524726</v>
      </c>
      <c r="G8070" s="13" t="n">
        <f aca="false">Sens!$G$8060/Sens!$G$8041</f>
        <v>0.0328019468674976</v>
      </c>
      <c r="H8070" s="13" t="n">
        <f aca="false">Sens!$H$8060/Sens!$H$8041</f>
        <v>0.0309879507899839</v>
      </c>
      <c r="I8070" s="13" t="n">
        <f aca="false">Sens!$I$8060/Sens!$I$8041</f>
        <v>0.0262795332043765</v>
      </c>
      <c r="J8070" s="13" t="n">
        <f aca="false">Sens!$J$8060/Sens!$J$8041</f>
        <v>0.0226574435353346</v>
      </c>
      <c r="K8070" s="13" t="n">
        <f aca="false">Sens!$K$8060/Sens!$K$8041</f>
        <v>0.0187492205871101</v>
      </c>
      <c r="L8070" s="13" t="n">
        <f aca="false">Sens!$L$8060/Sens!$L$8041</f>
        <v>0.018273690180732</v>
      </c>
      <c r="M8070" s="13" t="n">
        <f aca="false">Sens!$M$8060/Sens!$M$8041</f>
        <v>0.0207176218272716</v>
      </c>
      <c r="N8070" s="13" t="n">
        <f aca="false">Sens!$N$8060/Sens!$N$8041</f>
        <v>0.0357315650169337</v>
      </c>
      <c r="O8070" s="13" t="n">
        <f aca="false">Sens!$O$8060/Sens!$O$8041</f>
        <v>0.0244378956559703</v>
      </c>
    </row>
    <row r="8071" customFormat="false" ht="17.15" hidden="false" customHeight="false" outlineLevel="0" collapsed="false">
      <c r="A8071" s="14" t="s">
        <v>751</v>
      </c>
      <c r="B8071" s="14" t="s">
        <v>52</v>
      </c>
      <c r="C8071" s="17" t="n">
        <f aca="false">Sens!$C$8063/Sens!$C$8042</f>
        <v>0.370355907620217</v>
      </c>
      <c r="D8071" s="17" t="n">
        <f aca="false">Sens!$D$8063/Sens!$D$8042</f>
        <v>0.35429015342785</v>
      </c>
      <c r="E8071" s="17" t="n">
        <f aca="false">Sens!$E$8063/Sens!$E$8042</f>
        <v>0.385647527531039</v>
      </c>
      <c r="F8071" s="17" t="n">
        <f aca="false">Sens!$F$8063/Sens!$F$8042</f>
        <v>0.385949613469105</v>
      </c>
      <c r="G8071" s="17" t="n">
        <f aca="false">Sens!$G$8063/Sens!$G$8042</f>
        <v>0.385804840448779</v>
      </c>
      <c r="H8071" s="17" t="n">
        <f aca="false">Sens!$H$8063/Sens!$H$8042</f>
        <v>0.369408675360557</v>
      </c>
      <c r="I8071" s="17" t="n">
        <f aca="false">Sens!$I$8063/Sens!$I$8042</f>
        <v>0.34117504540738</v>
      </c>
      <c r="J8071" s="17" t="n">
        <f aca="false">Sens!$J$8063/Sens!$J$8042</f>
        <v>0.330544285732563</v>
      </c>
      <c r="K8071" s="17" t="n">
        <f aca="false">Sens!$K$8063/Sens!$K$8042</f>
        <v>0.314033796990635</v>
      </c>
      <c r="L8071" s="17" t="n">
        <f aca="false">Sens!$L$8063/Sens!$L$8042</f>
        <v>0.303690371867633</v>
      </c>
      <c r="M8071" s="17" t="n">
        <f aca="false">Sens!$M$8063/Sens!$M$8042</f>
        <v>0.297287296590884</v>
      </c>
      <c r="N8071" s="17" t="n">
        <f aca="false">Sens!$N$8063/Sens!$N$8042</f>
        <v>0.360941137346192</v>
      </c>
      <c r="O8071" s="17" t="n">
        <f aca="false">Sens!$O$8063/Sens!$O$8042</f>
        <v>0.348458117664212</v>
      </c>
    </row>
    <row r="8072" customFormat="false" ht="17.15" hidden="false" customHeight="false" outlineLevel="0" collapsed="false">
      <c r="A8072" s="0" t="s">
        <v>752</v>
      </c>
      <c r="B8072" s="0" t="s">
        <v>52</v>
      </c>
      <c r="C8072" s="13" t="n">
        <f aca="false">Sens!$C$8061/Sens!$C$8043</f>
        <v>0.708390794789371</v>
      </c>
      <c r="D8072" s="13" t="n">
        <f aca="false">Sens!$D$8061/Sens!$D$8043</f>
        <v>0.619415573115729</v>
      </c>
      <c r="E8072" s="13" t="n">
        <f aca="false">Sens!$E$8061/Sens!$E$8043</f>
        <v>0.285171627189009</v>
      </c>
      <c r="F8072" s="13" t="n">
        <f aca="false">Sens!$F$8061/Sens!$F$8043</f>
        <v>0.502657732812366</v>
      </c>
      <c r="G8072" s="13" t="n">
        <f aca="false">Sens!$G$8061/Sens!$G$8043</f>
        <v>0.423808778611812</v>
      </c>
      <c r="H8072" s="13" t="n">
        <f aca="false">Sens!$H$8061/Sens!$H$8043</f>
        <v>0.390261631739809</v>
      </c>
      <c r="I8072" s="13" t="n">
        <f aca="false">Sens!$I$8061/Sens!$I$8043</f>
        <v>0.305172864264572</v>
      </c>
      <c r="J8072" s="13" t="n">
        <f aca="false">Sens!$J$8061/Sens!$J$8043</f>
        <v>0.288011814789856</v>
      </c>
      <c r="K8072" s="13" t="n">
        <f aca="false">Sens!$K$8061/Sens!$K$8043</f>
        <v>0.25765427518774</v>
      </c>
      <c r="L8072" s="13" t="n">
        <f aca="false">Sens!$L$8061/Sens!$L$8043</f>
        <v>0.238118778012374</v>
      </c>
      <c r="M8072" s="13" t="n">
        <f aca="false">Sens!$M$8061/Sens!$M$8043</f>
        <v>0.222746255757109</v>
      </c>
      <c r="N8072" s="13" t="n">
        <f aca="false">Sens!$N$8061/Sens!$N$8043</f>
        <v>0.551227795793364</v>
      </c>
      <c r="O8072" s="13" t="n">
        <f aca="false">Sens!$O$8061/Sens!$O$8043</f>
        <v>0.656132068597002</v>
      </c>
    </row>
    <row r="8073" customFormat="false" ht="15" hidden="false" customHeight="false" outlineLevel="0" collapsed="false">
      <c r="A8073" s="5" t="s">
        <v>753</v>
      </c>
      <c r="B8073" s="0" t="s">
        <v>52</v>
      </c>
      <c r="C8073" s="13" t="n">
        <f aca="false">Sens!$C$8065/Sens!$C$8045</f>
        <v>0.107519448742004</v>
      </c>
      <c r="D8073" s="13" t="n">
        <f aca="false">Sens!$D$8065/Sens!$D$8045</f>
        <v>0.111552967957552</v>
      </c>
      <c r="E8073" s="13" t="n">
        <f aca="false">Sens!$E$8065/Sens!$E$8045</f>
        <v>0.13428328426562</v>
      </c>
      <c r="F8073" s="13" t="n">
        <f aca="false">Sens!$F$8065/Sens!$F$8045</f>
        <v>0.129343087287827</v>
      </c>
      <c r="G8073" s="13" t="n">
        <f aca="false">Sens!$G$8065/Sens!$G$8045</f>
        <v>0.131651143259596</v>
      </c>
      <c r="H8073" s="13" t="n">
        <f aca="false">Sens!$H$8065/Sens!$H$8045</f>
        <v>0.137449034763893</v>
      </c>
      <c r="I8073" s="13" t="n">
        <f aca="false">Sens!$I$8065/Sens!$I$8045</f>
        <v>0.13598895915033</v>
      </c>
      <c r="J8073" s="13" t="n">
        <f aca="false">Sens!$J$8065/Sens!$J$8045</f>
        <v>0.137709769017663</v>
      </c>
      <c r="K8073" s="13" t="n">
        <f aca="false">Sens!$K$8065/Sens!$K$8045</f>
        <v>0.135459809314784</v>
      </c>
      <c r="L8073" s="13" t="n">
        <f aca="false">Sens!$L$8065/Sens!$L$8045</f>
        <v>0.133669430082102</v>
      </c>
      <c r="M8073" s="13" t="n">
        <f aca="false">Sens!$M$8065/Sens!$M$8045</f>
        <v>0.133349766772341</v>
      </c>
      <c r="N8073" s="13" t="n">
        <f aca="false">Sens!$N$8065/Sens!$N$8045</f>
        <v>0.116201614873411</v>
      </c>
      <c r="O8073" s="13" t="n">
        <f aca="false">Sens!$O$8065/Sens!$O$8045</f>
        <v>0.107733353660861</v>
      </c>
    </row>
    <row r="8074" customFormat="false" ht="17.15" hidden="false" customHeight="false" outlineLevel="0" collapsed="false">
      <c r="A8074" s="1" t="s">
        <v>754</v>
      </c>
    </row>
    <row r="8075" customFormat="false" ht="17.15" hidden="false" customHeight="false" outlineLevel="0" collapsed="false">
      <c r="A8075" s="5" t="s">
        <v>755</v>
      </c>
      <c r="B8075" s="0" t="s">
        <v>52</v>
      </c>
      <c r="D8075" s="28" t="n">
        <f aca="false">(Q!$E$29+Q!$E$30-(1-ext_sh)*Sens!$D$7997)/Sens!$D$7948</f>
        <v>0.0341105596409988</v>
      </c>
    </row>
    <row r="8076" customFormat="false" ht="17.15" hidden="false" customHeight="false" outlineLevel="0" collapsed="false">
      <c r="A8076" s="0" t="s">
        <v>545</v>
      </c>
      <c r="B8076" s="0" t="s">
        <v>86</v>
      </c>
      <c r="C8076" s="38" t="n">
        <f aca="false">Q!$D$29</f>
        <v>14.285</v>
      </c>
      <c r="D8076" s="38" t="n">
        <f aca="false">Q!$E$29</f>
        <v>15.503</v>
      </c>
      <c r="E8076" s="38" t="n">
        <f aca="false">Q!$P$29</f>
        <v>8.78</v>
      </c>
      <c r="F8076" s="38" t="n">
        <f aca="false">(Sens!$D$8075*Sens!$F$7948+(1-ext_sh)*Sens!$F$7997)*Sens!$F$7949</f>
        <v>9.30317620449232</v>
      </c>
      <c r="G8076" s="38" t="n">
        <f aca="false">Sens!$E$8076+Sens!$F$8076</f>
        <v>18.0831762044923</v>
      </c>
      <c r="H8076" s="38" t="n">
        <f aca="false">(Sens!$D$8075*Sens!$H$7948+(1-ext_sh)*Sens!$H$7997)*Sens!$H$7949</f>
        <v>22.1297245338482</v>
      </c>
      <c r="I8076" s="38" t="n">
        <f aca="false">(Sens!$D$8075*Sens!$I$7948+(1-ext_sh)*Sens!$I$7997)*Sens!$I$7949</f>
        <v>28.409695984391</v>
      </c>
      <c r="J8076" s="38" t="n">
        <f aca="false">(Sens!$D$8075*Sens!$J$7948+(1-ext_sh)*Sens!$J$7997)*Sens!$J$7949</f>
        <v>34.1085606174579</v>
      </c>
      <c r="K8076" s="38" t="n">
        <f aca="false">(Sens!$D$8075*Sens!$K$7948+(1-ext_sh)*Sens!$K$7997)*Sens!$K$7949</f>
        <v>39.7218983009068</v>
      </c>
      <c r="L8076" s="38" t="n">
        <f aca="false">(Sens!$D$8075*Sens!$L$7948+(1-ext_sh)*Sens!$L$7997)*Sens!$L$7949</f>
        <v>44.1680279486684</v>
      </c>
      <c r="M8076" s="38" t="n">
        <f aca="false">(Sens!$D$8075*Sens!$M$7948+(1-ext_sh)*Sens!$M$7997)*Sens!$M$7949</f>
        <v>47.4413073313286</v>
      </c>
      <c r="N8076" s="38" t="n">
        <f aca="false">Q!$N$29</f>
        <v>7.272</v>
      </c>
      <c r="O8076" s="38" t="n">
        <f aca="false">Q!$O$29</f>
        <v>8.231</v>
      </c>
    </row>
    <row r="8077" customFormat="false" ht="17.15" hidden="false" customHeight="false" outlineLevel="0" collapsed="false">
      <c r="A8077" s="0" t="s">
        <v>547</v>
      </c>
      <c r="B8077" s="0" t="s">
        <v>86</v>
      </c>
      <c r="C8077" s="38" t="n">
        <f aca="false">Q!$D$30</f>
        <v>4.462</v>
      </c>
      <c r="D8077" s="38" t="n">
        <f aca="false">Q!$E$30</f>
        <v>4.907</v>
      </c>
      <c r="E8077" s="38" t="n">
        <f aca="false">Q!$P$30</f>
        <v>2.57</v>
      </c>
      <c r="F8077" s="38" t="n">
        <f aca="false">(Sens!$D$8075*Sens!$F$7948+(1-ext_sh)*Sens!$F$7997)*(1-Sens!$F$7949)</f>
        <v>3.6526976809753</v>
      </c>
      <c r="G8077" s="38" t="n">
        <f aca="false">Sens!$E$8077+Sens!$F$8077</f>
        <v>6.2226976809753</v>
      </c>
      <c r="H8077" s="38" t="n">
        <f aca="false">(Sens!$D$8075*Sens!$H$7948+(1-ext_sh)*Sens!$H$7997)*(1-Sens!$H$7949)</f>
        <v>8.4764774248495</v>
      </c>
      <c r="I8077" s="38" t="n">
        <f aca="false">(Sens!$D$8075*Sens!$I$7948+(1-ext_sh)*Sens!$I$7997)*(1-Sens!$I$7949)</f>
        <v>10.881931507561</v>
      </c>
      <c r="J8077" s="38" t="n">
        <f aca="false">(Sens!$D$8075*Sens!$J$7948+(1-ext_sh)*Sens!$J$7997)*(1-Sens!$J$7949)</f>
        <v>13.0648008575874</v>
      </c>
      <c r="K8077" s="38" t="n">
        <f aca="false">(Sens!$D$8075*Sens!$K$7948+(1-ext_sh)*Sens!$K$7997)*(1-Sens!$K$7949)</f>
        <v>15.2149103214008</v>
      </c>
      <c r="L8077" s="38" t="n">
        <f aca="false">(Sens!$D$8075*Sens!$L$7948+(1-ext_sh)*Sens!$L$7997)*(1-Sens!$L$7949)</f>
        <v>16.9179372854085</v>
      </c>
      <c r="M8077" s="38" t="n">
        <f aca="false">(Sens!$D$8075*Sens!$M$7948+(1-ext_sh)*Sens!$M$7997)*(1-Sens!$M$7949)</f>
        <v>18.1717205735785</v>
      </c>
      <c r="N8077" s="38" t="n">
        <f aca="false">Q!$N$30</f>
        <v>2.316</v>
      </c>
      <c r="O8077" s="38" t="n">
        <f aca="false">Q!$O$30</f>
        <v>2.591</v>
      </c>
    </row>
    <row r="8078" customFormat="false" ht="17.15" hidden="false" customHeight="false" outlineLevel="0" collapsed="false">
      <c r="A8078" s="0" t="s">
        <v>548</v>
      </c>
      <c r="B8078" s="0" t="s">
        <v>86</v>
      </c>
      <c r="C8078" s="38" t="n">
        <f aca="false">Sens!$C$8009</f>
        <v>13.32</v>
      </c>
      <c r="D8078" s="38" t="n">
        <f aca="false">Sens!$D$8009</f>
        <v>21.45</v>
      </c>
      <c r="E8078" s="38" t="n">
        <f aca="false">Sens!$E$8009</f>
        <v>15.353</v>
      </c>
      <c r="F8078" s="38" t="n">
        <f aca="false">Sens!$F$8009</f>
        <v>16.1969869840094</v>
      </c>
      <c r="G8078" s="38" t="n">
        <f aca="false">Sens!$G$8009</f>
        <v>31.5499869840094</v>
      </c>
      <c r="H8078" s="38" t="n">
        <f aca="false">Sens!$H$8009</f>
        <v>50.9556213609176</v>
      </c>
      <c r="I8078" s="38" t="n">
        <f aca="false">Sens!$I$8009</f>
        <v>79.464581248252</v>
      </c>
      <c r="J8078" s="38" t="n">
        <f aca="false">Sens!$J$8009</f>
        <v>105.296127931746</v>
      </c>
      <c r="K8078" s="38" t="n">
        <f aca="false">Sens!$K$8009</f>
        <v>131.454694001511</v>
      </c>
      <c r="L8078" s="38" t="n">
        <f aca="false">Sens!$L$8009</f>
        <v>150.840456981405</v>
      </c>
      <c r="M8078" s="38" t="n">
        <f aca="false">Sens!$M$8009</f>
        <v>163.399454192999</v>
      </c>
      <c r="N8078" s="38" t="n">
        <f aca="false">Sens!$N$8009</f>
        <v>9.234</v>
      </c>
      <c r="O8078" s="38" t="n">
        <f aca="false">Sens!$O$8009</f>
        <v>12.216</v>
      </c>
    </row>
    <row r="8079" customFormat="false" ht="17.15" hidden="false" customHeight="false" outlineLevel="0" collapsed="false">
      <c r="A8079" s="5" t="s">
        <v>756</v>
      </c>
      <c r="B8079" s="0" t="s">
        <v>86</v>
      </c>
      <c r="C8079" s="38" t="n">
        <f aca="false">Sens!$C$8076+Sens!$C$8077+Sens!$C$8078</f>
        <v>32.067</v>
      </c>
      <c r="D8079" s="38" t="n">
        <f aca="false">Sens!$D$8076+Sens!$D$8077+Sens!$D$8078</f>
        <v>41.86</v>
      </c>
      <c r="E8079" s="38" t="n">
        <f aca="false">Sens!$E$8076+Sens!$E$8077+Sens!$E$8078</f>
        <v>26.703</v>
      </c>
      <c r="F8079" s="38" t="n">
        <f aca="false">Sens!$F$8076+Sens!$F$8077+Sens!$F$8078</f>
        <v>29.152860869477</v>
      </c>
      <c r="G8079" s="38" t="n">
        <f aca="false">Sens!$G$8076+Sens!$G$8077+Sens!$G$8078</f>
        <v>55.855860869477</v>
      </c>
      <c r="H8079" s="38" t="n">
        <f aca="false">Sens!$H$8076+Sens!$H$8077+Sens!$H$8078</f>
        <v>81.5618233196153</v>
      </c>
      <c r="I8079" s="38" t="n">
        <f aca="false">Sens!$I$8076+Sens!$I$8077+Sens!$I$8078</f>
        <v>118.756208740204</v>
      </c>
      <c r="J8079" s="38" t="n">
        <f aca="false">Sens!$J$8076+Sens!$J$8077+Sens!$J$8078</f>
        <v>152.469489406791</v>
      </c>
      <c r="K8079" s="38" t="n">
        <f aca="false">Sens!$K$8076+Sens!$K$8077+Sens!$K$8078</f>
        <v>186.391502623819</v>
      </c>
      <c r="L8079" s="38" t="n">
        <f aca="false">Sens!$L$8076+Sens!$L$8077+Sens!$L$8078</f>
        <v>211.926422215482</v>
      </c>
      <c r="M8079" s="38" t="n">
        <f aca="false">Sens!$M$8076+Sens!$M$8077+Sens!$M$8078</f>
        <v>229.012482097906</v>
      </c>
      <c r="N8079" s="38" t="n">
        <f aca="false">Sens!$N$8076+Sens!$N$8077+Sens!$N$8078</f>
        <v>18.822</v>
      </c>
      <c r="O8079" s="38" t="n">
        <f aca="false">Sens!$O$8076+Sens!$O$8077+Sens!$O$8078</f>
        <v>23.038</v>
      </c>
    </row>
    <row r="8080" customFormat="false" ht="17.15" hidden="false" customHeight="false" outlineLevel="0" collapsed="false">
      <c r="A8080" s="0" t="s">
        <v>757</v>
      </c>
      <c r="B8080" s="0" t="s">
        <v>86</v>
      </c>
      <c r="C8080" s="38" t="n">
        <f aca="false">Sens!$C$8051+Sens!$C$8056</f>
        <v>28.107</v>
      </c>
      <c r="D8080" s="38" t="n">
        <f aca="false">Sens!$D$8051+Sens!$D$8056</f>
        <v>34.3175</v>
      </c>
      <c r="E8080" s="38" t="n">
        <f aca="false">Sens!$E$8051+Sens!$E$8056</f>
        <v>18.526</v>
      </c>
      <c r="F8080" s="38" t="n">
        <f aca="false">Sens!$F$8051+Sens!$F$8056</f>
        <v>23.0786109972074</v>
      </c>
      <c r="G8080" s="38" t="n">
        <f aca="false">Sens!$G$8051+Sens!$G$8056</f>
        <v>41.6046109972074</v>
      </c>
      <c r="H8080" s="38" t="n">
        <f aca="false">Sens!$H$8051+Sens!$H$8056</f>
        <v>49.9484611939488</v>
      </c>
      <c r="I8080" s="38" t="n">
        <f aca="false">Sens!$I$8051+Sens!$I$8056</f>
        <v>58.2915555477481</v>
      </c>
      <c r="J8080" s="38" t="n">
        <f aca="false">Sens!$J$8051+Sens!$J$8056</f>
        <v>66.0744709709759</v>
      </c>
      <c r="K8080" s="38" t="n">
        <f aca="false">Sens!$K$8051+Sens!$K$8056</f>
        <v>72.6819180680735</v>
      </c>
      <c r="L8080" s="38" t="n">
        <f aca="false">Sens!$L$8051+Sens!$L$8056</f>
        <v>79.9501098748808</v>
      </c>
      <c r="M8080" s="38" t="n">
        <f aca="false">Sens!$M$8051+Sens!$M$8056</f>
        <v>87.9451208623689</v>
      </c>
      <c r="N8080" s="38" t="n">
        <f aca="false">Sens!$N$8051+Sens!$N$8056</f>
        <v>14.8075</v>
      </c>
      <c r="O8080" s="38" t="n">
        <f aca="false">Sens!$O$8051+Sens!$O$8056</f>
        <v>19.51</v>
      </c>
    </row>
    <row r="8081" customFormat="false" ht="17.15" hidden="false" customHeight="false" outlineLevel="0" collapsed="false">
      <c r="A8081" s="0" t="s">
        <v>758</v>
      </c>
      <c r="B8081" s="0" t="s">
        <v>86</v>
      </c>
      <c r="C8081" s="38" t="n">
        <f aca="false">Sens!$C$8055+Sens!$C$8060+Sens!$C$8076+Sens!$C$8077-Sens!$C$8080</f>
        <v>19.399</v>
      </c>
      <c r="D8081" s="38" t="n">
        <f aca="false">Sens!$D$8055+Sens!$D$8060+Sens!$D$8076+Sens!$D$8077-Sens!$D$8080</f>
        <v>20.4615</v>
      </c>
      <c r="E8081" s="38" t="n">
        <f aca="false">Sens!$E$8055+Sens!$E$8060+Sens!$E$8076+Sens!$E$8077-Sens!$E$8080</f>
        <v>13.355</v>
      </c>
      <c r="F8081" s="38" t="n">
        <f aca="false">Sens!$F$8055+Sens!$F$8060+Sens!$F$8076+Sens!$F$8077-Sens!$F$8080</f>
        <v>12.7680546411015</v>
      </c>
      <c r="G8081" s="38" t="n">
        <f aca="false">Sens!$G$8055+Sens!$G$8060+Sens!$G$8076+Sens!$G$8077-Sens!$G$8080</f>
        <v>26.1230546411015</v>
      </c>
      <c r="H8081" s="38" t="n">
        <f aca="false">Sens!$H$8055+Sens!$H$8060+Sens!$H$8076+Sens!$H$8077-Sens!$H$8080</f>
        <v>28.4662904769959</v>
      </c>
      <c r="I8081" s="38" t="n">
        <f aca="false">Sens!$I$8055+Sens!$I$8060+Sens!$I$8076+Sens!$I$8077-Sens!$I$8080</f>
        <v>30.7231490427408</v>
      </c>
      <c r="J8081" s="38" t="n">
        <f aca="false">Sens!$J$8055+Sens!$J$8060+Sens!$J$8076+Sens!$J$8077-Sens!$J$8080</f>
        <v>32.9723159380642</v>
      </c>
      <c r="K8081" s="38" t="n">
        <f aca="false">Sens!$K$8055+Sens!$K$8060+Sens!$K$8076+Sens!$K$8077-Sens!$K$8080</f>
        <v>35.3819359626894</v>
      </c>
      <c r="L8081" s="38" t="n">
        <f aca="false">Sens!$L$8055+Sens!$L$8060+Sens!$L$8076+Sens!$L$8077-Sens!$L$8080</f>
        <v>37.0165770259405</v>
      </c>
      <c r="M8081" s="38" t="n">
        <f aca="false">Sens!$M$8055+Sens!$M$8060+Sens!$M$8076+Sens!$M$8077-Sens!$M$8080</f>
        <v>39.4490703930704</v>
      </c>
      <c r="N8081" s="38" t="n">
        <f aca="false">Sens!$N$8055+Sens!$N$8060+Sens!$N$8076+Sens!$N$8077-Sens!$N$8080</f>
        <v>10.6495</v>
      </c>
      <c r="O8081" s="38" t="n">
        <f aca="false">Sens!$O$8055+Sens!$O$8060+Sens!$O$8076+Sens!$O$8077-Sens!$O$8080</f>
        <v>9.81200000000001</v>
      </c>
    </row>
    <row r="8082" customFormat="false" ht="17.15" hidden="false" customHeight="false" outlineLevel="0" collapsed="false">
      <c r="A8082" s="0" t="s">
        <v>759</v>
      </c>
      <c r="B8082" s="0" t="s">
        <v>86</v>
      </c>
      <c r="C8082" s="38" t="n">
        <f aca="false">Sens!$C$8062+Sens!$C$8078-ext_sh*Sens!$C$7997</f>
        <v>51.3470500115664</v>
      </c>
      <c r="D8082" s="38" t="n">
        <f aca="false">Sens!$D$8062+Sens!$D$8078-ext_sh*Sens!$D$7997</f>
        <v>60.2799375433739</v>
      </c>
      <c r="E8082" s="38" t="n">
        <f aca="false">Sens!$E$8062+Sens!$E$8078-ext_sh*Sens!$E$7997</f>
        <v>39.5095167090767</v>
      </c>
      <c r="F8082" s="38" t="n">
        <f aca="false">Sens!$F$8062+Sens!$F$8078-ext_sh*Sens!$F$7997</f>
        <v>37.951394214027</v>
      </c>
      <c r="G8082" s="38" t="n">
        <f aca="false">Sens!$G$8062+Sens!$G$8078-ext_sh*Sens!$G$7997</f>
        <v>77.4609109231037</v>
      </c>
      <c r="H8082" s="38" t="n">
        <f aca="false">Sens!$H$8062+Sens!$H$8078-ext_sh*Sens!$H$7997</f>
        <v>85.1453558128916</v>
      </c>
      <c r="I8082" s="38" t="n">
        <f aca="false">Sens!$I$8062+Sens!$I$8078-ext_sh*Sens!$I$7997</f>
        <v>94.532921967974</v>
      </c>
      <c r="J8082" s="38" t="n">
        <f aca="false">Sens!$J$8062+Sens!$J$8078-ext_sh*Sens!$J$7997</f>
        <v>103.525527532583</v>
      </c>
      <c r="K8082" s="38" t="n">
        <f aca="false">Sens!$K$8062+Sens!$K$8078-ext_sh*Sens!$K$7997</f>
        <v>111.80756973519</v>
      </c>
      <c r="L8082" s="38" t="n">
        <f aca="false">Sens!$L$8062+Sens!$L$8078-ext_sh*Sens!$L$7997</f>
        <v>120.752175314005</v>
      </c>
      <c r="M8082" s="38" t="n">
        <f aca="false">Sens!$M$8062+Sens!$M$8078-ext_sh*Sens!$M$7997</f>
        <v>130.412349339125</v>
      </c>
      <c r="N8082" s="38" t="n">
        <f aca="false">Sens!$N$8062+Sens!$N$8078-ext_sh*Sens!$N$7997</f>
        <v>28.5693781401809</v>
      </c>
      <c r="O8082" s="38" t="n">
        <f aca="false">Sens!$O$8062+Sens!$O$8078-ext_sh*Sens!$O$7997</f>
        <v>31.7105594031931</v>
      </c>
    </row>
    <row r="8083" customFormat="false" ht="17.15" hidden="false" customHeight="false" outlineLevel="0" collapsed="false">
      <c r="A8083" s="0" t="s">
        <v>760</v>
      </c>
      <c r="B8083" s="0" t="s">
        <v>86</v>
      </c>
      <c r="C8083" s="38" t="n">
        <f aca="false">Sens!$C$8000</f>
        <v>1.80694998843362</v>
      </c>
      <c r="D8083" s="38" t="n">
        <f aca="false">Sens!$D$8000</f>
        <v>6.77606245662607</v>
      </c>
      <c r="E8083" s="38" t="n">
        <f aca="false">Sens!$E$8000</f>
        <v>6.62548329092326</v>
      </c>
      <c r="F8083" s="38" t="n">
        <f aca="false">Sens!$F$8000</f>
        <v>11.7200577158706</v>
      </c>
      <c r="G8083" s="38" t="n">
        <f aca="false">Sens!$G$8000</f>
        <v>18.3455410067939</v>
      </c>
      <c r="H8083" s="38" t="n">
        <f aca="false">Sens!$H$8000</f>
        <v>47.5171727060453</v>
      </c>
      <c r="I8083" s="38" t="n">
        <f aca="false">Sens!$I$8000</f>
        <v>80.5539692643667</v>
      </c>
      <c r="J8083" s="38" t="n">
        <f aca="false">Sens!$J$8000</f>
        <v>113.759316834883</v>
      </c>
      <c r="K8083" s="38" t="n">
        <f aca="false">Sens!$K$8000</f>
        <v>142.084411492169</v>
      </c>
      <c r="L8083" s="38" t="n">
        <f aca="false">Sens!$L$8000</f>
        <v>160.69964615804</v>
      </c>
      <c r="M8083" s="38" t="n">
        <f aca="false">Sens!$M$8000</f>
        <v>169.577607141793</v>
      </c>
      <c r="N8083" s="38" t="n">
        <f aca="false">Sens!$N$8000</f>
        <v>2.37162185981912</v>
      </c>
      <c r="O8083" s="38" t="n">
        <f aca="false">Sens!$O$8000</f>
        <v>4.40444059680694</v>
      </c>
    </row>
    <row r="8084" customFormat="false" ht="17.15" hidden="false" customHeight="false" outlineLevel="0" collapsed="false">
      <c r="A8084" s="0" t="s">
        <v>761</v>
      </c>
      <c r="B8084" s="0" t="s">
        <v>86</v>
      </c>
      <c r="C8084" s="38" t="n">
        <f aca="false">Sens!$C$8065+Sens!$C$8079</f>
        <v>100.66</v>
      </c>
      <c r="D8084" s="38" t="n">
        <f aca="false">Sens!$D$8065+Sens!$D$8079</f>
        <v>121.835</v>
      </c>
      <c r="E8084" s="38" t="n">
        <f aca="false">Sens!$E$8065+Sens!$E$8079</f>
        <v>78.016</v>
      </c>
      <c r="F8084" s="38" t="n">
        <f aca="false">Sens!$F$8065+Sens!$F$8079</f>
        <v>85.5181175682064</v>
      </c>
      <c r="G8084" s="38" t="n">
        <f aca="false">Sens!$G$8065+Sens!$G$8079</f>
        <v>163.534117568206</v>
      </c>
      <c r="H8084" s="38" t="n">
        <f aca="false">Sens!$H$8065+Sens!$H$8079</f>
        <v>211.077280189882</v>
      </c>
      <c r="I8084" s="38" t="n">
        <f aca="false">Sens!$I$8065+Sens!$I$8079</f>
        <v>264.10159582283</v>
      </c>
      <c r="J8084" s="38" t="n">
        <f aca="false">Sens!$J$8065+Sens!$J$8079</f>
        <v>316.331631276507</v>
      </c>
      <c r="K8084" s="38" t="n">
        <f aca="false">Sens!$K$8065+Sens!$K$8079</f>
        <v>361.955835258122</v>
      </c>
      <c r="L8084" s="38" t="n">
        <f aca="false">Sens!$L$8065+Sens!$L$8079</f>
        <v>398.418508372866</v>
      </c>
      <c r="M8084" s="38" t="n">
        <f aca="false">Sens!$M$8065+Sens!$M$8079</f>
        <v>427.384147736358</v>
      </c>
      <c r="N8084" s="38" t="n">
        <f aca="false">Sens!$N$8065+Sens!$N$8079</f>
        <v>56.398</v>
      </c>
      <c r="O8084" s="38" t="n">
        <f aca="false">Sens!$O$8065+Sens!$O$8079</f>
        <v>65.437</v>
      </c>
    </row>
    <row r="8085" customFormat="false" ht="17.15" hidden="false" customHeight="false" outlineLevel="0" collapsed="false">
      <c r="A8085" s="1" t="s">
        <v>762</v>
      </c>
    </row>
    <row r="8086" customFormat="false" ht="15" hidden="false" customHeight="false" outlineLevel="0" collapsed="false">
      <c r="A8086" s="5" t="s">
        <v>551</v>
      </c>
      <c r="B8086" s="0" t="s">
        <v>86</v>
      </c>
      <c r="C8086" s="38" t="n">
        <f aca="false">Q!$D$34</f>
        <v>2.406</v>
      </c>
      <c r="D8086" s="38" t="n">
        <f aca="false">Q!$E$34</f>
        <v>2.274</v>
      </c>
      <c r="E8086" s="38" t="n">
        <f aca="false">Q!$P$34</f>
        <v>2.114</v>
      </c>
      <c r="F8086" s="38" t="n">
        <f aca="false">Sens!$F$8124</f>
        <v>3.24888962733561</v>
      </c>
      <c r="G8086" s="38" t="n">
        <f aca="false">Sens!$E$8086+Sens!$F$8086</f>
        <v>5.36288962733561</v>
      </c>
      <c r="H8086" s="38" t="n">
        <f aca="false">Sens!$H$8124</f>
        <v>7.42354172302123</v>
      </c>
      <c r="I8086" s="38" t="n">
        <f aca="false">Sens!$I$8124</f>
        <v>7.84418947693382</v>
      </c>
      <c r="J8086" s="38" t="n">
        <f aca="false">Sens!$J$8124</f>
        <v>8.79561318891235</v>
      </c>
      <c r="K8086" s="38" t="n">
        <f aca="false">Sens!$K$8124</f>
        <v>8.79561318891235</v>
      </c>
      <c r="L8086" s="38" t="n">
        <f aca="false">Sens!$L$8124</f>
        <v>8.79561318891235</v>
      </c>
      <c r="M8086" s="38" t="n">
        <f aca="false">Sens!$M$8124</f>
        <v>8.79561318891235</v>
      </c>
      <c r="N8086" s="38" t="n">
        <f aca="false">Q!$N$34</f>
        <v>1.057</v>
      </c>
      <c r="O8086" s="38" t="n">
        <f aca="false">Q!$O$34</f>
        <v>1.217</v>
      </c>
    </row>
    <row r="8087" customFormat="false" ht="15" hidden="false" customHeight="false" outlineLevel="0" collapsed="false">
      <c r="A8087" s="5" t="s">
        <v>763</v>
      </c>
      <c r="B8087" s="0" t="s">
        <v>86</v>
      </c>
      <c r="F8087" s="38" t="n">
        <f aca="false">Sens!$F$8125</f>
        <v>2.59</v>
      </c>
      <c r="H8087" s="38" t="n">
        <f aca="false">Sens!$H$8125</f>
        <v>4.1153774832261</v>
      </c>
      <c r="I8087" s="38" t="n">
        <f aca="false">Sens!$I$8125</f>
        <v>2.10589651022864</v>
      </c>
      <c r="J8087" s="38" t="n">
        <f aca="false">Sens!$J$8125</f>
        <v>2.10589651022864</v>
      </c>
      <c r="K8087" s="38" t="n">
        <f aca="false">Sens!$K$8125</f>
        <v>3.172800358404</v>
      </c>
      <c r="L8087" s="38" t="n">
        <f aca="false">Sens!$L$8125</f>
        <v>8.31037272592208</v>
      </c>
      <c r="M8087" s="38" t="n">
        <f aca="false">Sens!$M$8125</f>
        <v>15.9256588704093</v>
      </c>
    </row>
    <row r="8088" customFormat="false" ht="17.15" hidden="false" customHeight="false" outlineLevel="0" collapsed="false">
      <c r="A8088" s="5" t="s">
        <v>764</v>
      </c>
      <c r="B8088" s="0" t="s">
        <v>86</v>
      </c>
      <c r="C8088" s="38" t="n">
        <f aca="false">Q!$D$39</f>
        <v>2.427</v>
      </c>
      <c r="D8088" s="38" t="n">
        <f aca="false">Q!$E$39</f>
        <v>19.61</v>
      </c>
      <c r="E8088" s="38" t="n">
        <f aca="false">Q!$P$39</f>
        <v>71.492</v>
      </c>
      <c r="F8088" s="39" t="n">
        <v>0</v>
      </c>
      <c r="G8088" s="38" t="n">
        <f aca="false">Sens!$E$8088+Sens!$F$8088</f>
        <v>71.492</v>
      </c>
      <c r="H8088" s="39" t="n">
        <v>0</v>
      </c>
      <c r="I8088" s="39" t="n">
        <v>0</v>
      </c>
      <c r="J8088" s="39" t="n">
        <v>0</v>
      </c>
      <c r="K8088" s="39" t="n">
        <v>0</v>
      </c>
      <c r="L8088" s="39" t="n">
        <v>0</v>
      </c>
      <c r="M8088" s="39" t="n">
        <v>0</v>
      </c>
      <c r="N8088" s="38" t="n">
        <f aca="false">Q!$N$39</f>
        <v>6.017</v>
      </c>
      <c r="O8088" s="38" t="n">
        <f aca="false">Q!$O$39</f>
        <v>13.593</v>
      </c>
      <c r="P8088" s="5" t="s">
        <v>765</v>
      </c>
    </row>
    <row r="8089" customFormat="false" ht="15" hidden="false" customHeight="false" outlineLevel="0" collapsed="false">
      <c r="A8089" s="5" t="s">
        <v>554</v>
      </c>
      <c r="B8089" s="0" t="s">
        <v>86</v>
      </c>
      <c r="C8089" s="38" t="n">
        <f aca="false">Q!$D$36</f>
        <v>68.614</v>
      </c>
      <c r="D8089" s="38" t="n">
        <f aca="false">Q!$E$36</f>
        <v>97.311</v>
      </c>
      <c r="E8089" s="38" t="n">
        <f aca="false">Q!$P$36</f>
        <v>120.691</v>
      </c>
      <c r="F8089" s="38" t="n">
        <f aca="false">Sens!$F$8065-Sens!$F$8086+Sens!$F$8087+Sens!$F$8088</f>
        <v>55.7063670713938</v>
      </c>
      <c r="G8089" s="38" t="n">
        <f aca="false">Sens!$E$8089+Sens!$F$8089</f>
        <v>176.397367071394</v>
      </c>
      <c r="H8089" s="38" t="n">
        <f aca="false">Sens!$H$8065-Sens!$H$8086+Sens!$H$8087+Sens!$H$8088</f>
        <v>126.207292630471</v>
      </c>
      <c r="I8089" s="38" t="n">
        <f aca="false">Sens!$I$8065-Sens!$I$8086+Sens!$I$8087+Sens!$I$8088</f>
        <v>139.60709411592</v>
      </c>
      <c r="J8089" s="38" t="n">
        <f aca="false">Sens!$J$8065-Sens!$J$8086+Sens!$J$8087+Sens!$J$8088</f>
        <v>157.172425191032</v>
      </c>
      <c r="K8089" s="38" t="n">
        <f aca="false">Sens!$K$8065-Sens!$K$8086+Sens!$K$8087+Sens!$K$8088</f>
        <v>169.941519803795</v>
      </c>
      <c r="L8089" s="38" t="n">
        <f aca="false">Sens!$L$8065-Sens!$L$8086+Sens!$L$8087+Sens!$L$8088</f>
        <v>186.006845694394</v>
      </c>
      <c r="M8089" s="38" t="n">
        <f aca="false">Sens!$M$8065-Sens!$M$8086+Sens!$M$8087+Sens!$M$8088</f>
        <v>205.501711319949</v>
      </c>
      <c r="N8089" s="38" t="n">
        <f aca="false">Q!$N$36</f>
        <v>42.536</v>
      </c>
      <c r="O8089" s="38" t="n">
        <f aca="false">Q!$O$36</f>
        <v>54.775</v>
      </c>
    </row>
    <row r="8090" customFormat="false" ht="15" hidden="false" customHeight="false" outlineLevel="0" collapsed="false">
      <c r="A8090" s="5" t="s">
        <v>555</v>
      </c>
      <c r="B8090" s="0" t="s">
        <v>86</v>
      </c>
      <c r="C8090" s="38" t="n">
        <f aca="false">Q!$D$37</f>
        <v>9.265</v>
      </c>
      <c r="D8090" s="38" t="n">
        <f aca="false">Q!$E$37</f>
        <v>19.087</v>
      </c>
      <c r="E8090" s="38" t="n">
        <f aca="false">Q!$P$37</f>
        <v>27.759</v>
      </c>
      <c r="F8090" s="38" t="n">
        <f aca="false">Sens!$F$8089*tax</f>
        <v>9.669763357865</v>
      </c>
      <c r="G8090" s="38" t="n">
        <f aca="false">Sens!$E$8090+Sens!$F$8090</f>
        <v>37.428763357865</v>
      </c>
      <c r="H8090" s="38" t="n">
        <f aca="false">Sens!$H$8089*tax</f>
        <v>21.9076331473816</v>
      </c>
      <c r="I8090" s="38" t="n">
        <f aca="false">Sens!$I$8089*tax</f>
        <v>24.2336313450491</v>
      </c>
      <c r="J8090" s="38" t="n">
        <f aca="false">Sens!$J$8089*tax</f>
        <v>27.2827010246639</v>
      </c>
      <c r="K8090" s="38" t="n">
        <f aca="false">Sens!$K$8089*tax</f>
        <v>29.4992182683994</v>
      </c>
      <c r="L8090" s="38" t="n">
        <f aca="false">Sens!$L$8089*tax</f>
        <v>32.2879102581316</v>
      </c>
      <c r="M8090" s="38" t="n">
        <f aca="false">Sens!$M$8089*tax</f>
        <v>35.671917279284</v>
      </c>
      <c r="N8090" s="38" t="n">
        <f aca="false">Q!$N$37</f>
        <v>7.231</v>
      </c>
      <c r="O8090" s="38" t="n">
        <f aca="false">Q!$O$37</f>
        <v>11.856</v>
      </c>
    </row>
    <row r="8091" customFormat="false" ht="15" hidden="false" customHeight="false" outlineLevel="0" collapsed="false">
      <c r="A8091" s="3" t="s">
        <v>556</v>
      </c>
      <c r="B8091" s="8" t="s">
        <v>86</v>
      </c>
      <c r="C8091" s="38" t="n">
        <f aca="false">Q!$D$38</f>
        <v>59.248</v>
      </c>
      <c r="D8091" s="38" t="n">
        <f aca="false">Q!$E$38</f>
        <v>77.67</v>
      </c>
      <c r="E8091" s="38" t="n">
        <f aca="false">Q!$P$38</f>
        <v>92.902</v>
      </c>
      <c r="F8091" s="38" t="n">
        <f aca="false">Sens!$F$8089-Sens!$F$8090</f>
        <v>46.0366037135288</v>
      </c>
      <c r="G8091" s="38" t="n">
        <f aca="false">Sens!$E$8091+Sens!$F$8091</f>
        <v>138.938603713529</v>
      </c>
      <c r="H8091" s="38" t="n">
        <f aca="false">Sens!$H$8089-Sens!$H$8090</f>
        <v>104.29965948309</v>
      </c>
      <c r="I8091" s="38" t="n">
        <f aca="false">Sens!$I$8089-Sens!$I$8090</f>
        <v>115.373462770871</v>
      </c>
      <c r="J8091" s="38" t="n">
        <f aca="false">Sens!$J$8089-Sens!$J$8090</f>
        <v>129.889724166368</v>
      </c>
      <c r="K8091" s="38" t="n">
        <f aca="false">Sens!$K$8089-Sens!$K$8090</f>
        <v>140.442301535395</v>
      </c>
      <c r="L8091" s="38" t="n">
        <f aca="false">Sens!$L$8089-Sens!$L$8090</f>
        <v>153.718935436262</v>
      </c>
      <c r="M8091" s="38" t="n">
        <f aca="false">Sens!$M$8089-Sens!$M$8090</f>
        <v>169.829794040665</v>
      </c>
      <c r="N8091" s="38" t="n">
        <f aca="false">Q!$N$38</f>
        <v>35.291</v>
      </c>
      <c r="O8091" s="38" t="n">
        <f aca="false">Q!$O$38</f>
        <v>42.379</v>
      </c>
    </row>
    <row r="8092" customFormat="false" ht="17.15" hidden="false" customHeight="false" outlineLevel="0" collapsed="false">
      <c r="A8092" s="5" t="s">
        <v>559</v>
      </c>
      <c r="B8092" s="5" t="s">
        <v>33</v>
      </c>
      <c r="C8092" s="22" t="n">
        <f aca="false">Q!$D$41</f>
        <v>10.721</v>
      </c>
      <c r="D8092" s="22" t="n">
        <f aca="false">Q!$E$41</f>
        <v>10.827</v>
      </c>
      <c r="E8092" s="22" t="n">
        <f aca="false">(Q!$L$41+Q!$M$41)/2</f>
        <v>10.8885</v>
      </c>
      <c r="F8092" s="22" t="n">
        <f aca="false">Sens!$G$8092</f>
        <v>10.924806</v>
      </c>
      <c r="G8092" s="22" t="n">
        <f aca="false">Q!$M$41*(1+sh_g*0.25)</f>
        <v>10.924806</v>
      </c>
      <c r="H8092" s="22" t="n">
        <f aca="false">Sens!$G$8092*(1+sh_g)</f>
        <v>11.012204448</v>
      </c>
      <c r="I8092" s="22" t="n">
        <f aca="false">Sens!$H$8092*(1+sh_g)</f>
        <v>11.100302083584</v>
      </c>
      <c r="J8092" s="22" t="n">
        <f aca="false">Sens!$I$8092*(1+sh_g)</f>
        <v>11.1891045002527</v>
      </c>
      <c r="K8092" s="22" t="n">
        <f aca="false">Sens!$J$8092*(1+sh_g)</f>
        <v>11.2786173362547</v>
      </c>
      <c r="L8092" s="22" t="n">
        <f aca="false">Sens!$K$8092*(1+sh_g)</f>
        <v>11.3688462749447</v>
      </c>
      <c r="M8092" s="22" t="n">
        <f aca="false">Sens!$L$8092*(1+sh_g)</f>
        <v>11.4597970451443</v>
      </c>
      <c r="P8092" s="5" t="s">
        <v>766</v>
      </c>
    </row>
    <row r="8093" customFormat="false" ht="17.15" hidden="false" customHeight="false" outlineLevel="0" collapsed="false">
      <c r="A8093" s="5" t="s">
        <v>767</v>
      </c>
      <c r="B8093" s="0" t="s">
        <v>86</v>
      </c>
      <c r="C8093" s="38" t="n">
        <f aca="false">Sens!$C$8091+Sens!$C$8067*(1-tax)</f>
        <v>59.248</v>
      </c>
      <c r="D8093" s="38" t="n">
        <f aca="false">Sens!$D$8091+Sens!$D$8067*(1-tax)</f>
        <v>77.67</v>
      </c>
      <c r="E8093" s="38" t="n">
        <f aca="false">Sens!$E$8091+Sens!$E$8067*(1-tax)</f>
        <v>92.902</v>
      </c>
      <c r="F8093" s="38" t="n">
        <f aca="false">Sens!$F$8091+Sens!$F$8067*(1-tax)</f>
        <v>49.1531986731775</v>
      </c>
      <c r="G8093" s="38" t="n">
        <f aca="false">Sens!$G$8091+Sens!$G$8067*(1-tax)</f>
        <v>142.055198673178</v>
      </c>
      <c r="H8093" s="38" t="n">
        <f aca="false">Sens!$H$8091+Sens!$H$8067*(1-tax)</f>
        <v>116.831055438434</v>
      </c>
      <c r="I8093" s="38" t="n">
        <f aca="false">Sens!$I$8091+Sens!$I$8067*(1-tax)</f>
        <v>136.514727845811</v>
      </c>
      <c r="J8093" s="38" t="n">
        <f aca="false">Sens!$J$8091+Sens!$J$8067*(1-tax)</f>
        <v>159.679161110652</v>
      </c>
      <c r="K8093" s="38" t="n">
        <f aca="false">Sens!$K$8091+Sens!$K$8067*(1-tax)</f>
        <v>177.609607232054</v>
      </c>
      <c r="L8093" s="38" t="n">
        <f aca="false">Sens!$L$8091+Sens!$L$8067*(1-tax)</f>
        <v>195.735012776818</v>
      </c>
      <c r="M8093" s="38" t="n">
        <f aca="false">Sens!$M$8091+Sens!$M$8067*(1-tax)</f>
        <v>214.159316231505</v>
      </c>
      <c r="N8093" s="38" t="n">
        <f aca="false">Sens!$N$8091+Sens!$N$8067*(1-tax)</f>
        <v>35.291</v>
      </c>
      <c r="O8093" s="38" t="n">
        <f aca="false">Sens!$O$8091+Sens!$O$8067*(1-tax)</f>
        <v>42.379</v>
      </c>
    </row>
    <row r="8094" customFormat="false" ht="17.15" hidden="false" customHeight="false" outlineLevel="0" collapsed="false">
      <c r="A8094" s="43" t="s">
        <v>768</v>
      </c>
      <c r="B8094" s="14" t="s">
        <v>27</v>
      </c>
      <c r="C8094" s="44" t="n">
        <f aca="false">Sens!$C$8093/Sens!$C$8092</f>
        <v>5.52635015390355</v>
      </c>
      <c r="D8094" s="44" t="n">
        <f aca="false">Sens!$D$8093/Sens!$D$8092</f>
        <v>7.1737323358271</v>
      </c>
      <c r="E8094" s="44" t="n">
        <f aca="false">Sens!$E$8093/Sens!$E$8092</f>
        <v>8.53212104513937</v>
      </c>
      <c r="F8094" s="14"/>
      <c r="G8094" s="44" t="n">
        <f aca="false">Sens!$G$8093/Sens!$G$8092</f>
        <v>13.0029950804781</v>
      </c>
      <c r="H8094" s="44" t="n">
        <f aca="false">Sens!$H$8093/Sens!$H$8092</f>
        <v>10.6092341447268</v>
      </c>
      <c r="I8094" s="44" t="n">
        <f aca="false">Sens!$I$8093/Sens!$I$8092</f>
        <v>12.298289435537</v>
      </c>
      <c r="J8094" s="44" t="n">
        <f aca="false">Sens!$J$8093/Sens!$J$8092</f>
        <v>14.2709509154236</v>
      </c>
      <c r="K8094" s="44" t="n">
        <f aca="false">Sens!$K$8093/Sens!$K$8092</f>
        <v>15.7474628260624</v>
      </c>
      <c r="L8094" s="44" t="n">
        <f aca="false">Sens!$L$8093/Sens!$L$8092</f>
        <v>17.2167877059072</v>
      </c>
      <c r="M8094" s="44" t="n">
        <f aca="false">Sens!$M$8093/Sens!$M$8092</f>
        <v>18.6878803688978</v>
      </c>
      <c r="N8094" s="14"/>
      <c r="O8094" s="14"/>
    </row>
    <row r="8095" customFormat="false" ht="17.15" hidden="false" customHeight="false" outlineLevel="0" collapsed="false">
      <c r="A8095" s="0" t="s">
        <v>769</v>
      </c>
      <c r="B8095" s="0" t="s">
        <v>27</v>
      </c>
      <c r="C8095" s="30" t="n">
        <f aca="false">Sens!$C$8091/Sens!$C$8092</f>
        <v>5.52635015390355</v>
      </c>
      <c r="D8095" s="30" t="n">
        <f aca="false">Sens!$D$8091/Sens!$D$8092</f>
        <v>7.1737323358271</v>
      </c>
      <c r="E8095" s="30" t="n">
        <f aca="false">Sens!$E$8091/Sens!$E$8092</f>
        <v>8.53212104513937</v>
      </c>
      <c r="G8095" s="30" t="n">
        <f aca="false">Sens!$G$8091/Sens!$G$8092</f>
        <v>12.7177181648378</v>
      </c>
      <c r="H8095" s="30" t="n">
        <f aca="false">Sens!$H$8091/Sens!$H$8092</f>
        <v>9.47127888658407</v>
      </c>
      <c r="I8095" s="30" t="n">
        <f aca="false">Sens!$I$8091/Sens!$I$8092</f>
        <v>10.3937227925981</v>
      </c>
      <c r="J8095" s="30" t="n">
        <f aca="false">Sens!$J$8091/Sens!$J$8092</f>
        <v>11.6085897815536</v>
      </c>
      <c r="K8095" s="30" t="n">
        <f aca="false">Sens!$K$8091/Sens!$K$8092</f>
        <v>12.4520849806606</v>
      </c>
      <c r="L8095" s="30" t="n">
        <f aca="false">Sens!$L$8091/Sens!$L$8092</f>
        <v>13.5210672849924</v>
      </c>
      <c r="M8095" s="30" t="n">
        <f aca="false">Sens!$M$8091/Sens!$M$8092</f>
        <v>14.8196162088773</v>
      </c>
    </row>
    <row r="8096" customFormat="false" ht="17.15" hidden="false" customHeight="false" outlineLevel="0" collapsed="false">
      <c r="A8096" s="0" t="s">
        <v>770</v>
      </c>
      <c r="B8096" s="0" t="s">
        <v>27</v>
      </c>
      <c r="C8096" s="30" t="n">
        <f aca="false">(Sens!$C$8091-Sens!$C$8088*(1-tax))/Sens!$C$8092</f>
        <v>5.33926775917445</v>
      </c>
      <c r="D8096" s="30" t="n">
        <f aca="false">(Sens!$D$8091-Sens!$D$8088*(1-tax))/Sens!$D$8092</f>
        <v>5.67691812755503</v>
      </c>
      <c r="E8096" s="30" t="n">
        <f aca="false">(Sens!$E$8091-Sens!$E$8088*(1-tax))/Sens!$E$8092</f>
        <v>3.10602057006846</v>
      </c>
      <c r="G8096" s="30" t="n">
        <f aca="false">(Sens!$G$8091-Sens!$G$8088*(1-tax))/Sens!$G$8092</f>
        <v>7.30965004694081</v>
      </c>
      <c r="H8096" s="30" t="n">
        <f aca="false">(Sens!$H$8091-Sens!$H$8088*(1-tax))/Sens!$H$8092</f>
        <v>9.47127888658407</v>
      </c>
      <c r="I8096" s="30" t="n">
        <f aca="false">(Sens!$I$8091-Sens!$I$8088*(1-tax))/Sens!$I$8092</f>
        <v>10.3937227925981</v>
      </c>
      <c r="J8096" s="30" t="n">
        <f aca="false">(Sens!$J$8091-Sens!$J$8088*(1-tax))/Sens!$J$8092</f>
        <v>11.6085897815536</v>
      </c>
      <c r="K8096" s="30" t="n">
        <f aca="false">(Sens!$K$8091-Sens!$K$8088*(1-tax))/Sens!$K$8092</f>
        <v>12.4520849806606</v>
      </c>
      <c r="L8096" s="30" t="n">
        <f aca="false">(Sens!$L$8091-Sens!$L$8088*(1-tax))/Sens!$L$8092</f>
        <v>13.5210672849924</v>
      </c>
      <c r="M8096" s="30" t="n">
        <f aca="false">(Sens!$M$8091-Sens!$M$8088*(1-tax))/Sens!$M$8092</f>
        <v>14.8196162088773</v>
      </c>
      <c r="P8096" s="5" t="s">
        <v>771</v>
      </c>
    </row>
    <row r="8097" customFormat="false" ht="17.15" hidden="false" customHeight="false" outlineLevel="0" collapsed="false">
      <c r="A8097" s="0" t="s">
        <v>772</v>
      </c>
      <c r="B8097" s="0" t="s">
        <v>52</v>
      </c>
      <c r="H8097" s="13" t="n">
        <f aca="false">Sens!$H$8094/Sens!$G$8094-1</f>
        <v>-0.184093043251635</v>
      </c>
      <c r="I8097" s="13" t="n">
        <f aca="false">Sens!$I$8094/Sens!$H$8094-1</f>
        <v>0.159206147000695</v>
      </c>
      <c r="J8097" s="13" t="n">
        <f aca="false">Sens!$J$8094/Sens!$I$8094-1</f>
        <v>0.160401289157047</v>
      </c>
      <c r="K8097" s="13" t="n">
        <f aca="false">Sens!$K$8094/Sens!$J$8094-1</f>
        <v>0.103462755873053</v>
      </c>
      <c r="L8097" s="13" t="n">
        <f aca="false">Sens!$L$8094/Sens!$K$8094-1</f>
        <v>0.093305499182575</v>
      </c>
      <c r="M8097" s="13" t="n">
        <f aca="false">Sens!$M$8094/Sens!$L$8094-1</f>
        <v>0.0854452461236912</v>
      </c>
    </row>
    <row r="8100" customFormat="false" ht="19.4" hidden="false" customHeight="false" outlineLevel="0" collapsed="false">
      <c r="A8100" s="31" t="s">
        <v>1315</v>
      </c>
    </row>
    <row r="8101" customFormat="false" ht="17.15" hidden="false" customHeight="false" outlineLevel="0" collapsed="false">
      <c r="A8101" s="6" t="s">
        <v>16</v>
      </c>
      <c r="B8101" s="6" t="s">
        <v>17</v>
      </c>
      <c r="C8101" s="20" t="s">
        <v>504</v>
      </c>
      <c r="D8101" s="20" t="s">
        <v>505</v>
      </c>
      <c r="E8101" s="20" t="s">
        <v>587</v>
      </c>
      <c r="F8101" s="20" t="s">
        <v>588</v>
      </c>
      <c r="G8101" s="20" t="s">
        <v>589</v>
      </c>
      <c r="H8101" s="20" t="s">
        <v>590</v>
      </c>
      <c r="I8101" s="20" t="s">
        <v>591</v>
      </c>
      <c r="J8101" s="20" t="s">
        <v>592</v>
      </c>
      <c r="K8101" s="20" t="s">
        <v>593</v>
      </c>
      <c r="L8101" s="20" t="s">
        <v>594</v>
      </c>
      <c r="M8101" s="20" t="s">
        <v>595</v>
      </c>
      <c r="N8101" s="20" t="s">
        <v>596</v>
      </c>
      <c r="O8101" s="20" t="s">
        <v>597</v>
      </c>
      <c r="P8101" s="6" t="s">
        <v>23</v>
      </c>
      <c r="R8101" s="20" t="n">
        <v>2023</v>
      </c>
      <c r="S8101" s="20" t="n">
        <v>2024</v>
      </c>
      <c r="T8101" s="20" t="n">
        <v>2025</v>
      </c>
      <c r="U8101" s="20" t="n">
        <v>2026</v>
      </c>
      <c r="V8101" s="20" t="n">
        <v>2027</v>
      </c>
      <c r="W8101" s="20" t="n">
        <v>2028</v>
      </c>
      <c r="X8101" s="20" t="n">
        <v>2029</v>
      </c>
      <c r="Y8101" s="20" t="n">
        <v>2030</v>
      </c>
      <c r="Z8101" s="20" t="n">
        <v>2031</v>
      </c>
      <c r="AA8101" s="20" t="n">
        <v>2032</v>
      </c>
    </row>
    <row r="8102" customFormat="false" ht="15" hidden="false" customHeight="false" outlineLevel="0" collapsed="false">
      <c r="A8102" s="5" t="s">
        <v>556</v>
      </c>
      <c r="B8102" s="0" t="s">
        <v>86</v>
      </c>
      <c r="C8102" s="38" t="n">
        <f aca="false">Sens!$C$8091</f>
        <v>59.248</v>
      </c>
      <c r="D8102" s="38" t="n">
        <f aca="false">Sens!$D$8091</f>
        <v>77.67</v>
      </c>
      <c r="E8102" s="38" t="n">
        <f aca="false">Sens!$E$8091</f>
        <v>92.902</v>
      </c>
      <c r="F8102" s="38" t="n">
        <f aca="false">Sens!$F$8091</f>
        <v>46.0366037135288</v>
      </c>
      <c r="G8102" s="38" t="n">
        <f aca="false">Sens!$G$8091</f>
        <v>138.938603713529</v>
      </c>
      <c r="H8102" s="38" t="n">
        <f aca="false">Sens!$H$8091</f>
        <v>104.29965948309</v>
      </c>
      <c r="I8102" s="38" t="n">
        <f aca="false">Sens!$I$8091</f>
        <v>115.373462770871</v>
      </c>
      <c r="J8102" s="38" t="n">
        <f aca="false">Sens!$J$8091</f>
        <v>129.889724166368</v>
      </c>
      <c r="K8102" s="38" t="n">
        <f aca="false">Sens!$K$8091</f>
        <v>140.442301535395</v>
      </c>
      <c r="L8102" s="38" t="n">
        <f aca="false">Sens!$L$8091</f>
        <v>153.718935436262</v>
      </c>
      <c r="M8102" s="38" t="n">
        <f aca="false">Sens!$M$8091</f>
        <v>169.829794040665</v>
      </c>
    </row>
    <row r="8103" customFormat="false" ht="17.15" hidden="false" customHeight="false" outlineLevel="0" collapsed="false">
      <c r="A8103" s="5" t="s">
        <v>795</v>
      </c>
      <c r="B8103" s="0" t="s">
        <v>86</v>
      </c>
      <c r="C8103" s="38" t="n">
        <f aca="false">Sens!$C$8079</f>
        <v>32.067</v>
      </c>
      <c r="D8103" s="38" t="n">
        <f aca="false">Sens!$D$8079</f>
        <v>41.86</v>
      </c>
      <c r="E8103" s="38" t="n">
        <f aca="false">Sens!$E$8079</f>
        <v>26.703</v>
      </c>
      <c r="F8103" s="38" t="n">
        <f aca="false">Sens!$F$8079</f>
        <v>29.152860869477</v>
      </c>
      <c r="G8103" s="38" t="n">
        <f aca="false">Sens!$G$8079</f>
        <v>55.855860869477</v>
      </c>
      <c r="H8103" s="38" t="n">
        <f aca="false">Sens!$H$8079</f>
        <v>81.5618233196153</v>
      </c>
      <c r="I8103" s="38" t="n">
        <f aca="false">Sens!$I$8079</f>
        <v>118.756208740204</v>
      </c>
      <c r="J8103" s="38" t="n">
        <f aca="false">Sens!$J$8079</f>
        <v>152.469489406791</v>
      </c>
      <c r="K8103" s="38" t="n">
        <f aca="false">Sens!$K$8079</f>
        <v>186.391502623819</v>
      </c>
      <c r="L8103" s="38" t="n">
        <f aca="false">Sens!$L$8079</f>
        <v>211.926422215482</v>
      </c>
      <c r="M8103" s="38" t="n">
        <f aca="false">Sens!$M$8079</f>
        <v>229.012482097906</v>
      </c>
    </row>
    <row r="8104" customFormat="false" ht="15" hidden="false" customHeight="false" outlineLevel="0" collapsed="false">
      <c r="A8104" s="5" t="s">
        <v>796</v>
      </c>
      <c r="B8104" s="0" t="s">
        <v>86</v>
      </c>
      <c r="C8104" s="38" t="n">
        <f aca="false">Q!$D$48</f>
        <v>22.011</v>
      </c>
      <c r="D8104" s="38" t="n">
        <f aca="false">Q!$E$48</f>
        <v>19.467</v>
      </c>
      <c r="E8104" s="38" t="n">
        <f aca="false">Q!$P$48</f>
        <v>10.07</v>
      </c>
      <c r="F8104" s="38" t="n">
        <f aca="false">sbc_r*Sens!$F$8021</f>
        <v>10.8507035798037</v>
      </c>
      <c r="G8104" s="38" t="n">
        <f aca="false">Sens!$E$8104+Sens!$F$8104</f>
        <v>20.9207035798037</v>
      </c>
      <c r="H8104" s="38" t="n">
        <f aca="false">sbc_r*Sens!$H$8021</f>
        <v>23.46224366345</v>
      </c>
      <c r="I8104" s="38" t="n">
        <f aca="false">sbc_r*Sens!$I$8021</f>
        <v>26.6125957111676</v>
      </c>
      <c r="J8104" s="38" t="n">
        <f aca="false">sbc_r*Sens!$J$8021</f>
        <v>29.6280801413323</v>
      </c>
      <c r="K8104" s="38" t="n">
        <f aca="false">sbc_r*Sens!$K$8021</f>
        <v>32.2712258901105</v>
      </c>
      <c r="L8104" s="38" t="n">
        <f aca="false">sbc_r*Sens!$L$8021</f>
        <v>34.7390505016737</v>
      </c>
      <c r="M8104" s="38" t="n">
        <f aca="false">sbc_r*Sens!$M$8021</f>
        <v>37.0405146906692</v>
      </c>
    </row>
    <row r="8105" customFormat="false" ht="17.15" hidden="false" customHeight="false" outlineLevel="0" collapsed="false">
      <c r="A8105" s="5" t="s">
        <v>797</v>
      </c>
      <c r="B8105" s="0" t="s">
        <v>86</v>
      </c>
      <c r="C8105" s="38" t="n">
        <f aca="false">Q!$D$44-Sens!$C$8102-Sens!$C$8103-Sens!$C$8104</f>
        <v>2.551</v>
      </c>
      <c r="D8105" s="38" t="n">
        <f aca="false">Q!$E$44-Sens!$D$8102-Sens!$D$8103-Sens!$D$8104</f>
        <v>0.51700000000001</v>
      </c>
      <c r="E8105" s="38" t="n">
        <f aca="false">Q!$P$44-Sens!$E$8102-Sens!$E$8103-Sens!$E$8104</f>
        <v>-58.256</v>
      </c>
      <c r="F8105" s="38" t="n">
        <f aca="false">oth_r*Sens!$F$8021</f>
        <v>5.22265251035878</v>
      </c>
      <c r="G8105" s="38" t="n">
        <f aca="false">Sens!$E$8105+Sens!$F$8105</f>
        <v>-53.0333474896412</v>
      </c>
      <c r="H8105" s="38" t="n">
        <f aca="false">oth_r*Sens!$H$8021</f>
        <v>11.2928295263397</v>
      </c>
      <c r="I8105" s="38" t="n">
        <f aca="false">oth_r*Sens!$I$8021</f>
        <v>12.8091546115766</v>
      </c>
      <c r="J8105" s="38" t="n">
        <f aca="false">oth_r*Sens!$J$8021</f>
        <v>14.2605653162668</v>
      </c>
      <c r="K8105" s="38" t="n">
        <f aca="false">oth_r*Sens!$K$8021</f>
        <v>15.5327622460396</v>
      </c>
      <c r="L8105" s="38" t="n">
        <f aca="false">oth_r*Sens!$L$8021</f>
        <v>16.720573737517</v>
      </c>
      <c r="M8105" s="38" t="n">
        <f aca="false">oth_r*Sens!$M$8021</f>
        <v>17.8283127551536</v>
      </c>
      <c r="P8105" s="8" t="s">
        <v>798</v>
      </c>
    </row>
    <row r="8106" customFormat="false" ht="15" hidden="false" customHeight="false" outlineLevel="0" collapsed="false">
      <c r="A8106" s="3" t="s">
        <v>562</v>
      </c>
      <c r="B8106" s="8" t="s">
        <v>86</v>
      </c>
      <c r="C8106" s="38" t="n">
        <f aca="false">Q!$D$44</f>
        <v>115.877</v>
      </c>
      <c r="D8106" s="38" t="n">
        <f aca="false">Q!$E$44</f>
        <v>139.514</v>
      </c>
      <c r="E8106" s="38" t="n">
        <f aca="false">Q!$P$44</f>
        <v>71.419</v>
      </c>
      <c r="F8106" s="38" t="n">
        <f aca="false">Sens!$F$8102+Sens!$F$8103+Sens!$F$8104+Sens!$F$8105</f>
        <v>91.2628206731683</v>
      </c>
      <c r="G8106" s="38" t="n">
        <f aca="false">Sens!$E$8106+Sens!$F$8106</f>
        <v>162.681820673168</v>
      </c>
      <c r="H8106" s="38" t="n">
        <f aca="false">Sens!$H$8102+Sens!$H$8103+Sens!$H$8104+Sens!$H$8105</f>
        <v>220.616555992495</v>
      </c>
      <c r="I8106" s="38" t="n">
        <f aca="false">Sens!$I$8102+Sens!$I$8103+Sens!$I$8104+Sens!$I$8105</f>
        <v>273.55142183382</v>
      </c>
      <c r="J8106" s="38" t="n">
        <f aca="false">Sens!$J$8102+Sens!$J$8103+Sens!$J$8104+Sens!$J$8105</f>
        <v>326.247859030758</v>
      </c>
      <c r="K8106" s="38" t="n">
        <f aca="false">Sens!$K$8102+Sens!$K$8103+Sens!$K$8104+Sens!$K$8105</f>
        <v>374.637792295364</v>
      </c>
      <c r="L8106" s="38" t="n">
        <f aca="false">Sens!$L$8102+Sens!$L$8103+Sens!$L$8104+Sens!$L$8105</f>
        <v>417.104981890935</v>
      </c>
      <c r="M8106" s="38" t="n">
        <f aca="false">Sens!$M$8102+Sens!$M$8103+Sens!$M$8104+Sens!$M$8105</f>
        <v>453.711103584394</v>
      </c>
    </row>
    <row r="8107" customFormat="false" ht="17.15" hidden="false" customHeight="false" outlineLevel="0" collapsed="false">
      <c r="A8107" s="5" t="s">
        <v>799</v>
      </c>
      <c r="B8107" s="0" t="s">
        <v>86</v>
      </c>
      <c r="C8107" s="38" t="n">
        <f aca="false">Sens!$C$7985</f>
        <v>25.2781053077374</v>
      </c>
      <c r="D8107" s="38" t="n">
        <f aca="false">Sens!$D$7985</f>
        <v>69.5686316310026</v>
      </c>
      <c r="E8107" s="38" t="n">
        <f aca="false">Sens!$E$7985</f>
        <v>64.1899206485108</v>
      </c>
      <c r="F8107" s="38" t="n">
        <f aca="false">Sens!$F$7985</f>
        <v>88.7165504612134</v>
      </c>
      <c r="G8107" s="38" t="n">
        <f aca="false">Sens!$G$7985</f>
        <v>152.906471109724</v>
      </c>
      <c r="H8107" s="38" t="n">
        <f aca="false">Sens!$H$7985</f>
        <v>198.57136494475</v>
      </c>
      <c r="I8107" s="38" t="n">
        <f aca="false">Sens!$I$7985</f>
        <v>204.6464699105</v>
      </c>
      <c r="J8107" s="38" t="n">
        <f aca="false">Sens!$J$7985</f>
        <v>209.8832381105</v>
      </c>
      <c r="K8107" s="38" t="n">
        <f aca="false">Sens!$K$7985</f>
        <v>155.238385275201</v>
      </c>
      <c r="L8107" s="38" t="n">
        <f aca="false">Sens!$L$7985</f>
        <v>132.014141639902</v>
      </c>
      <c r="M8107" s="38" t="n">
        <f aca="false">Sens!$M$7985</f>
        <v>132.230981659852</v>
      </c>
    </row>
    <row r="8108" customFormat="false" ht="17.15" hidden="false" customHeight="false" outlineLevel="0" collapsed="false">
      <c r="A8108" s="5" t="s">
        <v>800</v>
      </c>
      <c r="B8108" s="0" t="s">
        <v>86</v>
      </c>
      <c r="C8108" s="38" t="n">
        <f aca="false">cx_awso*Sens!$C$8019</f>
        <v>21.0469989286053</v>
      </c>
      <c r="D8108" s="38" t="n">
        <f aca="false">cx_awso*Sens!$D$8019</f>
        <v>24.0042459822698</v>
      </c>
      <c r="E8108" s="38" t="n">
        <f aca="false">cx_awso*Sens!$E$8019</f>
        <v>14.261729404886</v>
      </c>
      <c r="F8108" s="38" t="n">
        <f aca="false">cx_awso*Sens!$F$8019</f>
        <v>14.3538599588493</v>
      </c>
      <c r="G8108" s="38" t="n">
        <f aca="false">Sens!$E$8108+Sens!$F$8108</f>
        <v>28.6155893637353</v>
      </c>
      <c r="H8108" s="38" t="n">
        <f aca="false">cx_awso*Sens!$H$8019</f>
        <v>32.2034154158406</v>
      </c>
      <c r="I8108" s="38" t="n">
        <f aca="false">cx_awso*Sens!$I$8019</f>
        <v>35.7539519042915</v>
      </c>
      <c r="J8108" s="38" t="n">
        <f aca="false">cx_awso*Sens!$J$8019</f>
        <v>39.1551076091815</v>
      </c>
      <c r="K8108" s="38" t="n">
        <f aca="false">cx_awso*Sens!$K$8019</f>
        <v>42.287516217916</v>
      </c>
      <c r="L8108" s="38" t="n">
        <f aca="false">cx_awso*Sens!$L$8019</f>
        <v>45.6705175153492</v>
      </c>
      <c r="M8108" s="38" t="n">
        <f aca="false">cx_awso*Sens!$M$8019</f>
        <v>49.3241589165772</v>
      </c>
    </row>
    <row r="8109" customFormat="false" ht="17.15" hidden="false" customHeight="false" outlineLevel="0" collapsed="false">
      <c r="A8109" s="5" t="s">
        <v>801</v>
      </c>
      <c r="B8109" s="0" t="s">
        <v>86</v>
      </c>
      <c r="C8109" s="38" t="n">
        <f aca="false">Q!$D$46-Sens!$C$8107-Sens!$C$8108</f>
        <v>31.3328957636573</v>
      </c>
      <c r="D8109" s="38" t="n">
        <f aca="false">Q!$E$46-Sens!$D$8107-Sens!$D$8108</f>
        <v>34.7471223867276</v>
      </c>
      <c r="E8109" s="38" t="n">
        <f aca="false">Q!$P$46-Sens!$E$8107-Sens!$E$8108</f>
        <v>17.8583499466032</v>
      </c>
      <c r="F8109" s="38" t="n">
        <f aca="false">cx_rt*Sens!$F$7948</f>
        <v>20.6195895799373</v>
      </c>
      <c r="G8109" s="38" t="n">
        <f aca="false">Sens!$E$8109+Sens!$F$8109</f>
        <v>38.4779395265405</v>
      </c>
      <c r="H8109" s="38" t="n">
        <f aca="false">cx_rt*Sens!$H$7948</f>
        <v>42.5978994743075</v>
      </c>
      <c r="I8109" s="38" t="n">
        <f aca="false">cx_rt*Sens!$I$7948</f>
        <v>46.5813904136335</v>
      </c>
      <c r="J8109" s="38" t="n">
        <f aca="false">cx_rt*Sens!$J$7948</f>
        <v>50.2781676586844</v>
      </c>
      <c r="K8109" s="38" t="n">
        <f aca="false">cx_rt*Sens!$K$7948</f>
        <v>53.5312440191755</v>
      </c>
      <c r="L8109" s="38" t="n">
        <f aca="false">cx_rt*Sens!$L$7948</f>
        <v>57.0116717051447</v>
      </c>
      <c r="M8109" s="38" t="n">
        <f aca="false">cx_rt*Sens!$M$7948</f>
        <v>60.7365554669226</v>
      </c>
    </row>
    <row r="8110" customFormat="false" ht="15" hidden="false" customHeight="false" outlineLevel="0" collapsed="false">
      <c r="A8110" s="3" t="s">
        <v>802</v>
      </c>
      <c r="B8110" s="8" t="s">
        <v>86</v>
      </c>
      <c r="C8110" s="38" t="n">
        <f aca="false">Q!$D$46</f>
        <v>77.658</v>
      </c>
      <c r="D8110" s="38" t="n">
        <f aca="false">Q!$E$46</f>
        <v>128.32</v>
      </c>
      <c r="E8110" s="38" t="n">
        <f aca="false">Q!$P$46</f>
        <v>96.31</v>
      </c>
      <c r="F8110" s="38" t="n">
        <f aca="false">Sens!$F$8107+Sens!$F$8108+Sens!$F$8109</f>
        <v>123.69</v>
      </c>
      <c r="G8110" s="38" t="n">
        <f aca="false">Sens!$E$8110+Sens!$F$8110</f>
        <v>220</v>
      </c>
      <c r="H8110" s="38" t="n">
        <f aca="false">Sens!$H$8107+Sens!$H$8108+Sens!$H$8109</f>
        <v>273.372679834898</v>
      </c>
      <c r="I8110" s="38" t="n">
        <f aca="false">Sens!$I$8107+Sens!$I$8108+Sens!$I$8109</f>
        <v>286.981812228425</v>
      </c>
      <c r="J8110" s="38" t="n">
        <f aca="false">Sens!$J$8107+Sens!$J$8108+Sens!$J$8109</f>
        <v>299.316513378366</v>
      </c>
      <c r="K8110" s="38" t="n">
        <f aca="false">Sens!$K$8107+Sens!$K$8108+Sens!$K$8109</f>
        <v>251.057145512292</v>
      </c>
      <c r="L8110" s="38" t="n">
        <f aca="false">Sens!$L$8107+Sens!$L$8108+Sens!$L$8109</f>
        <v>234.696330860396</v>
      </c>
      <c r="M8110" s="38" t="n">
        <f aca="false">Sens!$M$8107+Sens!$M$8108+Sens!$M$8109</f>
        <v>242.291696043352</v>
      </c>
    </row>
    <row r="8111" customFormat="false" ht="17.15" hidden="false" customHeight="false" outlineLevel="0" collapsed="false">
      <c r="A8111" s="5" t="s">
        <v>570</v>
      </c>
      <c r="B8111" s="0" t="s">
        <v>86</v>
      </c>
      <c r="C8111" s="38" t="n">
        <f aca="false">Q!$D$50</f>
        <v>2.043</v>
      </c>
      <c r="D8111" s="38" t="n">
        <f aca="false">Q!$E$50</f>
        <v>1.557</v>
      </c>
      <c r="E8111" s="38" t="n">
        <f aca="false">lease_pr/2</f>
        <v>0.8</v>
      </c>
      <c r="F8111" s="38" t="n">
        <f aca="false">lease_pr/2</f>
        <v>0.8</v>
      </c>
      <c r="G8111" s="38" t="n">
        <f aca="false">Sens!$E$8111+Sens!$F$8111</f>
        <v>1.6</v>
      </c>
      <c r="H8111" s="38" t="n">
        <f aca="false">lease_pr</f>
        <v>1.6</v>
      </c>
      <c r="I8111" s="38" t="n">
        <f aca="false">lease_pr</f>
        <v>1.6</v>
      </c>
      <c r="J8111" s="38" t="n">
        <f aca="false">lease_pr</f>
        <v>1.6</v>
      </c>
      <c r="K8111" s="38" t="n">
        <f aca="false">lease_pr</f>
        <v>1.6</v>
      </c>
      <c r="L8111" s="38" t="n">
        <f aca="false">lease_pr</f>
        <v>1.6</v>
      </c>
      <c r="M8111" s="38" t="n">
        <f aca="false">lease_pr</f>
        <v>1.6</v>
      </c>
      <c r="P8111" s="8" t="s">
        <v>803</v>
      </c>
    </row>
    <row r="8112" customFormat="false" ht="15" hidden="false" customHeight="false" outlineLevel="0" collapsed="false">
      <c r="A8112" s="47" t="s">
        <v>804</v>
      </c>
      <c r="B8112" s="14" t="s">
        <v>86</v>
      </c>
      <c r="C8112" s="48" t="n">
        <f aca="false">Sens!$C$8106-Sens!$C$8110-Sens!$C$8111</f>
        <v>36.176</v>
      </c>
      <c r="D8112" s="48" t="n">
        <f aca="false">Sens!$D$8106-Sens!$D$8110-Sens!$D$8111</f>
        <v>9.63700000000002</v>
      </c>
      <c r="E8112" s="48" t="n">
        <f aca="false">Sens!$E$8106-Sens!$E$8110-Sens!$E$8111</f>
        <v>-25.691</v>
      </c>
      <c r="F8112" s="48" t="n">
        <f aca="false">Sens!$F$8106-Sens!$F$8110-Sens!$F$8111</f>
        <v>-33.2271793268317</v>
      </c>
      <c r="G8112" s="48" t="n">
        <f aca="false">Sens!$G$8106-Sens!$G$8110-Sens!$G$8111</f>
        <v>-58.9181793268317</v>
      </c>
      <c r="H8112" s="48" t="n">
        <f aca="false">Sens!$H$8106-Sens!$H$8110-Sens!$H$8111</f>
        <v>-54.3561238424036</v>
      </c>
      <c r="I8112" s="48" t="n">
        <f aca="false">Sens!$I$8106-Sens!$I$8110-Sens!$I$8111</f>
        <v>-15.0303903946055</v>
      </c>
      <c r="J8112" s="48" t="n">
        <f aca="false">Sens!$J$8106-Sens!$J$8110-Sens!$J$8111</f>
        <v>25.3313456523922</v>
      </c>
      <c r="K8112" s="48" t="n">
        <f aca="false">Sens!$K$8106-Sens!$K$8110-Sens!$K$8111</f>
        <v>121.980646783072</v>
      </c>
      <c r="L8112" s="48" t="n">
        <f aca="false">Sens!$L$8106-Sens!$L$8110-Sens!$L$8111</f>
        <v>180.80865103054</v>
      </c>
      <c r="M8112" s="48" t="n">
        <f aca="false">Sens!$M$8106-Sens!$M$8110-Sens!$M$8111</f>
        <v>209.819407541041</v>
      </c>
      <c r="N8112" s="14"/>
      <c r="O8112" s="14"/>
    </row>
    <row r="8113" customFormat="false" ht="17.15" hidden="false" customHeight="false" outlineLevel="0" collapsed="false">
      <c r="A8113" s="5" t="s">
        <v>805</v>
      </c>
      <c r="B8113" s="0" t="s">
        <v>86</v>
      </c>
      <c r="C8113" s="38" t="n">
        <f aca="false">dps*Sens!$C$8092</f>
        <v>0</v>
      </c>
      <c r="D8113" s="38" t="n">
        <f aca="false">dps*Sens!$D$8092</f>
        <v>0</v>
      </c>
      <c r="E8113" s="38" t="n">
        <f aca="false">dps*Sens!$E$8092</f>
        <v>0</v>
      </c>
      <c r="F8113" s="38" t="n">
        <f aca="false">0</f>
        <v>0</v>
      </c>
      <c r="G8113" s="38" t="n">
        <f aca="false">dps*Sens!$G$8092</f>
        <v>0</v>
      </c>
      <c r="H8113" s="38" t="n">
        <f aca="false">dps*Sens!$H$8092</f>
        <v>0</v>
      </c>
      <c r="I8113" s="38" t="n">
        <f aca="false">dps*Sens!$I$8092</f>
        <v>0</v>
      </c>
      <c r="J8113" s="38" t="n">
        <f aca="false">dps*Sens!$J$8092</f>
        <v>0</v>
      </c>
      <c r="K8113" s="38" t="n">
        <f aca="false">dps*Sens!$K$8092</f>
        <v>0</v>
      </c>
      <c r="L8113" s="38" t="n">
        <f aca="false">dps*Sens!$L$8092</f>
        <v>0</v>
      </c>
      <c r="M8113" s="38" t="n">
        <f aca="false">dps*Sens!$M$8092</f>
        <v>0</v>
      </c>
      <c r="P8113" s="8" t="s">
        <v>806</v>
      </c>
    </row>
    <row r="8114" customFormat="false" ht="17.15" hidden="false" customHeight="false" outlineLevel="0" collapsed="false">
      <c r="A8114" s="5" t="s">
        <v>807</v>
      </c>
      <c r="B8114" s="0" t="s">
        <v>86</v>
      </c>
      <c r="C8114" s="38" t="n">
        <f aca="false">0</f>
        <v>0</v>
      </c>
      <c r="D8114" s="38" t="n">
        <f aca="false">0</f>
        <v>0</v>
      </c>
      <c r="E8114" s="38" t="n">
        <f aca="false">0</f>
        <v>0</v>
      </c>
      <c r="F8114" s="38" t="n">
        <f aca="false">0</f>
        <v>0</v>
      </c>
      <c r="G8114" s="38" t="n">
        <f aca="false">0</f>
        <v>0</v>
      </c>
      <c r="H8114" s="38" t="n">
        <f aca="false">0</f>
        <v>0</v>
      </c>
      <c r="I8114" s="38" t="n">
        <f aca="false">0</f>
        <v>0</v>
      </c>
      <c r="J8114" s="38" t="n">
        <f aca="false">0</f>
        <v>0</v>
      </c>
      <c r="K8114" s="38" t="n">
        <f aca="false">0</f>
        <v>0</v>
      </c>
      <c r="L8114" s="38" t="n">
        <f aca="false">0</f>
        <v>0</v>
      </c>
      <c r="M8114" s="38" t="n">
        <f aca="false">0</f>
        <v>0</v>
      </c>
      <c r="P8114" s="8" t="s">
        <v>808</v>
      </c>
    </row>
    <row r="8115" customFormat="false" ht="15" hidden="false" customHeight="false" outlineLevel="0" collapsed="false">
      <c r="A8115" s="3" t="s">
        <v>809</v>
      </c>
      <c r="B8115" s="8" t="s">
        <v>86</v>
      </c>
      <c r="C8115" s="38" t="n">
        <f aca="false">Sens!$C$8112-Sens!$C$8113</f>
        <v>36.176</v>
      </c>
      <c r="D8115" s="38" t="n">
        <f aca="false">Sens!$D$8112-Sens!$D$8113</f>
        <v>9.63700000000002</v>
      </c>
      <c r="E8115" s="38" t="n">
        <f aca="false">Sens!$E$8112-Sens!$E$8113</f>
        <v>-25.691</v>
      </c>
      <c r="F8115" s="38" t="n">
        <f aca="false">Sens!$F$8112-Sens!$F$8113</f>
        <v>-33.2271793268317</v>
      </c>
      <c r="G8115" s="38" t="n">
        <f aca="false">Sens!$G$8112-Sens!$G$8113</f>
        <v>-58.9181793268317</v>
      </c>
      <c r="H8115" s="38" t="n">
        <f aca="false">Sens!$H$8112-Sens!$H$8113</f>
        <v>-54.3561238424036</v>
      </c>
      <c r="I8115" s="38" t="n">
        <f aca="false">Sens!$I$8112-Sens!$I$8113</f>
        <v>-15.0303903946055</v>
      </c>
      <c r="J8115" s="38" t="n">
        <f aca="false">Sens!$J$8112-Sens!$J$8113</f>
        <v>25.3313456523922</v>
      </c>
      <c r="K8115" s="38" t="n">
        <f aca="false">Sens!$K$8112-Sens!$K$8113</f>
        <v>121.980646783072</v>
      </c>
      <c r="L8115" s="38" t="n">
        <f aca="false">Sens!$L$8112-Sens!$L$8113</f>
        <v>180.80865103054</v>
      </c>
      <c r="M8115" s="38" t="n">
        <f aca="false">Sens!$M$8112-Sens!$M$8113</f>
        <v>209.819407541041</v>
      </c>
    </row>
    <row r="8116" customFormat="false" ht="17.15" hidden="false" customHeight="false" outlineLevel="0" collapsed="false">
      <c r="A8116" s="5" t="s">
        <v>810</v>
      </c>
      <c r="B8116" s="0" t="s">
        <v>86</v>
      </c>
      <c r="E8116" s="38" t="n">
        <f aca="false">Q!$P$53</f>
        <v>39.767</v>
      </c>
      <c r="F8116" s="38" t="n">
        <f aca="false">inv_2h26</f>
        <v>21.3</v>
      </c>
      <c r="G8116" s="38" t="n">
        <f aca="false">Sens!$E$8116+Sens!$F$8116</f>
        <v>61.067</v>
      </c>
      <c r="H8116" s="39" t="n">
        <v>0</v>
      </c>
      <c r="I8116" s="39" t="n">
        <v>0</v>
      </c>
      <c r="J8116" s="39" t="n">
        <v>0</v>
      </c>
      <c r="K8116" s="39" t="n">
        <v>0</v>
      </c>
      <c r="L8116" s="39" t="n">
        <v>0</v>
      </c>
      <c r="M8116" s="39" t="n">
        <v>0</v>
      </c>
    </row>
    <row r="8117" customFormat="false" ht="17.15" hidden="false" customHeight="false" outlineLevel="0" collapsed="false">
      <c r="A8117" s="5" t="s">
        <v>811</v>
      </c>
      <c r="B8117" s="0" t="s">
        <v>86</v>
      </c>
      <c r="F8117" s="38" t="n">
        <f aca="false">iss_2h26</f>
        <v>29.249999</v>
      </c>
      <c r="G8117" s="38" t="n">
        <f aca="false">Sens!$F$8117</f>
        <v>29.249999</v>
      </c>
      <c r="H8117" s="39" t="n">
        <v>0</v>
      </c>
      <c r="I8117" s="39" t="n">
        <v>0</v>
      </c>
      <c r="J8117" s="39" t="n">
        <v>0</v>
      </c>
      <c r="K8117" s="39" t="n">
        <v>0</v>
      </c>
      <c r="L8117" s="39" t="n">
        <v>0</v>
      </c>
      <c r="M8117" s="39" t="n">
        <v>0</v>
      </c>
    </row>
    <row r="8118" customFormat="false" ht="17.15" hidden="false" customHeight="false" outlineLevel="0" collapsed="false">
      <c r="A8118" s="5" t="s">
        <v>812</v>
      </c>
      <c r="B8118" s="0" t="s">
        <v>86</v>
      </c>
      <c r="F8118" s="38" t="n">
        <f aca="false">cash_q2</f>
        <v>122.988</v>
      </c>
      <c r="G8118" s="38" t="n">
        <f aca="false">cash_q2</f>
        <v>122.988</v>
      </c>
      <c r="H8118" s="38" t="n">
        <f aca="false">Sens!$G$8121</f>
        <v>97.7108196731683</v>
      </c>
      <c r="I8118" s="38" t="n">
        <f aca="false">Sens!$H$8121</f>
        <v>50</v>
      </c>
      <c r="J8118" s="38" t="n">
        <f aca="false">Sens!$I$8121</f>
        <v>50</v>
      </c>
      <c r="K8118" s="38" t="n">
        <f aca="false">Sens!$J$8121</f>
        <v>75.3313456523922</v>
      </c>
      <c r="L8118" s="38" t="n">
        <f aca="false">Sens!$K$8121</f>
        <v>197.311992435464</v>
      </c>
      <c r="M8118" s="38" t="n">
        <f aca="false">Sens!$L$8121</f>
        <v>378.120643466004</v>
      </c>
    </row>
    <row r="8119" customFormat="false" ht="15" hidden="false" customHeight="false" outlineLevel="0" collapsed="false">
      <c r="A8119" s="5" t="s">
        <v>813</v>
      </c>
      <c r="B8119" s="0" t="s">
        <v>86</v>
      </c>
      <c r="F8119" s="38" t="n">
        <f aca="false">Sens!$F$8118+Sens!$F$8115-Sens!$F$8114-Sens!$F$8116+Sens!$F$8117</f>
        <v>97.7108196731683</v>
      </c>
      <c r="H8119" s="38" t="n">
        <f aca="false">Sens!$H$8118+Sens!$H$8115-Sens!$H$8114-Sens!$H$8116+Sens!$H$8117</f>
        <v>43.3546958307647</v>
      </c>
      <c r="I8119" s="38" t="n">
        <f aca="false">Sens!$I$8118+Sens!$I$8115-Sens!$I$8114-Sens!$I$8116+Sens!$I$8117</f>
        <v>34.9696096053945</v>
      </c>
      <c r="J8119" s="38" t="n">
        <f aca="false">Sens!$J$8118+Sens!$J$8115-Sens!$J$8114-Sens!$J$8116+Sens!$J$8117</f>
        <v>75.3313456523922</v>
      </c>
      <c r="K8119" s="38" t="n">
        <f aca="false">Sens!$K$8118+Sens!$K$8115-Sens!$K$8114-Sens!$K$8116+Sens!$K$8117</f>
        <v>197.311992435464</v>
      </c>
      <c r="L8119" s="38" t="n">
        <f aca="false">Sens!$L$8118+Sens!$L$8115-Sens!$L$8114-Sens!$L$8116+Sens!$L$8117</f>
        <v>378.120643466004</v>
      </c>
      <c r="M8119" s="38" t="n">
        <f aca="false">Sens!$M$8118+Sens!$M$8115-Sens!$M$8114-Sens!$M$8116+Sens!$M$8117</f>
        <v>587.940051007045</v>
      </c>
    </row>
    <row r="8120" customFormat="false" ht="17.15" hidden="false" customHeight="false" outlineLevel="0" collapsed="false">
      <c r="A8120" s="5" t="s">
        <v>814</v>
      </c>
      <c r="B8120" s="0" t="s">
        <v>86</v>
      </c>
      <c r="F8120" s="38" t="n">
        <f aca="false">MAX(0,min_cash-Sens!$F$8119)</f>
        <v>0</v>
      </c>
      <c r="G8120" s="38" t="n">
        <f aca="false">Sens!$F$8120</f>
        <v>0</v>
      </c>
      <c r="H8120" s="38" t="n">
        <f aca="false">MAX(0,min_cash-Sens!$H$8119)</f>
        <v>6.64530416923528</v>
      </c>
      <c r="I8120" s="38" t="n">
        <f aca="false">MAX(0,min_cash-Sens!$I$8119)</f>
        <v>15.0303903946055</v>
      </c>
      <c r="J8120" s="38" t="n">
        <f aca="false">MAX(0,min_cash-Sens!$J$8119)</f>
        <v>0</v>
      </c>
      <c r="K8120" s="38" t="n">
        <f aca="false">MAX(0,min_cash-Sens!$K$8119)</f>
        <v>0</v>
      </c>
      <c r="L8120" s="38" t="n">
        <f aca="false">MAX(0,min_cash-Sens!$L$8119)</f>
        <v>0</v>
      </c>
      <c r="M8120" s="38" t="n">
        <f aca="false">MAX(0,min_cash-Sens!$M$8119)</f>
        <v>0</v>
      </c>
      <c r="P8120" s="5" t="s">
        <v>815</v>
      </c>
    </row>
    <row r="8121" customFormat="false" ht="15" hidden="false" customHeight="false" outlineLevel="0" collapsed="false">
      <c r="A8121" s="5" t="s">
        <v>816</v>
      </c>
      <c r="B8121" s="0" t="s">
        <v>86</v>
      </c>
      <c r="D8121" s="38" t="n">
        <f aca="false">Q!$E$61</f>
        <v>123.029</v>
      </c>
      <c r="E8121" s="38" t="n">
        <f aca="false">Q!$M$61</f>
        <v>122.988</v>
      </c>
      <c r="F8121" s="38" t="n">
        <f aca="false">Sens!$F$8119+Sens!$F$8120</f>
        <v>97.7108196731683</v>
      </c>
      <c r="G8121" s="38" t="n">
        <f aca="false">Sens!$F$8121</f>
        <v>97.7108196731683</v>
      </c>
      <c r="H8121" s="38" t="n">
        <f aca="false">Sens!$H$8119+Sens!$H$8120</f>
        <v>50</v>
      </c>
      <c r="I8121" s="38" t="n">
        <f aca="false">Sens!$I$8119+Sens!$I$8120</f>
        <v>50</v>
      </c>
      <c r="J8121" s="38" t="n">
        <f aca="false">Sens!$J$8119+Sens!$J$8120</f>
        <v>75.3313456523922</v>
      </c>
      <c r="K8121" s="38" t="n">
        <f aca="false">Sens!$K$8119+Sens!$K$8120</f>
        <v>197.311992435464</v>
      </c>
      <c r="L8121" s="38" t="n">
        <f aca="false">Sens!$L$8119+Sens!$L$8120</f>
        <v>378.120643466004</v>
      </c>
      <c r="M8121" s="38" t="n">
        <f aca="false">Sens!$M$8119+Sens!$M$8120</f>
        <v>587.940051007045</v>
      </c>
    </row>
    <row r="8122" customFormat="false" ht="15" hidden="false" customHeight="false" outlineLevel="0" collapsed="false">
      <c r="A8122" s="5" t="s">
        <v>817</v>
      </c>
      <c r="B8122" s="0" t="s">
        <v>86</v>
      </c>
      <c r="D8122" s="38" t="n">
        <f aca="false">Q!$E$62</f>
        <v>68.836</v>
      </c>
      <c r="E8122" s="38" t="n">
        <f aca="false">Q!$M$62</f>
        <v>132.995</v>
      </c>
      <c r="F8122" s="38" t="n">
        <f aca="false">debt_q2+Sens!$F$8117+Sens!$F$8120</f>
        <v>162.244999</v>
      </c>
      <c r="G8122" s="38" t="n">
        <f aca="false">Sens!$F$8122</f>
        <v>162.244999</v>
      </c>
      <c r="H8122" s="38" t="n">
        <f aca="false">Sens!$G$8122+Sens!$H$8120</f>
        <v>168.890303169235</v>
      </c>
      <c r="I8122" s="38" t="n">
        <f aca="false">Sens!$H$8122+Sens!$I$8120</f>
        <v>183.920693563841</v>
      </c>
      <c r="J8122" s="38" t="n">
        <f aca="false">Sens!$I$8122+Sens!$J$8120</f>
        <v>183.920693563841</v>
      </c>
      <c r="K8122" s="38" t="n">
        <f aca="false">Sens!$J$8122+Sens!$K$8120</f>
        <v>183.920693563841</v>
      </c>
      <c r="L8122" s="38" t="n">
        <f aca="false">Sens!$K$8122+Sens!$L$8120</f>
        <v>183.920693563841</v>
      </c>
      <c r="M8122" s="38" t="n">
        <f aca="false">Sens!$L$8122+Sens!$M$8120</f>
        <v>183.920693563841</v>
      </c>
    </row>
    <row r="8123" customFormat="false" ht="15" hidden="false" customHeight="false" outlineLevel="0" collapsed="false">
      <c r="A8123" s="5" t="s">
        <v>818</v>
      </c>
      <c r="B8123" s="0" t="s">
        <v>86</v>
      </c>
      <c r="D8123" s="38" t="n">
        <f aca="false">Sens!$D$8122-Sens!$D$8121</f>
        <v>-54.193</v>
      </c>
      <c r="E8123" s="38" t="n">
        <f aca="false">Sens!$E$8122-Sens!$E$8121</f>
        <v>10.007</v>
      </c>
      <c r="F8123" s="38" t="n">
        <f aca="false">Sens!$F$8122-Sens!$F$8121</f>
        <v>64.5341793268317</v>
      </c>
      <c r="G8123" s="38" t="n">
        <f aca="false">Sens!$G$8122-Sens!$G$8121</f>
        <v>64.5341793268317</v>
      </c>
      <c r="H8123" s="38" t="n">
        <f aca="false">Sens!$H$8122-Sens!$H$8121</f>
        <v>118.890303169235</v>
      </c>
      <c r="I8123" s="38" t="n">
        <f aca="false">Sens!$I$8122-Sens!$I$8121</f>
        <v>133.920693563841</v>
      </c>
      <c r="J8123" s="38" t="n">
        <f aca="false">Sens!$J$8122-Sens!$J$8121</f>
        <v>108.589347911449</v>
      </c>
      <c r="K8123" s="38" t="n">
        <f aca="false">Sens!$K$8122-Sens!$K$8121</f>
        <v>-13.3912988716235</v>
      </c>
      <c r="L8123" s="38" t="n">
        <f aca="false">Sens!$L$8122-Sens!$L$8121</f>
        <v>-194.199949902163</v>
      </c>
      <c r="M8123" s="38" t="n">
        <f aca="false">Sens!$M$8122-Sens!$M$8121</f>
        <v>-404.019357443204</v>
      </c>
    </row>
    <row r="8124" customFormat="false" ht="17.15" hidden="false" customHeight="false" outlineLevel="0" collapsed="false">
      <c r="A8124" s="5" t="s">
        <v>819</v>
      </c>
      <c r="B8124" s="0" t="s">
        <v>86</v>
      </c>
      <c r="F8124" s="38" t="n">
        <f aca="false">debt_q2*kd_book*0.5+iss_2h26*kd_new*iss_t</f>
        <v>3.24888962733561</v>
      </c>
      <c r="H8124" s="38" t="n">
        <f aca="false">debt_q2*kd_book+(Sens!$G$8122-debt_q2)*kd_new</f>
        <v>7.42354172302123</v>
      </c>
      <c r="I8124" s="38" t="n">
        <f aca="false">debt_q2*kd_book+(Sens!$H$8122-debt_q2)*kd_new</f>
        <v>7.84418947693382</v>
      </c>
      <c r="J8124" s="38" t="n">
        <f aca="false">debt_q2*kd_book+(Sens!$I$8122-debt_q2)*kd_new</f>
        <v>8.79561318891235</v>
      </c>
      <c r="K8124" s="38" t="n">
        <f aca="false">debt_q2*kd_book+(Sens!$J$8122-debt_q2)*kd_new</f>
        <v>8.79561318891235</v>
      </c>
      <c r="L8124" s="38" t="n">
        <f aca="false">debt_q2*kd_book+(Sens!$K$8122-debt_q2)*kd_new</f>
        <v>8.79561318891235</v>
      </c>
      <c r="M8124" s="38" t="n">
        <f aca="false">debt_q2*kd_book+(Sens!$L$8122-debt_q2)*kd_new</f>
        <v>8.79561318891235</v>
      </c>
    </row>
    <row r="8125" customFormat="false" ht="17.15" hidden="false" customHeight="false" outlineLevel="0" collapsed="false">
      <c r="A8125" s="5" t="s">
        <v>820</v>
      </c>
      <c r="B8125" s="0" t="s">
        <v>86</v>
      </c>
      <c r="F8125" s="38" t="n">
        <f aca="false">cash_q2*y_cash*0.5</f>
        <v>2.59</v>
      </c>
      <c r="H8125" s="38" t="n">
        <f aca="false">Sens!$G$8121*y_cash</f>
        <v>4.1153774832261</v>
      </c>
      <c r="I8125" s="38" t="n">
        <f aca="false">Sens!$H$8121*y_cash</f>
        <v>2.10589651022864</v>
      </c>
      <c r="J8125" s="38" t="n">
        <f aca="false">Sens!$I$8121*y_cash</f>
        <v>2.10589651022864</v>
      </c>
      <c r="K8125" s="38" t="n">
        <f aca="false">Sens!$J$8121*y_cash</f>
        <v>3.172800358404</v>
      </c>
      <c r="L8125" s="38" t="n">
        <f aca="false">Sens!$K$8121*y_cash</f>
        <v>8.31037272592208</v>
      </c>
      <c r="M8125" s="38" t="n">
        <f aca="false">Sens!$L$8121*y_cash</f>
        <v>15.9256588704093</v>
      </c>
    </row>
    <row r="8126" customFormat="false" ht="17.15" hidden="false" customHeight="false" outlineLevel="0" collapsed="false">
      <c r="A8126" s="47" t="s">
        <v>821</v>
      </c>
      <c r="B8126" s="14" t="s">
        <v>86</v>
      </c>
      <c r="C8126" s="14"/>
      <c r="D8126" s="14"/>
      <c r="E8126" s="14"/>
      <c r="F8126" s="14"/>
      <c r="G8126" s="48" t="n">
        <f aca="false">SUM(Sens!$G$8115:$K$8115)</f>
        <v>19.0072988716234</v>
      </c>
      <c r="H8126" s="14"/>
      <c r="I8126" s="14"/>
      <c r="J8126" s="14"/>
      <c r="K8126" s="14"/>
      <c r="L8126" s="14"/>
      <c r="M8126" s="14"/>
      <c r="N8126" s="14"/>
      <c r="O8126" s="14"/>
    </row>
    <row r="8127" customFormat="false" ht="17.15" hidden="false" customHeight="false" outlineLevel="0" collapsed="false">
      <c r="A8127" s="0" t="s">
        <v>787</v>
      </c>
      <c r="B8127" s="0" t="s">
        <v>86</v>
      </c>
      <c r="G8127" s="38" t="n">
        <f aca="false">SUM(Sens!$G$8120:$K$8120)</f>
        <v>21.6756945638408</v>
      </c>
    </row>
    <row r="8128" customFormat="false" ht="17.15" hidden="false" customHeight="false" outlineLevel="0" collapsed="false">
      <c r="A8128" s="24" t="s">
        <v>824</v>
      </c>
      <c r="B8128" s="25" t="s">
        <v>86</v>
      </c>
      <c r="C8128" s="25"/>
      <c r="D8128" s="25"/>
      <c r="E8128" s="25"/>
      <c r="F8128" s="25"/>
      <c r="G8128" s="41" t="n">
        <f aca="false">Sens!$G$8126-(Sens!$G$8115+Sens!$H$8115+Sens!$I$8115+Sens!$J$8115+Sens!$K$8115)</f>
        <v>0</v>
      </c>
      <c r="H8128" s="25"/>
      <c r="I8128" s="25"/>
      <c r="J8128" s="25"/>
      <c r="K8128" s="25"/>
      <c r="L8128" s="25"/>
      <c r="M8128" s="25"/>
      <c r="N8128" s="25"/>
      <c r="O8128" s="25"/>
    </row>
    <row r="8131" customFormat="false" ht="19.4" hidden="false" customHeight="false" outlineLevel="0" collapsed="false">
      <c r="A8131" s="31" t="s">
        <v>1316</v>
      </c>
    </row>
    <row r="8132" customFormat="false" ht="17.15" hidden="false" customHeight="false" outlineLevel="0" collapsed="false">
      <c r="A8132" s="6" t="s">
        <v>16</v>
      </c>
      <c r="B8132" s="6" t="s">
        <v>17</v>
      </c>
      <c r="C8132" s="20" t="s">
        <v>504</v>
      </c>
      <c r="D8132" s="20" t="s">
        <v>505</v>
      </c>
      <c r="E8132" s="20" t="s">
        <v>587</v>
      </c>
      <c r="F8132" s="20" t="s">
        <v>588</v>
      </c>
      <c r="G8132" s="20" t="s">
        <v>589</v>
      </c>
      <c r="H8132" s="20" t="s">
        <v>590</v>
      </c>
      <c r="I8132" s="20" t="s">
        <v>591</v>
      </c>
      <c r="J8132" s="20" t="s">
        <v>592</v>
      </c>
      <c r="K8132" s="20" t="s">
        <v>593</v>
      </c>
      <c r="L8132" s="20" t="s">
        <v>594</v>
      </c>
      <c r="M8132" s="20" t="s">
        <v>595</v>
      </c>
      <c r="N8132" s="20" t="s">
        <v>596</v>
      </c>
      <c r="O8132" s="20" t="s">
        <v>597</v>
      </c>
      <c r="P8132" s="6" t="s">
        <v>23</v>
      </c>
      <c r="R8132" s="20" t="n">
        <v>2023</v>
      </c>
      <c r="S8132" s="20" t="n">
        <v>2024</v>
      </c>
      <c r="T8132" s="20" t="n">
        <v>2025</v>
      </c>
      <c r="U8132" s="20" t="n">
        <v>2026</v>
      </c>
      <c r="V8132" s="20" t="n">
        <v>2027</v>
      </c>
      <c r="W8132" s="20" t="n">
        <v>2028</v>
      </c>
      <c r="X8132" s="20" t="n">
        <v>2029</v>
      </c>
      <c r="Y8132" s="20" t="n">
        <v>2030</v>
      </c>
      <c r="Z8132" s="20" t="n">
        <v>2031</v>
      </c>
      <c r="AA8132" s="20" t="n">
        <v>2032</v>
      </c>
    </row>
    <row r="8133" customFormat="false" ht="17.15" hidden="false" customHeight="false" outlineLevel="0" collapsed="false">
      <c r="A8133" s="1" t="s">
        <v>926</v>
      </c>
    </row>
    <row r="8134" customFormat="false" ht="17.15" hidden="false" customHeight="false" outlineLevel="0" collapsed="false">
      <c r="A8134" s="0" t="s">
        <v>927</v>
      </c>
      <c r="B8134" s="0" t="s">
        <v>86</v>
      </c>
      <c r="H8134" s="38" t="n">
        <f aca="false">Sens!$H$8068*(1-tax)</f>
        <v>119.56497355468</v>
      </c>
      <c r="I8134" s="38" t="n">
        <f aca="false">Sens!$I$8068*(1-tax)</f>
        <v>141.256941944278</v>
      </c>
      <c r="J8134" s="38" t="n">
        <f aca="false">Sens!$J$8068*(1-tax)</f>
        <v>165.207646486437</v>
      </c>
      <c r="K8134" s="38" t="n">
        <f aca="false">Sens!$K$8068*(1-tax)</f>
        <v>182.2563867591</v>
      </c>
      <c r="L8134" s="38" t="n">
        <f aca="false">Sens!$L$8068*(1-tax)</f>
        <v>196.136023003742</v>
      </c>
      <c r="M8134" s="38" t="n">
        <f aca="false">Sens!$M$8068*(1-tax)</f>
        <v>208.266936154417</v>
      </c>
    </row>
    <row r="8135" customFormat="false" ht="15" hidden="false" customHeight="false" outlineLevel="0" collapsed="false">
      <c r="A8135" s="5" t="s">
        <v>928</v>
      </c>
      <c r="B8135" s="0" t="s">
        <v>86</v>
      </c>
      <c r="H8135" s="38" t="n">
        <f aca="false">Sens!$H$8079</f>
        <v>81.5618233196153</v>
      </c>
      <c r="I8135" s="38" t="n">
        <f aca="false">Sens!$I$8079</f>
        <v>118.756208740204</v>
      </c>
      <c r="J8135" s="38" t="n">
        <f aca="false">Sens!$J$8079</f>
        <v>152.469489406791</v>
      </c>
      <c r="K8135" s="38" t="n">
        <f aca="false">Sens!$K$8079</f>
        <v>186.391502623819</v>
      </c>
      <c r="L8135" s="38" t="n">
        <f aca="false">Sens!$L$8079</f>
        <v>211.926422215482</v>
      </c>
      <c r="M8135" s="38" t="n">
        <f aca="false">Sens!$M$8079</f>
        <v>229.012482097906</v>
      </c>
    </row>
    <row r="8136" customFormat="false" ht="15" hidden="false" customHeight="false" outlineLevel="0" collapsed="false">
      <c r="A8136" s="5" t="s">
        <v>929</v>
      </c>
      <c r="B8136" s="0" t="s">
        <v>86</v>
      </c>
      <c r="H8136" s="38" t="n">
        <f aca="false">Sens!$H$8110</f>
        <v>273.372679834898</v>
      </c>
      <c r="I8136" s="38" t="n">
        <f aca="false">Sens!$I$8110</f>
        <v>286.981812228425</v>
      </c>
      <c r="J8136" s="38" t="n">
        <f aca="false">Sens!$J$8110</f>
        <v>299.316513378366</v>
      </c>
      <c r="K8136" s="38" t="n">
        <f aca="false">Sens!$K$8110</f>
        <v>251.057145512292</v>
      </c>
      <c r="L8136" s="38" t="n">
        <f aca="false">Sens!$L$8110</f>
        <v>234.696330860396</v>
      </c>
      <c r="M8136" s="38" t="n">
        <f aca="false">Sens!$M$8110</f>
        <v>242.291696043352</v>
      </c>
    </row>
    <row r="8137" customFormat="false" ht="15" hidden="false" customHeight="false" outlineLevel="0" collapsed="false">
      <c r="A8137" s="5" t="s">
        <v>930</v>
      </c>
      <c r="B8137" s="0" t="s">
        <v>86</v>
      </c>
      <c r="H8137" s="38" t="n">
        <f aca="false">Sens!$H$8111</f>
        <v>1.6</v>
      </c>
      <c r="I8137" s="38" t="n">
        <f aca="false">Sens!$I$8111</f>
        <v>1.6</v>
      </c>
      <c r="J8137" s="38" t="n">
        <f aca="false">Sens!$J$8111</f>
        <v>1.6</v>
      </c>
      <c r="K8137" s="38" t="n">
        <f aca="false">Sens!$K$8111</f>
        <v>1.6</v>
      </c>
      <c r="L8137" s="38" t="n">
        <f aca="false">Sens!$L$8111</f>
        <v>1.6</v>
      </c>
      <c r="M8137" s="38" t="n">
        <f aca="false">Sens!$M$8111</f>
        <v>1.6</v>
      </c>
    </row>
    <row r="8138" customFormat="false" ht="15" hidden="false" customHeight="false" outlineLevel="0" collapsed="false">
      <c r="A8138" s="5" t="s">
        <v>931</v>
      </c>
      <c r="B8138" s="0" t="s">
        <v>86</v>
      </c>
      <c r="H8138" s="38" t="n">
        <f aca="false">Sens!$H$8105</f>
        <v>11.2928295263397</v>
      </c>
      <c r="I8138" s="38" t="n">
        <f aca="false">Sens!$I$8105</f>
        <v>12.8091546115766</v>
      </c>
      <c r="J8138" s="38" t="n">
        <f aca="false">Sens!$J$8105</f>
        <v>14.2605653162668</v>
      </c>
      <c r="K8138" s="38" t="n">
        <f aca="false">Sens!$K$8105</f>
        <v>15.5327622460396</v>
      </c>
      <c r="L8138" s="38" t="n">
        <f aca="false">Sens!$L$8105</f>
        <v>16.720573737517</v>
      </c>
      <c r="M8138" s="38" t="n">
        <f aca="false">Sens!$M$8105</f>
        <v>17.8283127551536</v>
      </c>
    </row>
    <row r="8139" customFormat="false" ht="17.15" hidden="false" customHeight="false" outlineLevel="0" collapsed="false">
      <c r="A8139" s="1" t="s">
        <v>932</v>
      </c>
      <c r="B8139" s="8" t="s">
        <v>86</v>
      </c>
      <c r="H8139" s="38" t="n">
        <f aca="false">Sens!$H$8134+Sens!$H$8135-Sens!$H$8136-Sens!$H$8137+Sens!$H$8138</f>
        <v>-62.5530534342631</v>
      </c>
      <c r="I8139" s="38" t="n">
        <f aca="false">Sens!$I$8134+Sens!$I$8135-Sens!$I$8136-Sens!$I$8137+Sens!$I$8138</f>
        <v>-15.7595069323669</v>
      </c>
      <c r="J8139" s="38" t="n">
        <f aca="false">Sens!$J$8134+Sens!$J$8135-Sens!$J$8136-Sens!$J$8137+Sens!$J$8138</f>
        <v>31.0211878311291</v>
      </c>
      <c r="K8139" s="38" t="n">
        <f aca="false">Sens!$K$8134+Sens!$K$8135-Sens!$K$8136-Sens!$K$8137+Sens!$K$8138</f>
        <v>131.523506116666</v>
      </c>
      <c r="L8139" s="38" t="n">
        <f aca="false">Sens!$L$8134+Sens!$L$8135-Sens!$L$8136-Sens!$L$8137+Sens!$L$8138</f>
        <v>188.486688096346</v>
      </c>
      <c r="M8139" s="38" t="n">
        <f aca="false">Sens!$M$8134+Sens!$M$8135-Sens!$M$8136-Sens!$M$8137+Sens!$M$8138</f>
        <v>211.216034964125</v>
      </c>
    </row>
    <row r="8140" customFormat="false" ht="15" hidden="false" customHeight="false" outlineLevel="0" collapsed="false">
      <c r="A8140" s="5" t="s">
        <v>933</v>
      </c>
      <c r="B8140" s="0" t="s">
        <v>57</v>
      </c>
      <c r="H8140" s="40" t="n">
        <f aca="false">1/(1+wacc)^(2027-2026-0.5)</f>
        <v>0.947751320380232</v>
      </c>
      <c r="I8140" s="40" t="n">
        <f aca="false">1/(1+wacc)^(2028-2026-0.5)</f>
        <v>0.851301099754987</v>
      </c>
      <c r="J8140" s="40" t="n">
        <f aca="false">1/(1+wacc)^(2029-2026-0.5)</f>
        <v>0.764666370660713</v>
      </c>
      <c r="K8140" s="40" t="n">
        <f aca="false">1/(1+wacc)^(2030-2026-0.5)</f>
        <v>0.686848235703811</v>
      </c>
      <c r="L8140" s="40" t="n">
        <f aca="false">1/(1+wacc)^(2031-2026-0.5)</f>
        <v>0.616949452715975</v>
      </c>
      <c r="M8140" s="40" t="n">
        <f aca="false">1/(1+wacc)^(2032-2026-0.5)</f>
        <v>0.554164089562688</v>
      </c>
    </row>
    <row r="8141" customFormat="false" ht="15" hidden="false" customHeight="false" outlineLevel="0" collapsed="false">
      <c r="A8141" s="5" t="s">
        <v>934</v>
      </c>
      <c r="B8141" s="0" t="s">
        <v>86</v>
      </c>
      <c r="H8141" s="38" t="n">
        <f aca="false">Sens!$H$8139*Sens!$H$8140</f>
        <v>-59.2847389861381</v>
      </c>
      <c r="I8141" s="38" t="n">
        <f aca="false">Sens!$I$8139*Sens!$I$8140</f>
        <v>-13.4160855831203</v>
      </c>
      <c r="J8141" s="38" t="n">
        <f aca="false">Sens!$J$8139*Sens!$J$8140</f>
        <v>23.7208591124138</v>
      </c>
      <c r="K8141" s="38" t="n">
        <f aca="false">Sens!$K$8139*Sens!$K$8140</f>
        <v>90.3366881298116</v>
      </c>
      <c r="L8141" s="38" t="n">
        <f aca="false">Sens!$L$8139*Sens!$L$8140</f>
        <v>116.286759065287</v>
      </c>
      <c r="M8141" s="38" t="n">
        <f aca="false">Sens!$M$8139*Sens!$M$8140</f>
        <v>117.048341716935</v>
      </c>
    </row>
    <row r="8142" customFormat="false" ht="15" hidden="false" customHeight="false" outlineLevel="0" collapsed="false">
      <c r="A8142" s="5" t="s">
        <v>935</v>
      </c>
      <c r="B8142" s="0" t="s">
        <v>86</v>
      </c>
      <c r="C8142" s="38" t="n">
        <f aca="false">SUM(Sens!$H$8141:$M$8141)</f>
        <v>274.691823455189</v>
      </c>
    </row>
    <row r="8143" customFormat="false" ht="17.15" hidden="false" customHeight="false" outlineLevel="0" collapsed="false">
      <c r="A8143" s="5" t="s">
        <v>936</v>
      </c>
      <c r="B8143" s="0" t="s">
        <v>86</v>
      </c>
      <c r="C8143" s="38" t="n">
        <f aca="false">Sens!$M$8134*(1+tg)*(1-tg/ronic)/(wacc-tg)</f>
        <v>1893.37885139876</v>
      </c>
    </row>
    <row r="8144" customFormat="false" ht="15" hidden="false" customHeight="false" outlineLevel="0" collapsed="false">
      <c r="A8144" s="5" t="s">
        <v>937</v>
      </c>
      <c r="B8144" s="0" t="s">
        <v>86</v>
      </c>
      <c r="C8144" s="38" t="n">
        <f aca="false">Sens!$C$8143/(1+wacc)^6</f>
        <v>994.421028636041</v>
      </c>
    </row>
    <row r="8145" customFormat="false" ht="17.15" hidden="false" customHeight="false" outlineLevel="0" collapsed="false">
      <c r="A8145" s="5" t="s">
        <v>938</v>
      </c>
      <c r="B8145" s="0" t="s">
        <v>86</v>
      </c>
      <c r="C8145" s="38" t="n">
        <f aca="false">Sens!$C$8142+Sens!$C$8144</f>
        <v>1269.11285209123</v>
      </c>
    </row>
    <row r="8146" customFormat="false" ht="17.15" hidden="false" customHeight="false" outlineLevel="0" collapsed="false">
      <c r="A8146" s="5" t="s">
        <v>939</v>
      </c>
      <c r="B8146" s="0" t="s">
        <v>52</v>
      </c>
      <c r="C8146" s="13" t="n">
        <f aca="false">Sens!$C$8144/Sens!$C$8145</f>
        <v>0.783556030495984</v>
      </c>
    </row>
    <row r="8147" customFormat="false" ht="17.15" hidden="false" customHeight="false" outlineLevel="0" collapsed="false">
      <c r="A8147" s="5" t="s">
        <v>940</v>
      </c>
      <c r="B8147" s="0" t="s">
        <v>86</v>
      </c>
      <c r="C8147" s="38" t="n">
        <f aca="false">Sens!$G$8123+fin_debt</f>
        <v>89.0551793268317</v>
      </c>
    </row>
    <row r="8148" customFormat="false" ht="17.15" hidden="false" customHeight="false" outlineLevel="0" collapsed="false">
      <c r="A8148" s="5" t="s">
        <v>941</v>
      </c>
      <c r="B8148" s="0" t="s">
        <v>86</v>
      </c>
      <c r="C8148" s="38" t="n">
        <f aca="false">(ant_val*ant_sh_hi+oai_val*oai_sh)*(1-liq_disc)</f>
        <v>202.104</v>
      </c>
    </row>
    <row r="8149" customFormat="false" ht="15" hidden="false" customHeight="false" outlineLevel="0" collapsed="false">
      <c r="A8149" s="5" t="s">
        <v>942</v>
      </c>
      <c r="B8149" s="0" t="s">
        <v>86</v>
      </c>
      <c r="C8149" s="38" t="n">
        <f aca="false">Sens!$C$8145-Sens!$C$8147+Sens!$C$8148</f>
        <v>1382.1616727644</v>
      </c>
    </row>
    <row r="8150" customFormat="false" ht="17.15" hidden="false" customHeight="false" outlineLevel="0" collapsed="false">
      <c r="A8150" s="5" t="s">
        <v>943</v>
      </c>
      <c r="B8150" s="0" t="s">
        <v>27</v>
      </c>
      <c r="C8150" s="30" t="n">
        <f aca="false">Sens!$C$8149/sh_out</f>
        <v>128.140314917997</v>
      </c>
    </row>
    <row r="8151" customFormat="false" ht="17.15" hidden="false" customHeight="false" outlineLevel="0" collapsed="false">
      <c r="A8151" s="1" t="s">
        <v>944</v>
      </c>
      <c r="B8151" s="8" t="s">
        <v>27</v>
      </c>
      <c r="C8151" s="30" t="n">
        <f aca="false">Sens!$C$8150*(1+ke)^tp_yf-dps*tp_yf</f>
        <v>140.360908938623</v>
      </c>
    </row>
    <row r="8152" customFormat="false" ht="17.15" hidden="false" customHeight="false" outlineLevel="0" collapsed="false">
      <c r="A8152" s="3" t="s">
        <v>945</v>
      </c>
    </row>
    <row r="8153" customFormat="false" ht="17.15" hidden="false" customHeight="false" outlineLevel="0" collapsed="false">
      <c r="A8153" s="5" t="s">
        <v>946</v>
      </c>
      <c r="B8153" s="0" t="s">
        <v>86</v>
      </c>
      <c r="C8153" s="38" t="n">
        <f aca="false">(1-tp_yf)*(Sens!$H$8080+sbc_ab*Sens!$H$8104*Sens!$H$7941/Sens!$H$8021)+tp_yf*(Sens!$I$8080+sbc_ab*Sens!$I$8104*Sens!$I$7941/Sens!$I$8021)</f>
        <v>59.634664536349</v>
      </c>
    </row>
    <row r="8154" customFormat="false" ht="15" hidden="false" customHeight="false" outlineLevel="0" collapsed="false">
      <c r="A8154" s="5" t="s">
        <v>947</v>
      </c>
      <c r="B8154" s="0" t="s">
        <v>57</v>
      </c>
      <c r="C8154" s="30" t="n">
        <f aca="false">m_ads*m_x</f>
        <v>9.11</v>
      </c>
    </row>
    <row r="8155" customFormat="false" ht="17.15" hidden="false" customHeight="false" outlineLevel="0" collapsed="false">
      <c r="A8155" s="5" t="s">
        <v>948</v>
      </c>
      <c r="B8155" s="0" t="s">
        <v>86</v>
      </c>
      <c r="C8155" s="38" t="n">
        <f aca="false">Sens!$C$8153*Sens!$C$8154</f>
        <v>543.271793926139</v>
      </c>
    </row>
    <row r="8156" customFormat="false" ht="17.15" hidden="false" customHeight="false" outlineLevel="0" collapsed="false">
      <c r="A8156" s="5" t="s">
        <v>949</v>
      </c>
      <c r="B8156" s="0" t="s">
        <v>86</v>
      </c>
      <c r="C8156" s="38" t="n">
        <f aca="false">(1-tp_yf)*(Sens!$H$8081+sbc_ab*Sens!$H$8104*(Sens!$H$7948-Sens!$H$7941)/Sens!$H$8021+IF(internal_ai_reading=2,1,0)*(1-ext_sh)*Sens!$H$7978)+tp_yf*(Sens!$I$8081+sbc_ab*Sens!$I$8104*(Sens!$I$7948-Sens!$I$7941)/Sens!$I$8021+IF(internal_ai_reading=2,1,0)*(1-ext_sh)*Sens!$I$7978)</f>
        <v>51.6951811103438</v>
      </c>
    </row>
    <row r="8157" customFormat="false" ht="17.15" hidden="false" customHeight="false" outlineLevel="0" collapsed="false">
      <c r="A8157" s="5" t="s">
        <v>950</v>
      </c>
      <c r="B8157" s="0" t="s">
        <v>57</v>
      </c>
      <c r="C8157" s="30" t="n">
        <f aca="false">m_retail*m_x</f>
        <v>17.72</v>
      </c>
    </row>
    <row r="8158" customFormat="false" ht="17.15" hidden="false" customHeight="false" outlineLevel="0" collapsed="false">
      <c r="A8158" s="5" t="s">
        <v>951</v>
      </c>
      <c r="B8158" s="0" t="s">
        <v>86</v>
      </c>
      <c r="C8158" s="38" t="n">
        <f aca="false">Sens!$C$8156*Sens!$C$8157</f>
        <v>916.038609275292</v>
      </c>
    </row>
    <row r="8159" customFormat="false" ht="17.15" hidden="false" customHeight="false" outlineLevel="0" collapsed="false">
      <c r="A8159" s="0" t="s">
        <v>952</v>
      </c>
      <c r="B8159" s="0" t="s">
        <v>86</v>
      </c>
      <c r="C8159" s="38" t="n">
        <f aca="false">(1-tp_yf)*(Sens!$H$8082+sbc_ab*Sens!$H$8104*Sens!$H$8019/Sens!$H$8021)+tp_yf*(Sens!$I$8082+sbc_ab*Sens!$I$8104*Sens!$I$8019/Sens!$I$8021)</f>
        <v>97.2337130506861</v>
      </c>
    </row>
    <row r="8160" customFormat="false" ht="17.15" hidden="false" customHeight="false" outlineLevel="0" collapsed="false">
      <c r="A8160" s="0" t="s">
        <v>953</v>
      </c>
      <c r="B8160" s="0" t="s">
        <v>57</v>
      </c>
      <c r="C8160" s="30" t="n">
        <f aca="false">m_cloud*m_x</f>
        <v>13.82</v>
      </c>
    </row>
    <row r="8161" customFormat="false" ht="17.15" hidden="false" customHeight="false" outlineLevel="0" collapsed="false">
      <c r="A8161" s="0" t="s">
        <v>954</v>
      </c>
      <c r="B8161" s="0" t="s">
        <v>86</v>
      </c>
      <c r="C8161" s="38" t="n">
        <f aca="false">Sens!$C$8159*Sens!$C$8160</f>
        <v>1343.76991436048</v>
      </c>
    </row>
    <row r="8162" customFormat="false" ht="17.15" hidden="false" customHeight="false" outlineLevel="0" collapsed="false">
      <c r="A8162" s="0" t="s">
        <v>955</v>
      </c>
      <c r="B8162" s="0" t="s">
        <v>86</v>
      </c>
      <c r="H8162" s="38" t="n">
        <f aca="false">Sens!$H$8000-tax*Sens!$H$8001-ext_sh*Sens!$H$7985</f>
        <v>-115.41576008619</v>
      </c>
      <c r="I8162" s="38" t="n">
        <f aca="false">Sens!$I$8000-tax*Sens!$I$8001-ext_sh*Sens!$I$7985</f>
        <v>-88.5401912683161</v>
      </c>
      <c r="J8162" s="38" t="n">
        <f aca="false">Sens!$J$8000-tax*Sens!$J$8001-ext_sh*Sens!$J$7985</f>
        <v>-61.2977422866746</v>
      </c>
      <c r="K8162" s="38" t="n">
        <f aca="false">Sens!$K$8000-tax*Sens!$K$8001-ext_sh*Sens!$K$7985</f>
        <v>9.91264760007891</v>
      </c>
      <c r="L8162" s="38" t="n">
        <f aca="false">Sens!$L$8000-tax*Sens!$L$8001-ext_sh*Sens!$L$7985</f>
        <v>46.750156871371</v>
      </c>
      <c r="M8162" s="38" t="n">
        <f aca="false">Sens!$M$8000-tax*Sens!$M$8001-ext_sh*Sens!$M$7985</f>
        <v>55.5634749071557</v>
      </c>
    </row>
    <row r="8163" customFormat="false" ht="17.15" hidden="false" customHeight="false" outlineLevel="0" collapsed="false">
      <c r="A8163" s="5" t="s">
        <v>956</v>
      </c>
      <c r="B8163" s="0" t="s">
        <v>86</v>
      </c>
      <c r="H8163" s="38" t="n">
        <f aca="false">Sens!$H$8162*Sens!$H$8140</f>
        <v>-109.385439014374</v>
      </c>
      <c r="I8163" s="38" t="n">
        <f aca="false">Sens!$I$8162*Sens!$I$8140</f>
        <v>-75.3743621992344</v>
      </c>
      <c r="J8163" s="38" t="n">
        <f aca="false">Sens!$J$8162*Sens!$J$8140</f>
        <v>-46.8723221240472</v>
      </c>
      <c r="K8163" s="38" t="n">
        <f aca="false">Sens!$K$8162*Sens!$K$8140</f>
        <v>6.80848451526782</v>
      </c>
      <c r="L8163" s="38" t="n">
        <f aca="false">Sens!$L$8162*Sens!$L$8140</f>
        <v>28.8424836961783</v>
      </c>
      <c r="M8163" s="38" t="n">
        <f aca="false">Sens!$M$8162*Sens!$M$8140</f>
        <v>30.7912824848632</v>
      </c>
    </row>
    <row r="8164" customFormat="false" ht="17.15" hidden="false" customHeight="false" outlineLevel="0" collapsed="false">
      <c r="A8164" s="5" t="s">
        <v>957</v>
      </c>
      <c r="B8164" s="0" t="s">
        <v>86</v>
      </c>
      <c r="C8164" s="38" t="n">
        <f aca="false">Sens!$M$8001*(1-tax)*(1+tg)*(1-tg/ronic)/(wacc-tg)</f>
        <v>356.180381489473</v>
      </c>
    </row>
    <row r="8165" customFormat="false" ht="17.15" hidden="false" customHeight="false" outlineLevel="0" collapsed="false">
      <c r="A8165" s="0" t="s">
        <v>958</v>
      </c>
      <c r="B8165" s="0" t="s">
        <v>86</v>
      </c>
      <c r="C8165" s="38" t="n">
        <f aca="false">(SUM(Sens!$I$8163:$M$8163)+Sens!$C$8164/(1+wacc)^6)*(1+wacc)^tp_yf</f>
        <v>143.3703803388</v>
      </c>
    </row>
    <row r="8166" customFormat="false" ht="17.15" hidden="false" customHeight="false" outlineLevel="0" collapsed="false">
      <c r="A8166" s="5" t="s">
        <v>959</v>
      </c>
      <c r="B8166" s="0" t="s">
        <v>86</v>
      </c>
      <c r="C8166" s="38" t="n">
        <f aca="false">(1-tp_yf)*(Sens!$H$8083)+tp_yf*(Sens!$I$8083)</f>
        <v>74.6707041238437</v>
      </c>
    </row>
    <row r="8167" customFormat="false" ht="17.15" hidden="false" customHeight="false" outlineLevel="0" collapsed="false">
      <c r="A8167" s="5" t="s">
        <v>960</v>
      </c>
      <c r="B8167" s="0" t="s">
        <v>86</v>
      </c>
      <c r="C8167" s="38" t="n">
        <f aca="false">Sens!$C$8166*m_ai</f>
        <v>448.024224743062</v>
      </c>
    </row>
    <row r="8168" customFormat="false" ht="17.15" hidden="false" customHeight="false" outlineLevel="0" collapsed="false">
      <c r="A8168" s="0" t="s">
        <v>961</v>
      </c>
      <c r="B8168" s="0" t="s">
        <v>86</v>
      </c>
      <c r="C8168" s="38" t="n">
        <f aca="false">IF(ai_leg=1,Sens!$C$8165,Sens!$C$8167)</f>
        <v>143.3703803388</v>
      </c>
    </row>
    <row r="8169" customFormat="false" ht="17.15" hidden="false" customHeight="false" outlineLevel="0" collapsed="false">
      <c r="A8169" s="5" t="s">
        <v>962</v>
      </c>
      <c r="B8169" s="0" t="s">
        <v>86</v>
      </c>
      <c r="C8169" s="38" t="n">
        <f aca="false">Sens!$C$8155+Sens!$C$8158+Sens!$C$8161+Sens!$C$8168</f>
        <v>2946.45069790071</v>
      </c>
    </row>
    <row r="8170" customFormat="false" ht="17.15" hidden="false" customHeight="false" outlineLevel="0" collapsed="false">
      <c r="A8170" s="5" t="s">
        <v>963</v>
      </c>
      <c r="B8170" s="0" t="s">
        <v>86</v>
      </c>
      <c r="C8170" s="38" t="n">
        <f aca="false">Sens!$H$8123+fin_debt</f>
        <v>143.411303169235</v>
      </c>
    </row>
    <row r="8171" customFormat="false" ht="15" hidden="false" customHeight="false" outlineLevel="0" collapsed="false">
      <c r="A8171" s="5" t="s">
        <v>964</v>
      </c>
      <c r="B8171" s="0" t="s">
        <v>86</v>
      </c>
      <c r="C8171" s="38" t="n">
        <f aca="false">Sens!$C$8169-Sens!$C$8170+Sens!$C$8148</f>
        <v>3005.14339473148</v>
      </c>
    </row>
    <row r="8172" customFormat="false" ht="15" hidden="false" customHeight="false" outlineLevel="0" collapsed="false">
      <c r="A8172" s="3" t="s">
        <v>965</v>
      </c>
      <c r="B8172" s="8" t="s">
        <v>27</v>
      </c>
      <c r="C8172" s="30" t="n">
        <f aca="false">Sens!$C$8171/sh_val</f>
        <v>272.444047806026</v>
      </c>
    </row>
    <row r="8173" customFormat="false" ht="17.15" hidden="false" customHeight="false" outlineLevel="0" collapsed="false">
      <c r="A8173" s="47" t="s">
        <v>966</v>
      </c>
      <c r="B8173" s="14" t="s">
        <v>27</v>
      </c>
      <c r="C8173" s="44" t="n">
        <f aca="false">w_dcf*Sens!$C$8151+(1-w_dcf)*Sens!$C$8172</f>
        <v>206.402478372324</v>
      </c>
      <c r="D8173" s="14"/>
      <c r="E8173" s="14"/>
      <c r="F8173" s="14"/>
      <c r="G8173" s="14"/>
      <c r="H8173" s="14"/>
      <c r="I8173" s="14"/>
      <c r="J8173" s="14"/>
      <c r="K8173" s="14"/>
      <c r="L8173" s="14"/>
      <c r="M8173" s="14"/>
      <c r="N8173" s="14"/>
      <c r="O8173" s="14"/>
    </row>
    <row r="8174" customFormat="false" ht="17.15" hidden="false" customHeight="false" outlineLevel="0" collapsed="false">
      <c r="A8174" s="5" t="s">
        <v>967</v>
      </c>
      <c r="B8174" s="0" t="s">
        <v>27</v>
      </c>
      <c r="C8174" s="30" t="n">
        <f aca="false">v022_wdcf*Sens!$C$8151+(1-v022_wdcf)*Sens!$C$8172</f>
        <v>213.006635315695</v>
      </c>
    </row>
    <row r="8175" customFormat="false" ht="17.15" hidden="false" customHeight="false" outlineLevel="0" collapsed="false">
      <c r="A8175" s="5" t="s">
        <v>968</v>
      </c>
      <c r="B8175" s="0" t="s">
        <v>27</v>
      </c>
      <c r="C8175" s="30" t="n">
        <f aca="false">(Sens!$C$8171-Sens!$C$8168+Sens!$C$8167)/sh_val</f>
        <v>300.063737001117</v>
      </c>
    </row>
    <row r="8178" customFormat="false" ht="19.4" hidden="false" customHeight="false" outlineLevel="0" collapsed="false">
      <c r="A8178" s="31" t="s">
        <v>1317</v>
      </c>
    </row>
    <row r="8179" customFormat="false" ht="17.15" hidden="false" customHeight="false" outlineLevel="0" collapsed="false">
      <c r="A8179" s="6" t="s">
        <v>16</v>
      </c>
      <c r="B8179" s="6" t="s">
        <v>17</v>
      </c>
      <c r="C8179" s="20" t="s">
        <v>504</v>
      </c>
      <c r="D8179" s="20" t="s">
        <v>505</v>
      </c>
      <c r="E8179" s="20" t="s">
        <v>587</v>
      </c>
      <c r="F8179" s="20" t="s">
        <v>588</v>
      </c>
      <c r="G8179" s="20" t="s">
        <v>589</v>
      </c>
      <c r="H8179" s="20" t="s">
        <v>590</v>
      </c>
      <c r="I8179" s="20" t="s">
        <v>591</v>
      </c>
      <c r="J8179" s="20" t="s">
        <v>592</v>
      </c>
      <c r="K8179" s="20" t="s">
        <v>593</v>
      </c>
      <c r="L8179" s="20" t="s">
        <v>594</v>
      </c>
      <c r="M8179" s="20" t="s">
        <v>595</v>
      </c>
      <c r="N8179" s="20" t="s">
        <v>596</v>
      </c>
      <c r="O8179" s="20" t="s">
        <v>597</v>
      </c>
      <c r="P8179" s="6" t="s">
        <v>23</v>
      </c>
      <c r="R8179" s="20" t="n">
        <v>2023</v>
      </c>
      <c r="S8179" s="20" t="n">
        <v>2024</v>
      </c>
      <c r="T8179" s="20" t="n">
        <v>2025</v>
      </c>
      <c r="U8179" s="20" t="n">
        <v>2026</v>
      </c>
      <c r="V8179" s="20" t="n">
        <v>2027</v>
      </c>
      <c r="W8179" s="20" t="n">
        <v>2028</v>
      </c>
      <c r="X8179" s="20" t="n">
        <v>2029</v>
      </c>
      <c r="Y8179" s="20" t="n">
        <v>2030</v>
      </c>
      <c r="Z8179" s="20" t="n">
        <v>2031</v>
      </c>
      <c r="AA8179" s="20" t="n">
        <v>2032</v>
      </c>
    </row>
    <row r="8180" customFormat="false" ht="17.15" hidden="false" customHeight="false" outlineLevel="0" collapsed="false">
      <c r="A8180" s="1" t="s">
        <v>677</v>
      </c>
    </row>
    <row r="8181" customFormat="false" ht="17.15" hidden="false" customHeight="false" outlineLevel="0" collapsed="false">
      <c r="A8181" s="0" t="s">
        <v>526</v>
      </c>
      <c r="B8181" s="0" t="s">
        <v>86</v>
      </c>
      <c r="C8181" s="38" t="n">
        <f aca="false">Q!$D$10</f>
        <v>247.029</v>
      </c>
      <c r="D8181" s="38" t="n">
        <f aca="false">Q!$E$10</f>
        <v>269.287</v>
      </c>
      <c r="E8181" s="38" t="n">
        <f aca="false">Q!$P$10</f>
        <v>134.686</v>
      </c>
      <c r="F8181" s="38" t="n">
        <f aca="false">Sens!$O$8181*(1+Sens!$F$8182)*Sens!$F$8193</f>
        <v>158.293876822267</v>
      </c>
      <c r="G8181" s="38" t="n">
        <f aca="false">Sens!$E$8181+Sens!$F$8181</f>
        <v>292.979876822267</v>
      </c>
      <c r="H8181" s="38" t="n">
        <f aca="false">Sens!$G$8181*(1+Sens!$H$8182)</f>
        <v>318.184543087396</v>
      </c>
      <c r="I8181" s="38" t="n">
        <f aca="false">Sens!$H$8181*(1+Sens!$I$8182)</f>
        <v>341.736278761793</v>
      </c>
      <c r="J8181" s="38" t="n">
        <f aca="false">Sens!$I$8181*(1+Sens!$J$8182)</f>
        <v>362.927192787048</v>
      </c>
      <c r="K8181" s="38" t="n">
        <f aca="false">Sens!$J$8181*(1+Sens!$K$8182)</f>
        <v>381.0735524264</v>
      </c>
      <c r="L8181" s="38" t="n">
        <f aca="false">Sens!$K$8181*(1+Sens!$L$8182)</f>
        <v>400.12723004772</v>
      </c>
      <c r="M8181" s="38" t="n">
        <f aca="false">Sens!$L$8181*(1+Sens!$M$8182)</f>
        <v>420.133591550106</v>
      </c>
      <c r="N8181" s="38" t="n">
        <f aca="false">Q!$N$10</f>
        <v>118.892</v>
      </c>
      <c r="O8181" s="38" t="n">
        <f aca="false">Q!$O$10</f>
        <v>150.395</v>
      </c>
      <c r="P8181" s="8" t="s">
        <v>678</v>
      </c>
    </row>
    <row r="8182" customFormat="false" ht="17.15" hidden="false" customHeight="false" outlineLevel="0" collapsed="false">
      <c r="A8182" s="0" t="s">
        <v>679</v>
      </c>
      <c r="B8182" s="0" t="s">
        <v>52</v>
      </c>
      <c r="E8182" s="13" t="n">
        <f aca="false">Sens!$E$8181/Sens!$N$8181-1</f>
        <v>0.132843252699929</v>
      </c>
      <c r="F8182" s="13" t="n">
        <f aca="false">Sens!$O$8181/(Q!$F$10+Q!$G$10)-1</f>
        <v>0.0980382135842941</v>
      </c>
      <c r="G8182" s="13" t="n">
        <f aca="false">Sens!$G$8181/Sens!$D$8181-1</f>
        <v>0.0879837378791657</v>
      </c>
      <c r="H8182" s="13" t="n">
        <f aca="false">Sens!$F$8182+(g_os-Sens!$F$8182)*1/4</f>
        <v>0.0860286601882206</v>
      </c>
      <c r="I8182" s="13" t="n">
        <f aca="false">Sens!$F$8182+(g_os-Sens!$F$8182)*2/4</f>
        <v>0.074019106792147</v>
      </c>
      <c r="J8182" s="13" t="n">
        <f aca="false">Sens!$F$8182+(g_os-Sens!$F$8182)*3/4</f>
        <v>0.0620095533960735</v>
      </c>
      <c r="K8182" s="13" t="n">
        <f aca="false">Sens!$F$8182+(g_os-Sens!$F$8182)*4/4</f>
        <v>0.05</v>
      </c>
      <c r="L8182" s="13" t="n">
        <f aca="false">g_os</f>
        <v>0.05</v>
      </c>
      <c r="M8182" s="13" t="n">
        <f aca="false">g_os</f>
        <v>0.05</v>
      </c>
      <c r="P8182" s="8" t="s">
        <v>680</v>
      </c>
    </row>
    <row r="8183" customFormat="false" ht="17.15" hidden="false" customHeight="false" outlineLevel="0" collapsed="false">
      <c r="A8183" s="0" t="s">
        <v>527</v>
      </c>
      <c r="B8183" s="0" t="s">
        <v>86</v>
      </c>
      <c r="C8183" s="38" t="n">
        <f aca="false">Q!$D$11</f>
        <v>21.215</v>
      </c>
      <c r="D8183" s="38" t="n">
        <f aca="false">Q!$E$11</f>
        <v>22.561</v>
      </c>
      <c r="E8183" s="38" t="n">
        <f aca="false">Q!$P$11</f>
        <v>11.579</v>
      </c>
      <c r="F8183" s="38" t="n">
        <f aca="false">Sens!$O$8183*(1+Sens!$F$8184)*Sens!$F$8193</f>
        <v>11.5938724610325</v>
      </c>
      <c r="G8183" s="38" t="n">
        <f aca="false">Sens!$E$8183+Sens!$F$8183</f>
        <v>23.1728724610325</v>
      </c>
      <c r="H8183" s="38" t="n">
        <f aca="false">Sens!$G$8183*(1+Sens!$H$8184)</f>
        <v>24.353392759506</v>
      </c>
      <c r="I8183" s="38" t="n">
        <f aca="false">Sens!$H$8183*(1+Sens!$I$8184)</f>
        <v>25.4240338872015</v>
      </c>
      <c r="J8183" s="38" t="n">
        <f aca="false">Sens!$I$8183*(1+Sens!$J$8184)</f>
        <v>26.3642491017174</v>
      </c>
      <c r="K8183" s="38" t="n">
        <f aca="false">Sens!$J$8183*(1+Sens!$K$8184)</f>
        <v>27.155176574769</v>
      </c>
      <c r="L8183" s="38" t="n">
        <f aca="false">Sens!$K$8183*(1+Sens!$L$8184)</f>
        <v>27.969831872012</v>
      </c>
      <c r="M8183" s="38" t="n">
        <f aca="false">Sens!$L$8183*(1+Sens!$M$8184)</f>
        <v>28.8089268281724</v>
      </c>
      <c r="N8183" s="38" t="n">
        <f aca="false">Q!$N$11</f>
        <v>11.128</v>
      </c>
      <c r="O8183" s="38" t="n">
        <f aca="false">Q!$O$11</f>
        <v>11.433</v>
      </c>
      <c r="P8183" s="8" t="s">
        <v>678</v>
      </c>
    </row>
    <row r="8184" customFormat="false" ht="17.15" hidden="false" customHeight="false" outlineLevel="0" collapsed="false">
      <c r="A8184" s="0" t="s">
        <v>681</v>
      </c>
      <c r="B8184" s="0" t="s">
        <v>52</v>
      </c>
      <c r="E8184" s="13" t="n">
        <f aca="false">Sens!$E$8183/Sens!$N$8183-1</f>
        <v>0.0405283968368082</v>
      </c>
      <c r="F8184" s="13" t="n">
        <f aca="false">Sens!$O$8183/(Q!$F$11+Q!$G$11)-1</f>
        <v>0.0579254187100955</v>
      </c>
      <c r="G8184" s="13" t="n">
        <f aca="false">Sens!$G$8183/Sens!$D$8183-1</f>
        <v>0.0271208040881397</v>
      </c>
      <c r="H8184" s="13" t="n">
        <f aca="false">Sens!$F$8184+(g_ps-Sens!$F$8184)*1/4</f>
        <v>0.0509440640325716</v>
      </c>
      <c r="I8184" s="13" t="n">
        <f aca="false">Sens!$F$8184+(g_ps-Sens!$F$8184)*2/4</f>
        <v>0.0439627093550477</v>
      </c>
      <c r="J8184" s="13" t="n">
        <f aca="false">Sens!$F$8184+(g_ps-Sens!$F$8184)*3/4</f>
        <v>0.0369813546775239</v>
      </c>
      <c r="K8184" s="13" t="n">
        <f aca="false">Sens!$F$8184+(g_ps-Sens!$F$8184)*4/4</f>
        <v>0.03</v>
      </c>
      <c r="L8184" s="13" t="n">
        <f aca="false">g_ps</f>
        <v>0.03</v>
      </c>
      <c r="M8184" s="13" t="n">
        <f aca="false">g_ps</f>
        <v>0.03</v>
      </c>
      <c r="P8184" s="8" t="s">
        <v>682</v>
      </c>
    </row>
    <row r="8185" customFormat="false" ht="17.15" hidden="false" customHeight="false" outlineLevel="0" collapsed="false">
      <c r="A8185" s="0" t="s">
        <v>528</v>
      </c>
      <c r="B8185" s="0" t="s">
        <v>86</v>
      </c>
      <c r="C8185" s="38" t="n">
        <f aca="false">Q!$D$12</f>
        <v>156.146</v>
      </c>
      <c r="D8185" s="38" t="n">
        <f aca="false">Q!$E$12</f>
        <v>172.162</v>
      </c>
      <c r="E8185" s="38" t="n">
        <f aca="false">Q!$P$12</f>
        <v>88.358</v>
      </c>
      <c r="F8185" s="38" t="n">
        <f aca="false">Sens!$O$8185*(1+Sens!$F$8186)*Sens!$F$8193</f>
        <v>102.004388260171</v>
      </c>
      <c r="G8185" s="38" t="n">
        <f aca="false">Sens!$E$8185+Sens!$F$8185</f>
        <v>190.362388260171</v>
      </c>
      <c r="H8185" s="38" t="n">
        <f aca="false">Sens!$G$8185*(1+Sens!$H$8186)</f>
        <v>210.343106588311</v>
      </c>
      <c r="I8185" s="38" t="n">
        <f aca="false">Sens!$H$8185*(1+Sens!$I$8186)</f>
        <v>229.969728494648</v>
      </c>
      <c r="J8185" s="38" t="n">
        <f aca="false">Sens!$I$8185*(1+Sens!$J$8186)</f>
        <v>248.747636972598</v>
      </c>
      <c r="K8185" s="38" t="n">
        <f aca="false">Sens!$J$8185*(1+Sens!$K$8186)</f>
        <v>266.15997156068</v>
      </c>
      <c r="L8185" s="38" t="n">
        <f aca="false">Sens!$K$8185*(1+Sens!$L$8186)</f>
        <v>284.791169569927</v>
      </c>
      <c r="M8185" s="38" t="n">
        <f aca="false">Sens!$L$8185*(1+Sens!$M$8186)</f>
        <v>304.726551439822</v>
      </c>
      <c r="N8185" s="38" t="n">
        <f aca="false">Q!$N$12</f>
        <v>76.86</v>
      </c>
      <c r="O8185" s="38" t="n">
        <f aca="false">Q!$O$12</f>
        <v>95.302</v>
      </c>
      <c r="P8185" s="8" t="s">
        <v>678</v>
      </c>
    </row>
    <row r="8186" customFormat="false" ht="17.15" hidden="false" customHeight="false" outlineLevel="0" collapsed="false">
      <c r="A8186" s="0" t="s">
        <v>683</v>
      </c>
      <c r="B8186" s="0" t="s">
        <v>52</v>
      </c>
      <c r="E8186" s="13" t="n">
        <f aca="false">Sens!$E$8185/Sens!$N$8185-1</f>
        <v>0.1495966692688</v>
      </c>
      <c r="F8186" s="13" t="n">
        <f aca="false">Sens!$O$8185/(Q!$F$12+Q!$G$12)-1</f>
        <v>0.11661530890813</v>
      </c>
      <c r="G8186" s="13" t="n">
        <f aca="false">Sens!$G$8185/Sens!$D$8185-1</f>
        <v>0.105716640490767</v>
      </c>
      <c r="H8186" s="13" t="n">
        <f aca="false">Sens!$F$8186+(g_sp-Sens!$F$8186)*1/4</f>
        <v>0.104961481681098</v>
      </c>
      <c r="I8186" s="13" t="n">
        <f aca="false">Sens!$F$8186+(g_sp-Sens!$F$8186)*2/4</f>
        <v>0.0933076544540651</v>
      </c>
      <c r="J8186" s="13" t="n">
        <f aca="false">Sens!$F$8186+(g_sp-Sens!$F$8186)*3/4</f>
        <v>0.0816538272270325</v>
      </c>
      <c r="K8186" s="13" t="n">
        <f aca="false">Sens!$F$8186+(g_sp-Sens!$F$8186)*4/4</f>
        <v>0.07</v>
      </c>
      <c r="L8186" s="13" t="n">
        <f aca="false">g_sp</f>
        <v>0.07</v>
      </c>
      <c r="M8186" s="13" t="n">
        <f aca="false">g_sp</f>
        <v>0.07</v>
      </c>
      <c r="P8186" s="8" t="s">
        <v>684</v>
      </c>
    </row>
    <row r="8187" customFormat="false" ht="17.15" hidden="false" customHeight="false" outlineLevel="0" collapsed="false">
      <c r="A8187" s="0" t="s">
        <v>529</v>
      </c>
      <c r="B8187" s="0" t="s">
        <v>86</v>
      </c>
      <c r="C8187" s="38" t="n">
        <f aca="false">Q!$D$13</f>
        <v>56.214</v>
      </c>
      <c r="D8187" s="38" t="n">
        <f aca="false">Q!$E$13</f>
        <v>68.635</v>
      </c>
      <c r="E8187" s="38" t="n">
        <f aca="false">Q!$P$13</f>
        <v>37.052</v>
      </c>
      <c r="F8187" s="38" t="n">
        <f aca="false">Sens!$O$8187*(1+Sens!$F$8188)*Sens!$F$8193</f>
        <v>46.1572219944148</v>
      </c>
      <c r="G8187" s="38" t="n">
        <f aca="false">Sens!$E$8187+Sens!$F$8187</f>
        <v>83.2092219944148</v>
      </c>
      <c r="H8187" s="38" t="n">
        <f aca="false">Sens!$G$8187*(1+Sens!$H$8188)</f>
        <v>99.8969223878976</v>
      </c>
      <c r="I8187" s="38" t="n">
        <f aca="false">Sens!$H$8187*(1+Sens!$I$8188)</f>
        <v>116.583111095496</v>
      </c>
      <c r="J8187" s="38" t="n">
        <f aca="false">Sens!$I$8187*(1+Sens!$J$8188)</f>
        <v>132.148941941952</v>
      </c>
      <c r="K8187" s="38" t="n">
        <f aca="false">Sens!$J$8187*(1+Sens!$K$8188)</f>
        <v>145.363836136147</v>
      </c>
      <c r="L8187" s="38" t="n">
        <f aca="false">Sens!$K$8187*(1+Sens!$L$8188)</f>
        <v>159.900219749762</v>
      </c>
      <c r="M8187" s="38" t="n">
        <f aca="false">Sens!$L$8187*(1+Sens!$M$8188)</f>
        <v>175.890241724738</v>
      </c>
      <c r="N8187" s="38" t="n">
        <f aca="false">Q!$N$13</f>
        <v>29.615</v>
      </c>
      <c r="O8187" s="38" t="n">
        <f aca="false">Q!$O$13</f>
        <v>39.02</v>
      </c>
      <c r="P8187" s="8" t="s">
        <v>678</v>
      </c>
    </row>
    <row r="8188" customFormat="false" ht="17.15" hidden="false" customHeight="false" outlineLevel="0" collapsed="false">
      <c r="A8188" s="0" t="s">
        <v>685</v>
      </c>
      <c r="B8188" s="0" t="s">
        <v>52</v>
      </c>
      <c r="E8188" s="13" t="n">
        <f aca="false">Sens!$E$8187/Sens!$N$8187-1</f>
        <v>0.25112274185379</v>
      </c>
      <c r="F8188" s="13" t="n">
        <f aca="false">Sens!$O$8187/(Q!$F$13+Q!$G$13)-1</f>
        <v>0.234068123596572</v>
      </c>
      <c r="G8188" s="13" t="n">
        <f aca="false">Sens!$G$8187/Sens!$D$8187-1</f>
        <v>0.212343876949294</v>
      </c>
      <c r="H8188" s="13" t="n">
        <f aca="false">Sens!$F$8188+(g_ad-Sens!$F$8188)*1/4</f>
        <v>0.200551092697429</v>
      </c>
      <c r="I8188" s="13" t="n">
        <f aca="false">Sens!$F$8188+(g_ad-Sens!$F$8188)*2/4</f>
        <v>0.167034061798286</v>
      </c>
      <c r="J8188" s="13" t="n">
        <f aca="false">Sens!$F$8188+(g_ad-Sens!$F$8188)*3/4</f>
        <v>0.133517030899143</v>
      </c>
      <c r="K8188" s="13" t="n">
        <f aca="false">Sens!$F$8188+(g_ad-Sens!$F$8188)*4/4</f>
        <v>0.1</v>
      </c>
      <c r="L8188" s="13" t="n">
        <f aca="false">g_ad</f>
        <v>0.1</v>
      </c>
      <c r="M8188" s="13" t="n">
        <f aca="false">g_ad</f>
        <v>0.1</v>
      </c>
      <c r="P8188" s="8" t="s">
        <v>686</v>
      </c>
    </row>
    <row r="8189" customFormat="false" ht="17.15" hidden="false" customHeight="false" outlineLevel="0" collapsed="false">
      <c r="A8189" s="0" t="s">
        <v>530</v>
      </c>
      <c r="B8189" s="0" t="s">
        <v>86</v>
      </c>
      <c r="C8189" s="38" t="n">
        <f aca="false">Q!$D$14</f>
        <v>44.374</v>
      </c>
      <c r="D8189" s="38" t="n">
        <f aca="false">Q!$E$14</f>
        <v>49.619</v>
      </c>
      <c r="E8189" s="38" t="n">
        <f aca="false">Q!$P$14</f>
        <v>27.157</v>
      </c>
      <c r="F8189" s="38" t="n">
        <f aca="false">Sens!$O$8189*(1+Sens!$F$8190)*Sens!$F$8193</f>
        <v>27.7764165988154</v>
      </c>
      <c r="G8189" s="38" t="n">
        <f aca="false">Sens!$E$8189+Sens!$F$8189</f>
        <v>54.9334165988154</v>
      </c>
      <c r="H8189" s="38" t="n">
        <f aca="false">Sens!$G$8189*(1+Sens!$H$8190)</f>
        <v>61.1564112561829</v>
      </c>
      <c r="I8189" s="38" t="n">
        <f aca="false">Sens!$H$8189*(1+Sens!$I$8190)</f>
        <v>67.2020282103945</v>
      </c>
      <c r="J8189" s="38" t="n">
        <f aca="false">Sens!$I$8189*(1+Sens!$J$8190)</f>
        <v>72.8757274028885</v>
      </c>
      <c r="K8189" s="38" t="n">
        <f aca="false">Sens!$J$8189*(1+Sens!$K$8190)</f>
        <v>77.9770283210907</v>
      </c>
      <c r="L8189" s="38" t="n">
        <f aca="false">Sens!$K$8189*(1+Sens!$L$8190)</f>
        <v>83.4354203035671</v>
      </c>
      <c r="M8189" s="38" t="n">
        <f aca="false">Sens!$L$8189*(1+Sens!$M$8190)</f>
        <v>89.2758997248168</v>
      </c>
      <c r="N8189" s="38" t="n">
        <f aca="false">Q!$N$14</f>
        <v>23.923</v>
      </c>
      <c r="O8189" s="38" t="n">
        <f aca="false">Q!$O$14</f>
        <v>25.696</v>
      </c>
      <c r="P8189" s="8" t="s">
        <v>678</v>
      </c>
    </row>
    <row r="8190" customFormat="false" ht="17.15" hidden="false" customHeight="false" outlineLevel="0" collapsed="false">
      <c r="A8190" s="0" t="s">
        <v>687</v>
      </c>
      <c r="B8190" s="0" t="s">
        <v>52</v>
      </c>
      <c r="E8190" s="13" t="n">
        <f aca="false">Sens!$E$8189/Sens!$N$8189-1</f>
        <v>0.135183714417088</v>
      </c>
      <c r="F8190" s="13" t="n">
        <f aca="false">Sens!$O$8189/(Q!$F$14+Q!$G$14)-1</f>
        <v>0.127709997366804</v>
      </c>
      <c r="G8190" s="13" t="n">
        <f aca="false">Sens!$G$8189/Sens!$D$8189-1</f>
        <v>0.107104468022641</v>
      </c>
      <c r="H8190" s="13" t="n">
        <f aca="false">Sens!$F$8190+(g_sub-Sens!$F$8190)*1/4</f>
        <v>0.113282498025103</v>
      </c>
      <c r="I8190" s="13" t="n">
        <f aca="false">Sens!$F$8190+(g_sub-Sens!$F$8190)*2/4</f>
        <v>0.0988549986834021</v>
      </c>
      <c r="J8190" s="13" t="n">
        <f aca="false">Sens!$F$8190+(g_sub-Sens!$F$8190)*3/4</f>
        <v>0.084427499341701</v>
      </c>
      <c r="K8190" s="13" t="n">
        <f aca="false">Sens!$F$8190+(g_sub-Sens!$F$8190)*4/4</f>
        <v>0.07</v>
      </c>
      <c r="L8190" s="13" t="n">
        <f aca="false">g_sub</f>
        <v>0.07</v>
      </c>
      <c r="M8190" s="13" t="n">
        <f aca="false">g_sub</f>
        <v>0.07</v>
      </c>
      <c r="P8190" s="8" t="s">
        <v>688</v>
      </c>
    </row>
    <row r="8191" customFormat="false" ht="17.15" hidden="false" customHeight="false" outlineLevel="0" collapsed="false">
      <c r="A8191" s="0" t="s">
        <v>531</v>
      </c>
      <c r="B8191" s="0" t="s">
        <v>86</v>
      </c>
      <c r="C8191" s="38" t="n">
        <f aca="false">Q!$D$15</f>
        <v>5.425</v>
      </c>
      <c r="D8191" s="38" t="n">
        <f aca="false">Q!$E$15</f>
        <v>5.935</v>
      </c>
      <c r="E8191" s="38" t="n">
        <f aca="false">Q!$P$15</f>
        <v>3.474</v>
      </c>
      <c r="F8191" s="38" t="n">
        <f aca="false">Sens!$O$8191*(1+Sens!$F$8192)*Sens!$F$8193</f>
        <v>3.22246550883619</v>
      </c>
      <c r="G8191" s="38" t="n">
        <f aca="false">Sens!$E$8191+Sens!$F$8191</f>
        <v>6.69646550883619</v>
      </c>
      <c r="H8191" s="38" t="n">
        <f aca="false">Sens!$G$8191*(1+Sens!$H$8192)</f>
        <v>7.16251344209196</v>
      </c>
      <c r="I8191" s="38" t="n">
        <f aca="false">Sens!$H$8191*(1+Sens!$I$8192)</f>
        <v>7.61421070299826</v>
      </c>
      <c r="J8191" s="38" t="n">
        <f aca="false">Sens!$I$8191*(1+Sens!$J$8192)</f>
        <v>8.04465753523932</v>
      </c>
      <c r="K8191" s="38" t="n">
        <f aca="false">Sens!$J$8191*(1+Sens!$K$8192)</f>
        <v>8.44689041200128</v>
      </c>
      <c r="L8191" s="38" t="n">
        <f aca="false">Sens!$K$8191*(1+Sens!$L$8192)</f>
        <v>8.86923493260135</v>
      </c>
      <c r="M8191" s="38" t="n">
        <f aca="false">Sens!$L$8191*(1+Sens!$M$8192)</f>
        <v>9.31269667923142</v>
      </c>
      <c r="N8191" s="38" t="n">
        <f aca="false">Q!$N$15</f>
        <v>2.811</v>
      </c>
      <c r="O8191" s="38" t="n">
        <f aca="false">Q!$O$15</f>
        <v>3.124</v>
      </c>
      <c r="P8191" s="8" t="s">
        <v>678</v>
      </c>
    </row>
    <row r="8192" customFormat="false" ht="17.15" hidden="false" customHeight="false" outlineLevel="0" collapsed="false">
      <c r="A8192" s="0" t="s">
        <v>689</v>
      </c>
      <c r="B8192" s="0" t="s">
        <v>52</v>
      </c>
      <c r="E8192" s="13" t="n">
        <f aca="false">Sens!$E$8191/Sens!$N$8191-1</f>
        <v>0.235859124866596</v>
      </c>
      <c r="F8192" s="13" t="n">
        <f aca="false">Sens!$O$8191/(Q!$F$15+Q!$G$15)-1</f>
        <v>0.0761281433000345</v>
      </c>
      <c r="G8192" s="13" t="n">
        <f aca="false">Sens!$G$8191/Sens!$D$8191-1</f>
        <v>0.128300843948811</v>
      </c>
      <c r="H8192" s="13" t="n">
        <f aca="false">Sens!$F$8192+(g_ot-Sens!$F$8192)*1/4</f>
        <v>0.0695961074750259</v>
      </c>
      <c r="I8192" s="13" t="n">
        <f aca="false">Sens!$F$8192+(g_ot-Sens!$F$8192)*2/4</f>
        <v>0.0630640716500172</v>
      </c>
      <c r="J8192" s="13" t="n">
        <f aca="false">Sens!$F$8192+(g_ot-Sens!$F$8192)*3/4</f>
        <v>0.0565320358250086</v>
      </c>
      <c r="K8192" s="13" t="n">
        <f aca="false">Sens!$F$8192+(g_ot-Sens!$F$8192)*4/4</f>
        <v>0.05</v>
      </c>
      <c r="L8192" s="13" t="n">
        <f aca="false">g_ot</f>
        <v>0.05</v>
      </c>
      <c r="M8192" s="13" t="n">
        <f aca="false">g_ot</f>
        <v>0.05</v>
      </c>
      <c r="P8192" s="8" t="s">
        <v>690</v>
      </c>
    </row>
    <row r="8193" customFormat="false" ht="17.15" hidden="false" customHeight="false" outlineLevel="0" collapsed="false">
      <c r="A8193" s="0" t="s">
        <v>691</v>
      </c>
      <c r="B8193" s="0" t="s">
        <v>57</v>
      </c>
      <c r="F8193" s="40" t="n">
        <f aca="false">(g26q3_mid*Q!$O$8/Q!$J$8-Thesis!$F$89-Thesis!$F$93)/(Sens!$O$8181*(1+Sens!$F$8182)+Sens!$O$8183*(1+Sens!$F$8184)+Sens!$O$8185*(1+Sens!$F$8186)+Sens!$O$8187*(1+Sens!$F$8188)+Sens!$O$8189*(1+Sens!$F$8190)+Sens!$O$8191*(1+Sens!$F$8192))</f>
        <v>0.958546670622329</v>
      </c>
      <c r="P8193" s="8" t="s">
        <v>692</v>
      </c>
    </row>
    <row r="8194" customFormat="false" ht="17.15" hidden="false" customHeight="false" outlineLevel="0" collapsed="false">
      <c r="A8194" s="3" t="s">
        <v>693</v>
      </c>
      <c r="B8194" s="8" t="s">
        <v>86</v>
      </c>
      <c r="C8194" s="38" t="n">
        <f aca="false">Sens!$C$8181+Sens!$C$8183+Sens!$C$8185+Sens!$C$8187+Sens!$C$8189+Sens!$C$8191</f>
        <v>530.403</v>
      </c>
      <c r="D8194" s="38" t="n">
        <f aca="false">Sens!$D$8181+Sens!$D$8183+Sens!$D$8185+Sens!$D$8187+Sens!$D$8189+Sens!$D$8191</f>
        <v>588.199</v>
      </c>
      <c r="E8194" s="38" t="n">
        <f aca="false">Sens!$E$8181+Sens!$E$8183+Sens!$E$8185+Sens!$E$8187+Sens!$E$8189+Sens!$E$8191</f>
        <v>302.306</v>
      </c>
      <c r="F8194" s="38" t="n">
        <f aca="false">Sens!$F$8181+Sens!$F$8183+Sens!$F$8185+Sens!$F$8187+Sens!$F$8189+Sens!$F$8191</f>
        <v>349.048241645537</v>
      </c>
      <c r="G8194" s="38" t="n">
        <f aca="false">Sens!$G$8181+Sens!$G$8183+Sens!$G$8185+Sens!$G$8187+Sens!$G$8189+Sens!$G$8191</f>
        <v>651.354241645537</v>
      </c>
      <c r="H8194" s="38" t="n">
        <f aca="false">Sens!$H$8181+Sens!$H$8183+Sens!$H$8185+Sens!$H$8187+Sens!$H$8189+Sens!$H$8191</f>
        <v>721.096889521386</v>
      </c>
      <c r="I8194" s="38" t="n">
        <f aca="false">Sens!$I$8181+Sens!$I$8183+Sens!$I$8185+Sens!$I$8187+Sens!$I$8189+Sens!$I$8191</f>
        <v>788.529391152531</v>
      </c>
      <c r="J8194" s="38" t="n">
        <f aca="false">Sens!$J$8181+Sens!$J$8183+Sens!$J$8185+Sens!$J$8187+Sens!$J$8189+Sens!$J$8191</f>
        <v>851.108405741443</v>
      </c>
      <c r="K8194" s="38" t="n">
        <f aca="false">Sens!$K$8181+Sens!$K$8183+Sens!$K$8185+Sens!$K$8187+Sens!$K$8189+Sens!$K$8191</f>
        <v>906.176455431088</v>
      </c>
      <c r="L8194" s="38" t="n">
        <f aca="false">Sens!$L$8181+Sens!$L$8183+Sens!$L$8185+Sens!$L$8187+Sens!$L$8189+Sens!$L$8191</f>
        <v>965.093106475589</v>
      </c>
      <c r="M8194" s="38" t="n">
        <f aca="false">Sens!$M$8181+Sens!$M$8183+Sens!$M$8185+Sens!$M$8187+Sens!$M$8189+Sens!$M$8191</f>
        <v>1028.14790794689</v>
      </c>
      <c r="N8194" s="38" t="n">
        <f aca="false">Sens!$N$8181+Sens!$N$8183+Sens!$N$8185+Sens!$N$8187+Sens!$N$8189+Sens!$N$8191</f>
        <v>263.229</v>
      </c>
      <c r="O8194" s="38" t="n">
        <f aca="false">Sens!$O$8181+Sens!$O$8183+Sens!$O$8185+Sens!$O$8187+Sens!$O$8189+Sens!$O$8191</f>
        <v>324.97</v>
      </c>
    </row>
    <row r="8195" customFormat="false" ht="17.15" hidden="false" customHeight="false" outlineLevel="0" collapsed="false">
      <c r="A8195" s="5" t="s">
        <v>694</v>
      </c>
      <c r="B8195" s="0" t="s">
        <v>52</v>
      </c>
      <c r="C8195" s="13" t="n">
        <f aca="false">Q!$D$5/(Q!$D$5+Q!$D$6)</f>
        <v>0.730570905519011</v>
      </c>
      <c r="D8195" s="13" t="n">
        <f aca="false">Q!$E$5/(Q!$E$5+Q!$E$6)</f>
        <v>0.724763217890544</v>
      </c>
      <c r="E8195" s="13" t="n">
        <f aca="false">Q!$P$5/(Q!$P$5+Q!$P$6)</f>
        <v>0.728797972914861</v>
      </c>
      <c r="F8195" s="13" t="n">
        <f aca="false">Sens!$O$8195</f>
        <v>0.718066283041511</v>
      </c>
      <c r="G8195" s="13" t="n">
        <f aca="false">Sens!$G$8196/Sens!$G$8194</f>
        <v>0.723047066202847</v>
      </c>
      <c r="H8195" s="13" t="n">
        <f aca="false">Sens!$G$8195</f>
        <v>0.723047066202847</v>
      </c>
      <c r="I8195" s="13" t="n">
        <f aca="false">Sens!$G$8195</f>
        <v>0.723047066202847</v>
      </c>
      <c r="J8195" s="13" t="n">
        <f aca="false">Sens!$G$8195</f>
        <v>0.723047066202847</v>
      </c>
      <c r="K8195" s="13" t="n">
        <f aca="false">Sens!$G$8195</f>
        <v>0.723047066202847</v>
      </c>
      <c r="L8195" s="13" t="n">
        <f aca="false">Sens!$G$8195</f>
        <v>0.723047066202847</v>
      </c>
      <c r="M8195" s="13" t="n">
        <f aca="false">Sens!$G$8195</f>
        <v>0.723047066202847</v>
      </c>
      <c r="N8195" s="13" t="n">
        <f aca="false">Q!$N$5/(Q!$N$5+Q!$N$6)</f>
        <v>0.733030935041352</v>
      </c>
      <c r="O8195" s="13" t="n">
        <f aca="false">Q!$O$5/(Q!$O$5+Q!$O$6)</f>
        <v>0.718066283041511</v>
      </c>
      <c r="P8195" s="8" t="s">
        <v>695</v>
      </c>
    </row>
    <row r="8196" customFormat="false" ht="17.15" hidden="false" customHeight="false" outlineLevel="0" collapsed="false">
      <c r="A8196" s="1" t="s">
        <v>519</v>
      </c>
      <c r="B8196" s="8" t="s">
        <v>86</v>
      </c>
      <c r="C8196" s="38" t="n">
        <f aca="false">Q!$D$5</f>
        <v>387.497</v>
      </c>
      <c r="D8196" s="38" t="n">
        <f aca="false">Q!$E$5</f>
        <v>426.305</v>
      </c>
      <c r="E8196" s="38" t="n">
        <f aca="false">Q!$P$5</f>
        <v>220.32</v>
      </c>
      <c r="F8196" s="38" t="n">
        <f aca="false">Sens!$F$8194*Sens!$F$8195</f>
        <v>250.639773480586</v>
      </c>
      <c r="G8196" s="38" t="n">
        <f aca="false">Sens!$E$8196+Sens!$F$8196</f>
        <v>470.959773480586</v>
      </c>
      <c r="H8196" s="38" t="n">
        <f aca="false">Sens!$H$8194*Sens!$H$8195</f>
        <v>521.386990416437</v>
      </c>
      <c r="I8196" s="38" t="n">
        <f aca="false">Sens!$I$8194*Sens!$I$8195</f>
        <v>570.143862887555</v>
      </c>
      <c r="J8196" s="38" t="n">
        <f aca="false">Sens!$J$8194*Sens!$J$8195</f>
        <v>615.391435791933</v>
      </c>
      <c r="K8196" s="38" t="n">
        <f aca="false">Sens!$K$8194*Sens!$K$8195</f>
        <v>655.208227561543</v>
      </c>
      <c r="L8196" s="38" t="n">
        <f aca="false">Sens!$L$8194*Sens!$L$8195</f>
        <v>697.807739249767</v>
      </c>
      <c r="M8196" s="38" t="n">
        <f aca="false">Sens!$M$8194*Sens!$M$8195</f>
        <v>743.399328463592</v>
      </c>
      <c r="N8196" s="38" t="n">
        <f aca="false">Q!$N$5</f>
        <v>192.955</v>
      </c>
      <c r="O8196" s="38" t="n">
        <f aca="false">Q!$O$5</f>
        <v>233.35</v>
      </c>
      <c r="P8196" s="5" t="s">
        <v>696</v>
      </c>
    </row>
    <row r="8197" customFormat="false" ht="17.15" hidden="false" customHeight="false" outlineLevel="0" collapsed="false">
      <c r="A8197" s="1" t="s">
        <v>522</v>
      </c>
      <c r="B8197" s="8" t="s">
        <v>86</v>
      </c>
      <c r="C8197" s="38" t="n">
        <f aca="false">Q!$D$6</f>
        <v>142.906</v>
      </c>
      <c r="D8197" s="38" t="n">
        <f aca="false">Q!$E$6</f>
        <v>161.894</v>
      </c>
      <c r="E8197" s="38" t="n">
        <f aca="false">Q!$P$6</f>
        <v>81.986</v>
      </c>
      <c r="F8197" s="38" t="n">
        <f aca="false">Sens!$F$8194*(1-Sens!$F$8195)</f>
        <v>98.408468164951</v>
      </c>
      <c r="G8197" s="38" t="n">
        <f aca="false">Sens!$E$8197+Sens!$F$8197</f>
        <v>180.394468164951</v>
      </c>
      <c r="H8197" s="38" t="n">
        <f aca="false">Sens!$H$8194*(1-Sens!$H$8195)</f>
        <v>199.709899104949</v>
      </c>
      <c r="I8197" s="38" t="n">
        <f aca="false">Sens!$I$8194*(1-Sens!$I$8195)</f>
        <v>218.385528264976</v>
      </c>
      <c r="J8197" s="38" t="n">
        <f aca="false">Sens!$J$8194*(1-Sens!$J$8195)</f>
        <v>235.71696994951</v>
      </c>
      <c r="K8197" s="38" t="n">
        <f aca="false">Sens!$K$8194*(1-Sens!$K$8195)</f>
        <v>250.968227869545</v>
      </c>
      <c r="L8197" s="38" t="n">
        <f aca="false">Sens!$L$8194*(1-Sens!$L$8195)</f>
        <v>267.285367225822</v>
      </c>
      <c r="M8197" s="38" t="n">
        <f aca="false">Sens!$M$8194*(1-Sens!$M$8195)</f>
        <v>284.748579483295</v>
      </c>
      <c r="N8197" s="38" t="n">
        <f aca="false">Q!$N$6</f>
        <v>70.274</v>
      </c>
      <c r="O8197" s="38" t="n">
        <f aca="false">Q!$O$6</f>
        <v>91.62</v>
      </c>
      <c r="P8197" s="5" t="s">
        <v>697</v>
      </c>
    </row>
    <row r="8198" customFormat="false" ht="17.15" hidden="false" customHeight="false" outlineLevel="0" collapsed="false">
      <c r="A8198" s="5" t="s">
        <v>698</v>
      </c>
      <c r="B8198" s="0" t="s">
        <v>86</v>
      </c>
      <c r="C8198" s="38" t="n">
        <f aca="false">Sens!$C$8187*Sens!$C$8195</f>
        <v>41.0683128828457</v>
      </c>
      <c r="D8198" s="38" t="n">
        <f aca="false">Sens!$D$8187*Sens!$D$8195</f>
        <v>49.7441234599175</v>
      </c>
      <c r="E8198" s="38" t="n">
        <f aca="false">Sens!$E$8187*Sens!$E$8195</f>
        <v>27.0034224924414</v>
      </c>
      <c r="F8198" s="38" t="n">
        <f aca="false">Sens!$F$8187*Sens!$F$8195</f>
        <v>33.1439448330513</v>
      </c>
      <c r="G8198" s="38" t="n">
        <f aca="false">Sens!$G$8187*Sens!$G$8195</f>
        <v>60.164183844083</v>
      </c>
      <c r="H8198" s="38" t="n">
        <f aca="false">Sens!$H$8187*Sens!$H$8195</f>
        <v>72.2301766552629</v>
      </c>
      <c r="I8198" s="38" t="n">
        <f aca="false">Sens!$I$8187*Sens!$I$8195</f>
        <v>84.2950764463991</v>
      </c>
      <c r="J8198" s="38" t="n">
        <f aca="false">Sens!$J$8187*Sens!$J$8195</f>
        <v>95.5499047729386</v>
      </c>
      <c r="K8198" s="38" t="n">
        <f aca="false">Sens!$K$8187*Sens!$K$8195</f>
        <v>105.104895250232</v>
      </c>
      <c r="L8198" s="38" t="n">
        <f aca="false">Sens!$L$8187*Sens!$L$8195</f>
        <v>115.615384775256</v>
      </c>
      <c r="M8198" s="38" t="n">
        <f aca="false">Sens!$M$8187*Sens!$M$8195</f>
        <v>127.176923252781</v>
      </c>
      <c r="N8198" s="38" t="n">
        <f aca="false">Sens!$N$8187*Sens!$N$8195</f>
        <v>21.7087111412496</v>
      </c>
      <c r="O8198" s="38" t="n">
        <f aca="false">Sens!$O$8187*Sens!$O$8195</f>
        <v>28.0189463642798</v>
      </c>
      <c r="P8198" s="5" t="s">
        <v>699</v>
      </c>
    </row>
    <row r="8199" customFormat="false" ht="15" hidden="false" customHeight="false" outlineLevel="0" collapsed="false">
      <c r="A8199" s="5" t="s">
        <v>700</v>
      </c>
      <c r="B8199" s="0" t="s">
        <v>86</v>
      </c>
      <c r="C8199" s="38" t="n">
        <f aca="false">Sens!$C$8187-Sens!$C$8198</f>
        <v>15.1456871171543</v>
      </c>
      <c r="D8199" s="38" t="n">
        <f aca="false">Sens!$D$8187-Sens!$D$8198</f>
        <v>18.8908765400825</v>
      </c>
      <c r="E8199" s="38" t="n">
        <f aca="false">Sens!$E$8187-Sens!$E$8198</f>
        <v>10.0485775075586</v>
      </c>
      <c r="F8199" s="38" t="n">
        <f aca="false">Sens!$F$8187-Sens!$F$8198</f>
        <v>13.0132771613635</v>
      </c>
      <c r="G8199" s="38" t="n">
        <f aca="false">Sens!$G$8187-Sens!$G$8198</f>
        <v>23.0450381503318</v>
      </c>
      <c r="H8199" s="38" t="n">
        <f aca="false">Sens!$H$8187-Sens!$H$8198</f>
        <v>27.6667457326347</v>
      </c>
      <c r="I8199" s="38" t="n">
        <f aca="false">Sens!$I$8187-Sens!$I$8198</f>
        <v>32.2880346490971</v>
      </c>
      <c r="J8199" s="38" t="n">
        <f aca="false">Sens!$J$8187-Sens!$J$8198</f>
        <v>36.5990371690132</v>
      </c>
      <c r="K8199" s="38" t="n">
        <f aca="false">Sens!$K$8187-Sens!$K$8198</f>
        <v>40.2589408859145</v>
      </c>
      <c r="L8199" s="38" t="n">
        <f aca="false">Sens!$L$8187-Sens!$L$8198</f>
        <v>44.2848349745059</v>
      </c>
      <c r="M8199" s="38" t="n">
        <f aca="false">Sens!$M$8187-Sens!$M$8198</f>
        <v>48.7133184719565</v>
      </c>
      <c r="N8199" s="38" t="n">
        <f aca="false">Sens!$N$8187-Sens!$N$8198</f>
        <v>7.90628885875037</v>
      </c>
      <c r="O8199" s="38" t="n">
        <f aca="false">Sens!$O$8187-Sens!$O$8198</f>
        <v>11.0010536357202</v>
      </c>
    </row>
    <row r="8200" customFormat="false" ht="19.4" hidden="false" customHeight="false" outlineLevel="0" collapsed="false">
      <c r="A8200" s="31" t="s">
        <v>1318</v>
      </c>
    </row>
    <row r="8201" customFormat="false" ht="17.15" hidden="false" customHeight="false" outlineLevel="0" collapsed="false">
      <c r="A8201" s="6" t="s">
        <v>16</v>
      </c>
      <c r="B8201" s="6" t="s">
        <v>17</v>
      </c>
      <c r="C8201" s="20" t="s">
        <v>504</v>
      </c>
      <c r="D8201" s="20" t="s">
        <v>505</v>
      </c>
      <c r="E8201" s="20" t="s">
        <v>587</v>
      </c>
      <c r="F8201" s="20" t="s">
        <v>588</v>
      </c>
      <c r="G8201" s="20" t="s">
        <v>589</v>
      </c>
      <c r="H8201" s="20" t="s">
        <v>590</v>
      </c>
      <c r="I8201" s="20" t="s">
        <v>591</v>
      </c>
      <c r="J8201" s="20" t="s">
        <v>592</v>
      </c>
      <c r="K8201" s="20" t="s">
        <v>593</v>
      </c>
      <c r="L8201" s="20" t="s">
        <v>594</v>
      </c>
      <c r="M8201" s="20" t="s">
        <v>595</v>
      </c>
      <c r="N8201" s="20" t="s">
        <v>596</v>
      </c>
      <c r="O8201" s="20" t="s">
        <v>597</v>
      </c>
      <c r="P8201" s="6" t="s">
        <v>23</v>
      </c>
      <c r="R8201" s="20" t="n">
        <v>2023</v>
      </c>
      <c r="S8201" s="20" t="n">
        <v>2024</v>
      </c>
      <c r="T8201" s="20" t="n">
        <v>2025</v>
      </c>
      <c r="U8201" s="20" t="n">
        <v>2026</v>
      </c>
      <c r="V8201" s="20" t="n">
        <v>2027</v>
      </c>
      <c r="W8201" s="20" t="n">
        <v>2028</v>
      </c>
      <c r="X8201" s="20" t="n">
        <v>2029</v>
      </c>
      <c r="Y8201" s="20" t="n">
        <v>2030</v>
      </c>
      <c r="Z8201" s="20" t="n">
        <v>2031</v>
      </c>
      <c r="AA8201" s="20" t="n">
        <v>2032</v>
      </c>
    </row>
    <row r="8202" customFormat="false" ht="17.15" hidden="false" customHeight="false" outlineLevel="0" collapsed="false">
      <c r="A8202" s="1" t="s">
        <v>598</v>
      </c>
    </row>
    <row r="8203" customFormat="false" ht="17.15" hidden="false" customHeight="false" outlineLevel="0" collapsed="false">
      <c r="A8203" s="5" t="s">
        <v>599</v>
      </c>
      <c r="B8203" s="0" t="s">
        <v>144</v>
      </c>
      <c r="H8203" s="32" t="n">
        <f aca="false">pace_B</f>
        <v>3634.3</v>
      </c>
      <c r="I8203" s="32" t="n">
        <f aca="false">pace_B</f>
        <v>3634.3</v>
      </c>
      <c r="J8203" s="32" t="n">
        <f aca="false">pace_B</f>
        <v>3634.3</v>
      </c>
      <c r="K8203" s="32" t="n">
        <f aca="false">pace_B+(Sens!$J$8204*tg-pace_B)*1/3</f>
        <v>2570.86716666667</v>
      </c>
      <c r="L8203" s="32" t="n">
        <f aca="false">pace_B+(Sens!$J$8204*tg-pace_B)*2/3</f>
        <v>1507.43433333333</v>
      </c>
      <c r="M8203" s="32" t="n">
        <f aca="false">pace_B+(Sens!$J$8204*tg-pace_B)*3/3</f>
        <v>444.0015</v>
      </c>
      <c r="P8203" s="5" t="s">
        <v>600</v>
      </c>
    </row>
    <row r="8204" customFormat="false" ht="17.15" hidden="false" customHeight="false" outlineLevel="0" collapsed="false">
      <c r="A8204" s="15" t="s">
        <v>601</v>
      </c>
      <c r="B8204" s="14" t="s">
        <v>129</v>
      </c>
      <c r="C8204" s="33" t="n">
        <f aca="false">mw_ye24</f>
        <v>360</v>
      </c>
      <c r="D8204" s="33" t="n">
        <f aca="false">mw_ye25</f>
        <v>1440</v>
      </c>
      <c r="E8204" s="33" t="n">
        <f aca="false">mw_open</f>
        <v>2080</v>
      </c>
      <c r="F8204" s="33" t="n">
        <f aca="false">Sens!$E$8204+pace_B*0.5</f>
        <v>3897.15</v>
      </c>
      <c r="G8204" s="33" t="n">
        <f aca="false">Sens!$F$8204</f>
        <v>3897.15</v>
      </c>
      <c r="H8204" s="33" t="n">
        <f aca="false">Sens!$G$8204+Sens!$H$8203</f>
        <v>7531.45</v>
      </c>
      <c r="I8204" s="33" t="n">
        <f aca="false">Sens!$H$8204+Sens!$I$8203</f>
        <v>11165.75</v>
      </c>
      <c r="J8204" s="33" t="n">
        <f aca="false">Sens!$I$8204+Sens!$J$8203</f>
        <v>14800.05</v>
      </c>
      <c r="K8204" s="33" t="n">
        <f aca="false">Sens!$J$8204+Sens!$K$8203</f>
        <v>17370.9171666667</v>
      </c>
      <c r="L8204" s="33" t="n">
        <f aca="false">Sens!$K$8204+Sens!$L$8203</f>
        <v>18878.3515</v>
      </c>
      <c r="M8204" s="33" t="n">
        <f aca="false">Sens!$L$8204+Sens!$M$8203</f>
        <v>19322.353</v>
      </c>
      <c r="N8204" s="33" t="n">
        <f aca="false">(mw_ye24+mw_ye25)/2</f>
        <v>900</v>
      </c>
      <c r="O8204" s="33" t="n">
        <f aca="false">mw_ye25</f>
        <v>1440</v>
      </c>
      <c r="P8204" s="5" t="s">
        <v>602</v>
      </c>
    </row>
    <row r="8205" customFormat="false" ht="17.15" hidden="false" customHeight="false" outlineLevel="0" collapsed="false">
      <c r="A8205" s="5" t="s">
        <v>603</v>
      </c>
      <c r="B8205" s="0" t="s">
        <v>129</v>
      </c>
      <c r="C8205" s="32" t="n">
        <f aca="false">(mw_ye23+mw_ye24)/2</f>
        <v>240</v>
      </c>
      <c r="D8205" s="32" t="n">
        <f aca="false">(Sens!$C$8204+Sens!$D$8204)/2</f>
        <v>900</v>
      </c>
      <c r="E8205" s="32" t="n">
        <f aca="false">(Sens!$D$8204+Sens!$E$8204)/2</f>
        <v>1760</v>
      </c>
      <c r="F8205" s="32" t="n">
        <f aca="false">(Sens!$E$8204+Sens!$F$8204)/2</f>
        <v>2988.575</v>
      </c>
      <c r="G8205" s="32" t="n">
        <f aca="false">(Sens!$E$8205+Sens!$F$8205)/2</f>
        <v>2374.2875</v>
      </c>
      <c r="H8205" s="32" t="n">
        <f aca="false">(Sens!$G$8204+Sens!$H$8204)/2</f>
        <v>5714.3</v>
      </c>
      <c r="I8205" s="32" t="n">
        <f aca="false">(Sens!$H$8204+Sens!$I$8204)/2</f>
        <v>9348.6</v>
      </c>
      <c r="J8205" s="32" t="n">
        <f aca="false">(Sens!$I$8204+Sens!$J$8204)/2</f>
        <v>12982.9</v>
      </c>
      <c r="K8205" s="32" t="n">
        <f aca="false">(Sens!$J$8204+Sens!$K$8204)/2</f>
        <v>16085.4835833333</v>
      </c>
      <c r="L8205" s="32" t="n">
        <f aca="false">(Sens!$K$8204+Sens!$L$8204)/2</f>
        <v>18124.6343333333</v>
      </c>
      <c r="M8205" s="32" t="n">
        <f aca="false">(Sens!$L$8204+Sens!$M$8204)/2</f>
        <v>19100.35225</v>
      </c>
      <c r="N8205" s="32" t="n">
        <f aca="false">(Sens!$C$8204+Sens!$N$8204)/2</f>
        <v>630</v>
      </c>
      <c r="O8205" s="32" t="n">
        <f aca="false">(Sens!$N$8204+Sens!$O$8204)/2</f>
        <v>1170</v>
      </c>
    </row>
    <row r="8206" customFormat="false" ht="15" hidden="false" customHeight="false" outlineLevel="0" collapsed="false">
      <c r="A8206" s="5" t="s">
        <v>604</v>
      </c>
      <c r="B8206" s="5" t="s">
        <v>123</v>
      </c>
      <c r="C8206" s="34" t="n">
        <v>1</v>
      </c>
      <c r="D8206" s="34" t="n">
        <v>1</v>
      </c>
      <c r="E8206" s="34" t="n">
        <v>0.5</v>
      </c>
      <c r="F8206" s="34" t="n">
        <v>0.5</v>
      </c>
      <c r="G8206" s="34" t="n">
        <v>1</v>
      </c>
      <c r="H8206" s="34" t="n">
        <v>1</v>
      </c>
      <c r="I8206" s="34" t="n">
        <v>1</v>
      </c>
      <c r="J8206" s="34" t="n">
        <v>1</v>
      </c>
      <c r="K8206" s="34" t="n">
        <v>1</v>
      </c>
      <c r="L8206" s="34" t="n">
        <v>1</v>
      </c>
      <c r="M8206" s="34" t="n">
        <v>1</v>
      </c>
      <c r="N8206" s="34" t="n">
        <v>0.5</v>
      </c>
      <c r="O8206" s="34" t="n">
        <v>0.5</v>
      </c>
    </row>
    <row r="8207" customFormat="false" ht="17.15" hidden="false" customHeight="false" outlineLevel="0" collapsed="false">
      <c r="A8207" s="5" t="s">
        <v>605</v>
      </c>
      <c r="B8207" s="0" t="s">
        <v>129</v>
      </c>
      <c r="C8207" s="32" t="n">
        <f aca="false">Sens!$C$8204-mw_ye23</f>
        <v>240</v>
      </c>
      <c r="D8207" s="32" t="n">
        <f aca="false">Sens!$D$8204-Sens!$C$8204</f>
        <v>1080</v>
      </c>
      <c r="E8207" s="32" t="n">
        <f aca="false">Sens!$E$8204-Sens!$D$8204</f>
        <v>640</v>
      </c>
      <c r="F8207" s="32" t="n">
        <f aca="false">Sens!$F$8204-Sens!$E$8204</f>
        <v>1817.15</v>
      </c>
      <c r="G8207" s="32" t="n">
        <f aca="false">Sens!$E$8207+Sens!$F$8207</f>
        <v>2457.15</v>
      </c>
      <c r="H8207" s="32" t="n">
        <f aca="false">Sens!$H$8204-Sens!$G$8204</f>
        <v>3634.3</v>
      </c>
      <c r="I8207" s="32" t="n">
        <f aca="false">Sens!$I$8204-Sens!$H$8204</f>
        <v>3634.3</v>
      </c>
      <c r="J8207" s="32" t="n">
        <f aca="false">Sens!$J$8204-Sens!$I$8204</f>
        <v>3634.3</v>
      </c>
      <c r="K8207" s="32" t="n">
        <f aca="false">Sens!$K$8204-Sens!$J$8204</f>
        <v>2570.86716666667</v>
      </c>
      <c r="L8207" s="32" t="n">
        <f aca="false">Sens!$L$8204-Sens!$K$8204</f>
        <v>1507.43433333333</v>
      </c>
      <c r="M8207" s="32" t="n">
        <f aca="false">Sens!$M$8204-Sens!$L$8204</f>
        <v>444.001499999999</v>
      </c>
      <c r="N8207" s="32" t="n">
        <f aca="false">Sens!$N$8204-Sens!$C$8204</f>
        <v>540</v>
      </c>
      <c r="O8207" s="32" t="n">
        <f aca="false">Sens!$O$8204-Sens!$N$8204</f>
        <v>540</v>
      </c>
    </row>
    <row r="8208" customFormat="false" ht="17.15" hidden="false" customHeight="false" outlineLevel="0" collapsed="false">
      <c r="A8208" s="5" t="s">
        <v>606</v>
      </c>
      <c r="B8208" s="0" t="s">
        <v>129</v>
      </c>
      <c r="C8208" s="32" t="n">
        <f aca="false">Sens!$C$8207/ext_sh</f>
        <v>300</v>
      </c>
      <c r="D8208" s="32" t="n">
        <f aca="false">Sens!$D$8207/ext_sh</f>
        <v>1350</v>
      </c>
      <c r="E8208" s="32" t="n">
        <f aca="false">Sens!$E$8207/ext_sh</f>
        <v>800</v>
      </c>
      <c r="F8208" s="32" t="n">
        <f aca="false">Sens!$F$8207/ext_sh</f>
        <v>2271.4375</v>
      </c>
      <c r="G8208" s="32" t="n">
        <f aca="false">Sens!$G$8207/ext_sh</f>
        <v>3071.4375</v>
      </c>
      <c r="H8208" s="32" t="n">
        <f aca="false">Sens!$H$8207/ext_sh</f>
        <v>4542.875</v>
      </c>
      <c r="I8208" s="32" t="n">
        <f aca="false">Sens!$I$8207/ext_sh</f>
        <v>4542.875</v>
      </c>
      <c r="J8208" s="32" t="n">
        <f aca="false">Sens!$J$8207/ext_sh</f>
        <v>4542.875</v>
      </c>
      <c r="K8208" s="32" t="n">
        <f aca="false">Sens!$K$8207/ext_sh</f>
        <v>3213.58395833333</v>
      </c>
      <c r="L8208" s="32" t="n">
        <f aca="false">Sens!$L$8207/ext_sh</f>
        <v>1884.29291666667</v>
      </c>
      <c r="M8208" s="32" t="n">
        <f aca="false">Sens!$M$8207/ext_sh</f>
        <v>555.001874999998</v>
      </c>
      <c r="N8208" s="32" t="n">
        <f aca="false">Sens!$N$8207/ext_sh</f>
        <v>675</v>
      </c>
      <c r="O8208" s="32" t="n">
        <f aca="false">Sens!$O$8207/ext_sh</f>
        <v>675</v>
      </c>
      <c r="P8208" s="8" t="s">
        <v>607</v>
      </c>
      <c r="R8208" s="32" t="n">
        <f aca="false">mw_ye23/ext_sh</f>
        <v>150</v>
      </c>
      <c r="S8208" s="32" t="n">
        <f aca="false">Sens!$C$8208</f>
        <v>300</v>
      </c>
      <c r="T8208" s="32" t="n">
        <f aca="false">Sens!$D$8208</f>
        <v>1350</v>
      </c>
      <c r="U8208" s="32" t="n">
        <f aca="false">Sens!$G$8208</f>
        <v>3071.4375</v>
      </c>
      <c r="V8208" s="32" t="n">
        <f aca="false">Sens!$H$8208</f>
        <v>4542.875</v>
      </c>
      <c r="W8208" s="32" t="n">
        <f aca="false">Sens!$I$8208</f>
        <v>4542.875</v>
      </c>
      <c r="X8208" s="32" t="n">
        <f aca="false">Sens!$J$8208</f>
        <v>4542.875</v>
      </c>
      <c r="Y8208" s="32" t="n">
        <f aca="false">Sens!$K$8208</f>
        <v>3213.58395833333</v>
      </c>
      <c r="Z8208" s="32" t="n">
        <f aca="false">Sens!$L$8208</f>
        <v>1884.29291666667</v>
      </c>
      <c r="AA8208" s="32" t="n">
        <f aca="false">Sens!$M$8208</f>
        <v>555.001874999998</v>
      </c>
    </row>
    <row r="8209" customFormat="false" ht="17.15" hidden="false" customHeight="false" outlineLevel="0" collapsed="false">
      <c r="A8209" s="1" t="s">
        <v>608</v>
      </c>
    </row>
    <row r="8210" customFormat="false" ht="17.15" hidden="false" customHeight="false" outlineLevel="0" collapsed="false">
      <c r="A8210" s="0" t="s">
        <v>609</v>
      </c>
      <c r="B8210" s="0" t="s">
        <v>52</v>
      </c>
      <c r="F8210" s="35" t="n">
        <f aca="false">na_vr26</f>
        <v>0</v>
      </c>
      <c r="G8210" s="35" t="n">
        <f aca="false">na_vr26</f>
        <v>0</v>
      </c>
      <c r="H8210" s="35" t="n">
        <f aca="false">na_vr27</f>
        <v>0.5</v>
      </c>
      <c r="I8210" s="35" t="n">
        <f aca="false">na_vr28</f>
        <v>1</v>
      </c>
      <c r="J8210" s="35" t="n">
        <f aca="false">na_vr28</f>
        <v>1</v>
      </c>
      <c r="K8210" s="35" t="n">
        <f aca="false">na_vr28</f>
        <v>1</v>
      </c>
      <c r="L8210" s="35" t="n">
        <f aca="false">na_vr28</f>
        <v>1</v>
      </c>
      <c r="M8210" s="35" t="n">
        <f aca="false">na_vr28</f>
        <v>1</v>
      </c>
    </row>
    <row r="8211" customFormat="false" ht="17.15" hidden="false" customHeight="false" outlineLevel="0" collapsed="false">
      <c r="A8211" s="5" t="s">
        <v>610</v>
      </c>
      <c r="B8211" s="0" t="s">
        <v>173</v>
      </c>
      <c r="F8211" s="36" t="n">
        <f aca="false">cust_sh*tk_he_gb300*cf_chip+(1-cust_sh)*((1-Sens!$F$8210)*tk_he_gb300+Sens!$F$8210*tk_he_vr200)</f>
        <v>10.8864110021101</v>
      </c>
      <c r="G8211" s="36" t="n">
        <f aca="false">cust_sh*tk_he_gb300*cf_chip+(1-cust_sh)*((1-Sens!$G$8210)*tk_he_gb300+Sens!$G$8210*tk_he_vr200)</f>
        <v>10.8864110021101</v>
      </c>
      <c r="H8211" s="36" t="n">
        <f aca="false">cust_sh*tk_he_gb300*cf_chip+(1-cust_sh)*((1-Sens!$H$8210)*tk_he_gb300+Sens!$H$8210*tk_he_vr200)</f>
        <v>11.2211760027286</v>
      </c>
      <c r="I8211" s="36" t="n">
        <f aca="false">cust_sh*tk_he_gb300*cf_chip+(1-cust_sh)*((1-Sens!$I$8210)*tk_he_gb300+Sens!$I$8210*tk_he_vr200)</f>
        <v>11.5559410033471</v>
      </c>
      <c r="J8211" s="36" t="n">
        <f aca="false">cust_sh*tk_he_gb300*cf_chip+(1-cust_sh)*((1-Sens!$J$8210)*tk_he_gb300+Sens!$J$8210*tk_he_vr200)</f>
        <v>11.5559410033471</v>
      </c>
      <c r="K8211" s="36" t="n">
        <f aca="false">cust_sh*tk_he_gb300*cf_chip+(1-cust_sh)*((1-Sens!$K$8210)*tk_he_gb300+Sens!$K$8210*tk_he_vr200)</f>
        <v>11.5559410033471</v>
      </c>
      <c r="L8211" s="36" t="n">
        <f aca="false">cust_sh*tk_he_gb300*cf_chip+(1-cust_sh)*((1-Sens!$L$8210)*tk_he_gb300+Sens!$L$8210*tk_he_vr200)</f>
        <v>11.5559410033471</v>
      </c>
      <c r="M8211" s="36" t="n">
        <f aca="false">cust_sh*tk_he_gb300*cf_chip+(1-cust_sh)*((1-Sens!$M$8210)*tk_he_gb300+Sens!$M$8210*tk_he_vr200)</f>
        <v>11.5559410033471</v>
      </c>
    </row>
    <row r="8212" customFormat="false" ht="17.15" hidden="false" customHeight="false" outlineLevel="0" collapsed="false">
      <c r="A8212" s="5" t="s">
        <v>611</v>
      </c>
      <c r="B8212" s="0" t="s">
        <v>173</v>
      </c>
      <c r="F8212" s="36" t="n">
        <f aca="false">cust_sh*tk_ox_gb300+(1-cust_sh)*((1-Sens!$F$8210)*tk_ox_gb300+Sens!$F$8210*tk_ox_vr200)</f>
        <v>1.98263481314457</v>
      </c>
      <c r="G8212" s="36" t="n">
        <f aca="false">cust_sh*tk_ox_gb300+(1-cust_sh)*((1-Sens!$G$8210)*tk_ox_gb300+Sens!$G$8210*tk_ox_vr200)</f>
        <v>1.98263481314457</v>
      </c>
      <c r="H8212" s="36" t="n">
        <f aca="false">cust_sh*tk_ox_gb300+(1-cust_sh)*((1-Sens!$H$8210)*tk_ox_gb300+Sens!$H$8210*tk_ox_vr200)</f>
        <v>2.01034999693694</v>
      </c>
      <c r="I8212" s="36" t="n">
        <f aca="false">cust_sh*tk_ox_gb300+(1-cust_sh)*((1-Sens!$I$8210)*tk_ox_gb300+Sens!$I$8210*tk_ox_vr200)</f>
        <v>2.0380651807293</v>
      </c>
      <c r="J8212" s="36" t="n">
        <f aca="false">cust_sh*tk_ox_gb300+(1-cust_sh)*((1-Sens!$J$8210)*tk_ox_gb300+Sens!$J$8210*tk_ox_vr200)</f>
        <v>2.0380651807293</v>
      </c>
      <c r="K8212" s="36" t="n">
        <f aca="false">cust_sh*tk_ox_gb300+(1-cust_sh)*((1-Sens!$K$8210)*tk_ox_gb300+Sens!$K$8210*tk_ox_vr200)</f>
        <v>2.0380651807293</v>
      </c>
      <c r="L8212" s="36" t="n">
        <f aca="false">cust_sh*tk_ox_gb300+(1-cust_sh)*((1-Sens!$L$8210)*tk_ox_gb300+Sens!$L$8210*tk_ox_vr200)</f>
        <v>2.0380651807293</v>
      </c>
      <c r="M8212" s="36" t="n">
        <f aca="false">cust_sh*tk_ox_gb300+(1-cust_sh)*((1-Sens!$M$8210)*tk_ox_gb300+Sens!$M$8210*tk_ox_vr200)</f>
        <v>2.0380651807293</v>
      </c>
    </row>
    <row r="8213" customFormat="false" ht="17.15" hidden="false" customHeight="false" outlineLevel="0" collapsed="false">
      <c r="A8213" s="5" t="s">
        <v>612</v>
      </c>
      <c r="B8213" s="0" t="s">
        <v>192</v>
      </c>
      <c r="F8213" s="36" t="n">
        <f aca="false">cust_sh*tk_cx_gb300*cf_cx+(1-cust_sh)*((1-Sens!$F$8210)*tk_cx_gb300+Sens!$F$8210*tk_cx_vr200)</f>
        <v>32.237224</v>
      </c>
      <c r="G8213" s="36" t="n">
        <f aca="false">cust_sh*tk_cx_gb300*cf_cx+(1-cust_sh)*((1-Sens!$G$8210)*tk_cx_gb300+Sens!$G$8210*tk_cx_vr200)</f>
        <v>32.237224</v>
      </c>
      <c r="H8213" s="36" t="n">
        <f aca="false">cust_sh*tk_cx_gb300*cf_cx+(1-cust_sh)*((1-Sens!$H$8210)*tk_cx_gb300+Sens!$H$8210*tk_cx_vr200)</f>
        <v>33.574506</v>
      </c>
      <c r="I8213" s="36" t="n">
        <f aca="false">cust_sh*tk_cx_gb300*cf_cx+(1-cust_sh)*((1-Sens!$I$8210)*tk_cx_gb300+Sens!$I$8210*tk_cx_vr200)</f>
        <v>34.911788</v>
      </c>
      <c r="J8213" s="36" t="n">
        <f aca="false">cust_sh*tk_cx_gb300*cf_cx+(1-cust_sh)*((1-Sens!$J$8210)*tk_cx_gb300+Sens!$J$8210*tk_cx_vr200)</f>
        <v>34.911788</v>
      </c>
      <c r="K8213" s="36" t="n">
        <f aca="false">cust_sh*tk_cx_gb300*cf_cx+(1-cust_sh)*((1-Sens!$K$8210)*tk_cx_gb300+Sens!$K$8210*tk_cx_vr200)</f>
        <v>34.911788</v>
      </c>
      <c r="L8213" s="36" t="n">
        <f aca="false">cust_sh*tk_cx_gb300*cf_cx+(1-cust_sh)*((1-Sens!$L$8210)*tk_cx_gb300+Sens!$L$8210*tk_cx_vr200)</f>
        <v>34.911788</v>
      </c>
      <c r="M8213" s="36" t="n">
        <f aca="false">cust_sh*tk_cx_gb300*cf_cx+(1-cust_sh)*((1-Sens!$M$8210)*tk_cx_gb300+Sens!$M$8210*tk_cx_vr200)</f>
        <v>34.911788</v>
      </c>
    </row>
    <row r="8214" customFormat="false" ht="17.15" hidden="false" customHeight="false" outlineLevel="0" collapsed="false">
      <c r="A8214" s="5" t="s">
        <v>613</v>
      </c>
      <c r="B8214" s="0" t="s">
        <v>129</v>
      </c>
      <c r="F8214" s="32" t="n">
        <f aca="false">Sens!$F$8204-mw_open</f>
        <v>1817.15</v>
      </c>
      <c r="G8214" s="32" t="n">
        <f aca="false">Sens!$F$8214</f>
        <v>1817.15</v>
      </c>
      <c r="H8214" s="32" t="n">
        <f aca="false">Sens!$H$8204-mw_open</f>
        <v>5451.45</v>
      </c>
      <c r="I8214" s="32" t="n">
        <f aca="false">Sens!$I$8204-mw_open</f>
        <v>9085.75</v>
      </c>
      <c r="J8214" s="32" t="n">
        <f aca="false">Sens!$J$8204-mw_open</f>
        <v>12720.05</v>
      </c>
      <c r="K8214" s="32" t="n">
        <f aca="false">Sens!$K$8204-mw_open</f>
        <v>15290.9171666667</v>
      </c>
      <c r="L8214" s="32" t="n">
        <f aca="false">Sens!$L$8204-mw_open</f>
        <v>16798.3515</v>
      </c>
      <c r="M8214" s="32" t="n">
        <f aca="false">Sens!$M$8204-mw_open</f>
        <v>17242.353</v>
      </c>
    </row>
    <row r="8215" customFormat="false" ht="17.15" hidden="false" customHeight="false" outlineLevel="0" collapsed="false">
      <c r="A8215" s="0" t="s">
        <v>614</v>
      </c>
      <c r="B8215" s="0" t="s">
        <v>615</v>
      </c>
      <c r="F8215" s="32" t="n">
        <f aca="false">Sens!$F$8207*Sens!$F$8211</f>
        <v>19782.2417524844</v>
      </c>
      <c r="G8215" s="32" t="n">
        <f aca="false">Sens!$F$8215</f>
        <v>19782.2417524844</v>
      </c>
      <c r="H8215" s="32" t="n">
        <f aca="false">Sens!$G$8215+Sens!$H$8207*Sens!$H$8211</f>
        <v>60563.3616992009</v>
      </c>
      <c r="I8215" s="32" t="n">
        <f aca="false">Sens!$H$8215+Sens!$I$8207*Sens!$I$8211</f>
        <v>102561.118087665</v>
      </c>
      <c r="J8215" s="32" t="n">
        <f aca="false">Sens!$I$8215+Sens!$J$8207*Sens!$J$8211</f>
        <v>144558.87447613</v>
      </c>
      <c r="K8215" s="32" t="n">
        <f aca="false">Sens!$J$8215+Sens!$K$8207*Sens!$K$8211</f>
        <v>174267.663781572</v>
      </c>
      <c r="L8215" s="32" t="n">
        <f aca="false">Sens!$K$8215+Sens!$L$8207*Sens!$L$8211</f>
        <v>191687.486003992</v>
      </c>
      <c r="M8215" s="32" t="n">
        <f aca="false">Sens!$L$8215+Sens!$M$8207*Sens!$M$8211</f>
        <v>196818.341143389</v>
      </c>
    </row>
    <row r="8216" customFormat="false" ht="17.15" hidden="false" customHeight="false" outlineLevel="0" collapsed="false">
      <c r="A8216" s="0" t="s">
        <v>616</v>
      </c>
      <c r="B8216" s="0" t="s">
        <v>615</v>
      </c>
      <c r="F8216" s="32" t="n">
        <f aca="false">Sens!$F$8207*Sens!$F$8212</f>
        <v>3602.74485070566</v>
      </c>
      <c r="G8216" s="32" t="n">
        <f aca="false">Sens!$F$8216</f>
        <v>3602.74485070566</v>
      </c>
      <c r="H8216" s="32" t="n">
        <f aca="false">Sens!$G$8216+Sens!$H$8207*Sens!$H$8212</f>
        <v>10908.9598445736</v>
      </c>
      <c r="I8216" s="32" t="n">
        <f aca="false">Sens!$H$8216+Sens!$I$8207*Sens!$I$8212</f>
        <v>18315.9001308981</v>
      </c>
      <c r="J8216" s="32" t="n">
        <f aca="false">Sens!$I$8216+Sens!$J$8207*Sens!$J$8212</f>
        <v>25722.8404172225</v>
      </c>
      <c r="K8216" s="32" t="n">
        <f aca="false">Sens!$J$8216+Sens!$K$8207*Sens!$K$8212</f>
        <v>30962.4352738861</v>
      </c>
      <c r="L8216" s="32" t="n">
        <f aca="false">Sens!$K$8216+Sens!$L$8207*Sens!$L$8212</f>
        <v>34034.6847008886</v>
      </c>
      <c r="M8216" s="32" t="n">
        <f aca="false">Sens!$L$8216+Sens!$M$8207*Sens!$M$8212</f>
        <v>34939.5886982302</v>
      </c>
    </row>
    <row r="8217" customFormat="false" ht="17.15" hidden="false" customHeight="false" outlineLevel="0" collapsed="false">
      <c r="A8217" s="5" t="s">
        <v>617</v>
      </c>
      <c r="B8217" s="0" t="s">
        <v>173</v>
      </c>
      <c r="F8217" s="36" t="n">
        <f aca="false">IF(Sens!$F$8214&gt;0,Sens!$F$8215/Sens!$F$8214,Sens!$F$8211)</f>
        <v>10.8864110021101</v>
      </c>
      <c r="G8217" s="36" t="n">
        <f aca="false">IF(Sens!$G$8214&gt;0,Sens!$G$8215/Sens!$G$8214,Sens!$G$8211)</f>
        <v>10.8864110021101</v>
      </c>
      <c r="H8217" s="36" t="n">
        <f aca="false">IF(Sens!$H$8214&gt;0,Sens!$H$8215/Sens!$H$8214,Sens!$H$8211)</f>
        <v>11.1095876691891</v>
      </c>
      <c r="I8217" s="36" t="n">
        <f aca="false">IF(Sens!$I$8214&gt;0,Sens!$I$8215/Sens!$I$8214,Sens!$I$8211)</f>
        <v>11.2881290028523</v>
      </c>
      <c r="J8217" s="36" t="n">
        <f aca="false">IF(Sens!$J$8214&gt;0,Sens!$J$8215/Sens!$J$8214,Sens!$J$8211)</f>
        <v>11.3646467172794</v>
      </c>
      <c r="K8217" s="36" t="n">
        <f aca="false">IF(Sens!$K$8214&gt;0,Sens!$K$8215/Sens!$K$8214,Sens!$K$8211)</f>
        <v>11.3968090914432</v>
      </c>
      <c r="L8217" s="36" t="n">
        <f aca="false">IF(Sens!$L$8214&gt;0,Sens!$L$8215/Sens!$L$8214,Sens!$L$8211)</f>
        <v>11.4110891181192</v>
      </c>
      <c r="M8217" s="36" t="n">
        <f aca="false">IF(Sens!$M$8214&gt;0,Sens!$M$8215/Sens!$M$8214,Sens!$M$8211)</f>
        <v>11.4148191458201</v>
      </c>
    </row>
    <row r="8218" customFormat="false" ht="17.15" hidden="false" customHeight="false" outlineLevel="0" collapsed="false">
      <c r="A8218" s="5" t="s">
        <v>618</v>
      </c>
      <c r="B8218" s="0" t="s">
        <v>173</v>
      </c>
      <c r="F8218" s="36" t="n">
        <f aca="false">IF(Sens!$F$8214&gt;0,Sens!$F$8216/Sens!$F$8214,Sens!$F$8212)</f>
        <v>1.98263481314457</v>
      </c>
      <c r="G8218" s="36" t="n">
        <f aca="false">IF(Sens!$G$8214&gt;0,Sens!$G$8216/Sens!$G$8214,Sens!$G$8212)</f>
        <v>1.98263481314457</v>
      </c>
      <c r="H8218" s="36" t="n">
        <f aca="false">IF(Sens!$H$8214&gt;0,Sens!$H$8216/Sens!$H$8214,Sens!$H$8212)</f>
        <v>2.00111160233948</v>
      </c>
      <c r="I8218" s="36" t="n">
        <f aca="false">IF(Sens!$I$8214&gt;0,Sens!$I$8216/Sens!$I$8214,Sens!$I$8212)</f>
        <v>2.01589303369541</v>
      </c>
      <c r="J8218" s="36" t="n">
        <f aca="false">IF(Sens!$J$8214&gt;0,Sens!$J$8216/Sens!$J$8214,Sens!$J$8212)</f>
        <v>2.02222793284795</v>
      </c>
      <c r="K8218" s="36" t="n">
        <f aca="false">IF(Sens!$K$8214&gt;0,Sens!$K$8216/Sens!$K$8214,Sens!$K$8212)</f>
        <v>2.02489065478573</v>
      </c>
      <c r="L8218" s="36" t="n">
        <f aca="false">IF(Sens!$L$8214&gt;0,Sens!$L$8216/Sens!$L$8214,Sens!$L$8212)</f>
        <v>2.0260728977417</v>
      </c>
      <c r="M8218" s="36" t="n">
        <f aca="false">IF(Sens!$M$8214&gt;0,Sens!$M$8216/Sens!$M$8214,Sens!$M$8212)</f>
        <v>2.02638170661685</v>
      </c>
    </row>
    <row r="8219" customFormat="false" ht="17.15" hidden="false" customHeight="false" outlineLevel="0" collapsed="false">
      <c r="A8219" s="15" t="s">
        <v>619</v>
      </c>
      <c r="B8219" s="14" t="s">
        <v>173</v>
      </c>
      <c r="C8219" s="14"/>
      <c r="D8219" s="14"/>
      <c r="E8219" s="14"/>
      <c r="F8219" s="37" t="n">
        <f aca="false">Sens!$F$8217*k_B</f>
        <v>10.7987645808025</v>
      </c>
      <c r="G8219" s="37" t="n">
        <f aca="false">Sens!$G$8217*k_B</f>
        <v>10.7987645808025</v>
      </c>
      <c r="H8219" s="37" t="n">
        <f aca="false">Sens!$H$8217*k_B</f>
        <v>11.0201444540452</v>
      </c>
      <c r="I8219" s="37" t="n">
        <f aca="false">Sens!$I$8217*k_B</f>
        <v>11.1972483526393</v>
      </c>
      <c r="J8219" s="37" t="n">
        <f aca="false">Sens!$J$8217*k_B</f>
        <v>11.2731500234653</v>
      </c>
      <c r="K8219" s="37" t="n">
        <f aca="false">Sens!$K$8217*k_B</f>
        <v>11.3050534585724</v>
      </c>
      <c r="L8219" s="37" t="n">
        <f aca="false">Sens!$L$8217*k_B</f>
        <v>11.3192185168503</v>
      </c>
      <c r="M8219" s="37" t="n">
        <f aca="false">Sens!$M$8217*k_B</f>
        <v>11.3229185141234</v>
      </c>
      <c r="N8219" s="14"/>
      <c r="O8219" s="14"/>
      <c r="P8219" s="5" t="s">
        <v>620</v>
      </c>
    </row>
    <row r="8220" customFormat="false" ht="17.15" hidden="false" customHeight="false" outlineLevel="0" collapsed="false">
      <c r="A8220" s="5" t="s">
        <v>621</v>
      </c>
      <c r="B8220" s="0" t="s">
        <v>129</v>
      </c>
      <c r="F8220" s="32" t="n">
        <f aca="false">Sens!$F$8214/2</f>
        <v>908.575</v>
      </c>
      <c r="H8220" s="32" t="n">
        <f aca="false">(Sens!$G$8214+Sens!$H$8214)/2</f>
        <v>3634.3</v>
      </c>
      <c r="I8220" s="32" t="n">
        <f aca="false">(Sens!$H$8214+Sens!$I$8214)/2</f>
        <v>7268.6</v>
      </c>
      <c r="J8220" s="32" t="n">
        <f aca="false">(Sens!$I$8214+Sens!$J$8214)/2</f>
        <v>10902.9</v>
      </c>
      <c r="K8220" s="32" t="n">
        <f aca="false">(Sens!$J$8214+Sens!$K$8214)/2</f>
        <v>14005.4835833333</v>
      </c>
      <c r="L8220" s="32" t="n">
        <f aca="false">(Sens!$K$8214+Sens!$L$8214)/2</f>
        <v>16044.6343333333</v>
      </c>
      <c r="M8220" s="32" t="n">
        <f aca="false">(Sens!$L$8214+Sens!$M$8214)/2</f>
        <v>17020.35225</v>
      </c>
    </row>
    <row r="8221" customFormat="false" ht="17.15" hidden="false" customHeight="false" outlineLevel="0" collapsed="false">
      <c r="A8221" s="1" t="s">
        <v>622</v>
      </c>
    </row>
    <row r="8222" customFormat="false" ht="17.15" hidden="false" customHeight="false" outlineLevel="0" collapsed="false">
      <c r="A8222" s="1" t="s">
        <v>623</v>
      </c>
      <c r="B8222" s="8" t="s">
        <v>86</v>
      </c>
      <c r="C8222" s="38" t="n">
        <f aca="false">Sens!$C$8205*rpm_open*Sens!$C$8206/1000</f>
        <v>2.32100535697364</v>
      </c>
      <c r="D8222" s="38" t="n">
        <f aca="false">Sens!$D$8205*rpm_open*Sens!$D$8206/1000</f>
        <v>8.70377008865116</v>
      </c>
      <c r="E8222" s="38" t="n">
        <f aca="false">Sens!$E$8205*rpm_open*Sens!$E$8206/1000</f>
        <v>8.51035297557002</v>
      </c>
      <c r="F8222" s="38" t="n">
        <f aca="false">(mw_open*rpm_open+Sens!$F$8220*Sens!$F$8219)*Sens!$F$8206/1000</f>
        <v>14.9634336447205</v>
      </c>
      <c r="G8222" s="38" t="n">
        <f aca="false">Sens!$E$8222+Sens!$F$8222</f>
        <v>23.4737866202905</v>
      </c>
      <c r="H8222" s="38" t="n">
        <f aca="false">(mw_open*rpm_open+Sens!$H$8220*Sens!$H$8219)/1000</f>
        <v>60.1658907497746</v>
      </c>
      <c r="I8222" s="38" t="n">
        <f aca="false">(mw_open*rpm_open+Sens!$I$8220*Sens!$I$8219)/1000</f>
        <v>101.503699136432</v>
      </c>
      <c r="J8222" s="38" t="n">
        <f aca="false">(mw_open*rpm_open+Sens!$J$8220*Sens!$J$8219)/1000</f>
        <v>143.025407151278</v>
      </c>
      <c r="K8222" s="38" t="n">
        <f aca="false">(mw_open*rpm_open+Sens!$K$8220*Sens!$K$8219)/1000</f>
        <v>178.44812038318</v>
      </c>
      <c r="L8222" s="38" t="n">
        <f aca="false">(mw_open*rpm_open+Sens!$L$8220*Sens!$L$8219)/1000</f>
        <v>201.728101802396</v>
      </c>
      <c r="M8222" s="38" t="n">
        <f aca="false">(mw_open*rpm_open+Sens!$M$8220*Sens!$M$8219)/1000</f>
        <v>212.835441368865</v>
      </c>
      <c r="N8222" s="38" t="n">
        <f aca="false">Sens!$N$8205*rpm_open*Sens!$N$8206/1000</f>
        <v>3.04631953102791</v>
      </c>
      <c r="O8222" s="38" t="n">
        <f aca="false">Sens!$O$8205*rpm_open*Sens!$O$8206/1000</f>
        <v>5.65745055762326</v>
      </c>
      <c r="P8222" s="5" t="s">
        <v>624</v>
      </c>
    </row>
    <row r="8223" customFormat="false" ht="17.15" hidden="false" customHeight="false" outlineLevel="0" collapsed="false">
      <c r="A8223" s="5" t="s">
        <v>625</v>
      </c>
      <c r="B8223" s="0" t="s">
        <v>173</v>
      </c>
      <c r="C8223" s="36" t="n">
        <f aca="false">Sens!$C$8222*1000/(Sens!$C$8205*Sens!$C$8206)</f>
        <v>9.67085565405685</v>
      </c>
      <c r="D8223" s="36" t="n">
        <f aca="false">Sens!$D$8222*1000/(Sens!$D$8205*Sens!$D$8206)</f>
        <v>9.67085565405685</v>
      </c>
      <c r="E8223" s="36" t="n">
        <f aca="false">Sens!$E$8222*1000/(Sens!$E$8205*Sens!$E$8206)</f>
        <v>9.67085565405685</v>
      </c>
      <c r="F8223" s="36" t="n">
        <f aca="false">Sens!$F$8222*1000/(Sens!$F$8205*Sens!$F$8206)</f>
        <v>10.0137581588017</v>
      </c>
      <c r="G8223" s="36" t="n">
        <f aca="false">Sens!$G$8222*1000/(Sens!$G$8205*Sens!$G$8206)</f>
        <v>9.88666562928478</v>
      </c>
      <c r="H8223" s="36" t="n">
        <f aca="false">Sens!$H$8222*1000/(Sens!$H$8205*Sens!$H$8206)</f>
        <v>10.5290045586992</v>
      </c>
      <c r="I8223" s="36" t="n">
        <f aca="false">Sens!$I$8222*1000/(Sens!$I$8205*Sens!$I$8206)</f>
        <v>10.8576363451674</v>
      </c>
      <c r="J8223" s="36" t="n">
        <f aca="false">Sens!$J$8222*1000/(Sens!$J$8205*Sens!$J$8206)</f>
        <v>11.0164452588619</v>
      </c>
      <c r="K8223" s="36" t="n">
        <f aca="false">Sens!$K$8222*1000/(Sens!$K$8205*Sens!$K$8206)</f>
        <v>11.0937367508227</v>
      </c>
      <c r="L8223" s="36" t="n">
        <f aca="false">Sens!$L$8222*1000/(Sens!$L$8205*Sens!$L$8206)</f>
        <v>11.1300508519168</v>
      </c>
      <c r="M8223" s="36" t="n">
        <f aca="false">Sens!$M$8222*1000/(Sens!$M$8205*Sens!$M$8206)</f>
        <v>11.1430113216297</v>
      </c>
      <c r="N8223" s="36" t="n">
        <f aca="false">Sens!$N$8222*1000/(Sens!$N$8205*Sens!$N$8206)</f>
        <v>9.67085565405685</v>
      </c>
      <c r="O8223" s="36" t="n">
        <f aca="false">Sens!$O$8222*1000/(Sens!$O$8205*Sens!$O$8206)</f>
        <v>9.67085565405685</v>
      </c>
    </row>
    <row r="8224" customFormat="false" ht="17.15" hidden="false" customHeight="false" outlineLevel="0" collapsed="false">
      <c r="A8224" s="0" t="s">
        <v>626</v>
      </c>
      <c r="B8224" s="0" t="s">
        <v>86</v>
      </c>
      <c r="C8224" s="38" t="n">
        <f aca="false">Sens!$C$8205/ext_sh*(ox_open+rent_mw)*Sens!$C$8206/1000</f>
        <v>0.642569210675032</v>
      </c>
      <c r="D8224" s="38" t="n">
        <f aca="false">Sens!$D$8205/ext_sh*(ox_open+rent_mw)*Sens!$D$8206/1000</f>
        <v>2.40963454003137</v>
      </c>
      <c r="E8224" s="38" t="n">
        <f aca="false">Sens!$E$8205/ext_sh*(ox_open+rent_mw)*Sens!$E$8206/1000</f>
        <v>2.35608710580845</v>
      </c>
      <c r="F8224" s="38" t="n">
        <f aca="false">((mw_open*ox_open+Sens!$F$8220*Sens!$F$8218)/ext_sh+Sens!$F$8205/ext_sh*rent_mw)*Sens!$F$8206/1000</f>
        <v>4.05421991106232</v>
      </c>
      <c r="G8224" s="38" t="n">
        <f aca="false">Sens!$E$8224+Sens!$F$8224</f>
        <v>6.41030701687077</v>
      </c>
      <c r="H8224" s="38" t="n">
        <f aca="false">((mw_open*ox_open+Sens!$H$8220*Sens!$H$8218)/ext_sh+Sens!$H$8205/ext_sh*rent_mw)*Sens!$H$8206/1000</f>
        <v>15.8108975546616</v>
      </c>
      <c r="I8224" s="38" t="n">
        <f aca="false">((mw_open*ox_open+Sens!$I$8220*Sens!$I$8218)/ext_sh+Sens!$I$8205/ext_sh*rent_mw)*Sens!$I$8206/1000</f>
        <v>26.1871623400817</v>
      </c>
      <c r="J8224" s="38" t="n">
        <f aca="false">((mw_open*ox_open+Sens!$J$8220*Sens!$J$8218)/ext_sh+Sens!$J$8205/ext_sh*rent_mw)*Sens!$J$8206/1000</f>
        <v>36.5826128954935</v>
      </c>
      <c r="K8224" s="38" t="n">
        <f aca="false">((mw_open*ox_open+Sens!$K$8220*Sens!$K$8218)/ext_sh+Sens!$K$8205/ext_sh*rent_mw)*Sens!$K$8206/1000</f>
        <v>45.4546361137628</v>
      </c>
      <c r="L8224" s="38" t="n">
        <f aca="false">((mw_open*ox_open+Sens!$L$8220*Sens!$L$8218)/ext_sh+Sens!$L$8205/ext_sh*rent_mw)*Sens!$L$8206/1000</f>
        <v>51.2855695554452</v>
      </c>
      <c r="M8224" s="38" t="n">
        <f aca="false">((mw_open*ox_open+Sens!$M$8220*Sens!$M$8218)/ext_sh+Sens!$M$8205/ext_sh*rent_mw)*Sens!$M$8206/1000</f>
        <v>54.0722927838398</v>
      </c>
      <c r="N8224" s="38" t="n">
        <f aca="false">Sens!$N$8205/ext_sh*(ox_open+rent_mw)*Sens!$N$8206/1000</f>
        <v>0.84337208901098</v>
      </c>
      <c r="O8224" s="38" t="n">
        <f aca="false">Sens!$O$8205/ext_sh*(ox_open+rent_mw)*Sens!$O$8206/1000</f>
        <v>1.56626245102039</v>
      </c>
    </row>
    <row r="8225" customFormat="false" ht="17.15" hidden="false" customHeight="false" outlineLevel="0" collapsed="false">
      <c r="A8225" s="0" t="s">
        <v>627</v>
      </c>
      <c r="B8225" s="0" t="s">
        <v>86</v>
      </c>
      <c r="C8225" s="38" t="n">
        <f aca="false">Q!$D$7</f>
        <v>107.556</v>
      </c>
      <c r="D8225" s="38" t="n">
        <f aca="false">Q!$E$7</f>
        <v>128.725</v>
      </c>
      <c r="E8225" s="38" t="n">
        <f aca="false">Q!$P$7</f>
        <v>79.819</v>
      </c>
      <c r="N8225" s="38" t="n">
        <f aca="false">Q!$N$7</f>
        <v>60.14</v>
      </c>
      <c r="O8225" s="38" t="n">
        <f aca="false">Q!$O$7</f>
        <v>68.585</v>
      </c>
    </row>
    <row r="8226" customFormat="false" ht="17.15" hidden="false" customHeight="false" outlineLevel="0" collapsed="false">
      <c r="A8226" s="1" t="s">
        <v>628</v>
      </c>
      <c r="B8226" s="8" t="s">
        <v>86</v>
      </c>
      <c r="C8226" s="38" t="n">
        <f aca="false">Sens!$C$8225-Sens!$C$8222</f>
        <v>105.234994643026</v>
      </c>
      <c r="D8226" s="38" t="n">
        <f aca="false">Sens!$D$8225-Sens!$D$8222</f>
        <v>120.021229911349</v>
      </c>
      <c r="E8226" s="38" t="n">
        <f aca="false">Sens!$E$8225-Sens!$E$8222</f>
        <v>71.30864702443</v>
      </c>
      <c r="F8226" s="38" t="n">
        <f aca="false">Sens!$O$8226*(1+Sens!$F$8227)</f>
        <v>71.7692997942464</v>
      </c>
      <c r="G8226" s="38" t="n">
        <f aca="false">Sens!$E$8226+Sens!$F$8226</f>
        <v>143.077946818676</v>
      </c>
      <c r="H8226" s="38" t="n">
        <f aca="false">Sens!$G$8226*(1+Sens!$H$8227)</f>
        <v>161.017077079203</v>
      </c>
      <c r="I8226" s="38" t="n">
        <f aca="false">Sens!$H$8226*(1+Sens!$I$8227)</f>
        <v>178.769759521457</v>
      </c>
      <c r="J8226" s="38" t="n">
        <f aca="false">Sens!$I$8226*(1+Sens!$J$8227)</f>
        <v>195.775538045907</v>
      </c>
      <c r="K8226" s="38" t="n">
        <f aca="false">Sens!$J$8226*(1+Sens!$K$8227)</f>
        <v>211.43758108958</v>
      </c>
      <c r="L8226" s="38" t="n">
        <f aca="false">Sens!$K$8226*(1+Sens!$L$8227)</f>
        <v>228.352587576746</v>
      </c>
      <c r="M8226" s="38" t="n">
        <f aca="false">Sens!$L$8226*(1+Sens!$M$8227)</f>
        <v>246.620794582886</v>
      </c>
      <c r="N8226" s="38" t="n">
        <f aca="false">Sens!$N$8225-Sens!$N$8222</f>
        <v>57.0936804689721</v>
      </c>
      <c r="O8226" s="38" t="n">
        <f aca="false">Sens!$O$8225-Sens!$O$8222</f>
        <v>62.9275494423768</v>
      </c>
      <c r="P8226" s="5" t="s">
        <v>629</v>
      </c>
    </row>
    <row r="8227" customFormat="false" ht="17.15" hidden="false" customHeight="false" outlineLevel="0" collapsed="false">
      <c r="A8227" s="0" t="s">
        <v>630</v>
      </c>
      <c r="B8227" s="0" t="s">
        <v>52</v>
      </c>
      <c r="D8227" s="13" t="n">
        <f aca="false">Sens!$D$8226/Sens!$C$8226-1</f>
        <v>0.140506827776062</v>
      </c>
      <c r="E8227" s="13" t="n">
        <f aca="false">Sens!$E$8226/Sens!$N$8226-1</f>
        <v>0.248976181579029</v>
      </c>
      <c r="F8227" s="13" t="n">
        <f aca="false">Sens!$D$8227</f>
        <v>0.140506827776062</v>
      </c>
      <c r="G8227" s="13" t="n">
        <f aca="false">Sens!$G$8226/Sens!$D$8226-1</f>
        <v>0.19210532106993</v>
      </c>
      <c r="H8227" s="13" t="n">
        <f aca="false">Sens!$F$8227+(g_awso_lt-Sens!$F$8227)*1/4</f>
        <v>0.125380120832046</v>
      </c>
      <c r="I8227" s="13" t="n">
        <f aca="false">Sens!$F$8227+(g_awso_lt-Sens!$F$8227)*2/4</f>
        <v>0.110253413888031</v>
      </c>
      <c r="J8227" s="13" t="n">
        <f aca="false">Sens!$F$8227+(g_awso_lt-Sens!$F$8227)*3/4</f>
        <v>0.0951267069440154</v>
      </c>
      <c r="K8227" s="13" t="n">
        <f aca="false">Sens!$F$8227+(g_awso_lt-Sens!$F$8227)*4/4</f>
        <v>0.08</v>
      </c>
      <c r="L8227" s="13" t="n">
        <f aca="false">g_awso_lt</f>
        <v>0.08</v>
      </c>
      <c r="M8227" s="13" t="n">
        <f aca="false">g_awso_lt</f>
        <v>0.08</v>
      </c>
      <c r="P8227" s="5" t="s">
        <v>631</v>
      </c>
    </row>
    <row r="8228" customFormat="false" ht="17.15" hidden="false" customHeight="false" outlineLevel="0" collapsed="false">
      <c r="A8228" s="1" t="s">
        <v>632</v>
      </c>
    </row>
    <row r="8229" customFormat="false" ht="17.15" hidden="false" customHeight="false" outlineLevel="0" collapsed="false">
      <c r="A8229" s="0" t="s">
        <v>633</v>
      </c>
      <c r="B8229" s="0" t="s">
        <v>86</v>
      </c>
      <c r="F8229" s="38" t="n">
        <f aca="false">cx_rt*Sens!$F$8194+cx_awso*Sens!$F$8226</f>
        <v>34.9734495387866</v>
      </c>
    </row>
    <row r="8230" customFormat="false" ht="17.15" hidden="false" customHeight="false" outlineLevel="0" collapsed="false">
      <c r="A8230" s="0" t="s">
        <v>634</v>
      </c>
      <c r="B8230" s="0" t="s">
        <v>52</v>
      </c>
      <c r="C8230" s="13" t="n">
        <f aca="false">tk_cx_h100/(tk_cx_h100+tk_fac*(1-colo_sh))</f>
        <v>0.730756458006641</v>
      </c>
      <c r="D8230" s="13" t="n">
        <f aca="false">tk_cx_h100/(tk_cx_h100+tk_fac*(1-colo_sh))</f>
        <v>0.730756458006641</v>
      </c>
      <c r="E8230" s="13" t="n">
        <f aca="false">Sens!$F$8230</f>
        <v>0.760792334328868</v>
      </c>
      <c r="F8230" s="13" t="n">
        <f aca="false">Sens!$F$8213/(Sens!$F$8213+tk_fac*(1-colo_sh))</f>
        <v>0.760792334328868</v>
      </c>
      <c r="G8230" s="13" t="n">
        <f aca="false">Sens!$G$8213/(Sens!$G$8213+tk_fac*(1-colo_sh))</f>
        <v>0.760792334328868</v>
      </c>
      <c r="H8230" s="13" t="n">
        <f aca="false">Sens!$H$8213/(Sens!$H$8213+tk_fac*(1-colo_sh))</f>
        <v>0.768110668862996</v>
      </c>
      <c r="I8230" s="13" t="n">
        <f aca="false">Sens!$I$8213/(Sens!$I$8213+tk_fac*(1-colo_sh))</f>
        <v>0.77499450139483</v>
      </c>
      <c r="J8230" s="13" t="n">
        <f aca="false">Sens!$J$8213/(Sens!$J$8213+tk_fac*(1-colo_sh))</f>
        <v>0.77499450139483</v>
      </c>
      <c r="K8230" s="13" t="n">
        <f aca="false">Sens!$K$8213/(Sens!$K$8213+tk_fac*(1-colo_sh))</f>
        <v>0.77499450139483</v>
      </c>
      <c r="L8230" s="13" t="n">
        <f aca="false">Sens!$L$8213/(Sens!$L$8213+tk_fac*(1-colo_sh))</f>
        <v>0.77499450139483</v>
      </c>
      <c r="M8230" s="13" t="n">
        <f aca="false">Sens!$M$8213/(Sens!$M$8213+tk_fac*(1-colo_sh))</f>
        <v>0.77499450139483</v>
      </c>
    </row>
    <row r="8231" customFormat="false" ht="17.15" hidden="false" customHeight="false" outlineLevel="0" collapsed="false">
      <c r="A8231" s="1" t="s">
        <v>635</v>
      </c>
      <c r="B8231" s="8" t="s">
        <v>86</v>
      </c>
      <c r="C8231" s="38" t="n">
        <f aca="false">Q!$D$46-cx_rt*Q!$D$16-cx_awso*Sens!$C$8226</f>
        <v>25.2781053077374</v>
      </c>
      <c r="D8231" s="38" t="n">
        <f aca="false">Q!$E$46-cx_rt*Q!$E$16-cx_awso*Sens!$D$8226</f>
        <v>69.5686316310026</v>
      </c>
      <c r="E8231" s="38" t="n">
        <f aca="false">Q!$P$46-cx_rt*Q!$P$16-cx_awso*Sens!$E$8226</f>
        <v>64.1899206485108</v>
      </c>
      <c r="F8231" s="38" t="n">
        <f aca="false">capex_g26-Q!$P$46-Sens!$F$8229</f>
        <v>88.7165504612134</v>
      </c>
      <c r="G8231" s="38" t="n">
        <f aca="false">Sens!$E$8231+Sens!$F$8231</f>
        <v>152.906471109724</v>
      </c>
      <c r="H8231" s="38" t="n">
        <f aca="false">Sens!$H$8208*(Sens!$H$8213+tk_fac*(1-colo_sh))/1000+Sens!$H$8232</f>
        <v>198.57136494475</v>
      </c>
      <c r="I8231" s="38" t="n">
        <f aca="false">Sens!$I$8208*(Sens!$I$8213+tk_fac*(1-colo_sh))/1000+Sens!$I$8232</f>
        <v>204.6464699105</v>
      </c>
      <c r="J8231" s="38" t="n">
        <f aca="false">Sens!$J$8208*(Sens!$J$8213+tk_fac*(1-colo_sh))/1000+Sens!$J$8232</f>
        <v>209.8832381105</v>
      </c>
      <c r="K8231" s="38" t="n">
        <f aca="false">Sens!$K$8208*(Sens!$K$8213+tk_fac*(1-colo_sh))/1000+Sens!$K$8232</f>
        <v>155.238385275201</v>
      </c>
      <c r="L8231" s="38" t="n">
        <f aca="false">Sens!$L$8208*(Sens!$L$8213+tk_fac*(1-colo_sh))/1000+Sens!$L$8232</f>
        <v>132.014141639902</v>
      </c>
      <c r="M8231" s="38" t="n">
        <f aca="false">Sens!$M$8208*(Sens!$M$8213+tk_fac*(1-colo_sh))/1000+Sens!$M$8232</f>
        <v>132.230981659852</v>
      </c>
      <c r="P8231" s="5" t="s">
        <v>636</v>
      </c>
      <c r="R8231" s="38" t="n">
        <f aca="false">Q!$C$46-cx_rt*Q!$C$16-cx_awso*(Q!$C$7-mw_ye23/2*rpm_open/1000)</f>
        <v>1.50429979529945</v>
      </c>
      <c r="S8231" s="38" t="n">
        <f aca="false">Sens!$C$8231</f>
        <v>25.2781053077374</v>
      </c>
      <c r="T8231" s="38" t="n">
        <f aca="false">Sens!$D$8231</f>
        <v>69.5686316310026</v>
      </c>
      <c r="U8231" s="38" t="n">
        <f aca="false">Sens!$G$8231</f>
        <v>152.906471109724</v>
      </c>
      <c r="V8231" s="38" t="n">
        <f aca="false">Sens!$H$8231</f>
        <v>198.57136494475</v>
      </c>
      <c r="W8231" s="38" t="n">
        <f aca="false">Sens!$I$8231</f>
        <v>204.6464699105</v>
      </c>
      <c r="X8231" s="38" t="n">
        <f aca="false">Sens!$J$8231</f>
        <v>209.8832381105</v>
      </c>
      <c r="Y8231" s="38" t="n">
        <f aca="false">Sens!$K$8231</f>
        <v>155.238385275201</v>
      </c>
      <c r="Z8231" s="38" t="n">
        <f aca="false">Sens!$L$8231</f>
        <v>132.014141639902</v>
      </c>
      <c r="AA8231" s="38" t="n">
        <f aca="false">Sens!$M$8231</f>
        <v>132.230981659852</v>
      </c>
    </row>
    <row r="8232" customFormat="false" ht="17.15" hidden="false" customHeight="false" outlineLevel="0" collapsed="false">
      <c r="A8232" s="0" t="s">
        <v>637</v>
      </c>
      <c r="B8232" s="0" t="s">
        <v>86</v>
      </c>
      <c r="H8232" s="38" t="n">
        <f aca="false">SUMPRODUCT(--(Sens!$R$8201:$AA$8201=2027-tk_life),Sens!$R$8208:$AA$8208)*Sens!$H$8213/1000</f>
        <v>0</v>
      </c>
      <c r="I8232" s="38" t="n">
        <f aca="false">SUMPRODUCT(--(Sens!$R$8201:$AA$8201=2028-tk_life),Sens!$R$8208:$AA$8208)*Sens!$I$8213/1000</f>
        <v>0</v>
      </c>
      <c r="J8232" s="38" t="n">
        <f aca="false">SUMPRODUCT(--(Sens!$R$8201:$AA$8201=2029-tk_life),Sens!$R$8208:$AA$8208)*Sens!$J$8213/1000</f>
        <v>5.2367682</v>
      </c>
      <c r="K8232" s="38" t="n">
        <f aca="false">SUMPRODUCT(--(Sens!$R$8201:$AA$8201=2030-tk_life),Sens!$R$8208:$AA$8208)*Sens!$K$8213/1000</f>
        <v>10.4735364</v>
      </c>
      <c r="L8232" s="38" t="n">
        <f aca="false">SUMPRODUCT(--(Sens!$R$8201:$AA$8201=2031-tk_life),Sens!$R$8208:$AA$8208)*Sens!$L$8213/1000</f>
        <v>47.1309138</v>
      </c>
      <c r="M8232" s="38" t="n">
        <f aca="false">SUMPRODUCT(--(Sens!$R$8201:$AA$8201=2032-tk_life),Sens!$R$8208:$AA$8208)*Sens!$M$8213/1000</f>
        <v>107.22937485525</v>
      </c>
    </row>
    <row r="8233" customFormat="false" ht="17.15" hidden="false" customHeight="false" outlineLevel="0" collapsed="false">
      <c r="A8233" s="0" t="s">
        <v>638</v>
      </c>
      <c r="B8233" s="0" t="s">
        <v>86</v>
      </c>
      <c r="C8233" s="38" t="n">
        <f aca="false">MIN(Sens!$C$8231,Sens!$C$8208*(tk_cx_h100+tk_fac*(1-colo_sh))/1000)</f>
        <v>11.2938642</v>
      </c>
      <c r="D8233" s="38" t="n">
        <f aca="false">MIN(Sens!$D$8231,Sens!$D$8208*(tk_cx_h100+tk_fac*(1-colo_sh))/1000)</f>
        <v>50.8223889</v>
      </c>
      <c r="E8233" s="38" t="n">
        <f aca="false">MIN(Sens!$E$8231,Sens!$E$8208*(Sens!$F$8213+tk_fac*(1-colo_sh))/1000)</f>
        <v>33.8985792</v>
      </c>
      <c r="F8233" s="38" t="n">
        <f aca="false">Sens!$F$8231</f>
        <v>88.7165504612134</v>
      </c>
      <c r="G8233" s="38" t="n">
        <f aca="false">Sens!$E$8233+Sens!$F$8233</f>
        <v>122.615129661213</v>
      </c>
      <c r="H8233" s="38" t="n">
        <f aca="false">Sens!$H$8231</f>
        <v>198.57136494475</v>
      </c>
      <c r="I8233" s="38" t="n">
        <f aca="false">Sens!$I$8231</f>
        <v>204.6464699105</v>
      </c>
      <c r="J8233" s="38" t="n">
        <f aca="false">Sens!$J$8231</f>
        <v>209.8832381105</v>
      </c>
      <c r="K8233" s="38" t="n">
        <f aca="false">Sens!$K$8231</f>
        <v>155.238385275201</v>
      </c>
      <c r="L8233" s="38" t="n">
        <f aca="false">Sens!$L$8231</f>
        <v>132.014141639902</v>
      </c>
      <c r="M8233" s="38" t="n">
        <f aca="false">Sens!$M$8231</f>
        <v>132.230981659852</v>
      </c>
      <c r="P8233" s="5" t="s">
        <v>639</v>
      </c>
      <c r="R8233" s="38" t="n">
        <f aca="false">MIN(Sens!$R$8231,Sens!$R$8208*(tk_cx_h100+tk_fac*(1-colo_sh))/1000)</f>
        <v>1.50429979529945</v>
      </c>
      <c r="S8233" s="38" t="n">
        <f aca="false">Sens!$C$8233</f>
        <v>11.2938642</v>
      </c>
      <c r="T8233" s="38" t="n">
        <f aca="false">Sens!$D$8233</f>
        <v>50.8223889</v>
      </c>
      <c r="U8233" s="38" t="n">
        <f aca="false">Sens!$G$8233</f>
        <v>122.615129661213</v>
      </c>
      <c r="V8233" s="38" t="n">
        <f aca="false">Sens!$H$8233</f>
        <v>198.57136494475</v>
      </c>
      <c r="W8233" s="38" t="n">
        <f aca="false">Sens!$I$8233</f>
        <v>204.6464699105</v>
      </c>
      <c r="X8233" s="38" t="n">
        <f aca="false">Sens!$J$8233</f>
        <v>209.8832381105</v>
      </c>
      <c r="Y8233" s="38" t="n">
        <f aca="false">Sens!$K$8233</f>
        <v>155.238385275201</v>
      </c>
      <c r="Z8233" s="38" t="n">
        <f aca="false">Sens!$L$8233</f>
        <v>132.014141639902</v>
      </c>
      <c r="AA8233" s="38" t="n">
        <f aca="false">Sens!$M$8233</f>
        <v>132.230981659852</v>
      </c>
    </row>
    <row r="8234" customFormat="false" ht="17.15" hidden="false" customHeight="false" outlineLevel="0" collapsed="false">
      <c r="A8234" s="5" t="s">
        <v>640</v>
      </c>
      <c r="B8234" s="0" t="s">
        <v>86</v>
      </c>
      <c r="C8234" s="38" t="n">
        <f aca="false">Sens!$C$8231-Sens!$C$8233</f>
        <v>13.9842411077374</v>
      </c>
      <c r="D8234" s="38" t="n">
        <f aca="false">Sens!$D$8231-Sens!$D$8233</f>
        <v>18.7462427310026</v>
      </c>
      <c r="E8234" s="38" t="n">
        <f aca="false">Sens!$E$8231-Sens!$E$8233</f>
        <v>30.2913414485108</v>
      </c>
      <c r="F8234" s="38" t="n">
        <f aca="false">Sens!$F$8231-Sens!$F$8233</f>
        <v>0</v>
      </c>
      <c r="G8234" s="38" t="n">
        <f aca="false">Sens!$G$8231-Sens!$G$8233</f>
        <v>30.2913414485108</v>
      </c>
      <c r="H8234" s="38" t="n">
        <f aca="false">Sens!$H$8231-Sens!$H$8233</f>
        <v>0</v>
      </c>
      <c r="I8234" s="38" t="n">
        <f aca="false">Sens!$I$8231-Sens!$I$8233</f>
        <v>0</v>
      </c>
      <c r="J8234" s="38" t="n">
        <f aca="false">Sens!$J$8231-Sens!$J$8233</f>
        <v>0</v>
      </c>
      <c r="K8234" s="38" t="n">
        <f aca="false">Sens!$K$8231-Sens!$K$8233</f>
        <v>0</v>
      </c>
      <c r="L8234" s="38" t="n">
        <f aca="false">Sens!$L$8231-Sens!$L$8233</f>
        <v>0</v>
      </c>
      <c r="M8234" s="38" t="n">
        <f aca="false">Sens!$M$8231-Sens!$M$8233</f>
        <v>0</v>
      </c>
      <c r="P8234" s="5" t="s">
        <v>641</v>
      </c>
      <c r="R8234" s="38" t="n">
        <f aca="false">Sens!$R$8231-Sens!$R$8233</f>
        <v>0</v>
      </c>
      <c r="S8234" s="38" t="n">
        <f aca="false">Sens!$S$8231-Sens!$S$8233</f>
        <v>13.9842411077374</v>
      </c>
      <c r="T8234" s="38" t="n">
        <f aca="false">Sens!$T$8231-Sens!$T$8233</f>
        <v>18.7462427310026</v>
      </c>
      <c r="U8234" s="38" t="n">
        <f aca="false">Sens!$U$8231-Sens!$U$8233</f>
        <v>30.2913414485108</v>
      </c>
      <c r="V8234" s="38" t="n">
        <f aca="false">Sens!$V$8231-Sens!$V$8233</f>
        <v>0</v>
      </c>
      <c r="W8234" s="38" t="n">
        <f aca="false">Sens!$W$8231-Sens!$W$8233</f>
        <v>0</v>
      </c>
      <c r="X8234" s="38" t="n">
        <f aca="false">Sens!$X$8231-Sens!$X$8233</f>
        <v>0</v>
      </c>
      <c r="Y8234" s="38" t="n">
        <f aca="false">Sens!$Y$8231-Sens!$Y$8233</f>
        <v>0</v>
      </c>
      <c r="Z8234" s="38" t="n">
        <f aca="false">Sens!$Z$8231-Sens!$Z$8233</f>
        <v>0</v>
      </c>
      <c r="AA8234" s="38" t="n">
        <f aca="false">Sens!$AA$8231-Sens!$AA$8233</f>
        <v>0</v>
      </c>
    </row>
    <row r="8235" customFormat="false" ht="17.15" hidden="false" customHeight="false" outlineLevel="0" collapsed="false">
      <c r="A8235" s="5" t="s">
        <v>642</v>
      </c>
      <c r="B8235" s="0" t="s">
        <v>86</v>
      </c>
      <c r="R8235" s="38" t="n">
        <f aca="false">Sens!$R$8234*Sens!$C$8230</f>
        <v>0</v>
      </c>
      <c r="S8235" s="38" t="n">
        <f aca="false">Sens!$S$8234*Sens!$C$8230</f>
        <v>10.219074499801</v>
      </c>
      <c r="T8235" s="38" t="n">
        <f aca="false">Sens!$T$8234*Sens!$C$8230</f>
        <v>13.6989379390402</v>
      </c>
      <c r="U8235" s="38" t="n">
        <f aca="false">Sens!$U$8234*Sens!$E$8230</f>
        <v>23.0454203705653</v>
      </c>
      <c r="V8235" s="38" t="n">
        <f aca="false">Sens!$V$8234*Sens!$E$8230</f>
        <v>0</v>
      </c>
      <c r="W8235" s="38" t="n">
        <f aca="false">Sens!$W$8234*Sens!$E$8230</f>
        <v>0</v>
      </c>
      <c r="X8235" s="38" t="n">
        <f aca="false">Sens!$X$8234*Sens!$E$8230</f>
        <v>0</v>
      </c>
      <c r="Y8235" s="38" t="n">
        <f aca="false">Sens!$Y$8234*Sens!$E$8230</f>
        <v>0</v>
      </c>
      <c r="Z8235" s="38" t="n">
        <f aca="false">Sens!$Z$8234*Sens!$E$8230</f>
        <v>0</v>
      </c>
      <c r="AA8235" s="38" t="n">
        <f aca="false">Sens!$AA$8234*Sens!$E$8230</f>
        <v>0</v>
      </c>
    </row>
    <row r="8236" customFormat="false" ht="17.15" hidden="false" customHeight="false" outlineLevel="0" collapsed="false">
      <c r="A8236" s="5" t="s">
        <v>643</v>
      </c>
      <c r="B8236" s="0" t="s">
        <v>86</v>
      </c>
      <c r="R8236" s="38" t="n">
        <f aca="false">SUMPRODUCT(--(Sens!$R$8201:$AA$8201=2023-cip_lag),Sens!$R$8235:$AA$8235)</f>
        <v>0</v>
      </c>
      <c r="S8236" s="38" t="n">
        <f aca="false">SUMPRODUCT(--(Sens!$R$8201:$AA$8201=2024-cip_lag),Sens!$R$8235:$AA$8235)</f>
        <v>0</v>
      </c>
      <c r="T8236" s="38" t="n">
        <f aca="false">SUMPRODUCT(--(Sens!$R$8201:$AA$8201=2025-cip_lag),Sens!$R$8235:$AA$8235)</f>
        <v>10.219074499801</v>
      </c>
      <c r="U8236" s="38" t="n">
        <f aca="false">SUMPRODUCT(--(Sens!$R$8201:$AA$8201=2026-cip_lag),Sens!$R$8235:$AA$8235)</f>
        <v>13.6989379390402</v>
      </c>
      <c r="V8236" s="38" t="n">
        <f aca="false">SUMPRODUCT(--(Sens!$R$8201:$AA$8201=2027-cip_lag),Sens!$R$8235:$AA$8235)</f>
        <v>23.0454203705653</v>
      </c>
      <c r="W8236" s="38" t="n">
        <f aca="false">SUMPRODUCT(--(Sens!$R$8201:$AA$8201=2028-cip_lag),Sens!$R$8235:$AA$8235)</f>
        <v>0</v>
      </c>
      <c r="X8236" s="38" t="n">
        <f aca="false">SUMPRODUCT(--(Sens!$R$8201:$AA$8201=2029-cip_lag),Sens!$R$8235:$AA$8235)</f>
        <v>0</v>
      </c>
      <c r="Y8236" s="38" t="n">
        <f aca="false">SUMPRODUCT(--(Sens!$R$8201:$AA$8201=2030-cip_lag),Sens!$R$8235:$AA$8235)</f>
        <v>0</v>
      </c>
      <c r="Z8236" s="38" t="n">
        <f aca="false">SUMPRODUCT(--(Sens!$R$8201:$AA$8201=2031-cip_lag),Sens!$R$8235:$AA$8235)</f>
        <v>0</v>
      </c>
      <c r="AA8236" s="38" t="n">
        <f aca="false">SUMPRODUCT(--(Sens!$R$8201:$AA$8201=2032-cip_lag),Sens!$R$8235:$AA$8235)</f>
        <v>0</v>
      </c>
    </row>
    <row r="8237" customFormat="false" ht="15" hidden="false" customHeight="false" outlineLevel="0" collapsed="false">
      <c r="A8237" s="5" t="s">
        <v>644</v>
      </c>
      <c r="B8237" s="0" t="s">
        <v>86</v>
      </c>
      <c r="R8237" s="38" t="n">
        <f aca="false">SUMPRODUCT(--(Sens!$R$8201:$AA$8201=2023-cip_lag),Sens!$R$8234:$AA$8234)-Sens!$R$8236</f>
        <v>0</v>
      </c>
      <c r="S8237" s="38" t="n">
        <f aca="false">SUMPRODUCT(--(Sens!$R$8201:$AA$8201=2024-cip_lag),Sens!$R$8234:$AA$8234)-Sens!$S$8236</f>
        <v>0</v>
      </c>
      <c r="T8237" s="38" t="n">
        <f aca="false">SUMPRODUCT(--(Sens!$R$8201:$AA$8201=2025-cip_lag),Sens!$R$8234:$AA$8234)-Sens!$T$8236</f>
        <v>3.76516660793636</v>
      </c>
      <c r="U8237" s="38" t="n">
        <f aca="false">SUMPRODUCT(--(Sens!$R$8201:$AA$8201=2026-cip_lag),Sens!$R$8234:$AA$8234)-Sens!$U$8236</f>
        <v>5.04730479196242</v>
      </c>
      <c r="V8237" s="38" t="n">
        <f aca="false">SUMPRODUCT(--(Sens!$R$8201:$AA$8201=2027-cip_lag),Sens!$R$8234:$AA$8234)-Sens!$V$8236</f>
        <v>7.24592107794548</v>
      </c>
      <c r="W8237" s="38" t="n">
        <f aca="false">SUMPRODUCT(--(Sens!$R$8201:$AA$8201=2028-cip_lag),Sens!$R$8234:$AA$8234)-Sens!$W$8236</f>
        <v>0</v>
      </c>
      <c r="X8237" s="38" t="n">
        <f aca="false">SUMPRODUCT(--(Sens!$R$8201:$AA$8201=2029-cip_lag),Sens!$R$8234:$AA$8234)-Sens!$X$8236</f>
        <v>0</v>
      </c>
      <c r="Y8237" s="38" t="n">
        <f aca="false">SUMPRODUCT(--(Sens!$R$8201:$AA$8201=2030-cip_lag),Sens!$R$8234:$AA$8234)-Sens!$Y$8236</f>
        <v>0</v>
      </c>
      <c r="Z8237" s="38" t="n">
        <f aca="false">SUMPRODUCT(--(Sens!$R$8201:$AA$8201=2031-cip_lag),Sens!$R$8234:$AA$8234)-Sens!$Z$8236</f>
        <v>0</v>
      </c>
      <c r="AA8237" s="38" t="n">
        <f aca="false">SUMPRODUCT(--(Sens!$R$8201:$AA$8201=2032-cip_lag),Sens!$R$8234:$AA$8234)-Sens!$AA$8236</f>
        <v>0</v>
      </c>
    </row>
    <row r="8238" customFormat="false" ht="17.15" hidden="false" customHeight="false" outlineLevel="0" collapsed="false">
      <c r="A8238" s="5" t="s">
        <v>645</v>
      </c>
      <c r="B8238" s="0" t="s">
        <v>86</v>
      </c>
      <c r="C8238" s="38" t="n">
        <f aca="false">Sens!$C$8233*Sens!$C$8230</f>
        <v>8.2530642</v>
      </c>
      <c r="D8238" s="38" t="n">
        <f aca="false">Sens!$D$8233*Sens!$D$8230</f>
        <v>37.1387889</v>
      </c>
      <c r="E8238" s="38" t="n">
        <f aca="false">Sens!$E$8233*Sens!$E$8230</f>
        <v>25.7897792</v>
      </c>
      <c r="F8238" s="38" t="n">
        <f aca="false">Sens!$F$8233*Sens!$F$8230</f>
        <v>67.4948715189913</v>
      </c>
      <c r="G8238" s="38" t="n">
        <f aca="false">Sens!$E$8238+Sens!$F$8238</f>
        <v>93.2846507189913</v>
      </c>
      <c r="H8238" s="38" t="n">
        <f aca="false">(Sens!$H$8233-Sens!$H$8232)*Sens!$H$8230+Sens!$H$8232</f>
        <v>152.52478394475</v>
      </c>
      <c r="I8238" s="38" t="n">
        <f aca="false">(Sens!$I$8233-Sens!$I$8232)*Sens!$I$8230+Sens!$I$8232</f>
        <v>158.5998889105</v>
      </c>
      <c r="J8238" s="38" t="n">
        <f aca="false">(Sens!$J$8233-Sens!$J$8232)*Sens!$J$8230+Sens!$J$8232</f>
        <v>163.8366571105</v>
      </c>
      <c r="K8238" s="38" t="n">
        <f aca="false">(Sens!$K$8233-Sens!$K$8232)*Sens!$K$8230+Sens!$K$8232</f>
        <v>122.665498273534</v>
      </c>
      <c r="L8238" s="38" t="n">
        <f aca="false">(Sens!$L$8233-Sens!$L$8232)*Sens!$L$8230+Sens!$L$8232</f>
        <v>112.914948636568</v>
      </c>
      <c r="M8238" s="38" t="n">
        <f aca="false">(Sens!$M$8233-Sens!$M$8232)*Sens!$M$8230+Sens!$M$8232</f>
        <v>126.605482654852</v>
      </c>
      <c r="R8238" s="38" t="n">
        <f aca="false">Sens!$R$8233*Sens!$C$8230</f>
        <v>1.09927679019314</v>
      </c>
      <c r="S8238" s="38" t="n">
        <f aca="false">Sens!$C$8238</f>
        <v>8.2530642</v>
      </c>
      <c r="T8238" s="38" t="n">
        <f aca="false">Sens!$D$8238</f>
        <v>37.1387889</v>
      </c>
      <c r="U8238" s="38" t="n">
        <f aca="false">Sens!$G$8238</f>
        <v>93.2846507189913</v>
      </c>
      <c r="V8238" s="38" t="n">
        <f aca="false">Sens!$H$8238</f>
        <v>152.52478394475</v>
      </c>
      <c r="W8238" s="38" t="n">
        <f aca="false">Sens!$I$8238</f>
        <v>158.5998889105</v>
      </c>
      <c r="X8238" s="38" t="n">
        <f aca="false">Sens!$J$8238</f>
        <v>163.8366571105</v>
      </c>
      <c r="Y8238" s="38" t="n">
        <f aca="false">Sens!$K$8238</f>
        <v>122.665498273534</v>
      </c>
      <c r="Z8238" s="38" t="n">
        <f aca="false">Sens!$L$8238</f>
        <v>112.914948636568</v>
      </c>
      <c r="AA8238" s="38" t="n">
        <f aca="false">Sens!$M$8238</f>
        <v>126.605482654852</v>
      </c>
    </row>
    <row r="8239" customFormat="false" ht="15" hidden="false" customHeight="false" outlineLevel="0" collapsed="false">
      <c r="A8239" s="5" t="s">
        <v>646</v>
      </c>
      <c r="B8239" s="0" t="s">
        <v>86</v>
      </c>
      <c r="C8239" s="38" t="n">
        <f aca="false">Sens!$C$8233-Sens!$C$8238</f>
        <v>3.0408</v>
      </c>
      <c r="D8239" s="38" t="n">
        <f aca="false">Sens!$D$8233-Sens!$D$8238</f>
        <v>13.6836</v>
      </c>
      <c r="E8239" s="38" t="n">
        <f aca="false">Sens!$E$8233-Sens!$E$8238</f>
        <v>8.1088</v>
      </c>
      <c r="F8239" s="38" t="n">
        <f aca="false">Sens!$F$8233-Sens!$F$8238</f>
        <v>21.2216789422221</v>
      </c>
      <c r="G8239" s="38" t="n">
        <f aca="false">Sens!$G$8233-Sens!$G$8238</f>
        <v>29.3304789422221</v>
      </c>
      <c r="H8239" s="38" t="n">
        <f aca="false">Sens!$H$8233-Sens!$H$8238</f>
        <v>46.046581</v>
      </c>
      <c r="I8239" s="38" t="n">
        <f aca="false">Sens!$I$8233-Sens!$I$8238</f>
        <v>46.046581</v>
      </c>
      <c r="J8239" s="38" t="n">
        <f aca="false">Sens!$J$8233-Sens!$J$8238</f>
        <v>46.046581</v>
      </c>
      <c r="K8239" s="38" t="n">
        <f aca="false">Sens!$K$8233-Sens!$K$8238</f>
        <v>32.5728870016667</v>
      </c>
      <c r="L8239" s="38" t="n">
        <f aca="false">Sens!$L$8233-Sens!$L$8238</f>
        <v>19.0991930033334</v>
      </c>
      <c r="M8239" s="38" t="n">
        <f aca="false">Sens!$M$8233-Sens!$M$8238</f>
        <v>5.62549900499998</v>
      </c>
      <c r="R8239" s="38" t="n">
        <f aca="false">Sens!$R$8233-Sens!$R$8238</f>
        <v>0.405023005106309</v>
      </c>
      <c r="S8239" s="38" t="n">
        <f aca="false">Sens!$S$8233-Sens!$S$8238</f>
        <v>3.0408</v>
      </c>
      <c r="T8239" s="38" t="n">
        <f aca="false">Sens!$T$8233-Sens!$T$8238</f>
        <v>13.6836</v>
      </c>
      <c r="U8239" s="38" t="n">
        <f aca="false">Sens!$U$8233-Sens!$U$8238</f>
        <v>29.3304789422221</v>
      </c>
      <c r="V8239" s="38" t="n">
        <f aca="false">Sens!$V$8233-Sens!$V$8238</f>
        <v>46.046581</v>
      </c>
      <c r="W8239" s="38" t="n">
        <f aca="false">Sens!$W$8233-Sens!$W$8238</f>
        <v>46.046581</v>
      </c>
      <c r="X8239" s="38" t="n">
        <f aca="false">Sens!$X$8233-Sens!$X$8238</f>
        <v>46.046581</v>
      </c>
      <c r="Y8239" s="38" t="n">
        <f aca="false">Sens!$Y$8233-Sens!$Y$8238</f>
        <v>32.5728870016667</v>
      </c>
      <c r="Z8239" s="38" t="n">
        <f aca="false">Sens!$Z$8233-Sens!$Z$8238</f>
        <v>19.0991930033334</v>
      </c>
      <c r="AA8239" s="38" t="n">
        <f aca="false">Sens!$AA$8233-Sens!$AA$8238</f>
        <v>5.62549900499998</v>
      </c>
    </row>
    <row r="8240" customFormat="false" ht="17.15" hidden="false" customHeight="false" outlineLevel="0" collapsed="false">
      <c r="A8240" s="0" t="s">
        <v>647</v>
      </c>
      <c r="B8240" s="0" t="s">
        <v>52</v>
      </c>
      <c r="C8240" s="13" t="n">
        <f aca="false">Sens!$C$8231/Sens!$C$8356</f>
        <v>0.325505489553393</v>
      </c>
      <c r="D8240" s="13" t="n">
        <f aca="false">Sens!$D$8231/Sens!$D$8356</f>
        <v>0.54214956071542</v>
      </c>
      <c r="E8240" s="13" t="n">
        <f aca="false">Sens!$E$8231/Sens!$E$8356</f>
        <v>0.666492790452817</v>
      </c>
      <c r="F8240" s="13" t="n">
        <f aca="false">Sens!$F$8231/Sens!$F$8356</f>
        <v>0.71724917504417</v>
      </c>
      <c r="G8240" s="13" t="n">
        <f aca="false">Sens!$G$8231/Sens!$G$8356</f>
        <v>0.69502941413511</v>
      </c>
      <c r="H8240" s="13" t="n">
        <f aca="false">Sens!$H$8231/Sens!$H$8356</f>
        <v>0.726376041178204</v>
      </c>
      <c r="I8240" s="13" t="n">
        <f aca="false">Sens!$I$8231/Sens!$I$8356</f>
        <v>0.713099092661699</v>
      </c>
      <c r="J8240" s="13" t="n">
        <f aca="false">Sens!$J$8231/Sens!$J$8356</f>
        <v>0.701208348786245</v>
      </c>
      <c r="K8240" s="13" t="n">
        <f aca="false">Sens!$K$8231/Sens!$K$8356</f>
        <v>0.618338844562383</v>
      </c>
      <c r="L8240" s="13" t="n">
        <f aca="false">Sens!$L$8231/Sens!$L$8356</f>
        <v>0.562489158462506</v>
      </c>
      <c r="M8240" s="13" t="n">
        <f aca="false">Sens!$M$8231/Sens!$M$8356</f>
        <v>0.545751190895923</v>
      </c>
    </row>
    <row r="8241" customFormat="false" ht="17.15" hidden="false" customHeight="false" outlineLevel="0" collapsed="false">
      <c r="A8241" s="0" t="s">
        <v>648</v>
      </c>
      <c r="B8241" s="0" t="s">
        <v>86</v>
      </c>
      <c r="C8241" s="38" t="n">
        <f aca="false">Sens!$S$8241</f>
        <v>0.183212798365523</v>
      </c>
      <c r="D8241" s="38" t="n">
        <f aca="false">Sens!$T$8241</f>
        <v>1.55872349836552</v>
      </c>
      <c r="E8241" s="38" t="n">
        <f aca="false">Sens!$G$8241/2</f>
        <v>4.72585036583285</v>
      </c>
      <c r="F8241" s="38" t="n">
        <f aca="false">Sens!$G$8241/2</f>
        <v>4.72585036583285</v>
      </c>
      <c r="G8241" s="38" t="n">
        <f aca="false">Sens!$U$8241</f>
        <v>9.4517007316657</v>
      </c>
      <c r="H8241" s="38" t="n">
        <f aca="false">Sens!$V$8241</f>
        <v>27.2822988413376</v>
      </c>
      <c r="I8241" s="38" t="n">
        <f aca="false">Sens!$W$8241</f>
        <v>56.5439995605568</v>
      </c>
      <c r="J8241" s="38" t="n">
        <f aca="false">Sens!$X$8241</f>
        <v>82.9773143789735</v>
      </c>
      <c r="K8241" s="38" t="n">
        <f aca="false">Sens!$Y$8241</f>
        <v>110.100211099025</v>
      </c>
      <c r="L8241" s="38" t="n">
        <f aca="false">Sens!$Z$8241</f>
        <v>129.16895011128</v>
      </c>
      <c r="M8241" s="38" t="n">
        <f aca="false">Sens!$AA$8241</f>
        <v>140.095130984075</v>
      </c>
      <c r="N8241" s="38" t="n">
        <f aca="false">Sens!$D$8241/2</f>
        <v>0.779361749182762</v>
      </c>
      <c r="O8241" s="38" t="n">
        <f aca="false">Sens!$D$8241/2</f>
        <v>0.779361749182762</v>
      </c>
      <c r="R8241" s="38" t="n">
        <f aca="false">(SUMPRODUCT(--(Sens!$R$8201:$AA$8201&lt;Sens!R$8201),--(Sens!$R$8201:$AA$8201&gt;=Sens!R$8201-tk_life),Sens!$R$8238:$AA$8238)+SUMPRODUCT(--(Sens!$R$8201:$AA$8201&lt;Sens!R$8201),--(Sens!$R$8201:$AA$8201&gt;=Sens!R$8201-tk_life),Sens!$R$8236:$AA$8236))/tk_life</f>
        <v>0</v>
      </c>
      <c r="S8241" s="38" t="n">
        <f aca="false">(SUMPRODUCT(--(Sens!$R$8201:$AA$8201&lt;Sens!S$8201),--(Sens!$R$8201:$AA$8201&gt;=Sens!S$8201-tk_life),Sens!$R$8238:$AA$8238)+SUMPRODUCT(--(Sens!$R$8201:$AA$8201&lt;Sens!S$8201),--(Sens!$R$8201:$AA$8201&gt;=Sens!S$8201-tk_life),Sens!$R$8236:$AA$8236))/tk_life</f>
        <v>0.183212798365523</v>
      </c>
      <c r="T8241" s="38" t="n">
        <f aca="false">(SUMPRODUCT(--(Sens!$R$8201:$AA$8201&lt;Sens!T$8201),--(Sens!$R$8201:$AA$8201&gt;=Sens!T$8201-tk_life),Sens!$R$8238:$AA$8238)+SUMPRODUCT(--(Sens!$R$8201:$AA$8201&lt;Sens!T$8201),--(Sens!$R$8201:$AA$8201&gt;=Sens!T$8201-tk_life),Sens!$R$8236:$AA$8236))/tk_life</f>
        <v>1.55872349836552</v>
      </c>
      <c r="U8241" s="38" t="n">
        <f aca="false">(SUMPRODUCT(--(Sens!$R$8201:$AA$8201&lt;Sens!U$8201),--(Sens!$R$8201:$AA$8201&gt;=Sens!U$8201-tk_life),Sens!$R$8238:$AA$8238)+SUMPRODUCT(--(Sens!$R$8201:$AA$8201&lt;Sens!U$8201),--(Sens!$R$8201:$AA$8201&gt;=Sens!U$8201-tk_life),Sens!$R$8236:$AA$8236))/tk_life</f>
        <v>9.4517007316657</v>
      </c>
      <c r="V8241" s="38" t="n">
        <f aca="false">(SUMPRODUCT(--(Sens!$R$8201:$AA$8201&lt;Sens!V$8201),--(Sens!$R$8201:$AA$8201&gt;=Sens!V$8201-tk_life),Sens!$R$8238:$AA$8238)+SUMPRODUCT(--(Sens!$R$8201:$AA$8201&lt;Sens!V$8201),--(Sens!$R$8201:$AA$8201&gt;=Sens!V$8201-tk_life),Sens!$R$8236:$AA$8236))/tk_life</f>
        <v>27.2822988413376</v>
      </c>
      <c r="W8241" s="38" t="n">
        <f aca="false">(SUMPRODUCT(--(Sens!$R$8201:$AA$8201&lt;Sens!W$8201),--(Sens!$R$8201:$AA$8201&gt;=Sens!W$8201-tk_life),Sens!$R$8238:$AA$8238)+SUMPRODUCT(--(Sens!$R$8201:$AA$8201&lt;Sens!W$8201),--(Sens!$R$8201:$AA$8201&gt;=Sens!W$8201-tk_life),Sens!$R$8236:$AA$8236))/tk_life</f>
        <v>56.5439995605568</v>
      </c>
      <c r="X8241" s="38" t="n">
        <f aca="false">(SUMPRODUCT(--(Sens!$R$8201:$AA$8201&lt;Sens!X$8201),--(Sens!$R$8201:$AA$8201&gt;=Sens!X$8201-tk_life),Sens!$R$8238:$AA$8238)+SUMPRODUCT(--(Sens!$R$8201:$AA$8201&lt;Sens!X$8201),--(Sens!$R$8201:$AA$8201&gt;=Sens!X$8201-tk_life),Sens!$R$8236:$AA$8236))/tk_life</f>
        <v>82.9773143789735</v>
      </c>
      <c r="Y8241" s="38" t="n">
        <f aca="false">(SUMPRODUCT(--(Sens!$R$8201:$AA$8201&lt;Sens!Y$8201),--(Sens!$R$8201:$AA$8201&gt;=Sens!Y$8201-tk_life),Sens!$R$8238:$AA$8238)+SUMPRODUCT(--(Sens!$R$8201:$AA$8201&lt;Sens!Y$8201),--(Sens!$R$8201:$AA$8201&gt;=Sens!Y$8201-tk_life),Sens!$R$8236:$AA$8236))/tk_life</f>
        <v>110.100211099025</v>
      </c>
      <c r="Z8241" s="38" t="n">
        <f aca="false">(SUMPRODUCT(--(Sens!$R$8201:$AA$8201&lt;Sens!Z$8201),--(Sens!$R$8201:$AA$8201&gt;=Sens!Z$8201-tk_life),Sens!$R$8238:$AA$8238)+SUMPRODUCT(--(Sens!$R$8201:$AA$8201&lt;Sens!Z$8201),--(Sens!$R$8201:$AA$8201&gt;=Sens!Z$8201-tk_life),Sens!$R$8236:$AA$8236))/tk_life</f>
        <v>129.16895011128</v>
      </c>
      <c r="AA8241" s="38" t="n">
        <f aca="false">(SUMPRODUCT(--(Sens!$R$8201:$AA$8201&lt;Sens!AA$8201),--(Sens!$R$8201:$AA$8201&gt;=Sens!AA$8201-tk_life),Sens!$R$8238:$AA$8238)+SUMPRODUCT(--(Sens!$R$8201:$AA$8201&lt;Sens!AA$8201),--(Sens!$R$8201:$AA$8201&gt;=Sens!AA$8201-tk_life),Sens!$R$8236:$AA$8236))/tk_life</f>
        <v>140.095130984075</v>
      </c>
    </row>
    <row r="8242" customFormat="false" ht="17.15" hidden="false" customHeight="false" outlineLevel="0" collapsed="false">
      <c r="A8242" s="0" t="s">
        <v>649</v>
      </c>
      <c r="B8242" s="0" t="s">
        <v>86</v>
      </c>
      <c r="C8242" s="38" t="n">
        <f aca="false">Sens!$S$8242</f>
        <v>0.0202511502553155</v>
      </c>
      <c r="D8242" s="38" t="n">
        <f aca="false">Sens!$T$8242</f>
        <v>0.172291150255315</v>
      </c>
      <c r="E8242" s="38" t="n">
        <f aca="false">Sens!$G$8242/2</f>
        <v>0.522364740326067</v>
      </c>
      <c r="F8242" s="38" t="n">
        <f aca="false">Sens!$G$8242/2</f>
        <v>0.522364740326067</v>
      </c>
      <c r="G8242" s="38" t="n">
        <f aca="false">Sens!$U$8242</f>
        <v>1.04472948065213</v>
      </c>
      <c r="H8242" s="38" t="n">
        <f aca="false">Sens!$V$8242</f>
        <v>2.76361866736136</v>
      </c>
      <c r="I8242" s="38" t="n">
        <f aca="false">Sens!$W$8242</f>
        <v>5.42824377125863</v>
      </c>
      <c r="J8242" s="38" t="n">
        <f aca="false">Sens!$X$8242</f>
        <v>7.73057282125864</v>
      </c>
      <c r="K8242" s="38" t="n">
        <f aca="false">Sens!$Y$8242</f>
        <v>10.0329018712586</v>
      </c>
      <c r="L8242" s="38" t="n">
        <f aca="false">Sens!$Z$8242</f>
        <v>11.661546221342</v>
      </c>
      <c r="M8242" s="38" t="n">
        <f aca="false">Sens!$AA$8242</f>
        <v>12.6165058715086</v>
      </c>
      <c r="N8242" s="38" t="n">
        <f aca="false">Sens!$D$8242/2</f>
        <v>0.0861455751276577</v>
      </c>
      <c r="O8242" s="38" t="n">
        <f aca="false">Sens!$D$8242/2</f>
        <v>0.0861455751276577</v>
      </c>
      <c r="R8242" s="38" t="n">
        <f aca="false">(SUMPRODUCT(--(Sens!$R$8201:$AA$8201&lt;Sens!R$8201),Sens!$R$8239:$AA$8239)+SUMPRODUCT(--(Sens!$R$8201:$AA$8201&lt;Sens!R$8201),Sens!$R$8237:$AA$8237))/fac_life</f>
        <v>0</v>
      </c>
      <c r="S8242" s="38" t="n">
        <f aca="false">(SUMPRODUCT(--(Sens!$R$8201:$AA$8201&lt;Sens!S$8201),Sens!$R$8239:$AA$8239)+SUMPRODUCT(--(Sens!$R$8201:$AA$8201&lt;Sens!S$8201),Sens!$R$8237:$AA$8237))/fac_life</f>
        <v>0.0202511502553155</v>
      </c>
      <c r="T8242" s="38" t="n">
        <f aca="false">(SUMPRODUCT(--(Sens!$R$8201:$AA$8201&lt;Sens!T$8201),Sens!$R$8239:$AA$8239)+SUMPRODUCT(--(Sens!$R$8201:$AA$8201&lt;Sens!T$8201),Sens!$R$8237:$AA$8237))/fac_life</f>
        <v>0.172291150255315</v>
      </c>
      <c r="U8242" s="38" t="n">
        <f aca="false">(SUMPRODUCT(--(Sens!$R$8201:$AA$8201&lt;Sens!U$8201),Sens!$R$8239:$AA$8239)+SUMPRODUCT(--(Sens!$R$8201:$AA$8201&lt;Sens!U$8201),Sens!$R$8237:$AA$8237))/fac_life</f>
        <v>1.04472948065213</v>
      </c>
      <c r="V8242" s="38" t="n">
        <f aca="false">(SUMPRODUCT(--(Sens!$R$8201:$AA$8201&lt;Sens!V$8201),Sens!$R$8239:$AA$8239)+SUMPRODUCT(--(Sens!$R$8201:$AA$8201&lt;Sens!V$8201),Sens!$R$8237:$AA$8237))/fac_life</f>
        <v>2.76361866736136</v>
      </c>
      <c r="W8242" s="38" t="n">
        <f aca="false">(SUMPRODUCT(--(Sens!$R$8201:$AA$8201&lt;Sens!W$8201),Sens!$R$8239:$AA$8239)+SUMPRODUCT(--(Sens!$R$8201:$AA$8201&lt;Sens!W$8201),Sens!$R$8237:$AA$8237))/fac_life</f>
        <v>5.42824377125863</v>
      </c>
      <c r="X8242" s="38" t="n">
        <f aca="false">(SUMPRODUCT(--(Sens!$R$8201:$AA$8201&lt;Sens!X$8201),Sens!$R$8239:$AA$8239)+SUMPRODUCT(--(Sens!$R$8201:$AA$8201&lt;Sens!X$8201),Sens!$R$8237:$AA$8237))/fac_life</f>
        <v>7.73057282125864</v>
      </c>
      <c r="Y8242" s="38" t="n">
        <f aca="false">(SUMPRODUCT(--(Sens!$R$8201:$AA$8201&lt;Sens!Y$8201),Sens!$R$8239:$AA$8239)+SUMPRODUCT(--(Sens!$R$8201:$AA$8201&lt;Sens!Y$8201),Sens!$R$8237:$AA$8237))/fac_life</f>
        <v>10.0329018712586</v>
      </c>
      <c r="Z8242" s="38" t="n">
        <f aca="false">(SUMPRODUCT(--(Sens!$R$8201:$AA$8201&lt;Sens!Z$8201),Sens!$R$8239:$AA$8239)+SUMPRODUCT(--(Sens!$R$8201:$AA$8201&lt;Sens!Z$8201),Sens!$R$8237:$AA$8237))/fac_life</f>
        <v>11.661546221342</v>
      </c>
      <c r="AA8242" s="38" t="n">
        <f aca="false">(SUMPRODUCT(--(Sens!$R$8201:$AA$8201&lt;Sens!AA$8201),Sens!$R$8239:$AA$8239)+SUMPRODUCT(--(Sens!$R$8201:$AA$8201&lt;Sens!AA$8201),Sens!$R$8237:$AA$8237))/fac_life</f>
        <v>12.6165058715086</v>
      </c>
    </row>
    <row r="8243" customFormat="false" ht="17.15" hidden="false" customHeight="false" outlineLevel="0" collapsed="false">
      <c r="A8243" s="1" t="s">
        <v>650</v>
      </c>
      <c r="B8243" s="8" t="s">
        <v>86</v>
      </c>
      <c r="C8243" s="38" t="n">
        <f aca="false">Sens!$C$8241+Sens!$C$8242</f>
        <v>0.203463948620839</v>
      </c>
      <c r="D8243" s="38" t="n">
        <f aca="false">Sens!$D$8241+Sens!$D$8242</f>
        <v>1.73101464862084</v>
      </c>
      <c r="E8243" s="38" t="n">
        <f aca="false">Sens!$E$8241+Sens!$E$8242</f>
        <v>5.24821510615892</v>
      </c>
      <c r="F8243" s="38" t="n">
        <f aca="false">Sens!$F$8241+Sens!$F$8242</f>
        <v>5.24821510615892</v>
      </c>
      <c r="G8243" s="38" t="n">
        <f aca="false">Sens!$G$8241+Sens!$G$8242</f>
        <v>10.4964302123178</v>
      </c>
      <c r="H8243" s="38" t="n">
        <f aca="false">Sens!$H$8241+Sens!$H$8242</f>
        <v>30.045917508699</v>
      </c>
      <c r="I8243" s="38" t="n">
        <f aca="false">Sens!$I$8241+Sens!$I$8242</f>
        <v>61.9722433318155</v>
      </c>
      <c r="J8243" s="38" t="n">
        <f aca="false">Sens!$J$8241+Sens!$J$8242</f>
        <v>90.7078872002321</v>
      </c>
      <c r="K8243" s="38" t="n">
        <f aca="false">Sens!$K$8241+Sens!$K$8242</f>
        <v>120.133112970283</v>
      </c>
      <c r="L8243" s="38" t="n">
        <f aca="false">Sens!$L$8241+Sens!$L$8242</f>
        <v>140.830496332622</v>
      </c>
      <c r="M8243" s="38" t="n">
        <f aca="false">Sens!$M$8241+Sens!$M$8242</f>
        <v>152.711636855584</v>
      </c>
      <c r="N8243" s="38" t="n">
        <f aca="false">Sens!$N$8241+Sens!$N$8242</f>
        <v>0.865507324310419</v>
      </c>
      <c r="O8243" s="38" t="n">
        <f aca="false">Sens!$O$8241+Sens!$O$8242</f>
        <v>0.865507324310419</v>
      </c>
      <c r="R8243" s="38" t="n">
        <f aca="false">Sens!$R$8241+Sens!$R$8242</f>
        <v>0</v>
      </c>
      <c r="S8243" s="38" t="n">
        <f aca="false">Sens!$S$8241+Sens!$S$8242</f>
        <v>0.203463948620839</v>
      </c>
      <c r="T8243" s="38" t="n">
        <f aca="false">Sens!$T$8241+Sens!$T$8242</f>
        <v>1.73101464862084</v>
      </c>
      <c r="U8243" s="38" t="n">
        <f aca="false">Sens!$U$8241+Sens!$U$8242</f>
        <v>10.4964302123178</v>
      </c>
      <c r="V8243" s="38" t="n">
        <f aca="false">Sens!$V$8241+Sens!$V$8242</f>
        <v>30.045917508699</v>
      </c>
      <c r="W8243" s="38" t="n">
        <f aca="false">Sens!$W$8241+Sens!$W$8242</f>
        <v>61.9722433318155</v>
      </c>
      <c r="X8243" s="38" t="n">
        <f aca="false">Sens!$X$8241+Sens!$X$8242</f>
        <v>90.7078872002321</v>
      </c>
      <c r="Y8243" s="38" t="n">
        <f aca="false">Sens!$Y$8241+Sens!$Y$8242</f>
        <v>120.133112970283</v>
      </c>
      <c r="Z8243" s="38" t="n">
        <f aca="false">Sens!$Z$8241+Sens!$Z$8242</f>
        <v>140.830496332622</v>
      </c>
      <c r="AA8243" s="38" t="n">
        <f aca="false">Sens!$AA$8241+Sens!$AA$8242</f>
        <v>152.711636855584</v>
      </c>
    </row>
    <row r="8244" customFormat="false" ht="17.15" hidden="false" customHeight="false" outlineLevel="0" collapsed="false">
      <c r="A8244" s="0" t="s">
        <v>651</v>
      </c>
      <c r="B8244" s="0" t="s">
        <v>86</v>
      </c>
      <c r="C8244" s="38" t="n">
        <f aca="false">Sens!$S$8244</f>
        <v>26.578941154416</v>
      </c>
      <c r="D8244" s="38" t="n">
        <f aca="false">Sens!$T$8244</f>
        <v>94.4165581367978</v>
      </c>
      <c r="G8244" s="38" t="n">
        <f aca="false">Sens!$U$8244</f>
        <v>236.826599034204</v>
      </c>
      <c r="H8244" s="38" t="n">
        <f aca="false">Sens!$V$8244</f>
        <v>405.352046470255</v>
      </c>
      <c r="I8244" s="38" t="n">
        <f aca="false">Sens!$W$8244</f>
        <v>548.02627304894</v>
      </c>
      <c r="J8244" s="38" t="n">
        <f aca="false">Sens!$X$8244</f>
        <v>667.201623959208</v>
      </c>
      <c r="K8244" s="38" t="n">
        <f aca="false">Sens!$Y$8244</f>
        <v>702.306896264125</v>
      </c>
      <c r="L8244" s="38" t="n">
        <f aca="false">Sens!$Z$8244</f>
        <v>693.490541571405</v>
      </c>
      <c r="M8244" s="38" t="n">
        <f aca="false">Sens!$AA$8244</f>
        <v>673.009886375674</v>
      </c>
      <c r="R8244" s="38" t="n">
        <f aca="false">SUM(Sens!$R$8231:$R$8231)-SUM(Sens!$R$8243:$R$8243)</f>
        <v>1.50429979529945</v>
      </c>
      <c r="S8244" s="38" t="n">
        <f aca="false">SUM(Sens!$R$8231:$S$8231)-SUM(Sens!$R$8243:$S$8243)</f>
        <v>26.578941154416</v>
      </c>
      <c r="T8244" s="38" t="n">
        <f aca="false">SUM(Sens!$R$8231:$T$8231)-SUM(Sens!$R$8243:$T$8243)</f>
        <v>94.4165581367978</v>
      </c>
      <c r="U8244" s="38" t="n">
        <f aca="false">SUM(Sens!$R$8231:$U$8231)-SUM(Sens!$R$8243:$U$8243)</f>
        <v>236.826599034204</v>
      </c>
      <c r="V8244" s="38" t="n">
        <f aca="false">SUM(Sens!$R$8231:$V$8231)-SUM(Sens!$R$8243:$V$8243)</f>
        <v>405.352046470255</v>
      </c>
      <c r="W8244" s="38" t="n">
        <f aca="false">SUM(Sens!$R$8231:$W$8231)-SUM(Sens!$R$8243:$W$8243)</f>
        <v>548.02627304894</v>
      </c>
      <c r="X8244" s="38" t="n">
        <f aca="false">SUM(Sens!$R$8231:$X$8231)-SUM(Sens!$R$8243:$X$8243)</f>
        <v>667.201623959208</v>
      </c>
      <c r="Y8244" s="38" t="n">
        <f aca="false">SUM(Sens!$R$8231:$Y$8231)-SUM(Sens!$R$8243:$Y$8243)</f>
        <v>702.306896264125</v>
      </c>
      <c r="Z8244" s="38" t="n">
        <f aca="false">SUM(Sens!$R$8231:$Z$8231)-SUM(Sens!$R$8243:$Z$8243)</f>
        <v>693.490541571405</v>
      </c>
      <c r="AA8244" s="38" t="n">
        <f aca="false">SUM(Sens!$R$8231:$AA$8231)-SUM(Sens!$R$8243:$AA$8243)</f>
        <v>673.009886375674</v>
      </c>
    </row>
    <row r="8245" customFormat="false" ht="17.15" hidden="false" customHeight="false" outlineLevel="0" collapsed="false">
      <c r="A8245" s="1" t="s">
        <v>652</v>
      </c>
    </row>
    <row r="8246" customFormat="false" ht="17.15" hidden="false" customHeight="false" outlineLevel="0" collapsed="false">
      <c r="A8246" s="0" t="s">
        <v>653</v>
      </c>
      <c r="B8246" s="0" t="s">
        <v>86</v>
      </c>
      <c r="C8246" s="38" t="n">
        <f aca="false">Sens!$C$8222-ext_sh*Sens!$C$8224</f>
        <v>1.80694998843362</v>
      </c>
      <c r="D8246" s="38" t="n">
        <f aca="false">Sens!$D$8222-ext_sh*Sens!$D$8224</f>
        <v>6.77606245662607</v>
      </c>
      <c r="E8246" s="38" t="n">
        <f aca="false">Sens!$E$8222-ext_sh*Sens!$E$8224</f>
        <v>6.62548329092326</v>
      </c>
      <c r="F8246" s="38" t="n">
        <f aca="false">Sens!$F$8222-ext_sh*Sens!$F$8224</f>
        <v>11.7200577158706</v>
      </c>
      <c r="G8246" s="38" t="n">
        <f aca="false">Sens!$G$8222-ext_sh*Sens!$G$8224</f>
        <v>18.3455410067939</v>
      </c>
      <c r="H8246" s="38" t="n">
        <f aca="false">Sens!$H$8222-ext_sh*Sens!$H$8224</f>
        <v>47.5171727060453</v>
      </c>
      <c r="I8246" s="38" t="n">
        <f aca="false">Sens!$I$8222-ext_sh*Sens!$I$8224</f>
        <v>80.5539692643667</v>
      </c>
      <c r="J8246" s="38" t="n">
        <f aca="false">Sens!$J$8222-ext_sh*Sens!$J$8224</f>
        <v>113.759316834883</v>
      </c>
      <c r="K8246" s="38" t="n">
        <f aca="false">Sens!$K$8222-ext_sh*Sens!$K$8224</f>
        <v>142.084411492169</v>
      </c>
      <c r="L8246" s="38" t="n">
        <f aca="false">Sens!$L$8222-ext_sh*Sens!$L$8224</f>
        <v>160.69964615804</v>
      </c>
      <c r="M8246" s="38" t="n">
        <f aca="false">Sens!$M$8222-ext_sh*Sens!$M$8224</f>
        <v>169.577607141793</v>
      </c>
      <c r="N8246" s="38" t="n">
        <f aca="false">Sens!$N$8222-ext_sh*Sens!$N$8224</f>
        <v>2.37162185981912</v>
      </c>
      <c r="O8246" s="38" t="n">
        <f aca="false">Sens!$O$8222-ext_sh*Sens!$O$8224</f>
        <v>4.40444059680694</v>
      </c>
    </row>
    <row r="8247" customFormat="false" ht="17.15" hidden="false" customHeight="false" outlineLevel="0" collapsed="false">
      <c r="A8247" s="1" t="s">
        <v>654</v>
      </c>
      <c r="B8247" s="8" t="s">
        <v>86</v>
      </c>
      <c r="C8247" s="38" t="n">
        <f aca="false">Sens!$C$8246-ext_sh*Sens!$C$8243</f>
        <v>1.64417882953695</v>
      </c>
      <c r="D8247" s="38" t="n">
        <f aca="false">Sens!$D$8246-ext_sh*Sens!$D$8243</f>
        <v>5.39125073772939</v>
      </c>
      <c r="E8247" s="38" t="n">
        <f aca="false">Sens!$E$8246-ext_sh*Sens!$E$8243</f>
        <v>2.42691120599613</v>
      </c>
      <c r="F8247" s="38" t="n">
        <f aca="false">Sens!$F$8246-ext_sh*Sens!$F$8243</f>
        <v>7.52148563094346</v>
      </c>
      <c r="G8247" s="38" t="n">
        <f aca="false">Sens!$G$8246-ext_sh*Sens!$G$8243</f>
        <v>9.94839683693959</v>
      </c>
      <c r="H8247" s="38" t="n">
        <f aca="false">Sens!$H$8246-ext_sh*Sens!$H$8243</f>
        <v>23.4804386990861</v>
      </c>
      <c r="I8247" s="38" t="n">
        <f aca="false">Sens!$I$8246-ext_sh*Sens!$I$8243</f>
        <v>30.9761745989143</v>
      </c>
      <c r="J8247" s="38" t="n">
        <f aca="false">Sens!$J$8246-ext_sh*Sens!$J$8243</f>
        <v>41.1930070746977</v>
      </c>
      <c r="K8247" s="38" t="n">
        <f aca="false">Sens!$K$8246-ext_sh*Sens!$K$8243</f>
        <v>45.9779211159428</v>
      </c>
      <c r="L8247" s="38" t="n">
        <f aca="false">Sens!$L$8246-ext_sh*Sens!$L$8243</f>
        <v>48.0352490919424</v>
      </c>
      <c r="M8247" s="38" t="n">
        <f aca="false">Sens!$M$8246-ext_sh*Sens!$M$8243</f>
        <v>47.4082976573265</v>
      </c>
      <c r="N8247" s="38" t="n">
        <f aca="false">Sens!$N$8246-ext_sh*Sens!$N$8243</f>
        <v>1.67921600037079</v>
      </c>
      <c r="O8247" s="38" t="n">
        <f aca="false">Sens!$O$8246-ext_sh*Sens!$O$8243</f>
        <v>3.71203473735861</v>
      </c>
    </row>
    <row r="8248" customFormat="false" ht="17.15" hidden="false" customHeight="false" outlineLevel="0" collapsed="false">
      <c r="A8248" s="0" t="s">
        <v>655</v>
      </c>
      <c r="B8248" s="0" t="s">
        <v>52</v>
      </c>
      <c r="C8248" s="13" t="n">
        <f aca="false">Sens!$C$8247/Sens!$C$8222</f>
        <v>0.708390794789371</v>
      </c>
      <c r="D8248" s="13" t="n">
        <f aca="false">Sens!$D$8247/Sens!$D$8222</f>
        <v>0.619415573115729</v>
      </c>
      <c r="E8248" s="13" t="n">
        <f aca="false">Sens!$E$8247/Sens!$E$8222</f>
        <v>0.285171627189009</v>
      </c>
      <c r="F8248" s="13" t="n">
        <f aca="false">Sens!$F$8247/Sens!$F$8222</f>
        <v>0.502657732812366</v>
      </c>
      <c r="G8248" s="13" t="n">
        <f aca="false">Sens!$G$8247/Sens!$G$8222</f>
        <v>0.423808778611812</v>
      </c>
      <c r="H8248" s="13" t="n">
        <f aca="false">Sens!$H$8247/Sens!$H$8222</f>
        <v>0.390261631739809</v>
      </c>
      <c r="I8248" s="13" t="n">
        <f aca="false">Sens!$I$8247/Sens!$I$8222</f>
        <v>0.305172864264572</v>
      </c>
      <c r="J8248" s="13" t="n">
        <f aca="false">Sens!$J$8247/Sens!$J$8222</f>
        <v>0.288011814789856</v>
      </c>
      <c r="K8248" s="13" t="n">
        <f aca="false">Sens!$K$8247/Sens!$K$8222</f>
        <v>0.25765427518774</v>
      </c>
      <c r="L8248" s="13" t="n">
        <f aca="false">Sens!$L$8247/Sens!$L$8222</f>
        <v>0.238118778012374</v>
      </c>
      <c r="M8248" s="13" t="n">
        <f aca="false">Sens!$M$8247/Sens!$M$8222</f>
        <v>0.222746255757109</v>
      </c>
      <c r="N8248" s="13" t="n">
        <f aca="false">Sens!$N$8247/Sens!$N$8222</f>
        <v>0.551227795793364</v>
      </c>
      <c r="O8248" s="13" t="n">
        <f aca="false">Sens!$O$8247/Sens!$O$8222</f>
        <v>0.656132068597002</v>
      </c>
    </row>
    <row r="8249" customFormat="false" ht="17.15" hidden="false" customHeight="false" outlineLevel="0" collapsed="false">
      <c r="A8249" s="5" t="s">
        <v>656</v>
      </c>
      <c r="B8249" s="0" t="s">
        <v>86</v>
      </c>
      <c r="C8249" s="39" t="n">
        <v>0</v>
      </c>
      <c r="D8249" s="39" t="n">
        <v>0</v>
      </c>
      <c r="E8249" s="39" t="n">
        <v>0</v>
      </c>
      <c r="F8249" s="38" t="n">
        <f aca="false">IF(internal_ai_reading=2,1,0)*(1-ext_sh)/ext_sh*(mw_open*he_open+Sens!$F$8220*Sens!$F$8217)*Sens!$F$8206/1000</f>
        <v>3.77122048175818</v>
      </c>
      <c r="G8249" s="38" t="n">
        <f aca="false">Sens!$E$8249+Sens!$F$8249</f>
        <v>3.77122048175818</v>
      </c>
      <c r="H8249" s="38" t="n">
        <f aca="false">IF(internal_ai_reading=2,1,0)*(1-ext_sh)/ext_sh*(mw_open*he_open+Sens!$H$8220*Sens!$H$8217)*Sens!$H$8206/1000</f>
        <v>15.1635543609893</v>
      </c>
      <c r="I8249" s="38" t="n">
        <f aca="false">IF(internal_ai_reading=2,1,0)*(1-ext_sh)/ext_sh*(mw_open*he_open+Sens!$I$8220*Sens!$I$8217)*Sens!$I$8206/1000</f>
        <v>25.5818843619889</v>
      </c>
      <c r="J8249" s="38" t="n">
        <f aca="false">IF(internal_ai_reading=2,1,0)*(1-ext_sh)/ext_sh*(mw_open*he_open+Sens!$J$8220*Sens!$J$8217)*Sens!$J$8206/1000</f>
        <v>36.0465624179122</v>
      </c>
      <c r="K8249" s="38" t="n">
        <f aca="false">IF(internal_ai_reading=2,1,0)*(1-ext_sh)/ext_sh*(mw_open*he_open+Sens!$K$8220*Sens!$K$8217)*Sens!$K$8206/1000</f>
        <v>44.9741164026038</v>
      </c>
      <c r="L8249" s="38" t="n">
        <f aca="false">IF(internal_ai_reading=2,1,0)*(1-ext_sh)/ext_sh*(mw_open*he_open+Sens!$L$8220*Sens!$L$8217)*Sens!$L$8206/1000</f>
        <v>50.8413488057813</v>
      </c>
      <c r="M8249" s="38" t="n">
        <f aca="false">IF(internal_ai_reading=2,1,0)*(1-ext_sh)/ext_sh*(mw_open*he_open+Sens!$M$8220*Sens!$M$8217)*Sens!$M$8206/1000</f>
        <v>53.6407214274315</v>
      </c>
      <c r="N8249" s="39" t="n">
        <v>0</v>
      </c>
      <c r="O8249" s="39" t="n">
        <v>0</v>
      </c>
      <c r="P8249" s="8" t="s">
        <v>657</v>
      </c>
    </row>
    <row r="8250" customFormat="false" ht="17.15" hidden="false" customHeight="false" outlineLevel="0" collapsed="false">
      <c r="A8250" s="5" t="s">
        <v>658</v>
      </c>
      <c r="B8250" s="0" t="s">
        <v>86</v>
      </c>
      <c r="C8250" s="38" t="n">
        <f aca="false">(1-ext_sh)*(Sens!$C$8224+Sens!$C$8243)</f>
        <v>0.169206631859174</v>
      </c>
      <c r="D8250" s="38" t="n">
        <f aca="false">(1-ext_sh)*(Sens!$D$8224+Sens!$D$8243)</f>
        <v>0.828129837730442</v>
      </c>
      <c r="E8250" s="38" t="n">
        <f aca="false">(1-ext_sh)*(Sens!$E$8224+Sens!$E$8243)</f>
        <v>1.52086044239347</v>
      </c>
      <c r="F8250" s="38" t="n">
        <f aca="false">(1-ext_sh)*(Sens!$F$8224+Sens!$F$8243)</f>
        <v>1.86048700344425</v>
      </c>
      <c r="G8250" s="38" t="n">
        <f aca="false">(1-ext_sh)*(Sens!$G$8224+Sens!$G$8243)</f>
        <v>3.38134744583772</v>
      </c>
      <c r="H8250" s="38" t="n">
        <f aca="false">(1-ext_sh)*(Sens!$H$8224+Sens!$H$8243)</f>
        <v>9.17136301267211</v>
      </c>
      <c r="I8250" s="38" t="n">
        <f aca="false">(1-ext_sh)*(Sens!$I$8224+Sens!$I$8243)</f>
        <v>17.6318811343794</v>
      </c>
      <c r="J8250" s="38" t="n">
        <f aca="false">(1-ext_sh)*(Sens!$J$8224+Sens!$J$8243)</f>
        <v>25.4581000191451</v>
      </c>
      <c r="K8250" s="38" t="n">
        <f aca="false">(1-ext_sh)*(Sens!$K$8224+Sens!$K$8243)</f>
        <v>33.1175498168092</v>
      </c>
      <c r="L8250" s="38" t="n">
        <f aca="false">(1-ext_sh)*(Sens!$L$8224+Sens!$L$8243)</f>
        <v>38.4232131776135</v>
      </c>
      <c r="M8250" s="38" t="n">
        <f aca="false">(1-ext_sh)*(Sens!$M$8224+Sens!$M$8243)</f>
        <v>41.3567859278847</v>
      </c>
      <c r="N8250" s="38" t="n">
        <f aca="false">(1-ext_sh)*(Sens!$N$8224+Sens!$N$8243)</f>
        <v>0.34177588266428</v>
      </c>
      <c r="O8250" s="38" t="n">
        <f aca="false">(1-ext_sh)*(Sens!$O$8224+Sens!$O$8243)</f>
        <v>0.486353955066162</v>
      </c>
    </row>
    <row r="8251" customFormat="false" ht="17.15" hidden="false" customHeight="false" outlineLevel="0" collapsed="false">
      <c r="A8251" s="0" t="s">
        <v>659</v>
      </c>
      <c r="B8251" s="0" t="s">
        <v>86</v>
      </c>
      <c r="C8251" s="38" t="n">
        <f aca="false">Q!$D$24</f>
        <v>39.834</v>
      </c>
      <c r="D8251" s="38" t="n">
        <f aca="false">Q!$E$24</f>
        <v>45.606</v>
      </c>
      <c r="E8251" s="38" t="n">
        <f aca="false">Q!$P$24</f>
        <v>30.782</v>
      </c>
      <c r="N8251" s="38" t="n">
        <f aca="false">Q!$N$24</f>
        <v>21.707</v>
      </c>
      <c r="O8251" s="38" t="n">
        <f aca="false">Q!$O$24</f>
        <v>23.899</v>
      </c>
    </row>
    <row r="8252" customFormat="false" ht="17.15" hidden="false" customHeight="false" outlineLevel="0" collapsed="false">
      <c r="A8252" s="0" t="s">
        <v>660</v>
      </c>
      <c r="B8252" s="0" t="s">
        <v>86</v>
      </c>
      <c r="C8252" s="38" t="n">
        <f aca="false">Sens!$C$8251-Sens!$C$8247</f>
        <v>38.1898211704631</v>
      </c>
      <c r="D8252" s="38" t="n">
        <f aca="false">Sens!$D$8251-Sens!$D$8247</f>
        <v>40.2147492622706</v>
      </c>
      <c r="E8252" s="38" t="n">
        <f aca="false">Sens!$E$8251-Sens!$E$8247</f>
        <v>28.3550887940039</v>
      </c>
      <c r="F8252" s="38" t="n">
        <f aca="false">Sens!$F$8226*Sens!$F$8253</f>
        <v>25.9529793149447</v>
      </c>
      <c r="G8252" s="38" t="n">
        <f aca="false">Sens!$E$8252+Sens!$F$8252</f>
        <v>54.3080681089486</v>
      </c>
      <c r="H8252" s="38" t="n">
        <f aca="false">Sens!$H$8226*Sens!$H$8253</f>
        <v>58.2264684589333</v>
      </c>
      <c r="I8252" s="38" t="n">
        <f aca="false">Sens!$I$8226*Sens!$I$8253</f>
        <v>64.6461353851744</v>
      </c>
      <c r="J8252" s="38" t="n">
        <f aca="false">Sens!$J$8226*Sens!$J$8253</f>
        <v>70.7957093610231</v>
      </c>
      <c r="K8252" s="38" t="n">
        <f aca="false">Sens!$K$8226*Sens!$K$8253</f>
        <v>76.4593661099049</v>
      </c>
      <c r="L8252" s="38" t="n">
        <f aca="false">Sens!$L$8226*Sens!$L$8253</f>
        <v>82.5761153986973</v>
      </c>
      <c r="M8252" s="38" t="n">
        <f aca="false">Sens!$M$8226*Sens!$M$8253</f>
        <v>89.1822046305931</v>
      </c>
      <c r="N8252" s="38" t="n">
        <f aca="false">Sens!$N$8251-Sens!$N$8247</f>
        <v>20.0277839996292</v>
      </c>
      <c r="O8252" s="38" t="n">
        <f aca="false">Sens!$O$8251-Sens!$O$8247</f>
        <v>20.1869652626414</v>
      </c>
      <c r="P8252" s="5" t="s">
        <v>661</v>
      </c>
    </row>
    <row r="8253" customFormat="false" ht="17.15" hidden="false" customHeight="false" outlineLevel="0" collapsed="false">
      <c r="A8253" s="0" t="s">
        <v>662</v>
      </c>
      <c r="B8253" s="0" t="s">
        <v>52</v>
      </c>
      <c r="C8253" s="13" t="n">
        <f aca="false">Sens!$C$8252/Sens!$C$8226</f>
        <v>0.362900395443635</v>
      </c>
      <c r="D8253" s="13" t="n">
        <f aca="false">Sens!$D$8252/Sens!$D$8226</f>
        <v>0.335063632425483</v>
      </c>
      <c r="E8253" s="13" t="n">
        <f aca="false">Sens!$E$8252/Sens!$E$8226</f>
        <v>0.397638855555478</v>
      </c>
      <c r="F8253" s="13" t="n">
        <f aca="false">(Sens!$O$8252+Sens!$E$8252)/(Sens!$O$8226+Sens!$E$8226)</f>
        <v>0.361616727338133</v>
      </c>
      <c r="G8253" s="13" t="n">
        <f aca="false">Sens!$G$8252/Sens!$G$8226</f>
        <v>0.379569803149143</v>
      </c>
      <c r="H8253" s="13" t="n">
        <f aca="false">Sens!$F$8253</f>
        <v>0.361616727338133</v>
      </c>
      <c r="I8253" s="13" t="n">
        <f aca="false">Sens!$F$8253</f>
        <v>0.361616727338133</v>
      </c>
      <c r="J8253" s="13" t="n">
        <f aca="false">Sens!$F$8253</f>
        <v>0.361616727338133</v>
      </c>
      <c r="K8253" s="13" t="n">
        <f aca="false">Sens!$F$8253</f>
        <v>0.361616727338133</v>
      </c>
      <c r="L8253" s="13" t="n">
        <f aca="false">Sens!$F$8253</f>
        <v>0.361616727338133</v>
      </c>
      <c r="M8253" s="13" t="n">
        <f aca="false">Sens!$F$8253</f>
        <v>0.361616727338133</v>
      </c>
      <c r="N8253" s="13" t="n">
        <f aca="false">Sens!$N$8252/Sens!$N$8226</f>
        <v>0.35078810535806</v>
      </c>
      <c r="O8253" s="13" t="n">
        <f aca="false">Sens!$O$8252/Sens!$O$8226</f>
        <v>0.320796939361619</v>
      </c>
      <c r="P8253" s="8" t="s">
        <v>663</v>
      </c>
    </row>
    <row r="8254" customFormat="false" ht="17.15" hidden="false" customHeight="false" outlineLevel="0" collapsed="false">
      <c r="A8254" s="0" t="s">
        <v>664</v>
      </c>
      <c r="B8254" s="0" t="s">
        <v>52</v>
      </c>
      <c r="D8254" s="13" t="n">
        <f aca="false">(Q!$E$31-ext_sh*Sens!$D$8243)/Sens!$D$8226</f>
        <v>0.167180325480118</v>
      </c>
    </row>
    <row r="8255" customFormat="false" ht="17.15" hidden="false" customHeight="false" outlineLevel="0" collapsed="false">
      <c r="A8255" s="0" t="s">
        <v>665</v>
      </c>
      <c r="B8255" s="0" t="s">
        <v>86</v>
      </c>
      <c r="C8255" s="38" t="n">
        <f aca="false">Q!$D$31</f>
        <v>13.32</v>
      </c>
      <c r="D8255" s="38" t="n">
        <f aca="false">Q!$E$31</f>
        <v>21.45</v>
      </c>
      <c r="E8255" s="38" t="n">
        <f aca="false">Q!$P$31</f>
        <v>15.353</v>
      </c>
      <c r="F8255" s="38" t="n">
        <f aca="false">ext_sh*Sens!$F$8243+Sens!$D$8254*Sens!$F$8226</f>
        <v>16.1969869840094</v>
      </c>
      <c r="G8255" s="38" t="n">
        <f aca="false">Sens!$E$8255+Sens!$F$8255</f>
        <v>31.5499869840094</v>
      </c>
      <c r="H8255" s="38" t="n">
        <f aca="false">ext_sh*Sens!$H$8243+Sens!$D$8254*Sens!$H$8226</f>
        <v>50.9556213609176</v>
      </c>
      <c r="I8255" s="38" t="n">
        <f aca="false">ext_sh*Sens!$I$8243+Sens!$D$8254*Sens!$I$8226</f>
        <v>79.464581248252</v>
      </c>
      <c r="J8255" s="38" t="n">
        <f aca="false">ext_sh*Sens!$J$8243+Sens!$D$8254*Sens!$J$8226</f>
        <v>105.296127931746</v>
      </c>
      <c r="K8255" s="38" t="n">
        <f aca="false">ext_sh*Sens!$K$8243+Sens!$D$8254*Sens!$K$8226</f>
        <v>131.454694001511</v>
      </c>
      <c r="L8255" s="38" t="n">
        <f aca="false">ext_sh*Sens!$L$8243+Sens!$D$8254*Sens!$L$8226</f>
        <v>150.840456981405</v>
      </c>
      <c r="M8255" s="38" t="n">
        <f aca="false">ext_sh*Sens!$M$8243+Sens!$D$8254*Sens!$M$8226</f>
        <v>163.399454192999</v>
      </c>
      <c r="N8255" s="38" t="n">
        <f aca="false">Q!$N$31</f>
        <v>9.234</v>
      </c>
      <c r="O8255" s="38" t="n">
        <f aca="false">Q!$O$31</f>
        <v>12.216</v>
      </c>
    </row>
    <row r="8256" customFormat="false" ht="17.15" hidden="false" customHeight="false" outlineLevel="0" collapsed="false">
      <c r="A8256" s="1" t="s">
        <v>666</v>
      </c>
    </row>
    <row r="8257" customFormat="false" ht="17.15" hidden="false" customHeight="false" outlineLevel="0" collapsed="false">
      <c r="A8257" s="15" t="s">
        <v>667</v>
      </c>
      <c r="B8257" s="14" t="s">
        <v>52</v>
      </c>
      <c r="C8257" s="14"/>
      <c r="D8257" s="14"/>
      <c r="E8257" s="14"/>
      <c r="F8257" s="14"/>
      <c r="G8257" s="17" t="n">
        <f aca="false">Sens!$G$8247*(1-tax)/(ext_sh*(Sens!$D$8244+Sens!$G$8244)/2)</f>
        <v>0.0620504069546486</v>
      </c>
      <c r="H8257" s="17" t="n">
        <f aca="false">Sens!$H$8247*(1-tax)/(ext_sh*(Sens!$G$8244+Sens!$H$8244)/2)</f>
        <v>0.0755420551527686</v>
      </c>
      <c r="I8257" s="17" t="n">
        <f aca="false">Sens!$I$8247*(1-tax)/(ext_sh*(Sens!$H$8244+Sens!$I$8244)/2)</f>
        <v>0.067127575356291</v>
      </c>
      <c r="J8257" s="17" t="n">
        <f aca="false">Sens!$J$8247*(1-tax)/(ext_sh*(Sens!$I$8244+Sens!$J$8244)/2)</f>
        <v>0.0700332392906535</v>
      </c>
      <c r="K8257" s="17" t="n">
        <f aca="false">Sens!$K$8247*(1-tax)/(ext_sh*(Sens!$J$8244+Sens!$K$8244)/2)</f>
        <v>0.0693622290093833</v>
      </c>
      <c r="L8257" s="17" t="n">
        <f aca="false">Sens!$L$8247*(1-tax)/(ext_sh*(Sens!$K$8244+Sens!$L$8244)/2)</f>
        <v>0.0711010638813626</v>
      </c>
      <c r="M8257" s="17" t="n">
        <f aca="false">Sens!$M$8247*(1-tax)/(ext_sh*(Sens!$L$8244+Sens!$M$8244)/2)</f>
        <v>0.071677531066401</v>
      </c>
      <c r="N8257" s="14"/>
      <c r="O8257" s="14"/>
      <c r="P8257" s="8" t="s">
        <v>668</v>
      </c>
    </row>
    <row r="8258" customFormat="false" ht="17.15" hidden="false" customHeight="false" outlineLevel="0" collapsed="false">
      <c r="A8258" s="5" t="s">
        <v>669</v>
      </c>
      <c r="B8258" s="0" t="s">
        <v>57</v>
      </c>
      <c r="H8258" s="36" t="n">
        <f aca="false">Sens!$H$8222*1000/(mw_open*he_open+Sens!$H$8220*Sens!$H$8217)</f>
        <v>0.991949006767191</v>
      </c>
      <c r="I8258" s="36" t="n">
        <f aca="false">Sens!$I$8222*1000/(mw_open*he_open+Sens!$I$8220*Sens!$I$8217)</f>
        <v>0.991949006767191</v>
      </c>
      <c r="J8258" s="36" t="n">
        <f aca="false">Sens!$J$8222*1000/(mw_open*he_open+Sens!$J$8220*Sens!$J$8217)</f>
        <v>0.991949006767191</v>
      </c>
      <c r="K8258" s="36" t="n">
        <f aca="false">Sens!$K$8222*1000/(mw_open*he_open+Sens!$K$8220*Sens!$K$8217)</f>
        <v>0.991949006767191</v>
      </c>
      <c r="L8258" s="36" t="n">
        <f aca="false">Sens!$L$8222*1000/(mw_open*he_open+Sens!$L$8220*Sens!$L$8217)</f>
        <v>0.991949006767191</v>
      </c>
      <c r="M8258" s="36" t="n">
        <f aca="false">Sens!$M$8222*1000/(mw_open*he_open+Sens!$M$8220*Sens!$M$8217)</f>
        <v>0.991949006767191</v>
      </c>
    </row>
    <row r="8259" customFormat="false" ht="17.15" hidden="false" customHeight="false" outlineLevel="0" collapsed="false">
      <c r="A8259" s="5" t="s">
        <v>670</v>
      </c>
      <c r="B8259" s="0" t="s">
        <v>57</v>
      </c>
      <c r="H8259" s="36" t="n">
        <f aca="false">Sens!$H$8258*(Sens!$H$8222+wacc*ext_sh*(Sens!$G$8244+Sens!$H$8244)/2/(1-tax)-Sens!$H$8247)/Sens!$H$8222</f>
        <v>1.18542857552197</v>
      </c>
      <c r="I8259" s="36" t="n">
        <f aca="false">Sens!$I$8258*(Sens!$I$8222+wacc*ext_sh*(Sens!$H$8244+Sens!$I$8244)/2/(1-tax)-Sens!$I$8247)/Sens!$I$8222</f>
        <v>1.20015476648903</v>
      </c>
      <c r="J8259" s="36" t="n">
        <f aca="false">Sens!$J$8258*(Sens!$J$8222+wacc*ext_sh*(Sens!$I$8244+Sens!$J$8244)/2/(1-tax)-Sens!$J$8247)/Sens!$J$8222</f>
        <v>1.16844056931249</v>
      </c>
      <c r="K8259" s="36" t="n">
        <f aca="false">Sens!$K$8258*(Sens!$K$8222+wacc*ext_sh*(Sens!$J$8244+Sens!$K$8244)/2/(1-tax)-Sens!$K$8247)/Sens!$K$8222</f>
        <v>1.15383758356873</v>
      </c>
      <c r="L8259" s="36" t="n">
        <f aca="false">Sens!$L$8258*(Sens!$L$8222+wacc*ext_sh*(Sens!$K$8244+Sens!$L$8244)/2/(1-tax)-Sens!$L$8247)/Sens!$L$8222</f>
        <v>1.13212765595665</v>
      </c>
      <c r="M8259" s="36" t="n">
        <f aca="false">Sens!$M$8258*(Sens!$M$8222+wacc*ext_sh*(Sens!$L$8244+Sens!$M$8244)/2/(1-tax)-Sens!$M$8247)/Sens!$M$8222</f>
        <v>1.12024635139935</v>
      </c>
    </row>
    <row r="8260" customFormat="false" ht="17.15" hidden="false" customHeight="false" outlineLevel="0" collapsed="false">
      <c r="A8260" s="5" t="s">
        <v>671</v>
      </c>
      <c r="B8260" s="0" t="s">
        <v>52</v>
      </c>
      <c r="C8260" s="13" t="n">
        <f aca="false">Sens!$C$8223/tk_pq</f>
        <v>0.195316432429398</v>
      </c>
      <c r="D8260" s="13" t="n">
        <f aca="false">Sens!$D$8223/tk_pq</f>
        <v>0.195316432429398</v>
      </c>
      <c r="E8260" s="13" t="n">
        <f aca="false">Sens!$E$8223/tk_pq</f>
        <v>0.195316432429398</v>
      </c>
      <c r="F8260" s="13" t="n">
        <f aca="false">Sens!$F$8223/tk_pq</f>
        <v>0.202241827274866</v>
      </c>
      <c r="G8260" s="13" t="n">
        <f aca="false">Sens!$G$8223/tk_pq</f>
        <v>0.199675016194063</v>
      </c>
      <c r="H8260" s="13" t="n">
        <f aca="false">Sens!$H$8223/tk_pq</f>
        <v>0.212647947710325</v>
      </c>
      <c r="I8260" s="13" t="n">
        <f aca="false">Sens!$I$8223/tk_pq</f>
        <v>0.219285125475351</v>
      </c>
      <c r="J8260" s="13" t="n">
        <f aca="false">Sens!$J$8223/tk_pq</f>
        <v>0.222492493217189</v>
      </c>
      <c r="K8260" s="13" t="n">
        <f aca="false">Sens!$K$8223/tk_pq</f>
        <v>0.224053502812094</v>
      </c>
      <c r="L8260" s="13" t="n">
        <f aca="false">Sens!$L$8223/tk_pq</f>
        <v>0.224786916785614</v>
      </c>
      <c r="M8260" s="13" t="n">
        <f aca="false">Sens!$M$8223/tk_pq</f>
        <v>0.225048671566937</v>
      </c>
      <c r="N8260" s="13" t="n">
        <f aca="false">Sens!$N$8223/tk_pq</f>
        <v>0.195316432429398</v>
      </c>
      <c r="O8260" s="13" t="n">
        <f aca="false">Sens!$O$8223/tk_pq</f>
        <v>0.195316432429398</v>
      </c>
      <c r="P8260" s="5" t="s">
        <v>672</v>
      </c>
    </row>
    <row r="8263" customFormat="false" ht="17.15" hidden="false" customHeight="false" outlineLevel="0" collapsed="false">
      <c r="A8263" s="1" t="s">
        <v>701</v>
      </c>
    </row>
    <row r="8264" customFormat="false" ht="17.15" hidden="false" customHeight="false" outlineLevel="0" collapsed="false">
      <c r="A8264" s="0" t="s">
        <v>702</v>
      </c>
      <c r="B8264" s="0" t="s">
        <v>86</v>
      </c>
      <c r="C8264" s="38" t="n">
        <f aca="false">Sens!$C$8222</f>
        <v>2.32100535697364</v>
      </c>
      <c r="D8264" s="38" t="n">
        <f aca="false">Sens!$D$8222</f>
        <v>8.70377008865116</v>
      </c>
      <c r="E8264" s="38" t="n">
        <f aca="false">Sens!$E$8222</f>
        <v>8.51035297557002</v>
      </c>
      <c r="F8264" s="38" t="n">
        <f aca="false">Sens!$F$8222</f>
        <v>14.9634336447205</v>
      </c>
      <c r="G8264" s="38" t="n">
        <f aca="false">Sens!$G$8222</f>
        <v>23.4737866202905</v>
      </c>
      <c r="H8264" s="38" t="n">
        <f aca="false">Sens!$H$8222</f>
        <v>60.1658907497746</v>
      </c>
      <c r="I8264" s="38" t="n">
        <f aca="false">Sens!$I$8222</f>
        <v>101.503699136432</v>
      </c>
      <c r="J8264" s="38" t="n">
        <f aca="false">Sens!$J$8222</f>
        <v>143.025407151278</v>
      </c>
      <c r="K8264" s="38" t="n">
        <f aca="false">Sens!$K$8222</f>
        <v>178.44812038318</v>
      </c>
      <c r="L8264" s="38" t="n">
        <f aca="false">Sens!$L$8222</f>
        <v>201.728101802396</v>
      </c>
      <c r="M8264" s="38" t="n">
        <f aca="false">Sens!$M$8222</f>
        <v>212.835441368865</v>
      </c>
      <c r="N8264" s="38" t="n">
        <f aca="false">Sens!$N$8222</f>
        <v>3.04631953102791</v>
      </c>
      <c r="O8264" s="38" t="n">
        <f aca="false">Sens!$O$8222</f>
        <v>5.65745055762326</v>
      </c>
      <c r="P8264" s="8" t="s">
        <v>703</v>
      </c>
    </row>
    <row r="8265" customFormat="false" ht="17.15" hidden="false" customHeight="false" outlineLevel="0" collapsed="false">
      <c r="A8265" s="0" t="s">
        <v>704</v>
      </c>
      <c r="B8265" s="0" t="s">
        <v>86</v>
      </c>
      <c r="C8265" s="38" t="n">
        <f aca="false">Sens!$C$8226</f>
        <v>105.234994643026</v>
      </c>
      <c r="D8265" s="38" t="n">
        <f aca="false">Sens!$D$8226</f>
        <v>120.021229911349</v>
      </c>
      <c r="E8265" s="38" t="n">
        <f aca="false">Sens!$E$8226</f>
        <v>71.30864702443</v>
      </c>
      <c r="F8265" s="38" t="n">
        <f aca="false">Sens!$F$8226</f>
        <v>71.7692997942464</v>
      </c>
      <c r="G8265" s="38" t="n">
        <f aca="false">Sens!$G$8226</f>
        <v>143.077946818676</v>
      </c>
      <c r="H8265" s="38" t="n">
        <f aca="false">Sens!$H$8226</f>
        <v>161.017077079203</v>
      </c>
      <c r="I8265" s="38" t="n">
        <f aca="false">Sens!$I$8226</f>
        <v>178.769759521457</v>
      </c>
      <c r="J8265" s="38" t="n">
        <f aca="false">Sens!$J$8226</f>
        <v>195.775538045907</v>
      </c>
      <c r="K8265" s="38" t="n">
        <f aca="false">Sens!$K$8226</f>
        <v>211.43758108958</v>
      </c>
      <c r="L8265" s="38" t="n">
        <f aca="false">Sens!$L$8226</f>
        <v>228.352587576746</v>
      </c>
      <c r="M8265" s="38" t="n">
        <f aca="false">Sens!$M$8226</f>
        <v>246.620794582886</v>
      </c>
      <c r="N8265" s="38" t="n">
        <f aca="false">Sens!$N$8226</f>
        <v>57.0936804689721</v>
      </c>
      <c r="O8265" s="38" t="n">
        <f aca="false">Sens!$O$8226</f>
        <v>62.9275494423768</v>
      </c>
      <c r="P8265" s="8" t="s">
        <v>703</v>
      </c>
    </row>
    <row r="8266" customFormat="false" ht="17.15" hidden="false" customHeight="false" outlineLevel="0" collapsed="false">
      <c r="A8266" s="1" t="s">
        <v>523</v>
      </c>
      <c r="B8266" s="8" t="s">
        <v>86</v>
      </c>
      <c r="C8266" s="38" t="n">
        <f aca="false">Q!$D$7</f>
        <v>107.556</v>
      </c>
      <c r="D8266" s="38" t="n">
        <f aca="false">Q!$E$7</f>
        <v>128.725</v>
      </c>
      <c r="E8266" s="38" t="n">
        <f aca="false">Q!$P$7</f>
        <v>79.819</v>
      </c>
      <c r="F8266" s="38" t="n">
        <f aca="false">Sens!$F$8264+Sens!$F$8265</f>
        <v>86.7327334389669</v>
      </c>
      <c r="G8266" s="38" t="n">
        <f aca="false">Sens!$G$8264+Sens!$G$8265</f>
        <v>166.551733438967</v>
      </c>
      <c r="H8266" s="38" t="n">
        <f aca="false">Sens!$H$8264+Sens!$H$8265</f>
        <v>221.182967828978</v>
      </c>
      <c r="I8266" s="38" t="n">
        <f aca="false">Sens!$I$8264+Sens!$I$8265</f>
        <v>280.27345865789</v>
      </c>
      <c r="J8266" s="38" t="n">
        <f aca="false">Sens!$J$8264+Sens!$J$8265</f>
        <v>338.800945197185</v>
      </c>
      <c r="K8266" s="38" t="n">
        <f aca="false">Sens!$K$8264+Sens!$K$8265</f>
        <v>389.88570147276</v>
      </c>
      <c r="L8266" s="38" t="n">
        <f aca="false">Sens!$L$8264+Sens!$L$8265</f>
        <v>430.080689379143</v>
      </c>
      <c r="M8266" s="38" t="n">
        <f aca="false">Sens!$M$8264+Sens!$M$8265</f>
        <v>459.456235951751</v>
      </c>
      <c r="N8266" s="38" t="n">
        <f aca="false">Q!$N$7</f>
        <v>60.14</v>
      </c>
      <c r="O8266" s="38" t="n">
        <f aca="false">Q!$O$7</f>
        <v>68.585</v>
      </c>
      <c r="P8266" s="5" t="s">
        <v>705</v>
      </c>
    </row>
    <row r="8267" customFormat="false" ht="15" hidden="false" customHeight="false" outlineLevel="0" collapsed="false">
      <c r="A8267" s="3" t="s">
        <v>706</v>
      </c>
      <c r="B8267" s="8" t="s">
        <v>86</v>
      </c>
      <c r="C8267" s="38" t="n">
        <f aca="false">Q!$D$8</f>
        <v>637.959</v>
      </c>
      <c r="D8267" s="38" t="n">
        <f aca="false">Q!$E$8</f>
        <v>716.924</v>
      </c>
      <c r="E8267" s="38" t="n">
        <f aca="false">Q!$P$8</f>
        <v>382.125</v>
      </c>
      <c r="F8267" s="38" t="n">
        <f aca="false">Sens!$F$8194+Sens!$F$8266</f>
        <v>435.780975084504</v>
      </c>
      <c r="G8267" s="38" t="n">
        <f aca="false">Sens!$G$8194+Sens!$G$8266</f>
        <v>817.905975084504</v>
      </c>
      <c r="H8267" s="38" t="n">
        <f aca="false">Sens!$H$8194+Sens!$H$8266</f>
        <v>942.279857350364</v>
      </c>
      <c r="I8267" s="38" t="n">
        <f aca="false">Sens!$I$8194+Sens!$I$8266</f>
        <v>1068.80284981042</v>
      </c>
      <c r="J8267" s="38" t="n">
        <f aca="false">Sens!$J$8194+Sens!$J$8266</f>
        <v>1189.90935093863</v>
      </c>
      <c r="K8267" s="38" t="n">
        <f aca="false">Sens!$K$8194+Sens!$K$8266</f>
        <v>1296.06215690385</v>
      </c>
      <c r="L8267" s="38" t="n">
        <f aca="false">Sens!$L$8194+Sens!$L$8266</f>
        <v>1395.17379585473</v>
      </c>
      <c r="M8267" s="38" t="n">
        <f aca="false">Sens!$M$8194+Sens!$M$8266</f>
        <v>1487.60414389864</v>
      </c>
      <c r="N8267" s="38" t="n">
        <f aca="false">Q!$N$8</f>
        <v>323.369</v>
      </c>
      <c r="O8267" s="38" t="n">
        <f aca="false">Q!$O$8</f>
        <v>393.555</v>
      </c>
    </row>
    <row r="8268" customFormat="false" ht="17.15" hidden="false" customHeight="false" outlineLevel="0" collapsed="false">
      <c r="A8268" s="24" t="s">
        <v>714</v>
      </c>
      <c r="B8268" s="25" t="s">
        <v>86</v>
      </c>
      <c r="C8268" s="41" t="n">
        <f aca="false">Sens!$C$8194-(Sens!$C$8196+Sens!$C$8197)</f>
        <v>0</v>
      </c>
      <c r="D8268" s="41" t="n">
        <f aca="false">Sens!$D$8194-(Sens!$D$8196+Sens!$D$8197)</f>
        <v>0</v>
      </c>
      <c r="E8268" s="41" t="n">
        <f aca="false">Sens!$E$8194-(Sens!$E$8196+Sens!$E$8197)</f>
        <v>0</v>
      </c>
      <c r="F8268" s="41" t="n">
        <f aca="false">Sens!$F$8194-(Sens!$F$8196+Sens!$F$8197)</f>
        <v>0</v>
      </c>
      <c r="G8268" s="41" t="n">
        <f aca="false">Sens!$G$8194-(Sens!$G$8196+Sens!$G$8197)</f>
        <v>0</v>
      </c>
      <c r="H8268" s="41" t="n">
        <f aca="false">Sens!$H$8194-(Sens!$H$8196+Sens!$H$8197)</f>
        <v>0</v>
      </c>
      <c r="I8268" s="41" t="n">
        <f aca="false">Sens!$I$8194-(Sens!$I$8196+Sens!$I$8197)</f>
        <v>0</v>
      </c>
      <c r="J8268" s="41" t="n">
        <f aca="false">Sens!$J$8194-(Sens!$J$8196+Sens!$J$8197)</f>
        <v>0</v>
      </c>
      <c r="K8268" s="41" t="n">
        <f aca="false">Sens!$K$8194-(Sens!$K$8196+Sens!$K$8197)</f>
        <v>0</v>
      </c>
      <c r="L8268" s="41" t="n">
        <f aca="false">Sens!$L$8194-(Sens!$L$8196+Sens!$L$8197)</f>
        <v>0</v>
      </c>
      <c r="M8268" s="41" t="n">
        <f aca="false">Sens!$M$8194-(Sens!$M$8196+Sens!$M$8197)</f>
        <v>0</v>
      </c>
      <c r="N8268" s="41" t="n">
        <f aca="false">Sens!$N$8194-(Sens!$N$8196+Sens!$N$8197)</f>
        <v>0</v>
      </c>
      <c r="O8268" s="41" t="n">
        <f aca="false">Sens!$O$8194-(Sens!$O$8196+Sens!$O$8197)</f>
        <v>0</v>
      </c>
    </row>
    <row r="8269" customFormat="false" ht="17.15" hidden="false" customHeight="false" outlineLevel="0" collapsed="false">
      <c r="A8269" s="24" t="s">
        <v>715</v>
      </c>
      <c r="B8269" s="25" t="s">
        <v>86</v>
      </c>
      <c r="C8269" s="41" t="n">
        <f aca="false">Sens!$C$8264+Sens!$C$8265-Sens!$C$8266</f>
        <v>0</v>
      </c>
      <c r="D8269" s="41" t="n">
        <f aca="false">Sens!$D$8264+Sens!$D$8265-Sens!$D$8266</f>
        <v>0</v>
      </c>
      <c r="E8269" s="41" t="n">
        <f aca="false">Sens!$E$8264+Sens!$E$8265-Sens!$E$8266</f>
        <v>0</v>
      </c>
      <c r="F8269" s="41" t="n">
        <f aca="false">Sens!$F$8264+Sens!$F$8265-Sens!$F$8266</f>
        <v>0</v>
      </c>
      <c r="G8269" s="41" t="n">
        <f aca="false">Sens!$G$8264+Sens!$G$8265-Sens!$G$8266</f>
        <v>0</v>
      </c>
      <c r="H8269" s="41" t="n">
        <f aca="false">Sens!$H$8264+Sens!$H$8265-Sens!$H$8266</f>
        <v>0</v>
      </c>
      <c r="I8269" s="41" t="n">
        <f aca="false">Sens!$I$8264+Sens!$I$8265-Sens!$I$8266</f>
        <v>0</v>
      </c>
      <c r="J8269" s="41" t="n">
        <f aca="false">Sens!$J$8264+Sens!$J$8265-Sens!$J$8266</f>
        <v>0</v>
      </c>
      <c r="K8269" s="41" t="n">
        <f aca="false">Sens!$K$8264+Sens!$K$8265-Sens!$K$8266</f>
        <v>0</v>
      </c>
      <c r="L8269" s="41" t="n">
        <f aca="false">Sens!$L$8264+Sens!$L$8265-Sens!$L$8266</f>
        <v>0</v>
      </c>
      <c r="M8269" s="41" t="n">
        <f aca="false">Sens!$M$8264+Sens!$M$8265-Sens!$M$8266</f>
        <v>0</v>
      </c>
      <c r="N8269" s="41" t="n">
        <f aca="false">Sens!$N$8264+Sens!$N$8265-Sens!$N$8266</f>
        <v>0</v>
      </c>
      <c r="O8269" s="41" t="n">
        <f aca="false">Sens!$O$8264+Sens!$O$8265-Sens!$O$8266</f>
        <v>0</v>
      </c>
    </row>
    <row r="8270" customFormat="false" ht="17.15" hidden="false" customHeight="false" outlineLevel="0" collapsed="false">
      <c r="A8270" s="24" t="s">
        <v>716</v>
      </c>
      <c r="B8270" s="25" t="s">
        <v>86</v>
      </c>
      <c r="C8270" s="41" t="n">
        <f aca="false">Sens!$C$8196+Sens!$C$8197+Sens!$C$8266-Sens!$C$8267</f>
        <v>0</v>
      </c>
      <c r="D8270" s="41" t="n">
        <f aca="false">Sens!$D$8196+Sens!$D$8197+Sens!$D$8266-Sens!$D$8267</f>
        <v>0</v>
      </c>
      <c r="E8270" s="41" t="n">
        <f aca="false">Sens!$E$8196+Sens!$E$8197+Sens!$E$8266-Sens!$E$8267</f>
        <v>0</v>
      </c>
      <c r="F8270" s="41" t="n">
        <f aca="false">Sens!$F$8196+Sens!$F$8197+Sens!$F$8266-Sens!$F$8267</f>
        <v>0</v>
      </c>
      <c r="G8270" s="41" t="n">
        <f aca="false">Sens!$G$8196+Sens!$G$8197+Sens!$G$8266-Sens!$G$8267</f>
        <v>0</v>
      </c>
      <c r="H8270" s="41" t="n">
        <f aca="false">Sens!$H$8196+Sens!$H$8197+Sens!$H$8266-Sens!$H$8267</f>
        <v>0</v>
      </c>
      <c r="I8270" s="41" t="n">
        <f aca="false">Sens!$I$8196+Sens!$I$8197+Sens!$I$8266-Sens!$I$8267</f>
        <v>0</v>
      </c>
      <c r="J8270" s="41" t="n">
        <f aca="false">Sens!$J$8196+Sens!$J$8197+Sens!$J$8266-Sens!$J$8267</f>
        <v>0</v>
      </c>
      <c r="K8270" s="41" t="n">
        <f aca="false">Sens!$K$8196+Sens!$K$8197+Sens!$K$8266-Sens!$K$8267</f>
        <v>0</v>
      </c>
      <c r="L8270" s="41" t="n">
        <f aca="false">Sens!$L$8196+Sens!$L$8197+Sens!$L$8266-Sens!$L$8267</f>
        <v>0</v>
      </c>
      <c r="M8270" s="41" t="n">
        <f aca="false">Sens!$M$8196+Sens!$M$8197+Sens!$M$8266-Sens!$M$8267</f>
        <v>0</v>
      </c>
      <c r="N8270" s="41" t="n">
        <f aca="false">Sens!$N$8196+Sens!$N$8197+Sens!$N$8266-Sens!$N$8267</f>
        <v>0</v>
      </c>
      <c r="O8270" s="41" t="n">
        <f aca="false">Sens!$O$8196+Sens!$O$8197+Sens!$O$8266-Sens!$O$8267</f>
        <v>0</v>
      </c>
    </row>
    <row r="8271" customFormat="false" ht="15" hidden="false" customHeight="false" outlineLevel="0" collapsed="false">
      <c r="A8271" s="5" t="s">
        <v>710</v>
      </c>
      <c r="B8271" s="0" t="s">
        <v>52</v>
      </c>
      <c r="G8271" s="13" t="n">
        <f aca="false">Sens!$G$8267/Sens!$D$8267-1</f>
        <v>0.140854504918937</v>
      </c>
      <c r="H8271" s="13" t="n">
        <f aca="false">Sens!$H$8267/Sens!$G$8267-1</f>
        <v>0.152063789793209</v>
      </c>
      <c r="I8271" s="13" t="n">
        <f aca="false">Sens!$I$8267/Sens!$H$8267-1</f>
        <v>0.134273264437417</v>
      </c>
      <c r="J8271" s="13" t="n">
        <f aca="false">Sens!$J$8267/Sens!$I$8267-1</f>
        <v>0.113310421234083</v>
      </c>
      <c r="K8271" s="13" t="n">
        <f aca="false">Sens!$K$8267/Sens!$J$8267-1</f>
        <v>0.0892108343223652</v>
      </c>
      <c r="L8271" s="13" t="n">
        <f aca="false">Sens!$L$8267/Sens!$K$8267-1</f>
        <v>0.076471362444261</v>
      </c>
      <c r="M8271" s="13" t="n">
        <f aca="false">Sens!$M$8267/Sens!$L$8267-1</f>
        <v>0.066250060256672</v>
      </c>
    </row>
    <row r="8272" customFormat="false" ht="17.15" hidden="false" customHeight="false" outlineLevel="0" collapsed="false">
      <c r="A8272" s="0" t="s">
        <v>711</v>
      </c>
      <c r="B8272" s="0" t="s">
        <v>52</v>
      </c>
      <c r="C8272" s="13" t="n">
        <f aca="false">Sens!$C$8266/Sens!$C$8267</f>
        <v>0.168593906504964</v>
      </c>
      <c r="D8272" s="13" t="n">
        <f aca="false">Sens!$D$8266/Sens!$D$8267</f>
        <v>0.179551807444025</v>
      </c>
      <c r="E8272" s="13" t="n">
        <f aca="false">Sens!$E$8266/Sens!$E$8267</f>
        <v>0.208881910369643</v>
      </c>
      <c r="F8272" s="13" t="n">
        <f aca="false">Sens!$F$8266/Sens!$F$8267</f>
        <v>0.199028269699356</v>
      </c>
      <c r="G8272" s="13" t="n">
        <f aca="false">Sens!$G$8266/Sens!$G$8267</f>
        <v>0.203631882529968</v>
      </c>
      <c r="H8272" s="13" t="n">
        <f aca="false">Sens!$H$8266/Sens!$H$8267</f>
        <v>0.234731715958496</v>
      </c>
      <c r="I8272" s="13" t="n">
        <f aca="false">Sens!$I$8266/Sens!$I$8267</f>
        <v>0.262231204480418</v>
      </c>
      <c r="J8272" s="13" t="n">
        <f aca="false">Sens!$J$8266/Sens!$J$8267</f>
        <v>0.284728366013706</v>
      </c>
      <c r="K8272" s="13" t="n">
        <f aca="false">Sens!$K$8266/Sens!$K$8267</f>
        <v>0.300823304959505</v>
      </c>
      <c r="L8272" s="13" t="n">
        <f aca="false">Sens!$L$8266/Sens!$L$8267</f>
        <v>0.308263164529735</v>
      </c>
      <c r="M8272" s="13" t="n">
        <f aca="false">Sens!$M$8266/Sens!$M$8267</f>
        <v>0.308856517936036</v>
      </c>
      <c r="N8272" s="13" t="n">
        <f aca="false">Sens!$N$8266/Sens!$N$8267</f>
        <v>0.185979484737251</v>
      </c>
      <c r="O8272" s="13" t="n">
        <f aca="false">Sens!$O$8266/Sens!$O$8267</f>
        <v>0.174270432341096</v>
      </c>
    </row>
    <row r="8273" customFormat="false" ht="17.15" hidden="false" customHeight="false" outlineLevel="0" collapsed="false">
      <c r="A8273" s="0" t="s">
        <v>712</v>
      </c>
      <c r="B8273" s="0" t="s">
        <v>52</v>
      </c>
      <c r="C8273" s="13" t="n">
        <f aca="false">Sens!$C$8264/Sens!$C$8266</f>
        <v>0.0215795060896058</v>
      </c>
      <c r="D8273" s="13" t="n">
        <f aca="false">Sens!$D$8264/Sens!$D$8266</f>
        <v>0.0676152269462122</v>
      </c>
      <c r="E8273" s="13" t="n">
        <f aca="false">Sens!$E$8264/Sens!$E$8266</f>
        <v>0.106620641395783</v>
      </c>
      <c r="F8273" s="13" t="n">
        <f aca="false">Sens!$F$8264/Sens!$F$8266</f>
        <v>0.172523487401099</v>
      </c>
      <c r="G8273" s="13" t="n">
        <f aca="false">Sens!$G$8264/Sens!$G$8266</f>
        <v>0.140939911795589</v>
      </c>
      <c r="H8273" s="13" t="n">
        <f aca="false">Sens!$H$8264/Sens!$H$8266</f>
        <v>0.272018642937714</v>
      </c>
      <c r="I8273" s="13" t="n">
        <f aca="false">Sens!$I$8264/Sens!$I$8266</f>
        <v>0.362159512436497</v>
      </c>
      <c r="J8273" s="13" t="n">
        <f aca="false">Sens!$J$8264/Sens!$J$8266</f>
        <v>0.422151735934609</v>
      </c>
      <c r="K8273" s="13" t="n">
        <f aca="false">Sens!$K$8264/Sens!$K$8266</f>
        <v>0.45769342068485</v>
      </c>
      <c r="L8273" s="13" t="n">
        <f aca="false">Sens!$L$8264/Sens!$L$8266</f>
        <v>0.469047103913472</v>
      </c>
      <c r="M8273" s="13" t="n">
        <f aca="false">Sens!$M$8264/Sens!$M$8266</f>
        <v>0.463233328258093</v>
      </c>
      <c r="N8273" s="13" t="n">
        <f aca="false">Sens!$N$8264/Sens!$N$8266</f>
        <v>0.0506537999838362</v>
      </c>
      <c r="O8273" s="13" t="n">
        <f aca="false">Sens!$O$8264/Sens!$O$8266</f>
        <v>0.0824881615167056</v>
      </c>
    </row>
    <row r="8276" customFormat="false" ht="19.4" hidden="false" customHeight="false" outlineLevel="0" collapsed="false">
      <c r="A8276" s="31" t="s">
        <v>1319</v>
      </c>
    </row>
    <row r="8277" customFormat="false" ht="17.15" hidden="false" customHeight="false" outlineLevel="0" collapsed="false">
      <c r="A8277" s="6" t="s">
        <v>16</v>
      </c>
      <c r="B8277" s="6" t="s">
        <v>17</v>
      </c>
      <c r="C8277" s="20" t="s">
        <v>504</v>
      </c>
      <c r="D8277" s="20" t="s">
        <v>505</v>
      </c>
      <c r="E8277" s="20" t="s">
        <v>587</v>
      </c>
      <c r="F8277" s="20" t="s">
        <v>588</v>
      </c>
      <c r="G8277" s="20" t="s">
        <v>589</v>
      </c>
      <c r="H8277" s="20" t="s">
        <v>590</v>
      </c>
      <c r="I8277" s="20" t="s">
        <v>591</v>
      </c>
      <c r="J8277" s="20" t="s">
        <v>592</v>
      </c>
      <c r="K8277" s="20" t="s">
        <v>593</v>
      </c>
      <c r="L8277" s="20" t="s">
        <v>594</v>
      </c>
      <c r="M8277" s="20" t="s">
        <v>595</v>
      </c>
      <c r="N8277" s="20" t="s">
        <v>596</v>
      </c>
      <c r="O8277" s="20" t="s">
        <v>597</v>
      </c>
      <c r="P8277" s="6" t="s">
        <v>23</v>
      </c>
      <c r="R8277" s="20" t="n">
        <v>2023</v>
      </c>
      <c r="S8277" s="20" t="n">
        <v>2024</v>
      </c>
      <c r="T8277" s="20" t="n">
        <v>2025</v>
      </c>
      <c r="U8277" s="20" t="n">
        <v>2026</v>
      </c>
      <c r="V8277" s="20" t="n">
        <v>2027</v>
      </c>
      <c r="W8277" s="20" t="n">
        <v>2028</v>
      </c>
      <c r="X8277" s="20" t="n">
        <v>2029</v>
      </c>
      <c r="Y8277" s="20" t="n">
        <v>2030</v>
      </c>
      <c r="Z8277" s="20" t="n">
        <v>2031</v>
      </c>
      <c r="AA8277" s="20" t="n">
        <v>2032</v>
      </c>
    </row>
    <row r="8278" customFormat="false" ht="17.15" hidden="false" customHeight="false" outlineLevel="0" collapsed="false">
      <c r="A8278" s="1" t="s">
        <v>727</v>
      </c>
    </row>
    <row r="8279" customFormat="false" ht="15" hidden="false" customHeight="false" outlineLevel="0" collapsed="false">
      <c r="A8279" s="0" t="s">
        <v>526</v>
      </c>
      <c r="B8279" s="0" t="s">
        <v>86</v>
      </c>
      <c r="C8279" s="38" t="n">
        <f aca="false">Sens!$C$8181</f>
        <v>247.029</v>
      </c>
      <c r="D8279" s="38" t="n">
        <f aca="false">Sens!$D$8181</f>
        <v>269.287</v>
      </c>
      <c r="E8279" s="38" t="n">
        <f aca="false">Sens!$E$8181</f>
        <v>134.686</v>
      </c>
      <c r="F8279" s="38" t="n">
        <f aca="false">Sens!$F$8181</f>
        <v>158.293876822267</v>
      </c>
      <c r="G8279" s="38" t="n">
        <f aca="false">Sens!$G$8181</f>
        <v>292.979876822267</v>
      </c>
      <c r="H8279" s="38" t="n">
        <f aca="false">Sens!$H$8181</f>
        <v>318.184543087396</v>
      </c>
      <c r="I8279" s="38" t="n">
        <f aca="false">Sens!$I$8181</f>
        <v>341.736278761793</v>
      </c>
      <c r="J8279" s="38" t="n">
        <f aca="false">Sens!$J$8181</f>
        <v>362.927192787048</v>
      </c>
      <c r="K8279" s="38" t="n">
        <f aca="false">Sens!$K$8181</f>
        <v>381.0735524264</v>
      </c>
      <c r="L8279" s="38" t="n">
        <f aca="false">Sens!$L$8181</f>
        <v>400.12723004772</v>
      </c>
      <c r="M8279" s="38" t="n">
        <f aca="false">Sens!$M$8181</f>
        <v>420.133591550106</v>
      </c>
      <c r="N8279" s="38" t="n">
        <f aca="false">Sens!$N$8181</f>
        <v>118.892</v>
      </c>
      <c r="O8279" s="38" t="n">
        <f aca="false">Sens!$O$8181</f>
        <v>150.395</v>
      </c>
    </row>
    <row r="8280" customFormat="false" ht="15" hidden="false" customHeight="false" outlineLevel="0" collapsed="false">
      <c r="A8280" s="0" t="s">
        <v>527</v>
      </c>
      <c r="B8280" s="0" t="s">
        <v>86</v>
      </c>
      <c r="C8280" s="38" t="n">
        <f aca="false">Sens!$C$8183</f>
        <v>21.215</v>
      </c>
      <c r="D8280" s="38" t="n">
        <f aca="false">Sens!$D$8183</f>
        <v>22.561</v>
      </c>
      <c r="E8280" s="38" t="n">
        <f aca="false">Sens!$E$8183</f>
        <v>11.579</v>
      </c>
      <c r="F8280" s="38" t="n">
        <f aca="false">Sens!$F$8183</f>
        <v>11.5938724610325</v>
      </c>
      <c r="G8280" s="38" t="n">
        <f aca="false">Sens!$G$8183</f>
        <v>23.1728724610325</v>
      </c>
      <c r="H8280" s="38" t="n">
        <f aca="false">Sens!$H$8183</f>
        <v>24.353392759506</v>
      </c>
      <c r="I8280" s="38" t="n">
        <f aca="false">Sens!$I$8183</f>
        <v>25.4240338872015</v>
      </c>
      <c r="J8280" s="38" t="n">
        <f aca="false">Sens!$J$8183</f>
        <v>26.3642491017174</v>
      </c>
      <c r="K8280" s="38" t="n">
        <f aca="false">Sens!$K$8183</f>
        <v>27.155176574769</v>
      </c>
      <c r="L8280" s="38" t="n">
        <f aca="false">Sens!$L$8183</f>
        <v>27.969831872012</v>
      </c>
      <c r="M8280" s="38" t="n">
        <f aca="false">Sens!$M$8183</f>
        <v>28.8089268281724</v>
      </c>
      <c r="N8280" s="38" t="n">
        <f aca="false">Sens!$N$8183</f>
        <v>11.128</v>
      </c>
      <c r="O8280" s="38" t="n">
        <f aca="false">Sens!$O$8183</f>
        <v>11.433</v>
      </c>
    </row>
    <row r="8281" customFormat="false" ht="15" hidden="false" customHeight="false" outlineLevel="0" collapsed="false">
      <c r="A8281" s="0" t="s">
        <v>528</v>
      </c>
      <c r="B8281" s="0" t="s">
        <v>86</v>
      </c>
      <c r="C8281" s="38" t="n">
        <f aca="false">Sens!$C$8185</f>
        <v>156.146</v>
      </c>
      <c r="D8281" s="38" t="n">
        <f aca="false">Sens!$D$8185</f>
        <v>172.162</v>
      </c>
      <c r="E8281" s="38" t="n">
        <f aca="false">Sens!$E$8185</f>
        <v>88.358</v>
      </c>
      <c r="F8281" s="38" t="n">
        <f aca="false">Sens!$F$8185</f>
        <v>102.004388260171</v>
      </c>
      <c r="G8281" s="38" t="n">
        <f aca="false">Sens!$G$8185</f>
        <v>190.362388260171</v>
      </c>
      <c r="H8281" s="38" t="n">
        <f aca="false">Sens!$H$8185</f>
        <v>210.343106588311</v>
      </c>
      <c r="I8281" s="38" t="n">
        <f aca="false">Sens!$I$8185</f>
        <v>229.969728494648</v>
      </c>
      <c r="J8281" s="38" t="n">
        <f aca="false">Sens!$J$8185</f>
        <v>248.747636972598</v>
      </c>
      <c r="K8281" s="38" t="n">
        <f aca="false">Sens!$K$8185</f>
        <v>266.15997156068</v>
      </c>
      <c r="L8281" s="38" t="n">
        <f aca="false">Sens!$L$8185</f>
        <v>284.791169569927</v>
      </c>
      <c r="M8281" s="38" t="n">
        <f aca="false">Sens!$M$8185</f>
        <v>304.726551439822</v>
      </c>
      <c r="N8281" s="38" t="n">
        <f aca="false">Sens!$N$8185</f>
        <v>76.86</v>
      </c>
      <c r="O8281" s="38" t="n">
        <f aca="false">Sens!$O$8185</f>
        <v>95.302</v>
      </c>
    </row>
    <row r="8282" customFormat="false" ht="15" hidden="false" customHeight="false" outlineLevel="0" collapsed="false">
      <c r="A8282" s="0" t="s">
        <v>529</v>
      </c>
      <c r="B8282" s="0" t="s">
        <v>86</v>
      </c>
      <c r="C8282" s="38" t="n">
        <f aca="false">Sens!$C$8187</f>
        <v>56.214</v>
      </c>
      <c r="D8282" s="38" t="n">
        <f aca="false">Sens!$D$8187</f>
        <v>68.635</v>
      </c>
      <c r="E8282" s="38" t="n">
        <f aca="false">Sens!$E$8187</f>
        <v>37.052</v>
      </c>
      <c r="F8282" s="38" t="n">
        <f aca="false">Sens!$F$8187</f>
        <v>46.1572219944148</v>
      </c>
      <c r="G8282" s="38" t="n">
        <f aca="false">Sens!$G$8187</f>
        <v>83.2092219944148</v>
      </c>
      <c r="H8282" s="38" t="n">
        <f aca="false">Sens!$H$8187</f>
        <v>99.8969223878976</v>
      </c>
      <c r="I8282" s="38" t="n">
        <f aca="false">Sens!$I$8187</f>
        <v>116.583111095496</v>
      </c>
      <c r="J8282" s="38" t="n">
        <f aca="false">Sens!$J$8187</f>
        <v>132.148941941952</v>
      </c>
      <c r="K8282" s="38" t="n">
        <f aca="false">Sens!$K$8187</f>
        <v>145.363836136147</v>
      </c>
      <c r="L8282" s="38" t="n">
        <f aca="false">Sens!$L$8187</f>
        <v>159.900219749762</v>
      </c>
      <c r="M8282" s="38" t="n">
        <f aca="false">Sens!$M$8187</f>
        <v>175.890241724738</v>
      </c>
      <c r="N8282" s="38" t="n">
        <f aca="false">Sens!$N$8187</f>
        <v>29.615</v>
      </c>
      <c r="O8282" s="38" t="n">
        <f aca="false">Sens!$O$8187</f>
        <v>39.02</v>
      </c>
    </row>
    <row r="8283" customFormat="false" ht="15" hidden="false" customHeight="false" outlineLevel="0" collapsed="false">
      <c r="A8283" s="0" t="s">
        <v>530</v>
      </c>
      <c r="B8283" s="0" t="s">
        <v>86</v>
      </c>
      <c r="C8283" s="38" t="n">
        <f aca="false">Sens!$C$8189</f>
        <v>44.374</v>
      </c>
      <c r="D8283" s="38" t="n">
        <f aca="false">Sens!$D$8189</f>
        <v>49.619</v>
      </c>
      <c r="E8283" s="38" t="n">
        <f aca="false">Sens!$E$8189</f>
        <v>27.157</v>
      </c>
      <c r="F8283" s="38" t="n">
        <f aca="false">Sens!$F$8189</f>
        <v>27.7764165988154</v>
      </c>
      <c r="G8283" s="38" t="n">
        <f aca="false">Sens!$G$8189</f>
        <v>54.9334165988154</v>
      </c>
      <c r="H8283" s="38" t="n">
        <f aca="false">Sens!$H$8189</f>
        <v>61.1564112561829</v>
      </c>
      <c r="I8283" s="38" t="n">
        <f aca="false">Sens!$I$8189</f>
        <v>67.2020282103945</v>
      </c>
      <c r="J8283" s="38" t="n">
        <f aca="false">Sens!$J$8189</f>
        <v>72.8757274028885</v>
      </c>
      <c r="K8283" s="38" t="n">
        <f aca="false">Sens!$K$8189</f>
        <v>77.9770283210907</v>
      </c>
      <c r="L8283" s="38" t="n">
        <f aca="false">Sens!$L$8189</f>
        <v>83.4354203035671</v>
      </c>
      <c r="M8283" s="38" t="n">
        <f aca="false">Sens!$M$8189</f>
        <v>89.2758997248168</v>
      </c>
      <c r="N8283" s="38" t="n">
        <f aca="false">Sens!$N$8189</f>
        <v>23.923</v>
      </c>
      <c r="O8283" s="38" t="n">
        <f aca="false">Sens!$O$8189</f>
        <v>25.696</v>
      </c>
    </row>
    <row r="8284" customFormat="false" ht="15" hidden="false" customHeight="false" outlineLevel="0" collapsed="false">
      <c r="A8284" s="0" t="s">
        <v>531</v>
      </c>
      <c r="B8284" s="0" t="s">
        <v>86</v>
      </c>
      <c r="C8284" s="38" t="n">
        <f aca="false">Sens!$C$8191</f>
        <v>5.425</v>
      </c>
      <c r="D8284" s="38" t="n">
        <f aca="false">Sens!$D$8191</f>
        <v>5.935</v>
      </c>
      <c r="E8284" s="38" t="n">
        <f aca="false">Sens!$E$8191</f>
        <v>3.474</v>
      </c>
      <c r="F8284" s="38" t="n">
        <f aca="false">Sens!$F$8191</f>
        <v>3.22246550883619</v>
      </c>
      <c r="G8284" s="38" t="n">
        <f aca="false">Sens!$G$8191</f>
        <v>6.69646550883619</v>
      </c>
      <c r="H8284" s="38" t="n">
        <f aca="false">Sens!$H$8191</f>
        <v>7.16251344209196</v>
      </c>
      <c r="I8284" s="38" t="n">
        <f aca="false">Sens!$I$8191</f>
        <v>7.61421070299826</v>
      </c>
      <c r="J8284" s="38" t="n">
        <f aca="false">Sens!$J$8191</f>
        <v>8.04465753523932</v>
      </c>
      <c r="K8284" s="38" t="n">
        <f aca="false">Sens!$K$8191</f>
        <v>8.44689041200128</v>
      </c>
      <c r="L8284" s="38" t="n">
        <f aca="false">Sens!$L$8191</f>
        <v>8.86923493260135</v>
      </c>
      <c r="M8284" s="38" t="n">
        <f aca="false">Sens!$M$8191</f>
        <v>9.31269667923142</v>
      </c>
      <c r="N8284" s="38" t="n">
        <f aca="false">Sens!$N$8191</f>
        <v>2.811</v>
      </c>
      <c r="O8284" s="38" t="n">
        <f aca="false">Sens!$O$8191</f>
        <v>3.124</v>
      </c>
    </row>
    <row r="8285" customFormat="false" ht="17.15" hidden="false" customHeight="false" outlineLevel="0" collapsed="false">
      <c r="A8285" s="0" t="s">
        <v>728</v>
      </c>
      <c r="B8285" s="0" t="s">
        <v>86</v>
      </c>
      <c r="C8285" s="38" t="n">
        <f aca="false">Sens!$C$8266</f>
        <v>107.556</v>
      </c>
      <c r="D8285" s="38" t="n">
        <f aca="false">Sens!$D$8266</f>
        <v>128.725</v>
      </c>
      <c r="E8285" s="38" t="n">
        <f aca="false">Sens!$E$8266</f>
        <v>79.819</v>
      </c>
      <c r="F8285" s="38" t="n">
        <f aca="false">Sens!$F$8266</f>
        <v>86.7327334389669</v>
      </c>
      <c r="G8285" s="38" t="n">
        <f aca="false">Sens!$G$8266</f>
        <v>166.551733438967</v>
      </c>
      <c r="H8285" s="38" t="n">
        <f aca="false">Sens!$H$8266</f>
        <v>221.182967828978</v>
      </c>
      <c r="I8285" s="38" t="n">
        <f aca="false">Sens!$I$8266</f>
        <v>280.27345865789</v>
      </c>
      <c r="J8285" s="38" t="n">
        <f aca="false">Sens!$J$8266</f>
        <v>338.800945197185</v>
      </c>
      <c r="K8285" s="38" t="n">
        <f aca="false">Sens!$K$8266</f>
        <v>389.88570147276</v>
      </c>
      <c r="L8285" s="38" t="n">
        <f aca="false">Sens!$L$8266</f>
        <v>430.080689379143</v>
      </c>
      <c r="M8285" s="38" t="n">
        <f aca="false">Sens!$M$8266</f>
        <v>459.456235951751</v>
      </c>
      <c r="N8285" s="38" t="n">
        <f aca="false">Sens!$N$8266</f>
        <v>60.14</v>
      </c>
      <c r="O8285" s="38" t="n">
        <f aca="false">Sens!$O$8266</f>
        <v>68.585</v>
      </c>
    </row>
    <row r="8286" customFormat="false" ht="15" hidden="false" customHeight="false" outlineLevel="0" collapsed="false">
      <c r="A8286" s="1" t="s">
        <v>519</v>
      </c>
      <c r="B8286" s="8" t="s">
        <v>86</v>
      </c>
      <c r="C8286" s="38" t="n">
        <f aca="false">Sens!$C$8196</f>
        <v>387.497</v>
      </c>
      <c r="D8286" s="38" t="n">
        <f aca="false">Sens!$D$8196</f>
        <v>426.305</v>
      </c>
      <c r="E8286" s="38" t="n">
        <f aca="false">Sens!$E$8196</f>
        <v>220.32</v>
      </c>
      <c r="F8286" s="38" t="n">
        <f aca="false">Sens!$F$8196</f>
        <v>250.639773480586</v>
      </c>
      <c r="G8286" s="38" t="n">
        <f aca="false">Sens!$G$8196</f>
        <v>470.959773480586</v>
      </c>
      <c r="H8286" s="38" t="n">
        <f aca="false">Sens!$H$8196</f>
        <v>521.386990416437</v>
      </c>
      <c r="I8286" s="38" t="n">
        <f aca="false">Sens!$I$8196</f>
        <v>570.143862887555</v>
      </c>
      <c r="J8286" s="38" t="n">
        <f aca="false">Sens!$J$8196</f>
        <v>615.391435791933</v>
      </c>
      <c r="K8286" s="38" t="n">
        <f aca="false">Sens!$K$8196</f>
        <v>655.208227561543</v>
      </c>
      <c r="L8286" s="38" t="n">
        <f aca="false">Sens!$L$8196</f>
        <v>697.807739249767</v>
      </c>
      <c r="M8286" s="38" t="n">
        <f aca="false">Sens!$M$8196</f>
        <v>743.399328463592</v>
      </c>
      <c r="N8286" s="38" t="n">
        <f aca="false">Sens!$N$8196</f>
        <v>192.955</v>
      </c>
      <c r="O8286" s="38" t="n">
        <f aca="false">Sens!$O$8196</f>
        <v>233.35</v>
      </c>
    </row>
    <row r="8287" customFormat="false" ht="15" hidden="false" customHeight="false" outlineLevel="0" collapsed="false">
      <c r="A8287" s="1" t="s">
        <v>522</v>
      </c>
      <c r="B8287" s="8" t="s">
        <v>86</v>
      </c>
      <c r="C8287" s="38" t="n">
        <f aca="false">Sens!$C$8197</f>
        <v>142.906</v>
      </c>
      <c r="D8287" s="38" t="n">
        <f aca="false">Sens!$D$8197</f>
        <v>161.894</v>
      </c>
      <c r="E8287" s="38" t="n">
        <f aca="false">Sens!$E$8197</f>
        <v>81.986</v>
      </c>
      <c r="F8287" s="38" t="n">
        <f aca="false">Sens!$F$8197</f>
        <v>98.408468164951</v>
      </c>
      <c r="G8287" s="38" t="n">
        <f aca="false">Sens!$G$8197</f>
        <v>180.394468164951</v>
      </c>
      <c r="H8287" s="38" t="n">
        <f aca="false">Sens!$H$8197</f>
        <v>199.709899104949</v>
      </c>
      <c r="I8287" s="38" t="n">
        <f aca="false">Sens!$I$8197</f>
        <v>218.385528264976</v>
      </c>
      <c r="J8287" s="38" t="n">
        <f aca="false">Sens!$J$8197</f>
        <v>235.71696994951</v>
      </c>
      <c r="K8287" s="38" t="n">
        <f aca="false">Sens!$K$8197</f>
        <v>250.968227869545</v>
      </c>
      <c r="L8287" s="38" t="n">
        <f aca="false">Sens!$L$8197</f>
        <v>267.285367225822</v>
      </c>
      <c r="M8287" s="38" t="n">
        <f aca="false">Sens!$M$8197</f>
        <v>284.748579483295</v>
      </c>
      <c r="N8287" s="38" t="n">
        <f aca="false">Sens!$N$8197</f>
        <v>70.274</v>
      </c>
      <c r="O8287" s="38" t="n">
        <f aca="false">Sens!$O$8197</f>
        <v>91.62</v>
      </c>
    </row>
    <row r="8288" customFormat="false" ht="15" hidden="false" customHeight="false" outlineLevel="0" collapsed="false">
      <c r="A8288" s="1" t="s">
        <v>523</v>
      </c>
      <c r="B8288" s="8" t="s">
        <v>86</v>
      </c>
      <c r="C8288" s="38" t="n">
        <f aca="false">Sens!$C$8266</f>
        <v>107.556</v>
      </c>
      <c r="D8288" s="38" t="n">
        <f aca="false">Sens!$D$8266</f>
        <v>128.725</v>
      </c>
      <c r="E8288" s="38" t="n">
        <f aca="false">Sens!$E$8266</f>
        <v>79.819</v>
      </c>
      <c r="F8288" s="38" t="n">
        <f aca="false">Sens!$F$8266</f>
        <v>86.7327334389669</v>
      </c>
      <c r="G8288" s="38" t="n">
        <f aca="false">Sens!$G$8266</f>
        <v>166.551733438967</v>
      </c>
      <c r="H8288" s="38" t="n">
        <f aca="false">Sens!$H$8266</f>
        <v>221.182967828978</v>
      </c>
      <c r="I8288" s="38" t="n">
        <f aca="false">Sens!$I$8266</f>
        <v>280.27345865789</v>
      </c>
      <c r="J8288" s="38" t="n">
        <f aca="false">Sens!$J$8266</f>
        <v>338.800945197185</v>
      </c>
      <c r="K8288" s="38" t="n">
        <f aca="false">Sens!$K$8266</f>
        <v>389.88570147276</v>
      </c>
      <c r="L8288" s="38" t="n">
        <f aca="false">Sens!$L$8266</f>
        <v>430.080689379143</v>
      </c>
      <c r="M8288" s="38" t="n">
        <f aca="false">Sens!$M$8266</f>
        <v>459.456235951751</v>
      </c>
      <c r="N8288" s="38" t="n">
        <f aca="false">Sens!$N$8266</f>
        <v>60.14</v>
      </c>
      <c r="O8288" s="38" t="n">
        <f aca="false">Sens!$O$8266</f>
        <v>68.585</v>
      </c>
    </row>
    <row r="8289" customFormat="false" ht="17.15" hidden="false" customHeight="false" outlineLevel="0" collapsed="false">
      <c r="A8289" s="0" t="s">
        <v>702</v>
      </c>
      <c r="B8289" s="0" t="s">
        <v>86</v>
      </c>
      <c r="C8289" s="38" t="n">
        <f aca="false">Sens!$C$8264</f>
        <v>2.32100535697364</v>
      </c>
      <c r="D8289" s="38" t="n">
        <f aca="false">Sens!$D$8264</f>
        <v>8.70377008865116</v>
      </c>
      <c r="E8289" s="38" t="n">
        <f aca="false">Sens!$E$8264</f>
        <v>8.51035297557002</v>
      </c>
      <c r="F8289" s="38" t="n">
        <f aca="false">Sens!$F$8264</f>
        <v>14.9634336447205</v>
      </c>
      <c r="G8289" s="38" t="n">
        <f aca="false">Sens!$G$8264</f>
        <v>23.4737866202905</v>
      </c>
      <c r="H8289" s="38" t="n">
        <f aca="false">Sens!$H$8264</f>
        <v>60.1658907497746</v>
      </c>
      <c r="I8289" s="38" t="n">
        <f aca="false">Sens!$I$8264</f>
        <v>101.503699136432</v>
      </c>
      <c r="J8289" s="38" t="n">
        <f aca="false">Sens!$J$8264</f>
        <v>143.025407151278</v>
      </c>
      <c r="K8289" s="38" t="n">
        <f aca="false">Sens!$K$8264</f>
        <v>178.44812038318</v>
      </c>
      <c r="L8289" s="38" t="n">
        <f aca="false">Sens!$L$8264</f>
        <v>201.728101802396</v>
      </c>
      <c r="M8289" s="38" t="n">
        <f aca="false">Sens!$M$8264</f>
        <v>212.835441368865</v>
      </c>
      <c r="N8289" s="38" t="n">
        <f aca="false">Sens!$N$8264</f>
        <v>3.04631953102791</v>
      </c>
      <c r="O8289" s="38" t="n">
        <f aca="false">Sens!$O$8264</f>
        <v>5.65745055762326</v>
      </c>
    </row>
    <row r="8290" customFormat="false" ht="17.15" hidden="false" customHeight="false" outlineLevel="0" collapsed="false">
      <c r="A8290" s="0" t="s">
        <v>704</v>
      </c>
      <c r="B8290" s="0" t="s">
        <v>86</v>
      </c>
      <c r="C8290" s="38" t="n">
        <f aca="false">Sens!$C$8265</f>
        <v>105.234994643026</v>
      </c>
      <c r="D8290" s="38" t="n">
        <f aca="false">Sens!$D$8265</f>
        <v>120.021229911349</v>
      </c>
      <c r="E8290" s="38" t="n">
        <f aca="false">Sens!$E$8265</f>
        <v>71.30864702443</v>
      </c>
      <c r="F8290" s="38" t="n">
        <f aca="false">Sens!$F$8265</f>
        <v>71.7692997942464</v>
      </c>
      <c r="G8290" s="38" t="n">
        <f aca="false">Sens!$G$8265</f>
        <v>143.077946818676</v>
      </c>
      <c r="H8290" s="38" t="n">
        <f aca="false">Sens!$H$8265</f>
        <v>161.017077079203</v>
      </c>
      <c r="I8290" s="38" t="n">
        <f aca="false">Sens!$I$8265</f>
        <v>178.769759521457</v>
      </c>
      <c r="J8290" s="38" t="n">
        <f aca="false">Sens!$J$8265</f>
        <v>195.775538045907</v>
      </c>
      <c r="K8290" s="38" t="n">
        <f aca="false">Sens!$K$8265</f>
        <v>211.43758108958</v>
      </c>
      <c r="L8290" s="38" t="n">
        <f aca="false">Sens!$L$8265</f>
        <v>228.352587576746</v>
      </c>
      <c r="M8290" s="38" t="n">
        <f aca="false">Sens!$M$8265</f>
        <v>246.620794582886</v>
      </c>
      <c r="N8290" s="38" t="n">
        <f aca="false">Sens!$N$8265</f>
        <v>57.0936804689721</v>
      </c>
      <c r="O8290" s="38" t="n">
        <f aca="false">Sens!$O$8265</f>
        <v>62.9275494423768</v>
      </c>
    </row>
    <row r="8291" customFormat="false" ht="15" hidden="false" customHeight="false" outlineLevel="0" collapsed="false">
      <c r="A8291" s="3" t="s">
        <v>524</v>
      </c>
      <c r="B8291" s="8" t="s">
        <v>86</v>
      </c>
      <c r="C8291" s="38" t="n">
        <f aca="false">Sens!$C$8267</f>
        <v>637.959</v>
      </c>
      <c r="D8291" s="38" t="n">
        <f aca="false">Sens!$D$8267</f>
        <v>716.924</v>
      </c>
      <c r="E8291" s="38" t="n">
        <f aca="false">Sens!$E$8267</f>
        <v>382.125</v>
      </c>
      <c r="F8291" s="38" t="n">
        <f aca="false">Sens!$F$8267</f>
        <v>435.780975084504</v>
      </c>
      <c r="G8291" s="38" t="n">
        <f aca="false">Sens!$G$8267</f>
        <v>817.905975084504</v>
      </c>
      <c r="H8291" s="38" t="n">
        <f aca="false">Sens!$H$8267</f>
        <v>942.279857350364</v>
      </c>
      <c r="I8291" s="38" t="n">
        <f aca="false">Sens!$I$8267</f>
        <v>1068.80284981042</v>
      </c>
      <c r="J8291" s="38" t="n">
        <f aca="false">Sens!$J$8267</f>
        <v>1189.90935093863</v>
      </c>
      <c r="K8291" s="38" t="n">
        <f aca="false">Sens!$K$8267</f>
        <v>1296.06215690385</v>
      </c>
      <c r="L8291" s="38" t="n">
        <f aca="false">Sens!$L$8267</f>
        <v>1395.17379585473</v>
      </c>
      <c r="M8291" s="38" t="n">
        <f aca="false">Sens!$M$8267</f>
        <v>1487.60414389864</v>
      </c>
      <c r="N8291" s="38" t="n">
        <f aca="false">Sens!$N$8267</f>
        <v>323.369</v>
      </c>
      <c r="O8291" s="38" t="n">
        <f aca="false">Sens!$O$8267</f>
        <v>393.555</v>
      </c>
    </row>
    <row r="8292" customFormat="false" ht="17.15" hidden="false" customHeight="false" outlineLevel="0" collapsed="false">
      <c r="A8292" s="24" t="s">
        <v>714</v>
      </c>
      <c r="B8292" s="25" t="s">
        <v>86</v>
      </c>
      <c r="C8292" s="41" t="n">
        <f aca="false">Sens!$C$8279+Sens!$C$8280+Sens!$C$8281+Sens!$C$8282+Sens!$C$8283+Sens!$C$8284-(Sens!$C$8286+Sens!$C$8287)</f>
        <v>0</v>
      </c>
      <c r="D8292" s="41" t="n">
        <f aca="false">Sens!$D$8279+Sens!$D$8280+Sens!$D$8281+Sens!$D$8282+Sens!$D$8283+Sens!$D$8284-(Sens!$D$8286+Sens!$D$8287)</f>
        <v>0</v>
      </c>
      <c r="E8292" s="41" t="n">
        <f aca="false">Sens!$E$8279+Sens!$E$8280+Sens!$E$8281+Sens!$E$8282+Sens!$E$8283+Sens!$E$8284-(Sens!$E$8286+Sens!$E$8287)</f>
        <v>0</v>
      </c>
      <c r="F8292" s="41" t="n">
        <f aca="false">Sens!$F$8279+Sens!$F$8280+Sens!$F$8281+Sens!$F$8282+Sens!$F$8283+Sens!$F$8284-(Sens!$F$8286+Sens!$F$8287)</f>
        <v>0</v>
      </c>
      <c r="G8292" s="41" t="n">
        <f aca="false">Sens!$G$8279+Sens!$G$8280+Sens!$G$8281+Sens!$G$8282+Sens!$G$8283+Sens!$G$8284-(Sens!$G$8286+Sens!$G$8287)</f>
        <v>0</v>
      </c>
      <c r="H8292" s="41" t="n">
        <f aca="false">Sens!$H$8279+Sens!$H$8280+Sens!$H$8281+Sens!$H$8282+Sens!$H$8283+Sens!$H$8284-(Sens!$H$8286+Sens!$H$8287)</f>
        <v>0</v>
      </c>
      <c r="I8292" s="41" t="n">
        <f aca="false">Sens!$I$8279+Sens!$I$8280+Sens!$I$8281+Sens!$I$8282+Sens!$I$8283+Sens!$I$8284-(Sens!$I$8286+Sens!$I$8287)</f>
        <v>0</v>
      </c>
      <c r="J8292" s="41" t="n">
        <f aca="false">Sens!$J$8279+Sens!$J$8280+Sens!$J$8281+Sens!$J$8282+Sens!$J$8283+Sens!$J$8284-(Sens!$J$8286+Sens!$J$8287)</f>
        <v>0</v>
      </c>
      <c r="K8292" s="41" t="n">
        <f aca="false">Sens!$K$8279+Sens!$K$8280+Sens!$K$8281+Sens!$K$8282+Sens!$K$8283+Sens!$K$8284-(Sens!$K$8286+Sens!$K$8287)</f>
        <v>0</v>
      </c>
      <c r="L8292" s="41" t="n">
        <f aca="false">Sens!$L$8279+Sens!$L$8280+Sens!$L$8281+Sens!$L$8282+Sens!$L$8283+Sens!$L$8284-(Sens!$L$8286+Sens!$L$8287)</f>
        <v>0</v>
      </c>
      <c r="M8292" s="41" t="n">
        <f aca="false">Sens!$M$8279+Sens!$M$8280+Sens!$M$8281+Sens!$M$8282+Sens!$M$8283+Sens!$M$8284-(Sens!$M$8286+Sens!$M$8287)</f>
        <v>0</v>
      </c>
      <c r="N8292" s="41" t="n">
        <f aca="false">Sens!$N$8279+Sens!$N$8280+Sens!$N$8281+Sens!$N$8282+Sens!$N$8283+Sens!$N$8284-(Sens!$N$8286+Sens!$N$8287)</f>
        <v>0</v>
      </c>
      <c r="O8292" s="41" t="n">
        <f aca="false">Sens!$O$8279+Sens!$O$8280+Sens!$O$8281+Sens!$O$8282+Sens!$O$8283+Sens!$O$8284-(Sens!$O$8286+Sens!$O$8287)</f>
        <v>0</v>
      </c>
    </row>
    <row r="8293" customFormat="false" ht="17.15" hidden="false" customHeight="false" outlineLevel="0" collapsed="false">
      <c r="A8293" s="24" t="s">
        <v>715</v>
      </c>
      <c r="B8293" s="25" t="s">
        <v>86</v>
      </c>
      <c r="C8293" s="41" t="n">
        <f aca="false">Sens!$C$8289+Sens!$C$8290-Sens!$C$8288</f>
        <v>0</v>
      </c>
      <c r="D8293" s="41" t="n">
        <f aca="false">Sens!$D$8289+Sens!$D$8290-Sens!$D$8288</f>
        <v>0</v>
      </c>
      <c r="E8293" s="41" t="n">
        <f aca="false">Sens!$E$8289+Sens!$E$8290-Sens!$E$8288</f>
        <v>0</v>
      </c>
      <c r="F8293" s="41" t="n">
        <f aca="false">Sens!$F$8289+Sens!$F$8290-Sens!$F$8288</f>
        <v>0</v>
      </c>
      <c r="G8293" s="41" t="n">
        <f aca="false">Sens!$G$8289+Sens!$G$8290-Sens!$G$8288</f>
        <v>0</v>
      </c>
      <c r="H8293" s="41" t="n">
        <f aca="false">Sens!$H$8289+Sens!$H$8290-Sens!$H$8288</f>
        <v>0</v>
      </c>
      <c r="I8293" s="41" t="n">
        <f aca="false">Sens!$I$8289+Sens!$I$8290-Sens!$I$8288</f>
        <v>0</v>
      </c>
      <c r="J8293" s="41" t="n">
        <f aca="false">Sens!$J$8289+Sens!$J$8290-Sens!$J$8288</f>
        <v>0</v>
      </c>
      <c r="K8293" s="41" t="n">
        <f aca="false">Sens!$K$8289+Sens!$K$8290-Sens!$K$8288</f>
        <v>0</v>
      </c>
      <c r="L8293" s="41" t="n">
        <f aca="false">Sens!$L$8289+Sens!$L$8290-Sens!$L$8288</f>
        <v>0</v>
      </c>
      <c r="M8293" s="41" t="n">
        <f aca="false">Sens!$M$8289+Sens!$M$8290-Sens!$M$8288</f>
        <v>0</v>
      </c>
      <c r="N8293" s="41" t="n">
        <f aca="false">Sens!$N$8289+Sens!$N$8290-Sens!$N$8288</f>
        <v>0</v>
      </c>
      <c r="O8293" s="41" t="n">
        <f aca="false">Sens!$O$8289+Sens!$O$8290-Sens!$O$8288</f>
        <v>0</v>
      </c>
    </row>
    <row r="8294" customFormat="false" ht="17.15" hidden="false" customHeight="false" outlineLevel="0" collapsed="false">
      <c r="A8294" s="24" t="s">
        <v>774</v>
      </c>
      <c r="B8294" s="25" t="s">
        <v>86</v>
      </c>
      <c r="C8294" s="41" t="n">
        <f aca="false">Sens!$C$8279+Sens!$C$8280+Sens!$C$8281+Sens!$C$8282+Sens!$C$8283+Sens!$C$8284+Sens!$C$8285-Sens!$C$8291</f>
        <v>0</v>
      </c>
      <c r="D8294" s="41" t="n">
        <f aca="false">Sens!$D$8279+Sens!$D$8280+Sens!$D$8281+Sens!$D$8282+Sens!$D$8283+Sens!$D$8284+Sens!$D$8285-Sens!$D$8291</f>
        <v>0</v>
      </c>
      <c r="E8294" s="41" t="n">
        <f aca="false">Sens!$E$8279+Sens!$E$8280+Sens!$E$8281+Sens!$E$8282+Sens!$E$8283+Sens!$E$8284+Sens!$E$8285-Sens!$E$8291</f>
        <v>0</v>
      </c>
      <c r="F8294" s="41" t="n">
        <f aca="false">Sens!$F$8279+Sens!$F$8280+Sens!$F$8281+Sens!$F$8282+Sens!$F$8283+Sens!$F$8284+Sens!$F$8285-Sens!$F$8291</f>
        <v>0</v>
      </c>
      <c r="G8294" s="41" t="n">
        <f aca="false">Sens!$G$8279+Sens!$G$8280+Sens!$G$8281+Sens!$G$8282+Sens!$G$8283+Sens!$G$8284+Sens!$G$8285-Sens!$G$8291</f>
        <v>0</v>
      </c>
      <c r="H8294" s="41" t="n">
        <f aca="false">Sens!$H$8279+Sens!$H$8280+Sens!$H$8281+Sens!$H$8282+Sens!$H$8283+Sens!$H$8284+Sens!$H$8285-Sens!$H$8291</f>
        <v>0</v>
      </c>
      <c r="I8294" s="41" t="n">
        <f aca="false">Sens!$I$8279+Sens!$I$8280+Sens!$I$8281+Sens!$I$8282+Sens!$I$8283+Sens!$I$8284+Sens!$I$8285-Sens!$I$8291</f>
        <v>0</v>
      </c>
      <c r="J8294" s="41" t="n">
        <f aca="false">Sens!$J$8279+Sens!$J$8280+Sens!$J$8281+Sens!$J$8282+Sens!$J$8283+Sens!$J$8284+Sens!$J$8285-Sens!$J$8291</f>
        <v>0</v>
      </c>
      <c r="K8294" s="41" t="n">
        <f aca="false">Sens!$K$8279+Sens!$K$8280+Sens!$K$8281+Sens!$K$8282+Sens!$K$8283+Sens!$K$8284+Sens!$K$8285-Sens!$K$8291</f>
        <v>0</v>
      </c>
      <c r="L8294" s="41" t="n">
        <f aca="false">Sens!$L$8279+Sens!$L$8280+Sens!$L$8281+Sens!$L$8282+Sens!$L$8283+Sens!$L$8284+Sens!$L$8285-Sens!$L$8291</f>
        <v>0</v>
      </c>
      <c r="M8294" s="41" t="n">
        <f aca="false">Sens!$M$8279+Sens!$M$8280+Sens!$M$8281+Sens!$M$8282+Sens!$M$8283+Sens!$M$8284+Sens!$M$8285-Sens!$M$8291</f>
        <v>0</v>
      </c>
      <c r="N8294" s="41" t="n">
        <f aca="false">Sens!$N$8279+Sens!$N$8280+Sens!$N$8281+Sens!$N$8282+Sens!$N$8283+Sens!$N$8284+Sens!$N$8285-Sens!$N$8291</f>
        <v>0</v>
      </c>
      <c r="O8294" s="41" t="n">
        <f aca="false">Sens!$O$8279+Sens!$O$8280+Sens!$O$8281+Sens!$O$8282+Sens!$O$8283+Sens!$O$8284+Sens!$O$8285-Sens!$O$8291</f>
        <v>0</v>
      </c>
    </row>
    <row r="8295" customFormat="false" ht="17.15" hidden="false" customHeight="false" outlineLevel="0" collapsed="false">
      <c r="A8295" s="24" t="s">
        <v>716</v>
      </c>
      <c r="B8295" s="25" t="s">
        <v>86</v>
      </c>
      <c r="C8295" s="41" t="n">
        <f aca="false">Sens!$C$8286+Sens!$C$8287+Sens!$C$8288-Sens!$C$8291</f>
        <v>0</v>
      </c>
      <c r="D8295" s="41" t="n">
        <f aca="false">Sens!$D$8286+Sens!$D$8287+Sens!$D$8288-Sens!$D$8291</f>
        <v>0</v>
      </c>
      <c r="E8295" s="41" t="n">
        <f aca="false">Sens!$E$8286+Sens!$E$8287+Sens!$E$8288-Sens!$E$8291</f>
        <v>0</v>
      </c>
      <c r="F8295" s="41" t="n">
        <f aca="false">Sens!$F$8286+Sens!$F$8287+Sens!$F$8288-Sens!$F$8291</f>
        <v>0</v>
      </c>
      <c r="G8295" s="41" t="n">
        <f aca="false">Sens!$G$8286+Sens!$G$8287+Sens!$G$8288-Sens!$G$8291</f>
        <v>0</v>
      </c>
      <c r="H8295" s="41" t="n">
        <f aca="false">Sens!$H$8286+Sens!$H$8287+Sens!$H$8288-Sens!$H$8291</f>
        <v>0</v>
      </c>
      <c r="I8295" s="41" t="n">
        <f aca="false">Sens!$I$8286+Sens!$I$8287+Sens!$I$8288-Sens!$I$8291</f>
        <v>0</v>
      </c>
      <c r="J8295" s="41" t="n">
        <f aca="false">Sens!$J$8286+Sens!$J$8287+Sens!$J$8288-Sens!$J$8291</f>
        <v>0</v>
      </c>
      <c r="K8295" s="41" t="n">
        <f aca="false">Sens!$K$8286+Sens!$K$8287+Sens!$K$8288-Sens!$K$8291</f>
        <v>0</v>
      </c>
      <c r="L8295" s="41" t="n">
        <f aca="false">Sens!$L$8286+Sens!$L$8287+Sens!$L$8288-Sens!$L$8291</f>
        <v>0</v>
      </c>
      <c r="M8295" s="41" t="n">
        <f aca="false">Sens!$M$8286+Sens!$M$8287+Sens!$M$8288-Sens!$M$8291</f>
        <v>0</v>
      </c>
      <c r="N8295" s="41" t="n">
        <f aca="false">Sens!$N$8286+Sens!$N$8287+Sens!$N$8288-Sens!$N$8291</f>
        <v>0</v>
      </c>
      <c r="O8295" s="41" t="n">
        <f aca="false">Sens!$O$8286+Sens!$O$8287+Sens!$O$8288-Sens!$O$8291</f>
        <v>0</v>
      </c>
    </row>
    <row r="8296" customFormat="false" ht="17.15" hidden="false" customHeight="false" outlineLevel="0" collapsed="false">
      <c r="A8296" s="1" t="s">
        <v>730</v>
      </c>
    </row>
    <row r="8297" customFormat="false" ht="17.15" hidden="false" customHeight="false" outlineLevel="0" collapsed="false">
      <c r="A8297" s="0" t="s">
        <v>731</v>
      </c>
      <c r="B8297" s="0" t="s">
        <v>86</v>
      </c>
      <c r="C8297" s="38" t="n">
        <f aca="false">Sens!$C$8198*m_ad</f>
        <v>20.5341564414228</v>
      </c>
      <c r="D8297" s="38" t="n">
        <f aca="false">Sens!$D$8198*m_ad</f>
        <v>24.8720617299587</v>
      </c>
      <c r="E8297" s="38" t="n">
        <f aca="false">Sens!$E$8198*m_ad</f>
        <v>13.5017112462207</v>
      </c>
      <c r="F8297" s="38" t="n">
        <f aca="false">Sens!$F$8198*m_ad</f>
        <v>16.5719724165257</v>
      </c>
      <c r="G8297" s="38" t="n">
        <f aca="false">Sens!$G$8198*m_ad</f>
        <v>30.0820919220415</v>
      </c>
      <c r="H8297" s="38" t="n">
        <f aca="false">Sens!$H$8198*m_ad</f>
        <v>36.1150883276314</v>
      </c>
      <c r="I8297" s="38" t="n">
        <f aca="false">Sens!$I$8198*m_ad</f>
        <v>42.1475382231996</v>
      </c>
      <c r="J8297" s="38" t="n">
        <f aca="false">Sens!$J$8198*m_ad</f>
        <v>47.7749523864693</v>
      </c>
      <c r="K8297" s="38" t="n">
        <f aca="false">Sens!$K$8198*m_ad</f>
        <v>52.5524476251162</v>
      </c>
      <c r="L8297" s="38" t="n">
        <f aca="false">Sens!$L$8198*m_ad</f>
        <v>57.8076923876279</v>
      </c>
      <c r="M8297" s="38" t="n">
        <f aca="false">Sens!$M$8198*m_ad</f>
        <v>63.5884616263907</v>
      </c>
      <c r="N8297" s="38" t="n">
        <f aca="false">Sens!$N$8198*m_ad</f>
        <v>10.8543555706248</v>
      </c>
      <c r="O8297" s="38" t="n">
        <f aca="false">Sens!$O$8198*m_ad</f>
        <v>14.0094731821399</v>
      </c>
    </row>
    <row r="8298" customFormat="false" ht="17.15" hidden="false" customHeight="false" outlineLevel="0" collapsed="false">
      <c r="A8298" s="0" t="s">
        <v>732</v>
      </c>
      <c r="B8298" s="0" t="s">
        <v>86</v>
      </c>
      <c r="C8298" s="38" t="n">
        <f aca="false">Sens!$C$8196-Sens!$C$8198</f>
        <v>346.428687117154</v>
      </c>
      <c r="D8298" s="38" t="n">
        <f aca="false">Sens!$D$8196-Sens!$D$8198</f>
        <v>376.560876540083</v>
      </c>
      <c r="E8298" s="38" t="n">
        <f aca="false">Sens!$E$8196-Sens!$E$8198</f>
        <v>193.316577507559</v>
      </c>
      <c r="F8298" s="38" t="n">
        <f aca="false">Sens!$F$8196-Sens!$F$8198</f>
        <v>217.495828647535</v>
      </c>
      <c r="G8298" s="38" t="n">
        <f aca="false">Sens!$G$8196-Sens!$G$8198</f>
        <v>410.795589636503</v>
      </c>
      <c r="H8298" s="38" t="n">
        <f aca="false">Sens!$H$8196-Sens!$H$8198</f>
        <v>449.156813761174</v>
      </c>
      <c r="I8298" s="38" t="n">
        <f aca="false">Sens!$I$8196-Sens!$I$8198</f>
        <v>485.848786441156</v>
      </c>
      <c r="J8298" s="38" t="n">
        <f aca="false">Sens!$J$8196-Sens!$J$8198</f>
        <v>519.841531018994</v>
      </c>
      <c r="K8298" s="38" t="n">
        <f aca="false">Sens!$K$8196-Sens!$K$8198</f>
        <v>550.103332311311</v>
      </c>
      <c r="L8298" s="38" t="n">
        <f aca="false">Sens!$L$8196-Sens!$L$8198</f>
        <v>582.192354474511</v>
      </c>
      <c r="M8298" s="38" t="n">
        <f aca="false">Sens!$M$8196-Sens!$M$8198</f>
        <v>616.22240521081</v>
      </c>
      <c r="N8298" s="38" t="n">
        <f aca="false">Sens!$N$8196-Sens!$N$8198</f>
        <v>171.24628885875</v>
      </c>
      <c r="O8298" s="38" t="n">
        <f aca="false">Sens!$O$8196-Sens!$O$8198</f>
        <v>205.33105363572</v>
      </c>
    </row>
    <row r="8299" customFormat="false" ht="17.15" hidden="false" customHeight="false" outlineLevel="0" collapsed="false">
      <c r="A8299" s="0" t="s">
        <v>733</v>
      </c>
      <c r="B8299" s="0" t="s">
        <v>86</v>
      </c>
      <c r="C8299" s="38" t="n">
        <f aca="false">Sens!$C$8250*Sens!$C$8195</f>
        <v>0.123617442257179</v>
      </c>
      <c r="D8299" s="38" t="n">
        <f aca="false">Sens!$D$8250*Sens!$D$8195</f>
        <v>0.600198046024689</v>
      </c>
      <c r="E8299" s="38" t="n">
        <f aca="false">Sens!$E$8250*Sens!$E$8195</f>
        <v>1.10840000750276</v>
      </c>
      <c r="F8299" s="38" t="n">
        <f aca="false">Sens!$F$8250*Sens!$F$8195</f>
        <v>1.33595298721025</v>
      </c>
      <c r="G8299" s="38" t="n">
        <f aca="false">Sens!$G$8250*Sens!$G$8195</f>
        <v>2.44487335052545</v>
      </c>
      <c r="H8299" s="38" t="n">
        <f aca="false">Sens!$H$8250*Sens!$H$8195</f>
        <v>6.63132711939388</v>
      </c>
      <c r="I8299" s="38" t="n">
        <f aca="false">Sens!$I$8250*Sens!$I$8195</f>
        <v>12.7486799258504</v>
      </c>
      <c r="J8299" s="38" t="n">
        <f aca="false">Sens!$J$8250*Sens!$J$8195</f>
        <v>18.4074045299415</v>
      </c>
      <c r="K8299" s="38" t="n">
        <f aca="false">Sens!$K$8250*Sens!$K$8195</f>
        <v>23.9455472348705</v>
      </c>
      <c r="L8299" s="38" t="n">
        <f aca="false">Sens!$L$8250*Sens!$L$8195</f>
        <v>27.78179156216</v>
      </c>
      <c r="M8299" s="38" t="n">
        <f aca="false">Sens!$M$8250*Sens!$M$8195</f>
        <v>29.9029027327362</v>
      </c>
      <c r="N8299" s="38" t="n">
        <f aca="false">Sens!$N$8250*Sens!$N$8195</f>
        <v>0.25053229484398</v>
      </c>
      <c r="O8299" s="38" t="n">
        <f aca="false">Sens!$O$8250*Sens!$O$8195</f>
        <v>0.349234376756897</v>
      </c>
    </row>
    <row r="8300" customFormat="false" ht="17.15" hidden="false" customHeight="false" outlineLevel="0" collapsed="false">
      <c r="A8300" s="0" t="s">
        <v>734</v>
      </c>
      <c r="B8300" s="0" t="s">
        <v>52</v>
      </c>
      <c r="C8300" s="28" t="n">
        <f aca="false">(Sens!$C$8301-Sens!$C$8297+Sens!$C$8299)/Sens!$C$8298</f>
        <v>0.0131526665379575</v>
      </c>
      <c r="D8300" s="28" t="n">
        <f aca="false">(Sens!$D$8301-Sens!$D$8297+Sens!$D$8299)/Sens!$D$8298</f>
        <v>0.0141999252954702</v>
      </c>
      <c r="E8300" s="28" t="n">
        <f aca="false">(Sens!$E$8301-Sens!$E$8297+Sens!$E$8299)/Sens!$E$8298</f>
        <v>0.0258471819939326</v>
      </c>
      <c r="F8300" s="28" t="n">
        <f aca="false">Sens!$O$8300+(Sens!$E$8300-Sens!$N$8300)</f>
        <v>0.0224302350712874</v>
      </c>
      <c r="G8300" s="28" t="n">
        <f aca="false">(Sens!$G$8301-Sens!$G$8297+Sens!$G$8299)/Sens!$G$8298</f>
        <v>0.0240199351461372</v>
      </c>
      <c r="H8300" s="28" t="n">
        <f aca="false">Sens!$G$8300+step_na</f>
        <v>0.0270199351461372</v>
      </c>
      <c r="I8300" s="28" t="n">
        <f aca="false">Sens!$H$8300+step_na</f>
        <v>0.0300199351461372</v>
      </c>
      <c r="J8300" s="28" t="n">
        <f aca="false">Sens!$I$8300+step_na</f>
        <v>0.0330199351461372</v>
      </c>
      <c r="K8300" s="28" t="n">
        <f aca="false">Sens!$J$8300+step_na</f>
        <v>0.0360199351461372</v>
      </c>
      <c r="L8300" s="28" t="n">
        <f aca="false">Sens!$K$8300</f>
        <v>0.0360199351461372</v>
      </c>
      <c r="M8300" s="28" t="n">
        <f aca="false">Sens!$L$8300</f>
        <v>0.0360199351461372</v>
      </c>
      <c r="N8300" s="28" t="n">
        <f aca="false">(Sens!$N$8301-Sens!$N$8297+Sens!$N$8299)/Sens!$N$8298</f>
        <v>0.0160831323269779</v>
      </c>
      <c r="O8300" s="28" t="n">
        <f aca="false">(Sens!$O$8301-Sens!$O$8297+Sens!$O$8299)/Sens!$O$8298</f>
        <v>0.0126661854043327</v>
      </c>
      <c r="P8300" s="8" t="s">
        <v>735</v>
      </c>
    </row>
    <row r="8301" customFormat="false" ht="17.15" hidden="false" customHeight="false" outlineLevel="0" collapsed="false">
      <c r="A8301" s="1" t="s">
        <v>736</v>
      </c>
      <c r="B8301" s="8" t="s">
        <v>86</v>
      </c>
      <c r="C8301" s="38" t="n">
        <f aca="false">Q!$D$22</f>
        <v>24.967</v>
      </c>
      <c r="D8301" s="38" t="n">
        <f aca="false">Q!$E$22</f>
        <v>29.619</v>
      </c>
      <c r="E8301" s="38" t="n">
        <f aca="false">Q!$P$22</f>
        <v>17.39</v>
      </c>
      <c r="F8301" s="38" t="n">
        <f aca="false">Sens!$F$8297+Sens!$F$8298*Sens!$F$8300-Sens!$F$8299</f>
        <v>20.1145019929041</v>
      </c>
      <c r="G8301" s="38" t="n">
        <f aca="false">Sens!$E$8301+Sens!$F$8301</f>
        <v>37.5045019929041</v>
      </c>
      <c r="H8301" s="38" t="n">
        <f aca="false">Sens!$H$8297+Sens!$H$8298*Sens!$H$8300-Sens!$H$8299</f>
        <v>41.6199491865101</v>
      </c>
      <c r="I8301" s="38" t="n">
        <f aca="false">Sens!$I$8297+Sens!$I$8298*Sens!$I$8300-Sens!$I$8299</f>
        <v>43.9840073571422</v>
      </c>
      <c r="J8301" s="38" t="n">
        <f aca="false">Sens!$J$8297+Sens!$J$8298*Sens!$J$8300-Sens!$J$8299</f>
        <v>46.5326814970436</v>
      </c>
      <c r="K8301" s="38" t="n">
        <f aca="false">Sens!$K$8297+Sens!$K$8298*Sens!$K$8300-Sens!$K$8299</f>
        <v>48.4215867437731</v>
      </c>
      <c r="L8301" s="38" t="n">
        <f aca="false">Sens!$L$8297+Sens!$L$8298*Sens!$L$8300-Sens!$L$8299</f>
        <v>50.9964316762167</v>
      </c>
      <c r="M8301" s="38" t="n">
        <f aca="false">Sens!$M$8297+Sens!$M$8298*Sens!$M$8300-Sens!$M$8299</f>
        <v>55.8818499649445</v>
      </c>
      <c r="N8301" s="38" t="n">
        <f aca="false">Q!$N$22</f>
        <v>13.358</v>
      </c>
      <c r="O8301" s="38" t="n">
        <f aca="false">Q!$O$22</f>
        <v>16.261</v>
      </c>
    </row>
    <row r="8302" customFormat="false" ht="17.15" hidden="false" customHeight="false" outlineLevel="0" collapsed="false">
      <c r="A8302" s="0" t="s">
        <v>737</v>
      </c>
      <c r="B8302" s="0" t="s">
        <v>86</v>
      </c>
      <c r="C8302" s="38" t="n">
        <f aca="false">Sens!$C$8199*m_ad</f>
        <v>7.57284355857716</v>
      </c>
      <c r="D8302" s="38" t="n">
        <f aca="false">Sens!$D$8199*m_ad</f>
        <v>9.44543827004127</v>
      </c>
      <c r="E8302" s="38" t="n">
        <f aca="false">Sens!$E$8199*m_ad</f>
        <v>5.02428875377928</v>
      </c>
      <c r="F8302" s="38" t="n">
        <f aca="false">Sens!$F$8199*m_ad</f>
        <v>6.50663858068173</v>
      </c>
      <c r="G8302" s="38" t="n">
        <f aca="false">Sens!$G$8199*m_ad</f>
        <v>11.5225190751659</v>
      </c>
      <c r="H8302" s="38" t="n">
        <f aca="false">Sens!$H$8199*m_ad</f>
        <v>13.8333728663174</v>
      </c>
      <c r="I8302" s="38" t="n">
        <f aca="false">Sens!$I$8199*m_ad</f>
        <v>16.1440173245485</v>
      </c>
      <c r="J8302" s="38" t="n">
        <f aca="false">Sens!$J$8199*m_ad</f>
        <v>18.2995185845066</v>
      </c>
      <c r="K8302" s="38" t="n">
        <f aca="false">Sens!$K$8199*m_ad</f>
        <v>20.1294704429572</v>
      </c>
      <c r="L8302" s="38" t="n">
        <f aca="false">Sens!$L$8199*m_ad</f>
        <v>22.142417487253</v>
      </c>
      <c r="M8302" s="38" t="n">
        <f aca="false">Sens!$M$8199*m_ad</f>
        <v>24.3566592359783</v>
      </c>
      <c r="N8302" s="38" t="n">
        <f aca="false">Sens!$N$8199*m_ad</f>
        <v>3.95314442937518</v>
      </c>
      <c r="O8302" s="38" t="n">
        <f aca="false">Sens!$O$8199*m_ad</f>
        <v>5.50052681786011</v>
      </c>
    </row>
    <row r="8303" customFormat="false" ht="17.15" hidden="false" customHeight="false" outlineLevel="0" collapsed="false">
      <c r="A8303" s="0" t="s">
        <v>738</v>
      </c>
      <c r="B8303" s="0" t="s">
        <v>86</v>
      </c>
      <c r="C8303" s="38" t="n">
        <f aca="false">Sens!$C$8197-Sens!$C$8199</f>
        <v>127.760312882846</v>
      </c>
      <c r="D8303" s="38" t="n">
        <f aca="false">Sens!$D$8197-Sens!$D$8199</f>
        <v>143.003123459917</v>
      </c>
      <c r="E8303" s="38" t="n">
        <f aca="false">Sens!$E$8197-Sens!$E$8199</f>
        <v>71.9374224924414</v>
      </c>
      <c r="F8303" s="38" t="n">
        <f aca="false">Sens!$F$8197-Sens!$F$8199</f>
        <v>85.3951910035875</v>
      </c>
      <c r="G8303" s="38" t="n">
        <f aca="false">Sens!$G$8197-Sens!$G$8199</f>
        <v>157.349430014619</v>
      </c>
      <c r="H8303" s="38" t="n">
        <f aca="false">Sens!$H$8197-Sens!$H$8199</f>
        <v>172.043153372315</v>
      </c>
      <c r="I8303" s="38" t="n">
        <f aca="false">Sens!$I$8197-Sens!$I$8199</f>
        <v>186.097493615879</v>
      </c>
      <c r="J8303" s="38" t="n">
        <f aca="false">Sens!$J$8197-Sens!$J$8199</f>
        <v>199.117932780497</v>
      </c>
      <c r="K8303" s="38" t="n">
        <f aca="false">Sens!$K$8197-Sens!$K$8199</f>
        <v>210.70928698363</v>
      </c>
      <c r="L8303" s="38" t="n">
        <f aca="false">Sens!$L$8197-Sens!$L$8199</f>
        <v>223.000532251316</v>
      </c>
      <c r="M8303" s="38" t="n">
        <f aca="false">Sens!$M$8197-Sens!$M$8199</f>
        <v>236.035261011339</v>
      </c>
      <c r="N8303" s="38" t="n">
        <f aca="false">Sens!$N$8197-Sens!$N$8199</f>
        <v>62.3677111412496</v>
      </c>
      <c r="O8303" s="38" t="n">
        <f aca="false">Sens!$O$8197-Sens!$O$8199</f>
        <v>80.6189463642798</v>
      </c>
    </row>
    <row r="8304" customFormat="false" ht="17.15" hidden="false" customHeight="false" outlineLevel="0" collapsed="false">
      <c r="A8304" s="0" t="s">
        <v>739</v>
      </c>
      <c r="B8304" s="0" t="s">
        <v>86</v>
      </c>
      <c r="C8304" s="38" t="n">
        <f aca="false">Sens!$C$8250*(1-Sens!$C$8195)</f>
        <v>0.0455891896019953</v>
      </c>
      <c r="D8304" s="38" t="n">
        <f aca="false">Sens!$D$8250*(1-Sens!$D$8195)</f>
        <v>0.227931791705753</v>
      </c>
      <c r="E8304" s="38" t="n">
        <f aca="false">Sens!$E$8250*(1-Sens!$E$8195)</f>
        <v>0.412460434890711</v>
      </c>
      <c r="F8304" s="38" t="n">
        <f aca="false">Sens!$F$8250*(1-Sens!$F$8195)</f>
        <v>0.524534016233997</v>
      </c>
      <c r="G8304" s="38" t="n">
        <f aca="false">Sens!$G$8250*(1-Sens!$G$8195)</f>
        <v>0.936474095312266</v>
      </c>
      <c r="H8304" s="38" t="n">
        <f aca="false">Sens!$H$8250*(1-Sens!$H$8195)</f>
        <v>2.54003589327823</v>
      </c>
      <c r="I8304" s="38" t="n">
        <f aca="false">Sens!$I$8250*(1-Sens!$I$8195)</f>
        <v>4.88320120852905</v>
      </c>
      <c r="J8304" s="38" t="n">
        <f aca="false">Sens!$J$8250*(1-Sens!$J$8195)</f>
        <v>7.05069548920359</v>
      </c>
      <c r="K8304" s="38" t="n">
        <f aca="false">Sens!$K$8250*(1-Sens!$K$8195)</f>
        <v>9.17200258193867</v>
      </c>
      <c r="L8304" s="38" t="n">
        <f aca="false">Sens!$L$8250*(1-Sens!$L$8195)</f>
        <v>10.6414216154535</v>
      </c>
      <c r="M8304" s="38" t="n">
        <f aca="false">Sens!$M$8250*(1-Sens!$M$8195)</f>
        <v>11.4538831951485</v>
      </c>
      <c r="N8304" s="38" t="n">
        <f aca="false">Sens!$N$8250*(1-Sens!$N$8195)</f>
        <v>0.0912435878202994</v>
      </c>
      <c r="O8304" s="38" t="n">
        <f aca="false">Sens!$O$8250*(1-Sens!$O$8195)</f>
        <v>0.137119578309265</v>
      </c>
    </row>
    <row r="8305" customFormat="false" ht="17.15" hidden="false" customHeight="false" outlineLevel="0" collapsed="false">
      <c r="A8305" s="0" t="s">
        <v>740</v>
      </c>
      <c r="B8305" s="0" t="s">
        <v>52</v>
      </c>
      <c r="C8305" s="28" t="n">
        <f aca="false">(Sens!$C$8306-Sens!$C$8302+Sens!$C$8304)/Sens!$C$8303</f>
        <v>-0.0292364215826579</v>
      </c>
      <c r="D8305" s="28" t="n">
        <f aca="false">(Sens!$D$8306-Sens!$D$8302+Sens!$D$8304)/Sens!$D$8303</f>
        <v>-0.0312406216748665</v>
      </c>
      <c r="E8305" s="28" t="n">
        <f aca="false">(Sens!$E$8306-Sens!$E$8302+Sens!$E$8304)/Sens!$E$8303</f>
        <v>-0.0204459413185552</v>
      </c>
      <c r="F8305" s="28" t="n">
        <f aca="false">Sens!$O$8305+(Sens!$E$8305-Sens!$N$8305)</f>
        <v>-0.0375409290246314</v>
      </c>
      <c r="G8305" s="28" t="n">
        <f aca="false">(Sens!$G$8306-Sens!$G$8302+Sens!$G$8304)/Sens!$G$8303</f>
        <v>-0.0296712560031684</v>
      </c>
      <c r="H8305" s="28" t="n">
        <f aca="false">Sens!$G$8305+step_in</f>
        <v>-0.0296712560031684</v>
      </c>
      <c r="I8305" s="28" t="n">
        <f aca="false">Sens!$H$8305+step_in</f>
        <v>-0.0296712560031684</v>
      </c>
      <c r="J8305" s="28" t="n">
        <f aca="false">Sens!$I$8305+step_in</f>
        <v>-0.0296712560031684</v>
      </c>
      <c r="K8305" s="28" t="n">
        <f aca="false">Sens!$J$8305+step_in</f>
        <v>-0.0296712560031684</v>
      </c>
      <c r="L8305" s="28" t="n">
        <f aca="false">Sens!$K$8305</f>
        <v>-0.0296712560031684</v>
      </c>
      <c r="M8305" s="28" t="n">
        <f aca="false">Sens!$L$8305</f>
        <v>-0.0296712560031684</v>
      </c>
      <c r="N8305" s="28" t="n">
        <f aca="false">(Sens!$N$8306-Sens!$N$8302+Sens!$N$8304)/Sens!$N$8303</f>
        <v>-0.0216602600421776</v>
      </c>
      <c r="O8305" s="28" t="n">
        <f aca="false">(Sens!$O$8306-Sens!$O$8302+Sens!$O$8304)/Sens!$O$8303</f>
        <v>-0.0387552477482538</v>
      </c>
      <c r="P8305" s="8" t="s">
        <v>735</v>
      </c>
    </row>
    <row r="8306" customFormat="false" ht="17.15" hidden="false" customHeight="false" outlineLevel="0" collapsed="false">
      <c r="A8306" s="1" t="s">
        <v>741</v>
      </c>
      <c r="B8306" s="8" t="s">
        <v>86</v>
      </c>
      <c r="C8306" s="38" t="n">
        <f aca="false">Q!$D$23</f>
        <v>3.792</v>
      </c>
      <c r="D8306" s="38" t="n">
        <f aca="false">Q!$E$23</f>
        <v>4.75</v>
      </c>
      <c r="E8306" s="38" t="n">
        <f aca="false">Q!$P$23</f>
        <v>3.141</v>
      </c>
      <c r="F8306" s="38" t="n">
        <f aca="false">Sens!$F$8302+Sens!$F$8303*Sens!$F$8305-Sens!$F$8304</f>
        <v>2.77628975993721</v>
      </c>
      <c r="G8306" s="38" t="n">
        <f aca="false">Sens!$E$8306+Sens!$F$8306</f>
        <v>5.91728975993721</v>
      </c>
      <c r="H8306" s="38" t="n">
        <f aca="false">Sens!$H$8302+Sens!$H$8303*Sens!$H$8305-Sens!$H$8304</f>
        <v>6.18860052573681</v>
      </c>
      <c r="I8306" s="38" t="n">
        <f aca="false">Sens!$I$8302+Sens!$I$8303*Sens!$I$8305-Sens!$I$8304</f>
        <v>5.73906974139474</v>
      </c>
      <c r="J8306" s="38" t="n">
        <f aca="false">Sens!$J$8302+Sens!$J$8303*Sens!$J$8305-Sens!$J$8304</f>
        <v>5.34074393695119</v>
      </c>
      <c r="K8306" s="38" t="n">
        <f aca="false">Sens!$K$8302+Sens!$K$8303*Sens!$K$8305-Sens!$K$8304</f>
        <v>4.7054586646822</v>
      </c>
      <c r="L8306" s="38" t="n">
        <f aca="false">Sens!$L$8302+Sens!$L$8303*Sens!$L$8305-Sens!$L$8304</f>
        <v>4.88428999052786</v>
      </c>
      <c r="M8306" s="38" t="n">
        <f aca="false">Sens!$M$8302+Sens!$M$8303*Sens!$M$8305-Sens!$M$8304</f>
        <v>5.89931338558769</v>
      </c>
      <c r="N8306" s="38" t="n">
        <f aca="false">Q!$N$23</f>
        <v>2.511</v>
      </c>
      <c r="O8306" s="38" t="n">
        <f aca="false">Q!$O$23</f>
        <v>2.239</v>
      </c>
    </row>
    <row r="8307" customFormat="false" ht="17.15" hidden="false" customHeight="false" outlineLevel="0" collapsed="false">
      <c r="A8307" s="0" t="s">
        <v>742</v>
      </c>
      <c r="B8307" s="0" t="s">
        <v>86</v>
      </c>
      <c r="C8307" s="38" t="n">
        <f aca="false">Sens!$C$8247</f>
        <v>1.64417882953695</v>
      </c>
      <c r="D8307" s="38" t="n">
        <f aca="false">Sens!$D$8247</f>
        <v>5.39125073772939</v>
      </c>
      <c r="E8307" s="38" t="n">
        <f aca="false">Sens!$E$8247</f>
        <v>2.42691120599613</v>
      </c>
      <c r="F8307" s="38" t="n">
        <f aca="false">Sens!$F$8247</f>
        <v>7.52148563094346</v>
      </c>
      <c r="G8307" s="38" t="n">
        <f aca="false">Sens!$G$8247</f>
        <v>9.94839683693959</v>
      </c>
      <c r="H8307" s="38" t="n">
        <f aca="false">Sens!$H$8247</f>
        <v>23.4804386990861</v>
      </c>
      <c r="I8307" s="38" t="n">
        <f aca="false">Sens!$I$8247</f>
        <v>30.9761745989143</v>
      </c>
      <c r="J8307" s="38" t="n">
        <f aca="false">Sens!$J$8247</f>
        <v>41.1930070746977</v>
      </c>
      <c r="K8307" s="38" t="n">
        <f aca="false">Sens!$K$8247</f>
        <v>45.9779211159428</v>
      </c>
      <c r="L8307" s="38" t="n">
        <f aca="false">Sens!$L$8247</f>
        <v>48.0352490919424</v>
      </c>
      <c r="M8307" s="38" t="n">
        <f aca="false">Sens!$M$8247</f>
        <v>47.4082976573265</v>
      </c>
      <c r="N8307" s="38" t="n">
        <f aca="false">Sens!$N$8247</f>
        <v>1.67921600037079</v>
      </c>
      <c r="O8307" s="38" t="n">
        <f aca="false">Sens!$O$8247</f>
        <v>3.71203473735861</v>
      </c>
    </row>
    <row r="8308" customFormat="false" ht="17.15" hidden="false" customHeight="false" outlineLevel="0" collapsed="false">
      <c r="A8308" s="0" t="s">
        <v>660</v>
      </c>
      <c r="B8308" s="0" t="s">
        <v>86</v>
      </c>
      <c r="C8308" s="38" t="n">
        <f aca="false">Sens!$C$8252</f>
        <v>38.1898211704631</v>
      </c>
      <c r="D8308" s="38" t="n">
        <f aca="false">Sens!$D$8252</f>
        <v>40.2147492622706</v>
      </c>
      <c r="E8308" s="38" t="n">
        <f aca="false">Sens!$E$8252</f>
        <v>28.3550887940039</v>
      </c>
      <c r="F8308" s="38" t="n">
        <f aca="false">Sens!$F$8252</f>
        <v>25.9529793149447</v>
      </c>
      <c r="G8308" s="38" t="n">
        <f aca="false">Sens!$G$8252</f>
        <v>54.3080681089486</v>
      </c>
      <c r="H8308" s="38" t="n">
        <f aca="false">Sens!$H$8252</f>
        <v>58.2264684589333</v>
      </c>
      <c r="I8308" s="38" t="n">
        <f aca="false">Sens!$I$8252</f>
        <v>64.6461353851744</v>
      </c>
      <c r="J8308" s="38" t="n">
        <f aca="false">Sens!$J$8252</f>
        <v>70.7957093610231</v>
      </c>
      <c r="K8308" s="38" t="n">
        <f aca="false">Sens!$K$8252</f>
        <v>76.4593661099049</v>
      </c>
      <c r="L8308" s="38" t="n">
        <f aca="false">Sens!$L$8252</f>
        <v>82.5761153986973</v>
      </c>
      <c r="M8308" s="38" t="n">
        <f aca="false">Sens!$M$8252</f>
        <v>89.1822046305931</v>
      </c>
      <c r="N8308" s="38" t="n">
        <f aca="false">Sens!$N$8252</f>
        <v>20.0277839996292</v>
      </c>
      <c r="O8308" s="38" t="n">
        <f aca="false">Sens!$O$8252</f>
        <v>20.1869652626414</v>
      </c>
    </row>
    <row r="8309" customFormat="false" ht="17.15" hidden="false" customHeight="false" outlineLevel="0" collapsed="false">
      <c r="A8309" s="1" t="s">
        <v>743</v>
      </c>
      <c r="B8309" s="8" t="s">
        <v>86</v>
      </c>
      <c r="C8309" s="38" t="n">
        <f aca="false">Q!$D$24</f>
        <v>39.834</v>
      </c>
      <c r="D8309" s="38" t="n">
        <f aca="false">Q!$E$24</f>
        <v>45.606</v>
      </c>
      <c r="E8309" s="38" t="n">
        <f aca="false">Q!$P$24</f>
        <v>30.782</v>
      </c>
      <c r="F8309" s="38" t="n">
        <f aca="false">Sens!$F$8307+Sens!$F$8308</f>
        <v>33.4744649458882</v>
      </c>
      <c r="G8309" s="38" t="n">
        <f aca="false">Sens!$G$8307+Sens!$G$8308</f>
        <v>64.2564649458882</v>
      </c>
      <c r="H8309" s="38" t="n">
        <f aca="false">Sens!$H$8307+Sens!$H$8308</f>
        <v>81.7069071580194</v>
      </c>
      <c r="I8309" s="38" t="n">
        <f aca="false">Sens!$I$8307+Sens!$I$8308</f>
        <v>95.6223099840887</v>
      </c>
      <c r="J8309" s="38" t="n">
        <f aca="false">Sens!$J$8307+Sens!$J$8308</f>
        <v>111.988716435721</v>
      </c>
      <c r="K8309" s="38" t="n">
        <f aca="false">Sens!$K$8307+Sens!$K$8308</f>
        <v>122.437287225848</v>
      </c>
      <c r="L8309" s="38" t="n">
        <f aca="false">Sens!$L$8307+Sens!$L$8308</f>
        <v>130.61136449064</v>
      </c>
      <c r="M8309" s="38" t="n">
        <f aca="false">Sens!$M$8307+Sens!$M$8308</f>
        <v>136.59050228792</v>
      </c>
      <c r="N8309" s="38" t="n">
        <f aca="false">Q!$N$24</f>
        <v>21.707</v>
      </c>
      <c r="O8309" s="38" t="n">
        <f aca="false">Q!$O$24</f>
        <v>23.899</v>
      </c>
    </row>
    <row r="8310" customFormat="false" ht="17.15" hidden="false" customHeight="false" outlineLevel="0" collapsed="false">
      <c r="A8310" s="5" t="s">
        <v>744</v>
      </c>
      <c r="B8310" s="0" t="s">
        <v>86</v>
      </c>
      <c r="C8310" s="38" t="n">
        <f aca="false">Q!$D$26</f>
        <v>0</v>
      </c>
      <c r="D8310" s="38" t="n">
        <f aca="false">Q!$E$26</f>
        <v>0</v>
      </c>
      <c r="E8310" s="38" t="n">
        <f aca="false">Q!$P$26</f>
        <v>0</v>
      </c>
      <c r="F8310" s="39" t="n">
        <v>0</v>
      </c>
      <c r="G8310" s="38" t="n">
        <f aca="false">Sens!$E$8310+Sens!$F$8310</f>
        <v>0</v>
      </c>
      <c r="H8310" s="39" t="n">
        <v>0</v>
      </c>
      <c r="I8310" s="39" t="n">
        <v>0</v>
      </c>
      <c r="J8310" s="39" t="n">
        <v>0</v>
      </c>
      <c r="K8310" s="39" t="n">
        <v>0</v>
      </c>
      <c r="L8310" s="39" t="n">
        <v>0</v>
      </c>
      <c r="M8310" s="39" t="n">
        <v>0</v>
      </c>
      <c r="N8310" s="38" t="n">
        <f aca="false">Q!$N$26</f>
        <v>0</v>
      </c>
      <c r="O8310" s="38" t="n">
        <f aca="false">Q!$O$26</f>
        <v>0</v>
      </c>
    </row>
    <row r="8311" customFormat="false" ht="15" hidden="false" customHeight="false" outlineLevel="0" collapsed="false">
      <c r="A8311" s="3" t="s">
        <v>541</v>
      </c>
      <c r="B8311" s="8" t="s">
        <v>86</v>
      </c>
      <c r="C8311" s="38" t="n">
        <f aca="false">Q!$D$25</f>
        <v>68.593</v>
      </c>
      <c r="D8311" s="38" t="n">
        <f aca="false">Q!$E$25</f>
        <v>79.975</v>
      </c>
      <c r="E8311" s="38" t="n">
        <f aca="false">Q!$P$25</f>
        <v>51.313</v>
      </c>
      <c r="F8311" s="38" t="n">
        <f aca="false">Sens!$F$8301+Sens!$F$8306+Sens!$F$8309+Sens!$F$8310</f>
        <v>56.3652566987294</v>
      </c>
      <c r="G8311" s="38" t="n">
        <f aca="false">Sens!$G$8301+Sens!$G$8306+Sens!$G$8309+Sens!$G$8310</f>
        <v>107.678256698729</v>
      </c>
      <c r="H8311" s="38" t="n">
        <f aca="false">Sens!$H$8301+Sens!$H$8306+Sens!$H$8309+Sens!$H$8310</f>
        <v>129.515456870266</v>
      </c>
      <c r="I8311" s="38" t="n">
        <f aca="false">Sens!$I$8301+Sens!$I$8306+Sens!$I$8309+Sens!$I$8310</f>
        <v>145.345387082626</v>
      </c>
      <c r="J8311" s="38" t="n">
        <f aca="false">Sens!$J$8301+Sens!$J$8306+Sens!$J$8309+Sens!$J$8310</f>
        <v>163.862141869716</v>
      </c>
      <c r="K8311" s="38" t="n">
        <f aca="false">Sens!$K$8301+Sens!$K$8306+Sens!$K$8309+Sens!$K$8310</f>
        <v>175.564332634303</v>
      </c>
      <c r="L8311" s="38" t="n">
        <f aca="false">Sens!$L$8301+Sens!$L$8306+Sens!$L$8309+Sens!$L$8310</f>
        <v>186.492086157384</v>
      </c>
      <c r="M8311" s="38" t="n">
        <f aca="false">Sens!$M$8301+Sens!$M$8306+Sens!$M$8309+Sens!$M$8310</f>
        <v>198.371665638452</v>
      </c>
      <c r="N8311" s="38" t="n">
        <f aca="false">Q!$N$25</f>
        <v>37.576</v>
      </c>
      <c r="O8311" s="38" t="n">
        <f aca="false">Q!$O$25</f>
        <v>42.399</v>
      </c>
    </row>
    <row r="8312" customFormat="false" ht="17.15" hidden="false" customHeight="false" outlineLevel="0" collapsed="false">
      <c r="A8312" s="24" t="s">
        <v>775</v>
      </c>
      <c r="B8312" s="25" t="s">
        <v>86</v>
      </c>
      <c r="C8312" s="41" t="n">
        <f aca="false">Sens!$C$8301+Sens!$C$8306+Sens!$C$8309+Sens!$C$8310-Sens!$C$8311</f>
        <v>0</v>
      </c>
      <c r="D8312" s="41" t="n">
        <f aca="false">Sens!$D$8301+Sens!$D$8306+Sens!$D$8309+Sens!$D$8310-Sens!$D$8311</f>
        <v>0</v>
      </c>
      <c r="E8312" s="41" t="n">
        <f aca="false">Sens!$E$8301+Sens!$E$8306+Sens!$E$8309+Sens!$E$8310-Sens!$E$8311</f>
        <v>0</v>
      </c>
      <c r="F8312" s="41" t="n">
        <f aca="false">Sens!$F$8301+Sens!$F$8306+Sens!$F$8309+Sens!$F$8310-Sens!$F$8311</f>
        <v>0</v>
      </c>
      <c r="G8312" s="41" t="n">
        <f aca="false">Sens!$G$8301+Sens!$G$8306+Sens!$G$8309+Sens!$G$8310-Sens!$G$8311</f>
        <v>0</v>
      </c>
      <c r="H8312" s="41" t="n">
        <f aca="false">Sens!$H$8301+Sens!$H$8306+Sens!$H$8309+Sens!$H$8310-Sens!$H$8311</f>
        <v>0</v>
      </c>
      <c r="I8312" s="41" t="n">
        <f aca="false">Sens!$I$8301+Sens!$I$8306+Sens!$I$8309+Sens!$I$8310-Sens!$I$8311</f>
        <v>0</v>
      </c>
      <c r="J8312" s="41" t="n">
        <f aca="false">Sens!$J$8301+Sens!$J$8306+Sens!$J$8309+Sens!$J$8310-Sens!$J$8311</f>
        <v>0</v>
      </c>
      <c r="K8312" s="41" t="n">
        <f aca="false">Sens!$K$8301+Sens!$K$8306+Sens!$K$8309+Sens!$K$8310-Sens!$K$8311</f>
        <v>0</v>
      </c>
      <c r="L8312" s="41" t="n">
        <f aca="false">Sens!$L$8301+Sens!$L$8306+Sens!$L$8309+Sens!$L$8310-Sens!$L$8311</f>
        <v>0</v>
      </c>
      <c r="M8312" s="41" t="n">
        <f aca="false">Sens!$M$8301+Sens!$M$8306+Sens!$M$8309+Sens!$M$8310-Sens!$M$8311</f>
        <v>0</v>
      </c>
      <c r="N8312" s="41" t="n">
        <f aca="false">Sens!$N$8301+Sens!$N$8306+Sens!$N$8309+Sens!$N$8310-Sens!$N$8311</f>
        <v>0</v>
      </c>
      <c r="O8312" s="41" t="n">
        <f aca="false">Sens!$O$8301+Sens!$O$8306+Sens!$O$8309+Sens!$O$8310-Sens!$O$8311</f>
        <v>0</v>
      </c>
    </row>
    <row r="8313" customFormat="false" ht="17.15" hidden="false" customHeight="false" outlineLevel="0" collapsed="false">
      <c r="A8313" s="5" t="s">
        <v>746</v>
      </c>
      <c r="B8313" s="0" t="s">
        <v>86</v>
      </c>
      <c r="C8313" s="38" t="n">
        <f aca="false">Sens!$C$8249</f>
        <v>0</v>
      </c>
      <c r="D8313" s="38" t="n">
        <f aca="false">Sens!$D$8249</f>
        <v>0</v>
      </c>
      <c r="E8313" s="38" t="n">
        <f aca="false">Sens!$E$8249</f>
        <v>0</v>
      </c>
      <c r="F8313" s="38" t="n">
        <f aca="false">Sens!$F$8249</f>
        <v>3.77122048175818</v>
      </c>
      <c r="G8313" s="38" t="n">
        <f aca="false">Sens!$G$8249</f>
        <v>3.77122048175818</v>
      </c>
      <c r="H8313" s="38" t="n">
        <f aca="false">Sens!$H$8249</f>
        <v>15.1635543609893</v>
      </c>
      <c r="I8313" s="38" t="n">
        <f aca="false">Sens!$I$8249</f>
        <v>25.5818843619889</v>
      </c>
      <c r="J8313" s="38" t="n">
        <f aca="false">Sens!$J$8249</f>
        <v>36.0465624179122</v>
      </c>
      <c r="K8313" s="38" t="n">
        <f aca="false">Sens!$K$8249</f>
        <v>44.9741164026038</v>
      </c>
      <c r="L8313" s="38" t="n">
        <f aca="false">Sens!$L$8249</f>
        <v>50.8413488057813</v>
      </c>
      <c r="M8313" s="38" t="n">
        <f aca="false">Sens!$M$8249</f>
        <v>53.6407214274315</v>
      </c>
      <c r="N8313" s="38" t="n">
        <f aca="false">Sens!$N$8249</f>
        <v>0</v>
      </c>
      <c r="O8313" s="38" t="n">
        <f aca="false">Sens!$O$8249</f>
        <v>0</v>
      </c>
      <c r="P8313" s="5" t="s">
        <v>747</v>
      </c>
    </row>
    <row r="8314" customFormat="false" ht="17.15" hidden="false" customHeight="false" outlineLevel="0" collapsed="false">
      <c r="A8314" s="5" t="s">
        <v>748</v>
      </c>
      <c r="B8314" s="0" t="s">
        <v>86</v>
      </c>
      <c r="C8314" s="38" t="n">
        <f aca="false">Sens!$C$8311+Sens!$C$8313</f>
        <v>68.593</v>
      </c>
      <c r="D8314" s="38" t="n">
        <f aca="false">Sens!$D$8311+Sens!$D$8313</f>
        <v>79.975</v>
      </c>
      <c r="E8314" s="38" t="n">
        <f aca="false">Sens!$E$8311+Sens!$E$8313</f>
        <v>51.313</v>
      </c>
      <c r="F8314" s="38" t="n">
        <f aca="false">Sens!$F$8311+Sens!$F$8313</f>
        <v>60.1364771804876</v>
      </c>
      <c r="G8314" s="38" t="n">
        <f aca="false">Sens!$G$8311+Sens!$G$8313</f>
        <v>111.449477180488</v>
      </c>
      <c r="H8314" s="38" t="n">
        <f aca="false">Sens!$H$8311+Sens!$H$8313</f>
        <v>144.679011231256</v>
      </c>
      <c r="I8314" s="38" t="n">
        <f aca="false">Sens!$I$8311+Sens!$I$8313</f>
        <v>170.927271444615</v>
      </c>
      <c r="J8314" s="38" t="n">
        <f aca="false">Sens!$J$8311+Sens!$J$8313</f>
        <v>199.908704287628</v>
      </c>
      <c r="K8314" s="38" t="n">
        <f aca="false">Sens!$K$8311+Sens!$K$8313</f>
        <v>220.538449036907</v>
      </c>
      <c r="L8314" s="38" t="n">
        <f aca="false">Sens!$L$8311+Sens!$L$8313</f>
        <v>237.333434963166</v>
      </c>
      <c r="M8314" s="38" t="n">
        <f aca="false">Sens!$M$8311+Sens!$M$8313</f>
        <v>252.012387065883</v>
      </c>
      <c r="N8314" s="38" t="n">
        <f aca="false">Sens!$N$8311+Sens!$N$8313</f>
        <v>37.576</v>
      </c>
      <c r="O8314" s="38" t="n">
        <f aca="false">Sens!$O$8311+Sens!$O$8313</f>
        <v>42.399</v>
      </c>
    </row>
    <row r="8315" customFormat="false" ht="17.15" hidden="false" customHeight="false" outlineLevel="0" collapsed="false">
      <c r="A8315" s="0" t="s">
        <v>749</v>
      </c>
      <c r="B8315" s="0" t="s">
        <v>52</v>
      </c>
      <c r="C8315" s="13" t="n">
        <f aca="false">Sens!$C$8301/Sens!$C$8286</f>
        <v>0.0644314665661928</v>
      </c>
      <c r="D8315" s="13" t="n">
        <f aca="false">Sens!$D$8301/Sens!$D$8286</f>
        <v>0.0694784250712518</v>
      </c>
      <c r="E8315" s="13" t="n">
        <f aca="false">Sens!$E$8301/Sens!$E$8286</f>
        <v>0.0789306463326071</v>
      </c>
      <c r="F8315" s="13" t="n">
        <f aca="false">Sens!$F$8301/Sens!$F$8286</f>
        <v>0.0802526339438384</v>
      </c>
      <c r="G8315" s="13" t="n">
        <f aca="false">Sens!$G$8301/Sens!$G$8286</f>
        <v>0.0796341940538369</v>
      </c>
      <c r="H8315" s="13" t="n">
        <f aca="false">Sens!$H$8301/Sens!$H$8286</f>
        <v>0.0798254462645258</v>
      </c>
      <c r="I8315" s="13" t="n">
        <f aca="false">Sens!$I$8301/Sens!$I$8286</f>
        <v>0.0771454543672196</v>
      </c>
      <c r="J8315" s="13" t="n">
        <f aca="false">Sens!$J$8301/Sens!$J$8286</f>
        <v>0.0756147693819656</v>
      </c>
      <c r="K8315" s="13" t="n">
        <f aca="false">Sens!$K$8301/Sens!$K$8286</f>
        <v>0.0739025926520816</v>
      </c>
      <c r="L8315" s="13" t="n">
        <f aca="false">Sens!$L$8301/Sens!$L$8286</f>
        <v>0.0730809201558074</v>
      </c>
      <c r="M8315" s="13" t="n">
        <f aca="false">Sens!$M$8301/Sens!$M$8286</f>
        <v>0.0751707027775199</v>
      </c>
      <c r="N8315" s="13" t="n">
        <f aca="false">Sens!$N$8301/Sens!$N$8286</f>
        <v>0.069228576611127</v>
      </c>
      <c r="O8315" s="13" t="n">
        <f aca="false">Sens!$O$8301/Sens!$O$8286</f>
        <v>0.069685022498393</v>
      </c>
    </row>
    <row r="8316" customFormat="false" ht="17.15" hidden="false" customHeight="false" outlineLevel="0" collapsed="false">
      <c r="A8316" s="0" t="s">
        <v>750</v>
      </c>
      <c r="B8316" s="0" t="s">
        <v>52</v>
      </c>
      <c r="C8316" s="13" t="n">
        <f aca="false">Sens!$C$8306/Sens!$C$8287</f>
        <v>0.026534925055631</v>
      </c>
      <c r="D8316" s="13" t="n">
        <f aca="false">Sens!$D$8306/Sens!$D$8287</f>
        <v>0.0293401855535103</v>
      </c>
      <c r="E8316" s="13" t="n">
        <f aca="false">Sens!$E$8306/Sens!$E$8287</f>
        <v>0.03831141902276</v>
      </c>
      <c r="F8316" s="13" t="n">
        <f aca="false">Sens!$F$8306/Sens!$F$8287</f>
        <v>0.0282118989524726</v>
      </c>
      <c r="G8316" s="13" t="n">
        <f aca="false">Sens!$G$8306/Sens!$G$8287</f>
        <v>0.0328019468674976</v>
      </c>
      <c r="H8316" s="13" t="n">
        <f aca="false">Sens!$H$8306/Sens!$H$8287</f>
        <v>0.0309879507899839</v>
      </c>
      <c r="I8316" s="13" t="n">
        <f aca="false">Sens!$I$8306/Sens!$I$8287</f>
        <v>0.0262795332043765</v>
      </c>
      <c r="J8316" s="13" t="n">
        <f aca="false">Sens!$J$8306/Sens!$J$8287</f>
        <v>0.0226574435353346</v>
      </c>
      <c r="K8316" s="13" t="n">
        <f aca="false">Sens!$K$8306/Sens!$K$8287</f>
        <v>0.0187492205871101</v>
      </c>
      <c r="L8316" s="13" t="n">
        <f aca="false">Sens!$L$8306/Sens!$L$8287</f>
        <v>0.018273690180732</v>
      </c>
      <c r="M8316" s="13" t="n">
        <f aca="false">Sens!$M$8306/Sens!$M$8287</f>
        <v>0.0207176218272716</v>
      </c>
      <c r="N8316" s="13" t="n">
        <f aca="false">Sens!$N$8306/Sens!$N$8287</f>
        <v>0.0357315650169337</v>
      </c>
      <c r="O8316" s="13" t="n">
        <f aca="false">Sens!$O$8306/Sens!$O$8287</f>
        <v>0.0244378956559703</v>
      </c>
    </row>
    <row r="8317" customFormat="false" ht="17.15" hidden="false" customHeight="false" outlineLevel="0" collapsed="false">
      <c r="A8317" s="14" t="s">
        <v>751</v>
      </c>
      <c r="B8317" s="14" t="s">
        <v>52</v>
      </c>
      <c r="C8317" s="17" t="n">
        <f aca="false">Sens!$C$8309/Sens!$C$8288</f>
        <v>0.370355907620217</v>
      </c>
      <c r="D8317" s="17" t="n">
        <f aca="false">Sens!$D$8309/Sens!$D$8288</f>
        <v>0.35429015342785</v>
      </c>
      <c r="E8317" s="17" t="n">
        <f aca="false">Sens!$E$8309/Sens!$E$8288</f>
        <v>0.385647527531039</v>
      </c>
      <c r="F8317" s="17" t="n">
        <f aca="false">Sens!$F$8309/Sens!$F$8288</f>
        <v>0.385949613469105</v>
      </c>
      <c r="G8317" s="17" t="n">
        <f aca="false">Sens!$G$8309/Sens!$G$8288</f>
        <v>0.385804840448779</v>
      </c>
      <c r="H8317" s="17" t="n">
        <f aca="false">Sens!$H$8309/Sens!$H$8288</f>
        <v>0.369408675360557</v>
      </c>
      <c r="I8317" s="17" t="n">
        <f aca="false">Sens!$I$8309/Sens!$I$8288</f>
        <v>0.34117504540738</v>
      </c>
      <c r="J8317" s="17" t="n">
        <f aca="false">Sens!$J$8309/Sens!$J$8288</f>
        <v>0.330544285732563</v>
      </c>
      <c r="K8317" s="17" t="n">
        <f aca="false">Sens!$K$8309/Sens!$K$8288</f>
        <v>0.314033796990635</v>
      </c>
      <c r="L8317" s="17" t="n">
        <f aca="false">Sens!$L$8309/Sens!$L$8288</f>
        <v>0.303690371867633</v>
      </c>
      <c r="M8317" s="17" t="n">
        <f aca="false">Sens!$M$8309/Sens!$M$8288</f>
        <v>0.297287296590884</v>
      </c>
      <c r="N8317" s="17" t="n">
        <f aca="false">Sens!$N$8309/Sens!$N$8288</f>
        <v>0.360941137346192</v>
      </c>
      <c r="O8317" s="17" t="n">
        <f aca="false">Sens!$O$8309/Sens!$O$8288</f>
        <v>0.348458117664212</v>
      </c>
    </row>
    <row r="8318" customFormat="false" ht="17.15" hidden="false" customHeight="false" outlineLevel="0" collapsed="false">
      <c r="A8318" s="0" t="s">
        <v>752</v>
      </c>
      <c r="B8318" s="0" t="s">
        <v>52</v>
      </c>
      <c r="C8318" s="13" t="n">
        <f aca="false">Sens!$C$8307/Sens!$C$8289</f>
        <v>0.708390794789371</v>
      </c>
      <c r="D8318" s="13" t="n">
        <f aca="false">Sens!$D$8307/Sens!$D$8289</f>
        <v>0.619415573115729</v>
      </c>
      <c r="E8318" s="13" t="n">
        <f aca="false">Sens!$E$8307/Sens!$E$8289</f>
        <v>0.285171627189009</v>
      </c>
      <c r="F8318" s="13" t="n">
        <f aca="false">Sens!$F$8307/Sens!$F$8289</f>
        <v>0.502657732812366</v>
      </c>
      <c r="G8318" s="13" t="n">
        <f aca="false">Sens!$G$8307/Sens!$G$8289</f>
        <v>0.423808778611812</v>
      </c>
      <c r="H8318" s="13" t="n">
        <f aca="false">Sens!$H$8307/Sens!$H$8289</f>
        <v>0.390261631739809</v>
      </c>
      <c r="I8318" s="13" t="n">
        <f aca="false">Sens!$I$8307/Sens!$I$8289</f>
        <v>0.305172864264572</v>
      </c>
      <c r="J8318" s="13" t="n">
        <f aca="false">Sens!$J$8307/Sens!$J$8289</f>
        <v>0.288011814789856</v>
      </c>
      <c r="K8318" s="13" t="n">
        <f aca="false">Sens!$K$8307/Sens!$K$8289</f>
        <v>0.25765427518774</v>
      </c>
      <c r="L8318" s="13" t="n">
        <f aca="false">Sens!$L$8307/Sens!$L$8289</f>
        <v>0.238118778012374</v>
      </c>
      <c r="M8318" s="13" t="n">
        <f aca="false">Sens!$M$8307/Sens!$M$8289</f>
        <v>0.222746255757109</v>
      </c>
      <c r="N8318" s="13" t="n">
        <f aca="false">Sens!$N$8307/Sens!$N$8289</f>
        <v>0.551227795793364</v>
      </c>
      <c r="O8318" s="13" t="n">
        <f aca="false">Sens!$O$8307/Sens!$O$8289</f>
        <v>0.656132068597002</v>
      </c>
    </row>
    <row r="8319" customFormat="false" ht="15" hidden="false" customHeight="false" outlineLevel="0" collapsed="false">
      <c r="A8319" s="5" t="s">
        <v>753</v>
      </c>
      <c r="B8319" s="0" t="s">
        <v>52</v>
      </c>
      <c r="C8319" s="13" t="n">
        <f aca="false">Sens!$C$8311/Sens!$C$8291</f>
        <v>0.107519448742004</v>
      </c>
      <c r="D8319" s="13" t="n">
        <f aca="false">Sens!$D$8311/Sens!$D$8291</f>
        <v>0.111552967957552</v>
      </c>
      <c r="E8319" s="13" t="n">
        <f aca="false">Sens!$E$8311/Sens!$E$8291</f>
        <v>0.13428328426562</v>
      </c>
      <c r="F8319" s="13" t="n">
        <f aca="false">Sens!$F$8311/Sens!$F$8291</f>
        <v>0.129343087287827</v>
      </c>
      <c r="G8319" s="13" t="n">
        <f aca="false">Sens!$G$8311/Sens!$G$8291</f>
        <v>0.131651143259596</v>
      </c>
      <c r="H8319" s="13" t="n">
        <f aca="false">Sens!$H$8311/Sens!$H$8291</f>
        <v>0.137449034763893</v>
      </c>
      <c r="I8319" s="13" t="n">
        <f aca="false">Sens!$I$8311/Sens!$I$8291</f>
        <v>0.13598895915033</v>
      </c>
      <c r="J8319" s="13" t="n">
        <f aca="false">Sens!$J$8311/Sens!$J$8291</f>
        <v>0.137709769017663</v>
      </c>
      <c r="K8319" s="13" t="n">
        <f aca="false">Sens!$K$8311/Sens!$K$8291</f>
        <v>0.135459809314784</v>
      </c>
      <c r="L8319" s="13" t="n">
        <f aca="false">Sens!$L$8311/Sens!$L$8291</f>
        <v>0.133669430082102</v>
      </c>
      <c r="M8319" s="13" t="n">
        <f aca="false">Sens!$M$8311/Sens!$M$8291</f>
        <v>0.133349766772341</v>
      </c>
      <c r="N8319" s="13" t="n">
        <f aca="false">Sens!$N$8311/Sens!$N$8291</f>
        <v>0.116201614873411</v>
      </c>
      <c r="O8319" s="13" t="n">
        <f aca="false">Sens!$O$8311/Sens!$O$8291</f>
        <v>0.107733353660861</v>
      </c>
    </row>
    <row r="8320" customFormat="false" ht="17.15" hidden="false" customHeight="false" outlineLevel="0" collapsed="false">
      <c r="A8320" s="1" t="s">
        <v>754</v>
      </c>
    </row>
    <row r="8321" customFormat="false" ht="17.15" hidden="false" customHeight="false" outlineLevel="0" collapsed="false">
      <c r="A8321" s="5" t="s">
        <v>755</v>
      </c>
      <c r="B8321" s="0" t="s">
        <v>52</v>
      </c>
      <c r="D8321" s="28" t="n">
        <f aca="false">(Q!$E$29+Q!$E$30-(1-ext_sh)*Sens!$D$8243)/Sens!$D$8194</f>
        <v>0.0341105596409988</v>
      </c>
    </row>
    <row r="8322" customFormat="false" ht="17.15" hidden="false" customHeight="false" outlineLevel="0" collapsed="false">
      <c r="A8322" s="0" t="s">
        <v>545</v>
      </c>
      <c r="B8322" s="0" t="s">
        <v>86</v>
      </c>
      <c r="C8322" s="38" t="n">
        <f aca="false">Q!$D$29</f>
        <v>14.285</v>
      </c>
      <c r="D8322" s="38" t="n">
        <f aca="false">Q!$E$29</f>
        <v>15.503</v>
      </c>
      <c r="E8322" s="38" t="n">
        <f aca="false">Q!$P$29</f>
        <v>8.78</v>
      </c>
      <c r="F8322" s="38" t="n">
        <f aca="false">(Sens!$D$8321*Sens!$F$8194+(1-ext_sh)*Sens!$F$8243)*Sens!$F$8195</f>
        <v>9.30317620449232</v>
      </c>
      <c r="G8322" s="38" t="n">
        <f aca="false">Sens!$E$8322+Sens!$F$8322</f>
        <v>18.0831762044923</v>
      </c>
      <c r="H8322" s="38" t="n">
        <f aca="false">(Sens!$D$8321*Sens!$H$8194+(1-ext_sh)*Sens!$H$8243)*Sens!$H$8195</f>
        <v>22.1297245338482</v>
      </c>
      <c r="I8322" s="38" t="n">
        <f aca="false">(Sens!$D$8321*Sens!$I$8194+(1-ext_sh)*Sens!$I$8243)*Sens!$I$8195</f>
        <v>28.409695984391</v>
      </c>
      <c r="J8322" s="38" t="n">
        <f aca="false">(Sens!$D$8321*Sens!$J$8194+(1-ext_sh)*Sens!$J$8243)*Sens!$J$8195</f>
        <v>34.1085606174579</v>
      </c>
      <c r="K8322" s="38" t="n">
        <f aca="false">(Sens!$D$8321*Sens!$K$8194+(1-ext_sh)*Sens!$K$8243)*Sens!$K$8195</f>
        <v>39.7218983009068</v>
      </c>
      <c r="L8322" s="38" t="n">
        <f aca="false">(Sens!$D$8321*Sens!$L$8194+(1-ext_sh)*Sens!$L$8243)*Sens!$L$8195</f>
        <v>44.1680279486684</v>
      </c>
      <c r="M8322" s="38" t="n">
        <f aca="false">(Sens!$D$8321*Sens!$M$8194+(1-ext_sh)*Sens!$M$8243)*Sens!$M$8195</f>
        <v>47.4413073313286</v>
      </c>
      <c r="N8322" s="38" t="n">
        <f aca="false">Q!$N$29</f>
        <v>7.272</v>
      </c>
      <c r="O8322" s="38" t="n">
        <f aca="false">Q!$O$29</f>
        <v>8.231</v>
      </c>
    </row>
    <row r="8323" customFormat="false" ht="17.15" hidden="false" customHeight="false" outlineLevel="0" collapsed="false">
      <c r="A8323" s="0" t="s">
        <v>547</v>
      </c>
      <c r="B8323" s="0" t="s">
        <v>86</v>
      </c>
      <c r="C8323" s="38" t="n">
        <f aca="false">Q!$D$30</f>
        <v>4.462</v>
      </c>
      <c r="D8323" s="38" t="n">
        <f aca="false">Q!$E$30</f>
        <v>4.907</v>
      </c>
      <c r="E8323" s="38" t="n">
        <f aca="false">Q!$P$30</f>
        <v>2.57</v>
      </c>
      <c r="F8323" s="38" t="n">
        <f aca="false">(Sens!$D$8321*Sens!$F$8194+(1-ext_sh)*Sens!$F$8243)*(1-Sens!$F$8195)</f>
        <v>3.6526976809753</v>
      </c>
      <c r="G8323" s="38" t="n">
        <f aca="false">Sens!$E$8323+Sens!$F$8323</f>
        <v>6.2226976809753</v>
      </c>
      <c r="H8323" s="38" t="n">
        <f aca="false">(Sens!$D$8321*Sens!$H$8194+(1-ext_sh)*Sens!$H$8243)*(1-Sens!$H$8195)</f>
        <v>8.4764774248495</v>
      </c>
      <c r="I8323" s="38" t="n">
        <f aca="false">(Sens!$D$8321*Sens!$I$8194+(1-ext_sh)*Sens!$I$8243)*(1-Sens!$I$8195)</f>
        <v>10.881931507561</v>
      </c>
      <c r="J8323" s="38" t="n">
        <f aca="false">(Sens!$D$8321*Sens!$J$8194+(1-ext_sh)*Sens!$J$8243)*(1-Sens!$J$8195)</f>
        <v>13.0648008575874</v>
      </c>
      <c r="K8323" s="38" t="n">
        <f aca="false">(Sens!$D$8321*Sens!$K$8194+(1-ext_sh)*Sens!$K$8243)*(1-Sens!$K$8195)</f>
        <v>15.2149103214008</v>
      </c>
      <c r="L8323" s="38" t="n">
        <f aca="false">(Sens!$D$8321*Sens!$L$8194+(1-ext_sh)*Sens!$L$8243)*(1-Sens!$L$8195)</f>
        <v>16.9179372854085</v>
      </c>
      <c r="M8323" s="38" t="n">
        <f aca="false">(Sens!$D$8321*Sens!$M$8194+(1-ext_sh)*Sens!$M$8243)*(1-Sens!$M$8195)</f>
        <v>18.1717205735785</v>
      </c>
      <c r="N8323" s="38" t="n">
        <f aca="false">Q!$N$30</f>
        <v>2.316</v>
      </c>
      <c r="O8323" s="38" t="n">
        <f aca="false">Q!$O$30</f>
        <v>2.591</v>
      </c>
    </row>
    <row r="8324" customFormat="false" ht="17.15" hidden="false" customHeight="false" outlineLevel="0" collapsed="false">
      <c r="A8324" s="0" t="s">
        <v>548</v>
      </c>
      <c r="B8324" s="0" t="s">
        <v>86</v>
      </c>
      <c r="C8324" s="38" t="n">
        <f aca="false">Sens!$C$8255</f>
        <v>13.32</v>
      </c>
      <c r="D8324" s="38" t="n">
        <f aca="false">Sens!$D$8255</f>
        <v>21.45</v>
      </c>
      <c r="E8324" s="38" t="n">
        <f aca="false">Sens!$E$8255</f>
        <v>15.353</v>
      </c>
      <c r="F8324" s="38" t="n">
        <f aca="false">Sens!$F$8255</f>
        <v>16.1969869840094</v>
      </c>
      <c r="G8324" s="38" t="n">
        <f aca="false">Sens!$G$8255</f>
        <v>31.5499869840094</v>
      </c>
      <c r="H8324" s="38" t="n">
        <f aca="false">Sens!$H$8255</f>
        <v>50.9556213609176</v>
      </c>
      <c r="I8324" s="38" t="n">
        <f aca="false">Sens!$I$8255</f>
        <v>79.464581248252</v>
      </c>
      <c r="J8324" s="38" t="n">
        <f aca="false">Sens!$J$8255</f>
        <v>105.296127931746</v>
      </c>
      <c r="K8324" s="38" t="n">
        <f aca="false">Sens!$K$8255</f>
        <v>131.454694001511</v>
      </c>
      <c r="L8324" s="38" t="n">
        <f aca="false">Sens!$L$8255</f>
        <v>150.840456981405</v>
      </c>
      <c r="M8324" s="38" t="n">
        <f aca="false">Sens!$M$8255</f>
        <v>163.399454192999</v>
      </c>
      <c r="N8324" s="38" t="n">
        <f aca="false">Sens!$N$8255</f>
        <v>9.234</v>
      </c>
      <c r="O8324" s="38" t="n">
        <f aca="false">Sens!$O$8255</f>
        <v>12.216</v>
      </c>
    </row>
    <row r="8325" customFormat="false" ht="17.15" hidden="false" customHeight="false" outlineLevel="0" collapsed="false">
      <c r="A8325" s="5" t="s">
        <v>756</v>
      </c>
      <c r="B8325" s="0" t="s">
        <v>86</v>
      </c>
      <c r="C8325" s="38" t="n">
        <f aca="false">Sens!$C$8322+Sens!$C$8323+Sens!$C$8324</f>
        <v>32.067</v>
      </c>
      <c r="D8325" s="38" t="n">
        <f aca="false">Sens!$D$8322+Sens!$D$8323+Sens!$D$8324</f>
        <v>41.86</v>
      </c>
      <c r="E8325" s="38" t="n">
        <f aca="false">Sens!$E$8322+Sens!$E$8323+Sens!$E$8324</f>
        <v>26.703</v>
      </c>
      <c r="F8325" s="38" t="n">
        <f aca="false">Sens!$F$8322+Sens!$F$8323+Sens!$F$8324</f>
        <v>29.152860869477</v>
      </c>
      <c r="G8325" s="38" t="n">
        <f aca="false">Sens!$G$8322+Sens!$G$8323+Sens!$G$8324</f>
        <v>55.855860869477</v>
      </c>
      <c r="H8325" s="38" t="n">
        <f aca="false">Sens!$H$8322+Sens!$H$8323+Sens!$H$8324</f>
        <v>81.5618233196153</v>
      </c>
      <c r="I8325" s="38" t="n">
        <f aca="false">Sens!$I$8322+Sens!$I$8323+Sens!$I$8324</f>
        <v>118.756208740204</v>
      </c>
      <c r="J8325" s="38" t="n">
        <f aca="false">Sens!$J$8322+Sens!$J$8323+Sens!$J$8324</f>
        <v>152.469489406791</v>
      </c>
      <c r="K8325" s="38" t="n">
        <f aca="false">Sens!$K$8322+Sens!$K$8323+Sens!$K$8324</f>
        <v>186.391502623819</v>
      </c>
      <c r="L8325" s="38" t="n">
        <f aca="false">Sens!$L$8322+Sens!$L$8323+Sens!$L$8324</f>
        <v>211.926422215482</v>
      </c>
      <c r="M8325" s="38" t="n">
        <f aca="false">Sens!$M$8322+Sens!$M$8323+Sens!$M$8324</f>
        <v>229.012482097906</v>
      </c>
      <c r="N8325" s="38" t="n">
        <f aca="false">Sens!$N$8322+Sens!$N$8323+Sens!$N$8324</f>
        <v>18.822</v>
      </c>
      <c r="O8325" s="38" t="n">
        <f aca="false">Sens!$O$8322+Sens!$O$8323+Sens!$O$8324</f>
        <v>23.038</v>
      </c>
    </row>
    <row r="8326" customFormat="false" ht="17.15" hidden="false" customHeight="false" outlineLevel="0" collapsed="false">
      <c r="A8326" s="0" t="s">
        <v>757</v>
      </c>
      <c r="B8326" s="0" t="s">
        <v>86</v>
      </c>
      <c r="C8326" s="38" t="n">
        <f aca="false">Sens!$C$8297+Sens!$C$8302</f>
        <v>28.107</v>
      </c>
      <c r="D8326" s="38" t="n">
        <f aca="false">Sens!$D$8297+Sens!$D$8302</f>
        <v>34.3175</v>
      </c>
      <c r="E8326" s="38" t="n">
        <f aca="false">Sens!$E$8297+Sens!$E$8302</f>
        <v>18.526</v>
      </c>
      <c r="F8326" s="38" t="n">
        <f aca="false">Sens!$F$8297+Sens!$F$8302</f>
        <v>23.0786109972074</v>
      </c>
      <c r="G8326" s="38" t="n">
        <f aca="false">Sens!$G$8297+Sens!$G$8302</f>
        <v>41.6046109972074</v>
      </c>
      <c r="H8326" s="38" t="n">
        <f aca="false">Sens!$H$8297+Sens!$H$8302</f>
        <v>49.9484611939488</v>
      </c>
      <c r="I8326" s="38" t="n">
        <f aca="false">Sens!$I$8297+Sens!$I$8302</f>
        <v>58.2915555477481</v>
      </c>
      <c r="J8326" s="38" t="n">
        <f aca="false">Sens!$J$8297+Sens!$J$8302</f>
        <v>66.0744709709759</v>
      </c>
      <c r="K8326" s="38" t="n">
        <f aca="false">Sens!$K$8297+Sens!$K$8302</f>
        <v>72.6819180680735</v>
      </c>
      <c r="L8326" s="38" t="n">
        <f aca="false">Sens!$L$8297+Sens!$L$8302</f>
        <v>79.9501098748808</v>
      </c>
      <c r="M8326" s="38" t="n">
        <f aca="false">Sens!$M$8297+Sens!$M$8302</f>
        <v>87.9451208623689</v>
      </c>
      <c r="N8326" s="38" t="n">
        <f aca="false">Sens!$N$8297+Sens!$N$8302</f>
        <v>14.8075</v>
      </c>
      <c r="O8326" s="38" t="n">
        <f aca="false">Sens!$O$8297+Sens!$O$8302</f>
        <v>19.51</v>
      </c>
    </row>
    <row r="8327" customFormat="false" ht="17.15" hidden="false" customHeight="false" outlineLevel="0" collapsed="false">
      <c r="A8327" s="0" t="s">
        <v>758</v>
      </c>
      <c r="B8327" s="0" t="s">
        <v>86</v>
      </c>
      <c r="C8327" s="38" t="n">
        <f aca="false">Sens!$C$8301+Sens!$C$8306+Sens!$C$8322+Sens!$C$8323-Sens!$C$8326</f>
        <v>19.399</v>
      </c>
      <c r="D8327" s="38" t="n">
        <f aca="false">Sens!$D$8301+Sens!$D$8306+Sens!$D$8322+Sens!$D$8323-Sens!$D$8326</f>
        <v>20.4615</v>
      </c>
      <c r="E8327" s="38" t="n">
        <f aca="false">Sens!$E$8301+Sens!$E$8306+Sens!$E$8322+Sens!$E$8323-Sens!$E$8326</f>
        <v>13.355</v>
      </c>
      <c r="F8327" s="38" t="n">
        <f aca="false">Sens!$F$8301+Sens!$F$8306+Sens!$F$8322+Sens!$F$8323-Sens!$F$8326</f>
        <v>12.7680546411015</v>
      </c>
      <c r="G8327" s="38" t="n">
        <f aca="false">Sens!$G$8301+Sens!$G$8306+Sens!$G$8322+Sens!$G$8323-Sens!$G$8326</f>
        <v>26.1230546411015</v>
      </c>
      <c r="H8327" s="38" t="n">
        <f aca="false">Sens!$H$8301+Sens!$H$8306+Sens!$H$8322+Sens!$H$8323-Sens!$H$8326</f>
        <v>28.4662904769959</v>
      </c>
      <c r="I8327" s="38" t="n">
        <f aca="false">Sens!$I$8301+Sens!$I$8306+Sens!$I$8322+Sens!$I$8323-Sens!$I$8326</f>
        <v>30.7231490427408</v>
      </c>
      <c r="J8327" s="38" t="n">
        <f aca="false">Sens!$J$8301+Sens!$J$8306+Sens!$J$8322+Sens!$J$8323-Sens!$J$8326</f>
        <v>32.9723159380642</v>
      </c>
      <c r="K8327" s="38" t="n">
        <f aca="false">Sens!$K$8301+Sens!$K$8306+Sens!$K$8322+Sens!$K$8323-Sens!$K$8326</f>
        <v>35.3819359626894</v>
      </c>
      <c r="L8327" s="38" t="n">
        <f aca="false">Sens!$L$8301+Sens!$L$8306+Sens!$L$8322+Sens!$L$8323-Sens!$L$8326</f>
        <v>37.0165770259405</v>
      </c>
      <c r="M8327" s="38" t="n">
        <f aca="false">Sens!$M$8301+Sens!$M$8306+Sens!$M$8322+Sens!$M$8323-Sens!$M$8326</f>
        <v>39.4490703930704</v>
      </c>
      <c r="N8327" s="38" t="n">
        <f aca="false">Sens!$N$8301+Sens!$N$8306+Sens!$N$8322+Sens!$N$8323-Sens!$N$8326</f>
        <v>10.6495</v>
      </c>
      <c r="O8327" s="38" t="n">
        <f aca="false">Sens!$O$8301+Sens!$O$8306+Sens!$O$8322+Sens!$O$8323-Sens!$O$8326</f>
        <v>9.81200000000001</v>
      </c>
    </row>
    <row r="8328" customFormat="false" ht="17.15" hidden="false" customHeight="false" outlineLevel="0" collapsed="false">
      <c r="A8328" s="0" t="s">
        <v>759</v>
      </c>
      <c r="B8328" s="0" t="s">
        <v>86</v>
      </c>
      <c r="C8328" s="38" t="n">
        <f aca="false">Sens!$C$8308+Sens!$C$8324-ext_sh*Sens!$C$8243</f>
        <v>51.3470500115664</v>
      </c>
      <c r="D8328" s="38" t="n">
        <f aca="false">Sens!$D$8308+Sens!$D$8324-ext_sh*Sens!$D$8243</f>
        <v>60.2799375433739</v>
      </c>
      <c r="E8328" s="38" t="n">
        <f aca="false">Sens!$E$8308+Sens!$E$8324-ext_sh*Sens!$E$8243</f>
        <v>39.5095167090767</v>
      </c>
      <c r="F8328" s="38" t="n">
        <f aca="false">Sens!$F$8308+Sens!$F$8324-ext_sh*Sens!$F$8243</f>
        <v>37.951394214027</v>
      </c>
      <c r="G8328" s="38" t="n">
        <f aca="false">Sens!$G$8308+Sens!$G$8324-ext_sh*Sens!$G$8243</f>
        <v>77.4609109231037</v>
      </c>
      <c r="H8328" s="38" t="n">
        <f aca="false">Sens!$H$8308+Sens!$H$8324-ext_sh*Sens!$H$8243</f>
        <v>85.1453558128916</v>
      </c>
      <c r="I8328" s="38" t="n">
        <f aca="false">Sens!$I$8308+Sens!$I$8324-ext_sh*Sens!$I$8243</f>
        <v>94.532921967974</v>
      </c>
      <c r="J8328" s="38" t="n">
        <f aca="false">Sens!$J$8308+Sens!$J$8324-ext_sh*Sens!$J$8243</f>
        <v>103.525527532583</v>
      </c>
      <c r="K8328" s="38" t="n">
        <f aca="false">Sens!$K$8308+Sens!$K$8324-ext_sh*Sens!$K$8243</f>
        <v>111.80756973519</v>
      </c>
      <c r="L8328" s="38" t="n">
        <f aca="false">Sens!$L$8308+Sens!$L$8324-ext_sh*Sens!$L$8243</f>
        <v>120.752175314005</v>
      </c>
      <c r="M8328" s="38" t="n">
        <f aca="false">Sens!$M$8308+Sens!$M$8324-ext_sh*Sens!$M$8243</f>
        <v>130.412349339125</v>
      </c>
      <c r="N8328" s="38" t="n">
        <f aca="false">Sens!$N$8308+Sens!$N$8324-ext_sh*Sens!$N$8243</f>
        <v>28.5693781401809</v>
      </c>
      <c r="O8328" s="38" t="n">
        <f aca="false">Sens!$O$8308+Sens!$O$8324-ext_sh*Sens!$O$8243</f>
        <v>31.7105594031931</v>
      </c>
    </row>
    <row r="8329" customFormat="false" ht="17.15" hidden="false" customHeight="false" outlineLevel="0" collapsed="false">
      <c r="A8329" s="0" t="s">
        <v>760</v>
      </c>
      <c r="B8329" s="0" t="s">
        <v>86</v>
      </c>
      <c r="C8329" s="38" t="n">
        <f aca="false">Sens!$C$8246</f>
        <v>1.80694998843362</v>
      </c>
      <c r="D8329" s="38" t="n">
        <f aca="false">Sens!$D$8246</f>
        <v>6.77606245662607</v>
      </c>
      <c r="E8329" s="38" t="n">
        <f aca="false">Sens!$E$8246</f>
        <v>6.62548329092326</v>
      </c>
      <c r="F8329" s="38" t="n">
        <f aca="false">Sens!$F$8246</f>
        <v>11.7200577158706</v>
      </c>
      <c r="G8329" s="38" t="n">
        <f aca="false">Sens!$G$8246</f>
        <v>18.3455410067939</v>
      </c>
      <c r="H8329" s="38" t="n">
        <f aca="false">Sens!$H$8246</f>
        <v>47.5171727060453</v>
      </c>
      <c r="I8329" s="38" t="n">
        <f aca="false">Sens!$I$8246</f>
        <v>80.5539692643667</v>
      </c>
      <c r="J8329" s="38" t="n">
        <f aca="false">Sens!$J$8246</f>
        <v>113.759316834883</v>
      </c>
      <c r="K8329" s="38" t="n">
        <f aca="false">Sens!$K$8246</f>
        <v>142.084411492169</v>
      </c>
      <c r="L8329" s="38" t="n">
        <f aca="false">Sens!$L$8246</f>
        <v>160.69964615804</v>
      </c>
      <c r="M8329" s="38" t="n">
        <f aca="false">Sens!$M$8246</f>
        <v>169.577607141793</v>
      </c>
      <c r="N8329" s="38" t="n">
        <f aca="false">Sens!$N$8246</f>
        <v>2.37162185981912</v>
      </c>
      <c r="O8329" s="38" t="n">
        <f aca="false">Sens!$O$8246</f>
        <v>4.40444059680694</v>
      </c>
    </row>
    <row r="8330" customFormat="false" ht="17.15" hidden="false" customHeight="false" outlineLevel="0" collapsed="false">
      <c r="A8330" s="0" t="s">
        <v>761</v>
      </c>
      <c r="B8330" s="0" t="s">
        <v>86</v>
      </c>
      <c r="C8330" s="38" t="n">
        <f aca="false">Sens!$C$8311+Sens!$C$8325</f>
        <v>100.66</v>
      </c>
      <c r="D8330" s="38" t="n">
        <f aca="false">Sens!$D$8311+Sens!$D$8325</f>
        <v>121.835</v>
      </c>
      <c r="E8330" s="38" t="n">
        <f aca="false">Sens!$E$8311+Sens!$E$8325</f>
        <v>78.016</v>
      </c>
      <c r="F8330" s="38" t="n">
        <f aca="false">Sens!$F$8311+Sens!$F$8325</f>
        <v>85.5181175682064</v>
      </c>
      <c r="G8330" s="38" t="n">
        <f aca="false">Sens!$G$8311+Sens!$G$8325</f>
        <v>163.534117568206</v>
      </c>
      <c r="H8330" s="38" t="n">
        <f aca="false">Sens!$H$8311+Sens!$H$8325</f>
        <v>211.077280189882</v>
      </c>
      <c r="I8330" s="38" t="n">
        <f aca="false">Sens!$I$8311+Sens!$I$8325</f>
        <v>264.10159582283</v>
      </c>
      <c r="J8330" s="38" t="n">
        <f aca="false">Sens!$J$8311+Sens!$J$8325</f>
        <v>316.331631276507</v>
      </c>
      <c r="K8330" s="38" t="n">
        <f aca="false">Sens!$K$8311+Sens!$K$8325</f>
        <v>361.955835258122</v>
      </c>
      <c r="L8330" s="38" t="n">
        <f aca="false">Sens!$L$8311+Sens!$L$8325</f>
        <v>398.418508372866</v>
      </c>
      <c r="M8330" s="38" t="n">
        <f aca="false">Sens!$M$8311+Sens!$M$8325</f>
        <v>427.384147736358</v>
      </c>
      <c r="N8330" s="38" t="n">
        <f aca="false">Sens!$N$8311+Sens!$N$8325</f>
        <v>56.398</v>
      </c>
      <c r="O8330" s="38" t="n">
        <f aca="false">Sens!$O$8311+Sens!$O$8325</f>
        <v>65.437</v>
      </c>
    </row>
    <row r="8331" customFormat="false" ht="17.15" hidden="false" customHeight="false" outlineLevel="0" collapsed="false">
      <c r="A8331" s="1" t="s">
        <v>762</v>
      </c>
    </row>
    <row r="8332" customFormat="false" ht="15" hidden="false" customHeight="false" outlineLevel="0" collapsed="false">
      <c r="A8332" s="5" t="s">
        <v>551</v>
      </c>
      <c r="B8332" s="0" t="s">
        <v>86</v>
      </c>
      <c r="C8332" s="38" t="n">
        <f aca="false">Q!$D$34</f>
        <v>2.406</v>
      </c>
      <c r="D8332" s="38" t="n">
        <f aca="false">Q!$E$34</f>
        <v>2.274</v>
      </c>
      <c r="E8332" s="38" t="n">
        <f aca="false">Q!$P$34</f>
        <v>2.114</v>
      </c>
      <c r="F8332" s="38" t="n">
        <f aca="false">Sens!$F$8370</f>
        <v>3.24888962733561</v>
      </c>
      <c r="G8332" s="38" t="n">
        <f aca="false">Sens!$E$8332+Sens!$F$8332</f>
        <v>5.36288962733561</v>
      </c>
      <c r="H8332" s="38" t="n">
        <f aca="false">Sens!$H$8370</f>
        <v>7.42354172302123</v>
      </c>
      <c r="I8332" s="38" t="n">
        <f aca="false">Sens!$I$8370</f>
        <v>7.84418947693382</v>
      </c>
      <c r="J8332" s="38" t="n">
        <f aca="false">Sens!$J$8370</f>
        <v>8.79561318891235</v>
      </c>
      <c r="K8332" s="38" t="n">
        <f aca="false">Sens!$K$8370</f>
        <v>8.79561318891235</v>
      </c>
      <c r="L8332" s="38" t="n">
        <f aca="false">Sens!$L$8370</f>
        <v>8.79561318891235</v>
      </c>
      <c r="M8332" s="38" t="n">
        <f aca="false">Sens!$M$8370</f>
        <v>8.79561318891235</v>
      </c>
      <c r="N8332" s="38" t="n">
        <f aca="false">Q!$N$34</f>
        <v>1.057</v>
      </c>
      <c r="O8332" s="38" t="n">
        <f aca="false">Q!$O$34</f>
        <v>1.217</v>
      </c>
    </row>
    <row r="8333" customFormat="false" ht="15" hidden="false" customHeight="false" outlineLevel="0" collapsed="false">
      <c r="A8333" s="5" t="s">
        <v>763</v>
      </c>
      <c r="B8333" s="0" t="s">
        <v>86</v>
      </c>
      <c r="F8333" s="38" t="n">
        <f aca="false">Sens!$F$8371</f>
        <v>2.59</v>
      </c>
      <c r="H8333" s="38" t="n">
        <f aca="false">Sens!$H$8371</f>
        <v>4.1153774832261</v>
      </c>
      <c r="I8333" s="38" t="n">
        <f aca="false">Sens!$I$8371</f>
        <v>2.10589651022864</v>
      </c>
      <c r="J8333" s="38" t="n">
        <f aca="false">Sens!$J$8371</f>
        <v>2.10589651022864</v>
      </c>
      <c r="K8333" s="38" t="n">
        <f aca="false">Sens!$K$8371</f>
        <v>3.172800358404</v>
      </c>
      <c r="L8333" s="38" t="n">
        <f aca="false">Sens!$L$8371</f>
        <v>8.31037272592208</v>
      </c>
      <c r="M8333" s="38" t="n">
        <f aca="false">Sens!$M$8371</f>
        <v>15.9256588704093</v>
      </c>
    </row>
    <row r="8334" customFormat="false" ht="17.15" hidden="false" customHeight="false" outlineLevel="0" collapsed="false">
      <c r="A8334" s="5" t="s">
        <v>764</v>
      </c>
      <c r="B8334" s="0" t="s">
        <v>86</v>
      </c>
      <c r="C8334" s="38" t="n">
        <f aca="false">Q!$D$39</f>
        <v>2.427</v>
      </c>
      <c r="D8334" s="38" t="n">
        <f aca="false">Q!$E$39</f>
        <v>19.61</v>
      </c>
      <c r="E8334" s="38" t="n">
        <f aca="false">Q!$P$39</f>
        <v>71.492</v>
      </c>
      <c r="F8334" s="39" t="n">
        <v>0</v>
      </c>
      <c r="G8334" s="38" t="n">
        <f aca="false">Sens!$E$8334+Sens!$F$8334</f>
        <v>71.492</v>
      </c>
      <c r="H8334" s="39" t="n">
        <v>0</v>
      </c>
      <c r="I8334" s="39" t="n">
        <v>0</v>
      </c>
      <c r="J8334" s="39" t="n">
        <v>0</v>
      </c>
      <c r="K8334" s="39" t="n">
        <v>0</v>
      </c>
      <c r="L8334" s="39" t="n">
        <v>0</v>
      </c>
      <c r="M8334" s="39" t="n">
        <v>0</v>
      </c>
      <c r="N8334" s="38" t="n">
        <f aca="false">Q!$N$39</f>
        <v>6.017</v>
      </c>
      <c r="O8334" s="38" t="n">
        <f aca="false">Q!$O$39</f>
        <v>13.593</v>
      </c>
      <c r="P8334" s="5" t="s">
        <v>765</v>
      </c>
    </row>
    <row r="8335" customFormat="false" ht="15" hidden="false" customHeight="false" outlineLevel="0" collapsed="false">
      <c r="A8335" s="5" t="s">
        <v>554</v>
      </c>
      <c r="B8335" s="0" t="s">
        <v>86</v>
      </c>
      <c r="C8335" s="38" t="n">
        <f aca="false">Q!$D$36</f>
        <v>68.614</v>
      </c>
      <c r="D8335" s="38" t="n">
        <f aca="false">Q!$E$36</f>
        <v>97.311</v>
      </c>
      <c r="E8335" s="38" t="n">
        <f aca="false">Q!$P$36</f>
        <v>120.691</v>
      </c>
      <c r="F8335" s="38" t="n">
        <f aca="false">Sens!$F$8311-Sens!$F$8332+Sens!$F$8333+Sens!$F$8334</f>
        <v>55.7063670713938</v>
      </c>
      <c r="G8335" s="38" t="n">
        <f aca="false">Sens!$E$8335+Sens!$F$8335</f>
        <v>176.397367071394</v>
      </c>
      <c r="H8335" s="38" t="n">
        <f aca="false">Sens!$H$8311-Sens!$H$8332+Sens!$H$8333+Sens!$H$8334</f>
        <v>126.207292630471</v>
      </c>
      <c r="I8335" s="38" t="n">
        <f aca="false">Sens!$I$8311-Sens!$I$8332+Sens!$I$8333+Sens!$I$8334</f>
        <v>139.60709411592</v>
      </c>
      <c r="J8335" s="38" t="n">
        <f aca="false">Sens!$J$8311-Sens!$J$8332+Sens!$J$8333+Sens!$J$8334</f>
        <v>157.172425191032</v>
      </c>
      <c r="K8335" s="38" t="n">
        <f aca="false">Sens!$K$8311-Sens!$K$8332+Sens!$K$8333+Sens!$K$8334</f>
        <v>169.941519803795</v>
      </c>
      <c r="L8335" s="38" t="n">
        <f aca="false">Sens!$L$8311-Sens!$L$8332+Sens!$L$8333+Sens!$L$8334</f>
        <v>186.006845694394</v>
      </c>
      <c r="M8335" s="38" t="n">
        <f aca="false">Sens!$M$8311-Sens!$M$8332+Sens!$M$8333+Sens!$M$8334</f>
        <v>205.501711319949</v>
      </c>
      <c r="N8335" s="38" t="n">
        <f aca="false">Q!$N$36</f>
        <v>42.536</v>
      </c>
      <c r="O8335" s="38" t="n">
        <f aca="false">Q!$O$36</f>
        <v>54.775</v>
      </c>
    </row>
    <row r="8336" customFormat="false" ht="15" hidden="false" customHeight="false" outlineLevel="0" collapsed="false">
      <c r="A8336" s="5" t="s">
        <v>555</v>
      </c>
      <c r="B8336" s="0" t="s">
        <v>86</v>
      </c>
      <c r="C8336" s="38" t="n">
        <f aca="false">Q!$D$37</f>
        <v>9.265</v>
      </c>
      <c r="D8336" s="38" t="n">
        <f aca="false">Q!$E$37</f>
        <v>19.087</v>
      </c>
      <c r="E8336" s="38" t="n">
        <f aca="false">Q!$P$37</f>
        <v>27.759</v>
      </c>
      <c r="F8336" s="38" t="n">
        <f aca="false">Sens!$F$8335*tax</f>
        <v>9.669763357865</v>
      </c>
      <c r="G8336" s="38" t="n">
        <f aca="false">Sens!$E$8336+Sens!$F$8336</f>
        <v>37.428763357865</v>
      </c>
      <c r="H8336" s="38" t="n">
        <f aca="false">Sens!$H$8335*tax</f>
        <v>21.9076331473816</v>
      </c>
      <c r="I8336" s="38" t="n">
        <f aca="false">Sens!$I$8335*tax</f>
        <v>24.2336313450491</v>
      </c>
      <c r="J8336" s="38" t="n">
        <f aca="false">Sens!$J$8335*tax</f>
        <v>27.2827010246639</v>
      </c>
      <c r="K8336" s="38" t="n">
        <f aca="false">Sens!$K$8335*tax</f>
        <v>29.4992182683994</v>
      </c>
      <c r="L8336" s="38" t="n">
        <f aca="false">Sens!$L$8335*tax</f>
        <v>32.2879102581316</v>
      </c>
      <c r="M8336" s="38" t="n">
        <f aca="false">Sens!$M$8335*tax</f>
        <v>35.671917279284</v>
      </c>
      <c r="N8336" s="38" t="n">
        <f aca="false">Q!$N$37</f>
        <v>7.231</v>
      </c>
      <c r="O8336" s="38" t="n">
        <f aca="false">Q!$O$37</f>
        <v>11.856</v>
      </c>
    </row>
    <row r="8337" customFormat="false" ht="15" hidden="false" customHeight="false" outlineLevel="0" collapsed="false">
      <c r="A8337" s="3" t="s">
        <v>556</v>
      </c>
      <c r="B8337" s="8" t="s">
        <v>86</v>
      </c>
      <c r="C8337" s="38" t="n">
        <f aca="false">Q!$D$38</f>
        <v>59.248</v>
      </c>
      <c r="D8337" s="38" t="n">
        <f aca="false">Q!$E$38</f>
        <v>77.67</v>
      </c>
      <c r="E8337" s="38" t="n">
        <f aca="false">Q!$P$38</f>
        <v>92.902</v>
      </c>
      <c r="F8337" s="38" t="n">
        <f aca="false">Sens!$F$8335-Sens!$F$8336</f>
        <v>46.0366037135288</v>
      </c>
      <c r="G8337" s="38" t="n">
        <f aca="false">Sens!$E$8337+Sens!$F$8337</f>
        <v>138.938603713529</v>
      </c>
      <c r="H8337" s="38" t="n">
        <f aca="false">Sens!$H$8335-Sens!$H$8336</f>
        <v>104.29965948309</v>
      </c>
      <c r="I8337" s="38" t="n">
        <f aca="false">Sens!$I$8335-Sens!$I$8336</f>
        <v>115.373462770871</v>
      </c>
      <c r="J8337" s="38" t="n">
        <f aca="false">Sens!$J$8335-Sens!$J$8336</f>
        <v>129.889724166368</v>
      </c>
      <c r="K8337" s="38" t="n">
        <f aca="false">Sens!$K$8335-Sens!$K$8336</f>
        <v>140.442301535395</v>
      </c>
      <c r="L8337" s="38" t="n">
        <f aca="false">Sens!$L$8335-Sens!$L$8336</f>
        <v>153.718935436262</v>
      </c>
      <c r="M8337" s="38" t="n">
        <f aca="false">Sens!$M$8335-Sens!$M$8336</f>
        <v>169.829794040665</v>
      </c>
      <c r="N8337" s="38" t="n">
        <f aca="false">Q!$N$38</f>
        <v>35.291</v>
      </c>
      <c r="O8337" s="38" t="n">
        <f aca="false">Q!$O$38</f>
        <v>42.379</v>
      </c>
    </row>
    <row r="8338" customFormat="false" ht="17.15" hidden="false" customHeight="false" outlineLevel="0" collapsed="false">
      <c r="A8338" s="5" t="s">
        <v>559</v>
      </c>
      <c r="B8338" s="5" t="s">
        <v>33</v>
      </c>
      <c r="C8338" s="22" t="n">
        <f aca="false">Q!$D$41</f>
        <v>10.721</v>
      </c>
      <c r="D8338" s="22" t="n">
        <f aca="false">Q!$E$41</f>
        <v>10.827</v>
      </c>
      <c r="E8338" s="22" t="n">
        <f aca="false">(Q!$L$41+Q!$M$41)/2</f>
        <v>10.8885</v>
      </c>
      <c r="F8338" s="22" t="n">
        <f aca="false">Sens!$G$8338</f>
        <v>10.924806</v>
      </c>
      <c r="G8338" s="22" t="n">
        <f aca="false">Q!$M$41*(1+sh_g*0.25)</f>
        <v>10.924806</v>
      </c>
      <c r="H8338" s="22" t="n">
        <f aca="false">Sens!$G$8338*(1+sh_g)</f>
        <v>11.012204448</v>
      </c>
      <c r="I8338" s="22" t="n">
        <f aca="false">Sens!$H$8338*(1+sh_g)</f>
        <v>11.100302083584</v>
      </c>
      <c r="J8338" s="22" t="n">
        <f aca="false">Sens!$I$8338*(1+sh_g)</f>
        <v>11.1891045002527</v>
      </c>
      <c r="K8338" s="22" t="n">
        <f aca="false">Sens!$J$8338*(1+sh_g)</f>
        <v>11.2786173362547</v>
      </c>
      <c r="L8338" s="22" t="n">
        <f aca="false">Sens!$K$8338*(1+sh_g)</f>
        <v>11.3688462749447</v>
      </c>
      <c r="M8338" s="22" t="n">
        <f aca="false">Sens!$L$8338*(1+sh_g)</f>
        <v>11.4597970451443</v>
      </c>
      <c r="P8338" s="5" t="s">
        <v>766</v>
      </c>
    </row>
    <row r="8339" customFormat="false" ht="17.15" hidden="false" customHeight="false" outlineLevel="0" collapsed="false">
      <c r="A8339" s="5" t="s">
        <v>767</v>
      </c>
      <c r="B8339" s="0" t="s">
        <v>86</v>
      </c>
      <c r="C8339" s="38" t="n">
        <f aca="false">Sens!$C$8337+Sens!$C$8313*(1-tax)</f>
        <v>59.248</v>
      </c>
      <c r="D8339" s="38" t="n">
        <f aca="false">Sens!$D$8337+Sens!$D$8313*(1-tax)</f>
        <v>77.67</v>
      </c>
      <c r="E8339" s="38" t="n">
        <f aca="false">Sens!$E$8337+Sens!$E$8313*(1-tax)</f>
        <v>92.902</v>
      </c>
      <c r="F8339" s="38" t="n">
        <f aca="false">Sens!$F$8337+Sens!$F$8313*(1-tax)</f>
        <v>49.1531986731775</v>
      </c>
      <c r="G8339" s="38" t="n">
        <f aca="false">Sens!$G$8337+Sens!$G$8313*(1-tax)</f>
        <v>142.055198673178</v>
      </c>
      <c r="H8339" s="38" t="n">
        <f aca="false">Sens!$H$8337+Sens!$H$8313*(1-tax)</f>
        <v>116.831055438434</v>
      </c>
      <c r="I8339" s="38" t="n">
        <f aca="false">Sens!$I$8337+Sens!$I$8313*(1-tax)</f>
        <v>136.514727845811</v>
      </c>
      <c r="J8339" s="38" t="n">
        <f aca="false">Sens!$J$8337+Sens!$J$8313*(1-tax)</f>
        <v>159.679161110652</v>
      </c>
      <c r="K8339" s="38" t="n">
        <f aca="false">Sens!$K$8337+Sens!$K$8313*(1-tax)</f>
        <v>177.609607232054</v>
      </c>
      <c r="L8339" s="38" t="n">
        <f aca="false">Sens!$L$8337+Sens!$L$8313*(1-tax)</f>
        <v>195.735012776818</v>
      </c>
      <c r="M8339" s="38" t="n">
        <f aca="false">Sens!$M$8337+Sens!$M$8313*(1-tax)</f>
        <v>214.159316231505</v>
      </c>
      <c r="N8339" s="38" t="n">
        <f aca="false">Sens!$N$8337+Sens!$N$8313*(1-tax)</f>
        <v>35.291</v>
      </c>
      <c r="O8339" s="38" t="n">
        <f aca="false">Sens!$O$8337+Sens!$O$8313*(1-tax)</f>
        <v>42.379</v>
      </c>
    </row>
    <row r="8340" customFormat="false" ht="17.15" hidden="false" customHeight="false" outlineLevel="0" collapsed="false">
      <c r="A8340" s="43" t="s">
        <v>768</v>
      </c>
      <c r="B8340" s="14" t="s">
        <v>27</v>
      </c>
      <c r="C8340" s="44" t="n">
        <f aca="false">Sens!$C$8339/Sens!$C$8338</f>
        <v>5.52635015390355</v>
      </c>
      <c r="D8340" s="44" t="n">
        <f aca="false">Sens!$D$8339/Sens!$D$8338</f>
        <v>7.1737323358271</v>
      </c>
      <c r="E8340" s="44" t="n">
        <f aca="false">Sens!$E$8339/Sens!$E$8338</f>
        <v>8.53212104513937</v>
      </c>
      <c r="F8340" s="14"/>
      <c r="G8340" s="44" t="n">
        <f aca="false">Sens!$G$8339/Sens!$G$8338</f>
        <v>13.0029950804781</v>
      </c>
      <c r="H8340" s="44" t="n">
        <f aca="false">Sens!$H$8339/Sens!$H$8338</f>
        <v>10.6092341447268</v>
      </c>
      <c r="I8340" s="44" t="n">
        <f aca="false">Sens!$I$8339/Sens!$I$8338</f>
        <v>12.298289435537</v>
      </c>
      <c r="J8340" s="44" t="n">
        <f aca="false">Sens!$J$8339/Sens!$J$8338</f>
        <v>14.2709509154236</v>
      </c>
      <c r="K8340" s="44" t="n">
        <f aca="false">Sens!$K$8339/Sens!$K$8338</f>
        <v>15.7474628260624</v>
      </c>
      <c r="L8340" s="44" t="n">
        <f aca="false">Sens!$L$8339/Sens!$L$8338</f>
        <v>17.2167877059072</v>
      </c>
      <c r="M8340" s="44" t="n">
        <f aca="false">Sens!$M$8339/Sens!$M$8338</f>
        <v>18.6878803688978</v>
      </c>
      <c r="N8340" s="14"/>
      <c r="O8340" s="14"/>
    </row>
    <row r="8341" customFormat="false" ht="17.15" hidden="false" customHeight="false" outlineLevel="0" collapsed="false">
      <c r="A8341" s="0" t="s">
        <v>769</v>
      </c>
      <c r="B8341" s="0" t="s">
        <v>27</v>
      </c>
      <c r="C8341" s="30" t="n">
        <f aca="false">Sens!$C$8337/Sens!$C$8338</f>
        <v>5.52635015390355</v>
      </c>
      <c r="D8341" s="30" t="n">
        <f aca="false">Sens!$D$8337/Sens!$D$8338</f>
        <v>7.1737323358271</v>
      </c>
      <c r="E8341" s="30" t="n">
        <f aca="false">Sens!$E$8337/Sens!$E$8338</f>
        <v>8.53212104513937</v>
      </c>
      <c r="G8341" s="30" t="n">
        <f aca="false">Sens!$G$8337/Sens!$G$8338</f>
        <v>12.7177181648378</v>
      </c>
      <c r="H8341" s="30" t="n">
        <f aca="false">Sens!$H$8337/Sens!$H$8338</f>
        <v>9.47127888658407</v>
      </c>
      <c r="I8341" s="30" t="n">
        <f aca="false">Sens!$I$8337/Sens!$I$8338</f>
        <v>10.3937227925981</v>
      </c>
      <c r="J8341" s="30" t="n">
        <f aca="false">Sens!$J$8337/Sens!$J$8338</f>
        <v>11.6085897815536</v>
      </c>
      <c r="K8341" s="30" t="n">
        <f aca="false">Sens!$K$8337/Sens!$K$8338</f>
        <v>12.4520849806606</v>
      </c>
      <c r="L8341" s="30" t="n">
        <f aca="false">Sens!$L$8337/Sens!$L$8338</f>
        <v>13.5210672849924</v>
      </c>
      <c r="M8341" s="30" t="n">
        <f aca="false">Sens!$M$8337/Sens!$M$8338</f>
        <v>14.8196162088773</v>
      </c>
    </row>
    <row r="8342" customFormat="false" ht="17.15" hidden="false" customHeight="false" outlineLevel="0" collapsed="false">
      <c r="A8342" s="0" t="s">
        <v>770</v>
      </c>
      <c r="B8342" s="0" t="s">
        <v>27</v>
      </c>
      <c r="C8342" s="30" t="n">
        <f aca="false">(Sens!$C$8337-Sens!$C$8334*(1-tax))/Sens!$C$8338</f>
        <v>5.33926775917445</v>
      </c>
      <c r="D8342" s="30" t="n">
        <f aca="false">(Sens!$D$8337-Sens!$D$8334*(1-tax))/Sens!$D$8338</f>
        <v>5.67691812755503</v>
      </c>
      <c r="E8342" s="30" t="n">
        <f aca="false">(Sens!$E$8337-Sens!$E$8334*(1-tax))/Sens!$E$8338</f>
        <v>3.10602057006846</v>
      </c>
      <c r="G8342" s="30" t="n">
        <f aca="false">(Sens!$G$8337-Sens!$G$8334*(1-tax))/Sens!$G$8338</f>
        <v>7.30965004694081</v>
      </c>
      <c r="H8342" s="30" t="n">
        <f aca="false">(Sens!$H$8337-Sens!$H$8334*(1-tax))/Sens!$H$8338</f>
        <v>9.47127888658407</v>
      </c>
      <c r="I8342" s="30" t="n">
        <f aca="false">(Sens!$I$8337-Sens!$I$8334*(1-tax))/Sens!$I$8338</f>
        <v>10.3937227925981</v>
      </c>
      <c r="J8342" s="30" t="n">
        <f aca="false">(Sens!$J$8337-Sens!$J$8334*(1-tax))/Sens!$J$8338</f>
        <v>11.6085897815536</v>
      </c>
      <c r="K8342" s="30" t="n">
        <f aca="false">(Sens!$K$8337-Sens!$K$8334*(1-tax))/Sens!$K$8338</f>
        <v>12.4520849806606</v>
      </c>
      <c r="L8342" s="30" t="n">
        <f aca="false">(Sens!$L$8337-Sens!$L$8334*(1-tax))/Sens!$L$8338</f>
        <v>13.5210672849924</v>
      </c>
      <c r="M8342" s="30" t="n">
        <f aca="false">(Sens!$M$8337-Sens!$M$8334*(1-tax))/Sens!$M$8338</f>
        <v>14.8196162088773</v>
      </c>
      <c r="P8342" s="5" t="s">
        <v>771</v>
      </c>
    </row>
    <row r="8343" customFormat="false" ht="17.15" hidden="false" customHeight="false" outlineLevel="0" collapsed="false">
      <c r="A8343" s="0" t="s">
        <v>772</v>
      </c>
      <c r="B8343" s="0" t="s">
        <v>52</v>
      </c>
      <c r="H8343" s="13" t="n">
        <f aca="false">Sens!$H$8340/Sens!$G$8340-1</f>
        <v>-0.184093043251635</v>
      </c>
      <c r="I8343" s="13" t="n">
        <f aca="false">Sens!$I$8340/Sens!$H$8340-1</f>
        <v>0.159206147000695</v>
      </c>
      <c r="J8343" s="13" t="n">
        <f aca="false">Sens!$J$8340/Sens!$I$8340-1</f>
        <v>0.160401289157047</v>
      </c>
      <c r="K8343" s="13" t="n">
        <f aca="false">Sens!$K$8340/Sens!$J$8340-1</f>
        <v>0.103462755873053</v>
      </c>
      <c r="L8343" s="13" t="n">
        <f aca="false">Sens!$L$8340/Sens!$K$8340-1</f>
        <v>0.093305499182575</v>
      </c>
      <c r="M8343" s="13" t="n">
        <f aca="false">Sens!$M$8340/Sens!$L$8340-1</f>
        <v>0.0854452461236912</v>
      </c>
    </row>
    <row r="8346" customFormat="false" ht="19.4" hidden="false" customHeight="false" outlineLevel="0" collapsed="false">
      <c r="A8346" s="31" t="s">
        <v>1320</v>
      </c>
    </row>
    <row r="8347" customFormat="false" ht="17.15" hidden="false" customHeight="false" outlineLevel="0" collapsed="false">
      <c r="A8347" s="6" t="s">
        <v>16</v>
      </c>
      <c r="B8347" s="6" t="s">
        <v>17</v>
      </c>
      <c r="C8347" s="20" t="s">
        <v>504</v>
      </c>
      <c r="D8347" s="20" t="s">
        <v>505</v>
      </c>
      <c r="E8347" s="20" t="s">
        <v>587</v>
      </c>
      <c r="F8347" s="20" t="s">
        <v>588</v>
      </c>
      <c r="G8347" s="20" t="s">
        <v>589</v>
      </c>
      <c r="H8347" s="20" t="s">
        <v>590</v>
      </c>
      <c r="I8347" s="20" t="s">
        <v>591</v>
      </c>
      <c r="J8347" s="20" t="s">
        <v>592</v>
      </c>
      <c r="K8347" s="20" t="s">
        <v>593</v>
      </c>
      <c r="L8347" s="20" t="s">
        <v>594</v>
      </c>
      <c r="M8347" s="20" t="s">
        <v>595</v>
      </c>
      <c r="N8347" s="20" t="s">
        <v>596</v>
      </c>
      <c r="O8347" s="20" t="s">
        <v>597</v>
      </c>
      <c r="P8347" s="6" t="s">
        <v>23</v>
      </c>
      <c r="R8347" s="20" t="n">
        <v>2023</v>
      </c>
      <c r="S8347" s="20" t="n">
        <v>2024</v>
      </c>
      <c r="T8347" s="20" t="n">
        <v>2025</v>
      </c>
      <c r="U8347" s="20" t="n">
        <v>2026</v>
      </c>
      <c r="V8347" s="20" t="n">
        <v>2027</v>
      </c>
      <c r="W8347" s="20" t="n">
        <v>2028</v>
      </c>
      <c r="X8347" s="20" t="n">
        <v>2029</v>
      </c>
      <c r="Y8347" s="20" t="n">
        <v>2030</v>
      </c>
      <c r="Z8347" s="20" t="n">
        <v>2031</v>
      </c>
      <c r="AA8347" s="20" t="n">
        <v>2032</v>
      </c>
    </row>
    <row r="8348" customFormat="false" ht="15" hidden="false" customHeight="false" outlineLevel="0" collapsed="false">
      <c r="A8348" s="5" t="s">
        <v>556</v>
      </c>
      <c r="B8348" s="0" t="s">
        <v>86</v>
      </c>
      <c r="C8348" s="38" t="n">
        <f aca="false">Sens!$C$8337</f>
        <v>59.248</v>
      </c>
      <c r="D8348" s="38" t="n">
        <f aca="false">Sens!$D$8337</f>
        <v>77.67</v>
      </c>
      <c r="E8348" s="38" t="n">
        <f aca="false">Sens!$E$8337</f>
        <v>92.902</v>
      </c>
      <c r="F8348" s="38" t="n">
        <f aca="false">Sens!$F$8337</f>
        <v>46.0366037135288</v>
      </c>
      <c r="G8348" s="38" t="n">
        <f aca="false">Sens!$G$8337</f>
        <v>138.938603713529</v>
      </c>
      <c r="H8348" s="38" t="n">
        <f aca="false">Sens!$H$8337</f>
        <v>104.29965948309</v>
      </c>
      <c r="I8348" s="38" t="n">
        <f aca="false">Sens!$I$8337</f>
        <v>115.373462770871</v>
      </c>
      <c r="J8348" s="38" t="n">
        <f aca="false">Sens!$J$8337</f>
        <v>129.889724166368</v>
      </c>
      <c r="K8348" s="38" t="n">
        <f aca="false">Sens!$K$8337</f>
        <v>140.442301535395</v>
      </c>
      <c r="L8348" s="38" t="n">
        <f aca="false">Sens!$L$8337</f>
        <v>153.718935436262</v>
      </c>
      <c r="M8348" s="38" t="n">
        <f aca="false">Sens!$M$8337</f>
        <v>169.829794040665</v>
      </c>
    </row>
    <row r="8349" customFormat="false" ht="17.15" hidden="false" customHeight="false" outlineLevel="0" collapsed="false">
      <c r="A8349" s="5" t="s">
        <v>795</v>
      </c>
      <c r="B8349" s="0" t="s">
        <v>86</v>
      </c>
      <c r="C8349" s="38" t="n">
        <f aca="false">Sens!$C$8325</f>
        <v>32.067</v>
      </c>
      <c r="D8349" s="38" t="n">
        <f aca="false">Sens!$D$8325</f>
        <v>41.86</v>
      </c>
      <c r="E8349" s="38" t="n">
        <f aca="false">Sens!$E$8325</f>
        <v>26.703</v>
      </c>
      <c r="F8349" s="38" t="n">
        <f aca="false">Sens!$F$8325</f>
        <v>29.152860869477</v>
      </c>
      <c r="G8349" s="38" t="n">
        <f aca="false">Sens!$G$8325</f>
        <v>55.855860869477</v>
      </c>
      <c r="H8349" s="38" t="n">
        <f aca="false">Sens!$H$8325</f>
        <v>81.5618233196153</v>
      </c>
      <c r="I8349" s="38" t="n">
        <f aca="false">Sens!$I$8325</f>
        <v>118.756208740204</v>
      </c>
      <c r="J8349" s="38" t="n">
        <f aca="false">Sens!$J$8325</f>
        <v>152.469489406791</v>
      </c>
      <c r="K8349" s="38" t="n">
        <f aca="false">Sens!$K$8325</f>
        <v>186.391502623819</v>
      </c>
      <c r="L8349" s="38" t="n">
        <f aca="false">Sens!$L$8325</f>
        <v>211.926422215482</v>
      </c>
      <c r="M8349" s="38" t="n">
        <f aca="false">Sens!$M$8325</f>
        <v>229.012482097906</v>
      </c>
    </row>
    <row r="8350" customFormat="false" ht="15" hidden="false" customHeight="false" outlineLevel="0" collapsed="false">
      <c r="A8350" s="5" t="s">
        <v>796</v>
      </c>
      <c r="B8350" s="0" t="s">
        <v>86</v>
      </c>
      <c r="C8350" s="38" t="n">
        <f aca="false">Q!$D$48</f>
        <v>22.011</v>
      </c>
      <c r="D8350" s="38" t="n">
        <f aca="false">Q!$E$48</f>
        <v>19.467</v>
      </c>
      <c r="E8350" s="38" t="n">
        <f aca="false">Q!$P$48</f>
        <v>10.07</v>
      </c>
      <c r="F8350" s="38" t="n">
        <f aca="false">sbc_r*Sens!$F$8267</f>
        <v>10.8507035798037</v>
      </c>
      <c r="G8350" s="38" t="n">
        <f aca="false">Sens!$E$8350+Sens!$F$8350</f>
        <v>20.9207035798037</v>
      </c>
      <c r="H8350" s="38" t="n">
        <f aca="false">sbc_r*Sens!$H$8267</f>
        <v>23.46224366345</v>
      </c>
      <c r="I8350" s="38" t="n">
        <f aca="false">sbc_r*Sens!$I$8267</f>
        <v>26.6125957111676</v>
      </c>
      <c r="J8350" s="38" t="n">
        <f aca="false">sbc_r*Sens!$J$8267</f>
        <v>29.6280801413323</v>
      </c>
      <c r="K8350" s="38" t="n">
        <f aca="false">sbc_r*Sens!$K$8267</f>
        <v>32.2712258901105</v>
      </c>
      <c r="L8350" s="38" t="n">
        <f aca="false">sbc_r*Sens!$L$8267</f>
        <v>34.7390505016737</v>
      </c>
      <c r="M8350" s="38" t="n">
        <f aca="false">sbc_r*Sens!$M$8267</f>
        <v>37.0405146906692</v>
      </c>
    </row>
    <row r="8351" customFormat="false" ht="17.15" hidden="false" customHeight="false" outlineLevel="0" collapsed="false">
      <c r="A8351" s="5" t="s">
        <v>797</v>
      </c>
      <c r="B8351" s="0" t="s">
        <v>86</v>
      </c>
      <c r="C8351" s="38" t="n">
        <f aca="false">Q!$D$44-Sens!$C$8348-Sens!$C$8349-Sens!$C$8350</f>
        <v>2.551</v>
      </c>
      <c r="D8351" s="38" t="n">
        <f aca="false">Q!$E$44-Sens!$D$8348-Sens!$D$8349-Sens!$D$8350</f>
        <v>0.51700000000001</v>
      </c>
      <c r="E8351" s="38" t="n">
        <f aca="false">Q!$P$44-Sens!$E$8348-Sens!$E$8349-Sens!$E$8350</f>
        <v>-58.256</v>
      </c>
      <c r="F8351" s="38" t="n">
        <f aca="false">oth_r*Sens!$F$8267</f>
        <v>5.22265251035878</v>
      </c>
      <c r="G8351" s="38" t="n">
        <f aca="false">Sens!$E$8351+Sens!$F$8351</f>
        <v>-53.0333474896412</v>
      </c>
      <c r="H8351" s="38" t="n">
        <f aca="false">oth_r*Sens!$H$8267</f>
        <v>11.2928295263397</v>
      </c>
      <c r="I8351" s="38" t="n">
        <f aca="false">oth_r*Sens!$I$8267</f>
        <v>12.8091546115766</v>
      </c>
      <c r="J8351" s="38" t="n">
        <f aca="false">oth_r*Sens!$J$8267</f>
        <v>14.2605653162668</v>
      </c>
      <c r="K8351" s="38" t="n">
        <f aca="false">oth_r*Sens!$K$8267</f>
        <v>15.5327622460396</v>
      </c>
      <c r="L8351" s="38" t="n">
        <f aca="false">oth_r*Sens!$L$8267</f>
        <v>16.720573737517</v>
      </c>
      <c r="M8351" s="38" t="n">
        <f aca="false">oth_r*Sens!$M$8267</f>
        <v>17.8283127551536</v>
      </c>
      <c r="P8351" s="8" t="s">
        <v>798</v>
      </c>
    </row>
    <row r="8352" customFormat="false" ht="15" hidden="false" customHeight="false" outlineLevel="0" collapsed="false">
      <c r="A8352" s="3" t="s">
        <v>562</v>
      </c>
      <c r="B8352" s="8" t="s">
        <v>86</v>
      </c>
      <c r="C8352" s="38" t="n">
        <f aca="false">Q!$D$44</f>
        <v>115.877</v>
      </c>
      <c r="D8352" s="38" t="n">
        <f aca="false">Q!$E$44</f>
        <v>139.514</v>
      </c>
      <c r="E8352" s="38" t="n">
        <f aca="false">Q!$P$44</f>
        <v>71.419</v>
      </c>
      <c r="F8352" s="38" t="n">
        <f aca="false">Sens!$F$8348+Sens!$F$8349+Sens!$F$8350+Sens!$F$8351</f>
        <v>91.2628206731683</v>
      </c>
      <c r="G8352" s="38" t="n">
        <f aca="false">Sens!$E$8352+Sens!$F$8352</f>
        <v>162.681820673168</v>
      </c>
      <c r="H8352" s="38" t="n">
        <f aca="false">Sens!$H$8348+Sens!$H$8349+Sens!$H$8350+Sens!$H$8351</f>
        <v>220.616555992495</v>
      </c>
      <c r="I8352" s="38" t="n">
        <f aca="false">Sens!$I$8348+Sens!$I$8349+Sens!$I$8350+Sens!$I$8351</f>
        <v>273.55142183382</v>
      </c>
      <c r="J8352" s="38" t="n">
        <f aca="false">Sens!$J$8348+Sens!$J$8349+Sens!$J$8350+Sens!$J$8351</f>
        <v>326.247859030758</v>
      </c>
      <c r="K8352" s="38" t="n">
        <f aca="false">Sens!$K$8348+Sens!$K$8349+Sens!$K$8350+Sens!$K$8351</f>
        <v>374.637792295364</v>
      </c>
      <c r="L8352" s="38" t="n">
        <f aca="false">Sens!$L$8348+Sens!$L$8349+Sens!$L$8350+Sens!$L$8351</f>
        <v>417.104981890935</v>
      </c>
      <c r="M8352" s="38" t="n">
        <f aca="false">Sens!$M$8348+Sens!$M$8349+Sens!$M$8350+Sens!$M$8351</f>
        <v>453.711103584394</v>
      </c>
    </row>
    <row r="8353" customFormat="false" ht="17.15" hidden="false" customHeight="false" outlineLevel="0" collapsed="false">
      <c r="A8353" s="5" t="s">
        <v>799</v>
      </c>
      <c r="B8353" s="0" t="s">
        <v>86</v>
      </c>
      <c r="C8353" s="38" t="n">
        <f aca="false">Sens!$C$8231</f>
        <v>25.2781053077374</v>
      </c>
      <c r="D8353" s="38" t="n">
        <f aca="false">Sens!$D$8231</f>
        <v>69.5686316310026</v>
      </c>
      <c r="E8353" s="38" t="n">
        <f aca="false">Sens!$E$8231</f>
        <v>64.1899206485108</v>
      </c>
      <c r="F8353" s="38" t="n">
        <f aca="false">Sens!$F$8231</f>
        <v>88.7165504612134</v>
      </c>
      <c r="G8353" s="38" t="n">
        <f aca="false">Sens!$G$8231</f>
        <v>152.906471109724</v>
      </c>
      <c r="H8353" s="38" t="n">
        <f aca="false">Sens!$H$8231</f>
        <v>198.57136494475</v>
      </c>
      <c r="I8353" s="38" t="n">
        <f aca="false">Sens!$I$8231</f>
        <v>204.6464699105</v>
      </c>
      <c r="J8353" s="38" t="n">
        <f aca="false">Sens!$J$8231</f>
        <v>209.8832381105</v>
      </c>
      <c r="K8353" s="38" t="n">
        <f aca="false">Sens!$K$8231</f>
        <v>155.238385275201</v>
      </c>
      <c r="L8353" s="38" t="n">
        <f aca="false">Sens!$L$8231</f>
        <v>132.014141639902</v>
      </c>
      <c r="M8353" s="38" t="n">
        <f aca="false">Sens!$M$8231</f>
        <v>132.230981659852</v>
      </c>
    </row>
    <row r="8354" customFormat="false" ht="17.15" hidden="false" customHeight="false" outlineLevel="0" collapsed="false">
      <c r="A8354" s="5" t="s">
        <v>800</v>
      </c>
      <c r="B8354" s="0" t="s">
        <v>86</v>
      </c>
      <c r="C8354" s="38" t="n">
        <f aca="false">cx_awso*Sens!$C$8265</f>
        <v>21.0469989286053</v>
      </c>
      <c r="D8354" s="38" t="n">
        <f aca="false">cx_awso*Sens!$D$8265</f>
        <v>24.0042459822698</v>
      </c>
      <c r="E8354" s="38" t="n">
        <f aca="false">cx_awso*Sens!$E$8265</f>
        <v>14.261729404886</v>
      </c>
      <c r="F8354" s="38" t="n">
        <f aca="false">cx_awso*Sens!$F$8265</f>
        <v>14.3538599588493</v>
      </c>
      <c r="G8354" s="38" t="n">
        <f aca="false">Sens!$E$8354+Sens!$F$8354</f>
        <v>28.6155893637353</v>
      </c>
      <c r="H8354" s="38" t="n">
        <f aca="false">cx_awso*Sens!$H$8265</f>
        <v>32.2034154158406</v>
      </c>
      <c r="I8354" s="38" t="n">
        <f aca="false">cx_awso*Sens!$I$8265</f>
        <v>35.7539519042915</v>
      </c>
      <c r="J8354" s="38" t="n">
        <f aca="false">cx_awso*Sens!$J$8265</f>
        <v>39.1551076091815</v>
      </c>
      <c r="K8354" s="38" t="n">
        <f aca="false">cx_awso*Sens!$K$8265</f>
        <v>42.287516217916</v>
      </c>
      <c r="L8354" s="38" t="n">
        <f aca="false">cx_awso*Sens!$L$8265</f>
        <v>45.6705175153492</v>
      </c>
      <c r="M8354" s="38" t="n">
        <f aca="false">cx_awso*Sens!$M$8265</f>
        <v>49.3241589165772</v>
      </c>
    </row>
    <row r="8355" customFormat="false" ht="17.15" hidden="false" customHeight="false" outlineLevel="0" collapsed="false">
      <c r="A8355" s="5" t="s">
        <v>801</v>
      </c>
      <c r="B8355" s="0" t="s">
        <v>86</v>
      </c>
      <c r="C8355" s="38" t="n">
        <f aca="false">Q!$D$46-Sens!$C$8353-Sens!$C$8354</f>
        <v>31.3328957636573</v>
      </c>
      <c r="D8355" s="38" t="n">
        <f aca="false">Q!$E$46-Sens!$D$8353-Sens!$D$8354</f>
        <v>34.7471223867276</v>
      </c>
      <c r="E8355" s="38" t="n">
        <f aca="false">Q!$P$46-Sens!$E$8353-Sens!$E$8354</f>
        <v>17.8583499466032</v>
      </c>
      <c r="F8355" s="38" t="n">
        <f aca="false">cx_rt*Sens!$F$8194</f>
        <v>20.6195895799373</v>
      </c>
      <c r="G8355" s="38" t="n">
        <f aca="false">Sens!$E$8355+Sens!$F$8355</f>
        <v>38.4779395265405</v>
      </c>
      <c r="H8355" s="38" t="n">
        <f aca="false">cx_rt*Sens!$H$8194</f>
        <v>42.5978994743075</v>
      </c>
      <c r="I8355" s="38" t="n">
        <f aca="false">cx_rt*Sens!$I$8194</f>
        <v>46.5813904136335</v>
      </c>
      <c r="J8355" s="38" t="n">
        <f aca="false">cx_rt*Sens!$J$8194</f>
        <v>50.2781676586844</v>
      </c>
      <c r="K8355" s="38" t="n">
        <f aca="false">cx_rt*Sens!$K$8194</f>
        <v>53.5312440191755</v>
      </c>
      <c r="L8355" s="38" t="n">
        <f aca="false">cx_rt*Sens!$L$8194</f>
        <v>57.0116717051447</v>
      </c>
      <c r="M8355" s="38" t="n">
        <f aca="false">cx_rt*Sens!$M$8194</f>
        <v>60.7365554669226</v>
      </c>
    </row>
    <row r="8356" customFormat="false" ht="15" hidden="false" customHeight="false" outlineLevel="0" collapsed="false">
      <c r="A8356" s="3" t="s">
        <v>802</v>
      </c>
      <c r="B8356" s="8" t="s">
        <v>86</v>
      </c>
      <c r="C8356" s="38" t="n">
        <f aca="false">Q!$D$46</f>
        <v>77.658</v>
      </c>
      <c r="D8356" s="38" t="n">
        <f aca="false">Q!$E$46</f>
        <v>128.32</v>
      </c>
      <c r="E8356" s="38" t="n">
        <f aca="false">Q!$P$46</f>
        <v>96.31</v>
      </c>
      <c r="F8356" s="38" t="n">
        <f aca="false">Sens!$F$8353+Sens!$F$8354+Sens!$F$8355</f>
        <v>123.69</v>
      </c>
      <c r="G8356" s="38" t="n">
        <f aca="false">Sens!$E$8356+Sens!$F$8356</f>
        <v>220</v>
      </c>
      <c r="H8356" s="38" t="n">
        <f aca="false">Sens!$H$8353+Sens!$H$8354+Sens!$H$8355</f>
        <v>273.372679834898</v>
      </c>
      <c r="I8356" s="38" t="n">
        <f aca="false">Sens!$I$8353+Sens!$I$8354+Sens!$I$8355</f>
        <v>286.981812228425</v>
      </c>
      <c r="J8356" s="38" t="n">
        <f aca="false">Sens!$J$8353+Sens!$J$8354+Sens!$J$8355</f>
        <v>299.316513378366</v>
      </c>
      <c r="K8356" s="38" t="n">
        <f aca="false">Sens!$K$8353+Sens!$K$8354+Sens!$K$8355</f>
        <v>251.057145512292</v>
      </c>
      <c r="L8356" s="38" t="n">
        <f aca="false">Sens!$L$8353+Sens!$L$8354+Sens!$L$8355</f>
        <v>234.696330860396</v>
      </c>
      <c r="M8356" s="38" t="n">
        <f aca="false">Sens!$M$8353+Sens!$M$8354+Sens!$M$8355</f>
        <v>242.291696043352</v>
      </c>
    </row>
    <row r="8357" customFormat="false" ht="17.15" hidden="false" customHeight="false" outlineLevel="0" collapsed="false">
      <c r="A8357" s="5" t="s">
        <v>570</v>
      </c>
      <c r="B8357" s="0" t="s">
        <v>86</v>
      </c>
      <c r="C8357" s="38" t="n">
        <f aca="false">Q!$D$50</f>
        <v>2.043</v>
      </c>
      <c r="D8357" s="38" t="n">
        <f aca="false">Q!$E$50</f>
        <v>1.557</v>
      </c>
      <c r="E8357" s="38" t="n">
        <f aca="false">lease_pr/2</f>
        <v>0.8</v>
      </c>
      <c r="F8357" s="38" t="n">
        <f aca="false">lease_pr/2</f>
        <v>0.8</v>
      </c>
      <c r="G8357" s="38" t="n">
        <f aca="false">Sens!$E$8357+Sens!$F$8357</f>
        <v>1.6</v>
      </c>
      <c r="H8357" s="38" t="n">
        <f aca="false">lease_pr</f>
        <v>1.6</v>
      </c>
      <c r="I8357" s="38" t="n">
        <f aca="false">lease_pr</f>
        <v>1.6</v>
      </c>
      <c r="J8357" s="38" t="n">
        <f aca="false">lease_pr</f>
        <v>1.6</v>
      </c>
      <c r="K8357" s="38" t="n">
        <f aca="false">lease_pr</f>
        <v>1.6</v>
      </c>
      <c r="L8357" s="38" t="n">
        <f aca="false">lease_pr</f>
        <v>1.6</v>
      </c>
      <c r="M8357" s="38" t="n">
        <f aca="false">lease_pr</f>
        <v>1.6</v>
      </c>
      <c r="P8357" s="8" t="s">
        <v>803</v>
      </c>
    </row>
    <row r="8358" customFormat="false" ht="15" hidden="false" customHeight="false" outlineLevel="0" collapsed="false">
      <c r="A8358" s="47" t="s">
        <v>804</v>
      </c>
      <c r="B8358" s="14" t="s">
        <v>86</v>
      </c>
      <c r="C8358" s="48" t="n">
        <f aca="false">Sens!$C$8352-Sens!$C$8356-Sens!$C$8357</f>
        <v>36.176</v>
      </c>
      <c r="D8358" s="48" t="n">
        <f aca="false">Sens!$D$8352-Sens!$D$8356-Sens!$D$8357</f>
        <v>9.63700000000002</v>
      </c>
      <c r="E8358" s="48" t="n">
        <f aca="false">Sens!$E$8352-Sens!$E$8356-Sens!$E$8357</f>
        <v>-25.691</v>
      </c>
      <c r="F8358" s="48" t="n">
        <f aca="false">Sens!$F$8352-Sens!$F$8356-Sens!$F$8357</f>
        <v>-33.2271793268317</v>
      </c>
      <c r="G8358" s="48" t="n">
        <f aca="false">Sens!$G$8352-Sens!$G$8356-Sens!$G$8357</f>
        <v>-58.9181793268317</v>
      </c>
      <c r="H8358" s="48" t="n">
        <f aca="false">Sens!$H$8352-Sens!$H$8356-Sens!$H$8357</f>
        <v>-54.3561238424036</v>
      </c>
      <c r="I8358" s="48" t="n">
        <f aca="false">Sens!$I$8352-Sens!$I$8356-Sens!$I$8357</f>
        <v>-15.0303903946055</v>
      </c>
      <c r="J8358" s="48" t="n">
        <f aca="false">Sens!$J$8352-Sens!$J$8356-Sens!$J$8357</f>
        <v>25.3313456523922</v>
      </c>
      <c r="K8358" s="48" t="n">
        <f aca="false">Sens!$K$8352-Sens!$K$8356-Sens!$K$8357</f>
        <v>121.980646783072</v>
      </c>
      <c r="L8358" s="48" t="n">
        <f aca="false">Sens!$L$8352-Sens!$L$8356-Sens!$L$8357</f>
        <v>180.80865103054</v>
      </c>
      <c r="M8358" s="48" t="n">
        <f aca="false">Sens!$M$8352-Sens!$M$8356-Sens!$M$8357</f>
        <v>209.819407541041</v>
      </c>
      <c r="N8358" s="14"/>
      <c r="O8358" s="14"/>
    </row>
    <row r="8359" customFormat="false" ht="17.15" hidden="false" customHeight="false" outlineLevel="0" collapsed="false">
      <c r="A8359" s="5" t="s">
        <v>805</v>
      </c>
      <c r="B8359" s="0" t="s">
        <v>86</v>
      </c>
      <c r="C8359" s="38" t="n">
        <f aca="false">dps*Sens!$C$8338</f>
        <v>0</v>
      </c>
      <c r="D8359" s="38" t="n">
        <f aca="false">dps*Sens!$D$8338</f>
        <v>0</v>
      </c>
      <c r="E8359" s="38" t="n">
        <f aca="false">dps*Sens!$E$8338</f>
        <v>0</v>
      </c>
      <c r="F8359" s="38" t="n">
        <f aca="false">0</f>
        <v>0</v>
      </c>
      <c r="G8359" s="38" t="n">
        <f aca="false">dps*Sens!$G$8338</f>
        <v>0</v>
      </c>
      <c r="H8359" s="38" t="n">
        <f aca="false">dps*Sens!$H$8338</f>
        <v>0</v>
      </c>
      <c r="I8359" s="38" t="n">
        <f aca="false">dps*Sens!$I$8338</f>
        <v>0</v>
      </c>
      <c r="J8359" s="38" t="n">
        <f aca="false">dps*Sens!$J$8338</f>
        <v>0</v>
      </c>
      <c r="K8359" s="38" t="n">
        <f aca="false">dps*Sens!$K$8338</f>
        <v>0</v>
      </c>
      <c r="L8359" s="38" t="n">
        <f aca="false">dps*Sens!$L$8338</f>
        <v>0</v>
      </c>
      <c r="M8359" s="38" t="n">
        <f aca="false">dps*Sens!$M$8338</f>
        <v>0</v>
      </c>
      <c r="P8359" s="8" t="s">
        <v>806</v>
      </c>
    </row>
    <row r="8360" customFormat="false" ht="17.15" hidden="false" customHeight="false" outlineLevel="0" collapsed="false">
      <c r="A8360" s="5" t="s">
        <v>807</v>
      </c>
      <c r="B8360" s="0" t="s">
        <v>86</v>
      </c>
      <c r="C8360" s="38" t="n">
        <f aca="false">0</f>
        <v>0</v>
      </c>
      <c r="D8360" s="38" t="n">
        <f aca="false">0</f>
        <v>0</v>
      </c>
      <c r="E8360" s="38" t="n">
        <f aca="false">0</f>
        <v>0</v>
      </c>
      <c r="F8360" s="38" t="n">
        <f aca="false">0</f>
        <v>0</v>
      </c>
      <c r="G8360" s="38" t="n">
        <f aca="false">0</f>
        <v>0</v>
      </c>
      <c r="H8360" s="38" t="n">
        <f aca="false">0</f>
        <v>0</v>
      </c>
      <c r="I8360" s="38" t="n">
        <f aca="false">0</f>
        <v>0</v>
      </c>
      <c r="J8360" s="38" t="n">
        <f aca="false">0</f>
        <v>0</v>
      </c>
      <c r="K8360" s="38" t="n">
        <f aca="false">0</f>
        <v>0</v>
      </c>
      <c r="L8360" s="38" t="n">
        <f aca="false">0</f>
        <v>0</v>
      </c>
      <c r="M8360" s="38" t="n">
        <f aca="false">0</f>
        <v>0</v>
      </c>
      <c r="P8360" s="8" t="s">
        <v>808</v>
      </c>
    </row>
    <row r="8361" customFormat="false" ht="15" hidden="false" customHeight="false" outlineLevel="0" collapsed="false">
      <c r="A8361" s="3" t="s">
        <v>809</v>
      </c>
      <c r="B8361" s="8" t="s">
        <v>86</v>
      </c>
      <c r="C8361" s="38" t="n">
        <f aca="false">Sens!$C$8358-Sens!$C$8359</f>
        <v>36.176</v>
      </c>
      <c r="D8361" s="38" t="n">
        <f aca="false">Sens!$D$8358-Sens!$D$8359</f>
        <v>9.63700000000002</v>
      </c>
      <c r="E8361" s="38" t="n">
        <f aca="false">Sens!$E$8358-Sens!$E$8359</f>
        <v>-25.691</v>
      </c>
      <c r="F8361" s="38" t="n">
        <f aca="false">Sens!$F$8358-Sens!$F$8359</f>
        <v>-33.2271793268317</v>
      </c>
      <c r="G8361" s="38" t="n">
        <f aca="false">Sens!$G$8358-Sens!$G$8359</f>
        <v>-58.9181793268317</v>
      </c>
      <c r="H8361" s="38" t="n">
        <f aca="false">Sens!$H$8358-Sens!$H$8359</f>
        <v>-54.3561238424036</v>
      </c>
      <c r="I8361" s="38" t="n">
        <f aca="false">Sens!$I$8358-Sens!$I$8359</f>
        <v>-15.0303903946055</v>
      </c>
      <c r="J8361" s="38" t="n">
        <f aca="false">Sens!$J$8358-Sens!$J$8359</f>
        <v>25.3313456523922</v>
      </c>
      <c r="K8361" s="38" t="n">
        <f aca="false">Sens!$K$8358-Sens!$K$8359</f>
        <v>121.980646783072</v>
      </c>
      <c r="L8361" s="38" t="n">
        <f aca="false">Sens!$L$8358-Sens!$L$8359</f>
        <v>180.80865103054</v>
      </c>
      <c r="M8361" s="38" t="n">
        <f aca="false">Sens!$M$8358-Sens!$M$8359</f>
        <v>209.819407541041</v>
      </c>
    </row>
    <row r="8362" customFormat="false" ht="17.15" hidden="false" customHeight="false" outlineLevel="0" collapsed="false">
      <c r="A8362" s="5" t="s">
        <v>810</v>
      </c>
      <c r="B8362" s="0" t="s">
        <v>86</v>
      </c>
      <c r="E8362" s="38" t="n">
        <f aca="false">Q!$P$53</f>
        <v>39.767</v>
      </c>
      <c r="F8362" s="38" t="n">
        <f aca="false">inv_2h26</f>
        <v>21.3</v>
      </c>
      <c r="G8362" s="38" t="n">
        <f aca="false">Sens!$E$8362+Sens!$F$8362</f>
        <v>61.067</v>
      </c>
      <c r="H8362" s="39" t="n">
        <v>0</v>
      </c>
      <c r="I8362" s="39" t="n">
        <v>0</v>
      </c>
      <c r="J8362" s="39" t="n">
        <v>0</v>
      </c>
      <c r="K8362" s="39" t="n">
        <v>0</v>
      </c>
      <c r="L8362" s="39" t="n">
        <v>0</v>
      </c>
      <c r="M8362" s="39" t="n">
        <v>0</v>
      </c>
    </row>
    <row r="8363" customFormat="false" ht="17.15" hidden="false" customHeight="false" outlineLevel="0" collapsed="false">
      <c r="A8363" s="5" t="s">
        <v>811</v>
      </c>
      <c r="B8363" s="0" t="s">
        <v>86</v>
      </c>
      <c r="F8363" s="38" t="n">
        <f aca="false">iss_2h26</f>
        <v>29.249999</v>
      </c>
      <c r="G8363" s="38" t="n">
        <f aca="false">Sens!$F$8363</f>
        <v>29.249999</v>
      </c>
      <c r="H8363" s="39" t="n">
        <v>0</v>
      </c>
      <c r="I8363" s="39" t="n">
        <v>0</v>
      </c>
      <c r="J8363" s="39" t="n">
        <v>0</v>
      </c>
      <c r="K8363" s="39" t="n">
        <v>0</v>
      </c>
      <c r="L8363" s="39" t="n">
        <v>0</v>
      </c>
      <c r="M8363" s="39" t="n">
        <v>0</v>
      </c>
    </row>
    <row r="8364" customFormat="false" ht="17.15" hidden="false" customHeight="false" outlineLevel="0" collapsed="false">
      <c r="A8364" s="5" t="s">
        <v>812</v>
      </c>
      <c r="B8364" s="0" t="s">
        <v>86</v>
      </c>
      <c r="F8364" s="38" t="n">
        <f aca="false">cash_q2</f>
        <v>122.988</v>
      </c>
      <c r="G8364" s="38" t="n">
        <f aca="false">cash_q2</f>
        <v>122.988</v>
      </c>
      <c r="H8364" s="38" t="n">
        <f aca="false">Sens!$G$8367</f>
        <v>97.7108196731683</v>
      </c>
      <c r="I8364" s="38" t="n">
        <f aca="false">Sens!$H$8367</f>
        <v>50</v>
      </c>
      <c r="J8364" s="38" t="n">
        <f aca="false">Sens!$I$8367</f>
        <v>50</v>
      </c>
      <c r="K8364" s="38" t="n">
        <f aca="false">Sens!$J$8367</f>
        <v>75.3313456523922</v>
      </c>
      <c r="L8364" s="38" t="n">
        <f aca="false">Sens!$K$8367</f>
        <v>197.311992435464</v>
      </c>
      <c r="M8364" s="38" t="n">
        <f aca="false">Sens!$L$8367</f>
        <v>378.120643466004</v>
      </c>
    </row>
    <row r="8365" customFormat="false" ht="15" hidden="false" customHeight="false" outlineLevel="0" collapsed="false">
      <c r="A8365" s="5" t="s">
        <v>813</v>
      </c>
      <c r="B8365" s="0" t="s">
        <v>86</v>
      </c>
      <c r="F8365" s="38" t="n">
        <f aca="false">Sens!$F$8364+Sens!$F$8361-Sens!$F$8360-Sens!$F$8362+Sens!$F$8363</f>
        <v>97.7108196731683</v>
      </c>
      <c r="H8365" s="38" t="n">
        <f aca="false">Sens!$H$8364+Sens!$H$8361-Sens!$H$8360-Sens!$H$8362+Sens!$H$8363</f>
        <v>43.3546958307647</v>
      </c>
      <c r="I8365" s="38" t="n">
        <f aca="false">Sens!$I$8364+Sens!$I$8361-Sens!$I$8360-Sens!$I$8362+Sens!$I$8363</f>
        <v>34.9696096053945</v>
      </c>
      <c r="J8365" s="38" t="n">
        <f aca="false">Sens!$J$8364+Sens!$J$8361-Sens!$J$8360-Sens!$J$8362+Sens!$J$8363</f>
        <v>75.3313456523922</v>
      </c>
      <c r="K8365" s="38" t="n">
        <f aca="false">Sens!$K$8364+Sens!$K$8361-Sens!$K$8360-Sens!$K$8362+Sens!$K$8363</f>
        <v>197.311992435464</v>
      </c>
      <c r="L8365" s="38" t="n">
        <f aca="false">Sens!$L$8364+Sens!$L$8361-Sens!$L$8360-Sens!$L$8362+Sens!$L$8363</f>
        <v>378.120643466004</v>
      </c>
      <c r="M8365" s="38" t="n">
        <f aca="false">Sens!$M$8364+Sens!$M$8361-Sens!$M$8360-Sens!$M$8362+Sens!$M$8363</f>
        <v>587.940051007045</v>
      </c>
    </row>
    <row r="8366" customFormat="false" ht="17.15" hidden="false" customHeight="false" outlineLevel="0" collapsed="false">
      <c r="A8366" s="5" t="s">
        <v>814</v>
      </c>
      <c r="B8366" s="0" t="s">
        <v>86</v>
      </c>
      <c r="F8366" s="38" t="n">
        <f aca="false">MAX(0,min_cash-Sens!$F$8365)</f>
        <v>0</v>
      </c>
      <c r="G8366" s="38" t="n">
        <f aca="false">Sens!$F$8366</f>
        <v>0</v>
      </c>
      <c r="H8366" s="38" t="n">
        <f aca="false">MAX(0,min_cash-Sens!$H$8365)</f>
        <v>6.64530416923528</v>
      </c>
      <c r="I8366" s="38" t="n">
        <f aca="false">MAX(0,min_cash-Sens!$I$8365)</f>
        <v>15.0303903946055</v>
      </c>
      <c r="J8366" s="38" t="n">
        <f aca="false">MAX(0,min_cash-Sens!$J$8365)</f>
        <v>0</v>
      </c>
      <c r="K8366" s="38" t="n">
        <f aca="false">MAX(0,min_cash-Sens!$K$8365)</f>
        <v>0</v>
      </c>
      <c r="L8366" s="38" t="n">
        <f aca="false">MAX(0,min_cash-Sens!$L$8365)</f>
        <v>0</v>
      </c>
      <c r="M8366" s="38" t="n">
        <f aca="false">MAX(0,min_cash-Sens!$M$8365)</f>
        <v>0</v>
      </c>
      <c r="P8366" s="5" t="s">
        <v>815</v>
      </c>
    </row>
    <row r="8367" customFormat="false" ht="15" hidden="false" customHeight="false" outlineLevel="0" collapsed="false">
      <c r="A8367" s="5" t="s">
        <v>816</v>
      </c>
      <c r="B8367" s="0" t="s">
        <v>86</v>
      </c>
      <c r="D8367" s="38" t="n">
        <f aca="false">Q!$E$61</f>
        <v>123.029</v>
      </c>
      <c r="E8367" s="38" t="n">
        <f aca="false">Q!$M$61</f>
        <v>122.988</v>
      </c>
      <c r="F8367" s="38" t="n">
        <f aca="false">Sens!$F$8365+Sens!$F$8366</f>
        <v>97.7108196731683</v>
      </c>
      <c r="G8367" s="38" t="n">
        <f aca="false">Sens!$F$8367</f>
        <v>97.7108196731683</v>
      </c>
      <c r="H8367" s="38" t="n">
        <f aca="false">Sens!$H$8365+Sens!$H$8366</f>
        <v>50</v>
      </c>
      <c r="I8367" s="38" t="n">
        <f aca="false">Sens!$I$8365+Sens!$I$8366</f>
        <v>50</v>
      </c>
      <c r="J8367" s="38" t="n">
        <f aca="false">Sens!$J$8365+Sens!$J$8366</f>
        <v>75.3313456523922</v>
      </c>
      <c r="K8367" s="38" t="n">
        <f aca="false">Sens!$K$8365+Sens!$K$8366</f>
        <v>197.311992435464</v>
      </c>
      <c r="L8367" s="38" t="n">
        <f aca="false">Sens!$L$8365+Sens!$L$8366</f>
        <v>378.120643466004</v>
      </c>
      <c r="M8367" s="38" t="n">
        <f aca="false">Sens!$M$8365+Sens!$M$8366</f>
        <v>587.940051007045</v>
      </c>
    </row>
    <row r="8368" customFormat="false" ht="15" hidden="false" customHeight="false" outlineLevel="0" collapsed="false">
      <c r="A8368" s="5" t="s">
        <v>817</v>
      </c>
      <c r="B8368" s="0" t="s">
        <v>86</v>
      </c>
      <c r="D8368" s="38" t="n">
        <f aca="false">Q!$E$62</f>
        <v>68.836</v>
      </c>
      <c r="E8368" s="38" t="n">
        <f aca="false">Q!$M$62</f>
        <v>132.995</v>
      </c>
      <c r="F8368" s="38" t="n">
        <f aca="false">debt_q2+Sens!$F$8363+Sens!$F$8366</f>
        <v>162.244999</v>
      </c>
      <c r="G8368" s="38" t="n">
        <f aca="false">Sens!$F$8368</f>
        <v>162.244999</v>
      </c>
      <c r="H8368" s="38" t="n">
        <f aca="false">Sens!$G$8368+Sens!$H$8366</f>
        <v>168.890303169235</v>
      </c>
      <c r="I8368" s="38" t="n">
        <f aca="false">Sens!$H$8368+Sens!$I$8366</f>
        <v>183.920693563841</v>
      </c>
      <c r="J8368" s="38" t="n">
        <f aca="false">Sens!$I$8368+Sens!$J$8366</f>
        <v>183.920693563841</v>
      </c>
      <c r="K8368" s="38" t="n">
        <f aca="false">Sens!$J$8368+Sens!$K$8366</f>
        <v>183.920693563841</v>
      </c>
      <c r="L8368" s="38" t="n">
        <f aca="false">Sens!$K$8368+Sens!$L$8366</f>
        <v>183.920693563841</v>
      </c>
      <c r="M8368" s="38" t="n">
        <f aca="false">Sens!$L$8368+Sens!$M$8366</f>
        <v>183.920693563841</v>
      </c>
    </row>
    <row r="8369" customFormat="false" ht="15" hidden="false" customHeight="false" outlineLevel="0" collapsed="false">
      <c r="A8369" s="5" t="s">
        <v>818</v>
      </c>
      <c r="B8369" s="0" t="s">
        <v>86</v>
      </c>
      <c r="D8369" s="38" t="n">
        <f aca="false">Sens!$D$8368-Sens!$D$8367</f>
        <v>-54.193</v>
      </c>
      <c r="E8369" s="38" t="n">
        <f aca="false">Sens!$E$8368-Sens!$E$8367</f>
        <v>10.007</v>
      </c>
      <c r="F8369" s="38" t="n">
        <f aca="false">Sens!$F$8368-Sens!$F$8367</f>
        <v>64.5341793268317</v>
      </c>
      <c r="G8369" s="38" t="n">
        <f aca="false">Sens!$G$8368-Sens!$G$8367</f>
        <v>64.5341793268317</v>
      </c>
      <c r="H8369" s="38" t="n">
        <f aca="false">Sens!$H$8368-Sens!$H$8367</f>
        <v>118.890303169235</v>
      </c>
      <c r="I8369" s="38" t="n">
        <f aca="false">Sens!$I$8368-Sens!$I$8367</f>
        <v>133.920693563841</v>
      </c>
      <c r="J8369" s="38" t="n">
        <f aca="false">Sens!$J$8368-Sens!$J$8367</f>
        <v>108.589347911449</v>
      </c>
      <c r="K8369" s="38" t="n">
        <f aca="false">Sens!$K$8368-Sens!$K$8367</f>
        <v>-13.3912988716235</v>
      </c>
      <c r="L8369" s="38" t="n">
        <f aca="false">Sens!$L$8368-Sens!$L$8367</f>
        <v>-194.199949902163</v>
      </c>
      <c r="M8369" s="38" t="n">
        <f aca="false">Sens!$M$8368-Sens!$M$8367</f>
        <v>-404.019357443204</v>
      </c>
    </row>
    <row r="8370" customFormat="false" ht="17.15" hidden="false" customHeight="false" outlineLevel="0" collapsed="false">
      <c r="A8370" s="5" t="s">
        <v>819</v>
      </c>
      <c r="B8370" s="0" t="s">
        <v>86</v>
      </c>
      <c r="F8370" s="38" t="n">
        <f aca="false">debt_q2*kd_book*0.5+iss_2h26*kd_new*iss_t</f>
        <v>3.24888962733561</v>
      </c>
      <c r="H8370" s="38" t="n">
        <f aca="false">debt_q2*kd_book+(Sens!$G$8368-debt_q2)*kd_new</f>
        <v>7.42354172302123</v>
      </c>
      <c r="I8370" s="38" t="n">
        <f aca="false">debt_q2*kd_book+(Sens!$H$8368-debt_q2)*kd_new</f>
        <v>7.84418947693382</v>
      </c>
      <c r="J8370" s="38" t="n">
        <f aca="false">debt_q2*kd_book+(Sens!$I$8368-debt_q2)*kd_new</f>
        <v>8.79561318891235</v>
      </c>
      <c r="K8370" s="38" t="n">
        <f aca="false">debt_q2*kd_book+(Sens!$J$8368-debt_q2)*kd_new</f>
        <v>8.79561318891235</v>
      </c>
      <c r="L8370" s="38" t="n">
        <f aca="false">debt_q2*kd_book+(Sens!$K$8368-debt_q2)*kd_new</f>
        <v>8.79561318891235</v>
      </c>
      <c r="M8370" s="38" t="n">
        <f aca="false">debt_q2*kd_book+(Sens!$L$8368-debt_q2)*kd_new</f>
        <v>8.79561318891235</v>
      </c>
    </row>
    <row r="8371" customFormat="false" ht="17.15" hidden="false" customHeight="false" outlineLevel="0" collapsed="false">
      <c r="A8371" s="5" t="s">
        <v>820</v>
      </c>
      <c r="B8371" s="0" t="s">
        <v>86</v>
      </c>
      <c r="F8371" s="38" t="n">
        <f aca="false">cash_q2*y_cash*0.5</f>
        <v>2.59</v>
      </c>
      <c r="H8371" s="38" t="n">
        <f aca="false">Sens!$G$8367*y_cash</f>
        <v>4.1153774832261</v>
      </c>
      <c r="I8371" s="38" t="n">
        <f aca="false">Sens!$H$8367*y_cash</f>
        <v>2.10589651022864</v>
      </c>
      <c r="J8371" s="38" t="n">
        <f aca="false">Sens!$I$8367*y_cash</f>
        <v>2.10589651022864</v>
      </c>
      <c r="K8371" s="38" t="n">
        <f aca="false">Sens!$J$8367*y_cash</f>
        <v>3.172800358404</v>
      </c>
      <c r="L8371" s="38" t="n">
        <f aca="false">Sens!$K$8367*y_cash</f>
        <v>8.31037272592208</v>
      </c>
      <c r="M8371" s="38" t="n">
        <f aca="false">Sens!$L$8367*y_cash</f>
        <v>15.9256588704093</v>
      </c>
    </row>
    <row r="8372" customFormat="false" ht="17.15" hidden="false" customHeight="false" outlineLevel="0" collapsed="false">
      <c r="A8372" s="47" t="s">
        <v>821</v>
      </c>
      <c r="B8372" s="14" t="s">
        <v>86</v>
      </c>
      <c r="C8372" s="14"/>
      <c r="D8372" s="14"/>
      <c r="E8372" s="14"/>
      <c r="F8372" s="14"/>
      <c r="G8372" s="48" t="n">
        <f aca="false">SUM(Sens!$G$8361:$K$8361)</f>
        <v>19.0072988716234</v>
      </c>
      <c r="H8372" s="14"/>
      <c r="I8372" s="14"/>
      <c r="J8372" s="14"/>
      <c r="K8372" s="14"/>
      <c r="L8372" s="14"/>
      <c r="M8372" s="14"/>
      <c r="N8372" s="14"/>
      <c r="O8372" s="14"/>
    </row>
    <row r="8373" customFormat="false" ht="17.15" hidden="false" customHeight="false" outlineLevel="0" collapsed="false">
      <c r="A8373" s="0" t="s">
        <v>787</v>
      </c>
      <c r="B8373" s="0" t="s">
        <v>86</v>
      </c>
      <c r="G8373" s="38" t="n">
        <f aca="false">SUM(Sens!$G$8366:$K$8366)</f>
        <v>21.6756945638408</v>
      </c>
    </row>
    <row r="8374" customFormat="false" ht="17.15" hidden="false" customHeight="false" outlineLevel="0" collapsed="false">
      <c r="A8374" s="24" t="s">
        <v>824</v>
      </c>
      <c r="B8374" s="25" t="s">
        <v>86</v>
      </c>
      <c r="C8374" s="25"/>
      <c r="D8374" s="25"/>
      <c r="E8374" s="25"/>
      <c r="F8374" s="25"/>
      <c r="G8374" s="41" t="n">
        <f aca="false">Sens!$G$8372-(Sens!$G$8361+Sens!$H$8361+Sens!$I$8361+Sens!$J$8361+Sens!$K$8361)</f>
        <v>0</v>
      </c>
      <c r="H8374" s="25"/>
      <c r="I8374" s="25"/>
      <c r="J8374" s="25"/>
      <c r="K8374" s="25"/>
      <c r="L8374" s="25"/>
      <c r="M8374" s="25"/>
      <c r="N8374" s="25"/>
      <c r="O8374" s="25"/>
    </row>
    <row r="8377" customFormat="false" ht="19.4" hidden="false" customHeight="false" outlineLevel="0" collapsed="false">
      <c r="A8377" s="31" t="s">
        <v>1321</v>
      </c>
    </row>
    <row r="8378" customFormat="false" ht="17.15" hidden="false" customHeight="false" outlineLevel="0" collapsed="false">
      <c r="A8378" s="6" t="s">
        <v>16</v>
      </c>
      <c r="B8378" s="6" t="s">
        <v>17</v>
      </c>
      <c r="C8378" s="20" t="s">
        <v>504</v>
      </c>
      <c r="D8378" s="20" t="s">
        <v>505</v>
      </c>
      <c r="E8378" s="20" t="s">
        <v>587</v>
      </c>
      <c r="F8378" s="20" t="s">
        <v>588</v>
      </c>
      <c r="G8378" s="20" t="s">
        <v>589</v>
      </c>
      <c r="H8378" s="20" t="s">
        <v>590</v>
      </c>
      <c r="I8378" s="20" t="s">
        <v>591</v>
      </c>
      <c r="J8378" s="20" t="s">
        <v>592</v>
      </c>
      <c r="K8378" s="20" t="s">
        <v>593</v>
      </c>
      <c r="L8378" s="20" t="s">
        <v>594</v>
      </c>
      <c r="M8378" s="20" t="s">
        <v>595</v>
      </c>
      <c r="N8378" s="20" t="s">
        <v>596</v>
      </c>
      <c r="O8378" s="20" t="s">
        <v>597</v>
      </c>
      <c r="P8378" s="6" t="s">
        <v>23</v>
      </c>
      <c r="R8378" s="20" t="n">
        <v>2023</v>
      </c>
      <c r="S8378" s="20" t="n">
        <v>2024</v>
      </c>
      <c r="T8378" s="20" t="n">
        <v>2025</v>
      </c>
      <c r="U8378" s="20" t="n">
        <v>2026</v>
      </c>
      <c r="V8378" s="20" t="n">
        <v>2027</v>
      </c>
      <c r="W8378" s="20" t="n">
        <v>2028</v>
      </c>
      <c r="X8378" s="20" t="n">
        <v>2029</v>
      </c>
      <c r="Y8378" s="20" t="n">
        <v>2030</v>
      </c>
      <c r="Z8378" s="20" t="n">
        <v>2031</v>
      </c>
      <c r="AA8378" s="20" t="n">
        <v>2032</v>
      </c>
    </row>
    <row r="8379" customFormat="false" ht="17.15" hidden="false" customHeight="false" outlineLevel="0" collapsed="false">
      <c r="A8379" s="1" t="s">
        <v>926</v>
      </c>
    </row>
    <row r="8380" customFormat="false" ht="17.15" hidden="false" customHeight="false" outlineLevel="0" collapsed="false">
      <c r="A8380" s="0" t="s">
        <v>927</v>
      </c>
      <c r="B8380" s="0" t="s">
        <v>86</v>
      </c>
      <c r="H8380" s="38" t="n">
        <f aca="false">Sens!$H$8314*(1-tax)</f>
        <v>119.56497355468</v>
      </c>
      <c r="I8380" s="38" t="n">
        <f aca="false">Sens!$I$8314*(1-tax)</f>
        <v>141.256941944278</v>
      </c>
      <c r="J8380" s="38" t="n">
        <f aca="false">Sens!$J$8314*(1-tax)</f>
        <v>165.207646486437</v>
      </c>
      <c r="K8380" s="38" t="n">
        <f aca="false">Sens!$K$8314*(1-tax)</f>
        <v>182.2563867591</v>
      </c>
      <c r="L8380" s="38" t="n">
        <f aca="false">Sens!$L$8314*(1-tax)</f>
        <v>196.136023003742</v>
      </c>
      <c r="M8380" s="38" t="n">
        <f aca="false">Sens!$M$8314*(1-tax)</f>
        <v>208.266936154417</v>
      </c>
    </row>
    <row r="8381" customFormat="false" ht="15" hidden="false" customHeight="false" outlineLevel="0" collapsed="false">
      <c r="A8381" s="5" t="s">
        <v>928</v>
      </c>
      <c r="B8381" s="0" t="s">
        <v>86</v>
      </c>
      <c r="H8381" s="38" t="n">
        <f aca="false">Sens!$H$8325</f>
        <v>81.5618233196153</v>
      </c>
      <c r="I8381" s="38" t="n">
        <f aca="false">Sens!$I$8325</f>
        <v>118.756208740204</v>
      </c>
      <c r="J8381" s="38" t="n">
        <f aca="false">Sens!$J$8325</f>
        <v>152.469489406791</v>
      </c>
      <c r="K8381" s="38" t="n">
        <f aca="false">Sens!$K$8325</f>
        <v>186.391502623819</v>
      </c>
      <c r="L8381" s="38" t="n">
        <f aca="false">Sens!$L$8325</f>
        <v>211.926422215482</v>
      </c>
      <c r="M8381" s="38" t="n">
        <f aca="false">Sens!$M$8325</f>
        <v>229.012482097906</v>
      </c>
    </row>
    <row r="8382" customFormat="false" ht="15" hidden="false" customHeight="false" outlineLevel="0" collapsed="false">
      <c r="A8382" s="5" t="s">
        <v>929</v>
      </c>
      <c r="B8382" s="0" t="s">
        <v>86</v>
      </c>
      <c r="H8382" s="38" t="n">
        <f aca="false">Sens!$H$8356</f>
        <v>273.372679834898</v>
      </c>
      <c r="I8382" s="38" t="n">
        <f aca="false">Sens!$I$8356</f>
        <v>286.981812228425</v>
      </c>
      <c r="J8382" s="38" t="n">
        <f aca="false">Sens!$J$8356</f>
        <v>299.316513378366</v>
      </c>
      <c r="K8382" s="38" t="n">
        <f aca="false">Sens!$K$8356</f>
        <v>251.057145512292</v>
      </c>
      <c r="L8382" s="38" t="n">
        <f aca="false">Sens!$L$8356</f>
        <v>234.696330860396</v>
      </c>
      <c r="M8382" s="38" t="n">
        <f aca="false">Sens!$M$8356</f>
        <v>242.291696043352</v>
      </c>
    </row>
    <row r="8383" customFormat="false" ht="15" hidden="false" customHeight="false" outlineLevel="0" collapsed="false">
      <c r="A8383" s="5" t="s">
        <v>930</v>
      </c>
      <c r="B8383" s="0" t="s">
        <v>86</v>
      </c>
      <c r="H8383" s="38" t="n">
        <f aca="false">Sens!$H$8357</f>
        <v>1.6</v>
      </c>
      <c r="I8383" s="38" t="n">
        <f aca="false">Sens!$I$8357</f>
        <v>1.6</v>
      </c>
      <c r="J8383" s="38" t="n">
        <f aca="false">Sens!$J$8357</f>
        <v>1.6</v>
      </c>
      <c r="K8383" s="38" t="n">
        <f aca="false">Sens!$K$8357</f>
        <v>1.6</v>
      </c>
      <c r="L8383" s="38" t="n">
        <f aca="false">Sens!$L$8357</f>
        <v>1.6</v>
      </c>
      <c r="M8383" s="38" t="n">
        <f aca="false">Sens!$M$8357</f>
        <v>1.6</v>
      </c>
    </row>
    <row r="8384" customFormat="false" ht="15" hidden="false" customHeight="false" outlineLevel="0" collapsed="false">
      <c r="A8384" s="5" t="s">
        <v>931</v>
      </c>
      <c r="B8384" s="0" t="s">
        <v>86</v>
      </c>
      <c r="H8384" s="38" t="n">
        <f aca="false">Sens!$H$8351</f>
        <v>11.2928295263397</v>
      </c>
      <c r="I8384" s="38" t="n">
        <f aca="false">Sens!$I$8351</f>
        <v>12.8091546115766</v>
      </c>
      <c r="J8384" s="38" t="n">
        <f aca="false">Sens!$J$8351</f>
        <v>14.2605653162668</v>
      </c>
      <c r="K8384" s="38" t="n">
        <f aca="false">Sens!$K$8351</f>
        <v>15.5327622460396</v>
      </c>
      <c r="L8384" s="38" t="n">
        <f aca="false">Sens!$L$8351</f>
        <v>16.720573737517</v>
      </c>
      <c r="M8384" s="38" t="n">
        <f aca="false">Sens!$M$8351</f>
        <v>17.8283127551536</v>
      </c>
    </row>
    <row r="8385" customFormat="false" ht="17.15" hidden="false" customHeight="false" outlineLevel="0" collapsed="false">
      <c r="A8385" s="1" t="s">
        <v>932</v>
      </c>
      <c r="B8385" s="8" t="s">
        <v>86</v>
      </c>
      <c r="H8385" s="38" t="n">
        <f aca="false">Sens!$H$8380+Sens!$H$8381-Sens!$H$8382-Sens!$H$8383+Sens!$H$8384</f>
        <v>-62.5530534342631</v>
      </c>
      <c r="I8385" s="38" t="n">
        <f aca="false">Sens!$I$8380+Sens!$I$8381-Sens!$I$8382-Sens!$I$8383+Sens!$I$8384</f>
        <v>-15.7595069323669</v>
      </c>
      <c r="J8385" s="38" t="n">
        <f aca="false">Sens!$J$8380+Sens!$J$8381-Sens!$J$8382-Sens!$J$8383+Sens!$J$8384</f>
        <v>31.0211878311291</v>
      </c>
      <c r="K8385" s="38" t="n">
        <f aca="false">Sens!$K$8380+Sens!$K$8381-Sens!$K$8382-Sens!$K$8383+Sens!$K$8384</f>
        <v>131.523506116666</v>
      </c>
      <c r="L8385" s="38" t="n">
        <f aca="false">Sens!$L$8380+Sens!$L$8381-Sens!$L$8382-Sens!$L$8383+Sens!$L$8384</f>
        <v>188.486688096346</v>
      </c>
      <c r="M8385" s="38" t="n">
        <f aca="false">Sens!$M$8380+Sens!$M$8381-Sens!$M$8382-Sens!$M$8383+Sens!$M$8384</f>
        <v>211.216034964125</v>
      </c>
    </row>
    <row r="8386" customFormat="false" ht="15" hidden="false" customHeight="false" outlineLevel="0" collapsed="false">
      <c r="A8386" s="5" t="s">
        <v>933</v>
      </c>
      <c r="B8386" s="0" t="s">
        <v>57</v>
      </c>
      <c r="H8386" s="40" t="n">
        <f aca="false">1/(1+wacc)^(2027-2026-0.5)</f>
        <v>0.947751320380232</v>
      </c>
      <c r="I8386" s="40" t="n">
        <f aca="false">1/(1+wacc)^(2028-2026-0.5)</f>
        <v>0.851301099754987</v>
      </c>
      <c r="J8386" s="40" t="n">
        <f aca="false">1/(1+wacc)^(2029-2026-0.5)</f>
        <v>0.764666370660713</v>
      </c>
      <c r="K8386" s="40" t="n">
        <f aca="false">1/(1+wacc)^(2030-2026-0.5)</f>
        <v>0.686848235703811</v>
      </c>
      <c r="L8386" s="40" t="n">
        <f aca="false">1/(1+wacc)^(2031-2026-0.5)</f>
        <v>0.616949452715975</v>
      </c>
      <c r="M8386" s="40" t="n">
        <f aca="false">1/(1+wacc)^(2032-2026-0.5)</f>
        <v>0.554164089562688</v>
      </c>
    </row>
    <row r="8387" customFormat="false" ht="15" hidden="false" customHeight="false" outlineLevel="0" collapsed="false">
      <c r="A8387" s="5" t="s">
        <v>934</v>
      </c>
      <c r="B8387" s="0" t="s">
        <v>86</v>
      </c>
      <c r="H8387" s="38" t="n">
        <f aca="false">Sens!$H$8385*Sens!$H$8386</f>
        <v>-59.2847389861381</v>
      </c>
      <c r="I8387" s="38" t="n">
        <f aca="false">Sens!$I$8385*Sens!$I$8386</f>
        <v>-13.4160855831203</v>
      </c>
      <c r="J8387" s="38" t="n">
        <f aca="false">Sens!$J$8385*Sens!$J$8386</f>
        <v>23.7208591124138</v>
      </c>
      <c r="K8387" s="38" t="n">
        <f aca="false">Sens!$K$8385*Sens!$K$8386</f>
        <v>90.3366881298116</v>
      </c>
      <c r="L8387" s="38" t="n">
        <f aca="false">Sens!$L$8385*Sens!$L$8386</f>
        <v>116.286759065287</v>
      </c>
      <c r="M8387" s="38" t="n">
        <f aca="false">Sens!$M$8385*Sens!$M$8386</f>
        <v>117.048341716935</v>
      </c>
    </row>
    <row r="8388" customFormat="false" ht="15" hidden="false" customHeight="false" outlineLevel="0" collapsed="false">
      <c r="A8388" s="5" t="s">
        <v>935</v>
      </c>
      <c r="B8388" s="0" t="s">
        <v>86</v>
      </c>
      <c r="C8388" s="38" t="n">
        <f aca="false">SUM(Sens!$H$8387:$M$8387)</f>
        <v>274.691823455189</v>
      </c>
    </row>
    <row r="8389" customFormat="false" ht="17.15" hidden="false" customHeight="false" outlineLevel="0" collapsed="false">
      <c r="A8389" s="5" t="s">
        <v>936</v>
      </c>
      <c r="B8389" s="0" t="s">
        <v>86</v>
      </c>
      <c r="C8389" s="38" t="n">
        <f aca="false">Sens!$M$8380*(1+tg)*(1-tg/ronic)/(wacc-tg)</f>
        <v>1893.37885139876</v>
      </c>
    </row>
    <row r="8390" customFormat="false" ht="15" hidden="false" customHeight="false" outlineLevel="0" collapsed="false">
      <c r="A8390" s="5" t="s">
        <v>937</v>
      </c>
      <c r="B8390" s="0" t="s">
        <v>86</v>
      </c>
      <c r="C8390" s="38" t="n">
        <f aca="false">Sens!$C$8389/(1+wacc)^6</f>
        <v>994.421028636041</v>
      </c>
    </row>
    <row r="8391" customFormat="false" ht="17.15" hidden="false" customHeight="false" outlineLevel="0" collapsed="false">
      <c r="A8391" s="5" t="s">
        <v>938</v>
      </c>
      <c r="B8391" s="0" t="s">
        <v>86</v>
      </c>
      <c r="C8391" s="38" t="n">
        <f aca="false">Sens!$C$8388+Sens!$C$8390</f>
        <v>1269.11285209123</v>
      </c>
    </row>
    <row r="8392" customFormat="false" ht="17.15" hidden="false" customHeight="false" outlineLevel="0" collapsed="false">
      <c r="A8392" s="5" t="s">
        <v>939</v>
      </c>
      <c r="B8392" s="0" t="s">
        <v>52</v>
      </c>
      <c r="C8392" s="13" t="n">
        <f aca="false">Sens!$C$8390/Sens!$C$8391</f>
        <v>0.783556030495984</v>
      </c>
    </row>
    <row r="8393" customFormat="false" ht="17.15" hidden="false" customHeight="false" outlineLevel="0" collapsed="false">
      <c r="A8393" s="5" t="s">
        <v>940</v>
      </c>
      <c r="B8393" s="0" t="s">
        <v>86</v>
      </c>
      <c r="C8393" s="38" t="n">
        <f aca="false">Sens!$G$8369+fin_debt</f>
        <v>89.0551793268317</v>
      </c>
    </row>
    <row r="8394" customFormat="false" ht="17.15" hidden="false" customHeight="false" outlineLevel="0" collapsed="false">
      <c r="A8394" s="5" t="s">
        <v>941</v>
      </c>
      <c r="B8394" s="0" t="s">
        <v>86</v>
      </c>
      <c r="C8394" s="38" t="n">
        <f aca="false">(ant_val*ant_sh+oai_val*oai_sh)*(1-liq_disc)</f>
        <v>178.944</v>
      </c>
    </row>
    <row r="8395" customFormat="false" ht="15" hidden="false" customHeight="false" outlineLevel="0" collapsed="false">
      <c r="A8395" s="5" t="s">
        <v>942</v>
      </c>
      <c r="B8395" s="0" t="s">
        <v>86</v>
      </c>
      <c r="C8395" s="38" t="n">
        <f aca="false">Sens!$C$8391-Sens!$C$8393+Sens!$C$8394</f>
        <v>1359.0016727644</v>
      </c>
    </row>
    <row r="8396" customFormat="false" ht="17.15" hidden="false" customHeight="false" outlineLevel="0" collapsed="false">
      <c r="A8396" s="5" t="s">
        <v>943</v>
      </c>
      <c r="B8396" s="0" t="s">
        <v>27</v>
      </c>
      <c r="C8396" s="30" t="n">
        <f aca="false">Sens!$C$8395/sh_out</f>
        <v>125.993149537868</v>
      </c>
    </row>
    <row r="8397" customFormat="false" ht="17.15" hidden="false" customHeight="false" outlineLevel="0" collapsed="false">
      <c r="A8397" s="1" t="s">
        <v>944</v>
      </c>
      <c r="B8397" s="8" t="s">
        <v>27</v>
      </c>
      <c r="C8397" s="30" t="n">
        <f aca="false">Sens!$C$8396*(1+ke)^tp_yf-dps*tp_yf</f>
        <v>138.008970873001</v>
      </c>
    </row>
    <row r="8398" customFormat="false" ht="17.15" hidden="false" customHeight="false" outlineLevel="0" collapsed="false">
      <c r="A8398" s="3" t="s">
        <v>945</v>
      </c>
    </row>
    <row r="8399" customFormat="false" ht="17.15" hidden="false" customHeight="false" outlineLevel="0" collapsed="false">
      <c r="A8399" s="5" t="s">
        <v>946</v>
      </c>
      <c r="B8399" s="0" t="s">
        <v>86</v>
      </c>
      <c r="C8399" s="38" t="n">
        <f aca="false">(1-tp_yf)*(Sens!$H$8326+sbc_ab*Sens!$H$8350*Sens!$H$8187/Sens!$H$8267)+tp_yf*(Sens!$I$8326+sbc_ab*Sens!$I$8350*Sens!$I$8187/Sens!$I$8267)</f>
        <v>59.634664536349</v>
      </c>
    </row>
    <row r="8400" customFormat="false" ht="15" hidden="false" customHeight="false" outlineLevel="0" collapsed="false">
      <c r="A8400" s="5" t="s">
        <v>947</v>
      </c>
      <c r="B8400" s="0" t="s">
        <v>57</v>
      </c>
      <c r="C8400" s="30" t="n">
        <f aca="false">m_ads*m_x</f>
        <v>9.11</v>
      </c>
    </row>
    <row r="8401" customFormat="false" ht="17.15" hidden="false" customHeight="false" outlineLevel="0" collapsed="false">
      <c r="A8401" s="5" t="s">
        <v>948</v>
      </c>
      <c r="B8401" s="0" t="s">
        <v>86</v>
      </c>
      <c r="C8401" s="38" t="n">
        <f aca="false">Sens!$C$8399*Sens!$C$8400</f>
        <v>543.271793926139</v>
      </c>
    </row>
    <row r="8402" customFormat="false" ht="17.15" hidden="false" customHeight="false" outlineLevel="0" collapsed="false">
      <c r="A8402" s="5" t="s">
        <v>949</v>
      </c>
      <c r="B8402" s="0" t="s">
        <v>86</v>
      </c>
      <c r="C8402" s="38" t="n">
        <f aca="false">(1-tp_yf)*(Sens!$H$8327+sbc_ab*Sens!$H$8350*(Sens!$H$8194-Sens!$H$8187)/Sens!$H$8267+IF(internal_ai_reading=2,1,0)*(1-ext_sh)*Sens!$H$8224)+tp_yf*(Sens!$I$8327+sbc_ab*Sens!$I$8350*(Sens!$I$8194-Sens!$I$8187)/Sens!$I$8267+IF(internal_ai_reading=2,1,0)*(1-ext_sh)*Sens!$I$8224)</f>
        <v>51.6951811103438</v>
      </c>
    </row>
    <row r="8403" customFormat="false" ht="17.15" hidden="false" customHeight="false" outlineLevel="0" collapsed="false">
      <c r="A8403" s="5" t="s">
        <v>950</v>
      </c>
      <c r="B8403" s="0" t="s">
        <v>57</v>
      </c>
      <c r="C8403" s="30" t="n">
        <f aca="false">m_retail*m_x</f>
        <v>17.72</v>
      </c>
    </row>
    <row r="8404" customFormat="false" ht="17.15" hidden="false" customHeight="false" outlineLevel="0" collapsed="false">
      <c r="A8404" s="5" t="s">
        <v>951</v>
      </c>
      <c r="B8404" s="0" t="s">
        <v>86</v>
      </c>
      <c r="C8404" s="38" t="n">
        <f aca="false">Sens!$C$8402*Sens!$C$8403</f>
        <v>916.038609275292</v>
      </c>
    </row>
    <row r="8405" customFormat="false" ht="17.15" hidden="false" customHeight="false" outlineLevel="0" collapsed="false">
      <c r="A8405" s="0" t="s">
        <v>952</v>
      </c>
      <c r="B8405" s="0" t="s">
        <v>86</v>
      </c>
      <c r="C8405" s="38" t="n">
        <f aca="false">(1-tp_yf)*(Sens!$H$8328+sbc_ab*Sens!$H$8350*Sens!$H$8265/Sens!$H$8267)+tp_yf*(Sens!$I$8328+sbc_ab*Sens!$I$8350*Sens!$I$8265/Sens!$I$8267)</f>
        <v>97.2337130506861</v>
      </c>
    </row>
    <row r="8406" customFormat="false" ht="17.15" hidden="false" customHeight="false" outlineLevel="0" collapsed="false">
      <c r="A8406" s="0" t="s">
        <v>953</v>
      </c>
      <c r="B8406" s="0" t="s">
        <v>57</v>
      </c>
      <c r="C8406" s="30" t="n">
        <f aca="false">m_cloud*m_x</f>
        <v>13.82</v>
      </c>
    </row>
    <row r="8407" customFormat="false" ht="17.15" hidden="false" customHeight="false" outlineLevel="0" collapsed="false">
      <c r="A8407" s="0" t="s">
        <v>954</v>
      </c>
      <c r="B8407" s="0" t="s">
        <v>86</v>
      </c>
      <c r="C8407" s="38" t="n">
        <f aca="false">Sens!$C$8405*Sens!$C$8406</f>
        <v>1343.76991436048</v>
      </c>
    </row>
    <row r="8408" customFormat="false" ht="17.15" hidden="false" customHeight="false" outlineLevel="0" collapsed="false">
      <c r="A8408" s="0" t="s">
        <v>955</v>
      </c>
      <c r="B8408" s="0" t="s">
        <v>86</v>
      </c>
      <c r="H8408" s="38" t="n">
        <f aca="false">Sens!$H$8246-tax*Sens!$H$8247-ext_sh*Sens!$H$8231</f>
        <v>-115.41576008619</v>
      </c>
      <c r="I8408" s="38" t="n">
        <f aca="false">Sens!$I$8246-tax*Sens!$I$8247-ext_sh*Sens!$I$8231</f>
        <v>-88.5401912683161</v>
      </c>
      <c r="J8408" s="38" t="n">
        <f aca="false">Sens!$J$8246-tax*Sens!$J$8247-ext_sh*Sens!$J$8231</f>
        <v>-61.2977422866746</v>
      </c>
      <c r="K8408" s="38" t="n">
        <f aca="false">Sens!$K$8246-tax*Sens!$K$8247-ext_sh*Sens!$K$8231</f>
        <v>9.91264760007891</v>
      </c>
      <c r="L8408" s="38" t="n">
        <f aca="false">Sens!$L$8246-tax*Sens!$L$8247-ext_sh*Sens!$L$8231</f>
        <v>46.750156871371</v>
      </c>
      <c r="M8408" s="38" t="n">
        <f aca="false">Sens!$M$8246-tax*Sens!$M$8247-ext_sh*Sens!$M$8231</f>
        <v>55.5634749071557</v>
      </c>
    </row>
    <row r="8409" customFormat="false" ht="17.15" hidden="false" customHeight="false" outlineLevel="0" collapsed="false">
      <c r="A8409" s="5" t="s">
        <v>956</v>
      </c>
      <c r="B8409" s="0" t="s">
        <v>86</v>
      </c>
      <c r="H8409" s="38" t="n">
        <f aca="false">Sens!$H$8408*Sens!$H$8386</f>
        <v>-109.385439014374</v>
      </c>
      <c r="I8409" s="38" t="n">
        <f aca="false">Sens!$I$8408*Sens!$I$8386</f>
        <v>-75.3743621992344</v>
      </c>
      <c r="J8409" s="38" t="n">
        <f aca="false">Sens!$J$8408*Sens!$J$8386</f>
        <v>-46.8723221240472</v>
      </c>
      <c r="K8409" s="38" t="n">
        <f aca="false">Sens!$K$8408*Sens!$K$8386</f>
        <v>6.80848451526782</v>
      </c>
      <c r="L8409" s="38" t="n">
        <f aca="false">Sens!$L$8408*Sens!$L$8386</f>
        <v>28.8424836961783</v>
      </c>
      <c r="M8409" s="38" t="n">
        <f aca="false">Sens!$M$8408*Sens!$M$8386</f>
        <v>30.7912824848632</v>
      </c>
    </row>
    <row r="8410" customFormat="false" ht="17.15" hidden="false" customHeight="false" outlineLevel="0" collapsed="false">
      <c r="A8410" s="5" t="s">
        <v>957</v>
      </c>
      <c r="B8410" s="0" t="s">
        <v>86</v>
      </c>
      <c r="C8410" s="38" t="n">
        <f aca="false">Sens!$M$8247*(1-tax)*(1+tg)*(1-tg/ronic)/(wacc-tg)</f>
        <v>356.180381489473</v>
      </c>
    </row>
    <row r="8411" customFormat="false" ht="17.15" hidden="false" customHeight="false" outlineLevel="0" collapsed="false">
      <c r="A8411" s="0" t="s">
        <v>958</v>
      </c>
      <c r="B8411" s="0" t="s">
        <v>86</v>
      </c>
      <c r="C8411" s="38" t="n">
        <f aca="false">(SUM(Sens!$I$8409:$M$8409)+Sens!$C$8410/(1+wacc)^6)*(1+wacc)^tp_yf</f>
        <v>143.3703803388</v>
      </c>
    </row>
    <row r="8412" customFormat="false" ht="17.15" hidden="false" customHeight="false" outlineLevel="0" collapsed="false">
      <c r="A8412" s="5" t="s">
        <v>959</v>
      </c>
      <c r="B8412" s="0" t="s">
        <v>86</v>
      </c>
      <c r="C8412" s="38" t="n">
        <f aca="false">(1-tp_yf)*(Sens!$H$8329)+tp_yf*(Sens!$I$8329)</f>
        <v>74.6707041238437</v>
      </c>
    </row>
    <row r="8413" customFormat="false" ht="17.15" hidden="false" customHeight="false" outlineLevel="0" collapsed="false">
      <c r="A8413" s="5" t="s">
        <v>960</v>
      </c>
      <c r="B8413" s="0" t="s">
        <v>86</v>
      </c>
      <c r="C8413" s="38" t="n">
        <f aca="false">Sens!$C$8412*m_ai</f>
        <v>448.024224743062</v>
      </c>
    </row>
    <row r="8414" customFormat="false" ht="17.15" hidden="false" customHeight="false" outlineLevel="0" collapsed="false">
      <c r="A8414" s="0" t="s">
        <v>961</v>
      </c>
      <c r="B8414" s="0" t="s">
        <v>86</v>
      </c>
      <c r="C8414" s="38" t="n">
        <f aca="false">IF(ai_leg=1,Sens!$C$8411,Sens!$C$8413)</f>
        <v>143.3703803388</v>
      </c>
    </row>
    <row r="8415" customFormat="false" ht="17.15" hidden="false" customHeight="false" outlineLevel="0" collapsed="false">
      <c r="A8415" s="5" t="s">
        <v>962</v>
      </c>
      <c r="B8415" s="0" t="s">
        <v>86</v>
      </c>
      <c r="C8415" s="38" t="n">
        <f aca="false">Sens!$C$8401+Sens!$C$8404+Sens!$C$8407+Sens!$C$8414</f>
        <v>2946.45069790071</v>
      </c>
    </row>
    <row r="8416" customFormat="false" ht="17.15" hidden="false" customHeight="false" outlineLevel="0" collapsed="false">
      <c r="A8416" s="5" t="s">
        <v>963</v>
      </c>
      <c r="B8416" s="0" t="s">
        <v>86</v>
      </c>
      <c r="C8416" s="38" t="n">
        <f aca="false">Sens!$H$8369+fin_debt</f>
        <v>143.411303169235</v>
      </c>
    </row>
    <row r="8417" customFormat="false" ht="15" hidden="false" customHeight="false" outlineLevel="0" collapsed="false">
      <c r="A8417" s="5" t="s">
        <v>964</v>
      </c>
      <c r="B8417" s="0" t="s">
        <v>86</v>
      </c>
      <c r="C8417" s="38" t="n">
        <f aca="false">Sens!$C$8415-Sens!$C$8416+Sens!$C$8394</f>
        <v>2981.98339473148</v>
      </c>
    </row>
    <row r="8418" customFormat="false" ht="15" hidden="false" customHeight="false" outlineLevel="0" collapsed="false">
      <c r="A8418" s="3" t="s">
        <v>965</v>
      </c>
      <c r="B8418" s="8" t="s">
        <v>27</v>
      </c>
      <c r="C8418" s="30" t="n">
        <f aca="false">Sens!$C$8417/sh_val</f>
        <v>270.344379564487</v>
      </c>
    </row>
    <row r="8419" customFormat="false" ht="17.15" hidden="false" customHeight="false" outlineLevel="0" collapsed="false">
      <c r="A8419" s="47" t="s">
        <v>966</v>
      </c>
      <c r="B8419" s="14" t="s">
        <v>27</v>
      </c>
      <c r="C8419" s="44" t="n">
        <f aca="false">0.3*Sens!$C$8397+(1-0.3)*Sens!$C$8418</f>
        <v>230.643756957041</v>
      </c>
      <c r="D8419" s="14"/>
      <c r="E8419" s="14"/>
      <c r="F8419" s="14"/>
      <c r="G8419" s="14"/>
      <c r="H8419" s="14"/>
      <c r="I8419" s="14"/>
      <c r="J8419" s="14"/>
      <c r="K8419" s="14"/>
      <c r="L8419" s="14"/>
      <c r="M8419" s="14"/>
      <c r="N8419" s="14"/>
      <c r="O8419" s="14"/>
    </row>
    <row r="8420" customFormat="false" ht="17.15" hidden="false" customHeight="false" outlineLevel="0" collapsed="false">
      <c r="A8420" s="5" t="s">
        <v>967</v>
      </c>
      <c r="B8420" s="0" t="s">
        <v>27</v>
      </c>
      <c r="C8420" s="30" t="n">
        <f aca="false">v022_wdcf*Sens!$C$8397+(1-v022_wdcf)*Sens!$C$8418</f>
        <v>210.793445653318</v>
      </c>
    </row>
    <row r="8421" customFormat="false" ht="17.15" hidden="false" customHeight="false" outlineLevel="0" collapsed="false">
      <c r="A8421" s="5" t="s">
        <v>968</v>
      </c>
      <c r="B8421" s="0" t="s">
        <v>27</v>
      </c>
      <c r="C8421" s="30" t="n">
        <f aca="false">(Sens!$C$8417-Sens!$C$8414+Sens!$C$8413)/sh_val</f>
        <v>297.964068759578</v>
      </c>
    </row>
    <row r="8424" customFormat="false" ht="19.4" hidden="false" customHeight="false" outlineLevel="0" collapsed="false">
      <c r="A8424" s="31" t="s">
        <v>1322</v>
      </c>
    </row>
    <row r="8425" customFormat="false" ht="17.15" hidden="false" customHeight="false" outlineLevel="0" collapsed="false">
      <c r="A8425" s="6" t="s">
        <v>16</v>
      </c>
      <c r="B8425" s="6" t="s">
        <v>17</v>
      </c>
      <c r="C8425" s="20" t="s">
        <v>504</v>
      </c>
      <c r="D8425" s="20" t="s">
        <v>505</v>
      </c>
      <c r="E8425" s="20" t="s">
        <v>587</v>
      </c>
      <c r="F8425" s="20" t="s">
        <v>588</v>
      </c>
      <c r="G8425" s="20" t="s">
        <v>589</v>
      </c>
      <c r="H8425" s="20" t="s">
        <v>590</v>
      </c>
      <c r="I8425" s="20" t="s">
        <v>591</v>
      </c>
      <c r="J8425" s="20" t="s">
        <v>592</v>
      </c>
      <c r="K8425" s="20" t="s">
        <v>593</v>
      </c>
      <c r="L8425" s="20" t="s">
        <v>594</v>
      </c>
      <c r="M8425" s="20" t="s">
        <v>595</v>
      </c>
      <c r="N8425" s="20" t="s">
        <v>596</v>
      </c>
      <c r="O8425" s="20" t="s">
        <v>597</v>
      </c>
      <c r="P8425" s="6" t="s">
        <v>23</v>
      </c>
      <c r="R8425" s="20" t="n">
        <v>2023</v>
      </c>
      <c r="S8425" s="20" t="n">
        <v>2024</v>
      </c>
      <c r="T8425" s="20" t="n">
        <v>2025</v>
      </c>
      <c r="U8425" s="20" t="n">
        <v>2026</v>
      </c>
      <c r="V8425" s="20" t="n">
        <v>2027</v>
      </c>
      <c r="W8425" s="20" t="n">
        <v>2028</v>
      </c>
      <c r="X8425" s="20" t="n">
        <v>2029</v>
      </c>
      <c r="Y8425" s="20" t="n">
        <v>2030</v>
      </c>
      <c r="Z8425" s="20" t="n">
        <v>2031</v>
      </c>
      <c r="AA8425" s="20" t="n">
        <v>2032</v>
      </c>
    </row>
    <row r="8426" customFormat="false" ht="17.15" hidden="false" customHeight="false" outlineLevel="0" collapsed="false">
      <c r="A8426" s="1" t="s">
        <v>677</v>
      </c>
    </row>
    <row r="8427" customFormat="false" ht="17.15" hidden="false" customHeight="false" outlineLevel="0" collapsed="false">
      <c r="A8427" s="0" t="s">
        <v>526</v>
      </c>
      <c r="B8427" s="0" t="s">
        <v>86</v>
      </c>
      <c r="C8427" s="38" t="n">
        <f aca="false">Q!$D$10</f>
        <v>247.029</v>
      </c>
      <c r="D8427" s="38" t="n">
        <f aca="false">Q!$E$10</f>
        <v>269.287</v>
      </c>
      <c r="E8427" s="38" t="n">
        <f aca="false">Q!$P$10</f>
        <v>134.686</v>
      </c>
      <c r="F8427" s="38" t="n">
        <f aca="false">Sens!$O$8427*(1+Sens!$F$8428)*Sens!$F$8439</f>
        <v>158.293876822267</v>
      </c>
      <c r="G8427" s="38" t="n">
        <f aca="false">Sens!$E$8427+Sens!$F$8427</f>
        <v>292.979876822267</v>
      </c>
      <c r="H8427" s="38" t="n">
        <f aca="false">Sens!$G$8427*(1+Sens!$H$8428)</f>
        <v>318.184543087396</v>
      </c>
      <c r="I8427" s="38" t="n">
        <f aca="false">Sens!$H$8427*(1+Sens!$I$8428)</f>
        <v>341.736278761793</v>
      </c>
      <c r="J8427" s="38" t="n">
        <f aca="false">Sens!$I$8427*(1+Sens!$J$8428)</f>
        <v>362.927192787048</v>
      </c>
      <c r="K8427" s="38" t="n">
        <f aca="false">Sens!$J$8427*(1+Sens!$K$8428)</f>
        <v>381.0735524264</v>
      </c>
      <c r="L8427" s="38" t="n">
        <f aca="false">Sens!$K$8427*(1+Sens!$L$8428)</f>
        <v>400.12723004772</v>
      </c>
      <c r="M8427" s="38" t="n">
        <f aca="false">Sens!$L$8427*(1+Sens!$M$8428)</f>
        <v>420.133591550106</v>
      </c>
      <c r="N8427" s="38" t="n">
        <f aca="false">Q!$N$10</f>
        <v>118.892</v>
      </c>
      <c r="O8427" s="38" t="n">
        <f aca="false">Q!$O$10</f>
        <v>150.395</v>
      </c>
      <c r="P8427" s="8" t="s">
        <v>678</v>
      </c>
    </row>
    <row r="8428" customFormat="false" ht="17.15" hidden="false" customHeight="false" outlineLevel="0" collapsed="false">
      <c r="A8428" s="0" t="s">
        <v>679</v>
      </c>
      <c r="B8428" s="0" t="s">
        <v>52</v>
      </c>
      <c r="E8428" s="13" t="n">
        <f aca="false">Sens!$E$8427/Sens!$N$8427-1</f>
        <v>0.132843252699929</v>
      </c>
      <c r="F8428" s="13" t="n">
        <f aca="false">Sens!$O$8427/(Q!$F$10+Q!$G$10)-1</f>
        <v>0.0980382135842941</v>
      </c>
      <c r="G8428" s="13" t="n">
        <f aca="false">Sens!$G$8427/Sens!$D$8427-1</f>
        <v>0.0879837378791657</v>
      </c>
      <c r="H8428" s="13" t="n">
        <f aca="false">Sens!$F$8428+(g_os-Sens!$F$8428)*1/4</f>
        <v>0.0860286601882206</v>
      </c>
      <c r="I8428" s="13" t="n">
        <f aca="false">Sens!$F$8428+(g_os-Sens!$F$8428)*2/4</f>
        <v>0.074019106792147</v>
      </c>
      <c r="J8428" s="13" t="n">
        <f aca="false">Sens!$F$8428+(g_os-Sens!$F$8428)*3/4</f>
        <v>0.0620095533960735</v>
      </c>
      <c r="K8428" s="13" t="n">
        <f aca="false">Sens!$F$8428+(g_os-Sens!$F$8428)*4/4</f>
        <v>0.05</v>
      </c>
      <c r="L8428" s="13" t="n">
        <f aca="false">g_os</f>
        <v>0.05</v>
      </c>
      <c r="M8428" s="13" t="n">
        <f aca="false">g_os</f>
        <v>0.05</v>
      </c>
      <c r="P8428" s="8" t="s">
        <v>680</v>
      </c>
    </row>
    <row r="8429" customFormat="false" ht="17.15" hidden="false" customHeight="false" outlineLevel="0" collapsed="false">
      <c r="A8429" s="0" t="s">
        <v>527</v>
      </c>
      <c r="B8429" s="0" t="s">
        <v>86</v>
      </c>
      <c r="C8429" s="38" t="n">
        <f aca="false">Q!$D$11</f>
        <v>21.215</v>
      </c>
      <c r="D8429" s="38" t="n">
        <f aca="false">Q!$E$11</f>
        <v>22.561</v>
      </c>
      <c r="E8429" s="38" t="n">
        <f aca="false">Q!$P$11</f>
        <v>11.579</v>
      </c>
      <c r="F8429" s="38" t="n">
        <f aca="false">Sens!$O$8429*(1+Sens!$F$8430)*Sens!$F$8439</f>
        <v>11.5938724610325</v>
      </c>
      <c r="G8429" s="38" t="n">
        <f aca="false">Sens!$E$8429+Sens!$F$8429</f>
        <v>23.1728724610325</v>
      </c>
      <c r="H8429" s="38" t="n">
        <f aca="false">Sens!$G$8429*(1+Sens!$H$8430)</f>
        <v>24.353392759506</v>
      </c>
      <c r="I8429" s="38" t="n">
        <f aca="false">Sens!$H$8429*(1+Sens!$I$8430)</f>
        <v>25.4240338872015</v>
      </c>
      <c r="J8429" s="38" t="n">
        <f aca="false">Sens!$I$8429*(1+Sens!$J$8430)</f>
        <v>26.3642491017174</v>
      </c>
      <c r="K8429" s="38" t="n">
        <f aca="false">Sens!$J$8429*(1+Sens!$K$8430)</f>
        <v>27.155176574769</v>
      </c>
      <c r="L8429" s="38" t="n">
        <f aca="false">Sens!$K$8429*(1+Sens!$L$8430)</f>
        <v>27.969831872012</v>
      </c>
      <c r="M8429" s="38" t="n">
        <f aca="false">Sens!$L$8429*(1+Sens!$M$8430)</f>
        <v>28.8089268281724</v>
      </c>
      <c r="N8429" s="38" t="n">
        <f aca="false">Q!$N$11</f>
        <v>11.128</v>
      </c>
      <c r="O8429" s="38" t="n">
        <f aca="false">Q!$O$11</f>
        <v>11.433</v>
      </c>
      <c r="P8429" s="8" t="s">
        <v>678</v>
      </c>
    </row>
    <row r="8430" customFormat="false" ht="17.15" hidden="false" customHeight="false" outlineLevel="0" collapsed="false">
      <c r="A8430" s="0" t="s">
        <v>681</v>
      </c>
      <c r="B8430" s="0" t="s">
        <v>52</v>
      </c>
      <c r="E8430" s="13" t="n">
        <f aca="false">Sens!$E$8429/Sens!$N$8429-1</f>
        <v>0.0405283968368082</v>
      </c>
      <c r="F8430" s="13" t="n">
        <f aca="false">Sens!$O$8429/(Q!$F$11+Q!$G$11)-1</f>
        <v>0.0579254187100955</v>
      </c>
      <c r="G8430" s="13" t="n">
        <f aca="false">Sens!$G$8429/Sens!$D$8429-1</f>
        <v>0.0271208040881397</v>
      </c>
      <c r="H8430" s="13" t="n">
        <f aca="false">Sens!$F$8430+(g_ps-Sens!$F$8430)*1/4</f>
        <v>0.0509440640325716</v>
      </c>
      <c r="I8430" s="13" t="n">
        <f aca="false">Sens!$F$8430+(g_ps-Sens!$F$8430)*2/4</f>
        <v>0.0439627093550477</v>
      </c>
      <c r="J8430" s="13" t="n">
        <f aca="false">Sens!$F$8430+(g_ps-Sens!$F$8430)*3/4</f>
        <v>0.0369813546775239</v>
      </c>
      <c r="K8430" s="13" t="n">
        <f aca="false">Sens!$F$8430+(g_ps-Sens!$F$8430)*4/4</f>
        <v>0.03</v>
      </c>
      <c r="L8430" s="13" t="n">
        <f aca="false">g_ps</f>
        <v>0.03</v>
      </c>
      <c r="M8430" s="13" t="n">
        <f aca="false">g_ps</f>
        <v>0.03</v>
      </c>
      <c r="P8430" s="8" t="s">
        <v>682</v>
      </c>
    </row>
    <row r="8431" customFormat="false" ht="17.15" hidden="false" customHeight="false" outlineLevel="0" collapsed="false">
      <c r="A8431" s="0" t="s">
        <v>528</v>
      </c>
      <c r="B8431" s="0" t="s">
        <v>86</v>
      </c>
      <c r="C8431" s="38" t="n">
        <f aca="false">Q!$D$12</f>
        <v>156.146</v>
      </c>
      <c r="D8431" s="38" t="n">
        <f aca="false">Q!$E$12</f>
        <v>172.162</v>
      </c>
      <c r="E8431" s="38" t="n">
        <f aca="false">Q!$P$12</f>
        <v>88.358</v>
      </c>
      <c r="F8431" s="38" t="n">
        <f aca="false">Sens!$O$8431*(1+Sens!$F$8432)*Sens!$F$8439</f>
        <v>102.004388260171</v>
      </c>
      <c r="G8431" s="38" t="n">
        <f aca="false">Sens!$E$8431+Sens!$F$8431</f>
        <v>190.362388260171</v>
      </c>
      <c r="H8431" s="38" t="n">
        <f aca="false">Sens!$G$8431*(1+Sens!$H$8432)</f>
        <v>210.343106588311</v>
      </c>
      <c r="I8431" s="38" t="n">
        <f aca="false">Sens!$H$8431*(1+Sens!$I$8432)</f>
        <v>229.969728494648</v>
      </c>
      <c r="J8431" s="38" t="n">
        <f aca="false">Sens!$I$8431*(1+Sens!$J$8432)</f>
        <v>248.747636972598</v>
      </c>
      <c r="K8431" s="38" t="n">
        <f aca="false">Sens!$J$8431*(1+Sens!$K$8432)</f>
        <v>266.15997156068</v>
      </c>
      <c r="L8431" s="38" t="n">
        <f aca="false">Sens!$K$8431*(1+Sens!$L$8432)</f>
        <v>284.791169569927</v>
      </c>
      <c r="M8431" s="38" t="n">
        <f aca="false">Sens!$L$8431*(1+Sens!$M$8432)</f>
        <v>304.726551439822</v>
      </c>
      <c r="N8431" s="38" t="n">
        <f aca="false">Q!$N$12</f>
        <v>76.86</v>
      </c>
      <c r="O8431" s="38" t="n">
        <f aca="false">Q!$O$12</f>
        <v>95.302</v>
      </c>
      <c r="P8431" s="8" t="s">
        <v>678</v>
      </c>
    </row>
    <row r="8432" customFormat="false" ht="17.15" hidden="false" customHeight="false" outlineLevel="0" collapsed="false">
      <c r="A8432" s="0" t="s">
        <v>683</v>
      </c>
      <c r="B8432" s="0" t="s">
        <v>52</v>
      </c>
      <c r="E8432" s="13" t="n">
        <f aca="false">Sens!$E$8431/Sens!$N$8431-1</f>
        <v>0.1495966692688</v>
      </c>
      <c r="F8432" s="13" t="n">
        <f aca="false">Sens!$O$8431/(Q!$F$12+Q!$G$12)-1</f>
        <v>0.11661530890813</v>
      </c>
      <c r="G8432" s="13" t="n">
        <f aca="false">Sens!$G$8431/Sens!$D$8431-1</f>
        <v>0.105716640490767</v>
      </c>
      <c r="H8432" s="13" t="n">
        <f aca="false">Sens!$F$8432+(g_sp-Sens!$F$8432)*1/4</f>
        <v>0.104961481681098</v>
      </c>
      <c r="I8432" s="13" t="n">
        <f aca="false">Sens!$F$8432+(g_sp-Sens!$F$8432)*2/4</f>
        <v>0.0933076544540651</v>
      </c>
      <c r="J8432" s="13" t="n">
        <f aca="false">Sens!$F$8432+(g_sp-Sens!$F$8432)*3/4</f>
        <v>0.0816538272270325</v>
      </c>
      <c r="K8432" s="13" t="n">
        <f aca="false">Sens!$F$8432+(g_sp-Sens!$F$8432)*4/4</f>
        <v>0.07</v>
      </c>
      <c r="L8432" s="13" t="n">
        <f aca="false">g_sp</f>
        <v>0.07</v>
      </c>
      <c r="M8432" s="13" t="n">
        <f aca="false">g_sp</f>
        <v>0.07</v>
      </c>
      <c r="P8432" s="8" t="s">
        <v>684</v>
      </c>
    </row>
    <row r="8433" customFormat="false" ht="17.15" hidden="false" customHeight="false" outlineLevel="0" collapsed="false">
      <c r="A8433" s="0" t="s">
        <v>529</v>
      </c>
      <c r="B8433" s="0" t="s">
        <v>86</v>
      </c>
      <c r="C8433" s="38" t="n">
        <f aca="false">Q!$D$13</f>
        <v>56.214</v>
      </c>
      <c r="D8433" s="38" t="n">
        <f aca="false">Q!$E$13</f>
        <v>68.635</v>
      </c>
      <c r="E8433" s="38" t="n">
        <f aca="false">Q!$P$13</f>
        <v>37.052</v>
      </c>
      <c r="F8433" s="38" t="n">
        <f aca="false">Sens!$O$8433*(1+Sens!$F$8434)*Sens!$F$8439</f>
        <v>46.1572219944148</v>
      </c>
      <c r="G8433" s="38" t="n">
        <f aca="false">Sens!$E$8433+Sens!$F$8433</f>
        <v>83.2092219944148</v>
      </c>
      <c r="H8433" s="38" t="n">
        <f aca="false">Sens!$G$8433*(1+Sens!$H$8434)</f>
        <v>99.8969223878976</v>
      </c>
      <c r="I8433" s="38" t="n">
        <f aca="false">Sens!$H$8433*(1+Sens!$I$8434)</f>
        <v>116.583111095496</v>
      </c>
      <c r="J8433" s="38" t="n">
        <f aca="false">Sens!$I$8433*(1+Sens!$J$8434)</f>
        <v>132.148941941952</v>
      </c>
      <c r="K8433" s="38" t="n">
        <f aca="false">Sens!$J$8433*(1+Sens!$K$8434)</f>
        <v>145.363836136147</v>
      </c>
      <c r="L8433" s="38" t="n">
        <f aca="false">Sens!$K$8433*(1+Sens!$L$8434)</f>
        <v>159.900219749762</v>
      </c>
      <c r="M8433" s="38" t="n">
        <f aca="false">Sens!$L$8433*(1+Sens!$M$8434)</f>
        <v>175.890241724738</v>
      </c>
      <c r="N8433" s="38" t="n">
        <f aca="false">Q!$N$13</f>
        <v>29.615</v>
      </c>
      <c r="O8433" s="38" t="n">
        <f aca="false">Q!$O$13</f>
        <v>39.02</v>
      </c>
      <c r="P8433" s="8" t="s">
        <v>678</v>
      </c>
    </row>
    <row r="8434" customFormat="false" ht="17.15" hidden="false" customHeight="false" outlineLevel="0" collapsed="false">
      <c r="A8434" s="0" t="s">
        <v>685</v>
      </c>
      <c r="B8434" s="0" t="s">
        <v>52</v>
      </c>
      <c r="E8434" s="13" t="n">
        <f aca="false">Sens!$E$8433/Sens!$N$8433-1</f>
        <v>0.25112274185379</v>
      </c>
      <c r="F8434" s="13" t="n">
        <f aca="false">Sens!$O$8433/(Q!$F$13+Q!$G$13)-1</f>
        <v>0.234068123596572</v>
      </c>
      <c r="G8434" s="13" t="n">
        <f aca="false">Sens!$G$8433/Sens!$D$8433-1</f>
        <v>0.212343876949294</v>
      </c>
      <c r="H8434" s="13" t="n">
        <f aca="false">Sens!$F$8434+(g_ad-Sens!$F$8434)*1/4</f>
        <v>0.200551092697429</v>
      </c>
      <c r="I8434" s="13" t="n">
        <f aca="false">Sens!$F$8434+(g_ad-Sens!$F$8434)*2/4</f>
        <v>0.167034061798286</v>
      </c>
      <c r="J8434" s="13" t="n">
        <f aca="false">Sens!$F$8434+(g_ad-Sens!$F$8434)*3/4</f>
        <v>0.133517030899143</v>
      </c>
      <c r="K8434" s="13" t="n">
        <f aca="false">Sens!$F$8434+(g_ad-Sens!$F$8434)*4/4</f>
        <v>0.1</v>
      </c>
      <c r="L8434" s="13" t="n">
        <f aca="false">g_ad</f>
        <v>0.1</v>
      </c>
      <c r="M8434" s="13" t="n">
        <f aca="false">g_ad</f>
        <v>0.1</v>
      </c>
      <c r="P8434" s="8" t="s">
        <v>686</v>
      </c>
    </row>
    <row r="8435" customFormat="false" ht="17.15" hidden="false" customHeight="false" outlineLevel="0" collapsed="false">
      <c r="A8435" s="0" t="s">
        <v>530</v>
      </c>
      <c r="B8435" s="0" t="s">
        <v>86</v>
      </c>
      <c r="C8435" s="38" t="n">
        <f aca="false">Q!$D$14</f>
        <v>44.374</v>
      </c>
      <c r="D8435" s="38" t="n">
        <f aca="false">Q!$E$14</f>
        <v>49.619</v>
      </c>
      <c r="E8435" s="38" t="n">
        <f aca="false">Q!$P$14</f>
        <v>27.157</v>
      </c>
      <c r="F8435" s="38" t="n">
        <f aca="false">Sens!$O$8435*(1+Sens!$F$8436)*Sens!$F$8439</f>
        <v>27.7764165988154</v>
      </c>
      <c r="G8435" s="38" t="n">
        <f aca="false">Sens!$E$8435+Sens!$F$8435</f>
        <v>54.9334165988154</v>
      </c>
      <c r="H8435" s="38" t="n">
        <f aca="false">Sens!$G$8435*(1+Sens!$H$8436)</f>
        <v>61.1564112561829</v>
      </c>
      <c r="I8435" s="38" t="n">
        <f aca="false">Sens!$H$8435*(1+Sens!$I$8436)</f>
        <v>67.2020282103945</v>
      </c>
      <c r="J8435" s="38" t="n">
        <f aca="false">Sens!$I$8435*(1+Sens!$J$8436)</f>
        <v>72.8757274028885</v>
      </c>
      <c r="K8435" s="38" t="n">
        <f aca="false">Sens!$J$8435*(1+Sens!$K$8436)</f>
        <v>77.9770283210907</v>
      </c>
      <c r="L8435" s="38" t="n">
        <f aca="false">Sens!$K$8435*(1+Sens!$L$8436)</f>
        <v>83.4354203035671</v>
      </c>
      <c r="M8435" s="38" t="n">
        <f aca="false">Sens!$L$8435*(1+Sens!$M$8436)</f>
        <v>89.2758997248168</v>
      </c>
      <c r="N8435" s="38" t="n">
        <f aca="false">Q!$N$14</f>
        <v>23.923</v>
      </c>
      <c r="O8435" s="38" t="n">
        <f aca="false">Q!$O$14</f>
        <v>25.696</v>
      </c>
      <c r="P8435" s="8" t="s">
        <v>678</v>
      </c>
    </row>
    <row r="8436" customFormat="false" ht="17.15" hidden="false" customHeight="false" outlineLevel="0" collapsed="false">
      <c r="A8436" s="0" t="s">
        <v>687</v>
      </c>
      <c r="B8436" s="0" t="s">
        <v>52</v>
      </c>
      <c r="E8436" s="13" t="n">
        <f aca="false">Sens!$E$8435/Sens!$N$8435-1</f>
        <v>0.135183714417088</v>
      </c>
      <c r="F8436" s="13" t="n">
        <f aca="false">Sens!$O$8435/(Q!$F$14+Q!$G$14)-1</f>
        <v>0.127709997366804</v>
      </c>
      <c r="G8436" s="13" t="n">
        <f aca="false">Sens!$G$8435/Sens!$D$8435-1</f>
        <v>0.107104468022641</v>
      </c>
      <c r="H8436" s="13" t="n">
        <f aca="false">Sens!$F$8436+(g_sub-Sens!$F$8436)*1/4</f>
        <v>0.113282498025103</v>
      </c>
      <c r="I8436" s="13" t="n">
        <f aca="false">Sens!$F$8436+(g_sub-Sens!$F$8436)*2/4</f>
        <v>0.0988549986834021</v>
      </c>
      <c r="J8436" s="13" t="n">
        <f aca="false">Sens!$F$8436+(g_sub-Sens!$F$8436)*3/4</f>
        <v>0.084427499341701</v>
      </c>
      <c r="K8436" s="13" t="n">
        <f aca="false">Sens!$F$8436+(g_sub-Sens!$F$8436)*4/4</f>
        <v>0.07</v>
      </c>
      <c r="L8436" s="13" t="n">
        <f aca="false">g_sub</f>
        <v>0.07</v>
      </c>
      <c r="M8436" s="13" t="n">
        <f aca="false">g_sub</f>
        <v>0.07</v>
      </c>
      <c r="P8436" s="8" t="s">
        <v>688</v>
      </c>
    </row>
    <row r="8437" customFormat="false" ht="17.15" hidden="false" customHeight="false" outlineLevel="0" collapsed="false">
      <c r="A8437" s="0" t="s">
        <v>531</v>
      </c>
      <c r="B8437" s="0" t="s">
        <v>86</v>
      </c>
      <c r="C8437" s="38" t="n">
        <f aca="false">Q!$D$15</f>
        <v>5.425</v>
      </c>
      <c r="D8437" s="38" t="n">
        <f aca="false">Q!$E$15</f>
        <v>5.935</v>
      </c>
      <c r="E8437" s="38" t="n">
        <f aca="false">Q!$P$15</f>
        <v>3.474</v>
      </c>
      <c r="F8437" s="38" t="n">
        <f aca="false">Sens!$O$8437*(1+Sens!$F$8438)*Sens!$F$8439</f>
        <v>3.22246550883619</v>
      </c>
      <c r="G8437" s="38" t="n">
        <f aca="false">Sens!$E$8437+Sens!$F$8437</f>
        <v>6.69646550883619</v>
      </c>
      <c r="H8437" s="38" t="n">
        <f aca="false">Sens!$G$8437*(1+Sens!$H$8438)</f>
        <v>7.16251344209196</v>
      </c>
      <c r="I8437" s="38" t="n">
        <f aca="false">Sens!$H$8437*(1+Sens!$I$8438)</f>
        <v>7.61421070299826</v>
      </c>
      <c r="J8437" s="38" t="n">
        <f aca="false">Sens!$I$8437*(1+Sens!$J$8438)</f>
        <v>8.04465753523932</v>
      </c>
      <c r="K8437" s="38" t="n">
        <f aca="false">Sens!$J$8437*(1+Sens!$K$8438)</f>
        <v>8.44689041200128</v>
      </c>
      <c r="L8437" s="38" t="n">
        <f aca="false">Sens!$K$8437*(1+Sens!$L$8438)</f>
        <v>8.86923493260135</v>
      </c>
      <c r="M8437" s="38" t="n">
        <f aca="false">Sens!$L$8437*(1+Sens!$M$8438)</f>
        <v>9.31269667923142</v>
      </c>
      <c r="N8437" s="38" t="n">
        <f aca="false">Q!$N$15</f>
        <v>2.811</v>
      </c>
      <c r="O8437" s="38" t="n">
        <f aca="false">Q!$O$15</f>
        <v>3.124</v>
      </c>
      <c r="P8437" s="8" t="s">
        <v>678</v>
      </c>
    </row>
    <row r="8438" customFormat="false" ht="17.15" hidden="false" customHeight="false" outlineLevel="0" collapsed="false">
      <c r="A8438" s="0" t="s">
        <v>689</v>
      </c>
      <c r="B8438" s="0" t="s">
        <v>52</v>
      </c>
      <c r="E8438" s="13" t="n">
        <f aca="false">Sens!$E$8437/Sens!$N$8437-1</f>
        <v>0.235859124866596</v>
      </c>
      <c r="F8438" s="13" t="n">
        <f aca="false">Sens!$O$8437/(Q!$F$15+Q!$G$15)-1</f>
        <v>0.0761281433000345</v>
      </c>
      <c r="G8438" s="13" t="n">
        <f aca="false">Sens!$G$8437/Sens!$D$8437-1</f>
        <v>0.128300843948811</v>
      </c>
      <c r="H8438" s="13" t="n">
        <f aca="false">Sens!$F$8438+(g_ot-Sens!$F$8438)*1/4</f>
        <v>0.0695961074750259</v>
      </c>
      <c r="I8438" s="13" t="n">
        <f aca="false">Sens!$F$8438+(g_ot-Sens!$F$8438)*2/4</f>
        <v>0.0630640716500172</v>
      </c>
      <c r="J8438" s="13" t="n">
        <f aca="false">Sens!$F$8438+(g_ot-Sens!$F$8438)*3/4</f>
        <v>0.0565320358250086</v>
      </c>
      <c r="K8438" s="13" t="n">
        <f aca="false">Sens!$F$8438+(g_ot-Sens!$F$8438)*4/4</f>
        <v>0.05</v>
      </c>
      <c r="L8438" s="13" t="n">
        <f aca="false">g_ot</f>
        <v>0.05</v>
      </c>
      <c r="M8438" s="13" t="n">
        <f aca="false">g_ot</f>
        <v>0.05</v>
      </c>
      <c r="P8438" s="8" t="s">
        <v>690</v>
      </c>
    </row>
    <row r="8439" customFormat="false" ht="17.15" hidden="false" customHeight="false" outlineLevel="0" collapsed="false">
      <c r="A8439" s="0" t="s">
        <v>691</v>
      </c>
      <c r="B8439" s="0" t="s">
        <v>57</v>
      </c>
      <c r="F8439" s="40" t="n">
        <f aca="false">(g26q3_mid*Q!$O$8/Q!$J$8-Thesis!$F$89-Thesis!$F$93)/(Sens!$O$8427*(1+Sens!$F$8428)+Sens!$O$8429*(1+Sens!$F$8430)+Sens!$O$8431*(1+Sens!$F$8432)+Sens!$O$8433*(1+Sens!$F$8434)+Sens!$O$8435*(1+Sens!$F$8436)+Sens!$O$8437*(1+Sens!$F$8438))</f>
        <v>0.958546670622329</v>
      </c>
      <c r="P8439" s="8" t="s">
        <v>692</v>
      </c>
    </row>
    <row r="8440" customFormat="false" ht="17.15" hidden="false" customHeight="false" outlineLevel="0" collapsed="false">
      <c r="A8440" s="3" t="s">
        <v>693</v>
      </c>
      <c r="B8440" s="8" t="s">
        <v>86</v>
      </c>
      <c r="C8440" s="38" t="n">
        <f aca="false">Sens!$C$8427+Sens!$C$8429+Sens!$C$8431+Sens!$C$8433+Sens!$C$8435+Sens!$C$8437</f>
        <v>530.403</v>
      </c>
      <c r="D8440" s="38" t="n">
        <f aca="false">Sens!$D$8427+Sens!$D$8429+Sens!$D$8431+Sens!$D$8433+Sens!$D$8435+Sens!$D$8437</f>
        <v>588.199</v>
      </c>
      <c r="E8440" s="38" t="n">
        <f aca="false">Sens!$E$8427+Sens!$E$8429+Sens!$E$8431+Sens!$E$8433+Sens!$E$8435+Sens!$E$8437</f>
        <v>302.306</v>
      </c>
      <c r="F8440" s="38" t="n">
        <f aca="false">Sens!$F$8427+Sens!$F$8429+Sens!$F$8431+Sens!$F$8433+Sens!$F$8435+Sens!$F$8437</f>
        <v>349.048241645537</v>
      </c>
      <c r="G8440" s="38" t="n">
        <f aca="false">Sens!$G$8427+Sens!$G$8429+Sens!$G$8431+Sens!$G$8433+Sens!$G$8435+Sens!$G$8437</f>
        <v>651.354241645537</v>
      </c>
      <c r="H8440" s="38" t="n">
        <f aca="false">Sens!$H$8427+Sens!$H$8429+Sens!$H$8431+Sens!$H$8433+Sens!$H$8435+Sens!$H$8437</f>
        <v>721.096889521386</v>
      </c>
      <c r="I8440" s="38" t="n">
        <f aca="false">Sens!$I$8427+Sens!$I$8429+Sens!$I$8431+Sens!$I$8433+Sens!$I$8435+Sens!$I$8437</f>
        <v>788.529391152531</v>
      </c>
      <c r="J8440" s="38" t="n">
        <f aca="false">Sens!$J$8427+Sens!$J$8429+Sens!$J$8431+Sens!$J$8433+Sens!$J$8435+Sens!$J$8437</f>
        <v>851.108405741443</v>
      </c>
      <c r="K8440" s="38" t="n">
        <f aca="false">Sens!$K$8427+Sens!$K$8429+Sens!$K$8431+Sens!$K$8433+Sens!$K$8435+Sens!$K$8437</f>
        <v>906.176455431088</v>
      </c>
      <c r="L8440" s="38" t="n">
        <f aca="false">Sens!$L$8427+Sens!$L$8429+Sens!$L$8431+Sens!$L$8433+Sens!$L$8435+Sens!$L$8437</f>
        <v>965.093106475589</v>
      </c>
      <c r="M8440" s="38" t="n">
        <f aca="false">Sens!$M$8427+Sens!$M$8429+Sens!$M$8431+Sens!$M$8433+Sens!$M$8435+Sens!$M$8437</f>
        <v>1028.14790794689</v>
      </c>
      <c r="N8440" s="38" t="n">
        <f aca="false">Sens!$N$8427+Sens!$N$8429+Sens!$N$8431+Sens!$N$8433+Sens!$N$8435+Sens!$N$8437</f>
        <v>263.229</v>
      </c>
      <c r="O8440" s="38" t="n">
        <f aca="false">Sens!$O$8427+Sens!$O$8429+Sens!$O$8431+Sens!$O$8433+Sens!$O$8435+Sens!$O$8437</f>
        <v>324.97</v>
      </c>
    </row>
    <row r="8441" customFormat="false" ht="17.15" hidden="false" customHeight="false" outlineLevel="0" collapsed="false">
      <c r="A8441" s="5" t="s">
        <v>694</v>
      </c>
      <c r="B8441" s="0" t="s">
        <v>52</v>
      </c>
      <c r="C8441" s="13" t="n">
        <f aca="false">Q!$D$5/(Q!$D$5+Q!$D$6)</f>
        <v>0.730570905519011</v>
      </c>
      <c r="D8441" s="13" t="n">
        <f aca="false">Q!$E$5/(Q!$E$5+Q!$E$6)</f>
        <v>0.724763217890544</v>
      </c>
      <c r="E8441" s="13" t="n">
        <f aca="false">Q!$P$5/(Q!$P$5+Q!$P$6)</f>
        <v>0.728797972914861</v>
      </c>
      <c r="F8441" s="13" t="n">
        <f aca="false">Sens!$O$8441</f>
        <v>0.718066283041511</v>
      </c>
      <c r="G8441" s="13" t="n">
        <f aca="false">Sens!$G$8442/Sens!$G$8440</f>
        <v>0.723047066202847</v>
      </c>
      <c r="H8441" s="13" t="n">
        <f aca="false">Sens!$G$8441</f>
        <v>0.723047066202847</v>
      </c>
      <c r="I8441" s="13" t="n">
        <f aca="false">Sens!$G$8441</f>
        <v>0.723047066202847</v>
      </c>
      <c r="J8441" s="13" t="n">
        <f aca="false">Sens!$G$8441</f>
        <v>0.723047066202847</v>
      </c>
      <c r="K8441" s="13" t="n">
        <f aca="false">Sens!$G$8441</f>
        <v>0.723047066202847</v>
      </c>
      <c r="L8441" s="13" t="n">
        <f aca="false">Sens!$G$8441</f>
        <v>0.723047066202847</v>
      </c>
      <c r="M8441" s="13" t="n">
        <f aca="false">Sens!$G$8441</f>
        <v>0.723047066202847</v>
      </c>
      <c r="N8441" s="13" t="n">
        <f aca="false">Q!$N$5/(Q!$N$5+Q!$N$6)</f>
        <v>0.733030935041352</v>
      </c>
      <c r="O8441" s="13" t="n">
        <f aca="false">Q!$O$5/(Q!$O$5+Q!$O$6)</f>
        <v>0.718066283041511</v>
      </c>
      <c r="P8441" s="8" t="s">
        <v>695</v>
      </c>
    </row>
    <row r="8442" customFormat="false" ht="17.15" hidden="false" customHeight="false" outlineLevel="0" collapsed="false">
      <c r="A8442" s="1" t="s">
        <v>519</v>
      </c>
      <c r="B8442" s="8" t="s">
        <v>86</v>
      </c>
      <c r="C8442" s="38" t="n">
        <f aca="false">Q!$D$5</f>
        <v>387.497</v>
      </c>
      <c r="D8442" s="38" t="n">
        <f aca="false">Q!$E$5</f>
        <v>426.305</v>
      </c>
      <c r="E8442" s="38" t="n">
        <f aca="false">Q!$P$5</f>
        <v>220.32</v>
      </c>
      <c r="F8442" s="38" t="n">
        <f aca="false">Sens!$F$8440*Sens!$F$8441</f>
        <v>250.639773480586</v>
      </c>
      <c r="G8442" s="38" t="n">
        <f aca="false">Sens!$E$8442+Sens!$F$8442</f>
        <v>470.959773480586</v>
      </c>
      <c r="H8442" s="38" t="n">
        <f aca="false">Sens!$H$8440*Sens!$H$8441</f>
        <v>521.386990416437</v>
      </c>
      <c r="I8442" s="38" t="n">
        <f aca="false">Sens!$I$8440*Sens!$I$8441</f>
        <v>570.143862887555</v>
      </c>
      <c r="J8442" s="38" t="n">
        <f aca="false">Sens!$J$8440*Sens!$J$8441</f>
        <v>615.391435791933</v>
      </c>
      <c r="K8442" s="38" t="n">
        <f aca="false">Sens!$K$8440*Sens!$K$8441</f>
        <v>655.208227561543</v>
      </c>
      <c r="L8442" s="38" t="n">
        <f aca="false">Sens!$L$8440*Sens!$L$8441</f>
        <v>697.807739249767</v>
      </c>
      <c r="M8442" s="38" t="n">
        <f aca="false">Sens!$M$8440*Sens!$M$8441</f>
        <v>743.399328463592</v>
      </c>
      <c r="N8442" s="38" t="n">
        <f aca="false">Q!$N$5</f>
        <v>192.955</v>
      </c>
      <c r="O8442" s="38" t="n">
        <f aca="false">Q!$O$5</f>
        <v>233.35</v>
      </c>
      <c r="P8442" s="5" t="s">
        <v>696</v>
      </c>
    </row>
    <row r="8443" customFormat="false" ht="17.15" hidden="false" customHeight="false" outlineLevel="0" collapsed="false">
      <c r="A8443" s="1" t="s">
        <v>522</v>
      </c>
      <c r="B8443" s="8" t="s">
        <v>86</v>
      </c>
      <c r="C8443" s="38" t="n">
        <f aca="false">Q!$D$6</f>
        <v>142.906</v>
      </c>
      <c r="D8443" s="38" t="n">
        <f aca="false">Q!$E$6</f>
        <v>161.894</v>
      </c>
      <c r="E8443" s="38" t="n">
        <f aca="false">Q!$P$6</f>
        <v>81.986</v>
      </c>
      <c r="F8443" s="38" t="n">
        <f aca="false">Sens!$F$8440*(1-Sens!$F$8441)</f>
        <v>98.408468164951</v>
      </c>
      <c r="G8443" s="38" t="n">
        <f aca="false">Sens!$E$8443+Sens!$F$8443</f>
        <v>180.394468164951</v>
      </c>
      <c r="H8443" s="38" t="n">
        <f aca="false">Sens!$H$8440*(1-Sens!$H$8441)</f>
        <v>199.709899104949</v>
      </c>
      <c r="I8443" s="38" t="n">
        <f aca="false">Sens!$I$8440*(1-Sens!$I$8441)</f>
        <v>218.385528264976</v>
      </c>
      <c r="J8443" s="38" t="n">
        <f aca="false">Sens!$J$8440*(1-Sens!$J$8441)</f>
        <v>235.71696994951</v>
      </c>
      <c r="K8443" s="38" t="n">
        <f aca="false">Sens!$K$8440*(1-Sens!$K$8441)</f>
        <v>250.968227869545</v>
      </c>
      <c r="L8443" s="38" t="n">
        <f aca="false">Sens!$L$8440*(1-Sens!$L$8441)</f>
        <v>267.285367225822</v>
      </c>
      <c r="M8443" s="38" t="n">
        <f aca="false">Sens!$M$8440*(1-Sens!$M$8441)</f>
        <v>284.748579483295</v>
      </c>
      <c r="N8443" s="38" t="n">
        <f aca="false">Q!$N$6</f>
        <v>70.274</v>
      </c>
      <c r="O8443" s="38" t="n">
        <f aca="false">Q!$O$6</f>
        <v>91.62</v>
      </c>
      <c r="P8443" s="5" t="s">
        <v>697</v>
      </c>
    </row>
    <row r="8444" customFormat="false" ht="17.15" hidden="false" customHeight="false" outlineLevel="0" collapsed="false">
      <c r="A8444" s="5" t="s">
        <v>698</v>
      </c>
      <c r="B8444" s="0" t="s">
        <v>86</v>
      </c>
      <c r="C8444" s="38" t="n">
        <f aca="false">Sens!$C$8433*Sens!$C$8441</f>
        <v>41.0683128828457</v>
      </c>
      <c r="D8444" s="38" t="n">
        <f aca="false">Sens!$D$8433*Sens!$D$8441</f>
        <v>49.7441234599175</v>
      </c>
      <c r="E8444" s="38" t="n">
        <f aca="false">Sens!$E$8433*Sens!$E$8441</f>
        <v>27.0034224924414</v>
      </c>
      <c r="F8444" s="38" t="n">
        <f aca="false">Sens!$F$8433*Sens!$F$8441</f>
        <v>33.1439448330513</v>
      </c>
      <c r="G8444" s="38" t="n">
        <f aca="false">Sens!$G$8433*Sens!$G$8441</f>
        <v>60.164183844083</v>
      </c>
      <c r="H8444" s="38" t="n">
        <f aca="false">Sens!$H$8433*Sens!$H$8441</f>
        <v>72.2301766552629</v>
      </c>
      <c r="I8444" s="38" t="n">
        <f aca="false">Sens!$I$8433*Sens!$I$8441</f>
        <v>84.2950764463991</v>
      </c>
      <c r="J8444" s="38" t="n">
        <f aca="false">Sens!$J$8433*Sens!$J$8441</f>
        <v>95.5499047729386</v>
      </c>
      <c r="K8444" s="38" t="n">
        <f aca="false">Sens!$K$8433*Sens!$K$8441</f>
        <v>105.104895250232</v>
      </c>
      <c r="L8444" s="38" t="n">
        <f aca="false">Sens!$L$8433*Sens!$L$8441</f>
        <v>115.615384775256</v>
      </c>
      <c r="M8444" s="38" t="n">
        <f aca="false">Sens!$M$8433*Sens!$M$8441</f>
        <v>127.176923252781</v>
      </c>
      <c r="N8444" s="38" t="n">
        <f aca="false">Sens!$N$8433*Sens!$N$8441</f>
        <v>21.7087111412496</v>
      </c>
      <c r="O8444" s="38" t="n">
        <f aca="false">Sens!$O$8433*Sens!$O$8441</f>
        <v>28.0189463642798</v>
      </c>
      <c r="P8444" s="5" t="s">
        <v>699</v>
      </c>
    </row>
    <row r="8445" customFormat="false" ht="15" hidden="false" customHeight="false" outlineLevel="0" collapsed="false">
      <c r="A8445" s="5" t="s">
        <v>700</v>
      </c>
      <c r="B8445" s="0" t="s">
        <v>86</v>
      </c>
      <c r="C8445" s="38" t="n">
        <f aca="false">Sens!$C$8433-Sens!$C$8444</f>
        <v>15.1456871171543</v>
      </c>
      <c r="D8445" s="38" t="n">
        <f aca="false">Sens!$D$8433-Sens!$D$8444</f>
        <v>18.8908765400825</v>
      </c>
      <c r="E8445" s="38" t="n">
        <f aca="false">Sens!$E$8433-Sens!$E$8444</f>
        <v>10.0485775075586</v>
      </c>
      <c r="F8445" s="38" t="n">
        <f aca="false">Sens!$F$8433-Sens!$F$8444</f>
        <v>13.0132771613635</v>
      </c>
      <c r="G8445" s="38" t="n">
        <f aca="false">Sens!$G$8433-Sens!$G$8444</f>
        <v>23.0450381503318</v>
      </c>
      <c r="H8445" s="38" t="n">
        <f aca="false">Sens!$H$8433-Sens!$H$8444</f>
        <v>27.6667457326347</v>
      </c>
      <c r="I8445" s="38" t="n">
        <f aca="false">Sens!$I$8433-Sens!$I$8444</f>
        <v>32.2880346490971</v>
      </c>
      <c r="J8445" s="38" t="n">
        <f aca="false">Sens!$J$8433-Sens!$J$8444</f>
        <v>36.5990371690132</v>
      </c>
      <c r="K8445" s="38" t="n">
        <f aca="false">Sens!$K$8433-Sens!$K$8444</f>
        <v>40.2589408859145</v>
      </c>
      <c r="L8445" s="38" t="n">
        <f aca="false">Sens!$L$8433-Sens!$L$8444</f>
        <v>44.2848349745059</v>
      </c>
      <c r="M8445" s="38" t="n">
        <f aca="false">Sens!$M$8433-Sens!$M$8444</f>
        <v>48.7133184719565</v>
      </c>
      <c r="N8445" s="38" t="n">
        <f aca="false">Sens!$N$8433-Sens!$N$8444</f>
        <v>7.90628885875037</v>
      </c>
      <c r="O8445" s="38" t="n">
        <f aca="false">Sens!$O$8433-Sens!$O$8444</f>
        <v>11.0010536357202</v>
      </c>
    </row>
    <row r="8446" customFormat="false" ht="19.4" hidden="false" customHeight="false" outlineLevel="0" collapsed="false">
      <c r="A8446" s="31" t="s">
        <v>1323</v>
      </c>
    </row>
    <row r="8447" customFormat="false" ht="17.15" hidden="false" customHeight="false" outlineLevel="0" collapsed="false">
      <c r="A8447" s="6" t="s">
        <v>16</v>
      </c>
      <c r="B8447" s="6" t="s">
        <v>17</v>
      </c>
      <c r="C8447" s="20" t="s">
        <v>504</v>
      </c>
      <c r="D8447" s="20" t="s">
        <v>505</v>
      </c>
      <c r="E8447" s="20" t="s">
        <v>587</v>
      </c>
      <c r="F8447" s="20" t="s">
        <v>588</v>
      </c>
      <c r="G8447" s="20" t="s">
        <v>589</v>
      </c>
      <c r="H8447" s="20" t="s">
        <v>590</v>
      </c>
      <c r="I8447" s="20" t="s">
        <v>591</v>
      </c>
      <c r="J8447" s="20" t="s">
        <v>592</v>
      </c>
      <c r="K8447" s="20" t="s">
        <v>593</v>
      </c>
      <c r="L8447" s="20" t="s">
        <v>594</v>
      </c>
      <c r="M8447" s="20" t="s">
        <v>595</v>
      </c>
      <c r="N8447" s="20" t="s">
        <v>596</v>
      </c>
      <c r="O8447" s="20" t="s">
        <v>597</v>
      </c>
      <c r="P8447" s="6" t="s">
        <v>23</v>
      </c>
      <c r="R8447" s="20" t="n">
        <v>2023</v>
      </c>
      <c r="S8447" s="20" t="n">
        <v>2024</v>
      </c>
      <c r="T8447" s="20" t="n">
        <v>2025</v>
      </c>
      <c r="U8447" s="20" t="n">
        <v>2026</v>
      </c>
      <c r="V8447" s="20" t="n">
        <v>2027</v>
      </c>
      <c r="W8447" s="20" t="n">
        <v>2028</v>
      </c>
      <c r="X8447" s="20" t="n">
        <v>2029</v>
      </c>
      <c r="Y8447" s="20" t="n">
        <v>2030</v>
      </c>
      <c r="Z8447" s="20" t="n">
        <v>2031</v>
      </c>
      <c r="AA8447" s="20" t="n">
        <v>2032</v>
      </c>
    </row>
    <row r="8448" customFormat="false" ht="17.15" hidden="false" customHeight="false" outlineLevel="0" collapsed="false">
      <c r="A8448" s="1" t="s">
        <v>598</v>
      </c>
    </row>
    <row r="8449" customFormat="false" ht="17.15" hidden="false" customHeight="false" outlineLevel="0" collapsed="false">
      <c r="A8449" s="5" t="s">
        <v>599</v>
      </c>
      <c r="B8449" s="0" t="s">
        <v>144</v>
      </c>
      <c r="H8449" s="32" t="n">
        <f aca="false">pace_B</f>
        <v>3634.3</v>
      </c>
      <c r="I8449" s="32" t="n">
        <f aca="false">pace_B</f>
        <v>3634.3</v>
      </c>
      <c r="J8449" s="32" t="n">
        <f aca="false">pace_B</f>
        <v>3634.3</v>
      </c>
      <c r="K8449" s="32" t="n">
        <f aca="false">pace_B+(Sens!$J$8450*tg-pace_B)*1/3</f>
        <v>2570.86716666667</v>
      </c>
      <c r="L8449" s="32" t="n">
        <f aca="false">pace_B+(Sens!$J$8450*tg-pace_B)*2/3</f>
        <v>1507.43433333333</v>
      </c>
      <c r="M8449" s="32" t="n">
        <f aca="false">pace_B+(Sens!$J$8450*tg-pace_B)*3/3</f>
        <v>444.0015</v>
      </c>
      <c r="P8449" s="5" t="s">
        <v>600</v>
      </c>
    </row>
    <row r="8450" customFormat="false" ht="17.15" hidden="false" customHeight="false" outlineLevel="0" collapsed="false">
      <c r="A8450" s="15" t="s">
        <v>601</v>
      </c>
      <c r="B8450" s="14" t="s">
        <v>129</v>
      </c>
      <c r="C8450" s="33" t="n">
        <f aca="false">mw_ye24</f>
        <v>360</v>
      </c>
      <c r="D8450" s="33" t="n">
        <f aca="false">mw_ye25</f>
        <v>1440</v>
      </c>
      <c r="E8450" s="33" t="n">
        <f aca="false">mw_open</f>
        <v>2080</v>
      </c>
      <c r="F8450" s="33" t="n">
        <f aca="false">Sens!$E$8450+pace_B*0.5</f>
        <v>3897.15</v>
      </c>
      <c r="G8450" s="33" t="n">
        <f aca="false">Sens!$F$8450</f>
        <v>3897.15</v>
      </c>
      <c r="H8450" s="33" t="n">
        <f aca="false">Sens!$G$8450+Sens!$H$8449</f>
        <v>7531.45</v>
      </c>
      <c r="I8450" s="33" t="n">
        <f aca="false">Sens!$H$8450+Sens!$I$8449</f>
        <v>11165.75</v>
      </c>
      <c r="J8450" s="33" t="n">
        <f aca="false">Sens!$I$8450+Sens!$J$8449</f>
        <v>14800.05</v>
      </c>
      <c r="K8450" s="33" t="n">
        <f aca="false">Sens!$J$8450+Sens!$K$8449</f>
        <v>17370.9171666667</v>
      </c>
      <c r="L8450" s="33" t="n">
        <f aca="false">Sens!$K$8450+Sens!$L$8449</f>
        <v>18878.3515</v>
      </c>
      <c r="M8450" s="33" t="n">
        <f aca="false">Sens!$L$8450+Sens!$M$8449</f>
        <v>19322.353</v>
      </c>
      <c r="N8450" s="33" t="n">
        <f aca="false">(mw_ye24+mw_ye25)/2</f>
        <v>900</v>
      </c>
      <c r="O8450" s="33" t="n">
        <f aca="false">mw_ye25</f>
        <v>1440</v>
      </c>
      <c r="P8450" s="5" t="s">
        <v>602</v>
      </c>
    </row>
    <row r="8451" customFormat="false" ht="17.15" hidden="false" customHeight="false" outlineLevel="0" collapsed="false">
      <c r="A8451" s="5" t="s">
        <v>603</v>
      </c>
      <c r="B8451" s="0" t="s">
        <v>129</v>
      </c>
      <c r="C8451" s="32" t="n">
        <f aca="false">(mw_ye23+mw_ye24)/2</f>
        <v>240</v>
      </c>
      <c r="D8451" s="32" t="n">
        <f aca="false">(Sens!$C$8450+Sens!$D$8450)/2</f>
        <v>900</v>
      </c>
      <c r="E8451" s="32" t="n">
        <f aca="false">(Sens!$D$8450+Sens!$E$8450)/2</f>
        <v>1760</v>
      </c>
      <c r="F8451" s="32" t="n">
        <f aca="false">(Sens!$E$8450+Sens!$F$8450)/2</f>
        <v>2988.575</v>
      </c>
      <c r="G8451" s="32" t="n">
        <f aca="false">(Sens!$E$8451+Sens!$F$8451)/2</f>
        <v>2374.2875</v>
      </c>
      <c r="H8451" s="32" t="n">
        <f aca="false">(Sens!$G$8450+Sens!$H$8450)/2</f>
        <v>5714.3</v>
      </c>
      <c r="I8451" s="32" t="n">
        <f aca="false">(Sens!$H$8450+Sens!$I$8450)/2</f>
        <v>9348.6</v>
      </c>
      <c r="J8451" s="32" t="n">
        <f aca="false">(Sens!$I$8450+Sens!$J$8450)/2</f>
        <v>12982.9</v>
      </c>
      <c r="K8451" s="32" t="n">
        <f aca="false">(Sens!$J$8450+Sens!$K$8450)/2</f>
        <v>16085.4835833333</v>
      </c>
      <c r="L8451" s="32" t="n">
        <f aca="false">(Sens!$K$8450+Sens!$L$8450)/2</f>
        <v>18124.6343333333</v>
      </c>
      <c r="M8451" s="32" t="n">
        <f aca="false">(Sens!$L$8450+Sens!$M$8450)/2</f>
        <v>19100.35225</v>
      </c>
      <c r="N8451" s="32" t="n">
        <f aca="false">(Sens!$C$8450+Sens!$N$8450)/2</f>
        <v>630</v>
      </c>
      <c r="O8451" s="32" t="n">
        <f aca="false">(Sens!$N$8450+Sens!$O$8450)/2</f>
        <v>1170</v>
      </c>
    </row>
    <row r="8452" customFormat="false" ht="15" hidden="false" customHeight="false" outlineLevel="0" collapsed="false">
      <c r="A8452" s="5" t="s">
        <v>604</v>
      </c>
      <c r="B8452" s="5" t="s">
        <v>123</v>
      </c>
      <c r="C8452" s="34" t="n">
        <v>1</v>
      </c>
      <c r="D8452" s="34" t="n">
        <v>1</v>
      </c>
      <c r="E8452" s="34" t="n">
        <v>0.5</v>
      </c>
      <c r="F8452" s="34" t="n">
        <v>0.5</v>
      </c>
      <c r="G8452" s="34" t="n">
        <v>1</v>
      </c>
      <c r="H8452" s="34" t="n">
        <v>1</v>
      </c>
      <c r="I8452" s="34" t="n">
        <v>1</v>
      </c>
      <c r="J8452" s="34" t="n">
        <v>1</v>
      </c>
      <c r="K8452" s="34" t="n">
        <v>1</v>
      </c>
      <c r="L8452" s="34" t="n">
        <v>1</v>
      </c>
      <c r="M8452" s="34" t="n">
        <v>1</v>
      </c>
      <c r="N8452" s="34" t="n">
        <v>0.5</v>
      </c>
      <c r="O8452" s="34" t="n">
        <v>0.5</v>
      </c>
    </row>
    <row r="8453" customFormat="false" ht="17.15" hidden="false" customHeight="false" outlineLevel="0" collapsed="false">
      <c r="A8453" s="5" t="s">
        <v>605</v>
      </c>
      <c r="B8453" s="0" t="s">
        <v>129</v>
      </c>
      <c r="C8453" s="32" t="n">
        <f aca="false">Sens!$C$8450-mw_ye23</f>
        <v>240</v>
      </c>
      <c r="D8453" s="32" t="n">
        <f aca="false">Sens!$D$8450-Sens!$C$8450</f>
        <v>1080</v>
      </c>
      <c r="E8453" s="32" t="n">
        <f aca="false">Sens!$E$8450-Sens!$D$8450</f>
        <v>640</v>
      </c>
      <c r="F8453" s="32" t="n">
        <f aca="false">Sens!$F$8450-Sens!$E$8450</f>
        <v>1817.15</v>
      </c>
      <c r="G8453" s="32" t="n">
        <f aca="false">Sens!$E$8453+Sens!$F$8453</f>
        <v>2457.15</v>
      </c>
      <c r="H8453" s="32" t="n">
        <f aca="false">Sens!$H$8450-Sens!$G$8450</f>
        <v>3634.3</v>
      </c>
      <c r="I8453" s="32" t="n">
        <f aca="false">Sens!$I$8450-Sens!$H$8450</f>
        <v>3634.3</v>
      </c>
      <c r="J8453" s="32" t="n">
        <f aca="false">Sens!$J$8450-Sens!$I$8450</f>
        <v>3634.3</v>
      </c>
      <c r="K8453" s="32" t="n">
        <f aca="false">Sens!$K$8450-Sens!$J$8450</f>
        <v>2570.86716666667</v>
      </c>
      <c r="L8453" s="32" t="n">
        <f aca="false">Sens!$L$8450-Sens!$K$8450</f>
        <v>1507.43433333333</v>
      </c>
      <c r="M8453" s="32" t="n">
        <f aca="false">Sens!$M$8450-Sens!$L$8450</f>
        <v>444.001499999999</v>
      </c>
      <c r="N8453" s="32" t="n">
        <f aca="false">Sens!$N$8450-Sens!$C$8450</f>
        <v>540</v>
      </c>
      <c r="O8453" s="32" t="n">
        <f aca="false">Sens!$O$8450-Sens!$N$8450</f>
        <v>540</v>
      </c>
    </row>
    <row r="8454" customFormat="false" ht="17.15" hidden="false" customHeight="false" outlineLevel="0" collapsed="false">
      <c r="A8454" s="5" t="s">
        <v>606</v>
      </c>
      <c r="B8454" s="0" t="s">
        <v>129</v>
      </c>
      <c r="C8454" s="32" t="n">
        <f aca="false">Sens!$C$8453/ext_sh</f>
        <v>300</v>
      </c>
      <c r="D8454" s="32" t="n">
        <f aca="false">Sens!$D$8453/ext_sh</f>
        <v>1350</v>
      </c>
      <c r="E8454" s="32" t="n">
        <f aca="false">Sens!$E$8453/ext_sh</f>
        <v>800</v>
      </c>
      <c r="F8454" s="32" t="n">
        <f aca="false">Sens!$F$8453/ext_sh</f>
        <v>2271.4375</v>
      </c>
      <c r="G8454" s="32" t="n">
        <f aca="false">Sens!$G$8453/ext_sh</f>
        <v>3071.4375</v>
      </c>
      <c r="H8454" s="32" t="n">
        <f aca="false">Sens!$H$8453/ext_sh</f>
        <v>4542.875</v>
      </c>
      <c r="I8454" s="32" t="n">
        <f aca="false">Sens!$I$8453/ext_sh</f>
        <v>4542.875</v>
      </c>
      <c r="J8454" s="32" t="n">
        <f aca="false">Sens!$J$8453/ext_sh</f>
        <v>4542.875</v>
      </c>
      <c r="K8454" s="32" t="n">
        <f aca="false">Sens!$K$8453/ext_sh</f>
        <v>3213.58395833333</v>
      </c>
      <c r="L8454" s="32" t="n">
        <f aca="false">Sens!$L$8453/ext_sh</f>
        <v>1884.29291666667</v>
      </c>
      <c r="M8454" s="32" t="n">
        <f aca="false">Sens!$M$8453/ext_sh</f>
        <v>555.001874999998</v>
      </c>
      <c r="N8454" s="32" t="n">
        <f aca="false">Sens!$N$8453/ext_sh</f>
        <v>675</v>
      </c>
      <c r="O8454" s="32" t="n">
        <f aca="false">Sens!$O$8453/ext_sh</f>
        <v>675</v>
      </c>
      <c r="P8454" s="8" t="s">
        <v>607</v>
      </c>
      <c r="R8454" s="32" t="n">
        <f aca="false">mw_ye23/ext_sh</f>
        <v>150</v>
      </c>
      <c r="S8454" s="32" t="n">
        <f aca="false">Sens!$C$8454</f>
        <v>300</v>
      </c>
      <c r="T8454" s="32" t="n">
        <f aca="false">Sens!$D$8454</f>
        <v>1350</v>
      </c>
      <c r="U8454" s="32" t="n">
        <f aca="false">Sens!$G$8454</f>
        <v>3071.4375</v>
      </c>
      <c r="V8454" s="32" t="n">
        <f aca="false">Sens!$H$8454</f>
        <v>4542.875</v>
      </c>
      <c r="W8454" s="32" t="n">
        <f aca="false">Sens!$I$8454</f>
        <v>4542.875</v>
      </c>
      <c r="X8454" s="32" t="n">
        <f aca="false">Sens!$J$8454</f>
        <v>4542.875</v>
      </c>
      <c r="Y8454" s="32" t="n">
        <f aca="false">Sens!$K$8454</f>
        <v>3213.58395833333</v>
      </c>
      <c r="Z8454" s="32" t="n">
        <f aca="false">Sens!$L$8454</f>
        <v>1884.29291666667</v>
      </c>
      <c r="AA8454" s="32" t="n">
        <f aca="false">Sens!$M$8454</f>
        <v>555.001874999998</v>
      </c>
    </row>
    <row r="8455" customFormat="false" ht="17.15" hidden="false" customHeight="false" outlineLevel="0" collapsed="false">
      <c r="A8455" s="1" t="s">
        <v>608</v>
      </c>
    </row>
    <row r="8456" customFormat="false" ht="17.15" hidden="false" customHeight="false" outlineLevel="0" collapsed="false">
      <c r="A8456" s="0" t="s">
        <v>609</v>
      </c>
      <c r="B8456" s="0" t="s">
        <v>52</v>
      </c>
      <c r="F8456" s="35" t="n">
        <f aca="false">na_vr26</f>
        <v>0</v>
      </c>
      <c r="G8456" s="35" t="n">
        <f aca="false">na_vr26</f>
        <v>0</v>
      </c>
      <c r="H8456" s="35" t="n">
        <f aca="false">na_vr27</f>
        <v>0.5</v>
      </c>
      <c r="I8456" s="35" t="n">
        <f aca="false">na_vr28</f>
        <v>1</v>
      </c>
      <c r="J8456" s="35" t="n">
        <f aca="false">na_vr28</f>
        <v>1</v>
      </c>
      <c r="K8456" s="35" t="n">
        <f aca="false">na_vr28</f>
        <v>1</v>
      </c>
      <c r="L8456" s="35" t="n">
        <f aca="false">na_vr28</f>
        <v>1</v>
      </c>
      <c r="M8456" s="35" t="n">
        <f aca="false">na_vr28</f>
        <v>1</v>
      </c>
    </row>
    <row r="8457" customFormat="false" ht="17.15" hidden="false" customHeight="false" outlineLevel="0" collapsed="false">
      <c r="A8457" s="5" t="s">
        <v>610</v>
      </c>
      <c r="B8457" s="0" t="s">
        <v>173</v>
      </c>
      <c r="F8457" s="36" t="n">
        <f aca="false">cust_sh*tk_he_gb300*cf_chip+(1-cust_sh)*((1-Sens!$F$8456)*tk_he_gb300+Sens!$F$8456*tk_he_vr200)</f>
        <v>10.8864110021101</v>
      </c>
      <c r="G8457" s="36" t="n">
        <f aca="false">cust_sh*tk_he_gb300*cf_chip+(1-cust_sh)*((1-Sens!$G$8456)*tk_he_gb300+Sens!$G$8456*tk_he_vr200)</f>
        <v>10.8864110021101</v>
      </c>
      <c r="H8457" s="36" t="n">
        <f aca="false">cust_sh*tk_he_gb300*cf_chip+(1-cust_sh)*((1-Sens!$H$8456)*tk_he_gb300+Sens!$H$8456*tk_he_vr200)</f>
        <v>11.2211760027286</v>
      </c>
      <c r="I8457" s="36" t="n">
        <f aca="false">cust_sh*tk_he_gb300*cf_chip+(1-cust_sh)*((1-Sens!$I$8456)*tk_he_gb300+Sens!$I$8456*tk_he_vr200)</f>
        <v>11.5559410033471</v>
      </c>
      <c r="J8457" s="36" t="n">
        <f aca="false">cust_sh*tk_he_gb300*cf_chip+(1-cust_sh)*((1-Sens!$J$8456)*tk_he_gb300+Sens!$J$8456*tk_he_vr200)</f>
        <v>11.5559410033471</v>
      </c>
      <c r="K8457" s="36" t="n">
        <f aca="false">cust_sh*tk_he_gb300*cf_chip+(1-cust_sh)*((1-Sens!$K$8456)*tk_he_gb300+Sens!$K$8456*tk_he_vr200)</f>
        <v>11.5559410033471</v>
      </c>
      <c r="L8457" s="36" t="n">
        <f aca="false">cust_sh*tk_he_gb300*cf_chip+(1-cust_sh)*((1-Sens!$L$8456)*tk_he_gb300+Sens!$L$8456*tk_he_vr200)</f>
        <v>11.5559410033471</v>
      </c>
      <c r="M8457" s="36" t="n">
        <f aca="false">cust_sh*tk_he_gb300*cf_chip+(1-cust_sh)*((1-Sens!$M$8456)*tk_he_gb300+Sens!$M$8456*tk_he_vr200)</f>
        <v>11.5559410033471</v>
      </c>
    </row>
    <row r="8458" customFormat="false" ht="17.15" hidden="false" customHeight="false" outlineLevel="0" collapsed="false">
      <c r="A8458" s="5" t="s">
        <v>611</v>
      </c>
      <c r="B8458" s="0" t="s">
        <v>173</v>
      </c>
      <c r="F8458" s="36" t="n">
        <f aca="false">cust_sh*tk_ox_gb300+(1-cust_sh)*((1-Sens!$F$8456)*tk_ox_gb300+Sens!$F$8456*tk_ox_vr200)</f>
        <v>1.98263481314457</v>
      </c>
      <c r="G8458" s="36" t="n">
        <f aca="false">cust_sh*tk_ox_gb300+(1-cust_sh)*((1-Sens!$G$8456)*tk_ox_gb300+Sens!$G$8456*tk_ox_vr200)</f>
        <v>1.98263481314457</v>
      </c>
      <c r="H8458" s="36" t="n">
        <f aca="false">cust_sh*tk_ox_gb300+(1-cust_sh)*((1-Sens!$H$8456)*tk_ox_gb300+Sens!$H$8456*tk_ox_vr200)</f>
        <v>2.01034999693694</v>
      </c>
      <c r="I8458" s="36" t="n">
        <f aca="false">cust_sh*tk_ox_gb300+(1-cust_sh)*((1-Sens!$I$8456)*tk_ox_gb300+Sens!$I$8456*tk_ox_vr200)</f>
        <v>2.0380651807293</v>
      </c>
      <c r="J8458" s="36" t="n">
        <f aca="false">cust_sh*tk_ox_gb300+(1-cust_sh)*((1-Sens!$J$8456)*tk_ox_gb300+Sens!$J$8456*tk_ox_vr200)</f>
        <v>2.0380651807293</v>
      </c>
      <c r="K8458" s="36" t="n">
        <f aca="false">cust_sh*tk_ox_gb300+(1-cust_sh)*((1-Sens!$K$8456)*tk_ox_gb300+Sens!$K$8456*tk_ox_vr200)</f>
        <v>2.0380651807293</v>
      </c>
      <c r="L8458" s="36" t="n">
        <f aca="false">cust_sh*tk_ox_gb300+(1-cust_sh)*((1-Sens!$L$8456)*tk_ox_gb300+Sens!$L$8456*tk_ox_vr200)</f>
        <v>2.0380651807293</v>
      </c>
      <c r="M8458" s="36" t="n">
        <f aca="false">cust_sh*tk_ox_gb300+(1-cust_sh)*((1-Sens!$M$8456)*tk_ox_gb300+Sens!$M$8456*tk_ox_vr200)</f>
        <v>2.0380651807293</v>
      </c>
    </row>
    <row r="8459" customFormat="false" ht="17.15" hidden="false" customHeight="false" outlineLevel="0" collapsed="false">
      <c r="A8459" s="5" t="s">
        <v>612</v>
      </c>
      <c r="B8459" s="0" t="s">
        <v>192</v>
      </c>
      <c r="F8459" s="36" t="n">
        <f aca="false">cust_sh*tk_cx_gb300*cf_cx+(1-cust_sh)*((1-Sens!$F$8456)*tk_cx_gb300+Sens!$F$8456*tk_cx_vr200)</f>
        <v>32.237224</v>
      </c>
      <c r="G8459" s="36" t="n">
        <f aca="false">cust_sh*tk_cx_gb300*cf_cx+(1-cust_sh)*((1-Sens!$G$8456)*tk_cx_gb300+Sens!$G$8456*tk_cx_vr200)</f>
        <v>32.237224</v>
      </c>
      <c r="H8459" s="36" t="n">
        <f aca="false">cust_sh*tk_cx_gb300*cf_cx+(1-cust_sh)*((1-Sens!$H$8456)*tk_cx_gb300+Sens!$H$8456*tk_cx_vr200)</f>
        <v>33.574506</v>
      </c>
      <c r="I8459" s="36" t="n">
        <f aca="false">cust_sh*tk_cx_gb300*cf_cx+(1-cust_sh)*((1-Sens!$I$8456)*tk_cx_gb300+Sens!$I$8456*tk_cx_vr200)</f>
        <v>34.911788</v>
      </c>
      <c r="J8459" s="36" t="n">
        <f aca="false">cust_sh*tk_cx_gb300*cf_cx+(1-cust_sh)*((1-Sens!$J$8456)*tk_cx_gb300+Sens!$J$8456*tk_cx_vr200)</f>
        <v>34.911788</v>
      </c>
      <c r="K8459" s="36" t="n">
        <f aca="false">cust_sh*tk_cx_gb300*cf_cx+(1-cust_sh)*((1-Sens!$K$8456)*tk_cx_gb300+Sens!$K$8456*tk_cx_vr200)</f>
        <v>34.911788</v>
      </c>
      <c r="L8459" s="36" t="n">
        <f aca="false">cust_sh*tk_cx_gb300*cf_cx+(1-cust_sh)*((1-Sens!$L$8456)*tk_cx_gb300+Sens!$L$8456*tk_cx_vr200)</f>
        <v>34.911788</v>
      </c>
      <c r="M8459" s="36" t="n">
        <f aca="false">cust_sh*tk_cx_gb300*cf_cx+(1-cust_sh)*((1-Sens!$M$8456)*tk_cx_gb300+Sens!$M$8456*tk_cx_vr200)</f>
        <v>34.911788</v>
      </c>
    </row>
    <row r="8460" customFormat="false" ht="17.15" hidden="false" customHeight="false" outlineLevel="0" collapsed="false">
      <c r="A8460" s="5" t="s">
        <v>613</v>
      </c>
      <c r="B8460" s="0" t="s">
        <v>129</v>
      </c>
      <c r="F8460" s="32" t="n">
        <f aca="false">Sens!$F$8450-mw_open</f>
        <v>1817.15</v>
      </c>
      <c r="G8460" s="32" t="n">
        <f aca="false">Sens!$F$8460</f>
        <v>1817.15</v>
      </c>
      <c r="H8460" s="32" t="n">
        <f aca="false">Sens!$H$8450-mw_open</f>
        <v>5451.45</v>
      </c>
      <c r="I8460" s="32" t="n">
        <f aca="false">Sens!$I$8450-mw_open</f>
        <v>9085.75</v>
      </c>
      <c r="J8460" s="32" t="n">
        <f aca="false">Sens!$J$8450-mw_open</f>
        <v>12720.05</v>
      </c>
      <c r="K8460" s="32" t="n">
        <f aca="false">Sens!$K$8450-mw_open</f>
        <v>15290.9171666667</v>
      </c>
      <c r="L8460" s="32" t="n">
        <f aca="false">Sens!$L$8450-mw_open</f>
        <v>16798.3515</v>
      </c>
      <c r="M8460" s="32" t="n">
        <f aca="false">Sens!$M$8450-mw_open</f>
        <v>17242.353</v>
      </c>
    </row>
    <row r="8461" customFormat="false" ht="17.15" hidden="false" customHeight="false" outlineLevel="0" collapsed="false">
      <c r="A8461" s="0" t="s">
        <v>614</v>
      </c>
      <c r="B8461" s="0" t="s">
        <v>615</v>
      </c>
      <c r="F8461" s="32" t="n">
        <f aca="false">Sens!$F$8453*Sens!$F$8457</f>
        <v>19782.2417524844</v>
      </c>
      <c r="G8461" s="32" t="n">
        <f aca="false">Sens!$F$8461</f>
        <v>19782.2417524844</v>
      </c>
      <c r="H8461" s="32" t="n">
        <f aca="false">Sens!$G$8461+Sens!$H$8453*Sens!$H$8457</f>
        <v>60563.3616992009</v>
      </c>
      <c r="I8461" s="32" t="n">
        <f aca="false">Sens!$H$8461+Sens!$I$8453*Sens!$I$8457</f>
        <v>102561.118087665</v>
      </c>
      <c r="J8461" s="32" t="n">
        <f aca="false">Sens!$I$8461+Sens!$J$8453*Sens!$J$8457</f>
        <v>144558.87447613</v>
      </c>
      <c r="K8461" s="32" t="n">
        <f aca="false">Sens!$J$8461+Sens!$K$8453*Sens!$K$8457</f>
        <v>174267.663781572</v>
      </c>
      <c r="L8461" s="32" t="n">
        <f aca="false">Sens!$K$8461+Sens!$L$8453*Sens!$L$8457</f>
        <v>191687.486003992</v>
      </c>
      <c r="M8461" s="32" t="n">
        <f aca="false">Sens!$L$8461+Sens!$M$8453*Sens!$M$8457</f>
        <v>196818.341143389</v>
      </c>
    </row>
    <row r="8462" customFormat="false" ht="17.15" hidden="false" customHeight="false" outlineLevel="0" collapsed="false">
      <c r="A8462" s="0" t="s">
        <v>616</v>
      </c>
      <c r="B8462" s="0" t="s">
        <v>615</v>
      </c>
      <c r="F8462" s="32" t="n">
        <f aca="false">Sens!$F$8453*Sens!$F$8458</f>
        <v>3602.74485070566</v>
      </c>
      <c r="G8462" s="32" t="n">
        <f aca="false">Sens!$F$8462</f>
        <v>3602.74485070566</v>
      </c>
      <c r="H8462" s="32" t="n">
        <f aca="false">Sens!$G$8462+Sens!$H$8453*Sens!$H$8458</f>
        <v>10908.9598445736</v>
      </c>
      <c r="I8462" s="32" t="n">
        <f aca="false">Sens!$H$8462+Sens!$I$8453*Sens!$I$8458</f>
        <v>18315.9001308981</v>
      </c>
      <c r="J8462" s="32" t="n">
        <f aca="false">Sens!$I$8462+Sens!$J$8453*Sens!$J$8458</f>
        <v>25722.8404172225</v>
      </c>
      <c r="K8462" s="32" t="n">
        <f aca="false">Sens!$J$8462+Sens!$K$8453*Sens!$K$8458</f>
        <v>30962.4352738861</v>
      </c>
      <c r="L8462" s="32" t="n">
        <f aca="false">Sens!$K$8462+Sens!$L$8453*Sens!$L$8458</f>
        <v>34034.6847008886</v>
      </c>
      <c r="M8462" s="32" t="n">
        <f aca="false">Sens!$L$8462+Sens!$M$8453*Sens!$M$8458</f>
        <v>34939.5886982302</v>
      </c>
    </row>
    <row r="8463" customFormat="false" ht="17.15" hidden="false" customHeight="false" outlineLevel="0" collapsed="false">
      <c r="A8463" s="5" t="s">
        <v>617</v>
      </c>
      <c r="B8463" s="0" t="s">
        <v>173</v>
      </c>
      <c r="F8463" s="36" t="n">
        <f aca="false">IF(Sens!$F$8460&gt;0,Sens!$F$8461/Sens!$F$8460,Sens!$F$8457)</f>
        <v>10.8864110021101</v>
      </c>
      <c r="G8463" s="36" t="n">
        <f aca="false">IF(Sens!$G$8460&gt;0,Sens!$G$8461/Sens!$G$8460,Sens!$G$8457)</f>
        <v>10.8864110021101</v>
      </c>
      <c r="H8463" s="36" t="n">
        <f aca="false">IF(Sens!$H$8460&gt;0,Sens!$H$8461/Sens!$H$8460,Sens!$H$8457)</f>
        <v>11.1095876691891</v>
      </c>
      <c r="I8463" s="36" t="n">
        <f aca="false">IF(Sens!$I$8460&gt;0,Sens!$I$8461/Sens!$I$8460,Sens!$I$8457)</f>
        <v>11.2881290028523</v>
      </c>
      <c r="J8463" s="36" t="n">
        <f aca="false">IF(Sens!$J$8460&gt;0,Sens!$J$8461/Sens!$J$8460,Sens!$J$8457)</f>
        <v>11.3646467172794</v>
      </c>
      <c r="K8463" s="36" t="n">
        <f aca="false">IF(Sens!$K$8460&gt;0,Sens!$K$8461/Sens!$K$8460,Sens!$K$8457)</f>
        <v>11.3968090914432</v>
      </c>
      <c r="L8463" s="36" t="n">
        <f aca="false">IF(Sens!$L$8460&gt;0,Sens!$L$8461/Sens!$L$8460,Sens!$L$8457)</f>
        <v>11.4110891181192</v>
      </c>
      <c r="M8463" s="36" t="n">
        <f aca="false">IF(Sens!$M$8460&gt;0,Sens!$M$8461/Sens!$M$8460,Sens!$M$8457)</f>
        <v>11.4148191458201</v>
      </c>
    </row>
    <row r="8464" customFormat="false" ht="17.15" hidden="false" customHeight="false" outlineLevel="0" collapsed="false">
      <c r="A8464" s="5" t="s">
        <v>618</v>
      </c>
      <c r="B8464" s="0" t="s">
        <v>173</v>
      </c>
      <c r="F8464" s="36" t="n">
        <f aca="false">IF(Sens!$F$8460&gt;0,Sens!$F$8462/Sens!$F$8460,Sens!$F$8458)</f>
        <v>1.98263481314457</v>
      </c>
      <c r="G8464" s="36" t="n">
        <f aca="false">IF(Sens!$G$8460&gt;0,Sens!$G$8462/Sens!$G$8460,Sens!$G$8458)</f>
        <v>1.98263481314457</v>
      </c>
      <c r="H8464" s="36" t="n">
        <f aca="false">IF(Sens!$H$8460&gt;0,Sens!$H$8462/Sens!$H$8460,Sens!$H$8458)</f>
        <v>2.00111160233948</v>
      </c>
      <c r="I8464" s="36" t="n">
        <f aca="false">IF(Sens!$I$8460&gt;0,Sens!$I$8462/Sens!$I$8460,Sens!$I$8458)</f>
        <v>2.01589303369541</v>
      </c>
      <c r="J8464" s="36" t="n">
        <f aca="false">IF(Sens!$J$8460&gt;0,Sens!$J$8462/Sens!$J$8460,Sens!$J$8458)</f>
        <v>2.02222793284795</v>
      </c>
      <c r="K8464" s="36" t="n">
        <f aca="false">IF(Sens!$K$8460&gt;0,Sens!$K$8462/Sens!$K$8460,Sens!$K$8458)</f>
        <v>2.02489065478573</v>
      </c>
      <c r="L8464" s="36" t="n">
        <f aca="false">IF(Sens!$L$8460&gt;0,Sens!$L$8462/Sens!$L$8460,Sens!$L$8458)</f>
        <v>2.0260728977417</v>
      </c>
      <c r="M8464" s="36" t="n">
        <f aca="false">IF(Sens!$M$8460&gt;0,Sens!$M$8462/Sens!$M$8460,Sens!$M$8458)</f>
        <v>2.02638170661685</v>
      </c>
    </row>
    <row r="8465" customFormat="false" ht="17.15" hidden="false" customHeight="false" outlineLevel="0" collapsed="false">
      <c r="A8465" s="15" t="s">
        <v>619</v>
      </c>
      <c r="B8465" s="14" t="s">
        <v>173</v>
      </c>
      <c r="C8465" s="14"/>
      <c r="D8465" s="14"/>
      <c r="E8465" s="14"/>
      <c r="F8465" s="37" t="n">
        <f aca="false">Sens!$F$8463*k_B</f>
        <v>10.7987645808025</v>
      </c>
      <c r="G8465" s="37" t="n">
        <f aca="false">Sens!$G$8463*k_B</f>
        <v>10.7987645808025</v>
      </c>
      <c r="H8465" s="37" t="n">
        <f aca="false">Sens!$H$8463*k_B</f>
        <v>11.0201444540452</v>
      </c>
      <c r="I8465" s="37" t="n">
        <f aca="false">Sens!$I$8463*k_B</f>
        <v>11.1972483526393</v>
      </c>
      <c r="J8465" s="37" t="n">
        <f aca="false">Sens!$J$8463*k_B</f>
        <v>11.2731500234653</v>
      </c>
      <c r="K8465" s="37" t="n">
        <f aca="false">Sens!$K$8463*k_B</f>
        <v>11.3050534585724</v>
      </c>
      <c r="L8465" s="37" t="n">
        <f aca="false">Sens!$L$8463*k_B</f>
        <v>11.3192185168503</v>
      </c>
      <c r="M8465" s="37" t="n">
        <f aca="false">Sens!$M$8463*k_B</f>
        <v>11.3229185141234</v>
      </c>
      <c r="N8465" s="14"/>
      <c r="O8465" s="14"/>
      <c r="P8465" s="5" t="s">
        <v>620</v>
      </c>
    </row>
    <row r="8466" customFormat="false" ht="17.15" hidden="false" customHeight="false" outlineLevel="0" collapsed="false">
      <c r="A8466" s="5" t="s">
        <v>621</v>
      </c>
      <c r="B8466" s="0" t="s">
        <v>129</v>
      </c>
      <c r="F8466" s="32" t="n">
        <f aca="false">Sens!$F$8460/2</f>
        <v>908.575</v>
      </c>
      <c r="H8466" s="32" t="n">
        <f aca="false">(Sens!$G$8460+Sens!$H$8460)/2</f>
        <v>3634.3</v>
      </c>
      <c r="I8466" s="32" t="n">
        <f aca="false">(Sens!$H$8460+Sens!$I$8460)/2</f>
        <v>7268.6</v>
      </c>
      <c r="J8466" s="32" t="n">
        <f aca="false">(Sens!$I$8460+Sens!$J$8460)/2</f>
        <v>10902.9</v>
      </c>
      <c r="K8466" s="32" t="n">
        <f aca="false">(Sens!$J$8460+Sens!$K$8460)/2</f>
        <v>14005.4835833333</v>
      </c>
      <c r="L8466" s="32" t="n">
        <f aca="false">(Sens!$K$8460+Sens!$L$8460)/2</f>
        <v>16044.6343333333</v>
      </c>
      <c r="M8466" s="32" t="n">
        <f aca="false">(Sens!$L$8460+Sens!$M$8460)/2</f>
        <v>17020.35225</v>
      </c>
    </row>
    <row r="8467" customFormat="false" ht="17.15" hidden="false" customHeight="false" outlineLevel="0" collapsed="false">
      <c r="A8467" s="1" t="s">
        <v>622</v>
      </c>
    </row>
    <row r="8468" customFormat="false" ht="17.15" hidden="false" customHeight="false" outlineLevel="0" collapsed="false">
      <c r="A8468" s="1" t="s">
        <v>623</v>
      </c>
      <c r="B8468" s="8" t="s">
        <v>86</v>
      </c>
      <c r="C8468" s="38" t="n">
        <f aca="false">Sens!$C$8451*rpm_open*Sens!$C$8452/1000</f>
        <v>2.32100535697364</v>
      </c>
      <c r="D8468" s="38" t="n">
        <f aca="false">Sens!$D$8451*rpm_open*Sens!$D$8452/1000</f>
        <v>8.70377008865116</v>
      </c>
      <c r="E8468" s="38" t="n">
        <f aca="false">Sens!$E$8451*rpm_open*Sens!$E$8452/1000</f>
        <v>8.51035297557002</v>
      </c>
      <c r="F8468" s="38" t="n">
        <f aca="false">(mw_open*rpm_open+Sens!$F$8466*Sens!$F$8465)*Sens!$F$8452/1000</f>
        <v>14.9634336447205</v>
      </c>
      <c r="G8468" s="38" t="n">
        <f aca="false">Sens!$E$8468+Sens!$F$8468</f>
        <v>23.4737866202905</v>
      </c>
      <c r="H8468" s="38" t="n">
        <f aca="false">(mw_open*rpm_open+Sens!$H$8466*Sens!$H$8465)/1000</f>
        <v>60.1658907497746</v>
      </c>
      <c r="I8468" s="38" t="n">
        <f aca="false">(mw_open*rpm_open+Sens!$I$8466*Sens!$I$8465)/1000</f>
        <v>101.503699136432</v>
      </c>
      <c r="J8468" s="38" t="n">
        <f aca="false">(mw_open*rpm_open+Sens!$J$8466*Sens!$J$8465)/1000</f>
        <v>143.025407151278</v>
      </c>
      <c r="K8468" s="38" t="n">
        <f aca="false">(mw_open*rpm_open+Sens!$K$8466*Sens!$K$8465)/1000</f>
        <v>178.44812038318</v>
      </c>
      <c r="L8468" s="38" t="n">
        <f aca="false">(mw_open*rpm_open+Sens!$L$8466*Sens!$L$8465)/1000</f>
        <v>201.728101802396</v>
      </c>
      <c r="M8468" s="38" t="n">
        <f aca="false">(mw_open*rpm_open+Sens!$M$8466*Sens!$M$8465)/1000</f>
        <v>212.835441368865</v>
      </c>
      <c r="N8468" s="38" t="n">
        <f aca="false">Sens!$N$8451*rpm_open*Sens!$N$8452/1000</f>
        <v>3.04631953102791</v>
      </c>
      <c r="O8468" s="38" t="n">
        <f aca="false">Sens!$O$8451*rpm_open*Sens!$O$8452/1000</f>
        <v>5.65745055762326</v>
      </c>
      <c r="P8468" s="5" t="s">
        <v>624</v>
      </c>
    </row>
    <row r="8469" customFormat="false" ht="17.15" hidden="false" customHeight="false" outlineLevel="0" collapsed="false">
      <c r="A8469" s="5" t="s">
        <v>625</v>
      </c>
      <c r="B8469" s="0" t="s">
        <v>173</v>
      </c>
      <c r="C8469" s="36" t="n">
        <f aca="false">Sens!$C$8468*1000/(Sens!$C$8451*Sens!$C$8452)</f>
        <v>9.67085565405685</v>
      </c>
      <c r="D8469" s="36" t="n">
        <f aca="false">Sens!$D$8468*1000/(Sens!$D$8451*Sens!$D$8452)</f>
        <v>9.67085565405685</v>
      </c>
      <c r="E8469" s="36" t="n">
        <f aca="false">Sens!$E$8468*1000/(Sens!$E$8451*Sens!$E$8452)</f>
        <v>9.67085565405685</v>
      </c>
      <c r="F8469" s="36" t="n">
        <f aca="false">Sens!$F$8468*1000/(Sens!$F$8451*Sens!$F$8452)</f>
        <v>10.0137581588017</v>
      </c>
      <c r="G8469" s="36" t="n">
        <f aca="false">Sens!$G$8468*1000/(Sens!$G$8451*Sens!$G$8452)</f>
        <v>9.88666562928478</v>
      </c>
      <c r="H8469" s="36" t="n">
        <f aca="false">Sens!$H$8468*1000/(Sens!$H$8451*Sens!$H$8452)</f>
        <v>10.5290045586992</v>
      </c>
      <c r="I8469" s="36" t="n">
        <f aca="false">Sens!$I$8468*1000/(Sens!$I$8451*Sens!$I$8452)</f>
        <v>10.8576363451674</v>
      </c>
      <c r="J8469" s="36" t="n">
        <f aca="false">Sens!$J$8468*1000/(Sens!$J$8451*Sens!$J$8452)</f>
        <v>11.0164452588619</v>
      </c>
      <c r="K8469" s="36" t="n">
        <f aca="false">Sens!$K$8468*1000/(Sens!$K$8451*Sens!$K$8452)</f>
        <v>11.0937367508227</v>
      </c>
      <c r="L8469" s="36" t="n">
        <f aca="false">Sens!$L$8468*1000/(Sens!$L$8451*Sens!$L$8452)</f>
        <v>11.1300508519168</v>
      </c>
      <c r="M8469" s="36" t="n">
        <f aca="false">Sens!$M$8468*1000/(Sens!$M$8451*Sens!$M$8452)</f>
        <v>11.1430113216297</v>
      </c>
      <c r="N8469" s="36" t="n">
        <f aca="false">Sens!$N$8468*1000/(Sens!$N$8451*Sens!$N$8452)</f>
        <v>9.67085565405685</v>
      </c>
      <c r="O8469" s="36" t="n">
        <f aca="false">Sens!$O$8468*1000/(Sens!$O$8451*Sens!$O$8452)</f>
        <v>9.67085565405685</v>
      </c>
    </row>
    <row r="8470" customFormat="false" ht="17.15" hidden="false" customHeight="false" outlineLevel="0" collapsed="false">
      <c r="A8470" s="0" t="s">
        <v>626</v>
      </c>
      <c r="B8470" s="0" t="s">
        <v>86</v>
      </c>
      <c r="C8470" s="38" t="n">
        <f aca="false">Sens!$C$8451/ext_sh*(ox_open+rent_mw)*Sens!$C$8452/1000</f>
        <v>0.642569210675032</v>
      </c>
      <c r="D8470" s="38" t="n">
        <f aca="false">Sens!$D$8451/ext_sh*(ox_open+rent_mw)*Sens!$D$8452/1000</f>
        <v>2.40963454003137</v>
      </c>
      <c r="E8470" s="38" t="n">
        <f aca="false">Sens!$E$8451/ext_sh*(ox_open+rent_mw)*Sens!$E$8452/1000</f>
        <v>2.35608710580845</v>
      </c>
      <c r="F8470" s="38" t="n">
        <f aca="false">((mw_open*ox_open+Sens!$F$8466*Sens!$F$8464)/ext_sh+Sens!$F$8451/ext_sh*rent_mw)*Sens!$F$8452/1000</f>
        <v>4.05421991106232</v>
      </c>
      <c r="G8470" s="38" t="n">
        <f aca="false">Sens!$E$8470+Sens!$F$8470</f>
        <v>6.41030701687077</v>
      </c>
      <c r="H8470" s="38" t="n">
        <f aca="false">((mw_open*ox_open+Sens!$H$8466*Sens!$H$8464)/ext_sh+Sens!$H$8451/ext_sh*rent_mw)*Sens!$H$8452/1000</f>
        <v>15.8108975546616</v>
      </c>
      <c r="I8470" s="38" t="n">
        <f aca="false">((mw_open*ox_open+Sens!$I$8466*Sens!$I$8464)/ext_sh+Sens!$I$8451/ext_sh*rent_mw)*Sens!$I$8452/1000</f>
        <v>26.1871623400817</v>
      </c>
      <c r="J8470" s="38" t="n">
        <f aca="false">((mw_open*ox_open+Sens!$J$8466*Sens!$J$8464)/ext_sh+Sens!$J$8451/ext_sh*rent_mw)*Sens!$J$8452/1000</f>
        <v>36.5826128954935</v>
      </c>
      <c r="K8470" s="38" t="n">
        <f aca="false">((mw_open*ox_open+Sens!$K$8466*Sens!$K$8464)/ext_sh+Sens!$K$8451/ext_sh*rent_mw)*Sens!$K$8452/1000</f>
        <v>45.4546361137628</v>
      </c>
      <c r="L8470" s="38" t="n">
        <f aca="false">((mw_open*ox_open+Sens!$L$8466*Sens!$L$8464)/ext_sh+Sens!$L$8451/ext_sh*rent_mw)*Sens!$L$8452/1000</f>
        <v>51.2855695554452</v>
      </c>
      <c r="M8470" s="38" t="n">
        <f aca="false">((mw_open*ox_open+Sens!$M$8466*Sens!$M$8464)/ext_sh+Sens!$M$8451/ext_sh*rent_mw)*Sens!$M$8452/1000</f>
        <v>54.0722927838398</v>
      </c>
      <c r="N8470" s="38" t="n">
        <f aca="false">Sens!$N$8451/ext_sh*(ox_open+rent_mw)*Sens!$N$8452/1000</f>
        <v>0.84337208901098</v>
      </c>
      <c r="O8470" s="38" t="n">
        <f aca="false">Sens!$O$8451/ext_sh*(ox_open+rent_mw)*Sens!$O$8452/1000</f>
        <v>1.56626245102039</v>
      </c>
    </row>
    <row r="8471" customFormat="false" ht="17.15" hidden="false" customHeight="false" outlineLevel="0" collapsed="false">
      <c r="A8471" s="0" t="s">
        <v>627</v>
      </c>
      <c r="B8471" s="0" t="s">
        <v>86</v>
      </c>
      <c r="C8471" s="38" t="n">
        <f aca="false">Q!$D$7</f>
        <v>107.556</v>
      </c>
      <c r="D8471" s="38" t="n">
        <f aca="false">Q!$E$7</f>
        <v>128.725</v>
      </c>
      <c r="E8471" s="38" t="n">
        <f aca="false">Q!$P$7</f>
        <v>79.819</v>
      </c>
      <c r="N8471" s="38" t="n">
        <f aca="false">Q!$N$7</f>
        <v>60.14</v>
      </c>
      <c r="O8471" s="38" t="n">
        <f aca="false">Q!$O$7</f>
        <v>68.585</v>
      </c>
    </row>
    <row r="8472" customFormat="false" ht="17.15" hidden="false" customHeight="false" outlineLevel="0" collapsed="false">
      <c r="A8472" s="1" t="s">
        <v>628</v>
      </c>
      <c r="B8472" s="8" t="s">
        <v>86</v>
      </c>
      <c r="C8472" s="38" t="n">
        <f aca="false">Sens!$C$8471-Sens!$C$8468</f>
        <v>105.234994643026</v>
      </c>
      <c r="D8472" s="38" t="n">
        <f aca="false">Sens!$D$8471-Sens!$D$8468</f>
        <v>120.021229911349</v>
      </c>
      <c r="E8472" s="38" t="n">
        <f aca="false">Sens!$E$8471-Sens!$E$8468</f>
        <v>71.30864702443</v>
      </c>
      <c r="F8472" s="38" t="n">
        <f aca="false">Sens!$O$8472*(1+Sens!$F$8473)</f>
        <v>71.7692997942464</v>
      </c>
      <c r="G8472" s="38" t="n">
        <f aca="false">Sens!$E$8472+Sens!$F$8472</f>
        <v>143.077946818676</v>
      </c>
      <c r="H8472" s="38" t="n">
        <f aca="false">Sens!$G$8472*(1+Sens!$H$8473)</f>
        <v>161.017077079203</v>
      </c>
      <c r="I8472" s="38" t="n">
        <f aca="false">Sens!$H$8472*(1+Sens!$I$8473)</f>
        <v>178.769759521457</v>
      </c>
      <c r="J8472" s="38" t="n">
        <f aca="false">Sens!$I$8472*(1+Sens!$J$8473)</f>
        <v>195.775538045907</v>
      </c>
      <c r="K8472" s="38" t="n">
        <f aca="false">Sens!$J$8472*(1+Sens!$K$8473)</f>
        <v>211.43758108958</v>
      </c>
      <c r="L8472" s="38" t="n">
        <f aca="false">Sens!$K$8472*(1+Sens!$L$8473)</f>
        <v>228.352587576746</v>
      </c>
      <c r="M8472" s="38" t="n">
        <f aca="false">Sens!$L$8472*(1+Sens!$M$8473)</f>
        <v>246.620794582886</v>
      </c>
      <c r="N8472" s="38" t="n">
        <f aca="false">Sens!$N$8471-Sens!$N$8468</f>
        <v>57.0936804689721</v>
      </c>
      <c r="O8472" s="38" t="n">
        <f aca="false">Sens!$O$8471-Sens!$O$8468</f>
        <v>62.9275494423768</v>
      </c>
      <c r="P8472" s="5" t="s">
        <v>629</v>
      </c>
    </row>
    <row r="8473" customFormat="false" ht="17.15" hidden="false" customHeight="false" outlineLevel="0" collapsed="false">
      <c r="A8473" s="0" t="s">
        <v>630</v>
      </c>
      <c r="B8473" s="0" t="s">
        <v>52</v>
      </c>
      <c r="D8473" s="13" t="n">
        <f aca="false">Sens!$D$8472/Sens!$C$8472-1</f>
        <v>0.140506827776062</v>
      </c>
      <c r="E8473" s="13" t="n">
        <f aca="false">Sens!$E$8472/Sens!$N$8472-1</f>
        <v>0.248976181579029</v>
      </c>
      <c r="F8473" s="13" t="n">
        <f aca="false">Sens!$D$8473</f>
        <v>0.140506827776062</v>
      </c>
      <c r="G8473" s="13" t="n">
        <f aca="false">Sens!$G$8472/Sens!$D$8472-1</f>
        <v>0.19210532106993</v>
      </c>
      <c r="H8473" s="13" t="n">
        <f aca="false">Sens!$F$8473+(g_awso_lt-Sens!$F$8473)*1/4</f>
        <v>0.125380120832046</v>
      </c>
      <c r="I8473" s="13" t="n">
        <f aca="false">Sens!$F$8473+(g_awso_lt-Sens!$F$8473)*2/4</f>
        <v>0.110253413888031</v>
      </c>
      <c r="J8473" s="13" t="n">
        <f aca="false">Sens!$F$8473+(g_awso_lt-Sens!$F$8473)*3/4</f>
        <v>0.0951267069440154</v>
      </c>
      <c r="K8473" s="13" t="n">
        <f aca="false">Sens!$F$8473+(g_awso_lt-Sens!$F$8473)*4/4</f>
        <v>0.08</v>
      </c>
      <c r="L8473" s="13" t="n">
        <f aca="false">g_awso_lt</f>
        <v>0.08</v>
      </c>
      <c r="M8473" s="13" t="n">
        <f aca="false">g_awso_lt</f>
        <v>0.08</v>
      </c>
      <c r="P8473" s="5" t="s">
        <v>631</v>
      </c>
    </row>
    <row r="8474" customFormat="false" ht="17.15" hidden="false" customHeight="false" outlineLevel="0" collapsed="false">
      <c r="A8474" s="1" t="s">
        <v>632</v>
      </c>
    </row>
    <row r="8475" customFormat="false" ht="17.15" hidden="false" customHeight="false" outlineLevel="0" collapsed="false">
      <c r="A8475" s="0" t="s">
        <v>633</v>
      </c>
      <c r="B8475" s="0" t="s">
        <v>86</v>
      </c>
      <c r="F8475" s="38" t="n">
        <f aca="false">cx_rt*Sens!$F$8440+cx_awso*Sens!$F$8472</f>
        <v>34.9734495387866</v>
      </c>
    </row>
    <row r="8476" customFormat="false" ht="17.15" hidden="false" customHeight="false" outlineLevel="0" collapsed="false">
      <c r="A8476" s="0" t="s">
        <v>634</v>
      </c>
      <c r="B8476" s="0" t="s">
        <v>52</v>
      </c>
      <c r="C8476" s="13" t="n">
        <f aca="false">tk_cx_h100/(tk_cx_h100+tk_fac*(1-colo_sh))</f>
        <v>0.730756458006641</v>
      </c>
      <c r="D8476" s="13" t="n">
        <f aca="false">tk_cx_h100/(tk_cx_h100+tk_fac*(1-colo_sh))</f>
        <v>0.730756458006641</v>
      </c>
      <c r="E8476" s="13" t="n">
        <f aca="false">Sens!$F$8476</f>
        <v>0.760792334328868</v>
      </c>
      <c r="F8476" s="13" t="n">
        <f aca="false">Sens!$F$8459/(Sens!$F$8459+tk_fac*(1-colo_sh))</f>
        <v>0.760792334328868</v>
      </c>
      <c r="G8476" s="13" t="n">
        <f aca="false">Sens!$G$8459/(Sens!$G$8459+tk_fac*(1-colo_sh))</f>
        <v>0.760792334328868</v>
      </c>
      <c r="H8476" s="13" t="n">
        <f aca="false">Sens!$H$8459/(Sens!$H$8459+tk_fac*(1-colo_sh))</f>
        <v>0.768110668862996</v>
      </c>
      <c r="I8476" s="13" t="n">
        <f aca="false">Sens!$I$8459/(Sens!$I$8459+tk_fac*(1-colo_sh))</f>
        <v>0.77499450139483</v>
      </c>
      <c r="J8476" s="13" t="n">
        <f aca="false">Sens!$J$8459/(Sens!$J$8459+tk_fac*(1-colo_sh))</f>
        <v>0.77499450139483</v>
      </c>
      <c r="K8476" s="13" t="n">
        <f aca="false">Sens!$K$8459/(Sens!$K$8459+tk_fac*(1-colo_sh))</f>
        <v>0.77499450139483</v>
      </c>
      <c r="L8476" s="13" t="n">
        <f aca="false">Sens!$L$8459/(Sens!$L$8459+tk_fac*(1-colo_sh))</f>
        <v>0.77499450139483</v>
      </c>
      <c r="M8476" s="13" t="n">
        <f aca="false">Sens!$M$8459/(Sens!$M$8459+tk_fac*(1-colo_sh))</f>
        <v>0.77499450139483</v>
      </c>
    </row>
    <row r="8477" customFormat="false" ht="17.15" hidden="false" customHeight="false" outlineLevel="0" collapsed="false">
      <c r="A8477" s="1" t="s">
        <v>635</v>
      </c>
      <c r="B8477" s="8" t="s">
        <v>86</v>
      </c>
      <c r="C8477" s="38" t="n">
        <f aca="false">Q!$D$46-cx_rt*Q!$D$16-cx_awso*Sens!$C$8472</f>
        <v>25.2781053077374</v>
      </c>
      <c r="D8477" s="38" t="n">
        <f aca="false">Q!$E$46-cx_rt*Q!$E$16-cx_awso*Sens!$D$8472</f>
        <v>69.5686316310026</v>
      </c>
      <c r="E8477" s="38" t="n">
        <f aca="false">Q!$P$46-cx_rt*Q!$P$16-cx_awso*Sens!$E$8472</f>
        <v>64.1899206485108</v>
      </c>
      <c r="F8477" s="38" t="n">
        <f aca="false">capex_g26-Q!$P$46-Sens!$F$8475</f>
        <v>88.7165504612134</v>
      </c>
      <c r="G8477" s="38" t="n">
        <f aca="false">Sens!$E$8477+Sens!$F$8477</f>
        <v>152.906471109724</v>
      </c>
      <c r="H8477" s="38" t="n">
        <f aca="false">Sens!$H$8454*(Sens!$H$8459+tk_fac*(1-colo_sh))/1000+Sens!$H$8478</f>
        <v>198.57136494475</v>
      </c>
      <c r="I8477" s="38" t="n">
        <f aca="false">Sens!$I$8454*(Sens!$I$8459+tk_fac*(1-colo_sh))/1000+Sens!$I$8478</f>
        <v>204.6464699105</v>
      </c>
      <c r="J8477" s="38" t="n">
        <f aca="false">Sens!$J$8454*(Sens!$J$8459+tk_fac*(1-colo_sh))/1000+Sens!$J$8478</f>
        <v>209.8832381105</v>
      </c>
      <c r="K8477" s="38" t="n">
        <f aca="false">Sens!$K$8454*(Sens!$K$8459+tk_fac*(1-colo_sh))/1000+Sens!$K$8478</f>
        <v>155.238385275201</v>
      </c>
      <c r="L8477" s="38" t="n">
        <f aca="false">Sens!$L$8454*(Sens!$L$8459+tk_fac*(1-colo_sh))/1000+Sens!$L$8478</f>
        <v>132.014141639902</v>
      </c>
      <c r="M8477" s="38" t="n">
        <f aca="false">Sens!$M$8454*(Sens!$M$8459+tk_fac*(1-colo_sh))/1000+Sens!$M$8478</f>
        <v>132.230981659852</v>
      </c>
      <c r="P8477" s="5" t="s">
        <v>636</v>
      </c>
      <c r="R8477" s="38" t="n">
        <f aca="false">Q!$C$46-cx_rt*Q!$C$16-cx_awso*(Q!$C$7-mw_ye23/2*rpm_open/1000)</f>
        <v>1.50429979529945</v>
      </c>
      <c r="S8477" s="38" t="n">
        <f aca="false">Sens!$C$8477</f>
        <v>25.2781053077374</v>
      </c>
      <c r="T8477" s="38" t="n">
        <f aca="false">Sens!$D$8477</f>
        <v>69.5686316310026</v>
      </c>
      <c r="U8477" s="38" t="n">
        <f aca="false">Sens!$G$8477</f>
        <v>152.906471109724</v>
      </c>
      <c r="V8477" s="38" t="n">
        <f aca="false">Sens!$H$8477</f>
        <v>198.57136494475</v>
      </c>
      <c r="W8477" s="38" t="n">
        <f aca="false">Sens!$I$8477</f>
        <v>204.6464699105</v>
      </c>
      <c r="X8477" s="38" t="n">
        <f aca="false">Sens!$J$8477</f>
        <v>209.8832381105</v>
      </c>
      <c r="Y8477" s="38" t="n">
        <f aca="false">Sens!$K$8477</f>
        <v>155.238385275201</v>
      </c>
      <c r="Z8477" s="38" t="n">
        <f aca="false">Sens!$L$8477</f>
        <v>132.014141639902</v>
      </c>
      <c r="AA8477" s="38" t="n">
        <f aca="false">Sens!$M$8477</f>
        <v>132.230981659852</v>
      </c>
    </row>
    <row r="8478" customFormat="false" ht="17.15" hidden="false" customHeight="false" outlineLevel="0" collapsed="false">
      <c r="A8478" s="0" t="s">
        <v>637</v>
      </c>
      <c r="B8478" s="0" t="s">
        <v>86</v>
      </c>
      <c r="H8478" s="38" t="n">
        <f aca="false">SUMPRODUCT(--(Sens!$R$8447:$AA$8447=2027-tk_life),Sens!$R$8454:$AA$8454)*Sens!$H$8459/1000</f>
        <v>0</v>
      </c>
      <c r="I8478" s="38" t="n">
        <f aca="false">SUMPRODUCT(--(Sens!$R$8447:$AA$8447=2028-tk_life),Sens!$R$8454:$AA$8454)*Sens!$I$8459/1000</f>
        <v>0</v>
      </c>
      <c r="J8478" s="38" t="n">
        <f aca="false">SUMPRODUCT(--(Sens!$R$8447:$AA$8447=2029-tk_life),Sens!$R$8454:$AA$8454)*Sens!$J$8459/1000</f>
        <v>5.2367682</v>
      </c>
      <c r="K8478" s="38" t="n">
        <f aca="false">SUMPRODUCT(--(Sens!$R$8447:$AA$8447=2030-tk_life),Sens!$R$8454:$AA$8454)*Sens!$K$8459/1000</f>
        <v>10.4735364</v>
      </c>
      <c r="L8478" s="38" t="n">
        <f aca="false">SUMPRODUCT(--(Sens!$R$8447:$AA$8447=2031-tk_life),Sens!$R$8454:$AA$8454)*Sens!$L$8459/1000</f>
        <v>47.1309138</v>
      </c>
      <c r="M8478" s="38" t="n">
        <f aca="false">SUMPRODUCT(--(Sens!$R$8447:$AA$8447=2032-tk_life),Sens!$R$8454:$AA$8454)*Sens!$M$8459/1000</f>
        <v>107.22937485525</v>
      </c>
    </row>
    <row r="8479" customFormat="false" ht="17.15" hidden="false" customHeight="false" outlineLevel="0" collapsed="false">
      <c r="A8479" s="0" t="s">
        <v>638</v>
      </c>
      <c r="B8479" s="0" t="s">
        <v>86</v>
      </c>
      <c r="C8479" s="38" t="n">
        <f aca="false">MIN(Sens!$C$8477,Sens!$C$8454*(tk_cx_h100+tk_fac*(1-colo_sh))/1000)</f>
        <v>11.2938642</v>
      </c>
      <c r="D8479" s="38" t="n">
        <f aca="false">MIN(Sens!$D$8477,Sens!$D$8454*(tk_cx_h100+tk_fac*(1-colo_sh))/1000)</f>
        <v>50.8223889</v>
      </c>
      <c r="E8479" s="38" t="n">
        <f aca="false">MIN(Sens!$E$8477,Sens!$E$8454*(Sens!$F$8459+tk_fac*(1-colo_sh))/1000)</f>
        <v>33.8985792</v>
      </c>
      <c r="F8479" s="38" t="n">
        <f aca="false">Sens!$F$8477</f>
        <v>88.7165504612134</v>
      </c>
      <c r="G8479" s="38" t="n">
        <f aca="false">Sens!$E$8479+Sens!$F$8479</f>
        <v>122.615129661213</v>
      </c>
      <c r="H8479" s="38" t="n">
        <f aca="false">Sens!$H$8477</f>
        <v>198.57136494475</v>
      </c>
      <c r="I8479" s="38" t="n">
        <f aca="false">Sens!$I$8477</f>
        <v>204.6464699105</v>
      </c>
      <c r="J8479" s="38" t="n">
        <f aca="false">Sens!$J$8477</f>
        <v>209.8832381105</v>
      </c>
      <c r="K8479" s="38" t="n">
        <f aca="false">Sens!$K$8477</f>
        <v>155.238385275201</v>
      </c>
      <c r="L8479" s="38" t="n">
        <f aca="false">Sens!$L$8477</f>
        <v>132.014141639902</v>
      </c>
      <c r="M8479" s="38" t="n">
        <f aca="false">Sens!$M$8477</f>
        <v>132.230981659852</v>
      </c>
      <c r="P8479" s="5" t="s">
        <v>639</v>
      </c>
      <c r="R8479" s="38" t="n">
        <f aca="false">MIN(Sens!$R$8477,Sens!$R$8454*(tk_cx_h100+tk_fac*(1-colo_sh))/1000)</f>
        <v>1.50429979529945</v>
      </c>
      <c r="S8479" s="38" t="n">
        <f aca="false">Sens!$C$8479</f>
        <v>11.2938642</v>
      </c>
      <c r="T8479" s="38" t="n">
        <f aca="false">Sens!$D$8479</f>
        <v>50.8223889</v>
      </c>
      <c r="U8479" s="38" t="n">
        <f aca="false">Sens!$G$8479</f>
        <v>122.615129661213</v>
      </c>
      <c r="V8479" s="38" t="n">
        <f aca="false">Sens!$H$8479</f>
        <v>198.57136494475</v>
      </c>
      <c r="W8479" s="38" t="n">
        <f aca="false">Sens!$I$8479</f>
        <v>204.6464699105</v>
      </c>
      <c r="X8479" s="38" t="n">
        <f aca="false">Sens!$J$8479</f>
        <v>209.8832381105</v>
      </c>
      <c r="Y8479" s="38" t="n">
        <f aca="false">Sens!$K$8479</f>
        <v>155.238385275201</v>
      </c>
      <c r="Z8479" s="38" t="n">
        <f aca="false">Sens!$L$8479</f>
        <v>132.014141639902</v>
      </c>
      <c r="AA8479" s="38" t="n">
        <f aca="false">Sens!$M$8479</f>
        <v>132.230981659852</v>
      </c>
    </row>
    <row r="8480" customFormat="false" ht="17.15" hidden="false" customHeight="false" outlineLevel="0" collapsed="false">
      <c r="A8480" s="5" t="s">
        <v>640</v>
      </c>
      <c r="B8480" s="0" t="s">
        <v>86</v>
      </c>
      <c r="C8480" s="38" t="n">
        <f aca="false">Sens!$C$8477-Sens!$C$8479</f>
        <v>13.9842411077374</v>
      </c>
      <c r="D8480" s="38" t="n">
        <f aca="false">Sens!$D$8477-Sens!$D$8479</f>
        <v>18.7462427310026</v>
      </c>
      <c r="E8480" s="38" t="n">
        <f aca="false">Sens!$E$8477-Sens!$E$8479</f>
        <v>30.2913414485108</v>
      </c>
      <c r="F8480" s="38" t="n">
        <f aca="false">Sens!$F$8477-Sens!$F$8479</f>
        <v>0</v>
      </c>
      <c r="G8480" s="38" t="n">
        <f aca="false">Sens!$G$8477-Sens!$G$8479</f>
        <v>30.2913414485108</v>
      </c>
      <c r="H8480" s="38" t="n">
        <f aca="false">Sens!$H$8477-Sens!$H$8479</f>
        <v>0</v>
      </c>
      <c r="I8480" s="38" t="n">
        <f aca="false">Sens!$I$8477-Sens!$I$8479</f>
        <v>0</v>
      </c>
      <c r="J8480" s="38" t="n">
        <f aca="false">Sens!$J$8477-Sens!$J$8479</f>
        <v>0</v>
      </c>
      <c r="K8480" s="38" t="n">
        <f aca="false">Sens!$K$8477-Sens!$K$8479</f>
        <v>0</v>
      </c>
      <c r="L8480" s="38" t="n">
        <f aca="false">Sens!$L$8477-Sens!$L$8479</f>
        <v>0</v>
      </c>
      <c r="M8480" s="38" t="n">
        <f aca="false">Sens!$M$8477-Sens!$M$8479</f>
        <v>0</v>
      </c>
      <c r="P8480" s="5" t="s">
        <v>641</v>
      </c>
      <c r="R8480" s="38" t="n">
        <f aca="false">Sens!$R$8477-Sens!$R$8479</f>
        <v>0</v>
      </c>
      <c r="S8480" s="38" t="n">
        <f aca="false">Sens!$S$8477-Sens!$S$8479</f>
        <v>13.9842411077374</v>
      </c>
      <c r="T8480" s="38" t="n">
        <f aca="false">Sens!$T$8477-Sens!$T$8479</f>
        <v>18.7462427310026</v>
      </c>
      <c r="U8480" s="38" t="n">
        <f aca="false">Sens!$U$8477-Sens!$U$8479</f>
        <v>30.2913414485108</v>
      </c>
      <c r="V8480" s="38" t="n">
        <f aca="false">Sens!$V$8477-Sens!$V$8479</f>
        <v>0</v>
      </c>
      <c r="W8480" s="38" t="n">
        <f aca="false">Sens!$W$8477-Sens!$W$8479</f>
        <v>0</v>
      </c>
      <c r="X8480" s="38" t="n">
        <f aca="false">Sens!$X$8477-Sens!$X$8479</f>
        <v>0</v>
      </c>
      <c r="Y8480" s="38" t="n">
        <f aca="false">Sens!$Y$8477-Sens!$Y$8479</f>
        <v>0</v>
      </c>
      <c r="Z8480" s="38" t="n">
        <f aca="false">Sens!$Z$8477-Sens!$Z$8479</f>
        <v>0</v>
      </c>
      <c r="AA8480" s="38" t="n">
        <f aca="false">Sens!$AA$8477-Sens!$AA$8479</f>
        <v>0</v>
      </c>
    </row>
    <row r="8481" customFormat="false" ht="17.15" hidden="false" customHeight="false" outlineLevel="0" collapsed="false">
      <c r="A8481" s="5" t="s">
        <v>642</v>
      </c>
      <c r="B8481" s="0" t="s">
        <v>86</v>
      </c>
      <c r="R8481" s="38" t="n">
        <f aca="false">Sens!$R$8480*Sens!$C$8476</f>
        <v>0</v>
      </c>
      <c r="S8481" s="38" t="n">
        <f aca="false">Sens!$S$8480*Sens!$C$8476</f>
        <v>10.219074499801</v>
      </c>
      <c r="T8481" s="38" t="n">
        <f aca="false">Sens!$T$8480*Sens!$C$8476</f>
        <v>13.6989379390402</v>
      </c>
      <c r="U8481" s="38" t="n">
        <f aca="false">Sens!$U$8480*Sens!$E$8476</f>
        <v>23.0454203705653</v>
      </c>
      <c r="V8481" s="38" t="n">
        <f aca="false">Sens!$V$8480*Sens!$E$8476</f>
        <v>0</v>
      </c>
      <c r="W8481" s="38" t="n">
        <f aca="false">Sens!$W$8480*Sens!$E$8476</f>
        <v>0</v>
      </c>
      <c r="X8481" s="38" t="n">
        <f aca="false">Sens!$X$8480*Sens!$E$8476</f>
        <v>0</v>
      </c>
      <c r="Y8481" s="38" t="n">
        <f aca="false">Sens!$Y$8480*Sens!$E$8476</f>
        <v>0</v>
      </c>
      <c r="Z8481" s="38" t="n">
        <f aca="false">Sens!$Z$8480*Sens!$E$8476</f>
        <v>0</v>
      </c>
      <c r="AA8481" s="38" t="n">
        <f aca="false">Sens!$AA$8480*Sens!$E$8476</f>
        <v>0</v>
      </c>
    </row>
    <row r="8482" customFormat="false" ht="17.15" hidden="false" customHeight="false" outlineLevel="0" collapsed="false">
      <c r="A8482" s="5" t="s">
        <v>643</v>
      </c>
      <c r="B8482" s="0" t="s">
        <v>86</v>
      </c>
      <c r="R8482" s="38" t="n">
        <f aca="false">SUMPRODUCT(--(Sens!$R$8447:$AA$8447=2023-cip_lag),Sens!$R$8481:$AA$8481)</f>
        <v>0</v>
      </c>
      <c r="S8482" s="38" t="n">
        <f aca="false">SUMPRODUCT(--(Sens!$R$8447:$AA$8447=2024-cip_lag),Sens!$R$8481:$AA$8481)</f>
        <v>0</v>
      </c>
      <c r="T8482" s="38" t="n">
        <f aca="false">SUMPRODUCT(--(Sens!$R$8447:$AA$8447=2025-cip_lag),Sens!$R$8481:$AA$8481)</f>
        <v>10.219074499801</v>
      </c>
      <c r="U8482" s="38" t="n">
        <f aca="false">SUMPRODUCT(--(Sens!$R$8447:$AA$8447=2026-cip_lag),Sens!$R$8481:$AA$8481)</f>
        <v>13.6989379390402</v>
      </c>
      <c r="V8482" s="38" t="n">
        <f aca="false">SUMPRODUCT(--(Sens!$R$8447:$AA$8447=2027-cip_lag),Sens!$R$8481:$AA$8481)</f>
        <v>23.0454203705653</v>
      </c>
      <c r="W8482" s="38" t="n">
        <f aca="false">SUMPRODUCT(--(Sens!$R$8447:$AA$8447=2028-cip_lag),Sens!$R$8481:$AA$8481)</f>
        <v>0</v>
      </c>
      <c r="X8482" s="38" t="n">
        <f aca="false">SUMPRODUCT(--(Sens!$R$8447:$AA$8447=2029-cip_lag),Sens!$R$8481:$AA$8481)</f>
        <v>0</v>
      </c>
      <c r="Y8482" s="38" t="n">
        <f aca="false">SUMPRODUCT(--(Sens!$R$8447:$AA$8447=2030-cip_lag),Sens!$R$8481:$AA$8481)</f>
        <v>0</v>
      </c>
      <c r="Z8482" s="38" t="n">
        <f aca="false">SUMPRODUCT(--(Sens!$R$8447:$AA$8447=2031-cip_lag),Sens!$R$8481:$AA$8481)</f>
        <v>0</v>
      </c>
      <c r="AA8482" s="38" t="n">
        <f aca="false">SUMPRODUCT(--(Sens!$R$8447:$AA$8447=2032-cip_lag),Sens!$R$8481:$AA$8481)</f>
        <v>0</v>
      </c>
    </row>
    <row r="8483" customFormat="false" ht="15" hidden="false" customHeight="false" outlineLevel="0" collapsed="false">
      <c r="A8483" s="5" t="s">
        <v>644</v>
      </c>
      <c r="B8483" s="0" t="s">
        <v>86</v>
      </c>
      <c r="R8483" s="38" t="n">
        <f aca="false">SUMPRODUCT(--(Sens!$R$8447:$AA$8447=2023-cip_lag),Sens!$R$8480:$AA$8480)-Sens!$R$8482</f>
        <v>0</v>
      </c>
      <c r="S8483" s="38" t="n">
        <f aca="false">SUMPRODUCT(--(Sens!$R$8447:$AA$8447=2024-cip_lag),Sens!$R$8480:$AA$8480)-Sens!$S$8482</f>
        <v>0</v>
      </c>
      <c r="T8483" s="38" t="n">
        <f aca="false">SUMPRODUCT(--(Sens!$R$8447:$AA$8447=2025-cip_lag),Sens!$R$8480:$AA$8480)-Sens!$T$8482</f>
        <v>3.76516660793636</v>
      </c>
      <c r="U8483" s="38" t="n">
        <f aca="false">SUMPRODUCT(--(Sens!$R$8447:$AA$8447=2026-cip_lag),Sens!$R$8480:$AA$8480)-Sens!$U$8482</f>
        <v>5.04730479196242</v>
      </c>
      <c r="V8483" s="38" t="n">
        <f aca="false">SUMPRODUCT(--(Sens!$R$8447:$AA$8447=2027-cip_lag),Sens!$R$8480:$AA$8480)-Sens!$V$8482</f>
        <v>7.24592107794548</v>
      </c>
      <c r="W8483" s="38" t="n">
        <f aca="false">SUMPRODUCT(--(Sens!$R$8447:$AA$8447=2028-cip_lag),Sens!$R$8480:$AA$8480)-Sens!$W$8482</f>
        <v>0</v>
      </c>
      <c r="X8483" s="38" t="n">
        <f aca="false">SUMPRODUCT(--(Sens!$R$8447:$AA$8447=2029-cip_lag),Sens!$R$8480:$AA$8480)-Sens!$X$8482</f>
        <v>0</v>
      </c>
      <c r="Y8483" s="38" t="n">
        <f aca="false">SUMPRODUCT(--(Sens!$R$8447:$AA$8447=2030-cip_lag),Sens!$R$8480:$AA$8480)-Sens!$Y$8482</f>
        <v>0</v>
      </c>
      <c r="Z8483" s="38" t="n">
        <f aca="false">SUMPRODUCT(--(Sens!$R$8447:$AA$8447=2031-cip_lag),Sens!$R$8480:$AA$8480)-Sens!$Z$8482</f>
        <v>0</v>
      </c>
      <c r="AA8483" s="38" t="n">
        <f aca="false">SUMPRODUCT(--(Sens!$R$8447:$AA$8447=2032-cip_lag),Sens!$R$8480:$AA$8480)-Sens!$AA$8482</f>
        <v>0</v>
      </c>
    </row>
    <row r="8484" customFormat="false" ht="17.15" hidden="false" customHeight="false" outlineLevel="0" collapsed="false">
      <c r="A8484" s="5" t="s">
        <v>645</v>
      </c>
      <c r="B8484" s="0" t="s">
        <v>86</v>
      </c>
      <c r="C8484" s="38" t="n">
        <f aca="false">Sens!$C$8479*Sens!$C$8476</f>
        <v>8.2530642</v>
      </c>
      <c r="D8484" s="38" t="n">
        <f aca="false">Sens!$D$8479*Sens!$D$8476</f>
        <v>37.1387889</v>
      </c>
      <c r="E8484" s="38" t="n">
        <f aca="false">Sens!$E$8479*Sens!$E$8476</f>
        <v>25.7897792</v>
      </c>
      <c r="F8484" s="38" t="n">
        <f aca="false">Sens!$F$8479*Sens!$F$8476</f>
        <v>67.4948715189913</v>
      </c>
      <c r="G8484" s="38" t="n">
        <f aca="false">Sens!$E$8484+Sens!$F$8484</f>
        <v>93.2846507189913</v>
      </c>
      <c r="H8484" s="38" t="n">
        <f aca="false">(Sens!$H$8479-Sens!$H$8478)*Sens!$H$8476+Sens!$H$8478</f>
        <v>152.52478394475</v>
      </c>
      <c r="I8484" s="38" t="n">
        <f aca="false">(Sens!$I$8479-Sens!$I$8478)*Sens!$I$8476+Sens!$I$8478</f>
        <v>158.5998889105</v>
      </c>
      <c r="J8484" s="38" t="n">
        <f aca="false">(Sens!$J$8479-Sens!$J$8478)*Sens!$J$8476+Sens!$J$8478</f>
        <v>163.8366571105</v>
      </c>
      <c r="K8484" s="38" t="n">
        <f aca="false">(Sens!$K$8479-Sens!$K$8478)*Sens!$K$8476+Sens!$K$8478</f>
        <v>122.665498273534</v>
      </c>
      <c r="L8484" s="38" t="n">
        <f aca="false">(Sens!$L$8479-Sens!$L$8478)*Sens!$L$8476+Sens!$L$8478</f>
        <v>112.914948636568</v>
      </c>
      <c r="M8484" s="38" t="n">
        <f aca="false">(Sens!$M$8479-Sens!$M$8478)*Sens!$M$8476+Sens!$M$8478</f>
        <v>126.605482654852</v>
      </c>
      <c r="R8484" s="38" t="n">
        <f aca="false">Sens!$R$8479*Sens!$C$8476</f>
        <v>1.09927679019314</v>
      </c>
      <c r="S8484" s="38" t="n">
        <f aca="false">Sens!$C$8484</f>
        <v>8.2530642</v>
      </c>
      <c r="T8484" s="38" t="n">
        <f aca="false">Sens!$D$8484</f>
        <v>37.1387889</v>
      </c>
      <c r="U8484" s="38" t="n">
        <f aca="false">Sens!$G$8484</f>
        <v>93.2846507189913</v>
      </c>
      <c r="V8484" s="38" t="n">
        <f aca="false">Sens!$H$8484</f>
        <v>152.52478394475</v>
      </c>
      <c r="W8484" s="38" t="n">
        <f aca="false">Sens!$I$8484</f>
        <v>158.5998889105</v>
      </c>
      <c r="X8484" s="38" t="n">
        <f aca="false">Sens!$J$8484</f>
        <v>163.8366571105</v>
      </c>
      <c r="Y8484" s="38" t="n">
        <f aca="false">Sens!$K$8484</f>
        <v>122.665498273534</v>
      </c>
      <c r="Z8484" s="38" t="n">
        <f aca="false">Sens!$L$8484</f>
        <v>112.914948636568</v>
      </c>
      <c r="AA8484" s="38" t="n">
        <f aca="false">Sens!$M$8484</f>
        <v>126.605482654852</v>
      </c>
    </row>
    <row r="8485" customFormat="false" ht="15" hidden="false" customHeight="false" outlineLevel="0" collapsed="false">
      <c r="A8485" s="5" t="s">
        <v>646</v>
      </c>
      <c r="B8485" s="0" t="s">
        <v>86</v>
      </c>
      <c r="C8485" s="38" t="n">
        <f aca="false">Sens!$C$8479-Sens!$C$8484</f>
        <v>3.0408</v>
      </c>
      <c r="D8485" s="38" t="n">
        <f aca="false">Sens!$D$8479-Sens!$D$8484</f>
        <v>13.6836</v>
      </c>
      <c r="E8485" s="38" t="n">
        <f aca="false">Sens!$E$8479-Sens!$E$8484</f>
        <v>8.1088</v>
      </c>
      <c r="F8485" s="38" t="n">
        <f aca="false">Sens!$F$8479-Sens!$F$8484</f>
        <v>21.2216789422221</v>
      </c>
      <c r="G8485" s="38" t="n">
        <f aca="false">Sens!$G$8479-Sens!$G$8484</f>
        <v>29.3304789422221</v>
      </c>
      <c r="H8485" s="38" t="n">
        <f aca="false">Sens!$H$8479-Sens!$H$8484</f>
        <v>46.046581</v>
      </c>
      <c r="I8485" s="38" t="n">
        <f aca="false">Sens!$I$8479-Sens!$I$8484</f>
        <v>46.046581</v>
      </c>
      <c r="J8485" s="38" t="n">
        <f aca="false">Sens!$J$8479-Sens!$J$8484</f>
        <v>46.046581</v>
      </c>
      <c r="K8485" s="38" t="n">
        <f aca="false">Sens!$K$8479-Sens!$K$8484</f>
        <v>32.5728870016667</v>
      </c>
      <c r="L8485" s="38" t="n">
        <f aca="false">Sens!$L$8479-Sens!$L$8484</f>
        <v>19.0991930033334</v>
      </c>
      <c r="M8485" s="38" t="n">
        <f aca="false">Sens!$M$8479-Sens!$M$8484</f>
        <v>5.62549900499998</v>
      </c>
      <c r="R8485" s="38" t="n">
        <f aca="false">Sens!$R$8479-Sens!$R$8484</f>
        <v>0.405023005106309</v>
      </c>
      <c r="S8485" s="38" t="n">
        <f aca="false">Sens!$S$8479-Sens!$S$8484</f>
        <v>3.0408</v>
      </c>
      <c r="T8485" s="38" t="n">
        <f aca="false">Sens!$T$8479-Sens!$T$8484</f>
        <v>13.6836</v>
      </c>
      <c r="U8485" s="38" t="n">
        <f aca="false">Sens!$U$8479-Sens!$U$8484</f>
        <v>29.3304789422221</v>
      </c>
      <c r="V8485" s="38" t="n">
        <f aca="false">Sens!$V$8479-Sens!$V$8484</f>
        <v>46.046581</v>
      </c>
      <c r="W8485" s="38" t="n">
        <f aca="false">Sens!$W$8479-Sens!$W$8484</f>
        <v>46.046581</v>
      </c>
      <c r="X8485" s="38" t="n">
        <f aca="false">Sens!$X$8479-Sens!$X$8484</f>
        <v>46.046581</v>
      </c>
      <c r="Y8485" s="38" t="n">
        <f aca="false">Sens!$Y$8479-Sens!$Y$8484</f>
        <v>32.5728870016667</v>
      </c>
      <c r="Z8485" s="38" t="n">
        <f aca="false">Sens!$Z$8479-Sens!$Z$8484</f>
        <v>19.0991930033334</v>
      </c>
      <c r="AA8485" s="38" t="n">
        <f aca="false">Sens!$AA$8479-Sens!$AA$8484</f>
        <v>5.62549900499998</v>
      </c>
    </row>
    <row r="8486" customFormat="false" ht="17.15" hidden="false" customHeight="false" outlineLevel="0" collapsed="false">
      <c r="A8486" s="0" t="s">
        <v>647</v>
      </c>
      <c r="B8486" s="0" t="s">
        <v>52</v>
      </c>
      <c r="C8486" s="13" t="n">
        <f aca="false">Sens!$C$8477/Sens!$C$8602</f>
        <v>0.325505489553393</v>
      </c>
      <c r="D8486" s="13" t="n">
        <f aca="false">Sens!$D$8477/Sens!$D$8602</f>
        <v>0.54214956071542</v>
      </c>
      <c r="E8486" s="13" t="n">
        <f aca="false">Sens!$E$8477/Sens!$E$8602</f>
        <v>0.666492790452817</v>
      </c>
      <c r="F8486" s="13" t="n">
        <f aca="false">Sens!$F$8477/Sens!$F$8602</f>
        <v>0.71724917504417</v>
      </c>
      <c r="G8486" s="13" t="n">
        <f aca="false">Sens!$G$8477/Sens!$G$8602</f>
        <v>0.69502941413511</v>
      </c>
      <c r="H8486" s="13" t="n">
        <f aca="false">Sens!$H$8477/Sens!$H$8602</f>
        <v>0.726376041178204</v>
      </c>
      <c r="I8486" s="13" t="n">
        <f aca="false">Sens!$I$8477/Sens!$I$8602</f>
        <v>0.713099092661699</v>
      </c>
      <c r="J8486" s="13" t="n">
        <f aca="false">Sens!$J$8477/Sens!$J$8602</f>
        <v>0.701208348786245</v>
      </c>
      <c r="K8486" s="13" t="n">
        <f aca="false">Sens!$K$8477/Sens!$K$8602</f>
        <v>0.618338844562383</v>
      </c>
      <c r="L8486" s="13" t="n">
        <f aca="false">Sens!$L$8477/Sens!$L$8602</f>
        <v>0.562489158462506</v>
      </c>
      <c r="M8486" s="13" t="n">
        <f aca="false">Sens!$M$8477/Sens!$M$8602</f>
        <v>0.545751190895923</v>
      </c>
    </row>
    <row r="8487" customFormat="false" ht="17.15" hidden="false" customHeight="false" outlineLevel="0" collapsed="false">
      <c r="A8487" s="0" t="s">
        <v>648</v>
      </c>
      <c r="B8487" s="0" t="s">
        <v>86</v>
      </c>
      <c r="C8487" s="38" t="n">
        <f aca="false">Sens!$S$8487</f>
        <v>0.183212798365523</v>
      </c>
      <c r="D8487" s="38" t="n">
        <f aca="false">Sens!$T$8487</f>
        <v>1.55872349836552</v>
      </c>
      <c r="E8487" s="38" t="n">
        <f aca="false">Sens!$G$8487/2</f>
        <v>4.72585036583285</v>
      </c>
      <c r="F8487" s="38" t="n">
        <f aca="false">Sens!$G$8487/2</f>
        <v>4.72585036583285</v>
      </c>
      <c r="G8487" s="38" t="n">
        <f aca="false">Sens!$U$8487</f>
        <v>9.4517007316657</v>
      </c>
      <c r="H8487" s="38" t="n">
        <f aca="false">Sens!$V$8487</f>
        <v>27.2822988413376</v>
      </c>
      <c r="I8487" s="38" t="n">
        <f aca="false">Sens!$W$8487</f>
        <v>56.5439995605568</v>
      </c>
      <c r="J8487" s="38" t="n">
        <f aca="false">Sens!$X$8487</f>
        <v>82.9773143789735</v>
      </c>
      <c r="K8487" s="38" t="n">
        <f aca="false">Sens!$Y$8487</f>
        <v>110.100211099025</v>
      </c>
      <c r="L8487" s="38" t="n">
        <f aca="false">Sens!$Z$8487</f>
        <v>129.16895011128</v>
      </c>
      <c r="M8487" s="38" t="n">
        <f aca="false">Sens!$AA$8487</f>
        <v>140.095130984075</v>
      </c>
      <c r="N8487" s="38" t="n">
        <f aca="false">Sens!$D$8487/2</f>
        <v>0.779361749182762</v>
      </c>
      <c r="O8487" s="38" t="n">
        <f aca="false">Sens!$D$8487/2</f>
        <v>0.779361749182762</v>
      </c>
      <c r="R8487" s="38" t="n">
        <f aca="false">(SUMPRODUCT(--(Sens!$R$8447:$AA$8447&lt;Sens!R$8447),--(Sens!$R$8447:$AA$8447&gt;=Sens!R$8447-tk_life),Sens!$R$8484:$AA$8484)+SUMPRODUCT(--(Sens!$R$8447:$AA$8447&lt;Sens!R$8447),--(Sens!$R$8447:$AA$8447&gt;=Sens!R$8447-tk_life),Sens!$R$8482:$AA$8482))/tk_life</f>
        <v>0</v>
      </c>
      <c r="S8487" s="38" t="n">
        <f aca="false">(SUMPRODUCT(--(Sens!$R$8447:$AA$8447&lt;Sens!S$8447),--(Sens!$R$8447:$AA$8447&gt;=Sens!S$8447-tk_life),Sens!$R$8484:$AA$8484)+SUMPRODUCT(--(Sens!$R$8447:$AA$8447&lt;Sens!S$8447),--(Sens!$R$8447:$AA$8447&gt;=Sens!S$8447-tk_life),Sens!$R$8482:$AA$8482))/tk_life</f>
        <v>0.183212798365523</v>
      </c>
      <c r="T8487" s="38" t="n">
        <f aca="false">(SUMPRODUCT(--(Sens!$R$8447:$AA$8447&lt;Sens!T$8447),--(Sens!$R$8447:$AA$8447&gt;=Sens!T$8447-tk_life),Sens!$R$8484:$AA$8484)+SUMPRODUCT(--(Sens!$R$8447:$AA$8447&lt;Sens!T$8447),--(Sens!$R$8447:$AA$8447&gt;=Sens!T$8447-tk_life),Sens!$R$8482:$AA$8482))/tk_life</f>
        <v>1.55872349836552</v>
      </c>
      <c r="U8487" s="38" t="n">
        <f aca="false">(SUMPRODUCT(--(Sens!$R$8447:$AA$8447&lt;Sens!U$8447),--(Sens!$R$8447:$AA$8447&gt;=Sens!U$8447-tk_life),Sens!$R$8484:$AA$8484)+SUMPRODUCT(--(Sens!$R$8447:$AA$8447&lt;Sens!U$8447),--(Sens!$R$8447:$AA$8447&gt;=Sens!U$8447-tk_life),Sens!$R$8482:$AA$8482))/tk_life</f>
        <v>9.4517007316657</v>
      </c>
      <c r="V8487" s="38" t="n">
        <f aca="false">(SUMPRODUCT(--(Sens!$R$8447:$AA$8447&lt;Sens!V$8447),--(Sens!$R$8447:$AA$8447&gt;=Sens!V$8447-tk_life),Sens!$R$8484:$AA$8484)+SUMPRODUCT(--(Sens!$R$8447:$AA$8447&lt;Sens!V$8447),--(Sens!$R$8447:$AA$8447&gt;=Sens!V$8447-tk_life),Sens!$R$8482:$AA$8482))/tk_life</f>
        <v>27.2822988413376</v>
      </c>
      <c r="W8487" s="38" t="n">
        <f aca="false">(SUMPRODUCT(--(Sens!$R$8447:$AA$8447&lt;Sens!W$8447),--(Sens!$R$8447:$AA$8447&gt;=Sens!W$8447-tk_life),Sens!$R$8484:$AA$8484)+SUMPRODUCT(--(Sens!$R$8447:$AA$8447&lt;Sens!W$8447),--(Sens!$R$8447:$AA$8447&gt;=Sens!W$8447-tk_life),Sens!$R$8482:$AA$8482))/tk_life</f>
        <v>56.5439995605568</v>
      </c>
      <c r="X8487" s="38" t="n">
        <f aca="false">(SUMPRODUCT(--(Sens!$R$8447:$AA$8447&lt;Sens!X$8447),--(Sens!$R$8447:$AA$8447&gt;=Sens!X$8447-tk_life),Sens!$R$8484:$AA$8484)+SUMPRODUCT(--(Sens!$R$8447:$AA$8447&lt;Sens!X$8447),--(Sens!$R$8447:$AA$8447&gt;=Sens!X$8447-tk_life),Sens!$R$8482:$AA$8482))/tk_life</f>
        <v>82.9773143789735</v>
      </c>
      <c r="Y8487" s="38" t="n">
        <f aca="false">(SUMPRODUCT(--(Sens!$R$8447:$AA$8447&lt;Sens!Y$8447),--(Sens!$R$8447:$AA$8447&gt;=Sens!Y$8447-tk_life),Sens!$R$8484:$AA$8484)+SUMPRODUCT(--(Sens!$R$8447:$AA$8447&lt;Sens!Y$8447),--(Sens!$R$8447:$AA$8447&gt;=Sens!Y$8447-tk_life),Sens!$R$8482:$AA$8482))/tk_life</f>
        <v>110.100211099025</v>
      </c>
      <c r="Z8487" s="38" t="n">
        <f aca="false">(SUMPRODUCT(--(Sens!$R$8447:$AA$8447&lt;Sens!Z$8447),--(Sens!$R$8447:$AA$8447&gt;=Sens!Z$8447-tk_life),Sens!$R$8484:$AA$8484)+SUMPRODUCT(--(Sens!$R$8447:$AA$8447&lt;Sens!Z$8447),--(Sens!$R$8447:$AA$8447&gt;=Sens!Z$8447-tk_life),Sens!$R$8482:$AA$8482))/tk_life</f>
        <v>129.16895011128</v>
      </c>
      <c r="AA8487" s="38" t="n">
        <f aca="false">(SUMPRODUCT(--(Sens!$R$8447:$AA$8447&lt;Sens!AA$8447),--(Sens!$R$8447:$AA$8447&gt;=Sens!AA$8447-tk_life),Sens!$R$8484:$AA$8484)+SUMPRODUCT(--(Sens!$R$8447:$AA$8447&lt;Sens!AA$8447),--(Sens!$R$8447:$AA$8447&gt;=Sens!AA$8447-tk_life),Sens!$R$8482:$AA$8482))/tk_life</f>
        <v>140.095130984075</v>
      </c>
    </row>
    <row r="8488" customFormat="false" ht="17.15" hidden="false" customHeight="false" outlineLevel="0" collapsed="false">
      <c r="A8488" s="0" t="s">
        <v>649</v>
      </c>
      <c r="B8488" s="0" t="s">
        <v>86</v>
      </c>
      <c r="C8488" s="38" t="n">
        <f aca="false">Sens!$S$8488</f>
        <v>0.0202511502553155</v>
      </c>
      <c r="D8488" s="38" t="n">
        <f aca="false">Sens!$T$8488</f>
        <v>0.172291150255315</v>
      </c>
      <c r="E8488" s="38" t="n">
        <f aca="false">Sens!$G$8488/2</f>
        <v>0.522364740326067</v>
      </c>
      <c r="F8488" s="38" t="n">
        <f aca="false">Sens!$G$8488/2</f>
        <v>0.522364740326067</v>
      </c>
      <c r="G8488" s="38" t="n">
        <f aca="false">Sens!$U$8488</f>
        <v>1.04472948065213</v>
      </c>
      <c r="H8488" s="38" t="n">
        <f aca="false">Sens!$V$8488</f>
        <v>2.76361866736136</v>
      </c>
      <c r="I8488" s="38" t="n">
        <f aca="false">Sens!$W$8488</f>
        <v>5.42824377125863</v>
      </c>
      <c r="J8488" s="38" t="n">
        <f aca="false">Sens!$X$8488</f>
        <v>7.73057282125864</v>
      </c>
      <c r="K8488" s="38" t="n">
        <f aca="false">Sens!$Y$8488</f>
        <v>10.0329018712586</v>
      </c>
      <c r="L8488" s="38" t="n">
        <f aca="false">Sens!$Z$8488</f>
        <v>11.661546221342</v>
      </c>
      <c r="M8488" s="38" t="n">
        <f aca="false">Sens!$AA$8488</f>
        <v>12.6165058715086</v>
      </c>
      <c r="N8488" s="38" t="n">
        <f aca="false">Sens!$D$8488/2</f>
        <v>0.0861455751276577</v>
      </c>
      <c r="O8488" s="38" t="n">
        <f aca="false">Sens!$D$8488/2</f>
        <v>0.0861455751276577</v>
      </c>
      <c r="R8488" s="38" t="n">
        <f aca="false">(SUMPRODUCT(--(Sens!$R$8447:$AA$8447&lt;Sens!R$8447),Sens!$R$8485:$AA$8485)+SUMPRODUCT(--(Sens!$R$8447:$AA$8447&lt;Sens!R$8447),Sens!$R$8483:$AA$8483))/fac_life</f>
        <v>0</v>
      </c>
      <c r="S8488" s="38" t="n">
        <f aca="false">(SUMPRODUCT(--(Sens!$R$8447:$AA$8447&lt;Sens!S$8447),Sens!$R$8485:$AA$8485)+SUMPRODUCT(--(Sens!$R$8447:$AA$8447&lt;Sens!S$8447),Sens!$R$8483:$AA$8483))/fac_life</f>
        <v>0.0202511502553155</v>
      </c>
      <c r="T8488" s="38" t="n">
        <f aca="false">(SUMPRODUCT(--(Sens!$R$8447:$AA$8447&lt;Sens!T$8447),Sens!$R$8485:$AA$8485)+SUMPRODUCT(--(Sens!$R$8447:$AA$8447&lt;Sens!T$8447),Sens!$R$8483:$AA$8483))/fac_life</f>
        <v>0.172291150255315</v>
      </c>
      <c r="U8488" s="38" t="n">
        <f aca="false">(SUMPRODUCT(--(Sens!$R$8447:$AA$8447&lt;Sens!U$8447),Sens!$R$8485:$AA$8485)+SUMPRODUCT(--(Sens!$R$8447:$AA$8447&lt;Sens!U$8447),Sens!$R$8483:$AA$8483))/fac_life</f>
        <v>1.04472948065213</v>
      </c>
      <c r="V8488" s="38" t="n">
        <f aca="false">(SUMPRODUCT(--(Sens!$R$8447:$AA$8447&lt;Sens!V$8447),Sens!$R$8485:$AA$8485)+SUMPRODUCT(--(Sens!$R$8447:$AA$8447&lt;Sens!V$8447),Sens!$R$8483:$AA$8483))/fac_life</f>
        <v>2.76361866736136</v>
      </c>
      <c r="W8488" s="38" t="n">
        <f aca="false">(SUMPRODUCT(--(Sens!$R$8447:$AA$8447&lt;Sens!W$8447),Sens!$R$8485:$AA$8485)+SUMPRODUCT(--(Sens!$R$8447:$AA$8447&lt;Sens!W$8447),Sens!$R$8483:$AA$8483))/fac_life</f>
        <v>5.42824377125863</v>
      </c>
      <c r="X8488" s="38" t="n">
        <f aca="false">(SUMPRODUCT(--(Sens!$R$8447:$AA$8447&lt;Sens!X$8447),Sens!$R$8485:$AA$8485)+SUMPRODUCT(--(Sens!$R$8447:$AA$8447&lt;Sens!X$8447),Sens!$R$8483:$AA$8483))/fac_life</f>
        <v>7.73057282125864</v>
      </c>
      <c r="Y8488" s="38" t="n">
        <f aca="false">(SUMPRODUCT(--(Sens!$R$8447:$AA$8447&lt;Sens!Y$8447),Sens!$R$8485:$AA$8485)+SUMPRODUCT(--(Sens!$R$8447:$AA$8447&lt;Sens!Y$8447),Sens!$R$8483:$AA$8483))/fac_life</f>
        <v>10.0329018712586</v>
      </c>
      <c r="Z8488" s="38" t="n">
        <f aca="false">(SUMPRODUCT(--(Sens!$R$8447:$AA$8447&lt;Sens!Z$8447),Sens!$R$8485:$AA$8485)+SUMPRODUCT(--(Sens!$R$8447:$AA$8447&lt;Sens!Z$8447),Sens!$R$8483:$AA$8483))/fac_life</f>
        <v>11.661546221342</v>
      </c>
      <c r="AA8488" s="38" t="n">
        <f aca="false">(SUMPRODUCT(--(Sens!$R$8447:$AA$8447&lt;Sens!AA$8447),Sens!$R$8485:$AA$8485)+SUMPRODUCT(--(Sens!$R$8447:$AA$8447&lt;Sens!AA$8447),Sens!$R$8483:$AA$8483))/fac_life</f>
        <v>12.6165058715086</v>
      </c>
    </row>
    <row r="8489" customFormat="false" ht="17.15" hidden="false" customHeight="false" outlineLevel="0" collapsed="false">
      <c r="A8489" s="1" t="s">
        <v>650</v>
      </c>
      <c r="B8489" s="8" t="s">
        <v>86</v>
      </c>
      <c r="C8489" s="38" t="n">
        <f aca="false">Sens!$C$8487+Sens!$C$8488</f>
        <v>0.203463948620839</v>
      </c>
      <c r="D8489" s="38" t="n">
        <f aca="false">Sens!$D$8487+Sens!$D$8488</f>
        <v>1.73101464862084</v>
      </c>
      <c r="E8489" s="38" t="n">
        <f aca="false">Sens!$E$8487+Sens!$E$8488</f>
        <v>5.24821510615892</v>
      </c>
      <c r="F8489" s="38" t="n">
        <f aca="false">Sens!$F$8487+Sens!$F$8488</f>
        <v>5.24821510615892</v>
      </c>
      <c r="G8489" s="38" t="n">
        <f aca="false">Sens!$G$8487+Sens!$G$8488</f>
        <v>10.4964302123178</v>
      </c>
      <c r="H8489" s="38" t="n">
        <f aca="false">Sens!$H$8487+Sens!$H$8488</f>
        <v>30.045917508699</v>
      </c>
      <c r="I8489" s="38" t="n">
        <f aca="false">Sens!$I$8487+Sens!$I$8488</f>
        <v>61.9722433318155</v>
      </c>
      <c r="J8489" s="38" t="n">
        <f aca="false">Sens!$J$8487+Sens!$J$8488</f>
        <v>90.7078872002321</v>
      </c>
      <c r="K8489" s="38" t="n">
        <f aca="false">Sens!$K$8487+Sens!$K$8488</f>
        <v>120.133112970283</v>
      </c>
      <c r="L8489" s="38" t="n">
        <f aca="false">Sens!$L$8487+Sens!$L$8488</f>
        <v>140.830496332622</v>
      </c>
      <c r="M8489" s="38" t="n">
        <f aca="false">Sens!$M$8487+Sens!$M$8488</f>
        <v>152.711636855584</v>
      </c>
      <c r="N8489" s="38" t="n">
        <f aca="false">Sens!$N$8487+Sens!$N$8488</f>
        <v>0.865507324310419</v>
      </c>
      <c r="O8489" s="38" t="n">
        <f aca="false">Sens!$O$8487+Sens!$O$8488</f>
        <v>0.865507324310419</v>
      </c>
      <c r="R8489" s="38" t="n">
        <f aca="false">Sens!$R$8487+Sens!$R$8488</f>
        <v>0</v>
      </c>
      <c r="S8489" s="38" t="n">
        <f aca="false">Sens!$S$8487+Sens!$S$8488</f>
        <v>0.203463948620839</v>
      </c>
      <c r="T8489" s="38" t="n">
        <f aca="false">Sens!$T$8487+Sens!$T$8488</f>
        <v>1.73101464862084</v>
      </c>
      <c r="U8489" s="38" t="n">
        <f aca="false">Sens!$U$8487+Sens!$U$8488</f>
        <v>10.4964302123178</v>
      </c>
      <c r="V8489" s="38" t="n">
        <f aca="false">Sens!$V$8487+Sens!$V$8488</f>
        <v>30.045917508699</v>
      </c>
      <c r="W8489" s="38" t="n">
        <f aca="false">Sens!$W$8487+Sens!$W$8488</f>
        <v>61.9722433318155</v>
      </c>
      <c r="X8489" s="38" t="n">
        <f aca="false">Sens!$X$8487+Sens!$X$8488</f>
        <v>90.7078872002321</v>
      </c>
      <c r="Y8489" s="38" t="n">
        <f aca="false">Sens!$Y$8487+Sens!$Y$8488</f>
        <v>120.133112970283</v>
      </c>
      <c r="Z8489" s="38" t="n">
        <f aca="false">Sens!$Z$8487+Sens!$Z$8488</f>
        <v>140.830496332622</v>
      </c>
      <c r="AA8489" s="38" t="n">
        <f aca="false">Sens!$AA$8487+Sens!$AA$8488</f>
        <v>152.711636855584</v>
      </c>
    </row>
    <row r="8490" customFormat="false" ht="17.15" hidden="false" customHeight="false" outlineLevel="0" collapsed="false">
      <c r="A8490" s="0" t="s">
        <v>651</v>
      </c>
      <c r="B8490" s="0" t="s">
        <v>86</v>
      </c>
      <c r="C8490" s="38" t="n">
        <f aca="false">Sens!$S$8490</f>
        <v>26.578941154416</v>
      </c>
      <c r="D8490" s="38" t="n">
        <f aca="false">Sens!$T$8490</f>
        <v>94.4165581367978</v>
      </c>
      <c r="G8490" s="38" t="n">
        <f aca="false">Sens!$U$8490</f>
        <v>236.826599034204</v>
      </c>
      <c r="H8490" s="38" t="n">
        <f aca="false">Sens!$V$8490</f>
        <v>405.352046470255</v>
      </c>
      <c r="I8490" s="38" t="n">
        <f aca="false">Sens!$W$8490</f>
        <v>548.02627304894</v>
      </c>
      <c r="J8490" s="38" t="n">
        <f aca="false">Sens!$X$8490</f>
        <v>667.201623959208</v>
      </c>
      <c r="K8490" s="38" t="n">
        <f aca="false">Sens!$Y$8490</f>
        <v>702.306896264125</v>
      </c>
      <c r="L8490" s="38" t="n">
        <f aca="false">Sens!$Z$8490</f>
        <v>693.490541571405</v>
      </c>
      <c r="M8490" s="38" t="n">
        <f aca="false">Sens!$AA$8490</f>
        <v>673.009886375674</v>
      </c>
      <c r="R8490" s="38" t="n">
        <f aca="false">SUM(Sens!$R$8477:$R$8477)-SUM(Sens!$R$8489:$R$8489)</f>
        <v>1.50429979529945</v>
      </c>
      <c r="S8490" s="38" t="n">
        <f aca="false">SUM(Sens!$R$8477:$S$8477)-SUM(Sens!$R$8489:$S$8489)</f>
        <v>26.578941154416</v>
      </c>
      <c r="T8490" s="38" t="n">
        <f aca="false">SUM(Sens!$R$8477:$T$8477)-SUM(Sens!$R$8489:$T$8489)</f>
        <v>94.4165581367978</v>
      </c>
      <c r="U8490" s="38" t="n">
        <f aca="false">SUM(Sens!$R$8477:$U$8477)-SUM(Sens!$R$8489:$U$8489)</f>
        <v>236.826599034204</v>
      </c>
      <c r="V8490" s="38" t="n">
        <f aca="false">SUM(Sens!$R$8477:$V$8477)-SUM(Sens!$R$8489:$V$8489)</f>
        <v>405.352046470255</v>
      </c>
      <c r="W8490" s="38" t="n">
        <f aca="false">SUM(Sens!$R$8477:$W$8477)-SUM(Sens!$R$8489:$W$8489)</f>
        <v>548.02627304894</v>
      </c>
      <c r="X8490" s="38" t="n">
        <f aca="false">SUM(Sens!$R$8477:$X$8477)-SUM(Sens!$R$8489:$X$8489)</f>
        <v>667.201623959208</v>
      </c>
      <c r="Y8490" s="38" t="n">
        <f aca="false">SUM(Sens!$R$8477:$Y$8477)-SUM(Sens!$R$8489:$Y$8489)</f>
        <v>702.306896264125</v>
      </c>
      <c r="Z8490" s="38" t="n">
        <f aca="false">SUM(Sens!$R$8477:$Z$8477)-SUM(Sens!$R$8489:$Z$8489)</f>
        <v>693.490541571405</v>
      </c>
      <c r="AA8490" s="38" t="n">
        <f aca="false">SUM(Sens!$R$8477:$AA$8477)-SUM(Sens!$R$8489:$AA$8489)</f>
        <v>673.009886375674</v>
      </c>
    </row>
    <row r="8491" customFormat="false" ht="17.15" hidden="false" customHeight="false" outlineLevel="0" collapsed="false">
      <c r="A8491" s="1" t="s">
        <v>652</v>
      </c>
    </row>
    <row r="8492" customFormat="false" ht="17.15" hidden="false" customHeight="false" outlineLevel="0" collapsed="false">
      <c r="A8492" s="0" t="s">
        <v>653</v>
      </c>
      <c r="B8492" s="0" t="s">
        <v>86</v>
      </c>
      <c r="C8492" s="38" t="n">
        <f aca="false">Sens!$C$8468-ext_sh*Sens!$C$8470</f>
        <v>1.80694998843362</v>
      </c>
      <c r="D8492" s="38" t="n">
        <f aca="false">Sens!$D$8468-ext_sh*Sens!$D$8470</f>
        <v>6.77606245662607</v>
      </c>
      <c r="E8492" s="38" t="n">
        <f aca="false">Sens!$E$8468-ext_sh*Sens!$E$8470</f>
        <v>6.62548329092326</v>
      </c>
      <c r="F8492" s="38" t="n">
        <f aca="false">Sens!$F$8468-ext_sh*Sens!$F$8470</f>
        <v>11.7200577158706</v>
      </c>
      <c r="G8492" s="38" t="n">
        <f aca="false">Sens!$G$8468-ext_sh*Sens!$G$8470</f>
        <v>18.3455410067939</v>
      </c>
      <c r="H8492" s="38" t="n">
        <f aca="false">Sens!$H$8468-ext_sh*Sens!$H$8470</f>
        <v>47.5171727060453</v>
      </c>
      <c r="I8492" s="38" t="n">
        <f aca="false">Sens!$I$8468-ext_sh*Sens!$I$8470</f>
        <v>80.5539692643667</v>
      </c>
      <c r="J8492" s="38" t="n">
        <f aca="false">Sens!$J$8468-ext_sh*Sens!$J$8470</f>
        <v>113.759316834883</v>
      </c>
      <c r="K8492" s="38" t="n">
        <f aca="false">Sens!$K$8468-ext_sh*Sens!$K$8470</f>
        <v>142.084411492169</v>
      </c>
      <c r="L8492" s="38" t="n">
        <f aca="false">Sens!$L$8468-ext_sh*Sens!$L$8470</f>
        <v>160.69964615804</v>
      </c>
      <c r="M8492" s="38" t="n">
        <f aca="false">Sens!$M$8468-ext_sh*Sens!$M$8470</f>
        <v>169.577607141793</v>
      </c>
      <c r="N8492" s="38" t="n">
        <f aca="false">Sens!$N$8468-ext_sh*Sens!$N$8470</f>
        <v>2.37162185981912</v>
      </c>
      <c r="O8492" s="38" t="n">
        <f aca="false">Sens!$O$8468-ext_sh*Sens!$O$8470</f>
        <v>4.40444059680694</v>
      </c>
    </row>
    <row r="8493" customFormat="false" ht="17.15" hidden="false" customHeight="false" outlineLevel="0" collapsed="false">
      <c r="A8493" s="1" t="s">
        <v>654</v>
      </c>
      <c r="B8493" s="8" t="s">
        <v>86</v>
      </c>
      <c r="C8493" s="38" t="n">
        <f aca="false">Sens!$C$8492-ext_sh*Sens!$C$8489</f>
        <v>1.64417882953695</v>
      </c>
      <c r="D8493" s="38" t="n">
        <f aca="false">Sens!$D$8492-ext_sh*Sens!$D$8489</f>
        <v>5.39125073772939</v>
      </c>
      <c r="E8493" s="38" t="n">
        <f aca="false">Sens!$E$8492-ext_sh*Sens!$E$8489</f>
        <v>2.42691120599613</v>
      </c>
      <c r="F8493" s="38" t="n">
        <f aca="false">Sens!$F$8492-ext_sh*Sens!$F$8489</f>
        <v>7.52148563094346</v>
      </c>
      <c r="G8493" s="38" t="n">
        <f aca="false">Sens!$G$8492-ext_sh*Sens!$G$8489</f>
        <v>9.94839683693959</v>
      </c>
      <c r="H8493" s="38" t="n">
        <f aca="false">Sens!$H$8492-ext_sh*Sens!$H$8489</f>
        <v>23.4804386990861</v>
      </c>
      <c r="I8493" s="38" t="n">
        <f aca="false">Sens!$I$8492-ext_sh*Sens!$I$8489</f>
        <v>30.9761745989143</v>
      </c>
      <c r="J8493" s="38" t="n">
        <f aca="false">Sens!$J$8492-ext_sh*Sens!$J$8489</f>
        <v>41.1930070746977</v>
      </c>
      <c r="K8493" s="38" t="n">
        <f aca="false">Sens!$K$8492-ext_sh*Sens!$K$8489</f>
        <v>45.9779211159428</v>
      </c>
      <c r="L8493" s="38" t="n">
        <f aca="false">Sens!$L$8492-ext_sh*Sens!$L$8489</f>
        <v>48.0352490919424</v>
      </c>
      <c r="M8493" s="38" t="n">
        <f aca="false">Sens!$M$8492-ext_sh*Sens!$M$8489</f>
        <v>47.4082976573265</v>
      </c>
      <c r="N8493" s="38" t="n">
        <f aca="false">Sens!$N$8492-ext_sh*Sens!$N$8489</f>
        <v>1.67921600037079</v>
      </c>
      <c r="O8493" s="38" t="n">
        <f aca="false">Sens!$O$8492-ext_sh*Sens!$O$8489</f>
        <v>3.71203473735861</v>
      </c>
    </row>
    <row r="8494" customFormat="false" ht="17.15" hidden="false" customHeight="false" outlineLevel="0" collapsed="false">
      <c r="A8494" s="0" t="s">
        <v>655</v>
      </c>
      <c r="B8494" s="0" t="s">
        <v>52</v>
      </c>
      <c r="C8494" s="13" t="n">
        <f aca="false">Sens!$C$8493/Sens!$C$8468</f>
        <v>0.708390794789371</v>
      </c>
      <c r="D8494" s="13" t="n">
        <f aca="false">Sens!$D$8493/Sens!$D$8468</f>
        <v>0.619415573115729</v>
      </c>
      <c r="E8494" s="13" t="n">
        <f aca="false">Sens!$E$8493/Sens!$E$8468</f>
        <v>0.285171627189009</v>
      </c>
      <c r="F8494" s="13" t="n">
        <f aca="false">Sens!$F$8493/Sens!$F$8468</f>
        <v>0.502657732812366</v>
      </c>
      <c r="G8494" s="13" t="n">
        <f aca="false">Sens!$G$8493/Sens!$G$8468</f>
        <v>0.423808778611812</v>
      </c>
      <c r="H8494" s="13" t="n">
        <f aca="false">Sens!$H$8493/Sens!$H$8468</f>
        <v>0.390261631739809</v>
      </c>
      <c r="I8494" s="13" t="n">
        <f aca="false">Sens!$I$8493/Sens!$I$8468</f>
        <v>0.305172864264572</v>
      </c>
      <c r="J8494" s="13" t="n">
        <f aca="false">Sens!$J$8493/Sens!$J$8468</f>
        <v>0.288011814789856</v>
      </c>
      <c r="K8494" s="13" t="n">
        <f aca="false">Sens!$K$8493/Sens!$K$8468</f>
        <v>0.25765427518774</v>
      </c>
      <c r="L8494" s="13" t="n">
        <f aca="false">Sens!$L$8493/Sens!$L$8468</f>
        <v>0.238118778012374</v>
      </c>
      <c r="M8494" s="13" t="n">
        <f aca="false">Sens!$M$8493/Sens!$M$8468</f>
        <v>0.222746255757109</v>
      </c>
      <c r="N8494" s="13" t="n">
        <f aca="false">Sens!$N$8493/Sens!$N$8468</f>
        <v>0.551227795793364</v>
      </c>
      <c r="O8494" s="13" t="n">
        <f aca="false">Sens!$O$8493/Sens!$O$8468</f>
        <v>0.656132068597002</v>
      </c>
    </row>
    <row r="8495" customFormat="false" ht="17.15" hidden="false" customHeight="false" outlineLevel="0" collapsed="false">
      <c r="A8495" s="5" t="s">
        <v>656</v>
      </c>
      <c r="B8495" s="0" t="s">
        <v>86</v>
      </c>
      <c r="C8495" s="39" t="n">
        <v>0</v>
      </c>
      <c r="D8495" s="39" t="n">
        <v>0</v>
      </c>
      <c r="E8495" s="39" t="n">
        <v>0</v>
      </c>
      <c r="F8495" s="38" t="n">
        <f aca="false">IF(internal_ai_reading=2,1,0)*(1-ext_sh)/ext_sh*(mw_open*he_open+Sens!$F$8466*Sens!$F$8463)*Sens!$F$8452/1000</f>
        <v>3.77122048175818</v>
      </c>
      <c r="G8495" s="38" t="n">
        <f aca="false">Sens!$E$8495+Sens!$F$8495</f>
        <v>3.77122048175818</v>
      </c>
      <c r="H8495" s="38" t="n">
        <f aca="false">IF(internal_ai_reading=2,1,0)*(1-ext_sh)/ext_sh*(mw_open*he_open+Sens!$H$8466*Sens!$H$8463)*Sens!$H$8452/1000</f>
        <v>15.1635543609893</v>
      </c>
      <c r="I8495" s="38" t="n">
        <f aca="false">IF(internal_ai_reading=2,1,0)*(1-ext_sh)/ext_sh*(mw_open*he_open+Sens!$I$8466*Sens!$I$8463)*Sens!$I$8452/1000</f>
        <v>25.5818843619889</v>
      </c>
      <c r="J8495" s="38" t="n">
        <f aca="false">IF(internal_ai_reading=2,1,0)*(1-ext_sh)/ext_sh*(mw_open*he_open+Sens!$J$8466*Sens!$J$8463)*Sens!$J$8452/1000</f>
        <v>36.0465624179122</v>
      </c>
      <c r="K8495" s="38" t="n">
        <f aca="false">IF(internal_ai_reading=2,1,0)*(1-ext_sh)/ext_sh*(mw_open*he_open+Sens!$K$8466*Sens!$K$8463)*Sens!$K$8452/1000</f>
        <v>44.9741164026038</v>
      </c>
      <c r="L8495" s="38" t="n">
        <f aca="false">IF(internal_ai_reading=2,1,0)*(1-ext_sh)/ext_sh*(mw_open*he_open+Sens!$L$8466*Sens!$L$8463)*Sens!$L$8452/1000</f>
        <v>50.8413488057813</v>
      </c>
      <c r="M8495" s="38" t="n">
        <f aca="false">IF(internal_ai_reading=2,1,0)*(1-ext_sh)/ext_sh*(mw_open*he_open+Sens!$M$8466*Sens!$M$8463)*Sens!$M$8452/1000</f>
        <v>53.6407214274315</v>
      </c>
      <c r="N8495" s="39" t="n">
        <v>0</v>
      </c>
      <c r="O8495" s="39" t="n">
        <v>0</v>
      </c>
      <c r="P8495" s="8" t="s">
        <v>657</v>
      </c>
    </row>
    <row r="8496" customFormat="false" ht="17.15" hidden="false" customHeight="false" outlineLevel="0" collapsed="false">
      <c r="A8496" s="5" t="s">
        <v>658</v>
      </c>
      <c r="B8496" s="0" t="s">
        <v>86</v>
      </c>
      <c r="C8496" s="38" t="n">
        <f aca="false">(1-ext_sh)*(Sens!$C$8470+Sens!$C$8489)</f>
        <v>0.169206631859174</v>
      </c>
      <c r="D8496" s="38" t="n">
        <f aca="false">(1-ext_sh)*(Sens!$D$8470+Sens!$D$8489)</f>
        <v>0.828129837730442</v>
      </c>
      <c r="E8496" s="38" t="n">
        <f aca="false">(1-ext_sh)*(Sens!$E$8470+Sens!$E$8489)</f>
        <v>1.52086044239347</v>
      </c>
      <c r="F8496" s="38" t="n">
        <f aca="false">(1-ext_sh)*(Sens!$F$8470+Sens!$F$8489)</f>
        <v>1.86048700344425</v>
      </c>
      <c r="G8496" s="38" t="n">
        <f aca="false">(1-ext_sh)*(Sens!$G$8470+Sens!$G$8489)</f>
        <v>3.38134744583772</v>
      </c>
      <c r="H8496" s="38" t="n">
        <f aca="false">(1-ext_sh)*(Sens!$H$8470+Sens!$H$8489)</f>
        <v>9.17136301267211</v>
      </c>
      <c r="I8496" s="38" t="n">
        <f aca="false">(1-ext_sh)*(Sens!$I$8470+Sens!$I$8489)</f>
        <v>17.6318811343794</v>
      </c>
      <c r="J8496" s="38" t="n">
        <f aca="false">(1-ext_sh)*(Sens!$J$8470+Sens!$J$8489)</f>
        <v>25.4581000191451</v>
      </c>
      <c r="K8496" s="38" t="n">
        <f aca="false">(1-ext_sh)*(Sens!$K$8470+Sens!$K$8489)</f>
        <v>33.1175498168092</v>
      </c>
      <c r="L8496" s="38" t="n">
        <f aca="false">(1-ext_sh)*(Sens!$L$8470+Sens!$L$8489)</f>
        <v>38.4232131776135</v>
      </c>
      <c r="M8496" s="38" t="n">
        <f aca="false">(1-ext_sh)*(Sens!$M$8470+Sens!$M$8489)</f>
        <v>41.3567859278847</v>
      </c>
      <c r="N8496" s="38" t="n">
        <f aca="false">(1-ext_sh)*(Sens!$N$8470+Sens!$N$8489)</f>
        <v>0.34177588266428</v>
      </c>
      <c r="O8496" s="38" t="n">
        <f aca="false">(1-ext_sh)*(Sens!$O$8470+Sens!$O$8489)</f>
        <v>0.486353955066162</v>
      </c>
    </row>
    <row r="8497" customFormat="false" ht="17.15" hidden="false" customHeight="false" outlineLevel="0" collapsed="false">
      <c r="A8497" s="0" t="s">
        <v>659</v>
      </c>
      <c r="B8497" s="0" t="s">
        <v>86</v>
      </c>
      <c r="C8497" s="38" t="n">
        <f aca="false">Q!$D$24</f>
        <v>39.834</v>
      </c>
      <c r="D8497" s="38" t="n">
        <f aca="false">Q!$E$24</f>
        <v>45.606</v>
      </c>
      <c r="E8497" s="38" t="n">
        <f aca="false">Q!$P$24</f>
        <v>30.782</v>
      </c>
      <c r="N8497" s="38" t="n">
        <f aca="false">Q!$N$24</f>
        <v>21.707</v>
      </c>
      <c r="O8497" s="38" t="n">
        <f aca="false">Q!$O$24</f>
        <v>23.899</v>
      </c>
    </row>
    <row r="8498" customFormat="false" ht="17.15" hidden="false" customHeight="false" outlineLevel="0" collapsed="false">
      <c r="A8498" s="0" t="s">
        <v>660</v>
      </c>
      <c r="B8498" s="0" t="s">
        <v>86</v>
      </c>
      <c r="C8498" s="38" t="n">
        <f aca="false">Sens!$C$8497-Sens!$C$8493</f>
        <v>38.1898211704631</v>
      </c>
      <c r="D8498" s="38" t="n">
        <f aca="false">Sens!$D$8497-Sens!$D$8493</f>
        <v>40.2147492622706</v>
      </c>
      <c r="E8498" s="38" t="n">
        <f aca="false">Sens!$E$8497-Sens!$E$8493</f>
        <v>28.3550887940039</v>
      </c>
      <c r="F8498" s="38" t="n">
        <f aca="false">Sens!$F$8472*Sens!$F$8499</f>
        <v>25.9529793149447</v>
      </c>
      <c r="G8498" s="38" t="n">
        <f aca="false">Sens!$E$8498+Sens!$F$8498</f>
        <v>54.3080681089486</v>
      </c>
      <c r="H8498" s="38" t="n">
        <f aca="false">Sens!$H$8472*Sens!$H$8499</f>
        <v>58.2264684589333</v>
      </c>
      <c r="I8498" s="38" t="n">
        <f aca="false">Sens!$I$8472*Sens!$I$8499</f>
        <v>64.6461353851744</v>
      </c>
      <c r="J8498" s="38" t="n">
        <f aca="false">Sens!$J$8472*Sens!$J$8499</f>
        <v>70.7957093610231</v>
      </c>
      <c r="K8498" s="38" t="n">
        <f aca="false">Sens!$K$8472*Sens!$K$8499</f>
        <v>76.4593661099049</v>
      </c>
      <c r="L8498" s="38" t="n">
        <f aca="false">Sens!$L$8472*Sens!$L$8499</f>
        <v>82.5761153986973</v>
      </c>
      <c r="M8498" s="38" t="n">
        <f aca="false">Sens!$M$8472*Sens!$M$8499</f>
        <v>89.1822046305931</v>
      </c>
      <c r="N8498" s="38" t="n">
        <f aca="false">Sens!$N$8497-Sens!$N$8493</f>
        <v>20.0277839996292</v>
      </c>
      <c r="O8498" s="38" t="n">
        <f aca="false">Sens!$O$8497-Sens!$O$8493</f>
        <v>20.1869652626414</v>
      </c>
      <c r="P8498" s="5" t="s">
        <v>661</v>
      </c>
    </row>
    <row r="8499" customFormat="false" ht="17.15" hidden="false" customHeight="false" outlineLevel="0" collapsed="false">
      <c r="A8499" s="0" t="s">
        <v>662</v>
      </c>
      <c r="B8499" s="0" t="s">
        <v>52</v>
      </c>
      <c r="C8499" s="13" t="n">
        <f aca="false">Sens!$C$8498/Sens!$C$8472</f>
        <v>0.362900395443635</v>
      </c>
      <c r="D8499" s="13" t="n">
        <f aca="false">Sens!$D$8498/Sens!$D$8472</f>
        <v>0.335063632425483</v>
      </c>
      <c r="E8499" s="13" t="n">
        <f aca="false">Sens!$E$8498/Sens!$E$8472</f>
        <v>0.397638855555478</v>
      </c>
      <c r="F8499" s="13" t="n">
        <f aca="false">(Sens!$O$8498+Sens!$E$8498)/(Sens!$O$8472+Sens!$E$8472)</f>
        <v>0.361616727338133</v>
      </c>
      <c r="G8499" s="13" t="n">
        <f aca="false">Sens!$G$8498/Sens!$G$8472</f>
        <v>0.379569803149143</v>
      </c>
      <c r="H8499" s="13" t="n">
        <f aca="false">Sens!$F$8499</f>
        <v>0.361616727338133</v>
      </c>
      <c r="I8499" s="13" t="n">
        <f aca="false">Sens!$F$8499</f>
        <v>0.361616727338133</v>
      </c>
      <c r="J8499" s="13" t="n">
        <f aca="false">Sens!$F$8499</f>
        <v>0.361616727338133</v>
      </c>
      <c r="K8499" s="13" t="n">
        <f aca="false">Sens!$F$8499</f>
        <v>0.361616727338133</v>
      </c>
      <c r="L8499" s="13" t="n">
        <f aca="false">Sens!$F$8499</f>
        <v>0.361616727338133</v>
      </c>
      <c r="M8499" s="13" t="n">
        <f aca="false">Sens!$F$8499</f>
        <v>0.361616727338133</v>
      </c>
      <c r="N8499" s="13" t="n">
        <f aca="false">Sens!$N$8498/Sens!$N$8472</f>
        <v>0.35078810535806</v>
      </c>
      <c r="O8499" s="13" t="n">
        <f aca="false">Sens!$O$8498/Sens!$O$8472</f>
        <v>0.320796939361619</v>
      </c>
      <c r="P8499" s="8" t="s">
        <v>663</v>
      </c>
    </row>
    <row r="8500" customFormat="false" ht="17.15" hidden="false" customHeight="false" outlineLevel="0" collapsed="false">
      <c r="A8500" s="0" t="s">
        <v>664</v>
      </c>
      <c r="B8500" s="0" t="s">
        <v>52</v>
      </c>
      <c r="D8500" s="13" t="n">
        <f aca="false">(Q!$E$31-ext_sh*Sens!$D$8489)/Sens!$D$8472</f>
        <v>0.167180325480118</v>
      </c>
    </row>
    <row r="8501" customFormat="false" ht="17.15" hidden="false" customHeight="false" outlineLevel="0" collapsed="false">
      <c r="A8501" s="0" t="s">
        <v>665</v>
      </c>
      <c r="B8501" s="0" t="s">
        <v>86</v>
      </c>
      <c r="C8501" s="38" t="n">
        <f aca="false">Q!$D$31</f>
        <v>13.32</v>
      </c>
      <c r="D8501" s="38" t="n">
        <f aca="false">Q!$E$31</f>
        <v>21.45</v>
      </c>
      <c r="E8501" s="38" t="n">
        <f aca="false">Q!$P$31</f>
        <v>15.353</v>
      </c>
      <c r="F8501" s="38" t="n">
        <f aca="false">ext_sh*Sens!$F$8489+Sens!$D$8500*Sens!$F$8472</f>
        <v>16.1969869840094</v>
      </c>
      <c r="G8501" s="38" t="n">
        <f aca="false">Sens!$E$8501+Sens!$F$8501</f>
        <v>31.5499869840094</v>
      </c>
      <c r="H8501" s="38" t="n">
        <f aca="false">ext_sh*Sens!$H$8489+Sens!$D$8500*Sens!$H$8472</f>
        <v>50.9556213609176</v>
      </c>
      <c r="I8501" s="38" t="n">
        <f aca="false">ext_sh*Sens!$I$8489+Sens!$D$8500*Sens!$I$8472</f>
        <v>79.464581248252</v>
      </c>
      <c r="J8501" s="38" t="n">
        <f aca="false">ext_sh*Sens!$J$8489+Sens!$D$8500*Sens!$J$8472</f>
        <v>105.296127931746</v>
      </c>
      <c r="K8501" s="38" t="n">
        <f aca="false">ext_sh*Sens!$K$8489+Sens!$D$8500*Sens!$K$8472</f>
        <v>131.454694001511</v>
      </c>
      <c r="L8501" s="38" t="n">
        <f aca="false">ext_sh*Sens!$L$8489+Sens!$D$8500*Sens!$L$8472</f>
        <v>150.840456981405</v>
      </c>
      <c r="M8501" s="38" t="n">
        <f aca="false">ext_sh*Sens!$M$8489+Sens!$D$8500*Sens!$M$8472</f>
        <v>163.399454192999</v>
      </c>
      <c r="N8501" s="38" t="n">
        <f aca="false">Q!$N$31</f>
        <v>9.234</v>
      </c>
      <c r="O8501" s="38" t="n">
        <f aca="false">Q!$O$31</f>
        <v>12.216</v>
      </c>
    </row>
    <row r="8502" customFormat="false" ht="17.15" hidden="false" customHeight="false" outlineLevel="0" collapsed="false">
      <c r="A8502" s="1" t="s">
        <v>666</v>
      </c>
    </row>
    <row r="8503" customFormat="false" ht="17.15" hidden="false" customHeight="false" outlineLevel="0" collapsed="false">
      <c r="A8503" s="15" t="s">
        <v>667</v>
      </c>
      <c r="B8503" s="14" t="s">
        <v>52</v>
      </c>
      <c r="C8503" s="14"/>
      <c r="D8503" s="14"/>
      <c r="E8503" s="14"/>
      <c r="F8503" s="14"/>
      <c r="G8503" s="17" t="n">
        <f aca="false">Sens!$G$8493*(1-tax)/(ext_sh*(Sens!$D$8490+Sens!$G$8490)/2)</f>
        <v>0.0620504069546486</v>
      </c>
      <c r="H8503" s="17" t="n">
        <f aca="false">Sens!$H$8493*(1-tax)/(ext_sh*(Sens!$G$8490+Sens!$H$8490)/2)</f>
        <v>0.0755420551527686</v>
      </c>
      <c r="I8503" s="17" t="n">
        <f aca="false">Sens!$I$8493*(1-tax)/(ext_sh*(Sens!$H$8490+Sens!$I$8490)/2)</f>
        <v>0.067127575356291</v>
      </c>
      <c r="J8503" s="17" t="n">
        <f aca="false">Sens!$J$8493*(1-tax)/(ext_sh*(Sens!$I$8490+Sens!$J$8490)/2)</f>
        <v>0.0700332392906535</v>
      </c>
      <c r="K8503" s="17" t="n">
        <f aca="false">Sens!$K$8493*(1-tax)/(ext_sh*(Sens!$J$8490+Sens!$K$8490)/2)</f>
        <v>0.0693622290093833</v>
      </c>
      <c r="L8503" s="17" t="n">
        <f aca="false">Sens!$L$8493*(1-tax)/(ext_sh*(Sens!$K$8490+Sens!$L$8490)/2)</f>
        <v>0.0711010638813626</v>
      </c>
      <c r="M8503" s="17" t="n">
        <f aca="false">Sens!$M$8493*(1-tax)/(ext_sh*(Sens!$L$8490+Sens!$M$8490)/2)</f>
        <v>0.071677531066401</v>
      </c>
      <c r="N8503" s="14"/>
      <c r="O8503" s="14"/>
      <c r="P8503" s="8" t="s">
        <v>668</v>
      </c>
    </row>
    <row r="8504" customFormat="false" ht="17.15" hidden="false" customHeight="false" outlineLevel="0" collapsed="false">
      <c r="A8504" s="5" t="s">
        <v>669</v>
      </c>
      <c r="B8504" s="0" t="s">
        <v>57</v>
      </c>
      <c r="H8504" s="36" t="n">
        <f aca="false">Sens!$H$8468*1000/(mw_open*he_open+Sens!$H$8466*Sens!$H$8463)</f>
        <v>0.991949006767191</v>
      </c>
      <c r="I8504" s="36" t="n">
        <f aca="false">Sens!$I$8468*1000/(mw_open*he_open+Sens!$I$8466*Sens!$I$8463)</f>
        <v>0.991949006767191</v>
      </c>
      <c r="J8504" s="36" t="n">
        <f aca="false">Sens!$J$8468*1000/(mw_open*he_open+Sens!$J$8466*Sens!$J$8463)</f>
        <v>0.991949006767191</v>
      </c>
      <c r="K8504" s="36" t="n">
        <f aca="false">Sens!$K$8468*1000/(mw_open*he_open+Sens!$K$8466*Sens!$K$8463)</f>
        <v>0.991949006767191</v>
      </c>
      <c r="L8504" s="36" t="n">
        <f aca="false">Sens!$L$8468*1000/(mw_open*he_open+Sens!$L$8466*Sens!$L$8463)</f>
        <v>0.991949006767191</v>
      </c>
      <c r="M8504" s="36" t="n">
        <f aca="false">Sens!$M$8468*1000/(mw_open*he_open+Sens!$M$8466*Sens!$M$8463)</f>
        <v>0.991949006767191</v>
      </c>
    </row>
    <row r="8505" customFormat="false" ht="17.15" hidden="false" customHeight="false" outlineLevel="0" collapsed="false">
      <c r="A8505" s="5" t="s">
        <v>670</v>
      </c>
      <c r="B8505" s="0" t="s">
        <v>57</v>
      </c>
      <c r="H8505" s="36" t="n">
        <f aca="false">Sens!$H$8504*(Sens!$H$8468+wacc*ext_sh*(Sens!$G$8490+Sens!$H$8490)/2/(1-tax)-Sens!$H$8493)/Sens!$H$8468</f>
        <v>1.18542857552197</v>
      </c>
      <c r="I8505" s="36" t="n">
        <f aca="false">Sens!$I$8504*(Sens!$I$8468+wacc*ext_sh*(Sens!$H$8490+Sens!$I$8490)/2/(1-tax)-Sens!$I$8493)/Sens!$I$8468</f>
        <v>1.20015476648903</v>
      </c>
      <c r="J8505" s="36" t="n">
        <f aca="false">Sens!$J$8504*(Sens!$J$8468+wacc*ext_sh*(Sens!$I$8490+Sens!$J$8490)/2/(1-tax)-Sens!$J$8493)/Sens!$J$8468</f>
        <v>1.16844056931249</v>
      </c>
      <c r="K8505" s="36" t="n">
        <f aca="false">Sens!$K$8504*(Sens!$K$8468+wacc*ext_sh*(Sens!$J$8490+Sens!$K$8490)/2/(1-tax)-Sens!$K$8493)/Sens!$K$8468</f>
        <v>1.15383758356873</v>
      </c>
      <c r="L8505" s="36" t="n">
        <f aca="false">Sens!$L$8504*(Sens!$L$8468+wacc*ext_sh*(Sens!$K$8490+Sens!$L$8490)/2/(1-tax)-Sens!$L$8493)/Sens!$L$8468</f>
        <v>1.13212765595665</v>
      </c>
      <c r="M8505" s="36" t="n">
        <f aca="false">Sens!$M$8504*(Sens!$M$8468+wacc*ext_sh*(Sens!$L$8490+Sens!$M$8490)/2/(1-tax)-Sens!$M$8493)/Sens!$M$8468</f>
        <v>1.12024635139935</v>
      </c>
    </row>
    <row r="8506" customFormat="false" ht="17.15" hidden="false" customHeight="false" outlineLevel="0" collapsed="false">
      <c r="A8506" s="5" t="s">
        <v>671</v>
      </c>
      <c r="B8506" s="0" t="s">
        <v>52</v>
      </c>
      <c r="C8506" s="13" t="n">
        <f aca="false">Sens!$C$8469/tk_pq</f>
        <v>0.195316432429398</v>
      </c>
      <c r="D8506" s="13" t="n">
        <f aca="false">Sens!$D$8469/tk_pq</f>
        <v>0.195316432429398</v>
      </c>
      <c r="E8506" s="13" t="n">
        <f aca="false">Sens!$E$8469/tk_pq</f>
        <v>0.195316432429398</v>
      </c>
      <c r="F8506" s="13" t="n">
        <f aca="false">Sens!$F$8469/tk_pq</f>
        <v>0.202241827274866</v>
      </c>
      <c r="G8506" s="13" t="n">
        <f aca="false">Sens!$G$8469/tk_pq</f>
        <v>0.199675016194063</v>
      </c>
      <c r="H8506" s="13" t="n">
        <f aca="false">Sens!$H$8469/tk_pq</f>
        <v>0.212647947710325</v>
      </c>
      <c r="I8506" s="13" t="n">
        <f aca="false">Sens!$I$8469/tk_pq</f>
        <v>0.219285125475351</v>
      </c>
      <c r="J8506" s="13" t="n">
        <f aca="false">Sens!$J$8469/tk_pq</f>
        <v>0.222492493217189</v>
      </c>
      <c r="K8506" s="13" t="n">
        <f aca="false">Sens!$K$8469/tk_pq</f>
        <v>0.224053502812094</v>
      </c>
      <c r="L8506" s="13" t="n">
        <f aca="false">Sens!$L$8469/tk_pq</f>
        <v>0.224786916785614</v>
      </c>
      <c r="M8506" s="13" t="n">
        <f aca="false">Sens!$M$8469/tk_pq</f>
        <v>0.225048671566937</v>
      </c>
      <c r="N8506" s="13" t="n">
        <f aca="false">Sens!$N$8469/tk_pq</f>
        <v>0.195316432429398</v>
      </c>
      <c r="O8506" s="13" t="n">
        <f aca="false">Sens!$O$8469/tk_pq</f>
        <v>0.195316432429398</v>
      </c>
      <c r="P8506" s="5" t="s">
        <v>672</v>
      </c>
    </row>
    <row r="8509" customFormat="false" ht="17.15" hidden="false" customHeight="false" outlineLevel="0" collapsed="false">
      <c r="A8509" s="1" t="s">
        <v>701</v>
      </c>
    </row>
    <row r="8510" customFormat="false" ht="17.15" hidden="false" customHeight="false" outlineLevel="0" collapsed="false">
      <c r="A8510" s="0" t="s">
        <v>702</v>
      </c>
      <c r="B8510" s="0" t="s">
        <v>86</v>
      </c>
      <c r="C8510" s="38" t="n">
        <f aca="false">Sens!$C$8468</f>
        <v>2.32100535697364</v>
      </c>
      <c r="D8510" s="38" t="n">
        <f aca="false">Sens!$D$8468</f>
        <v>8.70377008865116</v>
      </c>
      <c r="E8510" s="38" t="n">
        <f aca="false">Sens!$E$8468</f>
        <v>8.51035297557002</v>
      </c>
      <c r="F8510" s="38" t="n">
        <f aca="false">Sens!$F$8468</f>
        <v>14.9634336447205</v>
      </c>
      <c r="G8510" s="38" t="n">
        <f aca="false">Sens!$G$8468</f>
        <v>23.4737866202905</v>
      </c>
      <c r="H8510" s="38" t="n">
        <f aca="false">Sens!$H$8468</f>
        <v>60.1658907497746</v>
      </c>
      <c r="I8510" s="38" t="n">
        <f aca="false">Sens!$I$8468</f>
        <v>101.503699136432</v>
      </c>
      <c r="J8510" s="38" t="n">
        <f aca="false">Sens!$J$8468</f>
        <v>143.025407151278</v>
      </c>
      <c r="K8510" s="38" t="n">
        <f aca="false">Sens!$K$8468</f>
        <v>178.44812038318</v>
      </c>
      <c r="L8510" s="38" t="n">
        <f aca="false">Sens!$L$8468</f>
        <v>201.728101802396</v>
      </c>
      <c r="M8510" s="38" t="n">
        <f aca="false">Sens!$M$8468</f>
        <v>212.835441368865</v>
      </c>
      <c r="N8510" s="38" t="n">
        <f aca="false">Sens!$N$8468</f>
        <v>3.04631953102791</v>
      </c>
      <c r="O8510" s="38" t="n">
        <f aca="false">Sens!$O$8468</f>
        <v>5.65745055762326</v>
      </c>
      <c r="P8510" s="8" t="s">
        <v>703</v>
      </c>
    </row>
    <row r="8511" customFormat="false" ht="17.15" hidden="false" customHeight="false" outlineLevel="0" collapsed="false">
      <c r="A8511" s="0" t="s">
        <v>704</v>
      </c>
      <c r="B8511" s="0" t="s">
        <v>86</v>
      </c>
      <c r="C8511" s="38" t="n">
        <f aca="false">Sens!$C$8472</f>
        <v>105.234994643026</v>
      </c>
      <c r="D8511" s="38" t="n">
        <f aca="false">Sens!$D$8472</f>
        <v>120.021229911349</v>
      </c>
      <c r="E8511" s="38" t="n">
        <f aca="false">Sens!$E$8472</f>
        <v>71.30864702443</v>
      </c>
      <c r="F8511" s="38" t="n">
        <f aca="false">Sens!$F$8472</f>
        <v>71.7692997942464</v>
      </c>
      <c r="G8511" s="38" t="n">
        <f aca="false">Sens!$G$8472</f>
        <v>143.077946818676</v>
      </c>
      <c r="H8511" s="38" t="n">
        <f aca="false">Sens!$H$8472</f>
        <v>161.017077079203</v>
      </c>
      <c r="I8511" s="38" t="n">
        <f aca="false">Sens!$I$8472</f>
        <v>178.769759521457</v>
      </c>
      <c r="J8511" s="38" t="n">
        <f aca="false">Sens!$J$8472</f>
        <v>195.775538045907</v>
      </c>
      <c r="K8511" s="38" t="n">
        <f aca="false">Sens!$K$8472</f>
        <v>211.43758108958</v>
      </c>
      <c r="L8511" s="38" t="n">
        <f aca="false">Sens!$L$8472</f>
        <v>228.352587576746</v>
      </c>
      <c r="M8511" s="38" t="n">
        <f aca="false">Sens!$M$8472</f>
        <v>246.620794582886</v>
      </c>
      <c r="N8511" s="38" t="n">
        <f aca="false">Sens!$N$8472</f>
        <v>57.0936804689721</v>
      </c>
      <c r="O8511" s="38" t="n">
        <f aca="false">Sens!$O$8472</f>
        <v>62.9275494423768</v>
      </c>
      <c r="P8511" s="8" t="s">
        <v>703</v>
      </c>
    </row>
    <row r="8512" customFormat="false" ht="17.15" hidden="false" customHeight="false" outlineLevel="0" collapsed="false">
      <c r="A8512" s="1" t="s">
        <v>523</v>
      </c>
      <c r="B8512" s="8" t="s">
        <v>86</v>
      </c>
      <c r="C8512" s="38" t="n">
        <f aca="false">Q!$D$7</f>
        <v>107.556</v>
      </c>
      <c r="D8512" s="38" t="n">
        <f aca="false">Q!$E$7</f>
        <v>128.725</v>
      </c>
      <c r="E8512" s="38" t="n">
        <f aca="false">Q!$P$7</f>
        <v>79.819</v>
      </c>
      <c r="F8512" s="38" t="n">
        <f aca="false">Sens!$F$8510+Sens!$F$8511</f>
        <v>86.7327334389669</v>
      </c>
      <c r="G8512" s="38" t="n">
        <f aca="false">Sens!$G$8510+Sens!$G$8511</f>
        <v>166.551733438967</v>
      </c>
      <c r="H8512" s="38" t="n">
        <f aca="false">Sens!$H$8510+Sens!$H$8511</f>
        <v>221.182967828978</v>
      </c>
      <c r="I8512" s="38" t="n">
        <f aca="false">Sens!$I$8510+Sens!$I$8511</f>
        <v>280.27345865789</v>
      </c>
      <c r="J8512" s="38" t="n">
        <f aca="false">Sens!$J$8510+Sens!$J$8511</f>
        <v>338.800945197185</v>
      </c>
      <c r="K8512" s="38" t="n">
        <f aca="false">Sens!$K$8510+Sens!$K$8511</f>
        <v>389.88570147276</v>
      </c>
      <c r="L8512" s="38" t="n">
        <f aca="false">Sens!$L$8510+Sens!$L$8511</f>
        <v>430.080689379143</v>
      </c>
      <c r="M8512" s="38" t="n">
        <f aca="false">Sens!$M$8510+Sens!$M$8511</f>
        <v>459.456235951751</v>
      </c>
      <c r="N8512" s="38" t="n">
        <f aca="false">Q!$N$7</f>
        <v>60.14</v>
      </c>
      <c r="O8512" s="38" t="n">
        <f aca="false">Q!$O$7</f>
        <v>68.585</v>
      </c>
      <c r="P8512" s="5" t="s">
        <v>705</v>
      </c>
    </row>
    <row r="8513" customFormat="false" ht="15" hidden="false" customHeight="false" outlineLevel="0" collapsed="false">
      <c r="A8513" s="3" t="s">
        <v>706</v>
      </c>
      <c r="B8513" s="8" t="s">
        <v>86</v>
      </c>
      <c r="C8513" s="38" t="n">
        <f aca="false">Q!$D$8</f>
        <v>637.959</v>
      </c>
      <c r="D8513" s="38" t="n">
        <f aca="false">Q!$E$8</f>
        <v>716.924</v>
      </c>
      <c r="E8513" s="38" t="n">
        <f aca="false">Q!$P$8</f>
        <v>382.125</v>
      </c>
      <c r="F8513" s="38" t="n">
        <f aca="false">Sens!$F$8440+Sens!$F$8512</f>
        <v>435.780975084504</v>
      </c>
      <c r="G8513" s="38" t="n">
        <f aca="false">Sens!$G$8440+Sens!$G$8512</f>
        <v>817.905975084504</v>
      </c>
      <c r="H8513" s="38" t="n">
        <f aca="false">Sens!$H$8440+Sens!$H$8512</f>
        <v>942.279857350364</v>
      </c>
      <c r="I8513" s="38" t="n">
        <f aca="false">Sens!$I$8440+Sens!$I$8512</f>
        <v>1068.80284981042</v>
      </c>
      <c r="J8513" s="38" t="n">
        <f aca="false">Sens!$J$8440+Sens!$J$8512</f>
        <v>1189.90935093863</v>
      </c>
      <c r="K8513" s="38" t="n">
        <f aca="false">Sens!$K$8440+Sens!$K$8512</f>
        <v>1296.06215690385</v>
      </c>
      <c r="L8513" s="38" t="n">
        <f aca="false">Sens!$L$8440+Sens!$L$8512</f>
        <v>1395.17379585473</v>
      </c>
      <c r="M8513" s="38" t="n">
        <f aca="false">Sens!$M$8440+Sens!$M$8512</f>
        <v>1487.60414389864</v>
      </c>
      <c r="N8513" s="38" t="n">
        <f aca="false">Q!$N$8</f>
        <v>323.369</v>
      </c>
      <c r="O8513" s="38" t="n">
        <f aca="false">Q!$O$8</f>
        <v>393.555</v>
      </c>
    </row>
    <row r="8514" customFormat="false" ht="17.15" hidden="false" customHeight="false" outlineLevel="0" collapsed="false">
      <c r="A8514" s="24" t="s">
        <v>714</v>
      </c>
      <c r="B8514" s="25" t="s">
        <v>86</v>
      </c>
      <c r="C8514" s="41" t="n">
        <f aca="false">Sens!$C$8440-(Sens!$C$8442+Sens!$C$8443)</f>
        <v>0</v>
      </c>
      <c r="D8514" s="41" t="n">
        <f aca="false">Sens!$D$8440-(Sens!$D$8442+Sens!$D$8443)</f>
        <v>0</v>
      </c>
      <c r="E8514" s="41" t="n">
        <f aca="false">Sens!$E$8440-(Sens!$E$8442+Sens!$E$8443)</f>
        <v>0</v>
      </c>
      <c r="F8514" s="41" t="n">
        <f aca="false">Sens!$F$8440-(Sens!$F$8442+Sens!$F$8443)</f>
        <v>0</v>
      </c>
      <c r="G8514" s="41" t="n">
        <f aca="false">Sens!$G$8440-(Sens!$G$8442+Sens!$G$8443)</f>
        <v>0</v>
      </c>
      <c r="H8514" s="41" t="n">
        <f aca="false">Sens!$H$8440-(Sens!$H$8442+Sens!$H$8443)</f>
        <v>0</v>
      </c>
      <c r="I8514" s="41" t="n">
        <f aca="false">Sens!$I$8440-(Sens!$I$8442+Sens!$I$8443)</f>
        <v>0</v>
      </c>
      <c r="J8514" s="41" t="n">
        <f aca="false">Sens!$J$8440-(Sens!$J$8442+Sens!$J$8443)</f>
        <v>0</v>
      </c>
      <c r="K8514" s="41" t="n">
        <f aca="false">Sens!$K$8440-(Sens!$K$8442+Sens!$K$8443)</f>
        <v>0</v>
      </c>
      <c r="L8514" s="41" t="n">
        <f aca="false">Sens!$L$8440-(Sens!$L$8442+Sens!$L$8443)</f>
        <v>0</v>
      </c>
      <c r="M8514" s="41" t="n">
        <f aca="false">Sens!$M$8440-(Sens!$M$8442+Sens!$M$8443)</f>
        <v>0</v>
      </c>
      <c r="N8514" s="41" t="n">
        <f aca="false">Sens!$N$8440-(Sens!$N$8442+Sens!$N$8443)</f>
        <v>0</v>
      </c>
      <c r="O8514" s="41" t="n">
        <f aca="false">Sens!$O$8440-(Sens!$O$8442+Sens!$O$8443)</f>
        <v>0</v>
      </c>
    </row>
    <row r="8515" customFormat="false" ht="17.15" hidden="false" customHeight="false" outlineLevel="0" collapsed="false">
      <c r="A8515" s="24" t="s">
        <v>715</v>
      </c>
      <c r="B8515" s="25" t="s">
        <v>86</v>
      </c>
      <c r="C8515" s="41" t="n">
        <f aca="false">Sens!$C$8510+Sens!$C$8511-Sens!$C$8512</f>
        <v>0</v>
      </c>
      <c r="D8515" s="41" t="n">
        <f aca="false">Sens!$D$8510+Sens!$D$8511-Sens!$D$8512</f>
        <v>0</v>
      </c>
      <c r="E8515" s="41" t="n">
        <f aca="false">Sens!$E$8510+Sens!$E$8511-Sens!$E$8512</f>
        <v>0</v>
      </c>
      <c r="F8515" s="41" t="n">
        <f aca="false">Sens!$F$8510+Sens!$F$8511-Sens!$F$8512</f>
        <v>0</v>
      </c>
      <c r="G8515" s="41" t="n">
        <f aca="false">Sens!$G$8510+Sens!$G$8511-Sens!$G$8512</f>
        <v>0</v>
      </c>
      <c r="H8515" s="41" t="n">
        <f aca="false">Sens!$H$8510+Sens!$H$8511-Sens!$H$8512</f>
        <v>0</v>
      </c>
      <c r="I8515" s="41" t="n">
        <f aca="false">Sens!$I$8510+Sens!$I$8511-Sens!$I$8512</f>
        <v>0</v>
      </c>
      <c r="J8515" s="41" t="n">
        <f aca="false">Sens!$J$8510+Sens!$J$8511-Sens!$J$8512</f>
        <v>0</v>
      </c>
      <c r="K8515" s="41" t="n">
        <f aca="false">Sens!$K$8510+Sens!$K$8511-Sens!$K$8512</f>
        <v>0</v>
      </c>
      <c r="L8515" s="41" t="n">
        <f aca="false">Sens!$L$8510+Sens!$L$8511-Sens!$L$8512</f>
        <v>0</v>
      </c>
      <c r="M8515" s="41" t="n">
        <f aca="false">Sens!$M$8510+Sens!$M$8511-Sens!$M$8512</f>
        <v>0</v>
      </c>
      <c r="N8515" s="41" t="n">
        <f aca="false">Sens!$N$8510+Sens!$N$8511-Sens!$N$8512</f>
        <v>0</v>
      </c>
      <c r="O8515" s="41" t="n">
        <f aca="false">Sens!$O$8510+Sens!$O$8511-Sens!$O$8512</f>
        <v>0</v>
      </c>
    </row>
    <row r="8516" customFormat="false" ht="17.15" hidden="false" customHeight="false" outlineLevel="0" collapsed="false">
      <c r="A8516" s="24" t="s">
        <v>716</v>
      </c>
      <c r="B8516" s="25" t="s">
        <v>86</v>
      </c>
      <c r="C8516" s="41" t="n">
        <f aca="false">Sens!$C$8442+Sens!$C$8443+Sens!$C$8512-Sens!$C$8513</f>
        <v>0</v>
      </c>
      <c r="D8516" s="41" t="n">
        <f aca="false">Sens!$D$8442+Sens!$D$8443+Sens!$D$8512-Sens!$D$8513</f>
        <v>0</v>
      </c>
      <c r="E8516" s="41" t="n">
        <f aca="false">Sens!$E$8442+Sens!$E$8443+Sens!$E$8512-Sens!$E$8513</f>
        <v>0</v>
      </c>
      <c r="F8516" s="41" t="n">
        <f aca="false">Sens!$F$8442+Sens!$F$8443+Sens!$F$8512-Sens!$F$8513</f>
        <v>0</v>
      </c>
      <c r="G8516" s="41" t="n">
        <f aca="false">Sens!$G$8442+Sens!$G$8443+Sens!$G$8512-Sens!$G$8513</f>
        <v>0</v>
      </c>
      <c r="H8516" s="41" t="n">
        <f aca="false">Sens!$H$8442+Sens!$H$8443+Sens!$H$8512-Sens!$H$8513</f>
        <v>0</v>
      </c>
      <c r="I8516" s="41" t="n">
        <f aca="false">Sens!$I$8442+Sens!$I$8443+Sens!$I$8512-Sens!$I$8513</f>
        <v>0</v>
      </c>
      <c r="J8516" s="41" t="n">
        <f aca="false">Sens!$J$8442+Sens!$J$8443+Sens!$J$8512-Sens!$J$8513</f>
        <v>0</v>
      </c>
      <c r="K8516" s="41" t="n">
        <f aca="false">Sens!$K$8442+Sens!$K$8443+Sens!$K$8512-Sens!$K$8513</f>
        <v>0</v>
      </c>
      <c r="L8516" s="41" t="n">
        <f aca="false">Sens!$L$8442+Sens!$L$8443+Sens!$L$8512-Sens!$L$8513</f>
        <v>0</v>
      </c>
      <c r="M8516" s="41" t="n">
        <f aca="false">Sens!$M$8442+Sens!$M$8443+Sens!$M$8512-Sens!$M$8513</f>
        <v>0</v>
      </c>
      <c r="N8516" s="41" t="n">
        <f aca="false">Sens!$N$8442+Sens!$N$8443+Sens!$N$8512-Sens!$N$8513</f>
        <v>0</v>
      </c>
      <c r="O8516" s="41" t="n">
        <f aca="false">Sens!$O$8442+Sens!$O$8443+Sens!$O$8512-Sens!$O$8513</f>
        <v>0</v>
      </c>
    </row>
    <row r="8517" customFormat="false" ht="15" hidden="false" customHeight="false" outlineLevel="0" collapsed="false">
      <c r="A8517" s="5" t="s">
        <v>710</v>
      </c>
      <c r="B8517" s="0" t="s">
        <v>52</v>
      </c>
      <c r="G8517" s="13" t="n">
        <f aca="false">Sens!$G$8513/Sens!$D$8513-1</f>
        <v>0.140854504918937</v>
      </c>
      <c r="H8517" s="13" t="n">
        <f aca="false">Sens!$H$8513/Sens!$G$8513-1</f>
        <v>0.152063789793209</v>
      </c>
      <c r="I8517" s="13" t="n">
        <f aca="false">Sens!$I$8513/Sens!$H$8513-1</f>
        <v>0.134273264437417</v>
      </c>
      <c r="J8517" s="13" t="n">
        <f aca="false">Sens!$J$8513/Sens!$I$8513-1</f>
        <v>0.113310421234083</v>
      </c>
      <c r="K8517" s="13" t="n">
        <f aca="false">Sens!$K$8513/Sens!$J$8513-1</f>
        <v>0.0892108343223652</v>
      </c>
      <c r="L8517" s="13" t="n">
        <f aca="false">Sens!$L$8513/Sens!$K$8513-1</f>
        <v>0.076471362444261</v>
      </c>
      <c r="M8517" s="13" t="n">
        <f aca="false">Sens!$M$8513/Sens!$L$8513-1</f>
        <v>0.066250060256672</v>
      </c>
    </row>
    <row r="8518" customFormat="false" ht="17.15" hidden="false" customHeight="false" outlineLevel="0" collapsed="false">
      <c r="A8518" s="0" t="s">
        <v>711</v>
      </c>
      <c r="B8518" s="0" t="s">
        <v>52</v>
      </c>
      <c r="C8518" s="13" t="n">
        <f aca="false">Sens!$C$8512/Sens!$C$8513</f>
        <v>0.168593906504964</v>
      </c>
      <c r="D8518" s="13" t="n">
        <f aca="false">Sens!$D$8512/Sens!$D$8513</f>
        <v>0.179551807444025</v>
      </c>
      <c r="E8518" s="13" t="n">
        <f aca="false">Sens!$E$8512/Sens!$E$8513</f>
        <v>0.208881910369643</v>
      </c>
      <c r="F8518" s="13" t="n">
        <f aca="false">Sens!$F$8512/Sens!$F$8513</f>
        <v>0.199028269699356</v>
      </c>
      <c r="G8518" s="13" t="n">
        <f aca="false">Sens!$G$8512/Sens!$G$8513</f>
        <v>0.203631882529968</v>
      </c>
      <c r="H8518" s="13" t="n">
        <f aca="false">Sens!$H$8512/Sens!$H$8513</f>
        <v>0.234731715958496</v>
      </c>
      <c r="I8518" s="13" t="n">
        <f aca="false">Sens!$I$8512/Sens!$I$8513</f>
        <v>0.262231204480418</v>
      </c>
      <c r="J8518" s="13" t="n">
        <f aca="false">Sens!$J$8512/Sens!$J$8513</f>
        <v>0.284728366013706</v>
      </c>
      <c r="K8518" s="13" t="n">
        <f aca="false">Sens!$K$8512/Sens!$K$8513</f>
        <v>0.300823304959505</v>
      </c>
      <c r="L8518" s="13" t="n">
        <f aca="false">Sens!$L$8512/Sens!$L$8513</f>
        <v>0.308263164529735</v>
      </c>
      <c r="M8518" s="13" t="n">
        <f aca="false">Sens!$M$8512/Sens!$M$8513</f>
        <v>0.308856517936036</v>
      </c>
      <c r="N8518" s="13" t="n">
        <f aca="false">Sens!$N$8512/Sens!$N$8513</f>
        <v>0.185979484737251</v>
      </c>
      <c r="O8518" s="13" t="n">
        <f aca="false">Sens!$O$8512/Sens!$O$8513</f>
        <v>0.174270432341096</v>
      </c>
    </row>
    <row r="8519" customFormat="false" ht="17.15" hidden="false" customHeight="false" outlineLevel="0" collapsed="false">
      <c r="A8519" s="0" t="s">
        <v>712</v>
      </c>
      <c r="B8519" s="0" t="s">
        <v>52</v>
      </c>
      <c r="C8519" s="13" t="n">
        <f aca="false">Sens!$C$8510/Sens!$C$8512</f>
        <v>0.0215795060896058</v>
      </c>
      <c r="D8519" s="13" t="n">
        <f aca="false">Sens!$D$8510/Sens!$D$8512</f>
        <v>0.0676152269462122</v>
      </c>
      <c r="E8519" s="13" t="n">
        <f aca="false">Sens!$E$8510/Sens!$E$8512</f>
        <v>0.106620641395783</v>
      </c>
      <c r="F8519" s="13" t="n">
        <f aca="false">Sens!$F$8510/Sens!$F$8512</f>
        <v>0.172523487401099</v>
      </c>
      <c r="G8519" s="13" t="n">
        <f aca="false">Sens!$G$8510/Sens!$G$8512</f>
        <v>0.140939911795589</v>
      </c>
      <c r="H8519" s="13" t="n">
        <f aca="false">Sens!$H$8510/Sens!$H$8512</f>
        <v>0.272018642937714</v>
      </c>
      <c r="I8519" s="13" t="n">
        <f aca="false">Sens!$I$8510/Sens!$I$8512</f>
        <v>0.362159512436497</v>
      </c>
      <c r="J8519" s="13" t="n">
        <f aca="false">Sens!$J$8510/Sens!$J$8512</f>
        <v>0.422151735934609</v>
      </c>
      <c r="K8519" s="13" t="n">
        <f aca="false">Sens!$K$8510/Sens!$K$8512</f>
        <v>0.45769342068485</v>
      </c>
      <c r="L8519" s="13" t="n">
        <f aca="false">Sens!$L$8510/Sens!$L$8512</f>
        <v>0.469047103913472</v>
      </c>
      <c r="M8519" s="13" t="n">
        <f aca="false">Sens!$M$8510/Sens!$M$8512</f>
        <v>0.463233328258093</v>
      </c>
      <c r="N8519" s="13" t="n">
        <f aca="false">Sens!$N$8510/Sens!$N$8512</f>
        <v>0.0506537999838362</v>
      </c>
      <c r="O8519" s="13" t="n">
        <f aca="false">Sens!$O$8510/Sens!$O$8512</f>
        <v>0.0824881615167056</v>
      </c>
    </row>
    <row r="8522" customFormat="false" ht="19.4" hidden="false" customHeight="false" outlineLevel="0" collapsed="false">
      <c r="A8522" s="31" t="s">
        <v>1324</v>
      </c>
    </row>
    <row r="8523" customFormat="false" ht="17.15" hidden="false" customHeight="false" outlineLevel="0" collapsed="false">
      <c r="A8523" s="6" t="s">
        <v>16</v>
      </c>
      <c r="B8523" s="6" t="s">
        <v>17</v>
      </c>
      <c r="C8523" s="20" t="s">
        <v>504</v>
      </c>
      <c r="D8523" s="20" t="s">
        <v>505</v>
      </c>
      <c r="E8523" s="20" t="s">
        <v>587</v>
      </c>
      <c r="F8523" s="20" t="s">
        <v>588</v>
      </c>
      <c r="G8523" s="20" t="s">
        <v>589</v>
      </c>
      <c r="H8523" s="20" t="s">
        <v>590</v>
      </c>
      <c r="I8523" s="20" t="s">
        <v>591</v>
      </c>
      <c r="J8523" s="20" t="s">
        <v>592</v>
      </c>
      <c r="K8523" s="20" t="s">
        <v>593</v>
      </c>
      <c r="L8523" s="20" t="s">
        <v>594</v>
      </c>
      <c r="M8523" s="20" t="s">
        <v>595</v>
      </c>
      <c r="N8523" s="20" t="s">
        <v>596</v>
      </c>
      <c r="O8523" s="20" t="s">
        <v>597</v>
      </c>
      <c r="P8523" s="6" t="s">
        <v>23</v>
      </c>
      <c r="R8523" s="20" t="n">
        <v>2023</v>
      </c>
      <c r="S8523" s="20" t="n">
        <v>2024</v>
      </c>
      <c r="T8523" s="20" t="n">
        <v>2025</v>
      </c>
      <c r="U8523" s="20" t="n">
        <v>2026</v>
      </c>
      <c r="V8523" s="20" t="n">
        <v>2027</v>
      </c>
      <c r="W8523" s="20" t="n">
        <v>2028</v>
      </c>
      <c r="X8523" s="20" t="n">
        <v>2029</v>
      </c>
      <c r="Y8523" s="20" t="n">
        <v>2030</v>
      </c>
      <c r="Z8523" s="20" t="n">
        <v>2031</v>
      </c>
      <c r="AA8523" s="20" t="n">
        <v>2032</v>
      </c>
    </row>
    <row r="8524" customFormat="false" ht="17.15" hidden="false" customHeight="false" outlineLevel="0" collapsed="false">
      <c r="A8524" s="1" t="s">
        <v>727</v>
      </c>
    </row>
    <row r="8525" customFormat="false" ht="15" hidden="false" customHeight="false" outlineLevel="0" collapsed="false">
      <c r="A8525" s="0" t="s">
        <v>526</v>
      </c>
      <c r="B8525" s="0" t="s">
        <v>86</v>
      </c>
      <c r="C8525" s="38" t="n">
        <f aca="false">Sens!$C$8427</f>
        <v>247.029</v>
      </c>
      <c r="D8525" s="38" t="n">
        <f aca="false">Sens!$D$8427</f>
        <v>269.287</v>
      </c>
      <c r="E8525" s="38" t="n">
        <f aca="false">Sens!$E$8427</f>
        <v>134.686</v>
      </c>
      <c r="F8525" s="38" t="n">
        <f aca="false">Sens!$F$8427</f>
        <v>158.293876822267</v>
      </c>
      <c r="G8525" s="38" t="n">
        <f aca="false">Sens!$G$8427</f>
        <v>292.979876822267</v>
      </c>
      <c r="H8525" s="38" t="n">
        <f aca="false">Sens!$H$8427</f>
        <v>318.184543087396</v>
      </c>
      <c r="I8525" s="38" t="n">
        <f aca="false">Sens!$I$8427</f>
        <v>341.736278761793</v>
      </c>
      <c r="J8525" s="38" t="n">
        <f aca="false">Sens!$J$8427</f>
        <v>362.927192787048</v>
      </c>
      <c r="K8525" s="38" t="n">
        <f aca="false">Sens!$K$8427</f>
        <v>381.0735524264</v>
      </c>
      <c r="L8525" s="38" t="n">
        <f aca="false">Sens!$L$8427</f>
        <v>400.12723004772</v>
      </c>
      <c r="M8525" s="38" t="n">
        <f aca="false">Sens!$M$8427</f>
        <v>420.133591550106</v>
      </c>
      <c r="N8525" s="38" t="n">
        <f aca="false">Sens!$N$8427</f>
        <v>118.892</v>
      </c>
      <c r="O8525" s="38" t="n">
        <f aca="false">Sens!$O$8427</f>
        <v>150.395</v>
      </c>
    </row>
    <row r="8526" customFormat="false" ht="15" hidden="false" customHeight="false" outlineLevel="0" collapsed="false">
      <c r="A8526" s="0" t="s">
        <v>527</v>
      </c>
      <c r="B8526" s="0" t="s">
        <v>86</v>
      </c>
      <c r="C8526" s="38" t="n">
        <f aca="false">Sens!$C$8429</f>
        <v>21.215</v>
      </c>
      <c r="D8526" s="38" t="n">
        <f aca="false">Sens!$D$8429</f>
        <v>22.561</v>
      </c>
      <c r="E8526" s="38" t="n">
        <f aca="false">Sens!$E$8429</f>
        <v>11.579</v>
      </c>
      <c r="F8526" s="38" t="n">
        <f aca="false">Sens!$F$8429</f>
        <v>11.5938724610325</v>
      </c>
      <c r="G8526" s="38" t="n">
        <f aca="false">Sens!$G$8429</f>
        <v>23.1728724610325</v>
      </c>
      <c r="H8526" s="38" t="n">
        <f aca="false">Sens!$H$8429</f>
        <v>24.353392759506</v>
      </c>
      <c r="I8526" s="38" t="n">
        <f aca="false">Sens!$I$8429</f>
        <v>25.4240338872015</v>
      </c>
      <c r="J8526" s="38" t="n">
        <f aca="false">Sens!$J$8429</f>
        <v>26.3642491017174</v>
      </c>
      <c r="K8526" s="38" t="n">
        <f aca="false">Sens!$K$8429</f>
        <v>27.155176574769</v>
      </c>
      <c r="L8526" s="38" t="n">
        <f aca="false">Sens!$L$8429</f>
        <v>27.969831872012</v>
      </c>
      <c r="M8526" s="38" t="n">
        <f aca="false">Sens!$M$8429</f>
        <v>28.8089268281724</v>
      </c>
      <c r="N8526" s="38" t="n">
        <f aca="false">Sens!$N$8429</f>
        <v>11.128</v>
      </c>
      <c r="O8526" s="38" t="n">
        <f aca="false">Sens!$O$8429</f>
        <v>11.433</v>
      </c>
    </row>
    <row r="8527" customFormat="false" ht="15" hidden="false" customHeight="false" outlineLevel="0" collapsed="false">
      <c r="A8527" s="0" t="s">
        <v>528</v>
      </c>
      <c r="B8527" s="0" t="s">
        <v>86</v>
      </c>
      <c r="C8527" s="38" t="n">
        <f aca="false">Sens!$C$8431</f>
        <v>156.146</v>
      </c>
      <c r="D8527" s="38" t="n">
        <f aca="false">Sens!$D$8431</f>
        <v>172.162</v>
      </c>
      <c r="E8527" s="38" t="n">
        <f aca="false">Sens!$E$8431</f>
        <v>88.358</v>
      </c>
      <c r="F8527" s="38" t="n">
        <f aca="false">Sens!$F$8431</f>
        <v>102.004388260171</v>
      </c>
      <c r="G8527" s="38" t="n">
        <f aca="false">Sens!$G$8431</f>
        <v>190.362388260171</v>
      </c>
      <c r="H8527" s="38" t="n">
        <f aca="false">Sens!$H$8431</f>
        <v>210.343106588311</v>
      </c>
      <c r="I8527" s="38" t="n">
        <f aca="false">Sens!$I$8431</f>
        <v>229.969728494648</v>
      </c>
      <c r="J8527" s="38" t="n">
        <f aca="false">Sens!$J$8431</f>
        <v>248.747636972598</v>
      </c>
      <c r="K8527" s="38" t="n">
        <f aca="false">Sens!$K$8431</f>
        <v>266.15997156068</v>
      </c>
      <c r="L8527" s="38" t="n">
        <f aca="false">Sens!$L$8431</f>
        <v>284.791169569927</v>
      </c>
      <c r="M8527" s="38" t="n">
        <f aca="false">Sens!$M$8431</f>
        <v>304.726551439822</v>
      </c>
      <c r="N8527" s="38" t="n">
        <f aca="false">Sens!$N$8431</f>
        <v>76.86</v>
      </c>
      <c r="O8527" s="38" t="n">
        <f aca="false">Sens!$O$8431</f>
        <v>95.302</v>
      </c>
    </row>
    <row r="8528" customFormat="false" ht="15" hidden="false" customHeight="false" outlineLevel="0" collapsed="false">
      <c r="A8528" s="0" t="s">
        <v>529</v>
      </c>
      <c r="B8528" s="0" t="s">
        <v>86</v>
      </c>
      <c r="C8528" s="38" t="n">
        <f aca="false">Sens!$C$8433</f>
        <v>56.214</v>
      </c>
      <c r="D8528" s="38" t="n">
        <f aca="false">Sens!$D$8433</f>
        <v>68.635</v>
      </c>
      <c r="E8528" s="38" t="n">
        <f aca="false">Sens!$E$8433</f>
        <v>37.052</v>
      </c>
      <c r="F8528" s="38" t="n">
        <f aca="false">Sens!$F$8433</f>
        <v>46.1572219944148</v>
      </c>
      <c r="G8528" s="38" t="n">
        <f aca="false">Sens!$G$8433</f>
        <v>83.2092219944148</v>
      </c>
      <c r="H8528" s="38" t="n">
        <f aca="false">Sens!$H$8433</f>
        <v>99.8969223878976</v>
      </c>
      <c r="I8528" s="38" t="n">
        <f aca="false">Sens!$I$8433</f>
        <v>116.583111095496</v>
      </c>
      <c r="J8528" s="38" t="n">
        <f aca="false">Sens!$J$8433</f>
        <v>132.148941941952</v>
      </c>
      <c r="K8528" s="38" t="n">
        <f aca="false">Sens!$K$8433</f>
        <v>145.363836136147</v>
      </c>
      <c r="L8528" s="38" t="n">
        <f aca="false">Sens!$L$8433</f>
        <v>159.900219749762</v>
      </c>
      <c r="M8528" s="38" t="n">
        <f aca="false">Sens!$M$8433</f>
        <v>175.890241724738</v>
      </c>
      <c r="N8528" s="38" t="n">
        <f aca="false">Sens!$N$8433</f>
        <v>29.615</v>
      </c>
      <c r="O8528" s="38" t="n">
        <f aca="false">Sens!$O$8433</f>
        <v>39.02</v>
      </c>
    </row>
    <row r="8529" customFormat="false" ht="15" hidden="false" customHeight="false" outlineLevel="0" collapsed="false">
      <c r="A8529" s="0" t="s">
        <v>530</v>
      </c>
      <c r="B8529" s="0" t="s">
        <v>86</v>
      </c>
      <c r="C8529" s="38" t="n">
        <f aca="false">Sens!$C$8435</f>
        <v>44.374</v>
      </c>
      <c r="D8529" s="38" t="n">
        <f aca="false">Sens!$D$8435</f>
        <v>49.619</v>
      </c>
      <c r="E8529" s="38" t="n">
        <f aca="false">Sens!$E$8435</f>
        <v>27.157</v>
      </c>
      <c r="F8529" s="38" t="n">
        <f aca="false">Sens!$F$8435</f>
        <v>27.7764165988154</v>
      </c>
      <c r="G8529" s="38" t="n">
        <f aca="false">Sens!$G$8435</f>
        <v>54.9334165988154</v>
      </c>
      <c r="H8529" s="38" t="n">
        <f aca="false">Sens!$H$8435</f>
        <v>61.1564112561829</v>
      </c>
      <c r="I8529" s="38" t="n">
        <f aca="false">Sens!$I$8435</f>
        <v>67.2020282103945</v>
      </c>
      <c r="J8529" s="38" t="n">
        <f aca="false">Sens!$J$8435</f>
        <v>72.8757274028885</v>
      </c>
      <c r="K8529" s="38" t="n">
        <f aca="false">Sens!$K$8435</f>
        <v>77.9770283210907</v>
      </c>
      <c r="L8529" s="38" t="n">
        <f aca="false">Sens!$L$8435</f>
        <v>83.4354203035671</v>
      </c>
      <c r="M8529" s="38" t="n">
        <f aca="false">Sens!$M$8435</f>
        <v>89.2758997248168</v>
      </c>
      <c r="N8529" s="38" t="n">
        <f aca="false">Sens!$N$8435</f>
        <v>23.923</v>
      </c>
      <c r="O8529" s="38" t="n">
        <f aca="false">Sens!$O$8435</f>
        <v>25.696</v>
      </c>
    </row>
    <row r="8530" customFormat="false" ht="15" hidden="false" customHeight="false" outlineLevel="0" collapsed="false">
      <c r="A8530" s="0" t="s">
        <v>531</v>
      </c>
      <c r="B8530" s="0" t="s">
        <v>86</v>
      </c>
      <c r="C8530" s="38" t="n">
        <f aca="false">Sens!$C$8437</f>
        <v>5.425</v>
      </c>
      <c r="D8530" s="38" t="n">
        <f aca="false">Sens!$D$8437</f>
        <v>5.935</v>
      </c>
      <c r="E8530" s="38" t="n">
        <f aca="false">Sens!$E$8437</f>
        <v>3.474</v>
      </c>
      <c r="F8530" s="38" t="n">
        <f aca="false">Sens!$F$8437</f>
        <v>3.22246550883619</v>
      </c>
      <c r="G8530" s="38" t="n">
        <f aca="false">Sens!$G$8437</f>
        <v>6.69646550883619</v>
      </c>
      <c r="H8530" s="38" t="n">
        <f aca="false">Sens!$H$8437</f>
        <v>7.16251344209196</v>
      </c>
      <c r="I8530" s="38" t="n">
        <f aca="false">Sens!$I$8437</f>
        <v>7.61421070299826</v>
      </c>
      <c r="J8530" s="38" t="n">
        <f aca="false">Sens!$J$8437</f>
        <v>8.04465753523932</v>
      </c>
      <c r="K8530" s="38" t="n">
        <f aca="false">Sens!$K$8437</f>
        <v>8.44689041200128</v>
      </c>
      <c r="L8530" s="38" t="n">
        <f aca="false">Sens!$L$8437</f>
        <v>8.86923493260135</v>
      </c>
      <c r="M8530" s="38" t="n">
        <f aca="false">Sens!$M$8437</f>
        <v>9.31269667923142</v>
      </c>
      <c r="N8530" s="38" t="n">
        <f aca="false">Sens!$N$8437</f>
        <v>2.811</v>
      </c>
      <c r="O8530" s="38" t="n">
        <f aca="false">Sens!$O$8437</f>
        <v>3.124</v>
      </c>
    </row>
    <row r="8531" customFormat="false" ht="17.15" hidden="false" customHeight="false" outlineLevel="0" collapsed="false">
      <c r="A8531" s="0" t="s">
        <v>728</v>
      </c>
      <c r="B8531" s="0" t="s">
        <v>86</v>
      </c>
      <c r="C8531" s="38" t="n">
        <f aca="false">Sens!$C$8512</f>
        <v>107.556</v>
      </c>
      <c r="D8531" s="38" t="n">
        <f aca="false">Sens!$D$8512</f>
        <v>128.725</v>
      </c>
      <c r="E8531" s="38" t="n">
        <f aca="false">Sens!$E$8512</f>
        <v>79.819</v>
      </c>
      <c r="F8531" s="38" t="n">
        <f aca="false">Sens!$F$8512</f>
        <v>86.7327334389669</v>
      </c>
      <c r="G8531" s="38" t="n">
        <f aca="false">Sens!$G$8512</f>
        <v>166.551733438967</v>
      </c>
      <c r="H8531" s="38" t="n">
        <f aca="false">Sens!$H$8512</f>
        <v>221.182967828978</v>
      </c>
      <c r="I8531" s="38" t="n">
        <f aca="false">Sens!$I$8512</f>
        <v>280.27345865789</v>
      </c>
      <c r="J8531" s="38" t="n">
        <f aca="false">Sens!$J$8512</f>
        <v>338.800945197185</v>
      </c>
      <c r="K8531" s="38" t="n">
        <f aca="false">Sens!$K$8512</f>
        <v>389.88570147276</v>
      </c>
      <c r="L8531" s="38" t="n">
        <f aca="false">Sens!$L$8512</f>
        <v>430.080689379143</v>
      </c>
      <c r="M8531" s="38" t="n">
        <f aca="false">Sens!$M$8512</f>
        <v>459.456235951751</v>
      </c>
      <c r="N8531" s="38" t="n">
        <f aca="false">Sens!$N$8512</f>
        <v>60.14</v>
      </c>
      <c r="O8531" s="38" t="n">
        <f aca="false">Sens!$O$8512</f>
        <v>68.585</v>
      </c>
    </row>
    <row r="8532" customFormat="false" ht="15" hidden="false" customHeight="false" outlineLevel="0" collapsed="false">
      <c r="A8532" s="1" t="s">
        <v>519</v>
      </c>
      <c r="B8532" s="8" t="s">
        <v>86</v>
      </c>
      <c r="C8532" s="38" t="n">
        <f aca="false">Sens!$C$8442</f>
        <v>387.497</v>
      </c>
      <c r="D8532" s="38" t="n">
        <f aca="false">Sens!$D$8442</f>
        <v>426.305</v>
      </c>
      <c r="E8532" s="38" t="n">
        <f aca="false">Sens!$E$8442</f>
        <v>220.32</v>
      </c>
      <c r="F8532" s="38" t="n">
        <f aca="false">Sens!$F$8442</f>
        <v>250.639773480586</v>
      </c>
      <c r="G8532" s="38" t="n">
        <f aca="false">Sens!$G$8442</f>
        <v>470.959773480586</v>
      </c>
      <c r="H8532" s="38" t="n">
        <f aca="false">Sens!$H$8442</f>
        <v>521.386990416437</v>
      </c>
      <c r="I8532" s="38" t="n">
        <f aca="false">Sens!$I$8442</f>
        <v>570.143862887555</v>
      </c>
      <c r="J8532" s="38" t="n">
        <f aca="false">Sens!$J$8442</f>
        <v>615.391435791933</v>
      </c>
      <c r="K8532" s="38" t="n">
        <f aca="false">Sens!$K$8442</f>
        <v>655.208227561543</v>
      </c>
      <c r="L8532" s="38" t="n">
        <f aca="false">Sens!$L$8442</f>
        <v>697.807739249767</v>
      </c>
      <c r="M8532" s="38" t="n">
        <f aca="false">Sens!$M$8442</f>
        <v>743.399328463592</v>
      </c>
      <c r="N8532" s="38" t="n">
        <f aca="false">Sens!$N$8442</f>
        <v>192.955</v>
      </c>
      <c r="O8532" s="38" t="n">
        <f aca="false">Sens!$O$8442</f>
        <v>233.35</v>
      </c>
    </row>
    <row r="8533" customFormat="false" ht="15" hidden="false" customHeight="false" outlineLevel="0" collapsed="false">
      <c r="A8533" s="1" t="s">
        <v>522</v>
      </c>
      <c r="B8533" s="8" t="s">
        <v>86</v>
      </c>
      <c r="C8533" s="38" t="n">
        <f aca="false">Sens!$C$8443</f>
        <v>142.906</v>
      </c>
      <c r="D8533" s="38" t="n">
        <f aca="false">Sens!$D$8443</f>
        <v>161.894</v>
      </c>
      <c r="E8533" s="38" t="n">
        <f aca="false">Sens!$E$8443</f>
        <v>81.986</v>
      </c>
      <c r="F8533" s="38" t="n">
        <f aca="false">Sens!$F$8443</f>
        <v>98.408468164951</v>
      </c>
      <c r="G8533" s="38" t="n">
        <f aca="false">Sens!$G$8443</f>
        <v>180.394468164951</v>
      </c>
      <c r="H8533" s="38" t="n">
        <f aca="false">Sens!$H$8443</f>
        <v>199.709899104949</v>
      </c>
      <c r="I8533" s="38" t="n">
        <f aca="false">Sens!$I$8443</f>
        <v>218.385528264976</v>
      </c>
      <c r="J8533" s="38" t="n">
        <f aca="false">Sens!$J$8443</f>
        <v>235.71696994951</v>
      </c>
      <c r="K8533" s="38" t="n">
        <f aca="false">Sens!$K$8443</f>
        <v>250.968227869545</v>
      </c>
      <c r="L8533" s="38" t="n">
        <f aca="false">Sens!$L$8443</f>
        <v>267.285367225822</v>
      </c>
      <c r="M8533" s="38" t="n">
        <f aca="false">Sens!$M$8443</f>
        <v>284.748579483295</v>
      </c>
      <c r="N8533" s="38" t="n">
        <f aca="false">Sens!$N$8443</f>
        <v>70.274</v>
      </c>
      <c r="O8533" s="38" t="n">
        <f aca="false">Sens!$O$8443</f>
        <v>91.62</v>
      </c>
    </row>
    <row r="8534" customFormat="false" ht="15" hidden="false" customHeight="false" outlineLevel="0" collapsed="false">
      <c r="A8534" s="1" t="s">
        <v>523</v>
      </c>
      <c r="B8534" s="8" t="s">
        <v>86</v>
      </c>
      <c r="C8534" s="38" t="n">
        <f aca="false">Sens!$C$8512</f>
        <v>107.556</v>
      </c>
      <c r="D8534" s="38" t="n">
        <f aca="false">Sens!$D$8512</f>
        <v>128.725</v>
      </c>
      <c r="E8534" s="38" t="n">
        <f aca="false">Sens!$E$8512</f>
        <v>79.819</v>
      </c>
      <c r="F8534" s="38" t="n">
        <f aca="false">Sens!$F$8512</f>
        <v>86.7327334389669</v>
      </c>
      <c r="G8534" s="38" t="n">
        <f aca="false">Sens!$G$8512</f>
        <v>166.551733438967</v>
      </c>
      <c r="H8534" s="38" t="n">
        <f aca="false">Sens!$H$8512</f>
        <v>221.182967828978</v>
      </c>
      <c r="I8534" s="38" t="n">
        <f aca="false">Sens!$I$8512</f>
        <v>280.27345865789</v>
      </c>
      <c r="J8534" s="38" t="n">
        <f aca="false">Sens!$J$8512</f>
        <v>338.800945197185</v>
      </c>
      <c r="K8534" s="38" t="n">
        <f aca="false">Sens!$K$8512</f>
        <v>389.88570147276</v>
      </c>
      <c r="L8534" s="38" t="n">
        <f aca="false">Sens!$L$8512</f>
        <v>430.080689379143</v>
      </c>
      <c r="M8534" s="38" t="n">
        <f aca="false">Sens!$M$8512</f>
        <v>459.456235951751</v>
      </c>
      <c r="N8534" s="38" t="n">
        <f aca="false">Sens!$N$8512</f>
        <v>60.14</v>
      </c>
      <c r="O8534" s="38" t="n">
        <f aca="false">Sens!$O$8512</f>
        <v>68.585</v>
      </c>
    </row>
    <row r="8535" customFormat="false" ht="17.15" hidden="false" customHeight="false" outlineLevel="0" collapsed="false">
      <c r="A8535" s="0" t="s">
        <v>702</v>
      </c>
      <c r="B8535" s="0" t="s">
        <v>86</v>
      </c>
      <c r="C8535" s="38" t="n">
        <f aca="false">Sens!$C$8510</f>
        <v>2.32100535697364</v>
      </c>
      <c r="D8535" s="38" t="n">
        <f aca="false">Sens!$D$8510</f>
        <v>8.70377008865116</v>
      </c>
      <c r="E8535" s="38" t="n">
        <f aca="false">Sens!$E$8510</f>
        <v>8.51035297557002</v>
      </c>
      <c r="F8535" s="38" t="n">
        <f aca="false">Sens!$F$8510</f>
        <v>14.9634336447205</v>
      </c>
      <c r="G8535" s="38" t="n">
        <f aca="false">Sens!$G$8510</f>
        <v>23.4737866202905</v>
      </c>
      <c r="H8535" s="38" t="n">
        <f aca="false">Sens!$H$8510</f>
        <v>60.1658907497746</v>
      </c>
      <c r="I8535" s="38" t="n">
        <f aca="false">Sens!$I$8510</f>
        <v>101.503699136432</v>
      </c>
      <c r="J8535" s="38" t="n">
        <f aca="false">Sens!$J$8510</f>
        <v>143.025407151278</v>
      </c>
      <c r="K8535" s="38" t="n">
        <f aca="false">Sens!$K$8510</f>
        <v>178.44812038318</v>
      </c>
      <c r="L8535" s="38" t="n">
        <f aca="false">Sens!$L$8510</f>
        <v>201.728101802396</v>
      </c>
      <c r="M8535" s="38" t="n">
        <f aca="false">Sens!$M$8510</f>
        <v>212.835441368865</v>
      </c>
      <c r="N8535" s="38" t="n">
        <f aca="false">Sens!$N$8510</f>
        <v>3.04631953102791</v>
      </c>
      <c r="O8535" s="38" t="n">
        <f aca="false">Sens!$O$8510</f>
        <v>5.65745055762326</v>
      </c>
    </row>
    <row r="8536" customFormat="false" ht="17.15" hidden="false" customHeight="false" outlineLevel="0" collapsed="false">
      <c r="A8536" s="0" t="s">
        <v>704</v>
      </c>
      <c r="B8536" s="0" t="s">
        <v>86</v>
      </c>
      <c r="C8536" s="38" t="n">
        <f aca="false">Sens!$C$8511</f>
        <v>105.234994643026</v>
      </c>
      <c r="D8536" s="38" t="n">
        <f aca="false">Sens!$D$8511</f>
        <v>120.021229911349</v>
      </c>
      <c r="E8536" s="38" t="n">
        <f aca="false">Sens!$E$8511</f>
        <v>71.30864702443</v>
      </c>
      <c r="F8536" s="38" t="n">
        <f aca="false">Sens!$F$8511</f>
        <v>71.7692997942464</v>
      </c>
      <c r="G8536" s="38" t="n">
        <f aca="false">Sens!$G$8511</f>
        <v>143.077946818676</v>
      </c>
      <c r="H8536" s="38" t="n">
        <f aca="false">Sens!$H$8511</f>
        <v>161.017077079203</v>
      </c>
      <c r="I8536" s="38" t="n">
        <f aca="false">Sens!$I$8511</f>
        <v>178.769759521457</v>
      </c>
      <c r="J8536" s="38" t="n">
        <f aca="false">Sens!$J$8511</f>
        <v>195.775538045907</v>
      </c>
      <c r="K8536" s="38" t="n">
        <f aca="false">Sens!$K$8511</f>
        <v>211.43758108958</v>
      </c>
      <c r="L8536" s="38" t="n">
        <f aca="false">Sens!$L$8511</f>
        <v>228.352587576746</v>
      </c>
      <c r="M8536" s="38" t="n">
        <f aca="false">Sens!$M$8511</f>
        <v>246.620794582886</v>
      </c>
      <c r="N8536" s="38" t="n">
        <f aca="false">Sens!$N$8511</f>
        <v>57.0936804689721</v>
      </c>
      <c r="O8536" s="38" t="n">
        <f aca="false">Sens!$O$8511</f>
        <v>62.9275494423768</v>
      </c>
    </row>
    <row r="8537" customFormat="false" ht="15" hidden="false" customHeight="false" outlineLevel="0" collapsed="false">
      <c r="A8537" s="3" t="s">
        <v>524</v>
      </c>
      <c r="B8537" s="8" t="s">
        <v>86</v>
      </c>
      <c r="C8537" s="38" t="n">
        <f aca="false">Sens!$C$8513</f>
        <v>637.959</v>
      </c>
      <c r="D8537" s="38" t="n">
        <f aca="false">Sens!$D$8513</f>
        <v>716.924</v>
      </c>
      <c r="E8537" s="38" t="n">
        <f aca="false">Sens!$E$8513</f>
        <v>382.125</v>
      </c>
      <c r="F8537" s="38" t="n">
        <f aca="false">Sens!$F$8513</f>
        <v>435.780975084504</v>
      </c>
      <c r="G8537" s="38" t="n">
        <f aca="false">Sens!$G$8513</f>
        <v>817.905975084504</v>
      </c>
      <c r="H8537" s="38" t="n">
        <f aca="false">Sens!$H$8513</f>
        <v>942.279857350364</v>
      </c>
      <c r="I8537" s="38" t="n">
        <f aca="false">Sens!$I$8513</f>
        <v>1068.80284981042</v>
      </c>
      <c r="J8537" s="38" t="n">
        <f aca="false">Sens!$J$8513</f>
        <v>1189.90935093863</v>
      </c>
      <c r="K8537" s="38" t="n">
        <f aca="false">Sens!$K$8513</f>
        <v>1296.06215690385</v>
      </c>
      <c r="L8537" s="38" t="n">
        <f aca="false">Sens!$L$8513</f>
        <v>1395.17379585473</v>
      </c>
      <c r="M8537" s="38" t="n">
        <f aca="false">Sens!$M$8513</f>
        <v>1487.60414389864</v>
      </c>
      <c r="N8537" s="38" t="n">
        <f aca="false">Sens!$N$8513</f>
        <v>323.369</v>
      </c>
      <c r="O8537" s="38" t="n">
        <f aca="false">Sens!$O$8513</f>
        <v>393.555</v>
      </c>
    </row>
    <row r="8538" customFormat="false" ht="17.15" hidden="false" customHeight="false" outlineLevel="0" collapsed="false">
      <c r="A8538" s="24" t="s">
        <v>714</v>
      </c>
      <c r="B8538" s="25" t="s">
        <v>86</v>
      </c>
      <c r="C8538" s="41" t="n">
        <f aca="false">Sens!$C$8525+Sens!$C$8526+Sens!$C$8527+Sens!$C$8528+Sens!$C$8529+Sens!$C$8530-(Sens!$C$8532+Sens!$C$8533)</f>
        <v>0</v>
      </c>
      <c r="D8538" s="41" t="n">
        <f aca="false">Sens!$D$8525+Sens!$D$8526+Sens!$D$8527+Sens!$D$8528+Sens!$D$8529+Sens!$D$8530-(Sens!$D$8532+Sens!$D$8533)</f>
        <v>0</v>
      </c>
      <c r="E8538" s="41" t="n">
        <f aca="false">Sens!$E$8525+Sens!$E$8526+Sens!$E$8527+Sens!$E$8528+Sens!$E$8529+Sens!$E$8530-(Sens!$E$8532+Sens!$E$8533)</f>
        <v>0</v>
      </c>
      <c r="F8538" s="41" t="n">
        <f aca="false">Sens!$F$8525+Sens!$F$8526+Sens!$F$8527+Sens!$F$8528+Sens!$F$8529+Sens!$F$8530-(Sens!$F$8532+Sens!$F$8533)</f>
        <v>0</v>
      </c>
      <c r="G8538" s="41" t="n">
        <f aca="false">Sens!$G$8525+Sens!$G$8526+Sens!$G$8527+Sens!$G$8528+Sens!$G$8529+Sens!$G$8530-(Sens!$G$8532+Sens!$G$8533)</f>
        <v>0</v>
      </c>
      <c r="H8538" s="41" t="n">
        <f aca="false">Sens!$H$8525+Sens!$H$8526+Sens!$H$8527+Sens!$H$8528+Sens!$H$8529+Sens!$H$8530-(Sens!$H$8532+Sens!$H$8533)</f>
        <v>0</v>
      </c>
      <c r="I8538" s="41" t="n">
        <f aca="false">Sens!$I$8525+Sens!$I$8526+Sens!$I$8527+Sens!$I$8528+Sens!$I$8529+Sens!$I$8530-(Sens!$I$8532+Sens!$I$8533)</f>
        <v>0</v>
      </c>
      <c r="J8538" s="41" t="n">
        <f aca="false">Sens!$J$8525+Sens!$J$8526+Sens!$J$8527+Sens!$J$8528+Sens!$J$8529+Sens!$J$8530-(Sens!$J$8532+Sens!$J$8533)</f>
        <v>0</v>
      </c>
      <c r="K8538" s="41" t="n">
        <f aca="false">Sens!$K$8525+Sens!$K$8526+Sens!$K$8527+Sens!$K$8528+Sens!$K$8529+Sens!$K$8530-(Sens!$K$8532+Sens!$K$8533)</f>
        <v>0</v>
      </c>
      <c r="L8538" s="41" t="n">
        <f aca="false">Sens!$L$8525+Sens!$L$8526+Sens!$L$8527+Sens!$L$8528+Sens!$L$8529+Sens!$L$8530-(Sens!$L$8532+Sens!$L$8533)</f>
        <v>0</v>
      </c>
      <c r="M8538" s="41" t="n">
        <f aca="false">Sens!$M$8525+Sens!$M$8526+Sens!$M$8527+Sens!$M$8528+Sens!$M$8529+Sens!$M$8530-(Sens!$M$8532+Sens!$M$8533)</f>
        <v>0</v>
      </c>
      <c r="N8538" s="41" t="n">
        <f aca="false">Sens!$N$8525+Sens!$N$8526+Sens!$N$8527+Sens!$N$8528+Sens!$N$8529+Sens!$N$8530-(Sens!$N$8532+Sens!$N$8533)</f>
        <v>0</v>
      </c>
      <c r="O8538" s="41" t="n">
        <f aca="false">Sens!$O$8525+Sens!$O$8526+Sens!$O$8527+Sens!$O$8528+Sens!$O$8529+Sens!$O$8530-(Sens!$O$8532+Sens!$O$8533)</f>
        <v>0</v>
      </c>
    </row>
    <row r="8539" customFormat="false" ht="17.15" hidden="false" customHeight="false" outlineLevel="0" collapsed="false">
      <c r="A8539" s="24" t="s">
        <v>715</v>
      </c>
      <c r="B8539" s="25" t="s">
        <v>86</v>
      </c>
      <c r="C8539" s="41" t="n">
        <f aca="false">Sens!$C$8535+Sens!$C$8536-Sens!$C$8534</f>
        <v>0</v>
      </c>
      <c r="D8539" s="41" t="n">
        <f aca="false">Sens!$D$8535+Sens!$D$8536-Sens!$D$8534</f>
        <v>0</v>
      </c>
      <c r="E8539" s="41" t="n">
        <f aca="false">Sens!$E$8535+Sens!$E$8536-Sens!$E$8534</f>
        <v>0</v>
      </c>
      <c r="F8539" s="41" t="n">
        <f aca="false">Sens!$F$8535+Sens!$F$8536-Sens!$F$8534</f>
        <v>0</v>
      </c>
      <c r="G8539" s="41" t="n">
        <f aca="false">Sens!$G$8535+Sens!$G$8536-Sens!$G$8534</f>
        <v>0</v>
      </c>
      <c r="H8539" s="41" t="n">
        <f aca="false">Sens!$H$8535+Sens!$H$8536-Sens!$H$8534</f>
        <v>0</v>
      </c>
      <c r="I8539" s="41" t="n">
        <f aca="false">Sens!$I$8535+Sens!$I$8536-Sens!$I$8534</f>
        <v>0</v>
      </c>
      <c r="J8539" s="41" t="n">
        <f aca="false">Sens!$J$8535+Sens!$J$8536-Sens!$J$8534</f>
        <v>0</v>
      </c>
      <c r="K8539" s="41" t="n">
        <f aca="false">Sens!$K$8535+Sens!$K$8536-Sens!$K$8534</f>
        <v>0</v>
      </c>
      <c r="L8539" s="41" t="n">
        <f aca="false">Sens!$L$8535+Sens!$L$8536-Sens!$L$8534</f>
        <v>0</v>
      </c>
      <c r="M8539" s="41" t="n">
        <f aca="false">Sens!$M$8535+Sens!$M$8536-Sens!$M$8534</f>
        <v>0</v>
      </c>
      <c r="N8539" s="41" t="n">
        <f aca="false">Sens!$N$8535+Sens!$N$8536-Sens!$N$8534</f>
        <v>0</v>
      </c>
      <c r="O8539" s="41" t="n">
        <f aca="false">Sens!$O$8535+Sens!$O$8536-Sens!$O$8534</f>
        <v>0</v>
      </c>
    </row>
    <row r="8540" customFormat="false" ht="17.15" hidden="false" customHeight="false" outlineLevel="0" collapsed="false">
      <c r="A8540" s="24" t="s">
        <v>774</v>
      </c>
      <c r="B8540" s="25" t="s">
        <v>86</v>
      </c>
      <c r="C8540" s="41" t="n">
        <f aca="false">Sens!$C$8525+Sens!$C$8526+Sens!$C$8527+Sens!$C$8528+Sens!$C$8529+Sens!$C$8530+Sens!$C$8531-Sens!$C$8537</f>
        <v>0</v>
      </c>
      <c r="D8540" s="41" t="n">
        <f aca="false">Sens!$D$8525+Sens!$D$8526+Sens!$D$8527+Sens!$D$8528+Sens!$D$8529+Sens!$D$8530+Sens!$D$8531-Sens!$D$8537</f>
        <v>0</v>
      </c>
      <c r="E8540" s="41" t="n">
        <f aca="false">Sens!$E$8525+Sens!$E$8526+Sens!$E$8527+Sens!$E$8528+Sens!$E$8529+Sens!$E$8530+Sens!$E$8531-Sens!$E$8537</f>
        <v>0</v>
      </c>
      <c r="F8540" s="41" t="n">
        <f aca="false">Sens!$F$8525+Sens!$F$8526+Sens!$F$8527+Sens!$F$8528+Sens!$F$8529+Sens!$F$8530+Sens!$F$8531-Sens!$F$8537</f>
        <v>0</v>
      </c>
      <c r="G8540" s="41" t="n">
        <f aca="false">Sens!$G$8525+Sens!$G$8526+Sens!$G$8527+Sens!$G$8528+Sens!$G$8529+Sens!$G$8530+Sens!$G$8531-Sens!$G$8537</f>
        <v>0</v>
      </c>
      <c r="H8540" s="41" t="n">
        <f aca="false">Sens!$H$8525+Sens!$H$8526+Sens!$H$8527+Sens!$H$8528+Sens!$H$8529+Sens!$H$8530+Sens!$H$8531-Sens!$H$8537</f>
        <v>0</v>
      </c>
      <c r="I8540" s="41" t="n">
        <f aca="false">Sens!$I$8525+Sens!$I$8526+Sens!$I$8527+Sens!$I$8528+Sens!$I$8529+Sens!$I$8530+Sens!$I$8531-Sens!$I$8537</f>
        <v>0</v>
      </c>
      <c r="J8540" s="41" t="n">
        <f aca="false">Sens!$J$8525+Sens!$J$8526+Sens!$J$8527+Sens!$J$8528+Sens!$J$8529+Sens!$J$8530+Sens!$J$8531-Sens!$J$8537</f>
        <v>0</v>
      </c>
      <c r="K8540" s="41" t="n">
        <f aca="false">Sens!$K$8525+Sens!$K$8526+Sens!$K$8527+Sens!$K$8528+Sens!$K$8529+Sens!$K$8530+Sens!$K$8531-Sens!$K$8537</f>
        <v>0</v>
      </c>
      <c r="L8540" s="41" t="n">
        <f aca="false">Sens!$L$8525+Sens!$L$8526+Sens!$L$8527+Sens!$L$8528+Sens!$L$8529+Sens!$L$8530+Sens!$L$8531-Sens!$L$8537</f>
        <v>0</v>
      </c>
      <c r="M8540" s="41" t="n">
        <f aca="false">Sens!$M$8525+Sens!$M$8526+Sens!$M$8527+Sens!$M$8528+Sens!$M$8529+Sens!$M$8530+Sens!$M$8531-Sens!$M$8537</f>
        <v>0</v>
      </c>
      <c r="N8540" s="41" t="n">
        <f aca="false">Sens!$N$8525+Sens!$N$8526+Sens!$N$8527+Sens!$N$8528+Sens!$N$8529+Sens!$N$8530+Sens!$N$8531-Sens!$N$8537</f>
        <v>0</v>
      </c>
      <c r="O8540" s="41" t="n">
        <f aca="false">Sens!$O$8525+Sens!$O$8526+Sens!$O$8527+Sens!$O$8528+Sens!$O$8529+Sens!$O$8530+Sens!$O$8531-Sens!$O$8537</f>
        <v>0</v>
      </c>
    </row>
    <row r="8541" customFormat="false" ht="17.15" hidden="false" customHeight="false" outlineLevel="0" collapsed="false">
      <c r="A8541" s="24" t="s">
        <v>716</v>
      </c>
      <c r="B8541" s="25" t="s">
        <v>86</v>
      </c>
      <c r="C8541" s="41" t="n">
        <f aca="false">Sens!$C$8532+Sens!$C$8533+Sens!$C$8534-Sens!$C$8537</f>
        <v>0</v>
      </c>
      <c r="D8541" s="41" t="n">
        <f aca="false">Sens!$D$8532+Sens!$D$8533+Sens!$D$8534-Sens!$D$8537</f>
        <v>0</v>
      </c>
      <c r="E8541" s="41" t="n">
        <f aca="false">Sens!$E$8532+Sens!$E$8533+Sens!$E$8534-Sens!$E$8537</f>
        <v>0</v>
      </c>
      <c r="F8541" s="41" t="n">
        <f aca="false">Sens!$F$8532+Sens!$F$8533+Sens!$F$8534-Sens!$F$8537</f>
        <v>0</v>
      </c>
      <c r="G8541" s="41" t="n">
        <f aca="false">Sens!$G$8532+Sens!$G$8533+Sens!$G$8534-Sens!$G$8537</f>
        <v>0</v>
      </c>
      <c r="H8541" s="41" t="n">
        <f aca="false">Sens!$H$8532+Sens!$H$8533+Sens!$H$8534-Sens!$H$8537</f>
        <v>0</v>
      </c>
      <c r="I8541" s="41" t="n">
        <f aca="false">Sens!$I$8532+Sens!$I$8533+Sens!$I$8534-Sens!$I$8537</f>
        <v>0</v>
      </c>
      <c r="J8541" s="41" t="n">
        <f aca="false">Sens!$J$8532+Sens!$J$8533+Sens!$J$8534-Sens!$J$8537</f>
        <v>0</v>
      </c>
      <c r="K8541" s="41" t="n">
        <f aca="false">Sens!$K$8532+Sens!$K$8533+Sens!$K$8534-Sens!$K$8537</f>
        <v>0</v>
      </c>
      <c r="L8541" s="41" t="n">
        <f aca="false">Sens!$L$8532+Sens!$L$8533+Sens!$L$8534-Sens!$L$8537</f>
        <v>0</v>
      </c>
      <c r="M8541" s="41" t="n">
        <f aca="false">Sens!$M$8532+Sens!$M$8533+Sens!$M$8534-Sens!$M$8537</f>
        <v>0</v>
      </c>
      <c r="N8541" s="41" t="n">
        <f aca="false">Sens!$N$8532+Sens!$N$8533+Sens!$N$8534-Sens!$N$8537</f>
        <v>0</v>
      </c>
      <c r="O8541" s="41" t="n">
        <f aca="false">Sens!$O$8532+Sens!$O$8533+Sens!$O$8534-Sens!$O$8537</f>
        <v>0</v>
      </c>
    </row>
    <row r="8542" customFormat="false" ht="17.15" hidden="false" customHeight="false" outlineLevel="0" collapsed="false">
      <c r="A8542" s="1" t="s">
        <v>730</v>
      </c>
    </row>
    <row r="8543" customFormat="false" ht="17.15" hidden="false" customHeight="false" outlineLevel="0" collapsed="false">
      <c r="A8543" s="0" t="s">
        <v>731</v>
      </c>
      <c r="B8543" s="0" t="s">
        <v>86</v>
      </c>
      <c r="C8543" s="38" t="n">
        <f aca="false">Sens!$C$8444*m_ad</f>
        <v>20.5341564414228</v>
      </c>
      <c r="D8543" s="38" t="n">
        <f aca="false">Sens!$D$8444*m_ad</f>
        <v>24.8720617299587</v>
      </c>
      <c r="E8543" s="38" t="n">
        <f aca="false">Sens!$E$8444*m_ad</f>
        <v>13.5017112462207</v>
      </c>
      <c r="F8543" s="38" t="n">
        <f aca="false">Sens!$F$8444*m_ad</f>
        <v>16.5719724165257</v>
      </c>
      <c r="G8543" s="38" t="n">
        <f aca="false">Sens!$G$8444*m_ad</f>
        <v>30.0820919220415</v>
      </c>
      <c r="H8543" s="38" t="n">
        <f aca="false">Sens!$H$8444*m_ad</f>
        <v>36.1150883276314</v>
      </c>
      <c r="I8543" s="38" t="n">
        <f aca="false">Sens!$I$8444*m_ad</f>
        <v>42.1475382231996</v>
      </c>
      <c r="J8543" s="38" t="n">
        <f aca="false">Sens!$J$8444*m_ad</f>
        <v>47.7749523864693</v>
      </c>
      <c r="K8543" s="38" t="n">
        <f aca="false">Sens!$K$8444*m_ad</f>
        <v>52.5524476251162</v>
      </c>
      <c r="L8543" s="38" t="n">
        <f aca="false">Sens!$L$8444*m_ad</f>
        <v>57.8076923876279</v>
      </c>
      <c r="M8543" s="38" t="n">
        <f aca="false">Sens!$M$8444*m_ad</f>
        <v>63.5884616263907</v>
      </c>
      <c r="N8543" s="38" t="n">
        <f aca="false">Sens!$N$8444*m_ad</f>
        <v>10.8543555706248</v>
      </c>
      <c r="O8543" s="38" t="n">
        <f aca="false">Sens!$O$8444*m_ad</f>
        <v>14.0094731821399</v>
      </c>
    </row>
    <row r="8544" customFormat="false" ht="17.15" hidden="false" customHeight="false" outlineLevel="0" collapsed="false">
      <c r="A8544" s="0" t="s">
        <v>732</v>
      </c>
      <c r="B8544" s="0" t="s">
        <v>86</v>
      </c>
      <c r="C8544" s="38" t="n">
        <f aca="false">Sens!$C$8442-Sens!$C$8444</f>
        <v>346.428687117154</v>
      </c>
      <c r="D8544" s="38" t="n">
        <f aca="false">Sens!$D$8442-Sens!$D$8444</f>
        <v>376.560876540083</v>
      </c>
      <c r="E8544" s="38" t="n">
        <f aca="false">Sens!$E$8442-Sens!$E$8444</f>
        <v>193.316577507559</v>
      </c>
      <c r="F8544" s="38" t="n">
        <f aca="false">Sens!$F$8442-Sens!$F$8444</f>
        <v>217.495828647535</v>
      </c>
      <c r="G8544" s="38" t="n">
        <f aca="false">Sens!$G$8442-Sens!$G$8444</f>
        <v>410.795589636503</v>
      </c>
      <c r="H8544" s="38" t="n">
        <f aca="false">Sens!$H$8442-Sens!$H$8444</f>
        <v>449.156813761174</v>
      </c>
      <c r="I8544" s="38" t="n">
        <f aca="false">Sens!$I$8442-Sens!$I$8444</f>
        <v>485.848786441156</v>
      </c>
      <c r="J8544" s="38" t="n">
        <f aca="false">Sens!$J$8442-Sens!$J$8444</f>
        <v>519.841531018994</v>
      </c>
      <c r="K8544" s="38" t="n">
        <f aca="false">Sens!$K$8442-Sens!$K$8444</f>
        <v>550.103332311311</v>
      </c>
      <c r="L8544" s="38" t="n">
        <f aca="false">Sens!$L$8442-Sens!$L$8444</f>
        <v>582.192354474511</v>
      </c>
      <c r="M8544" s="38" t="n">
        <f aca="false">Sens!$M$8442-Sens!$M$8444</f>
        <v>616.22240521081</v>
      </c>
      <c r="N8544" s="38" t="n">
        <f aca="false">Sens!$N$8442-Sens!$N$8444</f>
        <v>171.24628885875</v>
      </c>
      <c r="O8544" s="38" t="n">
        <f aca="false">Sens!$O$8442-Sens!$O$8444</f>
        <v>205.33105363572</v>
      </c>
    </row>
    <row r="8545" customFormat="false" ht="17.15" hidden="false" customHeight="false" outlineLevel="0" collapsed="false">
      <c r="A8545" s="0" t="s">
        <v>733</v>
      </c>
      <c r="B8545" s="0" t="s">
        <v>86</v>
      </c>
      <c r="C8545" s="38" t="n">
        <f aca="false">Sens!$C$8496*Sens!$C$8441</f>
        <v>0.123617442257179</v>
      </c>
      <c r="D8545" s="38" t="n">
        <f aca="false">Sens!$D$8496*Sens!$D$8441</f>
        <v>0.600198046024689</v>
      </c>
      <c r="E8545" s="38" t="n">
        <f aca="false">Sens!$E$8496*Sens!$E$8441</f>
        <v>1.10840000750276</v>
      </c>
      <c r="F8545" s="38" t="n">
        <f aca="false">Sens!$F$8496*Sens!$F$8441</f>
        <v>1.33595298721025</v>
      </c>
      <c r="G8545" s="38" t="n">
        <f aca="false">Sens!$G$8496*Sens!$G$8441</f>
        <v>2.44487335052545</v>
      </c>
      <c r="H8545" s="38" t="n">
        <f aca="false">Sens!$H$8496*Sens!$H$8441</f>
        <v>6.63132711939388</v>
      </c>
      <c r="I8545" s="38" t="n">
        <f aca="false">Sens!$I$8496*Sens!$I$8441</f>
        <v>12.7486799258504</v>
      </c>
      <c r="J8545" s="38" t="n">
        <f aca="false">Sens!$J$8496*Sens!$J$8441</f>
        <v>18.4074045299415</v>
      </c>
      <c r="K8545" s="38" t="n">
        <f aca="false">Sens!$K$8496*Sens!$K$8441</f>
        <v>23.9455472348705</v>
      </c>
      <c r="L8545" s="38" t="n">
        <f aca="false">Sens!$L$8496*Sens!$L$8441</f>
        <v>27.78179156216</v>
      </c>
      <c r="M8545" s="38" t="n">
        <f aca="false">Sens!$M$8496*Sens!$M$8441</f>
        <v>29.9029027327362</v>
      </c>
      <c r="N8545" s="38" t="n">
        <f aca="false">Sens!$N$8496*Sens!$N$8441</f>
        <v>0.25053229484398</v>
      </c>
      <c r="O8545" s="38" t="n">
        <f aca="false">Sens!$O$8496*Sens!$O$8441</f>
        <v>0.349234376756897</v>
      </c>
    </row>
    <row r="8546" customFormat="false" ht="17.15" hidden="false" customHeight="false" outlineLevel="0" collapsed="false">
      <c r="A8546" s="0" t="s">
        <v>734</v>
      </c>
      <c r="B8546" s="0" t="s">
        <v>52</v>
      </c>
      <c r="C8546" s="28" t="n">
        <f aca="false">(Sens!$C$8547-Sens!$C$8543+Sens!$C$8545)/Sens!$C$8544</f>
        <v>0.0131526665379575</v>
      </c>
      <c r="D8546" s="28" t="n">
        <f aca="false">(Sens!$D$8547-Sens!$D$8543+Sens!$D$8545)/Sens!$D$8544</f>
        <v>0.0141999252954702</v>
      </c>
      <c r="E8546" s="28" t="n">
        <f aca="false">(Sens!$E$8547-Sens!$E$8543+Sens!$E$8545)/Sens!$E$8544</f>
        <v>0.0258471819939326</v>
      </c>
      <c r="F8546" s="28" t="n">
        <f aca="false">Sens!$O$8546+(Sens!$E$8546-Sens!$N$8546)</f>
        <v>0.0224302350712874</v>
      </c>
      <c r="G8546" s="28" t="n">
        <f aca="false">(Sens!$G$8547-Sens!$G$8543+Sens!$G$8545)/Sens!$G$8544</f>
        <v>0.0240199351461372</v>
      </c>
      <c r="H8546" s="28" t="n">
        <f aca="false">Sens!$G$8546+step_na</f>
        <v>0.0270199351461372</v>
      </c>
      <c r="I8546" s="28" t="n">
        <f aca="false">Sens!$H$8546+step_na</f>
        <v>0.0300199351461372</v>
      </c>
      <c r="J8546" s="28" t="n">
        <f aca="false">Sens!$I$8546+step_na</f>
        <v>0.0330199351461372</v>
      </c>
      <c r="K8546" s="28" t="n">
        <f aca="false">Sens!$J$8546+step_na</f>
        <v>0.0360199351461372</v>
      </c>
      <c r="L8546" s="28" t="n">
        <f aca="false">Sens!$K$8546</f>
        <v>0.0360199351461372</v>
      </c>
      <c r="M8546" s="28" t="n">
        <f aca="false">Sens!$L$8546</f>
        <v>0.0360199351461372</v>
      </c>
      <c r="N8546" s="28" t="n">
        <f aca="false">(Sens!$N$8547-Sens!$N$8543+Sens!$N$8545)/Sens!$N$8544</f>
        <v>0.0160831323269779</v>
      </c>
      <c r="O8546" s="28" t="n">
        <f aca="false">(Sens!$O$8547-Sens!$O$8543+Sens!$O$8545)/Sens!$O$8544</f>
        <v>0.0126661854043327</v>
      </c>
      <c r="P8546" s="8" t="s">
        <v>735</v>
      </c>
    </row>
    <row r="8547" customFormat="false" ht="17.15" hidden="false" customHeight="false" outlineLevel="0" collapsed="false">
      <c r="A8547" s="1" t="s">
        <v>736</v>
      </c>
      <c r="B8547" s="8" t="s">
        <v>86</v>
      </c>
      <c r="C8547" s="38" t="n">
        <f aca="false">Q!$D$22</f>
        <v>24.967</v>
      </c>
      <c r="D8547" s="38" t="n">
        <f aca="false">Q!$E$22</f>
        <v>29.619</v>
      </c>
      <c r="E8547" s="38" t="n">
        <f aca="false">Q!$P$22</f>
        <v>17.39</v>
      </c>
      <c r="F8547" s="38" t="n">
        <f aca="false">Sens!$F$8543+Sens!$F$8544*Sens!$F$8546-Sens!$F$8545</f>
        <v>20.1145019929041</v>
      </c>
      <c r="G8547" s="38" t="n">
        <f aca="false">Sens!$E$8547+Sens!$F$8547</f>
        <v>37.5045019929041</v>
      </c>
      <c r="H8547" s="38" t="n">
        <f aca="false">Sens!$H$8543+Sens!$H$8544*Sens!$H$8546-Sens!$H$8545</f>
        <v>41.6199491865101</v>
      </c>
      <c r="I8547" s="38" t="n">
        <f aca="false">Sens!$I$8543+Sens!$I$8544*Sens!$I$8546-Sens!$I$8545</f>
        <v>43.9840073571422</v>
      </c>
      <c r="J8547" s="38" t="n">
        <f aca="false">Sens!$J$8543+Sens!$J$8544*Sens!$J$8546-Sens!$J$8545</f>
        <v>46.5326814970436</v>
      </c>
      <c r="K8547" s="38" t="n">
        <f aca="false">Sens!$K$8543+Sens!$K$8544*Sens!$K$8546-Sens!$K$8545</f>
        <v>48.4215867437731</v>
      </c>
      <c r="L8547" s="38" t="n">
        <f aca="false">Sens!$L$8543+Sens!$L$8544*Sens!$L$8546-Sens!$L$8545</f>
        <v>50.9964316762167</v>
      </c>
      <c r="M8547" s="38" t="n">
        <f aca="false">Sens!$M$8543+Sens!$M$8544*Sens!$M$8546-Sens!$M$8545</f>
        <v>55.8818499649445</v>
      </c>
      <c r="N8547" s="38" t="n">
        <f aca="false">Q!$N$22</f>
        <v>13.358</v>
      </c>
      <c r="O8547" s="38" t="n">
        <f aca="false">Q!$O$22</f>
        <v>16.261</v>
      </c>
    </row>
    <row r="8548" customFormat="false" ht="17.15" hidden="false" customHeight="false" outlineLevel="0" collapsed="false">
      <c r="A8548" s="0" t="s">
        <v>737</v>
      </c>
      <c r="B8548" s="0" t="s">
        <v>86</v>
      </c>
      <c r="C8548" s="38" t="n">
        <f aca="false">Sens!$C$8445*m_ad</f>
        <v>7.57284355857716</v>
      </c>
      <c r="D8548" s="38" t="n">
        <f aca="false">Sens!$D$8445*m_ad</f>
        <v>9.44543827004127</v>
      </c>
      <c r="E8548" s="38" t="n">
        <f aca="false">Sens!$E$8445*m_ad</f>
        <v>5.02428875377928</v>
      </c>
      <c r="F8548" s="38" t="n">
        <f aca="false">Sens!$F$8445*m_ad</f>
        <v>6.50663858068173</v>
      </c>
      <c r="G8548" s="38" t="n">
        <f aca="false">Sens!$G$8445*m_ad</f>
        <v>11.5225190751659</v>
      </c>
      <c r="H8548" s="38" t="n">
        <f aca="false">Sens!$H$8445*m_ad</f>
        <v>13.8333728663174</v>
      </c>
      <c r="I8548" s="38" t="n">
        <f aca="false">Sens!$I$8445*m_ad</f>
        <v>16.1440173245485</v>
      </c>
      <c r="J8548" s="38" t="n">
        <f aca="false">Sens!$J$8445*m_ad</f>
        <v>18.2995185845066</v>
      </c>
      <c r="K8548" s="38" t="n">
        <f aca="false">Sens!$K$8445*m_ad</f>
        <v>20.1294704429572</v>
      </c>
      <c r="L8548" s="38" t="n">
        <f aca="false">Sens!$L$8445*m_ad</f>
        <v>22.142417487253</v>
      </c>
      <c r="M8548" s="38" t="n">
        <f aca="false">Sens!$M$8445*m_ad</f>
        <v>24.3566592359783</v>
      </c>
      <c r="N8548" s="38" t="n">
        <f aca="false">Sens!$N$8445*m_ad</f>
        <v>3.95314442937518</v>
      </c>
      <c r="O8548" s="38" t="n">
        <f aca="false">Sens!$O$8445*m_ad</f>
        <v>5.50052681786011</v>
      </c>
    </row>
    <row r="8549" customFormat="false" ht="17.15" hidden="false" customHeight="false" outlineLevel="0" collapsed="false">
      <c r="A8549" s="0" t="s">
        <v>738</v>
      </c>
      <c r="B8549" s="0" t="s">
        <v>86</v>
      </c>
      <c r="C8549" s="38" t="n">
        <f aca="false">Sens!$C$8443-Sens!$C$8445</f>
        <v>127.760312882846</v>
      </c>
      <c r="D8549" s="38" t="n">
        <f aca="false">Sens!$D$8443-Sens!$D$8445</f>
        <v>143.003123459917</v>
      </c>
      <c r="E8549" s="38" t="n">
        <f aca="false">Sens!$E$8443-Sens!$E$8445</f>
        <v>71.9374224924414</v>
      </c>
      <c r="F8549" s="38" t="n">
        <f aca="false">Sens!$F$8443-Sens!$F$8445</f>
        <v>85.3951910035875</v>
      </c>
      <c r="G8549" s="38" t="n">
        <f aca="false">Sens!$G$8443-Sens!$G$8445</f>
        <v>157.349430014619</v>
      </c>
      <c r="H8549" s="38" t="n">
        <f aca="false">Sens!$H$8443-Sens!$H$8445</f>
        <v>172.043153372315</v>
      </c>
      <c r="I8549" s="38" t="n">
        <f aca="false">Sens!$I$8443-Sens!$I$8445</f>
        <v>186.097493615879</v>
      </c>
      <c r="J8549" s="38" t="n">
        <f aca="false">Sens!$J$8443-Sens!$J$8445</f>
        <v>199.117932780497</v>
      </c>
      <c r="K8549" s="38" t="n">
        <f aca="false">Sens!$K$8443-Sens!$K$8445</f>
        <v>210.70928698363</v>
      </c>
      <c r="L8549" s="38" t="n">
        <f aca="false">Sens!$L$8443-Sens!$L$8445</f>
        <v>223.000532251316</v>
      </c>
      <c r="M8549" s="38" t="n">
        <f aca="false">Sens!$M$8443-Sens!$M$8445</f>
        <v>236.035261011339</v>
      </c>
      <c r="N8549" s="38" t="n">
        <f aca="false">Sens!$N$8443-Sens!$N$8445</f>
        <v>62.3677111412496</v>
      </c>
      <c r="O8549" s="38" t="n">
        <f aca="false">Sens!$O$8443-Sens!$O$8445</f>
        <v>80.6189463642798</v>
      </c>
    </row>
    <row r="8550" customFormat="false" ht="17.15" hidden="false" customHeight="false" outlineLevel="0" collapsed="false">
      <c r="A8550" s="0" t="s">
        <v>739</v>
      </c>
      <c r="B8550" s="0" t="s">
        <v>86</v>
      </c>
      <c r="C8550" s="38" t="n">
        <f aca="false">Sens!$C$8496*(1-Sens!$C$8441)</f>
        <v>0.0455891896019953</v>
      </c>
      <c r="D8550" s="38" t="n">
        <f aca="false">Sens!$D$8496*(1-Sens!$D$8441)</f>
        <v>0.227931791705753</v>
      </c>
      <c r="E8550" s="38" t="n">
        <f aca="false">Sens!$E$8496*(1-Sens!$E$8441)</f>
        <v>0.412460434890711</v>
      </c>
      <c r="F8550" s="38" t="n">
        <f aca="false">Sens!$F$8496*(1-Sens!$F$8441)</f>
        <v>0.524534016233997</v>
      </c>
      <c r="G8550" s="38" t="n">
        <f aca="false">Sens!$G$8496*(1-Sens!$G$8441)</f>
        <v>0.936474095312266</v>
      </c>
      <c r="H8550" s="38" t="n">
        <f aca="false">Sens!$H$8496*(1-Sens!$H$8441)</f>
        <v>2.54003589327823</v>
      </c>
      <c r="I8550" s="38" t="n">
        <f aca="false">Sens!$I$8496*(1-Sens!$I$8441)</f>
        <v>4.88320120852905</v>
      </c>
      <c r="J8550" s="38" t="n">
        <f aca="false">Sens!$J$8496*(1-Sens!$J$8441)</f>
        <v>7.05069548920359</v>
      </c>
      <c r="K8550" s="38" t="n">
        <f aca="false">Sens!$K$8496*(1-Sens!$K$8441)</f>
        <v>9.17200258193867</v>
      </c>
      <c r="L8550" s="38" t="n">
        <f aca="false">Sens!$L$8496*(1-Sens!$L$8441)</f>
        <v>10.6414216154535</v>
      </c>
      <c r="M8550" s="38" t="n">
        <f aca="false">Sens!$M$8496*(1-Sens!$M$8441)</f>
        <v>11.4538831951485</v>
      </c>
      <c r="N8550" s="38" t="n">
        <f aca="false">Sens!$N$8496*(1-Sens!$N$8441)</f>
        <v>0.0912435878202994</v>
      </c>
      <c r="O8550" s="38" t="n">
        <f aca="false">Sens!$O$8496*(1-Sens!$O$8441)</f>
        <v>0.137119578309265</v>
      </c>
    </row>
    <row r="8551" customFormat="false" ht="17.15" hidden="false" customHeight="false" outlineLevel="0" collapsed="false">
      <c r="A8551" s="0" t="s">
        <v>740</v>
      </c>
      <c r="B8551" s="0" t="s">
        <v>52</v>
      </c>
      <c r="C8551" s="28" t="n">
        <f aca="false">(Sens!$C$8552-Sens!$C$8548+Sens!$C$8550)/Sens!$C$8549</f>
        <v>-0.0292364215826579</v>
      </c>
      <c r="D8551" s="28" t="n">
        <f aca="false">(Sens!$D$8552-Sens!$D$8548+Sens!$D$8550)/Sens!$D$8549</f>
        <v>-0.0312406216748665</v>
      </c>
      <c r="E8551" s="28" t="n">
        <f aca="false">(Sens!$E$8552-Sens!$E$8548+Sens!$E$8550)/Sens!$E$8549</f>
        <v>-0.0204459413185552</v>
      </c>
      <c r="F8551" s="28" t="n">
        <f aca="false">Sens!$O$8551+(Sens!$E$8551-Sens!$N$8551)</f>
        <v>-0.0375409290246314</v>
      </c>
      <c r="G8551" s="28" t="n">
        <f aca="false">(Sens!$G$8552-Sens!$G$8548+Sens!$G$8550)/Sens!$G$8549</f>
        <v>-0.0296712560031684</v>
      </c>
      <c r="H8551" s="28" t="n">
        <f aca="false">Sens!$G$8551+step_in</f>
        <v>-0.0296712560031684</v>
      </c>
      <c r="I8551" s="28" t="n">
        <f aca="false">Sens!$H$8551+step_in</f>
        <v>-0.0296712560031684</v>
      </c>
      <c r="J8551" s="28" t="n">
        <f aca="false">Sens!$I$8551+step_in</f>
        <v>-0.0296712560031684</v>
      </c>
      <c r="K8551" s="28" t="n">
        <f aca="false">Sens!$J$8551+step_in</f>
        <v>-0.0296712560031684</v>
      </c>
      <c r="L8551" s="28" t="n">
        <f aca="false">Sens!$K$8551</f>
        <v>-0.0296712560031684</v>
      </c>
      <c r="M8551" s="28" t="n">
        <f aca="false">Sens!$L$8551</f>
        <v>-0.0296712560031684</v>
      </c>
      <c r="N8551" s="28" t="n">
        <f aca="false">(Sens!$N$8552-Sens!$N$8548+Sens!$N$8550)/Sens!$N$8549</f>
        <v>-0.0216602600421776</v>
      </c>
      <c r="O8551" s="28" t="n">
        <f aca="false">(Sens!$O$8552-Sens!$O$8548+Sens!$O$8550)/Sens!$O$8549</f>
        <v>-0.0387552477482538</v>
      </c>
      <c r="P8551" s="8" t="s">
        <v>735</v>
      </c>
    </row>
    <row r="8552" customFormat="false" ht="17.15" hidden="false" customHeight="false" outlineLevel="0" collapsed="false">
      <c r="A8552" s="1" t="s">
        <v>741</v>
      </c>
      <c r="B8552" s="8" t="s">
        <v>86</v>
      </c>
      <c r="C8552" s="38" t="n">
        <f aca="false">Q!$D$23</f>
        <v>3.792</v>
      </c>
      <c r="D8552" s="38" t="n">
        <f aca="false">Q!$E$23</f>
        <v>4.75</v>
      </c>
      <c r="E8552" s="38" t="n">
        <f aca="false">Q!$P$23</f>
        <v>3.141</v>
      </c>
      <c r="F8552" s="38" t="n">
        <f aca="false">Sens!$F$8548+Sens!$F$8549*Sens!$F$8551-Sens!$F$8550</f>
        <v>2.77628975993721</v>
      </c>
      <c r="G8552" s="38" t="n">
        <f aca="false">Sens!$E$8552+Sens!$F$8552</f>
        <v>5.91728975993721</v>
      </c>
      <c r="H8552" s="38" t="n">
        <f aca="false">Sens!$H$8548+Sens!$H$8549*Sens!$H$8551-Sens!$H$8550</f>
        <v>6.18860052573681</v>
      </c>
      <c r="I8552" s="38" t="n">
        <f aca="false">Sens!$I$8548+Sens!$I$8549*Sens!$I$8551-Sens!$I$8550</f>
        <v>5.73906974139474</v>
      </c>
      <c r="J8552" s="38" t="n">
        <f aca="false">Sens!$J$8548+Sens!$J$8549*Sens!$J$8551-Sens!$J$8550</f>
        <v>5.34074393695119</v>
      </c>
      <c r="K8552" s="38" t="n">
        <f aca="false">Sens!$K$8548+Sens!$K$8549*Sens!$K$8551-Sens!$K$8550</f>
        <v>4.7054586646822</v>
      </c>
      <c r="L8552" s="38" t="n">
        <f aca="false">Sens!$L$8548+Sens!$L$8549*Sens!$L$8551-Sens!$L$8550</f>
        <v>4.88428999052786</v>
      </c>
      <c r="M8552" s="38" t="n">
        <f aca="false">Sens!$M$8548+Sens!$M$8549*Sens!$M$8551-Sens!$M$8550</f>
        <v>5.89931338558769</v>
      </c>
      <c r="N8552" s="38" t="n">
        <f aca="false">Q!$N$23</f>
        <v>2.511</v>
      </c>
      <c r="O8552" s="38" t="n">
        <f aca="false">Q!$O$23</f>
        <v>2.239</v>
      </c>
    </row>
    <row r="8553" customFormat="false" ht="17.15" hidden="false" customHeight="false" outlineLevel="0" collapsed="false">
      <c r="A8553" s="0" t="s">
        <v>742</v>
      </c>
      <c r="B8553" s="0" t="s">
        <v>86</v>
      </c>
      <c r="C8553" s="38" t="n">
        <f aca="false">Sens!$C$8493</f>
        <v>1.64417882953695</v>
      </c>
      <c r="D8553" s="38" t="n">
        <f aca="false">Sens!$D$8493</f>
        <v>5.39125073772939</v>
      </c>
      <c r="E8553" s="38" t="n">
        <f aca="false">Sens!$E$8493</f>
        <v>2.42691120599613</v>
      </c>
      <c r="F8553" s="38" t="n">
        <f aca="false">Sens!$F$8493</f>
        <v>7.52148563094346</v>
      </c>
      <c r="G8553" s="38" t="n">
        <f aca="false">Sens!$G$8493</f>
        <v>9.94839683693959</v>
      </c>
      <c r="H8553" s="38" t="n">
        <f aca="false">Sens!$H$8493</f>
        <v>23.4804386990861</v>
      </c>
      <c r="I8553" s="38" t="n">
        <f aca="false">Sens!$I$8493</f>
        <v>30.9761745989143</v>
      </c>
      <c r="J8553" s="38" t="n">
        <f aca="false">Sens!$J$8493</f>
        <v>41.1930070746977</v>
      </c>
      <c r="K8553" s="38" t="n">
        <f aca="false">Sens!$K$8493</f>
        <v>45.9779211159428</v>
      </c>
      <c r="L8553" s="38" t="n">
        <f aca="false">Sens!$L$8493</f>
        <v>48.0352490919424</v>
      </c>
      <c r="M8553" s="38" t="n">
        <f aca="false">Sens!$M$8493</f>
        <v>47.4082976573265</v>
      </c>
      <c r="N8553" s="38" t="n">
        <f aca="false">Sens!$N$8493</f>
        <v>1.67921600037079</v>
      </c>
      <c r="O8553" s="38" t="n">
        <f aca="false">Sens!$O$8493</f>
        <v>3.71203473735861</v>
      </c>
    </row>
    <row r="8554" customFormat="false" ht="17.15" hidden="false" customHeight="false" outlineLevel="0" collapsed="false">
      <c r="A8554" s="0" t="s">
        <v>660</v>
      </c>
      <c r="B8554" s="0" t="s">
        <v>86</v>
      </c>
      <c r="C8554" s="38" t="n">
        <f aca="false">Sens!$C$8498</f>
        <v>38.1898211704631</v>
      </c>
      <c r="D8554" s="38" t="n">
        <f aca="false">Sens!$D$8498</f>
        <v>40.2147492622706</v>
      </c>
      <c r="E8554" s="38" t="n">
        <f aca="false">Sens!$E$8498</f>
        <v>28.3550887940039</v>
      </c>
      <c r="F8554" s="38" t="n">
        <f aca="false">Sens!$F$8498</f>
        <v>25.9529793149447</v>
      </c>
      <c r="G8554" s="38" t="n">
        <f aca="false">Sens!$G$8498</f>
        <v>54.3080681089486</v>
      </c>
      <c r="H8554" s="38" t="n">
        <f aca="false">Sens!$H$8498</f>
        <v>58.2264684589333</v>
      </c>
      <c r="I8554" s="38" t="n">
        <f aca="false">Sens!$I$8498</f>
        <v>64.6461353851744</v>
      </c>
      <c r="J8554" s="38" t="n">
        <f aca="false">Sens!$J$8498</f>
        <v>70.7957093610231</v>
      </c>
      <c r="K8554" s="38" t="n">
        <f aca="false">Sens!$K$8498</f>
        <v>76.4593661099049</v>
      </c>
      <c r="L8554" s="38" t="n">
        <f aca="false">Sens!$L$8498</f>
        <v>82.5761153986973</v>
      </c>
      <c r="M8554" s="38" t="n">
        <f aca="false">Sens!$M$8498</f>
        <v>89.1822046305931</v>
      </c>
      <c r="N8554" s="38" t="n">
        <f aca="false">Sens!$N$8498</f>
        <v>20.0277839996292</v>
      </c>
      <c r="O8554" s="38" t="n">
        <f aca="false">Sens!$O$8498</f>
        <v>20.1869652626414</v>
      </c>
    </row>
    <row r="8555" customFormat="false" ht="17.15" hidden="false" customHeight="false" outlineLevel="0" collapsed="false">
      <c r="A8555" s="1" t="s">
        <v>743</v>
      </c>
      <c r="B8555" s="8" t="s">
        <v>86</v>
      </c>
      <c r="C8555" s="38" t="n">
        <f aca="false">Q!$D$24</f>
        <v>39.834</v>
      </c>
      <c r="D8555" s="38" t="n">
        <f aca="false">Q!$E$24</f>
        <v>45.606</v>
      </c>
      <c r="E8555" s="38" t="n">
        <f aca="false">Q!$P$24</f>
        <v>30.782</v>
      </c>
      <c r="F8555" s="38" t="n">
        <f aca="false">Sens!$F$8553+Sens!$F$8554</f>
        <v>33.4744649458882</v>
      </c>
      <c r="G8555" s="38" t="n">
        <f aca="false">Sens!$G$8553+Sens!$G$8554</f>
        <v>64.2564649458882</v>
      </c>
      <c r="H8555" s="38" t="n">
        <f aca="false">Sens!$H$8553+Sens!$H$8554</f>
        <v>81.7069071580194</v>
      </c>
      <c r="I8555" s="38" t="n">
        <f aca="false">Sens!$I$8553+Sens!$I$8554</f>
        <v>95.6223099840887</v>
      </c>
      <c r="J8555" s="38" t="n">
        <f aca="false">Sens!$J$8553+Sens!$J$8554</f>
        <v>111.988716435721</v>
      </c>
      <c r="K8555" s="38" t="n">
        <f aca="false">Sens!$K$8553+Sens!$K$8554</f>
        <v>122.437287225848</v>
      </c>
      <c r="L8555" s="38" t="n">
        <f aca="false">Sens!$L$8553+Sens!$L$8554</f>
        <v>130.61136449064</v>
      </c>
      <c r="M8555" s="38" t="n">
        <f aca="false">Sens!$M$8553+Sens!$M$8554</f>
        <v>136.59050228792</v>
      </c>
      <c r="N8555" s="38" t="n">
        <f aca="false">Q!$N$24</f>
        <v>21.707</v>
      </c>
      <c r="O8555" s="38" t="n">
        <f aca="false">Q!$O$24</f>
        <v>23.899</v>
      </c>
    </row>
    <row r="8556" customFormat="false" ht="17.15" hidden="false" customHeight="false" outlineLevel="0" collapsed="false">
      <c r="A8556" s="5" t="s">
        <v>744</v>
      </c>
      <c r="B8556" s="0" t="s">
        <v>86</v>
      </c>
      <c r="C8556" s="38" t="n">
        <f aca="false">Q!$D$26</f>
        <v>0</v>
      </c>
      <c r="D8556" s="38" t="n">
        <f aca="false">Q!$E$26</f>
        <v>0</v>
      </c>
      <c r="E8556" s="38" t="n">
        <f aca="false">Q!$P$26</f>
        <v>0</v>
      </c>
      <c r="F8556" s="39" t="n">
        <v>0</v>
      </c>
      <c r="G8556" s="38" t="n">
        <f aca="false">Sens!$E$8556+Sens!$F$8556</f>
        <v>0</v>
      </c>
      <c r="H8556" s="39" t="n">
        <v>0</v>
      </c>
      <c r="I8556" s="39" t="n">
        <v>0</v>
      </c>
      <c r="J8556" s="39" t="n">
        <v>0</v>
      </c>
      <c r="K8556" s="39" t="n">
        <v>0</v>
      </c>
      <c r="L8556" s="39" t="n">
        <v>0</v>
      </c>
      <c r="M8556" s="39" t="n">
        <v>0</v>
      </c>
      <c r="N8556" s="38" t="n">
        <f aca="false">Q!$N$26</f>
        <v>0</v>
      </c>
      <c r="O8556" s="38" t="n">
        <f aca="false">Q!$O$26</f>
        <v>0</v>
      </c>
    </row>
    <row r="8557" customFormat="false" ht="15" hidden="false" customHeight="false" outlineLevel="0" collapsed="false">
      <c r="A8557" s="3" t="s">
        <v>541</v>
      </c>
      <c r="B8557" s="8" t="s">
        <v>86</v>
      </c>
      <c r="C8557" s="38" t="n">
        <f aca="false">Q!$D$25</f>
        <v>68.593</v>
      </c>
      <c r="D8557" s="38" t="n">
        <f aca="false">Q!$E$25</f>
        <v>79.975</v>
      </c>
      <c r="E8557" s="38" t="n">
        <f aca="false">Q!$P$25</f>
        <v>51.313</v>
      </c>
      <c r="F8557" s="38" t="n">
        <f aca="false">Sens!$F$8547+Sens!$F$8552+Sens!$F$8555+Sens!$F$8556</f>
        <v>56.3652566987294</v>
      </c>
      <c r="G8557" s="38" t="n">
        <f aca="false">Sens!$G$8547+Sens!$G$8552+Sens!$G$8555+Sens!$G$8556</f>
        <v>107.678256698729</v>
      </c>
      <c r="H8557" s="38" t="n">
        <f aca="false">Sens!$H$8547+Sens!$H$8552+Sens!$H$8555+Sens!$H$8556</f>
        <v>129.515456870266</v>
      </c>
      <c r="I8557" s="38" t="n">
        <f aca="false">Sens!$I$8547+Sens!$I$8552+Sens!$I$8555+Sens!$I$8556</f>
        <v>145.345387082626</v>
      </c>
      <c r="J8557" s="38" t="n">
        <f aca="false">Sens!$J$8547+Sens!$J$8552+Sens!$J$8555+Sens!$J$8556</f>
        <v>163.862141869716</v>
      </c>
      <c r="K8557" s="38" t="n">
        <f aca="false">Sens!$K$8547+Sens!$K$8552+Sens!$K$8555+Sens!$K$8556</f>
        <v>175.564332634303</v>
      </c>
      <c r="L8557" s="38" t="n">
        <f aca="false">Sens!$L$8547+Sens!$L$8552+Sens!$L$8555+Sens!$L$8556</f>
        <v>186.492086157384</v>
      </c>
      <c r="M8557" s="38" t="n">
        <f aca="false">Sens!$M$8547+Sens!$M$8552+Sens!$M$8555+Sens!$M$8556</f>
        <v>198.371665638452</v>
      </c>
      <c r="N8557" s="38" t="n">
        <f aca="false">Q!$N$25</f>
        <v>37.576</v>
      </c>
      <c r="O8557" s="38" t="n">
        <f aca="false">Q!$O$25</f>
        <v>42.399</v>
      </c>
    </row>
    <row r="8558" customFormat="false" ht="17.15" hidden="false" customHeight="false" outlineLevel="0" collapsed="false">
      <c r="A8558" s="24" t="s">
        <v>775</v>
      </c>
      <c r="B8558" s="25" t="s">
        <v>86</v>
      </c>
      <c r="C8558" s="41" t="n">
        <f aca="false">Sens!$C$8547+Sens!$C$8552+Sens!$C$8555+Sens!$C$8556-Sens!$C$8557</f>
        <v>0</v>
      </c>
      <c r="D8558" s="41" t="n">
        <f aca="false">Sens!$D$8547+Sens!$D$8552+Sens!$D$8555+Sens!$D$8556-Sens!$D$8557</f>
        <v>0</v>
      </c>
      <c r="E8558" s="41" t="n">
        <f aca="false">Sens!$E$8547+Sens!$E$8552+Sens!$E$8555+Sens!$E$8556-Sens!$E$8557</f>
        <v>0</v>
      </c>
      <c r="F8558" s="41" t="n">
        <f aca="false">Sens!$F$8547+Sens!$F$8552+Sens!$F$8555+Sens!$F$8556-Sens!$F$8557</f>
        <v>0</v>
      </c>
      <c r="G8558" s="41" t="n">
        <f aca="false">Sens!$G$8547+Sens!$G$8552+Sens!$G$8555+Sens!$G$8556-Sens!$G$8557</f>
        <v>0</v>
      </c>
      <c r="H8558" s="41" t="n">
        <f aca="false">Sens!$H$8547+Sens!$H$8552+Sens!$H$8555+Sens!$H$8556-Sens!$H$8557</f>
        <v>0</v>
      </c>
      <c r="I8558" s="41" t="n">
        <f aca="false">Sens!$I$8547+Sens!$I$8552+Sens!$I$8555+Sens!$I$8556-Sens!$I$8557</f>
        <v>0</v>
      </c>
      <c r="J8558" s="41" t="n">
        <f aca="false">Sens!$J$8547+Sens!$J$8552+Sens!$J$8555+Sens!$J$8556-Sens!$J$8557</f>
        <v>0</v>
      </c>
      <c r="K8558" s="41" t="n">
        <f aca="false">Sens!$K$8547+Sens!$K$8552+Sens!$K$8555+Sens!$K$8556-Sens!$K$8557</f>
        <v>0</v>
      </c>
      <c r="L8558" s="41" t="n">
        <f aca="false">Sens!$L$8547+Sens!$L$8552+Sens!$L$8555+Sens!$L$8556-Sens!$L$8557</f>
        <v>0</v>
      </c>
      <c r="M8558" s="41" t="n">
        <f aca="false">Sens!$M$8547+Sens!$M$8552+Sens!$M$8555+Sens!$M$8556-Sens!$M$8557</f>
        <v>0</v>
      </c>
      <c r="N8558" s="41" t="n">
        <f aca="false">Sens!$N$8547+Sens!$N$8552+Sens!$N$8555+Sens!$N$8556-Sens!$N$8557</f>
        <v>0</v>
      </c>
      <c r="O8558" s="41" t="n">
        <f aca="false">Sens!$O$8547+Sens!$O$8552+Sens!$O$8555+Sens!$O$8556-Sens!$O$8557</f>
        <v>0</v>
      </c>
    </row>
    <row r="8559" customFormat="false" ht="17.15" hidden="false" customHeight="false" outlineLevel="0" collapsed="false">
      <c r="A8559" s="5" t="s">
        <v>746</v>
      </c>
      <c r="B8559" s="0" t="s">
        <v>86</v>
      </c>
      <c r="C8559" s="38" t="n">
        <f aca="false">Sens!$C$8495</f>
        <v>0</v>
      </c>
      <c r="D8559" s="38" t="n">
        <f aca="false">Sens!$D$8495</f>
        <v>0</v>
      </c>
      <c r="E8559" s="38" t="n">
        <f aca="false">Sens!$E$8495</f>
        <v>0</v>
      </c>
      <c r="F8559" s="38" t="n">
        <f aca="false">Sens!$F$8495</f>
        <v>3.77122048175818</v>
      </c>
      <c r="G8559" s="38" t="n">
        <f aca="false">Sens!$G$8495</f>
        <v>3.77122048175818</v>
      </c>
      <c r="H8559" s="38" t="n">
        <f aca="false">Sens!$H$8495</f>
        <v>15.1635543609893</v>
      </c>
      <c r="I8559" s="38" t="n">
        <f aca="false">Sens!$I$8495</f>
        <v>25.5818843619889</v>
      </c>
      <c r="J8559" s="38" t="n">
        <f aca="false">Sens!$J$8495</f>
        <v>36.0465624179122</v>
      </c>
      <c r="K8559" s="38" t="n">
        <f aca="false">Sens!$K$8495</f>
        <v>44.9741164026038</v>
      </c>
      <c r="L8559" s="38" t="n">
        <f aca="false">Sens!$L$8495</f>
        <v>50.8413488057813</v>
      </c>
      <c r="M8559" s="38" t="n">
        <f aca="false">Sens!$M$8495</f>
        <v>53.6407214274315</v>
      </c>
      <c r="N8559" s="38" t="n">
        <f aca="false">Sens!$N$8495</f>
        <v>0</v>
      </c>
      <c r="O8559" s="38" t="n">
        <f aca="false">Sens!$O$8495</f>
        <v>0</v>
      </c>
      <c r="P8559" s="5" t="s">
        <v>747</v>
      </c>
    </row>
    <row r="8560" customFormat="false" ht="17.15" hidden="false" customHeight="false" outlineLevel="0" collapsed="false">
      <c r="A8560" s="5" t="s">
        <v>748</v>
      </c>
      <c r="B8560" s="0" t="s">
        <v>86</v>
      </c>
      <c r="C8560" s="38" t="n">
        <f aca="false">Sens!$C$8557+Sens!$C$8559</f>
        <v>68.593</v>
      </c>
      <c r="D8560" s="38" t="n">
        <f aca="false">Sens!$D$8557+Sens!$D$8559</f>
        <v>79.975</v>
      </c>
      <c r="E8560" s="38" t="n">
        <f aca="false">Sens!$E$8557+Sens!$E$8559</f>
        <v>51.313</v>
      </c>
      <c r="F8560" s="38" t="n">
        <f aca="false">Sens!$F$8557+Sens!$F$8559</f>
        <v>60.1364771804876</v>
      </c>
      <c r="G8560" s="38" t="n">
        <f aca="false">Sens!$G$8557+Sens!$G$8559</f>
        <v>111.449477180488</v>
      </c>
      <c r="H8560" s="38" t="n">
        <f aca="false">Sens!$H$8557+Sens!$H$8559</f>
        <v>144.679011231256</v>
      </c>
      <c r="I8560" s="38" t="n">
        <f aca="false">Sens!$I$8557+Sens!$I$8559</f>
        <v>170.927271444615</v>
      </c>
      <c r="J8560" s="38" t="n">
        <f aca="false">Sens!$J$8557+Sens!$J$8559</f>
        <v>199.908704287628</v>
      </c>
      <c r="K8560" s="38" t="n">
        <f aca="false">Sens!$K$8557+Sens!$K$8559</f>
        <v>220.538449036907</v>
      </c>
      <c r="L8560" s="38" t="n">
        <f aca="false">Sens!$L$8557+Sens!$L$8559</f>
        <v>237.333434963166</v>
      </c>
      <c r="M8560" s="38" t="n">
        <f aca="false">Sens!$M$8557+Sens!$M$8559</f>
        <v>252.012387065883</v>
      </c>
      <c r="N8560" s="38" t="n">
        <f aca="false">Sens!$N$8557+Sens!$N$8559</f>
        <v>37.576</v>
      </c>
      <c r="O8560" s="38" t="n">
        <f aca="false">Sens!$O$8557+Sens!$O$8559</f>
        <v>42.399</v>
      </c>
    </row>
    <row r="8561" customFormat="false" ht="17.15" hidden="false" customHeight="false" outlineLevel="0" collapsed="false">
      <c r="A8561" s="0" t="s">
        <v>749</v>
      </c>
      <c r="B8561" s="0" t="s">
        <v>52</v>
      </c>
      <c r="C8561" s="13" t="n">
        <f aca="false">Sens!$C$8547/Sens!$C$8532</f>
        <v>0.0644314665661928</v>
      </c>
      <c r="D8561" s="13" t="n">
        <f aca="false">Sens!$D$8547/Sens!$D$8532</f>
        <v>0.0694784250712518</v>
      </c>
      <c r="E8561" s="13" t="n">
        <f aca="false">Sens!$E$8547/Sens!$E$8532</f>
        <v>0.0789306463326071</v>
      </c>
      <c r="F8561" s="13" t="n">
        <f aca="false">Sens!$F$8547/Sens!$F$8532</f>
        <v>0.0802526339438384</v>
      </c>
      <c r="G8561" s="13" t="n">
        <f aca="false">Sens!$G$8547/Sens!$G$8532</f>
        <v>0.0796341940538369</v>
      </c>
      <c r="H8561" s="13" t="n">
        <f aca="false">Sens!$H$8547/Sens!$H$8532</f>
        <v>0.0798254462645258</v>
      </c>
      <c r="I8561" s="13" t="n">
        <f aca="false">Sens!$I$8547/Sens!$I$8532</f>
        <v>0.0771454543672196</v>
      </c>
      <c r="J8561" s="13" t="n">
        <f aca="false">Sens!$J$8547/Sens!$J$8532</f>
        <v>0.0756147693819656</v>
      </c>
      <c r="K8561" s="13" t="n">
        <f aca="false">Sens!$K$8547/Sens!$K$8532</f>
        <v>0.0739025926520816</v>
      </c>
      <c r="L8561" s="13" t="n">
        <f aca="false">Sens!$L$8547/Sens!$L$8532</f>
        <v>0.0730809201558074</v>
      </c>
      <c r="M8561" s="13" t="n">
        <f aca="false">Sens!$M$8547/Sens!$M$8532</f>
        <v>0.0751707027775199</v>
      </c>
      <c r="N8561" s="13" t="n">
        <f aca="false">Sens!$N$8547/Sens!$N$8532</f>
        <v>0.069228576611127</v>
      </c>
      <c r="O8561" s="13" t="n">
        <f aca="false">Sens!$O$8547/Sens!$O$8532</f>
        <v>0.069685022498393</v>
      </c>
    </row>
    <row r="8562" customFormat="false" ht="17.15" hidden="false" customHeight="false" outlineLevel="0" collapsed="false">
      <c r="A8562" s="0" t="s">
        <v>750</v>
      </c>
      <c r="B8562" s="0" t="s">
        <v>52</v>
      </c>
      <c r="C8562" s="13" t="n">
        <f aca="false">Sens!$C$8552/Sens!$C$8533</f>
        <v>0.026534925055631</v>
      </c>
      <c r="D8562" s="13" t="n">
        <f aca="false">Sens!$D$8552/Sens!$D$8533</f>
        <v>0.0293401855535103</v>
      </c>
      <c r="E8562" s="13" t="n">
        <f aca="false">Sens!$E$8552/Sens!$E$8533</f>
        <v>0.03831141902276</v>
      </c>
      <c r="F8562" s="13" t="n">
        <f aca="false">Sens!$F$8552/Sens!$F$8533</f>
        <v>0.0282118989524726</v>
      </c>
      <c r="G8562" s="13" t="n">
        <f aca="false">Sens!$G$8552/Sens!$G$8533</f>
        <v>0.0328019468674976</v>
      </c>
      <c r="H8562" s="13" t="n">
        <f aca="false">Sens!$H$8552/Sens!$H$8533</f>
        <v>0.0309879507899839</v>
      </c>
      <c r="I8562" s="13" t="n">
        <f aca="false">Sens!$I$8552/Sens!$I$8533</f>
        <v>0.0262795332043765</v>
      </c>
      <c r="J8562" s="13" t="n">
        <f aca="false">Sens!$J$8552/Sens!$J$8533</f>
        <v>0.0226574435353346</v>
      </c>
      <c r="K8562" s="13" t="n">
        <f aca="false">Sens!$K$8552/Sens!$K$8533</f>
        <v>0.0187492205871101</v>
      </c>
      <c r="L8562" s="13" t="n">
        <f aca="false">Sens!$L$8552/Sens!$L$8533</f>
        <v>0.018273690180732</v>
      </c>
      <c r="M8562" s="13" t="n">
        <f aca="false">Sens!$M$8552/Sens!$M$8533</f>
        <v>0.0207176218272716</v>
      </c>
      <c r="N8562" s="13" t="n">
        <f aca="false">Sens!$N$8552/Sens!$N$8533</f>
        <v>0.0357315650169337</v>
      </c>
      <c r="O8562" s="13" t="n">
        <f aca="false">Sens!$O$8552/Sens!$O$8533</f>
        <v>0.0244378956559703</v>
      </c>
    </row>
    <row r="8563" customFormat="false" ht="17.15" hidden="false" customHeight="false" outlineLevel="0" collapsed="false">
      <c r="A8563" s="14" t="s">
        <v>751</v>
      </c>
      <c r="B8563" s="14" t="s">
        <v>52</v>
      </c>
      <c r="C8563" s="17" t="n">
        <f aca="false">Sens!$C$8555/Sens!$C$8534</f>
        <v>0.370355907620217</v>
      </c>
      <c r="D8563" s="17" t="n">
        <f aca="false">Sens!$D$8555/Sens!$D$8534</f>
        <v>0.35429015342785</v>
      </c>
      <c r="E8563" s="17" t="n">
        <f aca="false">Sens!$E$8555/Sens!$E$8534</f>
        <v>0.385647527531039</v>
      </c>
      <c r="F8563" s="17" t="n">
        <f aca="false">Sens!$F$8555/Sens!$F$8534</f>
        <v>0.385949613469105</v>
      </c>
      <c r="G8563" s="17" t="n">
        <f aca="false">Sens!$G$8555/Sens!$G$8534</f>
        <v>0.385804840448779</v>
      </c>
      <c r="H8563" s="17" t="n">
        <f aca="false">Sens!$H$8555/Sens!$H$8534</f>
        <v>0.369408675360557</v>
      </c>
      <c r="I8563" s="17" t="n">
        <f aca="false">Sens!$I$8555/Sens!$I$8534</f>
        <v>0.34117504540738</v>
      </c>
      <c r="J8563" s="17" t="n">
        <f aca="false">Sens!$J$8555/Sens!$J$8534</f>
        <v>0.330544285732563</v>
      </c>
      <c r="K8563" s="17" t="n">
        <f aca="false">Sens!$K$8555/Sens!$K$8534</f>
        <v>0.314033796990635</v>
      </c>
      <c r="L8563" s="17" t="n">
        <f aca="false">Sens!$L$8555/Sens!$L$8534</f>
        <v>0.303690371867633</v>
      </c>
      <c r="M8563" s="17" t="n">
        <f aca="false">Sens!$M$8555/Sens!$M$8534</f>
        <v>0.297287296590884</v>
      </c>
      <c r="N8563" s="17" t="n">
        <f aca="false">Sens!$N$8555/Sens!$N$8534</f>
        <v>0.360941137346192</v>
      </c>
      <c r="O8563" s="17" t="n">
        <f aca="false">Sens!$O$8555/Sens!$O$8534</f>
        <v>0.348458117664212</v>
      </c>
    </row>
    <row r="8564" customFormat="false" ht="17.15" hidden="false" customHeight="false" outlineLevel="0" collapsed="false">
      <c r="A8564" s="0" t="s">
        <v>752</v>
      </c>
      <c r="B8564" s="0" t="s">
        <v>52</v>
      </c>
      <c r="C8564" s="13" t="n">
        <f aca="false">Sens!$C$8553/Sens!$C$8535</f>
        <v>0.708390794789371</v>
      </c>
      <c r="D8564" s="13" t="n">
        <f aca="false">Sens!$D$8553/Sens!$D$8535</f>
        <v>0.619415573115729</v>
      </c>
      <c r="E8564" s="13" t="n">
        <f aca="false">Sens!$E$8553/Sens!$E$8535</f>
        <v>0.285171627189009</v>
      </c>
      <c r="F8564" s="13" t="n">
        <f aca="false">Sens!$F$8553/Sens!$F$8535</f>
        <v>0.502657732812366</v>
      </c>
      <c r="G8564" s="13" t="n">
        <f aca="false">Sens!$G$8553/Sens!$G$8535</f>
        <v>0.423808778611812</v>
      </c>
      <c r="H8564" s="13" t="n">
        <f aca="false">Sens!$H$8553/Sens!$H$8535</f>
        <v>0.390261631739809</v>
      </c>
      <c r="I8564" s="13" t="n">
        <f aca="false">Sens!$I$8553/Sens!$I$8535</f>
        <v>0.305172864264572</v>
      </c>
      <c r="J8564" s="13" t="n">
        <f aca="false">Sens!$J$8553/Sens!$J$8535</f>
        <v>0.288011814789856</v>
      </c>
      <c r="K8564" s="13" t="n">
        <f aca="false">Sens!$K$8553/Sens!$K$8535</f>
        <v>0.25765427518774</v>
      </c>
      <c r="L8564" s="13" t="n">
        <f aca="false">Sens!$L$8553/Sens!$L$8535</f>
        <v>0.238118778012374</v>
      </c>
      <c r="M8564" s="13" t="n">
        <f aca="false">Sens!$M$8553/Sens!$M$8535</f>
        <v>0.222746255757109</v>
      </c>
      <c r="N8564" s="13" t="n">
        <f aca="false">Sens!$N$8553/Sens!$N$8535</f>
        <v>0.551227795793364</v>
      </c>
      <c r="O8564" s="13" t="n">
        <f aca="false">Sens!$O$8553/Sens!$O$8535</f>
        <v>0.656132068597002</v>
      </c>
    </row>
    <row r="8565" customFormat="false" ht="15" hidden="false" customHeight="false" outlineLevel="0" collapsed="false">
      <c r="A8565" s="5" t="s">
        <v>753</v>
      </c>
      <c r="B8565" s="0" t="s">
        <v>52</v>
      </c>
      <c r="C8565" s="13" t="n">
        <f aca="false">Sens!$C$8557/Sens!$C$8537</f>
        <v>0.107519448742004</v>
      </c>
      <c r="D8565" s="13" t="n">
        <f aca="false">Sens!$D$8557/Sens!$D$8537</f>
        <v>0.111552967957552</v>
      </c>
      <c r="E8565" s="13" t="n">
        <f aca="false">Sens!$E$8557/Sens!$E$8537</f>
        <v>0.13428328426562</v>
      </c>
      <c r="F8565" s="13" t="n">
        <f aca="false">Sens!$F$8557/Sens!$F$8537</f>
        <v>0.129343087287827</v>
      </c>
      <c r="G8565" s="13" t="n">
        <f aca="false">Sens!$G$8557/Sens!$G$8537</f>
        <v>0.131651143259596</v>
      </c>
      <c r="H8565" s="13" t="n">
        <f aca="false">Sens!$H$8557/Sens!$H$8537</f>
        <v>0.137449034763893</v>
      </c>
      <c r="I8565" s="13" t="n">
        <f aca="false">Sens!$I$8557/Sens!$I$8537</f>
        <v>0.13598895915033</v>
      </c>
      <c r="J8565" s="13" t="n">
        <f aca="false">Sens!$J$8557/Sens!$J$8537</f>
        <v>0.137709769017663</v>
      </c>
      <c r="K8565" s="13" t="n">
        <f aca="false">Sens!$K$8557/Sens!$K$8537</f>
        <v>0.135459809314784</v>
      </c>
      <c r="L8565" s="13" t="n">
        <f aca="false">Sens!$L$8557/Sens!$L$8537</f>
        <v>0.133669430082102</v>
      </c>
      <c r="M8565" s="13" t="n">
        <f aca="false">Sens!$M$8557/Sens!$M$8537</f>
        <v>0.133349766772341</v>
      </c>
      <c r="N8565" s="13" t="n">
        <f aca="false">Sens!$N$8557/Sens!$N$8537</f>
        <v>0.116201614873411</v>
      </c>
      <c r="O8565" s="13" t="n">
        <f aca="false">Sens!$O$8557/Sens!$O$8537</f>
        <v>0.107733353660861</v>
      </c>
    </row>
    <row r="8566" customFormat="false" ht="17.15" hidden="false" customHeight="false" outlineLevel="0" collapsed="false">
      <c r="A8566" s="1" t="s">
        <v>754</v>
      </c>
    </row>
    <row r="8567" customFormat="false" ht="17.15" hidden="false" customHeight="false" outlineLevel="0" collapsed="false">
      <c r="A8567" s="5" t="s">
        <v>755</v>
      </c>
      <c r="B8567" s="0" t="s">
        <v>52</v>
      </c>
      <c r="D8567" s="28" t="n">
        <f aca="false">(Q!$E$29+Q!$E$30-(1-ext_sh)*Sens!$D$8489)/Sens!$D$8440</f>
        <v>0.0341105596409988</v>
      </c>
    </row>
    <row r="8568" customFormat="false" ht="17.15" hidden="false" customHeight="false" outlineLevel="0" collapsed="false">
      <c r="A8568" s="0" t="s">
        <v>545</v>
      </c>
      <c r="B8568" s="0" t="s">
        <v>86</v>
      </c>
      <c r="C8568" s="38" t="n">
        <f aca="false">Q!$D$29</f>
        <v>14.285</v>
      </c>
      <c r="D8568" s="38" t="n">
        <f aca="false">Q!$E$29</f>
        <v>15.503</v>
      </c>
      <c r="E8568" s="38" t="n">
        <f aca="false">Q!$P$29</f>
        <v>8.78</v>
      </c>
      <c r="F8568" s="38" t="n">
        <f aca="false">(Sens!$D$8567*Sens!$F$8440+(1-ext_sh)*Sens!$F$8489)*Sens!$F$8441</f>
        <v>9.30317620449232</v>
      </c>
      <c r="G8568" s="38" t="n">
        <f aca="false">Sens!$E$8568+Sens!$F$8568</f>
        <v>18.0831762044923</v>
      </c>
      <c r="H8568" s="38" t="n">
        <f aca="false">(Sens!$D$8567*Sens!$H$8440+(1-ext_sh)*Sens!$H$8489)*Sens!$H$8441</f>
        <v>22.1297245338482</v>
      </c>
      <c r="I8568" s="38" t="n">
        <f aca="false">(Sens!$D$8567*Sens!$I$8440+(1-ext_sh)*Sens!$I$8489)*Sens!$I$8441</f>
        <v>28.409695984391</v>
      </c>
      <c r="J8568" s="38" t="n">
        <f aca="false">(Sens!$D$8567*Sens!$J$8440+(1-ext_sh)*Sens!$J$8489)*Sens!$J$8441</f>
        <v>34.1085606174579</v>
      </c>
      <c r="K8568" s="38" t="n">
        <f aca="false">(Sens!$D$8567*Sens!$K$8440+(1-ext_sh)*Sens!$K$8489)*Sens!$K$8441</f>
        <v>39.7218983009068</v>
      </c>
      <c r="L8568" s="38" t="n">
        <f aca="false">(Sens!$D$8567*Sens!$L$8440+(1-ext_sh)*Sens!$L$8489)*Sens!$L$8441</f>
        <v>44.1680279486684</v>
      </c>
      <c r="M8568" s="38" t="n">
        <f aca="false">(Sens!$D$8567*Sens!$M$8440+(1-ext_sh)*Sens!$M$8489)*Sens!$M$8441</f>
        <v>47.4413073313286</v>
      </c>
      <c r="N8568" s="38" t="n">
        <f aca="false">Q!$N$29</f>
        <v>7.272</v>
      </c>
      <c r="O8568" s="38" t="n">
        <f aca="false">Q!$O$29</f>
        <v>8.231</v>
      </c>
    </row>
    <row r="8569" customFormat="false" ht="17.15" hidden="false" customHeight="false" outlineLevel="0" collapsed="false">
      <c r="A8569" s="0" t="s">
        <v>547</v>
      </c>
      <c r="B8569" s="0" t="s">
        <v>86</v>
      </c>
      <c r="C8569" s="38" t="n">
        <f aca="false">Q!$D$30</f>
        <v>4.462</v>
      </c>
      <c r="D8569" s="38" t="n">
        <f aca="false">Q!$E$30</f>
        <v>4.907</v>
      </c>
      <c r="E8569" s="38" t="n">
        <f aca="false">Q!$P$30</f>
        <v>2.57</v>
      </c>
      <c r="F8569" s="38" t="n">
        <f aca="false">(Sens!$D$8567*Sens!$F$8440+(1-ext_sh)*Sens!$F$8489)*(1-Sens!$F$8441)</f>
        <v>3.6526976809753</v>
      </c>
      <c r="G8569" s="38" t="n">
        <f aca="false">Sens!$E$8569+Sens!$F$8569</f>
        <v>6.2226976809753</v>
      </c>
      <c r="H8569" s="38" t="n">
        <f aca="false">(Sens!$D$8567*Sens!$H$8440+(1-ext_sh)*Sens!$H$8489)*(1-Sens!$H$8441)</f>
        <v>8.4764774248495</v>
      </c>
      <c r="I8569" s="38" t="n">
        <f aca="false">(Sens!$D$8567*Sens!$I$8440+(1-ext_sh)*Sens!$I$8489)*(1-Sens!$I$8441)</f>
        <v>10.881931507561</v>
      </c>
      <c r="J8569" s="38" t="n">
        <f aca="false">(Sens!$D$8567*Sens!$J$8440+(1-ext_sh)*Sens!$J$8489)*(1-Sens!$J$8441)</f>
        <v>13.0648008575874</v>
      </c>
      <c r="K8569" s="38" t="n">
        <f aca="false">(Sens!$D$8567*Sens!$K$8440+(1-ext_sh)*Sens!$K$8489)*(1-Sens!$K$8441)</f>
        <v>15.2149103214008</v>
      </c>
      <c r="L8569" s="38" t="n">
        <f aca="false">(Sens!$D$8567*Sens!$L$8440+(1-ext_sh)*Sens!$L$8489)*(1-Sens!$L$8441)</f>
        <v>16.9179372854085</v>
      </c>
      <c r="M8569" s="38" t="n">
        <f aca="false">(Sens!$D$8567*Sens!$M$8440+(1-ext_sh)*Sens!$M$8489)*(1-Sens!$M$8441)</f>
        <v>18.1717205735785</v>
      </c>
      <c r="N8569" s="38" t="n">
        <f aca="false">Q!$N$30</f>
        <v>2.316</v>
      </c>
      <c r="O8569" s="38" t="n">
        <f aca="false">Q!$O$30</f>
        <v>2.591</v>
      </c>
    </row>
    <row r="8570" customFormat="false" ht="17.15" hidden="false" customHeight="false" outlineLevel="0" collapsed="false">
      <c r="A8570" s="0" t="s">
        <v>548</v>
      </c>
      <c r="B8570" s="0" t="s">
        <v>86</v>
      </c>
      <c r="C8570" s="38" t="n">
        <f aca="false">Sens!$C$8501</f>
        <v>13.32</v>
      </c>
      <c r="D8570" s="38" t="n">
        <f aca="false">Sens!$D$8501</f>
        <v>21.45</v>
      </c>
      <c r="E8570" s="38" t="n">
        <f aca="false">Sens!$E$8501</f>
        <v>15.353</v>
      </c>
      <c r="F8570" s="38" t="n">
        <f aca="false">Sens!$F$8501</f>
        <v>16.1969869840094</v>
      </c>
      <c r="G8570" s="38" t="n">
        <f aca="false">Sens!$G$8501</f>
        <v>31.5499869840094</v>
      </c>
      <c r="H8570" s="38" t="n">
        <f aca="false">Sens!$H$8501</f>
        <v>50.9556213609176</v>
      </c>
      <c r="I8570" s="38" t="n">
        <f aca="false">Sens!$I$8501</f>
        <v>79.464581248252</v>
      </c>
      <c r="J8570" s="38" t="n">
        <f aca="false">Sens!$J$8501</f>
        <v>105.296127931746</v>
      </c>
      <c r="K8570" s="38" t="n">
        <f aca="false">Sens!$K$8501</f>
        <v>131.454694001511</v>
      </c>
      <c r="L8570" s="38" t="n">
        <f aca="false">Sens!$L$8501</f>
        <v>150.840456981405</v>
      </c>
      <c r="M8570" s="38" t="n">
        <f aca="false">Sens!$M$8501</f>
        <v>163.399454192999</v>
      </c>
      <c r="N8570" s="38" t="n">
        <f aca="false">Sens!$N$8501</f>
        <v>9.234</v>
      </c>
      <c r="O8570" s="38" t="n">
        <f aca="false">Sens!$O$8501</f>
        <v>12.216</v>
      </c>
    </row>
    <row r="8571" customFormat="false" ht="17.15" hidden="false" customHeight="false" outlineLevel="0" collapsed="false">
      <c r="A8571" s="5" t="s">
        <v>756</v>
      </c>
      <c r="B8571" s="0" t="s">
        <v>86</v>
      </c>
      <c r="C8571" s="38" t="n">
        <f aca="false">Sens!$C$8568+Sens!$C$8569+Sens!$C$8570</f>
        <v>32.067</v>
      </c>
      <c r="D8571" s="38" t="n">
        <f aca="false">Sens!$D$8568+Sens!$D$8569+Sens!$D$8570</f>
        <v>41.86</v>
      </c>
      <c r="E8571" s="38" t="n">
        <f aca="false">Sens!$E$8568+Sens!$E$8569+Sens!$E$8570</f>
        <v>26.703</v>
      </c>
      <c r="F8571" s="38" t="n">
        <f aca="false">Sens!$F$8568+Sens!$F$8569+Sens!$F$8570</f>
        <v>29.152860869477</v>
      </c>
      <c r="G8571" s="38" t="n">
        <f aca="false">Sens!$G$8568+Sens!$G$8569+Sens!$G$8570</f>
        <v>55.855860869477</v>
      </c>
      <c r="H8571" s="38" t="n">
        <f aca="false">Sens!$H$8568+Sens!$H$8569+Sens!$H$8570</f>
        <v>81.5618233196153</v>
      </c>
      <c r="I8571" s="38" t="n">
        <f aca="false">Sens!$I$8568+Sens!$I$8569+Sens!$I$8570</f>
        <v>118.756208740204</v>
      </c>
      <c r="J8571" s="38" t="n">
        <f aca="false">Sens!$J$8568+Sens!$J$8569+Sens!$J$8570</f>
        <v>152.469489406791</v>
      </c>
      <c r="K8571" s="38" t="n">
        <f aca="false">Sens!$K$8568+Sens!$K$8569+Sens!$K$8570</f>
        <v>186.391502623819</v>
      </c>
      <c r="L8571" s="38" t="n">
        <f aca="false">Sens!$L$8568+Sens!$L$8569+Sens!$L$8570</f>
        <v>211.926422215482</v>
      </c>
      <c r="M8571" s="38" t="n">
        <f aca="false">Sens!$M$8568+Sens!$M$8569+Sens!$M$8570</f>
        <v>229.012482097906</v>
      </c>
      <c r="N8571" s="38" t="n">
        <f aca="false">Sens!$N$8568+Sens!$N$8569+Sens!$N$8570</f>
        <v>18.822</v>
      </c>
      <c r="O8571" s="38" t="n">
        <f aca="false">Sens!$O$8568+Sens!$O$8569+Sens!$O$8570</f>
        <v>23.038</v>
      </c>
    </row>
    <row r="8572" customFormat="false" ht="17.15" hidden="false" customHeight="false" outlineLevel="0" collapsed="false">
      <c r="A8572" s="0" t="s">
        <v>757</v>
      </c>
      <c r="B8572" s="0" t="s">
        <v>86</v>
      </c>
      <c r="C8572" s="38" t="n">
        <f aca="false">Sens!$C$8543+Sens!$C$8548</f>
        <v>28.107</v>
      </c>
      <c r="D8572" s="38" t="n">
        <f aca="false">Sens!$D$8543+Sens!$D$8548</f>
        <v>34.3175</v>
      </c>
      <c r="E8572" s="38" t="n">
        <f aca="false">Sens!$E$8543+Sens!$E$8548</f>
        <v>18.526</v>
      </c>
      <c r="F8572" s="38" t="n">
        <f aca="false">Sens!$F$8543+Sens!$F$8548</f>
        <v>23.0786109972074</v>
      </c>
      <c r="G8572" s="38" t="n">
        <f aca="false">Sens!$G$8543+Sens!$G$8548</f>
        <v>41.6046109972074</v>
      </c>
      <c r="H8572" s="38" t="n">
        <f aca="false">Sens!$H$8543+Sens!$H$8548</f>
        <v>49.9484611939488</v>
      </c>
      <c r="I8572" s="38" t="n">
        <f aca="false">Sens!$I$8543+Sens!$I$8548</f>
        <v>58.2915555477481</v>
      </c>
      <c r="J8572" s="38" t="n">
        <f aca="false">Sens!$J$8543+Sens!$J$8548</f>
        <v>66.0744709709759</v>
      </c>
      <c r="K8572" s="38" t="n">
        <f aca="false">Sens!$K$8543+Sens!$K$8548</f>
        <v>72.6819180680735</v>
      </c>
      <c r="L8572" s="38" t="n">
        <f aca="false">Sens!$L$8543+Sens!$L$8548</f>
        <v>79.9501098748808</v>
      </c>
      <c r="M8572" s="38" t="n">
        <f aca="false">Sens!$M$8543+Sens!$M$8548</f>
        <v>87.9451208623689</v>
      </c>
      <c r="N8572" s="38" t="n">
        <f aca="false">Sens!$N$8543+Sens!$N$8548</f>
        <v>14.8075</v>
      </c>
      <c r="O8572" s="38" t="n">
        <f aca="false">Sens!$O$8543+Sens!$O$8548</f>
        <v>19.51</v>
      </c>
    </row>
    <row r="8573" customFormat="false" ht="17.15" hidden="false" customHeight="false" outlineLevel="0" collapsed="false">
      <c r="A8573" s="0" t="s">
        <v>758</v>
      </c>
      <c r="B8573" s="0" t="s">
        <v>86</v>
      </c>
      <c r="C8573" s="38" t="n">
        <f aca="false">Sens!$C$8547+Sens!$C$8552+Sens!$C$8568+Sens!$C$8569-Sens!$C$8572</f>
        <v>19.399</v>
      </c>
      <c r="D8573" s="38" t="n">
        <f aca="false">Sens!$D$8547+Sens!$D$8552+Sens!$D$8568+Sens!$D$8569-Sens!$D$8572</f>
        <v>20.4615</v>
      </c>
      <c r="E8573" s="38" t="n">
        <f aca="false">Sens!$E$8547+Sens!$E$8552+Sens!$E$8568+Sens!$E$8569-Sens!$E$8572</f>
        <v>13.355</v>
      </c>
      <c r="F8573" s="38" t="n">
        <f aca="false">Sens!$F$8547+Sens!$F$8552+Sens!$F$8568+Sens!$F$8569-Sens!$F$8572</f>
        <v>12.7680546411015</v>
      </c>
      <c r="G8573" s="38" t="n">
        <f aca="false">Sens!$G$8547+Sens!$G$8552+Sens!$G$8568+Sens!$G$8569-Sens!$G$8572</f>
        <v>26.1230546411015</v>
      </c>
      <c r="H8573" s="38" t="n">
        <f aca="false">Sens!$H$8547+Sens!$H$8552+Sens!$H$8568+Sens!$H$8569-Sens!$H$8572</f>
        <v>28.4662904769959</v>
      </c>
      <c r="I8573" s="38" t="n">
        <f aca="false">Sens!$I$8547+Sens!$I$8552+Sens!$I$8568+Sens!$I$8569-Sens!$I$8572</f>
        <v>30.7231490427408</v>
      </c>
      <c r="J8573" s="38" t="n">
        <f aca="false">Sens!$J$8547+Sens!$J$8552+Sens!$J$8568+Sens!$J$8569-Sens!$J$8572</f>
        <v>32.9723159380642</v>
      </c>
      <c r="K8573" s="38" t="n">
        <f aca="false">Sens!$K$8547+Sens!$K$8552+Sens!$K$8568+Sens!$K$8569-Sens!$K$8572</f>
        <v>35.3819359626894</v>
      </c>
      <c r="L8573" s="38" t="n">
        <f aca="false">Sens!$L$8547+Sens!$L$8552+Sens!$L$8568+Sens!$L$8569-Sens!$L$8572</f>
        <v>37.0165770259405</v>
      </c>
      <c r="M8573" s="38" t="n">
        <f aca="false">Sens!$M$8547+Sens!$M$8552+Sens!$M$8568+Sens!$M$8569-Sens!$M$8572</f>
        <v>39.4490703930704</v>
      </c>
      <c r="N8573" s="38" t="n">
        <f aca="false">Sens!$N$8547+Sens!$N$8552+Sens!$N$8568+Sens!$N$8569-Sens!$N$8572</f>
        <v>10.6495</v>
      </c>
      <c r="O8573" s="38" t="n">
        <f aca="false">Sens!$O$8547+Sens!$O$8552+Sens!$O$8568+Sens!$O$8569-Sens!$O$8572</f>
        <v>9.81200000000001</v>
      </c>
    </row>
    <row r="8574" customFormat="false" ht="17.15" hidden="false" customHeight="false" outlineLevel="0" collapsed="false">
      <c r="A8574" s="0" t="s">
        <v>759</v>
      </c>
      <c r="B8574" s="0" t="s">
        <v>86</v>
      </c>
      <c r="C8574" s="38" t="n">
        <f aca="false">Sens!$C$8554+Sens!$C$8570-ext_sh*Sens!$C$8489</f>
        <v>51.3470500115664</v>
      </c>
      <c r="D8574" s="38" t="n">
        <f aca="false">Sens!$D$8554+Sens!$D$8570-ext_sh*Sens!$D$8489</f>
        <v>60.2799375433739</v>
      </c>
      <c r="E8574" s="38" t="n">
        <f aca="false">Sens!$E$8554+Sens!$E$8570-ext_sh*Sens!$E$8489</f>
        <v>39.5095167090767</v>
      </c>
      <c r="F8574" s="38" t="n">
        <f aca="false">Sens!$F$8554+Sens!$F$8570-ext_sh*Sens!$F$8489</f>
        <v>37.951394214027</v>
      </c>
      <c r="G8574" s="38" t="n">
        <f aca="false">Sens!$G$8554+Sens!$G$8570-ext_sh*Sens!$G$8489</f>
        <v>77.4609109231037</v>
      </c>
      <c r="H8574" s="38" t="n">
        <f aca="false">Sens!$H$8554+Sens!$H$8570-ext_sh*Sens!$H$8489</f>
        <v>85.1453558128916</v>
      </c>
      <c r="I8574" s="38" t="n">
        <f aca="false">Sens!$I$8554+Sens!$I$8570-ext_sh*Sens!$I$8489</f>
        <v>94.532921967974</v>
      </c>
      <c r="J8574" s="38" t="n">
        <f aca="false">Sens!$J$8554+Sens!$J$8570-ext_sh*Sens!$J$8489</f>
        <v>103.525527532583</v>
      </c>
      <c r="K8574" s="38" t="n">
        <f aca="false">Sens!$K$8554+Sens!$K$8570-ext_sh*Sens!$K$8489</f>
        <v>111.80756973519</v>
      </c>
      <c r="L8574" s="38" t="n">
        <f aca="false">Sens!$L$8554+Sens!$L$8570-ext_sh*Sens!$L$8489</f>
        <v>120.752175314005</v>
      </c>
      <c r="M8574" s="38" t="n">
        <f aca="false">Sens!$M$8554+Sens!$M$8570-ext_sh*Sens!$M$8489</f>
        <v>130.412349339125</v>
      </c>
      <c r="N8574" s="38" t="n">
        <f aca="false">Sens!$N$8554+Sens!$N$8570-ext_sh*Sens!$N$8489</f>
        <v>28.5693781401809</v>
      </c>
      <c r="O8574" s="38" t="n">
        <f aca="false">Sens!$O$8554+Sens!$O$8570-ext_sh*Sens!$O$8489</f>
        <v>31.7105594031931</v>
      </c>
    </row>
    <row r="8575" customFormat="false" ht="17.15" hidden="false" customHeight="false" outlineLevel="0" collapsed="false">
      <c r="A8575" s="0" t="s">
        <v>760</v>
      </c>
      <c r="B8575" s="0" t="s">
        <v>86</v>
      </c>
      <c r="C8575" s="38" t="n">
        <f aca="false">Sens!$C$8492</f>
        <v>1.80694998843362</v>
      </c>
      <c r="D8575" s="38" t="n">
        <f aca="false">Sens!$D$8492</f>
        <v>6.77606245662607</v>
      </c>
      <c r="E8575" s="38" t="n">
        <f aca="false">Sens!$E$8492</f>
        <v>6.62548329092326</v>
      </c>
      <c r="F8575" s="38" t="n">
        <f aca="false">Sens!$F$8492</f>
        <v>11.7200577158706</v>
      </c>
      <c r="G8575" s="38" t="n">
        <f aca="false">Sens!$G$8492</f>
        <v>18.3455410067939</v>
      </c>
      <c r="H8575" s="38" t="n">
        <f aca="false">Sens!$H$8492</f>
        <v>47.5171727060453</v>
      </c>
      <c r="I8575" s="38" t="n">
        <f aca="false">Sens!$I$8492</f>
        <v>80.5539692643667</v>
      </c>
      <c r="J8575" s="38" t="n">
        <f aca="false">Sens!$J$8492</f>
        <v>113.759316834883</v>
      </c>
      <c r="K8575" s="38" t="n">
        <f aca="false">Sens!$K$8492</f>
        <v>142.084411492169</v>
      </c>
      <c r="L8575" s="38" t="n">
        <f aca="false">Sens!$L$8492</f>
        <v>160.69964615804</v>
      </c>
      <c r="M8575" s="38" t="n">
        <f aca="false">Sens!$M$8492</f>
        <v>169.577607141793</v>
      </c>
      <c r="N8575" s="38" t="n">
        <f aca="false">Sens!$N$8492</f>
        <v>2.37162185981912</v>
      </c>
      <c r="O8575" s="38" t="n">
        <f aca="false">Sens!$O$8492</f>
        <v>4.40444059680694</v>
      </c>
    </row>
    <row r="8576" customFormat="false" ht="17.15" hidden="false" customHeight="false" outlineLevel="0" collapsed="false">
      <c r="A8576" s="0" t="s">
        <v>761</v>
      </c>
      <c r="B8576" s="0" t="s">
        <v>86</v>
      </c>
      <c r="C8576" s="38" t="n">
        <f aca="false">Sens!$C$8557+Sens!$C$8571</f>
        <v>100.66</v>
      </c>
      <c r="D8576" s="38" t="n">
        <f aca="false">Sens!$D$8557+Sens!$D$8571</f>
        <v>121.835</v>
      </c>
      <c r="E8576" s="38" t="n">
        <f aca="false">Sens!$E$8557+Sens!$E$8571</f>
        <v>78.016</v>
      </c>
      <c r="F8576" s="38" t="n">
        <f aca="false">Sens!$F$8557+Sens!$F$8571</f>
        <v>85.5181175682064</v>
      </c>
      <c r="G8576" s="38" t="n">
        <f aca="false">Sens!$G$8557+Sens!$G$8571</f>
        <v>163.534117568206</v>
      </c>
      <c r="H8576" s="38" t="n">
        <f aca="false">Sens!$H$8557+Sens!$H$8571</f>
        <v>211.077280189882</v>
      </c>
      <c r="I8576" s="38" t="n">
        <f aca="false">Sens!$I$8557+Sens!$I$8571</f>
        <v>264.10159582283</v>
      </c>
      <c r="J8576" s="38" t="n">
        <f aca="false">Sens!$J$8557+Sens!$J$8571</f>
        <v>316.331631276507</v>
      </c>
      <c r="K8576" s="38" t="n">
        <f aca="false">Sens!$K$8557+Sens!$K$8571</f>
        <v>361.955835258122</v>
      </c>
      <c r="L8576" s="38" t="n">
        <f aca="false">Sens!$L$8557+Sens!$L$8571</f>
        <v>398.418508372866</v>
      </c>
      <c r="M8576" s="38" t="n">
        <f aca="false">Sens!$M$8557+Sens!$M$8571</f>
        <v>427.384147736358</v>
      </c>
      <c r="N8576" s="38" t="n">
        <f aca="false">Sens!$N$8557+Sens!$N$8571</f>
        <v>56.398</v>
      </c>
      <c r="O8576" s="38" t="n">
        <f aca="false">Sens!$O$8557+Sens!$O$8571</f>
        <v>65.437</v>
      </c>
    </row>
    <row r="8577" customFormat="false" ht="17.15" hidden="false" customHeight="false" outlineLevel="0" collapsed="false">
      <c r="A8577" s="1" t="s">
        <v>762</v>
      </c>
    </row>
    <row r="8578" customFormat="false" ht="15" hidden="false" customHeight="false" outlineLevel="0" collapsed="false">
      <c r="A8578" s="5" t="s">
        <v>551</v>
      </c>
      <c r="B8578" s="0" t="s">
        <v>86</v>
      </c>
      <c r="C8578" s="38" t="n">
        <f aca="false">Q!$D$34</f>
        <v>2.406</v>
      </c>
      <c r="D8578" s="38" t="n">
        <f aca="false">Q!$E$34</f>
        <v>2.274</v>
      </c>
      <c r="E8578" s="38" t="n">
        <f aca="false">Q!$P$34</f>
        <v>2.114</v>
      </c>
      <c r="F8578" s="38" t="n">
        <f aca="false">Sens!$F$8616</f>
        <v>3.24888962733561</v>
      </c>
      <c r="G8578" s="38" t="n">
        <f aca="false">Sens!$E$8578+Sens!$F$8578</f>
        <v>5.36288962733561</v>
      </c>
      <c r="H8578" s="38" t="n">
        <f aca="false">Sens!$H$8616</f>
        <v>7.42354172302123</v>
      </c>
      <c r="I8578" s="38" t="n">
        <f aca="false">Sens!$I$8616</f>
        <v>7.84418947693382</v>
      </c>
      <c r="J8578" s="38" t="n">
        <f aca="false">Sens!$J$8616</f>
        <v>8.79561318891235</v>
      </c>
      <c r="K8578" s="38" t="n">
        <f aca="false">Sens!$K$8616</f>
        <v>8.79561318891235</v>
      </c>
      <c r="L8578" s="38" t="n">
        <f aca="false">Sens!$L$8616</f>
        <v>8.79561318891235</v>
      </c>
      <c r="M8578" s="38" t="n">
        <f aca="false">Sens!$M$8616</f>
        <v>8.79561318891235</v>
      </c>
      <c r="N8578" s="38" t="n">
        <f aca="false">Q!$N$34</f>
        <v>1.057</v>
      </c>
      <c r="O8578" s="38" t="n">
        <f aca="false">Q!$O$34</f>
        <v>1.217</v>
      </c>
    </row>
    <row r="8579" customFormat="false" ht="15" hidden="false" customHeight="false" outlineLevel="0" collapsed="false">
      <c r="A8579" s="5" t="s">
        <v>763</v>
      </c>
      <c r="B8579" s="0" t="s">
        <v>86</v>
      </c>
      <c r="F8579" s="38" t="n">
        <f aca="false">Sens!$F$8617</f>
        <v>2.59</v>
      </c>
      <c r="H8579" s="38" t="n">
        <f aca="false">Sens!$H$8617</f>
        <v>4.1153774832261</v>
      </c>
      <c r="I8579" s="38" t="n">
        <f aca="false">Sens!$I$8617</f>
        <v>2.10589651022864</v>
      </c>
      <c r="J8579" s="38" t="n">
        <f aca="false">Sens!$J$8617</f>
        <v>2.10589651022864</v>
      </c>
      <c r="K8579" s="38" t="n">
        <f aca="false">Sens!$K$8617</f>
        <v>3.172800358404</v>
      </c>
      <c r="L8579" s="38" t="n">
        <f aca="false">Sens!$L$8617</f>
        <v>8.31037272592208</v>
      </c>
      <c r="M8579" s="38" t="n">
        <f aca="false">Sens!$M$8617</f>
        <v>15.9256588704093</v>
      </c>
    </row>
    <row r="8580" customFormat="false" ht="17.15" hidden="false" customHeight="false" outlineLevel="0" collapsed="false">
      <c r="A8580" s="5" t="s">
        <v>764</v>
      </c>
      <c r="B8580" s="0" t="s">
        <v>86</v>
      </c>
      <c r="C8580" s="38" t="n">
        <f aca="false">Q!$D$39</f>
        <v>2.427</v>
      </c>
      <c r="D8580" s="38" t="n">
        <f aca="false">Q!$E$39</f>
        <v>19.61</v>
      </c>
      <c r="E8580" s="38" t="n">
        <f aca="false">Q!$P$39</f>
        <v>71.492</v>
      </c>
      <c r="F8580" s="39" t="n">
        <v>0</v>
      </c>
      <c r="G8580" s="38" t="n">
        <f aca="false">Sens!$E$8580+Sens!$F$8580</f>
        <v>71.492</v>
      </c>
      <c r="H8580" s="39" t="n">
        <v>0</v>
      </c>
      <c r="I8580" s="39" t="n">
        <v>0</v>
      </c>
      <c r="J8580" s="39" t="n">
        <v>0</v>
      </c>
      <c r="K8580" s="39" t="n">
        <v>0</v>
      </c>
      <c r="L8580" s="39" t="n">
        <v>0</v>
      </c>
      <c r="M8580" s="39" t="n">
        <v>0</v>
      </c>
      <c r="N8580" s="38" t="n">
        <f aca="false">Q!$N$39</f>
        <v>6.017</v>
      </c>
      <c r="O8580" s="38" t="n">
        <f aca="false">Q!$O$39</f>
        <v>13.593</v>
      </c>
      <c r="P8580" s="5" t="s">
        <v>765</v>
      </c>
    </row>
    <row r="8581" customFormat="false" ht="15" hidden="false" customHeight="false" outlineLevel="0" collapsed="false">
      <c r="A8581" s="5" t="s">
        <v>554</v>
      </c>
      <c r="B8581" s="0" t="s">
        <v>86</v>
      </c>
      <c r="C8581" s="38" t="n">
        <f aca="false">Q!$D$36</f>
        <v>68.614</v>
      </c>
      <c r="D8581" s="38" t="n">
        <f aca="false">Q!$E$36</f>
        <v>97.311</v>
      </c>
      <c r="E8581" s="38" t="n">
        <f aca="false">Q!$P$36</f>
        <v>120.691</v>
      </c>
      <c r="F8581" s="38" t="n">
        <f aca="false">Sens!$F$8557-Sens!$F$8578+Sens!$F$8579+Sens!$F$8580</f>
        <v>55.7063670713938</v>
      </c>
      <c r="G8581" s="38" t="n">
        <f aca="false">Sens!$E$8581+Sens!$F$8581</f>
        <v>176.397367071394</v>
      </c>
      <c r="H8581" s="38" t="n">
        <f aca="false">Sens!$H$8557-Sens!$H$8578+Sens!$H$8579+Sens!$H$8580</f>
        <v>126.207292630471</v>
      </c>
      <c r="I8581" s="38" t="n">
        <f aca="false">Sens!$I$8557-Sens!$I$8578+Sens!$I$8579+Sens!$I$8580</f>
        <v>139.60709411592</v>
      </c>
      <c r="J8581" s="38" t="n">
        <f aca="false">Sens!$J$8557-Sens!$J$8578+Sens!$J$8579+Sens!$J$8580</f>
        <v>157.172425191032</v>
      </c>
      <c r="K8581" s="38" t="n">
        <f aca="false">Sens!$K$8557-Sens!$K$8578+Sens!$K$8579+Sens!$K$8580</f>
        <v>169.941519803795</v>
      </c>
      <c r="L8581" s="38" t="n">
        <f aca="false">Sens!$L$8557-Sens!$L$8578+Sens!$L$8579+Sens!$L$8580</f>
        <v>186.006845694394</v>
      </c>
      <c r="M8581" s="38" t="n">
        <f aca="false">Sens!$M$8557-Sens!$M$8578+Sens!$M$8579+Sens!$M$8580</f>
        <v>205.501711319949</v>
      </c>
      <c r="N8581" s="38" t="n">
        <f aca="false">Q!$N$36</f>
        <v>42.536</v>
      </c>
      <c r="O8581" s="38" t="n">
        <f aca="false">Q!$O$36</f>
        <v>54.775</v>
      </c>
    </row>
    <row r="8582" customFormat="false" ht="15" hidden="false" customHeight="false" outlineLevel="0" collapsed="false">
      <c r="A8582" s="5" t="s">
        <v>555</v>
      </c>
      <c r="B8582" s="0" t="s">
        <v>86</v>
      </c>
      <c r="C8582" s="38" t="n">
        <f aca="false">Q!$D$37</f>
        <v>9.265</v>
      </c>
      <c r="D8582" s="38" t="n">
        <f aca="false">Q!$E$37</f>
        <v>19.087</v>
      </c>
      <c r="E8582" s="38" t="n">
        <f aca="false">Q!$P$37</f>
        <v>27.759</v>
      </c>
      <c r="F8582" s="38" t="n">
        <f aca="false">Sens!$F$8581*tax</f>
        <v>9.669763357865</v>
      </c>
      <c r="G8582" s="38" t="n">
        <f aca="false">Sens!$E$8582+Sens!$F$8582</f>
        <v>37.428763357865</v>
      </c>
      <c r="H8582" s="38" t="n">
        <f aca="false">Sens!$H$8581*tax</f>
        <v>21.9076331473816</v>
      </c>
      <c r="I8582" s="38" t="n">
        <f aca="false">Sens!$I$8581*tax</f>
        <v>24.2336313450491</v>
      </c>
      <c r="J8582" s="38" t="n">
        <f aca="false">Sens!$J$8581*tax</f>
        <v>27.2827010246639</v>
      </c>
      <c r="K8582" s="38" t="n">
        <f aca="false">Sens!$K$8581*tax</f>
        <v>29.4992182683994</v>
      </c>
      <c r="L8582" s="38" t="n">
        <f aca="false">Sens!$L$8581*tax</f>
        <v>32.2879102581316</v>
      </c>
      <c r="M8582" s="38" t="n">
        <f aca="false">Sens!$M$8581*tax</f>
        <v>35.671917279284</v>
      </c>
      <c r="N8582" s="38" t="n">
        <f aca="false">Q!$N$37</f>
        <v>7.231</v>
      </c>
      <c r="O8582" s="38" t="n">
        <f aca="false">Q!$O$37</f>
        <v>11.856</v>
      </c>
    </row>
    <row r="8583" customFormat="false" ht="15" hidden="false" customHeight="false" outlineLevel="0" collapsed="false">
      <c r="A8583" s="3" t="s">
        <v>556</v>
      </c>
      <c r="B8583" s="8" t="s">
        <v>86</v>
      </c>
      <c r="C8583" s="38" t="n">
        <f aca="false">Q!$D$38</f>
        <v>59.248</v>
      </c>
      <c r="D8583" s="38" t="n">
        <f aca="false">Q!$E$38</f>
        <v>77.67</v>
      </c>
      <c r="E8583" s="38" t="n">
        <f aca="false">Q!$P$38</f>
        <v>92.902</v>
      </c>
      <c r="F8583" s="38" t="n">
        <f aca="false">Sens!$F$8581-Sens!$F$8582</f>
        <v>46.0366037135288</v>
      </c>
      <c r="G8583" s="38" t="n">
        <f aca="false">Sens!$E$8583+Sens!$F$8583</f>
        <v>138.938603713529</v>
      </c>
      <c r="H8583" s="38" t="n">
        <f aca="false">Sens!$H$8581-Sens!$H$8582</f>
        <v>104.29965948309</v>
      </c>
      <c r="I8583" s="38" t="n">
        <f aca="false">Sens!$I$8581-Sens!$I$8582</f>
        <v>115.373462770871</v>
      </c>
      <c r="J8583" s="38" t="n">
        <f aca="false">Sens!$J$8581-Sens!$J$8582</f>
        <v>129.889724166368</v>
      </c>
      <c r="K8583" s="38" t="n">
        <f aca="false">Sens!$K$8581-Sens!$K$8582</f>
        <v>140.442301535395</v>
      </c>
      <c r="L8583" s="38" t="n">
        <f aca="false">Sens!$L$8581-Sens!$L$8582</f>
        <v>153.718935436262</v>
      </c>
      <c r="M8583" s="38" t="n">
        <f aca="false">Sens!$M$8581-Sens!$M$8582</f>
        <v>169.829794040665</v>
      </c>
      <c r="N8583" s="38" t="n">
        <f aca="false">Q!$N$38</f>
        <v>35.291</v>
      </c>
      <c r="O8583" s="38" t="n">
        <f aca="false">Q!$O$38</f>
        <v>42.379</v>
      </c>
    </row>
    <row r="8584" customFormat="false" ht="17.15" hidden="false" customHeight="false" outlineLevel="0" collapsed="false">
      <c r="A8584" s="5" t="s">
        <v>559</v>
      </c>
      <c r="B8584" s="5" t="s">
        <v>33</v>
      </c>
      <c r="C8584" s="22" t="n">
        <f aca="false">Q!$D$41</f>
        <v>10.721</v>
      </c>
      <c r="D8584" s="22" t="n">
        <f aca="false">Q!$E$41</f>
        <v>10.827</v>
      </c>
      <c r="E8584" s="22" t="n">
        <f aca="false">(Q!$L$41+Q!$M$41)/2</f>
        <v>10.8885</v>
      </c>
      <c r="F8584" s="22" t="n">
        <f aca="false">Sens!$G$8584</f>
        <v>10.924806</v>
      </c>
      <c r="G8584" s="22" t="n">
        <f aca="false">Q!$M$41*(1+sh_g*0.25)</f>
        <v>10.924806</v>
      </c>
      <c r="H8584" s="22" t="n">
        <f aca="false">Sens!$G$8584*(1+sh_g)</f>
        <v>11.012204448</v>
      </c>
      <c r="I8584" s="22" t="n">
        <f aca="false">Sens!$H$8584*(1+sh_g)</f>
        <v>11.100302083584</v>
      </c>
      <c r="J8584" s="22" t="n">
        <f aca="false">Sens!$I$8584*(1+sh_g)</f>
        <v>11.1891045002527</v>
      </c>
      <c r="K8584" s="22" t="n">
        <f aca="false">Sens!$J$8584*(1+sh_g)</f>
        <v>11.2786173362547</v>
      </c>
      <c r="L8584" s="22" t="n">
        <f aca="false">Sens!$K$8584*(1+sh_g)</f>
        <v>11.3688462749447</v>
      </c>
      <c r="M8584" s="22" t="n">
        <f aca="false">Sens!$L$8584*(1+sh_g)</f>
        <v>11.4597970451443</v>
      </c>
      <c r="P8584" s="5" t="s">
        <v>766</v>
      </c>
    </row>
    <row r="8585" customFormat="false" ht="17.15" hidden="false" customHeight="false" outlineLevel="0" collapsed="false">
      <c r="A8585" s="5" t="s">
        <v>767</v>
      </c>
      <c r="B8585" s="0" t="s">
        <v>86</v>
      </c>
      <c r="C8585" s="38" t="n">
        <f aca="false">Sens!$C$8583+Sens!$C$8559*(1-tax)</f>
        <v>59.248</v>
      </c>
      <c r="D8585" s="38" t="n">
        <f aca="false">Sens!$D$8583+Sens!$D$8559*(1-tax)</f>
        <v>77.67</v>
      </c>
      <c r="E8585" s="38" t="n">
        <f aca="false">Sens!$E$8583+Sens!$E$8559*(1-tax)</f>
        <v>92.902</v>
      </c>
      <c r="F8585" s="38" t="n">
        <f aca="false">Sens!$F$8583+Sens!$F$8559*(1-tax)</f>
        <v>49.1531986731775</v>
      </c>
      <c r="G8585" s="38" t="n">
        <f aca="false">Sens!$G$8583+Sens!$G$8559*(1-tax)</f>
        <v>142.055198673178</v>
      </c>
      <c r="H8585" s="38" t="n">
        <f aca="false">Sens!$H$8583+Sens!$H$8559*(1-tax)</f>
        <v>116.831055438434</v>
      </c>
      <c r="I8585" s="38" t="n">
        <f aca="false">Sens!$I$8583+Sens!$I$8559*(1-tax)</f>
        <v>136.514727845811</v>
      </c>
      <c r="J8585" s="38" t="n">
        <f aca="false">Sens!$J$8583+Sens!$J$8559*(1-tax)</f>
        <v>159.679161110652</v>
      </c>
      <c r="K8585" s="38" t="n">
        <f aca="false">Sens!$K$8583+Sens!$K$8559*(1-tax)</f>
        <v>177.609607232054</v>
      </c>
      <c r="L8585" s="38" t="n">
        <f aca="false">Sens!$L$8583+Sens!$L$8559*(1-tax)</f>
        <v>195.735012776818</v>
      </c>
      <c r="M8585" s="38" t="n">
        <f aca="false">Sens!$M$8583+Sens!$M$8559*(1-tax)</f>
        <v>214.159316231505</v>
      </c>
      <c r="N8585" s="38" t="n">
        <f aca="false">Sens!$N$8583+Sens!$N$8559*(1-tax)</f>
        <v>35.291</v>
      </c>
      <c r="O8585" s="38" t="n">
        <f aca="false">Sens!$O$8583+Sens!$O$8559*(1-tax)</f>
        <v>42.379</v>
      </c>
    </row>
    <row r="8586" customFormat="false" ht="17.15" hidden="false" customHeight="false" outlineLevel="0" collapsed="false">
      <c r="A8586" s="43" t="s">
        <v>768</v>
      </c>
      <c r="B8586" s="14" t="s">
        <v>27</v>
      </c>
      <c r="C8586" s="44" t="n">
        <f aca="false">Sens!$C$8585/Sens!$C$8584</f>
        <v>5.52635015390355</v>
      </c>
      <c r="D8586" s="44" t="n">
        <f aca="false">Sens!$D$8585/Sens!$D$8584</f>
        <v>7.1737323358271</v>
      </c>
      <c r="E8586" s="44" t="n">
        <f aca="false">Sens!$E$8585/Sens!$E$8584</f>
        <v>8.53212104513937</v>
      </c>
      <c r="F8586" s="14"/>
      <c r="G8586" s="44" t="n">
        <f aca="false">Sens!$G$8585/Sens!$G$8584</f>
        <v>13.0029950804781</v>
      </c>
      <c r="H8586" s="44" t="n">
        <f aca="false">Sens!$H$8585/Sens!$H$8584</f>
        <v>10.6092341447268</v>
      </c>
      <c r="I8586" s="44" t="n">
        <f aca="false">Sens!$I$8585/Sens!$I$8584</f>
        <v>12.298289435537</v>
      </c>
      <c r="J8586" s="44" t="n">
        <f aca="false">Sens!$J$8585/Sens!$J$8584</f>
        <v>14.2709509154236</v>
      </c>
      <c r="K8586" s="44" t="n">
        <f aca="false">Sens!$K$8585/Sens!$K$8584</f>
        <v>15.7474628260624</v>
      </c>
      <c r="L8586" s="44" t="n">
        <f aca="false">Sens!$L$8585/Sens!$L$8584</f>
        <v>17.2167877059072</v>
      </c>
      <c r="M8586" s="44" t="n">
        <f aca="false">Sens!$M$8585/Sens!$M$8584</f>
        <v>18.6878803688978</v>
      </c>
      <c r="N8586" s="14"/>
      <c r="O8586" s="14"/>
    </row>
    <row r="8587" customFormat="false" ht="17.15" hidden="false" customHeight="false" outlineLevel="0" collapsed="false">
      <c r="A8587" s="0" t="s">
        <v>769</v>
      </c>
      <c r="B8587" s="0" t="s">
        <v>27</v>
      </c>
      <c r="C8587" s="30" t="n">
        <f aca="false">Sens!$C$8583/Sens!$C$8584</f>
        <v>5.52635015390355</v>
      </c>
      <c r="D8587" s="30" t="n">
        <f aca="false">Sens!$D$8583/Sens!$D$8584</f>
        <v>7.1737323358271</v>
      </c>
      <c r="E8587" s="30" t="n">
        <f aca="false">Sens!$E$8583/Sens!$E$8584</f>
        <v>8.53212104513937</v>
      </c>
      <c r="G8587" s="30" t="n">
        <f aca="false">Sens!$G$8583/Sens!$G$8584</f>
        <v>12.7177181648378</v>
      </c>
      <c r="H8587" s="30" t="n">
        <f aca="false">Sens!$H$8583/Sens!$H$8584</f>
        <v>9.47127888658407</v>
      </c>
      <c r="I8587" s="30" t="n">
        <f aca="false">Sens!$I$8583/Sens!$I$8584</f>
        <v>10.3937227925981</v>
      </c>
      <c r="J8587" s="30" t="n">
        <f aca="false">Sens!$J$8583/Sens!$J$8584</f>
        <v>11.6085897815536</v>
      </c>
      <c r="K8587" s="30" t="n">
        <f aca="false">Sens!$K$8583/Sens!$K$8584</f>
        <v>12.4520849806606</v>
      </c>
      <c r="L8587" s="30" t="n">
        <f aca="false">Sens!$L$8583/Sens!$L$8584</f>
        <v>13.5210672849924</v>
      </c>
      <c r="M8587" s="30" t="n">
        <f aca="false">Sens!$M$8583/Sens!$M$8584</f>
        <v>14.8196162088773</v>
      </c>
    </row>
    <row r="8588" customFormat="false" ht="17.15" hidden="false" customHeight="false" outlineLevel="0" collapsed="false">
      <c r="A8588" s="0" t="s">
        <v>770</v>
      </c>
      <c r="B8588" s="0" t="s">
        <v>27</v>
      </c>
      <c r="C8588" s="30" t="n">
        <f aca="false">(Sens!$C$8583-Sens!$C$8580*(1-tax))/Sens!$C$8584</f>
        <v>5.33926775917445</v>
      </c>
      <c r="D8588" s="30" t="n">
        <f aca="false">(Sens!$D$8583-Sens!$D$8580*(1-tax))/Sens!$D$8584</f>
        <v>5.67691812755503</v>
      </c>
      <c r="E8588" s="30" t="n">
        <f aca="false">(Sens!$E$8583-Sens!$E$8580*(1-tax))/Sens!$E$8584</f>
        <v>3.10602057006846</v>
      </c>
      <c r="G8588" s="30" t="n">
        <f aca="false">(Sens!$G$8583-Sens!$G$8580*(1-tax))/Sens!$G$8584</f>
        <v>7.30965004694081</v>
      </c>
      <c r="H8588" s="30" t="n">
        <f aca="false">(Sens!$H$8583-Sens!$H$8580*(1-tax))/Sens!$H$8584</f>
        <v>9.47127888658407</v>
      </c>
      <c r="I8588" s="30" t="n">
        <f aca="false">(Sens!$I$8583-Sens!$I$8580*(1-tax))/Sens!$I$8584</f>
        <v>10.3937227925981</v>
      </c>
      <c r="J8588" s="30" t="n">
        <f aca="false">(Sens!$J$8583-Sens!$J$8580*(1-tax))/Sens!$J$8584</f>
        <v>11.6085897815536</v>
      </c>
      <c r="K8588" s="30" t="n">
        <f aca="false">(Sens!$K$8583-Sens!$K$8580*(1-tax))/Sens!$K$8584</f>
        <v>12.4520849806606</v>
      </c>
      <c r="L8588" s="30" t="n">
        <f aca="false">(Sens!$L$8583-Sens!$L$8580*(1-tax))/Sens!$L$8584</f>
        <v>13.5210672849924</v>
      </c>
      <c r="M8588" s="30" t="n">
        <f aca="false">(Sens!$M$8583-Sens!$M$8580*(1-tax))/Sens!$M$8584</f>
        <v>14.8196162088773</v>
      </c>
      <c r="P8588" s="5" t="s">
        <v>771</v>
      </c>
    </row>
    <row r="8589" customFormat="false" ht="17.15" hidden="false" customHeight="false" outlineLevel="0" collapsed="false">
      <c r="A8589" s="0" t="s">
        <v>772</v>
      </c>
      <c r="B8589" s="0" t="s">
        <v>52</v>
      </c>
      <c r="H8589" s="13" t="n">
        <f aca="false">Sens!$H$8586/Sens!$G$8586-1</f>
        <v>-0.184093043251635</v>
      </c>
      <c r="I8589" s="13" t="n">
        <f aca="false">Sens!$I$8586/Sens!$H$8586-1</f>
        <v>0.159206147000695</v>
      </c>
      <c r="J8589" s="13" t="n">
        <f aca="false">Sens!$J$8586/Sens!$I$8586-1</f>
        <v>0.160401289157047</v>
      </c>
      <c r="K8589" s="13" t="n">
        <f aca="false">Sens!$K$8586/Sens!$J$8586-1</f>
        <v>0.103462755873053</v>
      </c>
      <c r="L8589" s="13" t="n">
        <f aca="false">Sens!$L$8586/Sens!$K$8586-1</f>
        <v>0.093305499182575</v>
      </c>
      <c r="M8589" s="13" t="n">
        <f aca="false">Sens!$M$8586/Sens!$L$8586-1</f>
        <v>0.0854452461236912</v>
      </c>
    </row>
    <row r="8592" customFormat="false" ht="19.4" hidden="false" customHeight="false" outlineLevel="0" collapsed="false">
      <c r="A8592" s="31" t="s">
        <v>1325</v>
      </c>
    </row>
    <row r="8593" customFormat="false" ht="17.15" hidden="false" customHeight="false" outlineLevel="0" collapsed="false">
      <c r="A8593" s="6" t="s">
        <v>16</v>
      </c>
      <c r="B8593" s="6" t="s">
        <v>17</v>
      </c>
      <c r="C8593" s="20" t="s">
        <v>504</v>
      </c>
      <c r="D8593" s="20" t="s">
        <v>505</v>
      </c>
      <c r="E8593" s="20" t="s">
        <v>587</v>
      </c>
      <c r="F8593" s="20" t="s">
        <v>588</v>
      </c>
      <c r="G8593" s="20" t="s">
        <v>589</v>
      </c>
      <c r="H8593" s="20" t="s">
        <v>590</v>
      </c>
      <c r="I8593" s="20" t="s">
        <v>591</v>
      </c>
      <c r="J8593" s="20" t="s">
        <v>592</v>
      </c>
      <c r="K8593" s="20" t="s">
        <v>593</v>
      </c>
      <c r="L8593" s="20" t="s">
        <v>594</v>
      </c>
      <c r="M8593" s="20" t="s">
        <v>595</v>
      </c>
      <c r="N8593" s="20" t="s">
        <v>596</v>
      </c>
      <c r="O8593" s="20" t="s">
        <v>597</v>
      </c>
      <c r="P8593" s="6" t="s">
        <v>23</v>
      </c>
      <c r="R8593" s="20" t="n">
        <v>2023</v>
      </c>
      <c r="S8593" s="20" t="n">
        <v>2024</v>
      </c>
      <c r="T8593" s="20" t="n">
        <v>2025</v>
      </c>
      <c r="U8593" s="20" t="n">
        <v>2026</v>
      </c>
      <c r="V8593" s="20" t="n">
        <v>2027</v>
      </c>
      <c r="W8593" s="20" t="n">
        <v>2028</v>
      </c>
      <c r="X8593" s="20" t="n">
        <v>2029</v>
      </c>
      <c r="Y8593" s="20" t="n">
        <v>2030</v>
      </c>
      <c r="Z8593" s="20" t="n">
        <v>2031</v>
      </c>
      <c r="AA8593" s="20" t="n">
        <v>2032</v>
      </c>
    </row>
    <row r="8594" customFormat="false" ht="15" hidden="false" customHeight="false" outlineLevel="0" collapsed="false">
      <c r="A8594" s="5" t="s">
        <v>556</v>
      </c>
      <c r="B8594" s="0" t="s">
        <v>86</v>
      </c>
      <c r="C8594" s="38" t="n">
        <f aca="false">Sens!$C$8583</f>
        <v>59.248</v>
      </c>
      <c r="D8594" s="38" t="n">
        <f aca="false">Sens!$D$8583</f>
        <v>77.67</v>
      </c>
      <c r="E8594" s="38" t="n">
        <f aca="false">Sens!$E$8583</f>
        <v>92.902</v>
      </c>
      <c r="F8594" s="38" t="n">
        <f aca="false">Sens!$F$8583</f>
        <v>46.0366037135288</v>
      </c>
      <c r="G8594" s="38" t="n">
        <f aca="false">Sens!$G$8583</f>
        <v>138.938603713529</v>
      </c>
      <c r="H8594" s="38" t="n">
        <f aca="false">Sens!$H$8583</f>
        <v>104.29965948309</v>
      </c>
      <c r="I8594" s="38" t="n">
        <f aca="false">Sens!$I$8583</f>
        <v>115.373462770871</v>
      </c>
      <c r="J8594" s="38" t="n">
        <f aca="false">Sens!$J$8583</f>
        <v>129.889724166368</v>
      </c>
      <c r="K8594" s="38" t="n">
        <f aca="false">Sens!$K$8583</f>
        <v>140.442301535395</v>
      </c>
      <c r="L8594" s="38" t="n">
        <f aca="false">Sens!$L$8583</f>
        <v>153.718935436262</v>
      </c>
      <c r="M8594" s="38" t="n">
        <f aca="false">Sens!$M$8583</f>
        <v>169.829794040665</v>
      </c>
    </row>
    <row r="8595" customFormat="false" ht="17.15" hidden="false" customHeight="false" outlineLevel="0" collapsed="false">
      <c r="A8595" s="5" t="s">
        <v>795</v>
      </c>
      <c r="B8595" s="0" t="s">
        <v>86</v>
      </c>
      <c r="C8595" s="38" t="n">
        <f aca="false">Sens!$C$8571</f>
        <v>32.067</v>
      </c>
      <c r="D8595" s="38" t="n">
        <f aca="false">Sens!$D$8571</f>
        <v>41.86</v>
      </c>
      <c r="E8595" s="38" t="n">
        <f aca="false">Sens!$E$8571</f>
        <v>26.703</v>
      </c>
      <c r="F8595" s="38" t="n">
        <f aca="false">Sens!$F$8571</f>
        <v>29.152860869477</v>
      </c>
      <c r="G8595" s="38" t="n">
        <f aca="false">Sens!$G$8571</f>
        <v>55.855860869477</v>
      </c>
      <c r="H8595" s="38" t="n">
        <f aca="false">Sens!$H$8571</f>
        <v>81.5618233196153</v>
      </c>
      <c r="I8595" s="38" t="n">
        <f aca="false">Sens!$I$8571</f>
        <v>118.756208740204</v>
      </c>
      <c r="J8595" s="38" t="n">
        <f aca="false">Sens!$J$8571</f>
        <v>152.469489406791</v>
      </c>
      <c r="K8595" s="38" t="n">
        <f aca="false">Sens!$K$8571</f>
        <v>186.391502623819</v>
      </c>
      <c r="L8595" s="38" t="n">
        <f aca="false">Sens!$L$8571</f>
        <v>211.926422215482</v>
      </c>
      <c r="M8595" s="38" t="n">
        <f aca="false">Sens!$M$8571</f>
        <v>229.012482097906</v>
      </c>
    </row>
    <row r="8596" customFormat="false" ht="15" hidden="false" customHeight="false" outlineLevel="0" collapsed="false">
      <c r="A8596" s="5" t="s">
        <v>796</v>
      </c>
      <c r="B8596" s="0" t="s">
        <v>86</v>
      </c>
      <c r="C8596" s="38" t="n">
        <f aca="false">Q!$D$48</f>
        <v>22.011</v>
      </c>
      <c r="D8596" s="38" t="n">
        <f aca="false">Q!$E$48</f>
        <v>19.467</v>
      </c>
      <c r="E8596" s="38" t="n">
        <f aca="false">Q!$P$48</f>
        <v>10.07</v>
      </c>
      <c r="F8596" s="38" t="n">
        <f aca="false">sbc_r*Sens!$F$8513</f>
        <v>10.8507035798037</v>
      </c>
      <c r="G8596" s="38" t="n">
        <f aca="false">Sens!$E$8596+Sens!$F$8596</f>
        <v>20.9207035798037</v>
      </c>
      <c r="H8596" s="38" t="n">
        <f aca="false">sbc_r*Sens!$H$8513</f>
        <v>23.46224366345</v>
      </c>
      <c r="I8596" s="38" t="n">
        <f aca="false">sbc_r*Sens!$I$8513</f>
        <v>26.6125957111676</v>
      </c>
      <c r="J8596" s="38" t="n">
        <f aca="false">sbc_r*Sens!$J$8513</f>
        <v>29.6280801413323</v>
      </c>
      <c r="K8596" s="38" t="n">
        <f aca="false">sbc_r*Sens!$K$8513</f>
        <v>32.2712258901105</v>
      </c>
      <c r="L8596" s="38" t="n">
        <f aca="false">sbc_r*Sens!$L$8513</f>
        <v>34.7390505016737</v>
      </c>
      <c r="M8596" s="38" t="n">
        <f aca="false">sbc_r*Sens!$M$8513</f>
        <v>37.0405146906692</v>
      </c>
    </row>
    <row r="8597" customFormat="false" ht="17.15" hidden="false" customHeight="false" outlineLevel="0" collapsed="false">
      <c r="A8597" s="5" t="s">
        <v>797</v>
      </c>
      <c r="B8597" s="0" t="s">
        <v>86</v>
      </c>
      <c r="C8597" s="38" t="n">
        <f aca="false">Q!$D$44-Sens!$C$8594-Sens!$C$8595-Sens!$C$8596</f>
        <v>2.551</v>
      </c>
      <c r="D8597" s="38" t="n">
        <f aca="false">Q!$E$44-Sens!$D$8594-Sens!$D$8595-Sens!$D$8596</f>
        <v>0.51700000000001</v>
      </c>
      <c r="E8597" s="38" t="n">
        <f aca="false">Q!$P$44-Sens!$E$8594-Sens!$E$8595-Sens!$E$8596</f>
        <v>-58.256</v>
      </c>
      <c r="F8597" s="38" t="n">
        <f aca="false">oth_r*Sens!$F$8513</f>
        <v>5.22265251035878</v>
      </c>
      <c r="G8597" s="38" t="n">
        <f aca="false">Sens!$E$8597+Sens!$F$8597</f>
        <v>-53.0333474896412</v>
      </c>
      <c r="H8597" s="38" t="n">
        <f aca="false">oth_r*Sens!$H$8513</f>
        <v>11.2928295263397</v>
      </c>
      <c r="I8597" s="38" t="n">
        <f aca="false">oth_r*Sens!$I$8513</f>
        <v>12.8091546115766</v>
      </c>
      <c r="J8597" s="38" t="n">
        <f aca="false">oth_r*Sens!$J$8513</f>
        <v>14.2605653162668</v>
      </c>
      <c r="K8597" s="38" t="n">
        <f aca="false">oth_r*Sens!$K$8513</f>
        <v>15.5327622460396</v>
      </c>
      <c r="L8597" s="38" t="n">
        <f aca="false">oth_r*Sens!$L$8513</f>
        <v>16.720573737517</v>
      </c>
      <c r="M8597" s="38" t="n">
        <f aca="false">oth_r*Sens!$M$8513</f>
        <v>17.8283127551536</v>
      </c>
      <c r="P8597" s="8" t="s">
        <v>798</v>
      </c>
    </row>
    <row r="8598" customFormat="false" ht="15" hidden="false" customHeight="false" outlineLevel="0" collapsed="false">
      <c r="A8598" s="3" t="s">
        <v>562</v>
      </c>
      <c r="B8598" s="8" t="s">
        <v>86</v>
      </c>
      <c r="C8598" s="38" t="n">
        <f aca="false">Q!$D$44</f>
        <v>115.877</v>
      </c>
      <c r="D8598" s="38" t="n">
        <f aca="false">Q!$E$44</f>
        <v>139.514</v>
      </c>
      <c r="E8598" s="38" t="n">
        <f aca="false">Q!$P$44</f>
        <v>71.419</v>
      </c>
      <c r="F8598" s="38" t="n">
        <f aca="false">Sens!$F$8594+Sens!$F$8595+Sens!$F$8596+Sens!$F$8597</f>
        <v>91.2628206731683</v>
      </c>
      <c r="G8598" s="38" t="n">
        <f aca="false">Sens!$E$8598+Sens!$F$8598</f>
        <v>162.681820673168</v>
      </c>
      <c r="H8598" s="38" t="n">
        <f aca="false">Sens!$H$8594+Sens!$H$8595+Sens!$H$8596+Sens!$H$8597</f>
        <v>220.616555992495</v>
      </c>
      <c r="I8598" s="38" t="n">
        <f aca="false">Sens!$I$8594+Sens!$I$8595+Sens!$I$8596+Sens!$I$8597</f>
        <v>273.55142183382</v>
      </c>
      <c r="J8598" s="38" t="n">
        <f aca="false">Sens!$J$8594+Sens!$J$8595+Sens!$J$8596+Sens!$J$8597</f>
        <v>326.247859030758</v>
      </c>
      <c r="K8598" s="38" t="n">
        <f aca="false">Sens!$K$8594+Sens!$K$8595+Sens!$K$8596+Sens!$K$8597</f>
        <v>374.637792295364</v>
      </c>
      <c r="L8598" s="38" t="n">
        <f aca="false">Sens!$L$8594+Sens!$L$8595+Sens!$L$8596+Sens!$L$8597</f>
        <v>417.104981890935</v>
      </c>
      <c r="M8598" s="38" t="n">
        <f aca="false">Sens!$M$8594+Sens!$M$8595+Sens!$M$8596+Sens!$M$8597</f>
        <v>453.711103584394</v>
      </c>
    </row>
    <row r="8599" customFormat="false" ht="17.15" hidden="false" customHeight="false" outlineLevel="0" collapsed="false">
      <c r="A8599" s="5" t="s">
        <v>799</v>
      </c>
      <c r="B8599" s="0" t="s">
        <v>86</v>
      </c>
      <c r="C8599" s="38" t="n">
        <f aca="false">Sens!$C$8477</f>
        <v>25.2781053077374</v>
      </c>
      <c r="D8599" s="38" t="n">
        <f aca="false">Sens!$D$8477</f>
        <v>69.5686316310026</v>
      </c>
      <c r="E8599" s="38" t="n">
        <f aca="false">Sens!$E$8477</f>
        <v>64.1899206485108</v>
      </c>
      <c r="F8599" s="38" t="n">
        <f aca="false">Sens!$F$8477</f>
        <v>88.7165504612134</v>
      </c>
      <c r="G8599" s="38" t="n">
        <f aca="false">Sens!$G$8477</f>
        <v>152.906471109724</v>
      </c>
      <c r="H8599" s="38" t="n">
        <f aca="false">Sens!$H$8477</f>
        <v>198.57136494475</v>
      </c>
      <c r="I8599" s="38" t="n">
        <f aca="false">Sens!$I$8477</f>
        <v>204.6464699105</v>
      </c>
      <c r="J8599" s="38" t="n">
        <f aca="false">Sens!$J$8477</f>
        <v>209.8832381105</v>
      </c>
      <c r="K8599" s="38" t="n">
        <f aca="false">Sens!$K$8477</f>
        <v>155.238385275201</v>
      </c>
      <c r="L8599" s="38" t="n">
        <f aca="false">Sens!$L$8477</f>
        <v>132.014141639902</v>
      </c>
      <c r="M8599" s="38" t="n">
        <f aca="false">Sens!$M$8477</f>
        <v>132.230981659852</v>
      </c>
    </row>
    <row r="8600" customFormat="false" ht="17.15" hidden="false" customHeight="false" outlineLevel="0" collapsed="false">
      <c r="A8600" s="5" t="s">
        <v>800</v>
      </c>
      <c r="B8600" s="0" t="s">
        <v>86</v>
      </c>
      <c r="C8600" s="38" t="n">
        <f aca="false">cx_awso*Sens!$C$8511</f>
        <v>21.0469989286053</v>
      </c>
      <c r="D8600" s="38" t="n">
        <f aca="false">cx_awso*Sens!$D$8511</f>
        <v>24.0042459822698</v>
      </c>
      <c r="E8600" s="38" t="n">
        <f aca="false">cx_awso*Sens!$E$8511</f>
        <v>14.261729404886</v>
      </c>
      <c r="F8600" s="38" t="n">
        <f aca="false">cx_awso*Sens!$F$8511</f>
        <v>14.3538599588493</v>
      </c>
      <c r="G8600" s="38" t="n">
        <f aca="false">Sens!$E$8600+Sens!$F$8600</f>
        <v>28.6155893637353</v>
      </c>
      <c r="H8600" s="38" t="n">
        <f aca="false">cx_awso*Sens!$H$8511</f>
        <v>32.2034154158406</v>
      </c>
      <c r="I8600" s="38" t="n">
        <f aca="false">cx_awso*Sens!$I$8511</f>
        <v>35.7539519042915</v>
      </c>
      <c r="J8600" s="38" t="n">
        <f aca="false">cx_awso*Sens!$J$8511</f>
        <v>39.1551076091815</v>
      </c>
      <c r="K8600" s="38" t="n">
        <f aca="false">cx_awso*Sens!$K$8511</f>
        <v>42.287516217916</v>
      </c>
      <c r="L8600" s="38" t="n">
        <f aca="false">cx_awso*Sens!$L$8511</f>
        <v>45.6705175153492</v>
      </c>
      <c r="M8600" s="38" t="n">
        <f aca="false">cx_awso*Sens!$M$8511</f>
        <v>49.3241589165772</v>
      </c>
    </row>
    <row r="8601" customFormat="false" ht="17.15" hidden="false" customHeight="false" outlineLevel="0" collapsed="false">
      <c r="A8601" s="5" t="s">
        <v>801</v>
      </c>
      <c r="B8601" s="0" t="s">
        <v>86</v>
      </c>
      <c r="C8601" s="38" t="n">
        <f aca="false">Q!$D$46-Sens!$C$8599-Sens!$C$8600</f>
        <v>31.3328957636573</v>
      </c>
      <c r="D8601" s="38" t="n">
        <f aca="false">Q!$E$46-Sens!$D$8599-Sens!$D$8600</f>
        <v>34.7471223867276</v>
      </c>
      <c r="E8601" s="38" t="n">
        <f aca="false">Q!$P$46-Sens!$E$8599-Sens!$E$8600</f>
        <v>17.8583499466032</v>
      </c>
      <c r="F8601" s="38" t="n">
        <f aca="false">cx_rt*Sens!$F$8440</f>
        <v>20.6195895799373</v>
      </c>
      <c r="G8601" s="38" t="n">
        <f aca="false">Sens!$E$8601+Sens!$F$8601</f>
        <v>38.4779395265405</v>
      </c>
      <c r="H8601" s="38" t="n">
        <f aca="false">cx_rt*Sens!$H$8440</f>
        <v>42.5978994743075</v>
      </c>
      <c r="I8601" s="38" t="n">
        <f aca="false">cx_rt*Sens!$I$8440</f>
        <v>46.5813904136335</v>
      </c>
      <c r="J8601" s="38" t="n">
        <f aca="false">cx_rt*Sens!$J$8440</f>
        <v>50.2781676586844</v>
      </c>
      <c r="K8601" s="38" t="n">
        <f aca="false">cx_rt*Sens!$K$8440</f>
        <v>53.5312440191755</v>
      </c>
      <c r="L8601" s="38" t="n">
        <f aca="false">cx_rt*Sens!$L$8440</f>
        <v>57.0116717051447</v>
      </c>
      <c r="M8601" s="38" t="n">
        <f aca="false">cx_rt*Sens!$M$8440</f>
        <v>60.7365554669226</v>
      </c>
    </row>
    <row r="8602" customFormat="false" ht="15" hidden="false" customHeight="false" outlineLevel="0" collapsed="false">
      <c r="A8602" s="3" t="s">
        <v>802</v>
      </c>
      <c r="B8602" s="8" t="s">
        <v>86</v>
      </c>
      <c r="C8602" s="38" t="n">
        <f aca="false">Q!$D$46</f>
        <v>77.658</v>
      </c>
      <c r="D8602" s="38" t="n">
        <f aca="false">Q!$E$46</f>
        <v>128.32</v>
      </c>
      <c r="E8602" s="38" t="n">
        <f aca="false">Q!$P$46</f>
        <v>96.31</v>
      </c>
      <c r="F8602" s="38" t="n">
        <f aca="false">Sens!$F$8599+Sens!$F$8600+Sens!$F$8601</f>
        <v>123.69</v>
      </c>
      <c r="G8602" s="38" t="n">
        <f aca="false">Sens!$E$8602+Sens!$F$8602</f>
        <v>220</v>
      </c>
      <c r="H8602" s="38" t="n">
        <f aca="false">Sens!$H$8599+Sens!$H$8600+Sens!$H$8601</f>
        <v>273.372679834898</v>
      </c>
      <c r="I8602" s="38" t="n">
        <f aca="false">Sens!$I$8599+Sens!$I$8600+Sens!$I$8601</f>
        <v>286.981812228425</v>
      </c>
      <c r="J8602" s="38" t="n">
        <f aca="false">Sens!$J$8599+Sens!$J$8600+Sens!$J$8601</f>
        <v>299.316513378366</v>
      </c>
      <c r="K8602" s="38" t="n">
        <f aca="false">Sens!$K$8599+Sens!$K$8600+Sens!$K$8601</f>
        <v>251.057145512292</v>
      </c>
      <c r="L8602" s="38" t="n">
        <f aca="false">Sens!$L$8599+Sens!$L$8600+Sens!$L$8601</f>
        <v>234.696330860396</v>
      </c>
      <c r="M8602" s="38" t="n">
        <f aca="false">Sens!$M$8599+Sens!$M$8600+Sens!$M$8601</f>
        <v>242.291696043352</v>
      </c>
    </row>
    <row r="8603" customFormat="false" ht="17.15" hidden="false" customHeight="false" outlineLevel="0" collapsed="false">
      <c r="A8603" s="5" t="s">
        <v>570</v>
      </c>
      <c r="B8603" s="0" t="s">
        <v>86</v>
      </c>
      <c r="C8603" s="38" t="n">
        <f aca="false">Q!$D$50</f>
        <v>2.043</v>
      </c>
      <c r="D8603" s="38" t="n">
        <f aca="false">Q!$E$50</f>
        <v>1.557</v>
      </c>
      <c r="E8603" s="38" t="n">
        <f aca="false">lease_pr/2</f>
        <v>0.8</v>
      </c>
      <c r="F8603" s="38" t="n">
        <f aca="false">lease_pr/2</f>
        <v>0.8</v>
      </c>
      <c r="G8603" s="38" t="n">
        <f aca="false">Sens!$E$8603+Sens!$F$8603</f>
        <v>1.6</v>
      </c>
      <c r="H8603" s="38" t="n">
        <f aca="false">lease_pr</f>
        <v>1.6</v>
      </c>
      <c r="I8603" s="38" t="n">
        <f aca="false">lease_pr</f>
        <v>1.6</v>
      </c>
      <c r="J8603" s="38" t="n">
        <f aca="false">lease_pr</f>
        <v>1.6</v>
      </c>
      <c r="K8603" s="38" t="n">
        <f aca="false">lease_pr</f>
        <v>1.6</v>
      </c>
      <c r="L8603" s="38" t="n">
        <f aca="false">lease_pr</f>
        <v>1.6</v>
      </c>
      <c r="M8603" s="38" t="n">
        <f aca="false">lease_pr</f>
        <v>1.6</v>
      </c>
      <c r="P8603" s="8" t="s">
        <v>803</v>
      </c>
    </row>
    <row r="8604" customFormat="false" ht="15" hidden="false" customHeight="false" outlineLevel="0" collapsed="false">
      <c r="A8604" s="47" t="s">
        <v>804</v>
      </c>
      <c r="B8604" s="14" t="s">
        <v>86</v>
      </c>
      <c r="C8604" s="48" t="n">
        <f aca="false">Sens!$C$8598-Sens!$C$8602-Sens!$C$8603</f>
        <v>36.176</v>
      </c>
      <c r="D8604" s="48" t="n">
        <f aca="false">Sens!$D$8598-Sens!$D$8602-Sens!$D$8603</f>
        <v>9.63700000000002</v>
      </c>
      <c r="E8604" s="48" t="n">
        <f aca="false">Sens!$E$8598-Sens!$E$8602-Sens!$E$8603</f>
        <v>-25.691</v>
      </c>
      <c r="F8604" s="48" t="n">
        <f aca="false">Sens!$F$8598-Sens!$F$8602-Sens!$F$8603</f>
        <v>-33.2271793268317</v>
      </c>
      <c r="G8604" s="48" t="n">
        <f aca="false">Sens!$G$8598-Sens!$G$8602-Sens!$G$8603</f>
        <v>-58.9181793268317</v>
      </c>
      <c r="H8604" s="48" t="n">
        <f aca="false">Sens!$H$8598-Sens!$H$8602-Sens!$H$8603</f>
        <v>-54.3561238424036</v>
      </c>
      <c r="I8604" s="48" t="n">
        <f aca="false">Sens!$I$8598-Sens!$I$8602-Sens!$I$8603</f>
        <v>-15.0303903946055</v>
      </c>
      <c r="J8604" s="48" t="n">
        <f aca="false">Sens!$J$8598-Sens!$J$8602-Sens!$J$8603</f>
        <v>25.3313456523922</v>
      </c>
      <c r="K8604" s="48" t="n">
        <f aca="false">Sens!$K$8598-Sens!$K$8602-Sens!$K$8603</f>
        <v>121.980646783072</v>
      </c>
      <c r="L8604" s="48" t="n">
        <f aca="false">Sens!$L$8598-Sens!$L$8602-Sens!$L$8603</f>
        <v>180.80865103054</v>
      </c>
      <c r="M8604" s="48" t="n">
        <f aca="false">Sens!$M$8598-Sens!$M$8602-Sens!$M$8603</f>
        <v>209.819407541041</v>
      </c>
      <c r="N8604" s="14"/>
      <c r="O8604" s="14"/>
    </row>
    <row r="8605" customFormat="false" ht="17.15" hidden="false" customHeight="false" outlineLevel="0" collapsed="false">
      <c r="A8605" s="5" t="s">
        <v>805</v>
      </c>
      <c r="B8605" s="0" t="s">
        <v>86</v>
      </c>
      <c r="C8605" s="38" t="n">
        <f aca="false">dps*Sens!$C$8584</f>
        <v>0</v>
      </c>
      <c r="D8605" s="38" t="n">
        <f aca="false">dps*Sens!$D$8584</f>
        <v>0</v>
      </c>
      <c r="E8605" s="38" t="n">
        <f aca="false">dps*Sens!$E$8584</f>
        <v>0</v>
      </c>
      <c r="F8605" s="38" t="n">
        <f aca="false">0</f>
        <v>0</v>
      </c>
      <c r="G8605" s="38" t="n">
        <f aca="false">dps*Sens!$G$8584</f>
        <v>0</v>
      </c>
      <c r="H8605" s="38" t="n">
        <f aca="false">dps*Sens!$H$8584</f>
        <v>0</v>
      </c>
      <c r="I8605" s="38" t="n">
        <f aca="false">dps*Sens!$I$8584</f>
        <v>0</v>
      </c>
      <c r="J8605" s="38" t="n">
        <f aca="false">dps*Sens!$J$8584</f>
        <v>0</v>
      </c>
      <c r="K8605" s="38" t="n">
        <f aca="false">dps*Sens!$K$8584</f>
        <v>0</v>
      </c>
      <c r="L8605" s="38" t="n">
        <f aca="false">dps*Sens!$L$8584</f>
        <v>0</v>
      </c>
      <c r="M8605" s="38" t="n">
        <f aca="false">dps*Sens!$M$8584</f>
        <v>0</v>
      </c>
      <c r="P8605" s="8" t="s">
        <v>806</v>
      </c>
    </row>
    <row r="8606" customFormat="false" ht="17.15" hidden="false" customHeight="false" outlineLevel="0" collapsed="false">
      <c r="A8606" s="5" t="s">
        <v>807</v>
      </c>
      <c r="B8606" s="0" t="s">
        <v>86</v>
      </c>
      <c r="C8606" s="38" t="n">
        <f aca="false">0</f>
        <v>0</v>
      </c>
      <c r="D8606" s="38" t="n">
        <f aca="false">0</f>
        <v>0</v>
      </c>
      <c r="E8606" s="38" t="n">
        <f aca="false">0</f>
        <v>0</v>
      </c>
      <c r="F8606" s="38" t="n">
        <f aca="false">0</f>
        <v>0</v>
      </c>
      <c r="G8606" s="38" t="n">
        <f aca="false">0</f>
        <v>0</v>
      </c>
      <c r="H8606" s="38" t="n">
        <f aca="false">0</f>
        <v>0</v>
      </c>
      <c r="I8606" s="38" t="n">
        <f aca="false">0</f>
        <v>0</v>
      </c>
      <c r="J8606" s="38" t="n">
        <f aca="false">0</f>
        <v>0</v>
      </c>
      <c r="K8606" s="38" t="n">
        <f aca="false">0</f>
        <v>0</v>
      </c>
      <c r="L8606" s="38" t="n">
        <f aca="false">0</f>
        <v>0</v>
      </c>
      <c r="M8606" s="38" t="n">
        <f aca="false">0</f>
        <v>0</v>
      </c>
      <c r="P8606" s="8" t="s">
        <v>808</v>
      </c>
    </row>
    <row r="8607" customFormat="false" ht="15" hidden="false" customHeight="false" outlineLevel="0" collapsed="false">
      <c r="A8607" s="3" t="s">
        <v>809</v>
      </c>
      <c r="B8607" s="8" t="s">
        <v>86</v>
      </c>
      <c r="C8607" s="38" t="n">
        <f aca="false">Sens!$C$8604-Sens!$C$8605</f>
        <v>36.176</v>
      </c>
      <c r="D8607" s="38" t="n">
        <f aca="false">Sens!$D$8604-Sens!$D$8605</f>
        <v>9.63700000000002</v>
      </c>
      <c r="E8607" s="38" t="n">
        <f aca="false">Sens!$E$8604-Sens!$E$8605</f>
        <v>-25.691</v>
      </c>
      <c r="F8607" s="38" t="n">
        <f aca="false">Sens!$F$8604-Sens!$F$8605</f>
        <v>-33.2271793268317</v>
      </c>
      <c r="G8607" s="38" t="n">
        <f aca="false">Sens!$G$8604-Sens!$G$8605</f>
        <v>-58.9181793268317</v>
      </c>
      <c r="H8607" s="38" t="n">
        <f aca="false">Sens!$H$8604-Sens!$H$8605</f>
        <v>-54.3561238424036</v>
      </c>
      <c r="I8607" s="38" t="n">
        <f aca="false">Sens!$I$8604-Sens!$I$8605</f>
        <v>-15.0303903946055</v>
      </c>
      <c r="J8607" s="38" t="n">
        <f aca="false">Sens!$J$8604-Sens!$J$8605</f>
        <v>25.3313456523922</v>
      </c>
      <c r="K8607" s="38" t="n">
        <f aca="false">Sens!$K$8604-Sens!$K$8605</f>
        <v>121.980646783072</v>
      </c>
      <c r="L8607" s="38" t="n">
        <f aca="false">Sens!$L$8604-Sens!$L$8605</f>
        <v>180.80865103054</v>
      </c>
      <c r="M8607" s="38" t="n">
        <f aca="false">Sens!$M$8604-Sens!$M$8605</f>
        <v>209.819407541041</v>
      </c>
    </row>
    <row r="8608" customFormat="false" ht="17.15" hidden="false" customHeight="false" outlineLevel="0" collapsed="false">
      <c r="A8608" s="5" t="s">
        <v>810</v>
      </c>
      <c r="B8608" s="0" t="s">
        <v>86</v>
      </c>
      <c r="E8608" s="38" t="n">
        <f aca="false">Q!$P$53</f>
        <v>39.767</v>
      </c>
      <c r="F8608" s="38" t="n">
        <f aca="false">inv_2h26</f>
        <v>21.3</v>
      </c>
      <c r="G8608" s="38" t="n">
        <f aca="false">Sens!$E$8608+Sens!$F$8608</f>
        <v>61.067</v>
      </c>
      <c r="H8608" s="39" t="n">
        <v>0</v>
      </c>
      <c r="I8608" s="39" t="n">
        <v>0</v>
      </c>
      <c r="J8608" s="39" t="n">
        <v>0</v>
      </c>
      <c r="K8608" s="39" t="n">
        <v>0</v>
      </c>
      <c r="L8608" s="39" t="n">
        <v>0</v>
      </c>
      <c r="M8608" s="39" t="n">
        <v>0</v>
      </c>
    </row>
    <row r="8609" customFormat="false" ht="17.15" hidden="false" customHeight="false" outlineLevel="0" collapsed="false">
      <c r="A8609" s="5" t="s">
        <v>811</v>
      </c>
      <c r="B8609" s="0" t="s">
        <v>86</v>
      </c>
      <c r="F8609" s="38" t="n">
        <f aca="false">iss_2h26</f>
        <v>29.249999</v>
      </c>
      <c r="G8609" s="38" t="n">
        <f aca="false">Sens!$F$8609</f>
        <v>29.249999</v>
      </c>
      <c r="H8609" s="39" t="n">
        <v>0</v>
      </c>
      <c r="I8609" s="39" t="n">
        <v>0</v>
      </c>
      <c r="J8609" s="39" t="n">
        <v>0</v>
      </c>
      <c r="K8609" s="39" t="n">
        <v>0</v>
      </c>
      <c r="L8609" s="39" t="n">
        <v>0</v>
      </c>
      <c r="M8609" s="39" t="n">
        <v>0</v>
      </c>
    </row>
    <row r="8610" customFormat="false" ht="17.15" hidden="false" customHeight="false" outlineLevel="0" collapsed="false">
      <c r="A8610" s="5" t="s">
        <v>812</v>
      </c>
      <c r="B8610" s="0" t="s">
        <v>86</v>
      </c>
      <c r="F8610" s="38" t="n">
        <f aca="false">cash_q2</f>
        <v>122.988</v>
      </c>
      <c r="G8610" s="38" t="n">
        <f aca="false">cash_q2</f>
        <v>122.988</v>
      </c>
      <c r="H8610" s="38" t="n">
        <f aca="false">Sens!$G$8613</f>
        <v>97.7108196731683</v>
      </c>
      <c r="I8610" s="38" t="n">
        <f aca="false">Sens!$H$8613</f>
        <v>50</v>
      </c>
      <c r="J8610" s="38" t="n">
        <f aca="false">Sens!$I$8613</f>
        <v>50</v>
      </c>
      <c r="K8610" s="38" t="n">
        <f aca="false">Sens!$J$8613</f>
        <v>75.3313456523922</v>
      </c>
      <c r="L8610" s="38" t="n">
        <f aca="false">Sens!$K$8613</f>
        <v>197.311992435464</v>
      </c>
      <c r="M8610" s="38" t="n">
        <f aca="false">Sens!$L$8613</f>
        <v>378.120643466004</v>
      </c>
    </row>
    <row r="8611" customFormat="false" ht="15" hidden="false" customHeight="false" outlineLevel="0" collapsed="false">
      <c r="A8611" s="5" t="s">
        <v>813</v>
      </c>
      <c r="B8611" s="0" t="s">
        <v>86</v>
      </c>
      <c r="F8611" s="38" t="n">
        <f aca="false">Sens!$F$8610+Sens!$F$8607-Sens!$F$8606-Sens!$F$8608+Sens!$F$8609</f>
        <v>97.7108196731683</v>
      </c>
      <c r="H8611" s="38" t="n">
        <f aca="false">Sens!$H$8610+Sens!$H$8607-Sens!$H$8606-Sens!$H$8608+Sens!$H$8609</f>
        <v>43.3546958307647</v>
      </c>
      <c r="I8611" s="38" t="n">
        <f aca="false">Sens!$I$8610+Sens!$I$8607-Sens!$I$8606-Sens!$I$8608+Sens!$I$8609</f>
        <v>34.9696096053945</v>
      </c>
      <c r="J8611" s="38" t="n">
        <f aca="false">Sens!$J$8610+Sens!$J$8607-Sens!$J$8606-Sens!$J$8608+Sens!$J$8609</f>
        <v>75.3313456523922</v>
      </c>
      <c r="K8611" s="38" t="n">
        <f aca="false">Sens!$K$8610+Sens!$K$8607-Sens!$K$8606-Sens!$K$8608+Sens!$K$8609</f>
        <v>197.311992435464</v>
      </c>
      <c r="L8611" s="38" t="n">
        <f aca="false">Sens!$L$8610+Sens!$L$8607-Sens!$L$8606-Sens!$L$8608+Sens!$L$8609</f>
        <v>378.120643466004</v>
      </c>
      <c r="M8611" s="38" t="n">
        <f aca="false">Sens!$M$8610+Sens!$M$8607-Sens!$M$8606-Sens!$M$8608+Sens!$M$8609</f>
        <v>587.940051007045</v>
      </c>
    </row>
    <row r="8612" customFormat="false" ht="17.15" hidden="false" customHeight="false" outlineLevel="0" collapsed="false">
      <c r="A8612" s="5" t="s">
        <v>814</v>
      </c>
      <c r="B8612" s="0" t="s">
        <v>86</v>
      </c>
      <c r="F8612" s="38" t="n">
        <f aca="false">MAX(0,min_cash-Sens!$F$8611)</f>
        <v>0</v>
      </c>
      <c r="G8612" s="38" t="n">
        <f aca="false">Sens!$F$8612</f>
        <v>0</v>
      </c>
      <c r="H8612" s="38" t="n">
        <f aca="false">MAX(0,min_cash-Sens!$H$8611)</f>
        <v>6.64530416923528</v>
      </c>
      <c r="I8612" s="38" t="n">
        <f aca="false">MAX(0,min_cash-Sens!$I$8611)</f>
        <v>15.0303903946055</v>
      </c>
      <c r="J8612" s="38" t="n">
        <f aca="false">MAX(0,min_cash-Sens!$J$8611)</f>
        <v>0</v>
      </c>
      <c r="K8612" s="38" t="n">
        <f aca="false">MAX(0,min_cash-Sens!$K$8611)</f>
        <v>0</v>
      </c>
      <c r="L8612" s="38" t="n">
        <f aca="false">MAX(0,min_cash-Sens!$L$8611)</f>
        <v>0</v>
      </c>
      <c r="M8612" s="38" t="n">
        <f aca="false">MAX(0,min_cash-Sens!$M$8611)</f>
        <v>0</v>
      </c>
      <c r="P8612" s="5" t="s">
        <v>815</v>
      </c>
    </row>
    <row r="8613" customFormat="false" ht="15" hidden="false" customHeight="false" outlineLevel="0" collapsed="false">
      <c r="A8613" s="5" t="s">
        <v>816</v>
      </c>
      <c r="B8613" s="0" t="s">
        <v>86</v>
      </c>
      <c r="D8613" s="38" t="n">
        <f aca="false">Q!$E$61</f>
        <v>123.029</v>
      </c>
      <c r="E8613" s="38" t="n">
        <f aca="false">Q!$M$61</f>
        <v>122.988</v>
      </c>
      <c r="F8613" s="38" t="n">
        <f aca="false">Sens!$F$8611+Sens!$F$8612</f>
        <v>97.7108196731683</v>
      </c>
      <c r="G8613" s="38" t="n">
        <f aca="false">Sens!$F$8613</f>
        <v>97.7108196731683</v>
      </c>
      <c r="H8613" s="38" t="n">
        <f aca="false">Sens!$H$8611+Sens!$H$8612</f>
        <v>50</v>
      </c>
      <c r="I8613" s="38" t="n">
        <f aca="false">Sens!$I$8611+Sens!$I$8612</f>
        <v>50</v>
      </c>
      <c r="J8613" s="38" t="n">
        <f aca="false">Sens!$J$8611+Sens!$J$8612</f>
        <v>75.3313456523922</v>
      </c>
      <c r="K8613" s="38" t="n">
        <f aca="false">Sens!$K$8611+Sens!$K$8612</f>
        <v>197.311992435464</v>
      </c>
      <c r="L8613" s="38" t="n">
        <f aca="false">Sens!$L$8611+Sens!$L$8612</f>
        <v>378.120643466004</v>
      </c>
      <c r="M8613" s="38" t="n">
        <f aca="false">Sens!$M$8611+Sens!$M$8612</f>
        <v>587.940051007045</v>
      </c>
    </row>
    <row r="8614" customFormat="false" ht="15" hidden="false" customHeight="false" outlineLevel="0" collapsed="false">
      <c r="A8614" s="5" t="s">
        <v>817</v>
      </c>
      <c r="B8614" s="0" t="s">
        <v>86</v>
      </c>
      <c r="D8614" s="38" t="n">
        <f aca="false">Q!$E$62</f>
        <v>68.836</v>
      </c>
      <c r="E8614" s="38" t="n">
        <f aca="false">Q!$M$62</f>
        <v>132.995</v>
      </c>
      <c r="F8614" s="38" t="n">
        <f aca="false">debt_q2+Sens!$F$8609+Sens!$F$8612</f>
        <v>162.244999</v>
      </c>
      <c r="G8614" s="38" t="n">
        <f aca="false">Sens!$F$8614</f>
        <v>162.244999</v>
      </c>
      <c r="H8614" s="38" t="n">
        <f aca="false">Sens!$G$8614+Sens!$H$8612</f>
        <v>168.890303169235</v>
      </c>
      <c r="I8614" s="38" t="n">
        <f aca="false">Sens!$H$8614+Sens!$I$8612</f>
        <v>183.920693563841</v>
      </c>
      <c r="J8614" s="38" t="n">
        <f aca="false">Sens!$I$8614+Sens!$J$8612</f>
        <v>183.920693563841</v>
      </c>
      <c r="K8614" s="38" t="n">
        <f aca="false">Sens!$J$8614+Sens!$K$8612</f>
        <v>183.920693563841</v>
      </c>
      <c r="L8614" s="38" t="n">
        <f aca="false">Sens!$K$8614+Sens!$L$8612</f>
        <v>183.920693563841</v>
      </c>
      <c r="M8614" s="38" t="n">
        <f aca="false">Sens!$L$8614+Sens!$M$8612</f>
        <v>183.920693563841</v>
      </c>
    </row>
    <row r="8615" customFormat="false" ht="15" hidden="false" customHeight="false" outlineLevel="0" collapsed="false">
      <c r="A8615" s="5" t="s">
        <v>818</v>
      </c>
      <c r="B8615" s="0" t="s">
        <v>86</v>
      </c>
      <c r="D8615" s="38" t="n">
        <f aca="false">Sens!$D$8614-Sens!$D$8613</f>
        <v>-54.193</v>
      </c>
      <c r="E8615" s="38" t="n">
        <f aca="false">Sens!$E$8614-Sens!$E$8613</f>
        <v>10.007</v>
      </c>
      <c r="F8615" s="38" t="n">
        <f aca="false">Sens!$F$8614-Sens!$F$8613</f>
        <v>64.5341793268317</v>
      </c>
      <c r="G8615" s="38" t="n">
        <f aca="false">Sens!$G$8614-Sens!$G$8613</f>
        <v>64.5341793268317</v>
      </c>
      <c r="H8615" s="38" t="n">
        <f aca="false">Sens!$H$8614-Sens!$H$8613</f>
        <v>118.890303169235</v>
      </c>
      <c r="I8615" s="38" t="n">
        <f aca="false">Sens!$I$8614-Sens!$I$8613</f>
        <v>133.920693563841</v>
      </c>
      <c r="J8615" s="38" t="n">
        <f aca="false">Sens!$J$8614-Sens!$J$8613</f>
        <v>108.589347911449</v>
      </c>
      <c r="K8615" s="38" t="n">
        <f aca="false">Sens!$K$8614-Sens!$K$8613</f>
        <v>-13.3912988716235</v>
      </c>
      <c r="L8615" s="38" t="n">
        <f aca="false">Sens!$L$8614-Sens!$L$8613</f>
        <v>-194.199949902163</v>
      </c>
      <c r="M8615" s="38" t="n">
        <f aca="false">Sens!$M$8614-Sens!$M$8613</f>
        <v>-404.019357443204</v>
      </c>
    </row>
    <row r="8616" customFormat="false" ht="17.15" hidden="false" customHeight="false" outlineLevel="0" collapsed="false">
      <c r="A8616" s="5" t="s">
        <v>819</v>
      </c>
      <c r="B8616" s="0" t="s">
        <v>86</v>
      </c>
      <c r="F8616" s="38" t="n">
        <f aca="false">debt_q2*kd_book*0.5+iss_2h26*kd_new*iss_t</f>
        <v>3.24888962733561</v>
      </c>
      <c r="H8616" s="38" t="n">
        <f aca="false">debt_q2*kd_book+(Sens!$G$8614-debt_q2)*kd_new</f>
        <v>7.42354172302123</v>
      </c>
      <c r="I8616" s="38" t="n">
        <f aca="false">debt_q2*kd_book+(Sens!$H$8614-debt_q2)*kd_new</f>
        <v>7.84418947693382</v>
      </c>
      <c r="J8616" s="38" t="n">
        <f aca="false">debt_q2*kd_book+(Sens!$I$8614-debt_q2)*kd_new</f>
        <v>8.79561318891235</v>
      </c>
      <c r="K8616" s="38" t="n">
        <f aca="false">debt_q2*kd_book+(Sens!$J$8614-debt_q2)*kd_new</f>
        <v>8.79561318891235</v>
      </c>
      <c r="L8616" s="38" t="n">
        <f aca="false">debt_q2*kd_book+(Sens!$K$8614-debt_q2)*kd_new</f>
        <v>8.79561318891235</v>
      </c>
      <c r="M8616" s="38" t="n">
        <f aca="false">debt_q2*kd_book+(Sens!$L$8614-debt_q2)*kd_new</f>
        <v>8.79561318891235</v>
      </c>
    </row>
    <row r="8617" customFormat="false" ht="17.15" hidden="false" customHeight="false" outlineLevel="0" collapsed="false">
      <c r="A8617" s="5" t="s">
        <v>820</v>
      </c>
      <c r="B8617" s="0" t="s">
        <v>86</v>
      </c>
      <c r="F8617" s="38" t="n">
        <f aca="false">cash_q2*y_cash*0.5</f>
        <v>2.59</v>
      </c>
      <c r="H8617" s="38" t="n">
        <f aca="false">Sens!$G$8613*y_cash</f>
        <v>4.1153774832261</v>
      </c>
      <c r="I8617" s="38" t="n">
        <f aca="false">Sens!$H$8613*y_cash</f>
        <v>2.10589651022864</v>
      </c>
      <c r="J8617" s="38" t="n">
        <f aca="false">Sens!$I$8613*y_cash</f>
        <v>2.10589651022864</v>
      </c>
      <c r="K8617" s="38" t="n">
        <f aca="false">Sens!$J$8613*y_cash</f>
        <v>3.172800358404</v>
      </c>
      <c r="L8617" s="38" t="n">
        <f aca="false">Sens!$K$8613*y_cash</f>
        <v>8.31037272592208</v>
      </c>
      <c r="M8617" s="38" t="n">
        <f aca="false">Sens!$L$8613*y_cash</f>
        <v>15.9256588704093</v>
      </c>
    </row>
    <row r="8618" customFormat="false" ht="17.15" hidden="false" customHeight="false" outlineLevel="0" collapsed="false">
      <c r="A8618" s="47" t="s">
        <v>821</v>
      </c>
      <c r="B8618" s="14" t="s">
        <v>86</v>
      </c>
      <c r="C8618" s="14"/>
      <c r="D8618" s="14"/>
      <c r="E8618" s="14"/>
      <c r="F8618" s="14"/>
      <c r="G8618" s="48" t="n">
        <f aca="false">SUM(Sens!$G$8607:$K$8607)</f>
        <v>19.0072988716234</v>
      </c>
      <c r="H8618" s="14"/>
      <c r="I8618" s="14"/>
      <c r="J8618" s="14"/>
      <c r="K8618" s="14"/>
      <c r="L8618" s="14"/>
      <c r="M8618" s="14"/>
      <c r="N8618" s="14"/>
      <c r="O8618" s="14"/>
    </row>
    <row r="8619" customFormat="false" ht="17.15" hidden="false" customHeight="false" outlineLevel="0" collapsed="false">
      <c r="A8619" s="0" t="s">
        <v>787</v>
      </c>
      <c r="B8619" s="0" t="s">
        <v>86</v>
      </c>
      <c r="G8619" s="38" t="n">
        <f aca="false">SUM(Sens!$G$8612:$K$8612)</f>
        <v>21.6756945638408</v>
      </c>
    </row>
    <row r="8620" customFormat="false" ht="17.15" hidden="false" customHeight="false" outlineLevel="0" collapsed="false">
      <c r="A8620" s="24" t="s">
        <v>824</v>
      </c>
      <c r="B8620" s="25" t="s">
        <v>86</v>
      </c>
      <c r="C8620" s="25"/>
      <c r="D8620" s="25"/>
      <c r="E8620" s="25"/>
      <c r="F8620" s="25"/>
      <c r="G8620" s="41" t="n">
        <f aca="false">Sens!$G$8618-(Sens!$G$8607+Sens!$H$8607+Sens!$I$8607+Sens!$J$8607+Sens!$K$8607)</f>
        <v>0</v>
      </c>
      <c r="H8620" s="25"/>
      <c r="I8620" s="25"/>
      <c r="J8620" s="25"/>
      <c r="K8620" s="25"/>
      <c r="L8620" s="25"/>
      <c r="M8620" s="25"/>
      <c r="N8620" s="25"/>
      <c r="O8620" s="25"/>
    </row>
    <row r="8623" customFormat="false" ht="19.4" hidden="false" customHeight="false" outlineLevel="0" collapsed="false">
      <c r="A8623" s="31" t="s">
        <v>1326</v>
      </c>
    </row>
    <row r="8624" customFormat="false" ht="17.15" hidden="false" customHeight="false" outlineLevel="0" collapsed="false">
      <c r="A8624" s="6" t="s">
        <v>16</v>
      </c>
      <c r="B8624" s="6" t="s">
        <v>17</v>
      </c>
      <c r="C8624" s="20" t="s">
        <v>504</v>
      </c>
      <c r="D8624" s="20" t="s">
        <v>505</v>
      </c>
      <c r="E8624" s="20" t="s">
        <v>587</v>
      </c>
      <c r="F8624" s="20" t="s">
        <v>588</v>
      </c>
      <c r="G8624" s="20" t="s">
        <v>589</v>
      </c>
      <c r="H8624" s="20" t="s">
        <v>590</v>
      </c>
      <c r="I8624" s="20" t="s">
        <v>591</v>
      </c>
      <c r="J8624" s="20" t="s">
        <v>592</v>
      </c>
      <c r="K8624" s="20" t="s">
        <v>593</v>
      </c>
      <c r="L8624" s="20" t="s">
        <v>594</v>
      </c>
      <c r="M8624" s="20" t="s">
        <v>595</v>
      </c>
      <c r="N8624" s="20" t="s">
        <v>596</v>
      </c>
      <c r="O8624" s="20" t="s">
        <v>597</v>
      </c>
      <c r="P8624" s="6" t="s">
        <v>23</v>
      </c>
      <c r="R8624" s="20" t="n">
        <v>2023</v>
      </c>
      <c r="S8624" s="20" t="n">
        <v>2024</v>
      </c>
      <c r="T8624" s="20" t="n">
        <v>2025</v>
      </c>
      <c r="U8624" s="20" t="n">
        <v>2026</v>
      </c>
      <c r="V8624" s="20" t="n">
        <v>2027</v>
      </c>
      <c r="W8624" s="20" t="n">
        <v>2028</v>
      </c>
      <c r="X8624" s="20" t="n">
        <v>2029</v>
      </c>
      <c r="Y8624" s="20" t="n">
        <v>2030</v>
      </c>
      <c r="Z8624" s="20" t="n">
        <v>2031</v>
      </c>
      <c r="AA8624" s="20" t="n">
        <v>2032</v>
      </c>
    </row>
    <row r="8625" customFormat="false" ht="17.15" hidden="false" customHeight="false" outlineLevel="0" collapsed="false">
      <c r="A8625" s="1" t="s">
        <v>926</v>
      </c>
    </row>
    <row r="8626" customFormat="false" ht="17.15" hidden="false" customHeight="false" outlineLevel="0" collapsed="false">
      <c r="A8626" s="0" t="s">
        <v>927</v>
      </c>
      <c r="B8626" s="0" t="s">
        <v>86</v>
      </c>
      <c r="H8626" s="38" t="n">
        <f aca="false">Sens!$H$8560*(1-tax)</f>
        <v>119.56497355468</v>
      </c>
      <c r="I8626" s="38" t="n">
        <f aca="false">Sens!$I$8560*(1-tax)</f>
        <v>141.256941944278</v>
      </c>
      <c r="J8626" s="38" t="n">
        <f aca="false">Sens!$J$8560*(1-tax)</f>
        <v>165.207646486437</v>
      </c>
      <c r="K8626" s="38" t="n">
        <f aca="false">Sens!$K$8560*(1-tax)</f>
        <v>182.2563867591</v>
      </c>
      <c r="L8626" s="38" t="n">
        <f aca="false">Sens!$L$8560*(1-tax)</f>
        <v>196.136023003742</v>
      </c>
      <c r="M8626" s="38" t="n">
        <f aca="false">Sens!$M$8560*(1-tax)</f>
        <v>208.266936154417</v>
      </c>
    </row>
    <row r="8627" customFormat="false" ht="15" hidden="false" customHeight="false" outlineLevel="0" collapsed="false">
      <c r="A8627" s="5" t="s">
        <v>928</v>
      </c>
      <c r="B8627" s="0" t="s">
        <v>86</v>
      </c>
      <c r="H8627" s="38" t="n">
        <f aca="false">Sens!$H$8571</f>
        <v>81.5618233196153</v>
      </c>
      <c r="I8627" s="38" t="n">
        <f aca="false">Sens!$I$8571</f>
        <v>118.756208740204</v>
      </c>
      <c r="J8627" s="38" t="n">
        <f aca="false">Sens!$J$8571</f>
        <v>152.469489406791</v>
      </c>
      <c r="K8627" s="38" t="n">
        <f aca="false">Sens!$K$8571</f>
        <v>186.391502623819</v>
      </c>
      <c r="L8627" s="38" t="n">
        <f aca="false">Sens!$L$8571</f>
        <v>211.926422215482</v>
      </c>
      <c r="M8627" s="38" t="n">
        <f aca="false">Sens!$M$8571</f>
        <v>229.012482097906</v>
      </c>
    </row>
    <row r="8628" customFormat="false" ht="15" hidden="false" customHeight="false" outlineLevel="0" collapsed="false">
      <c r="A8628" s="5" t="s">
        <v>929</v>
      </c>
      <c r="B8628" s="0" t="s">
        <v>86</v>
      </c>
      <c r="H8628" s="38" t="n">
        <f aca="false">Sens!$H$8602</f>
        <v>273.372679834898</v>
      </c>
      <c r="I8628" s="38" t="n">
        <f aca="false">Sens!$I$8602</f>
        <v>286.981812228425</v>
      </c>
      <c r="J8628" s="38" t="n">
        <f aca="false">Sens!$J$8602</f>
        <v>299.316513378366</v>
      </c>
      <c r="K8628" s="38" t="n">
        <f aca="false">Sens!$K$8602</f>
        <v>251.057145512292</v>
      </c>
      <c r="L8628" s="38" t="n">
        <f aca="false">Sens!$L$8602</f>
        <v>234.696330860396</v>
      </c>
      <c r="M8628" s="38" t="n">
        <f aca="false">Sens!$M$8602</f>
        <v>242.291696043352</v>
      </c>
    </row>
    <row r="8629" customFormat="false" ht="15" hidden="false" customHeight="false" outlineLevel="0" collapsed="false">
      <c r="A8629" s="5" t="s">
        <v>930</v>
      </c>
      <c r="B8629" s="0" t="s">
        <v>86</v>
      </c>
      <c r="H8629" s="38" t="n">
        <f aca="false">Sens!$H$8603</f>
        <v>1.6</v>
      </c>
      <c r="I8629" s="38" t="n">
        <f aca="false">Sens!$I$8603</f>
        <v>1.6</v>
      </c>
      <c r="J8629" s="38" t="n">
        <f aca="false">Sens!$J$8603</f>
        <v>1.6</v>
      </c>
      <c r="K8629" s="38" t="n">
        <f aca="false">Sens!$K$8603</f>
        <v>1.6</v>
      </c>
      <c r="L8629" s="38" t="n">
        <f aca="false">Sens!$L$8603</f>
        <v>1.6</v>
      </c>
      <c r="M8629" s="38" t="n">
        <f aca="false">Sens!$M$8603</f>
        <v>1.6</v>
      </c>
    </row>
    <row r="8630" customFormat="false" ht="15" hidden="false" customHeight="false" outlineLevel="0" collapsed="false">
      <c r="A8630" s="5" t="s">
        <v>931</v>
      </c>
      <c r="B8630" s="0" t="s">
        <v>86</v>
      </c>
      <c r="H8630" s="38" t="n">
        <f aca="false">Sens!$H$8597</f>
        <v>11.2928295263397</v>
      </c>
      <c r="I8630" s="38" t="n">
        <f aca="false">Sens!$I$8597</f>
        <v>12.8091546115766</v>
      </c>
      <c r="J8630" s="38" t="n">
        <f aca="false">Sens!$J$8597</f>
        <v>14.2605653162668</v>
      </c>
      <c r="K8630" s="38" t="n">
        <f aca="false">Sens!$K$8597</f>
        <v>15.5327622460396</v>
      </c>
      <c r="L8630" s="38" t="n">
        <f aca="false">Sens!$L$8597</f>
        <v>16.720573737517</v>
      </c>
      <c r="M8630" s="38" t="n">
        <f aca="false">Sens!$M$8597</f>
        <v>17.8283127551536</v>
      </c>
    </row>
    <row r="8631" customFormat="false" ht="17.15" hidden="false" customHeight="false" outlineLevel="0" collapsed="false">
      <c r="A8631" s="1" t="s">
        <v>932</v>
      </c>
      <c r="B8631" s="8" t="s">
        <v>86</v>
      </c>
      <c r="H8631" s="38" t="n">
        <f aca="false">Sens!$H$8626+Sens!$H$8627-Sens!$H$8628-Sens!$H$8629+Sens!$H$8630</f>
        <v>-62.5530534342631</v>
      </c>
      <c r="I8631" s="38" t="n">
        <f aca="false">Sens!$I$8626+Sens!$I$8627-Sens!$I$8628-Sens!$I$8629+Sens!$I$8630</f>
        <v>-15.7595069323669</v>
      </c>
      <c r="J8631" s="38" t="n">
        <f aca="false">Sens!$J$8626+Sens!$J$8627-Sens!$J$8628-Sens!$J$8629+Sens!$J$8630</f>
        <v>31.0211878311291</v>
      </c>
      <c r="K8631" s="38" t="n">
        <f aca="false">Sens!$K$8626+Sens!$K$8627-Sens!$K$8628-Sens!$K$8629+Sens!$K$8630</f>
        <v>131.523506116666</v>
      </c>
      <c r="L8631" s="38" t="n">
        <f aca="false">Sens!$L$8626+Sens!$L$8627-Sens!$L$8628-Sens!$L$8629+Sens!$L$8630</f>
        <v>188.486688096346</v>
      </c>
      <c r="M8631" s="38" t="n">
        <f aca="false">Sens!$M$8626+Sens!$M$8627-Sens!$M$8628-Sens!$M$8629+Sens!$M$8630</f>
        <v>211.216034964125</v>
      </c>
    </row>
    <row r="8632" customFormat="false" ht="15" hidden="false" customHeight="false" outlineLevel="0" collapsed="false">
      <c r="A8632" s="5" t="s">
        <v>933</v>
      </c>
      <c r="B8632" s="0" t="s">
        <v>57</v>
      </c>
      <c r="H8632" s="40" t="n">
        <f aca="false">1/(1+wacc)^(2027-2026-0.5)</f>
        <v>0.947751320380232</v>
      </c>
      <c r="I8632" s="40" t="n">
        <f aca="false">1/(1+wacc)^(2028-2026-0.5)</f>
        <v>0.851301099754987</v>
      </c>
      <c r="J8632" s="40" t="n">
        <f aca="false">1/(1+wacc)^(2029-2026-0.5)</f>
        <v>0.764666370660713</v>
      </c>
      <c r="K8632" s="40" t="n">
        <f aca="false">1/(1+wacc)^(2030-2026-0.5)</f>
        <v>0.686848235703811</v>
      </c>
      <c r="L8632" s="40" t="n">
        <f aca="false">1/(1+wacc)^(2031-2026-0.5)</f>
        <v>0.616949452715975</v>
      </c>
      <c r="M8632" s="40" t="n">
        <f aca="false">1/(1+wacc)^(2032-2026-0.5)</f>
        <v>0.554164089562688</v>
      </c>
    </row>
    <row r="8633" customFormat="false" ht="15" hidden="false" customHeight="false" outlineLevel="0" collapsed="false">
      <c r="A8633" s="5" t="s">
        <v>934</v>
      </c>
      <c r="B8633" s="0" t="s">
        <v>86</v>
      </c>
      <c r="H8633" s="38" t="n">
        <f aca="false">Sens!$H$8631*Sens!$H$8632</f>
        <v>-59.2847389861381</v>
      </c>
      <c r="I8633" s="38" t="n">
        <f aca="false">Sens!$I$8631*Sens!$I$8632</f>
        <v>-13.4160855831203</v>
      </c>
      <c r="J8633" s="38" t="n">
        <f aca="false">Sens!$J$8631*Sens!$J$8632</f>
        <v>23.7208591124138</v>
      </c>
      <c r="K8633" s="38" t="n">
        <f aca="false">Sens!$K$8631*Sens!$K$8632</f>
        <v>90.3366881298116</v>
      </c>
      <c r="L8633" s="38" t="n">
        <f aca="false">Sens!$L$8631*Sens!$L$8632</f>
        <v>116.286759065287</v>
      </c>
      <c r="M8633" s="38" t="n">
        <f aca="false">Sens!$M$8631*Sens!$M$8632</f>
        <v>117.048341716935</v>
      </c>
    </row>
    <row r="8634" customFormat="false" ht="15" hidden="false" customHeight="false" outlineLevel="0" collapsed="false">
      <c r="A8634" s="5" t="s">
        <v>935</v>
      </c>
      <c r="B8634" s="0" t="s">
        <v>86</v>
      </c>
      <c r="C8634" s="38" t="n">
        <f aca="false">SUM(Sens!$H$8633:$M$8633)</f>
        <v>274.691823455189</v>
      </c>
    </row>
    <row r="8635" customFormat="false" ht="17.15" hidden="false" customHeight="false" outlineLevel="0" collapsed="false">
      <c r="A8635" s="5" t="s">
        <v>936</v>
      </c>
      <c r="B8635" s="0" t="s">
        <v>86</v>
      </c>
      <c r="C8635" s="38" t="n">
        <f aca="false">Sens!$M$8626*(1+tg)*(1-tg/ronic)/(wacc-tg)</f>
        <v>1893.37885139876</v>
      </c>
    </row>
    <row r="8636" customFormat="false" ht="15" hidden="false" customHeight="false" outlineLevel="0" collapsed="false">
      <c r="A8636" s="5" t="s">
        <v>937</v>
      </c>
      <c r="B8636" s="0" t="s">
        <v>86</v>
      </c>
      <c r="C8636" s="38" t="n">
        <f aca="false">Sens!$C$8635/(1+wacc)^6</f>
        <v>994.421028636041</v>
      </c>
    </row>
    <row r="8637" customFormat="false" ht="17.15" hidden="false" customHeight="false" outlineLevel="0" collapsed="false">
      <c r="A8637" s="5" t="s">
        <v>938</v>
      </c>
      <c r="B8637" s="0" t="s">
        <v>86</v>
      </c>
      <c r="C8637" s="38" t="n">
        <f aca="false">Sens!$C$8634+Sens!$C$8636</f>
        <v>1269.11285209123</v>
      </c>
    </row>
    <row r="8638" customFormat="false" ht="17.15" hidden="false" customHeight="false" outlineLevel="0" collapsed="false">
      <c r="A8638" s="5" t="s">
        <v>939</v>
      </c>
      <c r="B8638" s="0" t="s">
        <v>52</v>
      </c>
      <c r="C8638" s="13" t="n">
        <f aca="false">Sens!$C$8636/Sens!$C$8637</f>
        <v>0.783556030495984</v>
      </c>
    </row>
    <row r="8639" customFormat="false" ht="17.15" hidden="false" customHeight="false" outlineLevel="0" collapsed="false">
      <c r="A8639" s="5" t="s">
        <v>940</v>
      </c>
      <c r="B8639" s="0" t="s">
        <v>86</v>
      </c>
      <c r="C8639" s="38" t="n">
        <f aca="false">Sens!$G$8615+fin_debt</f>
        <v>89.0551793268317</v>
      </c>
    </row>
    <row r="8640" customFormat="false" ht="17.15" hidden="false" customHeight="false" outlineLevel="0" collapsed="false">
      <c r="A8640" s="5" t="s">
        <v>941</v>
      </c>
      <c r="B8640" s="0" t="s">
        <v>86</v>
      </c>
      <c r="C8640" s="38" t="n">
        <f aca="false">(ant_val*ant_sh+oai_val*oai_sh)*(1-liq_disc)</f>
        <v>178.944</v>
      </c>
    </row>
    <row r="8641" customFormat="false" ht="15" hidden="false" customHeight="false" outlineLevel="0" collapsed="false">
      <c r="A8641" s="5" t="s">
        <v>942</v>
      </c>
      <c r="B8641" s="0" t="s">
        <v>86</v>
      </c>
      <c r="C8641" s="38" t="n">
        <f aca="false">Sens!$C$8637-Sens!$C$8639+Sens!$C$8640</f>
        <v>1359.0016727644</v>
      </c>
    </row>
    <row r="8642" customFormat="false" ht="17.15" hidden="false" customHeight="false" outlineLevel="0" collapsed="false">
      <c r="A8642" s="5" t="s">
        <v>943</v>
      </c>
      <c r="B8642" s="0" t="s">
        <v>27</v>
      </c>
      <c r="C8642" s="30" t="n">
        <f aca="false">Sens!$C$8641/sh_out</f>
        <v>125.993149537868</v>
      </c>
    </row>
    <row r="8643" customFormat="false" ht="17.15" hidden="false" customHeight="false" outlineLevel="0" collapsed="false">
      <c r="A8643" s="1" t="s">
        <v>944</v>
      </c>
      <c r="B8643" s="8" t="s">
        <v>27</v>
      </c>
      <c r="C8643" s="30" t="n">
        <f aca="false">Sens!$C$8642*(1+ke)^tp_yf-dps*tp_yf</f>
        <v>138.008970873001</v>
      </c>
    </row>
    <row r="8644" customFormat="false" ht="17.15" hidden="false" customHeight="false" outlineLevel="0" collapsed="false">
      <c r="A8644" s="3" t="s">
        <v>945</v>
      </c>
    </row>
    <row r="8645" customFormat="false" ht="17.15" hidden="false" customHeight="false" outlineLevel="0" collapsed="false">
      <c r="A8645" s="5" t="s">
        <v>946</v>
      </c>
      <c r="B8645" s="0" t="s">
        <v>86</v>
      </c>
      <c r="C8645" s="38" t="n">
        <f aca="false">(1-tp_yf)*(Sens!$H$8572+sbc_ab*Sens!$H$8596*Sens!$H$8433/Sens!$H$8513)+tp_yf*(Sens!$I$8572+sbc_ab*Sens!$I$8596*Sens!$I$8433/Sens!$I$8513)</f>
        <v>59.634664536349</v>
      </c>
    </row>
    <row r="8646" customFormat="false" ht="15" hidden="false" customHeight="false" outlineLevel="0" collapsed="false">
      <c r="A8646" s="5" t="s">
        <v>947</v>
      </c>
      <c r="B8646" s="0" t="s">
        <v>57</v>
      </c>
      <c r="C8646" s="30" t="n">
        <f aca="false">m_ads*m_x</f>
        <v>9.11</v>
      </c>
    </row>
    <row r="8647" customFormat="false" ht="17.15" hidden="false" customHeight="false" outlineLevel="0" collapsed="false">
      <c r="A8647" s="5" t="s">
        <v>948</v>
      </c>
      <c r="B8647" s="0" t="s">
        <v>86</v>
      </c>
      <c r="C8647" s="38" t="n">
        <f aca="false">Sens!$C$8645*Sens!$C$8646</f>
        <v>543.271793926139</v>
      </c>
    </row>
    <row r="8648" customFormat="false" ht="17.15" hidden="false" customHeight="false" outlineLevel="0" collapsed="false">
      <c r="A8648" s="5" t="s">
        <v>949</v>
      </c>
      <c r="B8648" s="0" t="s">
        <v>86</v>
      </c>
      <c r="C8648" s="38" t="n">
        <f aca="false">(1-tp_yf)*(Sens!$H$8573+sbc_ab*Sens!$H$8596*(Sens!$H$8440-Sens!$H$8433)/Sens!$H$8513+IF(internal_ai_reading=2,1,0)*(1-ext_sh)*Sens!$H$8470)+tp_yf*(Sens!$I$8573+sbc_ab*Sens!$I$8596*(Sens!$I$8440-Sens!$I$8433)/Sens!$I$8513+IF(internal_ai_reading=2,1,0)*(1-ext_sh)*Sens!$I$8470)</f>
        <v>51.6951811103438</v>
      </c>
    </row>
    <row r="8649" customFormat="false" ht="17.15" hidden="false" customHeight="false" outlineLevel="0" collapsed="false">
      <c r="A8649" s="5" t="s">
        <v>950</v>
      </c>
      <c r="B8649" s="0" t="s">
        <v>57</v>
      </c>
      <c r="C8649" s="30" t="n">
        <f aca="false">m_retail*m_x</f>
        <v>17.72</v>
      </c>
    </row>
    <row r="8650" customFormat="false" ht="17.15" hidden="false" customHeight="false" outlineLevel="0" collapsed="false">
      <c r="A8650" s="5" t="s">
        <v>951</v>
      </c>
      <c r="B8650" s="0" t="s">
        <v>86</v>
      </c>
      <c r="C8650" s="38" t="n">
        <f aca="false">Sens!$C$8648*Sens!$C$8649</f>
        <v>916.038609275292</v>
      </c>
    </row>
    <row r="8651" customFormat="false" ht="17.15" hidden="false" customHeight="false" outlineLevel="0" collapsed="false">
      <c r="A8651" s="0" t="s">
        <v>952</v>
      </c>
      <c r="B8651" s="0" t="s">
        <v>86</v>
      </c>
      <c r="C8651" s="38" t="n">
        <f aca="false">(1-tp_yf)*(Sens!$H$8574+sbc_ab*Sens!$H$8596*Sens!$H$8511/Sens!$H$8513)+tp_yf*(Sens!$I$8574+sbc_ab*Sens!$I$8596*Sens!$I$8511/Sens!$I$8513)</f>
        <v>97.2337130506861</v>
      </c>
    </row>
    <row r="8652" customFormat="false" ht="17.15" hidden="false" customHeight="false" outlineLevel="0" collapsed="false">
      <c r="A8652" s="0" t="s">
        <v>953</v>
      </c>
      <c r="B8652" s="0" t="s">
        <v>57</v>
      </c>
      <c r="C8652" s="30" t="n">
        <f aca="false">m_cloud*m_x</f>
        <v>13.82</v>
      </c>
    </row>
    <row r="8653" customFormat="false" ht="17.15" hidden="false" customHeight="false" outlineLevel="0" collapsed="false">
      <c r="A8653" s="0" t="s">
        <v>954</v>
      </c>
      <c r="B8653" s="0" t="s">
        <v>86</v>
      </c>
      <c r="C8653" s="38" t="n">
        <f aca="false">Sens!$C$8651*Sens!$C$8652</f>
        <v>1343.76991436048</v>
      </c>
    </row>
    <row r="8654" customFormat="false" ht="17.15" hidden="false" customHeight="false" outlineLevel="0" collapsed="false">
      <c r="A8654" s="0" t="s">
        <v>955</v>
      </c>
      <c r="B8654" s="0" t="s">
        <v>86</v>
      </c>
      <c r="H8654" s="38" t="n">
        <f aca="false">Sens!$H$8492-tax*Sens!$H$8493-ext_sh*Sens!$H$8477</f>
        <v>-115.41576008619</v>
      </c>
      <c r="I8654" s="38" t="n">
        <f aca="false">Sens!$I$8492-tax*Sens!$I$8493-ext_sh*Sens!$I$8477</f>
        <v>-88.5401912683161</v>
      </c>
      <c r="J8654" s="38" t="n">
        <f aca="false">Sens!$J$8492-tax*Sens!$J$8493-ext_sh*Sens!$J$8477</f>
        <v>-61.2977422866746</v>
      </c>
      <c r="K8654" s="38" t="n">
        <f aca="false">Sens!$K$8492-tax*Sens!$K$8493-ext_sh*Sens!$K$8477</f>
        <v>9.91264760007891</v>
      </c>
      <c r="L8654" s="38" t="n">
        <f aca="false">Sens!$L$8492-tax*Sens!$L$8493-ext_sh*Sens!$L$8477</f>
        <v>46.750156871371</v>
      </c>
      <c r="M8654" s="38" t="n">
        <f aca="false">Sens!$M$8492-tax*Sens!$M$8493-ext_sh*Sens!$M$8477</f>
        <v>55.5634749071557</v>
      </c>
    </row>
    <row r="8655" customFormat="false" ht="17.15" hidden="false" customHeight="false" outlineLevel="0" collapsed="false">
      <c r="A8655" s="5" t="s">
        <v>956</v>
      </c>
      <c r="B8655" s="0" t="s">
        <v>86</v>
      </c>
      <c r="H8655" s="38" t="n">
        <f aca="false">Sens!$H$8654*Sens!$H$8632</f>
        <v>-109.385439014374</v>
      </c>
      <c r="I8655" s="38" t="n">
        <f aca="false">Sens!$I$8654*Sens!$I$8632</f>
        <v>-75.3743621992344</v>
      </c>
      <c r="J8655" s="38" t="n">
        <f aca="false">Sens!$J$8654*Sens!$J$8632</f>
        <v>-46.8723221240472</v>
      </c>
      <c r="K8655" s="38" t="n">
        <f aca="false">Sens!$K$8654*Sens!$K$8632</f>
        <v>6.80848451526782</v>
      </c>
      <c r="L8655" s="38" t="n">
        <f aca="false">Sens!$L$8654*Sens!$L$8632</f>
        <v>28.8424836961783</v>
      </c>
      <c r="M8655" s="38" t="n">
        <f aca="false">Sens!$M$8654*Sens!$M$8632</f>
        <v>30.7912824848632</v>
      </c>
    </row>
    <row r="8656" customFormat="false" ht="17.15" hidden="false" customHeight="false" outlineLevel="0" collapsed="false">
      <c r="A8656" s="5" t="s">
        <v>957</v>
      </c>
      <c r="B8656" s="0" t="s">
        <v>86</v>
      </c>
      <c r="C8656" s="38" t="n">
        <f aca="false">Sens!$M$8493*(1-tax)*(1+tg)*(1-tg/ronic)/(wacc-tg)</f>
        <v>356.180381489473</v>
      </c>
    </row>
    <row r="8657" customFormat="false" ht="17.15" hidden="false" customHeight="false" outlineLevel="0" collapsed="false">
      <c r="A8657" s="0" t="s">
        <v>958</v>
      </c>
      <c r="B8657" s="0" t="s">
        <v>86</v>
      </c>
      <c r="C8657" s="38" t="n">
        <f aca="false">(SUM(Sens!$I$8655:$M$8655)+Sens!$C$8656/(1+wacc)^6)*(1+wacc)^tp_yf</f>
        <v>143.3703803388</v>
      </c>
    </row>
    <row r="8658" customFormat="false" ht="17.15" hidden="false" customHeight="false" outlineLevel="0" collapsed="false">
      <c r="A8658" s="5" t="s">
        <v>959</v>
      </c>
      <c r="B8658" s="0" t="s">
        <v>86</v>
      </c>
      <c r="C8658" s="38" t="n">
        <f aca="false">(1-tp_yf)*(Sens!$H$8575)+tp_yf*(Sens!$I$8575)</f>
        <v>74.6707041238437</v>
      </c>
    </row>
    <row r="8659" customFormat="false" ht="17.15" hidden="false" customHeight="false" outlineLevel="0" collapsed="false">
      <c r="A8659" s="5" t="s">
        <v>960</v>
      </c>
      <c r="B8659" s="0" t="s">
        <v>86</v>
      </c>
      <c r="C8659" s="38" t="n">
        <f aca="false">Sens!$C$8658*m_ai</f>
        <v>448.024224743062</v>
      </c>
    </row>
    <row r="8660" customFormat="false" ht="17.15" hidden="false" customHeight="false" outlineLevel="0" collapsed="false">
      <c r="A8660" s="0" t="s">
        <v>961</v>
      </c>
      <c r="B8660" s="0" t="s">
        <v>86</v>
      </c>
      <c r="C8660" s="38" t="n">
        <f aca="false">IF(ai_leg=1,Sens!$C$8657,Sens!$C$8659)</f>
        <v>143.3703803388</v>
      </c>
    </row>
    <row r="8661" customFormat="false" ht="17.15" hidden="false" customHeight="false" outlineLevel="0" collapsed="false">
      <c r="A8661" s="5" t="s">
        <v>962</v>
      </c>
      <c r="B8661" s="0" t="s">
        <v>86</v>
      </c>
      <c r="C8661" s="38" t="n">
        <f aca="false">Sens!$C$8647+Sens!$C$8650+Sens!$C$8653+Sens!$C$8660</f>
        <v>2946.45069790071</v>
      </c>
    </row>
    <row r="8662" customFormat="false" ht="17.15" hidden="false" customHeight="false" outlineLevel="0" collapsed="false">
      <c r="A8662" s="5" t="s">
        <v>963</v>
      </c>
      <c r="B8662" s="0" t="s">
        <v>86</v>
      </c>
      <c r="C8662" s="38" t="n">
        <f aca="false">Sens!$H$8615+fin_debt</f>
        <v>143.411303169235</v>
      </c>
    </row>
    <row r="8663" customFormat="false" ht="15" hidden="false" customHeight="false" outlineLevel="0" collapsed="false">
      <c r="A8663" s="5" t="s">
        <v>964</v>
      </c>
      <c r="B8663" s="0" t="s">
        <v>86</v>
      </c>
      <c r="C8663" s="38" t="n">
        <f aca="false">Sens!$C$8661-Sens!$C$8662+Sens!$C$8640</f>
        <v>2981.98339473148</v>
      </c>
    </row>
    <row r="8664" customFormat="false" ht="15" hidden="false" customHeight="false" outlineLevel="0" collapsed="false">
      <c r="A8664" s="3" t="s">
        <v>965</v>
      </c>
      <c r="B8664" s="8" t="s">
        <v>27</v>
      </c>
      <c r="C8664" s="30" t="n">
        <f aca="false">Sens!$C$8663/sh_val</f>
        <v>270.344379564487</v>
      </c>
    </row>
    <row r="8665" customFormat="false" ht="17.15" hidden="false" customHeight="false" outlineLevel="0" collapsed="false">
      <c r="A8665" s="47" t="s">
        <v>966</v>
      </c>
      <c r="B8665" s="14" t="s">
        <v>27</v>
      </c>
      <c r="C8665" s="44" t="n">
        <f aca="false">0.7*Sens!$C$8643+(1-0.7)*Sens!$C$8664</f>
        <v>177.709593480447</v>
      </c>
      <c r="D8665" s="14"/>
      <c r="E8665" s="14"/>
      <c r="F8665" s="14"/>
      <c r="G8665" s="14"/>
      <c r="H8665" s="14"/>
      <c r="I8665" s="14"/>
      <c r="J8665" s="14"/>
      <c r="K8665" s="14"/>
      <c r="L8665" s="14"/>
      <c r="M8665" s="14"/>
      <c r="N8665" s="14"/>
      <c r="O8665" s="14"/>
    </row>
    <row r="8666" customFormat="false" ht="17.15" hidden="false" customHeight="false" outlineLevel="0" collapsed="false">
      <c r="A8666" s="5" t="s">
        <v>967</v>
      </c>
      <c r="B8666" s="0" t="s">
        <v>27</v>
      </c>
      <c r="C8666" s="30" t="n">
        <f aca="false">v022_wdcf*Sens!$C$8643+(1-v022_wdcf)*Sens!$C$8664</f>
        <v>210.793445653318</v>
      </c>
    </row>
    <row r="8667" customFormat="false" ht="17.15" hidden="false" customHeight="false" outlineLevel="0" collapsed="false">
      <c r="A8667" s="5" t="s">
        <v>968</v>
      </c>
      <c r="B8667" s="0" t="s">
        <v>27</v>
      </c>
      <c r="C8667" s="30" t="n">
        <f aca="false">(Sens!$C$8663-Sens!$C$8660+Sens!$C$8659)/sh_val</f>
        <v>297.964068759578</v>
      </c>
    </row>
    <row r="8670" customFormat="false" ht="19.4" hidden="false" customHeight="false" outlineLevel="0" collapsed="false">
      <c r="A8670" s="31" t="s">
        <v>1327</v>
      </c>
    </row>
    <row r="8671" customFormat="false" ht="17.15" hidden="false" customHeight="false" outlineLevel="0" collapsed="false">
      <c r="A8671" s="6" t="s">
        <v>16</v>
      </c>
      <c r="B8671" s="6" t="s">
        <v>17</v>
      </c>
      <c r="C8671" s="20" t="s">
        <v>504</v>
      </c>
      <c r="D8671" s="20" t="s">
        <v>505</v>
      </c>
      <c r="E8671" s="20" t="s">
        <v>587</v>
      </c>
      <c r="F8671" s="20" t="s">
        <v>588</v>
      </c>
      <c r="G8671" s="20" t="s">
        <v>589</v>
      </c>
      <c r="H8671" s="20" t="s">
        <v>590</v>
      </c>
      <c r="I8671" s="20" t="s">
        <v>591</v>
      </c>
      <c r="J8671" s="20" t="s">
        <v>592</v>
      </c>
      <c r="K8671" s="20" t="s">
        <v>593</v>
      </c>
      <c r="L8671" s="20" t="s">
        <v>594</v>
      </c>
      <c r="M8671" s="20" t="s">
        <v>595</v>
      </c>
      <c r="N8671" s="20" t="s">
        <v>596</v>
      </c>
      <c r="O8671" s="20" t="s">
        <v>597</v>
      </c>
      <c r="P8671" s="6" t="s">
        <v>23</v>
      </c>
      <c r="R8671" s="20" t="n">
        <v>2023</v>
      </c>
      <c r="S8671" s="20" t="n">
        <v>2024</v>
      </c>
      <c r="T8671" s="20" t="n">
        <v>2025</v>
      </c>
      <c r="U8671" s="20" t="n">
        <v>2026</v>
      </c>
      <c r="V8671" s="20" t="n">
        <v>2027</v>
      </c>
      <c r="W8671" s="20" t="n">
        <v>2028</v>
      </c>
      <c r="X8671" s="20" t="n">
        <v>2029</v>
      </c>
      <c r="Y8671" s="20" t="n">
        <v>2030</v>
      </c>
      <c r="Z8671" s="20" t="n">
        <v>2031</v>
      </c>
      <c r="AA8671" s="20" t="n">
        <v>2032</v>
      </c>
    </row>
    <row r="8672" customFormat="false" ht="17.15" hidden="false" customHeight="false" outlineLevel="0" collapsed="false">
      <c r="A8672" s="1" t="s">
        <v>677</v>
      </c>
    </row>
    <row r="8673" customFormat="false" ht="17.15" hidden="false" customHeight="false" outlineLevel="0" collapsed="false">
      <c r="A8673" s="0" t="s">
        <v>526</v>
      </c>
      <c r="B8673" s="0" t="s">
        <v>86</v>
      </c>
      <c r="C8673" s="38" t="n">
        <f aca="false">Q!$D$10</f>
        <v>247.029</v>
      </c>
      <c r="D8673" s="38" t="n">
        <f aca="false">Q!$E$10</f>
        <v>269.287</v>
      </c>
      <c r="E8673" s="38" t="n">
        <f aca="false">Q!$P$10</f>
        <v>134.686</v>
      </c>
      <c r="F8673" s="38" t="n">
        <f aca="false">Sens!$O$8673*(1+Sens!$F$8674)*Sens!$F$8685</f>
        <v>158.293876822267</v>
      </c>
      <c r="G8673" s="38" t="n">
        <f aca="false">Sens!$E$8673+Sens!$F$8673</f>
        <v>292.979876822267</v>
      </c>
      <c r="H8673" s="38" t="n">
        <f aca="false">Sens!$G$8673*(1+Sens!$H$8674)</f>
        <v>318.184543087396</v>
      </c>
      <c r="I8673" s="38" t="n">
        <f aca="false">Sens!$H$8673*(1+Sens!$I$8674)</f>
        <v>341.736278761793</v>
      </c>
      <c r="J8673" s="38" t="n">
        <f aca="false">Sens!$I$8673*(1+Sens!$J$8674)</f>
        <v>362.927192787048</v>
      </c>
      <c r="K8673" s="38" t="n">
        <f aca="false">Sens!$J$8673*(1+Sens!$K$8674)</f>
        <v>381.0735524264</v>
      </c>
      <c r="L8673" s="38" t="n">
        <f aca="false">Sens!$K$8673*(1+Sens!$L$8674)</f>
        <v>400.12723004772</v>
      </c>
      <c r="M8673" s="38" t="n">
        <f aca="false">Sens!$L$8673*(1+Sens!$M$8674)</f>
        <v>420.133591550106</v>
      </c>
      <c r="N8673" s="38" t="n">
        <f aca="false">Q!$N$10</f>
        <v>118.892</v>
      </c>
      <c r="O8673" s="38" t="n">
        <f aca="false">Q!$O$10</f>
        <v>150.395</v>
      </c>
      <c r="P8673" s="8" t="s">
        <v>678</v>
      </c>
    </row>
    <row r="8674" customFormat="false" ht="17.15" hidden="false" customHeight="false" outlineLevel="0" collapsed="false">
      <c r="A8674" s="0" t="s">
        <v>679</v>
      </c>
      <c r="B8674" s="0" t="s">
        <v>52</v>
      </c>
      <c r="E8674" s="13" t="n">
        <f aca="false">Sens!$E$8673/Sens!$N$8673-1</f>
        <v>0.132843252699929</v>
      </c>
      <c r="F8674" s="13" t="n">
        <f aca="false">Sens!$O$8673/(Q!$F$10+Q!$G$10)-1</f>
        <v>0.0980382135842941</v>
      </c>
      <c r="G8674" s="13" t="n">
        <f aca="false">Sens!$G$8673/Sens!$D$8673-1</f>
        <v>0.0879837378791657</v>
      </c>
      <c r="H8674" s="13" t="n">
        <f aca="false">Sens!$F$8674+(g_os-Sens!$F$8674)*1/4</f>
        <v>0.0860286601882206</v>
      </c>
      <c r="I8674" s="13" t="n">
        <f aca="false">Sens!$F$8674+(g_os-Sens!$F$8674)*2/4</f>
        <v>0.074019106792147</v>
      </c>
      <c r="J8674" s="13" t="n">
        <f aca="false">Sens!$F$8674+(g_os-Sens!$F$8674)*3/4</f>
        <v>0.0620095533960735</v>
      </c>
      <c r="K8674" s="13" t="n">
        <f aca="false">Sens!$F$8674+(g_os-Sens!$F$8674)*4/4</f>
        <v>0.05</v>
      </c>
      <c r="L8674" s="13" t="n">
        <f aca="false">g_os</f>
        <v>0.05</v>
      </c>
      <c r="M8674" s="13" t="n">
        <f aca="false">g_os</f>
        <v>0.05</v>
      </c>
      <c r="P8674" s="8" t="s">
        <v>680</v>
      </c>
    </row>
    <row r="8675" customFormat="false" ht="17.15" hidden="false" customHeight="false" outlineLevel="0" collapsed="false">
      <c r="A8675" s="0" t="s">
        <v>527</v>
      </c>
      <c r="B8675" s="0" t="s">
        <v>86</v>
      </c>
      <c r="C8675" s="38" t="n">
        <f aca="false">Q!$D$11</f>
        <v>21.215</v>
      </c>
      <c r="D8675" s="38" t="n">
        <f aca="false">Q!$E$11</f>
        <v>22.561</v>
      </c>
      <c r="E8675" s="38" t="n">
        <f aca="false">Q!$P$11</f>
        <v>11.579</v>
      </c>
      <c r="F8675" s="38" t="n">
        <f aca="false">Sens!$O$8675*(1+Sens!$F$8676)*Sens!$F$8685</f>
        <v>11.5938724610325</v>
      </c>
      <c r="G8675" s="38" t="n">
        <f aca="false">Sens!$E$8675+Sens!$F$8675</f>
        <v>23.1728724610325</v>
      </c>
      <c r="H8675" s="38" t="n">
        <f aca="false">Sens!$G$8675*(1+Sens!$H$8676)</f>
        <v>24.353392759506</v>
      </c>
      <c r="I8675" s="38" t="n">
        <f aca="false">Sens!$H$8675*(1+Sens!$I$8676)</f>
        <v>25.4240338872015</v>
      </c>
      <c r="J8675" s="38" t="n">
        <f aca="false">Sens!$I$8675*(1+Sens!$J$8676)</f>
        <v>26.3642491017174</v>
      </c>
      <c r="K8675" s="38" t="n">
        <f aca="false">Sens!$J$8675*(1+Sens!$K$8676)</f>
        <v>27.155176574769</v>
      </c>
      <c r="L8675" s="38" t="n">
        <f aca="false">Sens!$K$8675*(1+Sens!$L$8676)</f>
        <v>27.969831872012</v>
      </c>
      <c r="M8675" s="38" t="n">
        <f aca="false">Sens!$L$8675*(1+Sens!$M$8676)</f>
        <v>28.8089268281724</v>
      </c>
      <c r="N8675" s="38" t="n">
        <f aca="false">Q!$N$11</f>
        <v>11.128</v>
      </c>
      <c r="O8675" s="38" t="n">
        <f aca="false">Q!$O$11</f>
        <v>11.433</v>
      </c>
      <c r="P8675" s="8" t="s">
        <v>678</v>
      </c>
    </row>
    <row r="8676" customFormat="false" ht="17.15" hidden="false" customHeight="false" outlineLevel="0" collapsed="false">
      <c r="A8676" s="0" t="s">
        <v>681</v>
      </c>
      <c r="B8676" s="0" t="s">
        <v>52</v>
      </c>
      <c r="E8676" s="13" t="n">
        <f aca="false">Sens!$E$8675/Sens!$N$8675-1</f>
        <v>0.0405283968368082</v>
      </c>
      <c r="F8676" s="13" t="n">
        <f aca="false">Sens!$O$8675/(Q!$F$11+Q!$G$11)-1</f>
        <v>0.0579254187100955</v>
      </c>
      <c r="G8676" s="13" t="n">
        <f aca="false">Sens!$G$8675/Sens!$D$8675-1</f>
        <v>0.0271208040881397</v>
      </c>
      <c r="H8676" s="13" t="n">
        <f aca="false">Sens!$F$8676+(g_ps-Sens!$F$8676)*1/4</f>
        <v>0.0509440640325716</v>
      </c>
      <c r="I8676" s="13" t="n">
        <f aca="false">Sens!$F$8676+(g_ps-Sens!$F$8676)*2/4</f>
        <v>0.0439627093550477</v>
      </c>
      <c r="J8676" s="13" t="n">
        <f aca="false">Sens!$F$8676+(g_ps-Sens!$F$8676)*3/4</f>
        <v>0.0369813546775239</v>
      </c>
      <c r="K8676" s="13" t="n">
        <f aca="false">Sens!$F$8676+(g_ps-Sens!$F$8676)*4/4</f>
        <v>0.03</v>
      </c>
      <c r="L8676" s="13" t="n">
        <f aca="false">g_ps</f>
        <v>0.03</v>
      </c>
      <c r="M8676" s="13" t="n">
        <f aca="false">g_ps</f>
        <v>0.03</v>
      </c>
      <c r="P8676" s="8" t="s">
        <v>682</v>
      </c>
    </row>
    <row r="8677" customFormat="false" ht="17.15" hidden="false" customHeight="false" outlineLevel="0" collapsed="false">
      <c r="A8677" s="0" t="s">
        <v>528</v>
      </c>
      <c r="B8677" s="0" t="s">
        <v>86</v>
      </c>
      <c r="C8677" s="38" t="n">
        <f aca="false">Q!$D$12</f>
        <v>156.146</v>
      </c>
      <c r="D8677" s="38" t="n">
        <f aca="false">Q!$E$12</f>
        <v>172.162</v>
      </c>
      <c r="E8677" s="38" t="n">
        <f aca="false">Q!$P$12</f>
        <v>88.358</v>
      </c>
      <c r="F8677" s="38" t="n">
        <f aca="false">Sens!$O$8677*(1+Sens!$F$8678)*Sens!$F$8685</f>
        <v>102.004388260171</v>
      </c>
      <c r="G8677" s="38" t="n">
        <f aca="false">Sens!$E$8677+Sens!$F$8677</f>
        <v>190.362388260171</v>
      </c>
      <c r="H8677" s="38" t="n">
        <f aca="false">Sens!$G$8677*(1+Sens!$H$8678)</f>
        <v>210.343106588311</v>
      </c>
      <c r="I8677" s="38" t="n">
        <f aca="false">Sens!$H$8677*(1+Sens!$I$8678)</f>
        <v>229.969728494648</v>
      </c>
      <c r="J8677" s="38" t="n">
        <f aca="false">Sens!$I$8677*(1+Sens!$J$8678)</f>
        <v>248.747636972598</v>
      </c>
      <c r="K8677" s="38" t="n">
        <f aca="false">Sens!$J$8677*(1+Sens!$K$8678)</f>
        <v>266.15997156068</v>
      </c>
      <c r="L8677" s="38" t="n">
        <f aca="false">Sens!$K$8677*(1+Sens!$L$8678)</f>
        <v>284.791169569927</v>
      </c>
      <c r="M8677" s="38" t="n">
        <f aca="false">Sens!$L$8677*(1+Sens!$M$8678)</f>
        <v>304.726551439822</v>
      </c>
      <c r="N8677" s="38" t="n">
        <f aca="false">Q!$N$12</f>
        <v>76.86</v>
      </c>
      <c r="O8677" s="38" t="n">
        <f aca="false">Q!$O$12</f>
        <v>95.302</v>
      </c>
      <c r="P8677" s="8" t="s">
        <v>678</v>
      </c>
    </row>
    <row r="8678" customFormat="false" ht="17.15" hidden="false" customHeight="false" outlineLevel="0" collapsed="false">
      <c r="A8678" s="0" t="s">
        <v>683</v>
      </c>
      <c r="B8678" s="0" t="s">
        <v>52</v>
      </c>
      <c r="E8678" s="13" t="n">
        <f aca="false">Sens!$E$8677/Sens!$N$8677-1</f>
        <v>0.1495966692688</v>
      </c>
      <c r="F8678" s="13" t="n">
        <f aca="false">Sens!$O$8677/(Q!$F$12+Q!$G$12)-1</f>
        <v>0.11661530890813</v>
      </c>
      <c r="G8678" s="13" t="n">
        <f aca="false">Sens!$G$8677/Sens!$D$8677-1</f>
        <v>0.105716640490767</v>
      </c>
      <c r="H8678" s="13" t="n">
        <f aca="false">Sens!$F$8678+(g_sp-Sens!$F$8678)*1/4</f>
        <v>0.104961481681098</v>
      </c>
      <c r="I8678" s="13" t="n">
        <f aca="false">Sens!$F$8678+(g_sp-Sens!$F$8678)*2/4</f>
        <v>0.0933076544540651</v>
      </c>
      <c r="J8678" s="13" t="n">
        <f aca="false">Sens!$F$8678+(g_sp-Sens!$F$8678)*3/4</f>
        <v>0.0816538272270325</v>
      </c>
      <c r="K8678" s="13" t="n">
        <f aca="false">Sens!$F$8678+(g_sp-Sens!$F$8678)*4/4</f>
        <v>0.07</v>
      </c>
      <c r="L8678" s="13" t="n">
        <f aca="false">g_sp</f>
        <v>0.07</v>
      </c>
      <c r="M8678" s="13" t="n">
        <f aca="false">g_sp</f>
        <v>0.07</v>
      </c>
      <c r="P8678" s="8" t="s">
        <v>684</v>
      </c>
    </row>
    <row r="8679" customFormat="false" ht="17.15" hidden="false" customHeight="false" outlineLevel="0" collapsed="false">
      <c r="A8679" s="0" t="s">
        <v>529</v>
      </c>
      <c r="B8679" s="0" t="s">
        <v>86</v>
      </c>
      <c r="C8679" s="38" t="n">
        <f aca="false">Q!$D$13</f>
        <v>56.214</v>
      </c>
      <c r="D8679" s="38" t="n">
        <f aca="false">Q!$E$13</f>
        <v>68.635</v>
      </c>
      <c r="E8679" s="38" t="n">
        <f aca="false">Q!$P$13</f>
        <v>37.052</v>
      </c>
      <c r="F8679" s="38" t="n">
        <f aca="false">Sens!$O$8679*(1+Sens!$F$8680)*Sens!$F$8685</f>
        <v>46.1572219944148</v>
      </c>
      <c r="G8679" s="38" t="n">
        <f aca="false">Sens!$E$8679+Sens!$F$8679</f>
        <v>83.2092219944148</v>
      </c>
      <c r="H8679" s="38" t="n">
        <f aca="false">Sens!$G$8679*(1+Sens!$H$8680)</f>
        <v>99.8969223878976</v>
      </c>
      <c r="I8679" s="38" t="n">
        <f aca="false">Sens!$H$8679*(1+Sens!$I$8680)</f>
        <v>116.583111095496</v>
      </c>
      <c r="J8679" s="38" t="n">
        <f aca="false">Sens!$I$8679*(1+Sens!$J$8680)</f>
        <v>132.148941941952</v>
      </c>
      <c r="K8679" s="38" t="n">
        <f aca="false">Sens!$J$8679*(1+Sens!$K$8680)</f>
        <v>145.363836136147</v>
      </c>
      <c r="L8679" s="38" t="n">
        <f aca="false">Sens!$K$8679*(1+Sens!$L$8680)</f>
        <v>159.900219749762</v>
      </c>
      <c r="M8679" s="38" t="n">
        <f aca="false">Sens!$L$8679*(1+Sens!$M$8680)</f>
        <v>175.890241724738</v>
      </c>
      <c r="N8679" s="38" t="n">
        <f aca="false">Q!$N$13</f>
        <v>29.615</v>
      </c>
      <c r="O8679" s="38" t="n">
        <f aca="false">Q!$O$13</f>
        <v>39.02</v>
      </c>
      <c r="P8679" s="8" t="s">
        <v>678</v>
      </c>
    </row>
    <row r="8680" customFormat="false" ht="17.15" hidden="false" customHeight="false" outlineLevel="0" collapsed="false">
      <c r="A8680" s="0" t="s">
        <v>685</v>
      </c>
      <c r="B8680" s="0" t="s">
        <v>52</v>
      </c>
      <c r="E8680" s="13" t="n">
        <f aca="false">Sens!$E$8679/Sens!$N$8679-1</f>
        <v>0.25112274185379</v>
      </c>
      <c r="F8680" s="13" t="n">
        <f aca="false">Sens!$O$8679/(Q!$F$13+Q!$G$13)-1</f>
        <v>0.234068123596572</v>
      </c>
      <c r="G8680" s="13" t="n">
        <f aca="false">Sens!$G$8679/Sens!$D$8679-1</f>
        <v>0.212343876949294</v>
      </c>
      <c r="H8680" s="13" t="n">
        <f aca="false">Sens!$F$8680+(g_ad-Sens!$F$8680)*1/4</f>
        <v>0.200551092697429</v>
      </c>
      <c r="I8680" s="13" t="n">
        <f aca="false">Sens!$F$8680+(g_ad-Sens!$F$8680)*2/4</f>
        <v>0.167034061798286</v>
      </c>
      <c r="J8680" s="13" t="n">
        <f aca="false">Sens!$F$8680+(g_ad-Sens!$F$8680)*3/4</f>
        <v>0.133517030899143</v>
      </c>
      <c r="K8680" s="13" t="n">
        <f aca="false">Sens!$F$8680+(g_ad-Sens!$F$8680)*4/4</f>
        <v>0.1</v>
      </c>
      <c r="L8680" s="13" t="n">
        <f aca="false">g_ad</f>
        <v>0.1</v>
      </c>
      <c r="M8680" s="13" t="n">
        <f aca="false">g_ad</f>
        <v>0.1</v>
      </c>
      <c r="P8680" s="8" t="s">
        <v>686</v>
      </c>
    </row>
    <row r="8681" customFormat="false" ht="17.15" hidden="false" customHeight="false" outlineLevel="0" collapsed="false">
      <c r="A8681" s="0" t="s">
        <v>530</v>
      </c>
      <c r="B8681" s="0" t="s">
        <v>86</v>
      </c>
      <c r="C8681" s="38" t="n">
        <f aca="false">Q!$D$14</f>
        <v>44.374</v>
      </c>
      <c r="D8681" s="38" t="n">
        <f aca="false">Q!$E$14</f>
        <v>49.619</v>
      </c>
      <c r="E8681" s="38" t="n">
        <f aca="false">Q!$P$14</f>
        <v>27.157</v>
      </c>
      <c r="F8681" s="38" t="n">
        <f aca="false">Sens!$O$8681*(1+Sens!$F$8682)*Sens!$F$8685</f>
        <v>27.7764165988154</v>
      </c>
      <c r="G8681" s="38" t="n">
        <f aca="false">Sens!$E$8681+Sens!$F$8681</f>
        <v>54.9334165988154</v>
      </c>
      <c r="H8681" s="38" t="n">
        <f aca="false">Sens!$G$8681*(1+Sens!$H$8682)</f>
        <v>61.1564112561829</v>
      </c>
      <c r="I8681" s="38" t="n">
        <f aca="false">Sens!$H$8681*(1+Sens!$I$8682)</f>
        <v>67.2020282103945</v>
      </c>
      <c r="J8681" s="38" t="n">
        <f aca="false">Sens!$I$8681*(1+Sens!$J$8682)</f>
        <v>72.8757274028885</v>
      </c>
      <c r="K8681" s="38" t="n">
        <f aca="false">Sens!$J$8681*(1+Sens!$K$8682)</f>
        <v>77.9770283210907</v>
      </c>
      <c r="L8681" s="38" t="n">
        <f aca="false">Sens!$K$8681*(1+Sens!$L$8682)</f>
        <v>83.4354203035671</v>
      </c>
      <c r="M8681" s="38" t="n">
        <f aca="false">Sens!$L$8681*(1+Sens!$M$8682)</f>
        <v>89.2758997248168</v>
      </c>
      <c r="N8681" s="38" t="n">
        <f aca="false">Q!$N$14</f>
        <v>23.923</v>
      </c>
      <c r="O8681" s="38" t="n">
        <f aca="false">Q!$O$14</f>
        <v>25.696</v>
      </c>
      <c r="P8681" s="8" t="s">
        <v>678</v>
      </c>
    </row>
    <row r="8682" customFormat="false" ht="17.15" hidden="false" customHeight="false" outlineLevel="0" collapsed="false">
      <c r="A8682" s="0" t="s">
        <v>687</v>
      </c>
      <c r="B8682" s="0" t="s">
        <v>52</v>
      </c>
      <c r="E8682" s="13" t="n">
        <f aca="false">Sens!$E$8681/Sens!$N$8681-1</f>
        <v>0.135183714417088</v>
      </c>
      <c r="F8682" s="13" t="n">
        <f aca="false">Sens!$O$8681/(Q!$F$14+Q!$G$14)-1</f>
        <v>0.127709997366804</v>
      </c>
      <c r="G8682" s="13" t="n">
        <f aca="false">Sens!$G$8681/Sens!$D$8681-1</f>
        <v>0.107104468022641</v>
      </c>
      <c r="H8682" s="13" t="n">
        <f aca="false">Sens!$F$8682+(g_sub-Sens!$F$8682)*1/4</f>
        <v>0.113282498025103</v>
      </c>
      <c r="I8682" s="13" t="n">
        <f aca="false">Sens!$F$8682+(g_sub-Sens!$F$8682)*2/4</f>
        <v>0.0988549986834021</v>
      </c>
      <c r="J8682" s="13" t="n">
        <f aca="false">Sens!$F$8682+(g_sub-Sens!$F$8682)*3/4</f>
        <v>0.084427499341701</v>
      </c>
      <c r="K8682" s="13" t="n">
        <f aca="false">Sens!$F$8682+(g_sub-Sens!$F$8682)*4/4</f>
        <v>0.07</v>
      </c>
      <c r="L8682" s="13" t="n">
        <f aca="false">g_sub</f>
        <v>0.07</v>
      </c>
      <c r="M8682" s="13" t="n">
        <f aca="false">g_sub</f>
        <v>0.07</v>
      </c>
      <c r="P8682" s="8" t="s">
        <v>688</v>
      </c>
    </row>
    <row r="8683" customFormat="false" ht="17.15" hidden="false" customHeight="false" outlineLevel="0" collapsed="false">
      <c r="A8683" s="0" t="s">
        <v>531</v>
      </c>
      <c r="B8683" s="0" t="s">
        <v>86</v>
      </c>
      <c r="C8683" s="38" t="n">
        <f aca="false">Q!$D$15</f>
        <v>5.425</v>
      </c>
      <c r="D8683" s="38" t="n">
        <f aca="false">Q!$E$15</f>
        <v>5.935</v>
      </c>
      <c r="E8683" s="38" t="n">
        <f aca="false">Q!$P$15</f>
        <v>3.474</v>
      </c>
      <c r="F8683" s="38" t="n">
        <f aca="false">Sens!$O$8683*(1+Sens!$F$8684)*Sens!$F$8685</f>
        <v>3.22246550883619</v>
      </c>
      <c r="G8683" s="38" t="n">
        <f aca="false">Sens!$E$8683+Sens!$F$8683</f>
        <v>6.69646550883619</v>
      </c>
      <c r="H8683" s="38" t="n">
        <f aca="false">Sens!$G$8683*(1+Sens!$H$8684)</f>
        <v>7.16251344209196</v>
      </c>
      <c r="I8683" s="38" t="n">
        <f aca="false">Sens!$H$8683*(1+Sens!$I$8684)</f>
        <v>7.61421070299826</v>
      </c>
      <c r="J8683" s="38" t="n">
        <f aca="false">Sens!$I$8683*(1+Sens!$J$8684)</f>
        <v>8.04465753523932</v>
      </c>
      <c r="K8683" s="38" t="n">
        <f aca="false">Sens!$J$8683*(1+Sens!$K$8684)</f>
        <v>8.44689041200128</v>
      </c>
      <c r="L8683" s="38" t="n">
        <f aca="false">Sens!$K$8683*(1+Sens!$L$8684)</f>
        <v>8.86923493260135</v>
      </c>
      <c r="M8683" s="38" t="n">
        <f aca="false">Sens!$L$8683*(1+Sens!$M$8684)</f>
        <v>9.31269667923142</v>
      </c>
      <c r="N8683" s="38" t="n">
        <f aca="false">Q!$N$15</f>
        <v>2.811</v>
      </c>
      <c r="O8683" s="38" t="n">
        <f aca="false">Q!$O$15</f>
        <v>3.124</v>
      </c>
      <c r="P8683" s="8" t="s">
        <v>678</v>
      </c>
    </row>
    <row r="8684" customFormat="false" ht="17.15" hidden="false" customHeight="false" outlineLevel="0" collapsed="false">
      <c r="A8684" s="0" t="s">
        <v>689</v>
      </c>
      <c r="B8684" s="0" t="s">
        <v>52</v>
      </c>
      <c r="E8684" s="13" t="n">
        <f aca="false">Sens!$E$8683/Sens!$N$8683-1</f>
        <v>0.235859124866596</v>
      </c>
      <c r="F8684" s="13" t="n">
        <f aca="false">Sens!$O$8683/(Q!$F$15+Q!$G$15)-1</f>
        <v>0.0761281433000345</v>
      </c>
      <c r="G8684" s="13" t="n">
        <f aca="false">Sens!$G$8683/Sens!$D$8683-1</f>
        <v>0.128300843948811</v>
      </c>
      <c r="H8684" s="13" t="n">
        <f aca="false">Sens!$F$8684+(g_ot-Sens!$F$8684)*1/4</f>
        <v>0.0695961074750259</v>
      </c>
      <c r="I8684" s="13" t="n">
        <f aca="false">Sens!$F$8684+(g_ot-Sens!$F$8684)*2/4</f>
        <v>0.0630640716500172</v>
      </c>
      <c r="J8684" s="13" t="n">
        <f aca="false">Sens!$F$8684+(g_ot-Sens!$F$8684)*3/4</f>
        <v>0.0565320358250086</v>
      </c>
      <c r="K8684" s="13" t="n">
        <f aca="false">Sens!$F$8684+(g_ot-Sens!$F$8684)*4/4</f>
        <v>0.05</v>
      </c>
      <c r="L8684" s="13" t="n">
        <f aca="false">g_ot</f>
        <v>0.05</v>
      </c>
      <c r="M8684" s="13" t="n">
        <f aca="false">g_ot</f>
        <v>0.05</v>
      </c>
      <c r="P8684" s="8" t="s">
        <v>690</v>
      </c>
    </row>
    <row r="8685" customFormat="false" ht="17.15" hidden="false" customHeight="false" outlineLevel="0" collapsed="false">
      <c r="A8685" s="0" t="s">
        <v>691</v>
      </c>
      <c r="B8685" s="0" t="s">
        <v>57</v>
      </c>
      <c r="F8685" s="40" t="n">
        <f aca="false">(g26q3_mid*Q!$O$8/Q!$J$8-Thesis!$F$89-Thesis!$F$93)/(Sens!$O$8673*(1+Sens!$F$8674)+Sens!$O$8675*(1+Sens!$F$8676)+Sens!$O$8677*(1+Sens!$F$8678)+Sens!$O$8679*(1+Sens!$F$8680)+Sens!$O$8681*(1+Sens!$F$8682)+Sens!$O$8683*(1+Sens!$F$8684))</f>
        <v>0.958546670622329</v>
      </c>
      <c r="P8685" s="8" t="s">
        <v>692</v>
      </c>
    </row>
    <row r="8686" customFormat="false" ht="17.15" hidden="false" customHeight="false" outlineLevel="0" collapsed="false">
      <c r="A8686" s="3" t="s">
        <v>693</v>
      </c>
      <c r="B8686" s="8" t="s">
        <v>86</v>
      </c>
      <c r="C8686" s="38" t="n">
        <f aca="false">Sens!$C$8673+Sens!$C$8675+Sens!$C$8677+Sens!$C$8679+Sens!$C$8681+Sens!$C$8683</f>
        <v>530.403</v>
      </c>
      <c r="D8686" s="38" t="n">
        <f aca="false">Sens!$D$8673+Sens!$D$8675+Sens!$D$8677+Sens!$D$8679+Sens!$D$8681+Sens!$D$8683</f>
        <v>588.199</v>
      </c>
      <c r="E8686" s="38" t="n">
        <f aca="false">Sens!$E$8673+Sens!$E$8675+Sens!$E$8677+Sens!$E$8679+Sens!$E$8681+Sens!$E$8683</f>
        <v>302.306</v>
      </c>
      <c r="F8686" s="38" t="n">
        <f aca="false">Sens!$F$8673+Sens!$F$8675+Sens!$F$8677+Sens!$F$8679+Sens!$F$8681+Sens!$F$8683</f>
        <v>349.048241645537</v>
      </c>
      <c r="G8686" s="38" t="n">
        <f aca="false">Sens!$G$8673+Sens!$G$8675+Sens!$G$8677+Sens!$G$8679+Sens!$G$8681+Sens!$G$8683</f>
        <v>651.354241645537</v>
      </c>
      <c r="H8686" s="38" t="n">
        <f aca="false">Sens!$H$8673+Sens!$H$8675+Sens!$H$8677+Sens!$H$8679+Sens!$H$8681+Sens!$H$8683</f>
        <v>721.096889521386</v>
      </c>
      <c r="I8686" s="38" t="n">
        <f aca="false">Sens!$I$8673+Sens!$I$8675+Sens!$I$8677+Sens!$I$8679+Sens!$I$8681+Sens!$I$8683</f>
        <v>788.529391152531</v>
      </c>
      <c r="J8686" s="38" t="n">
        <f aca="false">Sens!$J$8673+Sens!$J$8675+Sens!$J$8677+Sens!$J$8679+Sens!$J$8681+Sens!$J$8683</f>
        <v>851.108405741443</v>
      </c>
      <c r="K8686" s="38" t="n">
        <f aca="false">Sens!$K$8673+Sens!$K$8675+Sens!$K$8677+Sens!$K$8679+Sens!$K$8681+Sens!$K$8683</f>
        <v>906.176455431088</v>
      </c>
      <c r="L8686" s="38" t="n">
        <f aca="false">Sens!$L$8673+Sens!$L$8675+Sens!$L$8677+Sens!$L$8679+Sens!$L$8681+Sens!$L$8683</f>
        <v>965.093106475589</v>
      </c>
      <c r="M8686" s="38" t="n">
        <f aca="false">Sens!$M$8673+Sens!$M$8675+Sens!$M$8677+Sens!$M$8679+Sens!$M$8681+Sens!$M$8683</f>
        <v>1028.14790794689</v>
      </c>
      <c r="N8686" s="38" t="n">
        <f aca="false">Sens!$N$8673+Sens!$N$8675+Sens!$N$8677+Sens!$N$8679+Sens!$N$8681+Sens!$N$8683</f>
        <v>263.229</v>
      </c>
      <c r="O8686" s="38" t="n">
        <f aca="false">Sens!$O$8673+Sens!$O$8675+Sens!$O$8677+Sens!$O$8679+Sens!$O$8681+Sens!$O$8683</f>
        <v>324.97</v>
      </c>
    </row>
    <row r="8687" customFormat="false" ht="17.15" hidden="false" customHeight="false" outlineLevel="0" collapsed="false">
      <c r="A8687" s="5" t="s">
        <v>694</v>
      </c>
      <c r="B8687" s="0" t="s">
        <v>52</v>
      </c>
      <c r="C8687" s="13" t="n">
        <f aca="false">Q!$D$5/(Q!$D$5+Q!$D$6)</f>
        <v>0.730570905519011</v>
      </c>
      <c r="D8687" s="13" t="n">
        <f aca="false">Q!$E$5/(Q!$E$5+Q!$E$6)</f>
        <v>0.724763217890544</v>
      </c>
      <c r="E8687" s="13" t="n">
        <f aca="false">Q!$P$5/(Q!$P$5+Q!$P$6)</f>
        <v>0.728797972914861</v>
      </c>
      <c r="F8687" s="13" t="n">
        <f aca="false">Sens!$O$8687</f>
        <v>0.718066283041511</v>
      </c>
      <c r="G8687" s="13" t="n">
        <f aca="false">Sens!$G$8688/Sens!$G$8686</f>
        <v>0.723047066202847</v>
      </c>
      <c r="H8687" s="13" t="n">
        <f aca="false">Sens!$G$8687</f>
        <v>0.723047066202847</v>
      </c>
      <c r="I8687" s="13" t="n">
        <f aca="false">Sens!$G$8687</f>
        <v>0.723047066202847</v>
      </c>
      <c r="J8687" s="13" t="n">
        <f aca="false">Sens!$G$8687</f>
        <v>0.723047066202847</v>
      </c>
      <c r="K8687" s="13" t="n">
        <f aca="false">Sens!$G$8687</f>
        <v>0.723047066202847</v>
      </c>
      <c r="L8687" s="13" t="n">
        <f aca="false">Sens!$G$8687</f>
        <v>0.723047066202847</v>
      </c>
      <c r="M8687" s="13" t="n">
        <f aca="false">Sens!$G$8687</f>
        <v>0.723047066202847</v>
      </c>
      <c r="N8687" s="13" t="n">
        <f aca="false">Q!$N$5/(Q!$N$5+Q!$N$6)</f>
        <v>0.733030935041352</v>
      </c>
      <c r="O8687" s="13" t="n">
        <f aca="false">Q!$O$5/(Q!$O$5+Q!$O$6)</f>
        <v>0.718066283041511</v>
      </c>
      <c r="P8687" s="8" t="s">
        <v>695</v>
      </c>
    </row>
    <row r="8688" customFormat="false" ht="17.15" hidden="false" customHeight="false" outlineLevel="0" collapsed="false">
      <c r="A8688" s="1" t="s">
        <v>519</v>
      </c>
      <c r="B8688" s="8" t="s">
        <v>86</v>
      </c>
      <c r="C8688" s="38" t="n">
        <f aca="false">Q!$D$5</f>
        <v>387.497</v>
      </c>
      <c r="D8688" s="38" t="n">
        <f aca="false">Q!$E$5</f>
        <v>426.305</v>
      </c>
      <c r="E8688" s="38" t="n">
        <f aca="false">Q!$P$5</f>
        <v>220.32</v>
      </c>
      <c r="F8688" s="38" t="n">
        <f aca="false">Sens!$F$8686*Sens!$F$8687</f>
        <v>250.639773480586</v>
      </c>
      <c r="G8688" s="38" t="n">
        <f aca="false">Sens!$E$8688+Sens!$F$8688</f>
        <v>470.959773480586</v>
      </c>
      <c r="H8688" s="38" t="n">
        <f aca="false">Sens!$H$8686*Sens!$H$8687</f>
        <v>521.386990416437</v>
      </c>
      <c r="I8688" s="38" t="n">
        <f aca="false">Sens!$I$8686*Sens!$I$8687</f>
        <v>570.143862887555</v>
      </c>
      <c r="J8688" s="38" t="n">
        <f aca="false">Sens!$J$8686*Sens!$J$8687</f>
        <v>615.391435791933</v>
      </c>
      <c r="K8688" s="38" t="n">
        <f aca="false">Sens!$K$8686*Sens!$K$8687</f>
        <v>655.208227561543</v>
      </c>
      <c r="L8688" s="38" t="n">
        <f aca="false">Sens!$L$8686*Sens!$L$8687</f>
        <v>697.807739249767</v>
      </c>
      <c r="M8688" s="38" t="n">
        <f aca="false">Sens!$M$8686*Sens!$M$8687</f>
        <v>743.399328463592</v>
      </c>
      <c r="N8688" s="38" t="n">
        <f aca="false">Q!$N$5</f>
        <v>192.955</v>
      </c>
      <c r="O8688" s="38" t="n">
        <f aca="false">Q!$O$5</f>
        <v>233.35</v>
      </c>
      <c r="P8688" s="5" t="s">
        <v>696</v>
      </c>
    </row>
    <row r="8689" customFormat="false" ht="17.15" hidden="false" customHeight="false" outlineLevel="0" collapsed="false">
      <c r="A8689" s="1" t="s">
        <v>522</v>
      </c>
      <c r="B8689" s="8" t="s">
        <v>86</v>
      </c>
      <c r="C8689" s="38" t="n">
        <f aca="false">Q!$D$6</f>
        <v>142.906</v>
      </c>
      <c r="D8689" s="38" t="n">
        <f aca="false">Q!$E$6</f>
        <v>161.894</v>
      </c>
      <c r="E8689" s="38" t="n">
        <f aca="false">Q!$P$6</f>
        <v>81.986</v>
      </c>
      <c r="F8689" s="38" t="n">
        <f aca="false">Sens!$F$8686*(1-Sens!$F$8687)</f>
        <v>98.408468164951</v>
      </c>
      <c r="G8689" s="38" t="n">
        <f aca="false">Sens!$E$8689+Sens!$F$8689</f>
        <v>180.394468164951</v>
      </c>
      <c r="H8689" s="38" t="n">
        <f aca="false">Sens!$H$8686*(1-Sens!$H$8687)</f>
        <v>199.709899104949</v>
      </c>
      <c r="I8689" s="38" t="n">
        <f aca="false">Sens!$I$8686*(1-Sens!$I$8687)</f>
        <v>218.385528264976</v>
      </c>
      <c r="J8689" s="38" t="n">
        <f aca="false">Sens!$J$8686*(1-Sens!$J$8687)</f>
        <v>235.71696994951</v>
      </c>
      <c r="K8689" s="38" t="n">
        <f aca="false">Sens!$K$8686*(1-Sens!$K$8687)</f>
        <v>250.968227869545</v>
      </c>
      <c r="L8689" s="38" t="n">
        <f aca="false">Sens!$L$8686*(1-Sens!$L$8687)</f>
        <v>267.285367225822</v>
      </c>
      <c r="M8689" s="38" t="n">
        <f aca="false">Sens!$M$8686*(1-Sens!$M$8687)</f>
        <v>284.748579483295</v>
      </c>
      <c r="N8689" s="38" t="n">
        <f aca="false">Q!$N$6</f>
        <v>70.274</v>
      </c>
      <c r="O8689" s="38" t="n">
        <f aca="false">Q!$O$6</f>
        <v>91.62</v>
      </c>
      <c r="P8689" s="5" t="s">
        <v>697</v>
      </c>
    </row>
    <row r="8690" customFormat="false" ht="17.15" hidden="false" customHeight="false" outlineLevel="0" collapsed="false">
      <c r="A8690" s="5" t="s">
        <v>698</v>
      </c>
      <c r="B8690" s="0" t="s">
        <v>86</v>
      </c>
      <c r="C8690" s="38" t="n">
        <f aca="false">Sens!$C$8679*Sens!$C$8687</f>
        <v>41.0683128828457</v>
      </c>
      <c r="D8690" s="38" t="n">
        <f aca="false">Sens!$D$8679*Sens!$D$8687</f>
        <v>49.7441234599175</v>
      </c>
      <c r="E8690" s="38" t="n">
        <f aca="false">Sens!$E$8679*Sens!$E$8687</f>
        <v>27.0034224924414</v>
      </c>
      <c r="F8690" s="38" t="n">
        <f aca="false">Sens!$F$8679*Sens!$F$8687</f>
        <v>33.1439448330513</v>
      </c>
      <c r="G8690" s="38" t="n">
        <f aca="false">Sens!$G$8679*Sens!$G$8687</f>
        <v>60.164183844083</v>
      </c>
      <c r="H8690" s="38" t="n">
        <f aca="false">Sens!$H$8679*Sens!$H$8687</f>
        <v>72.2301766552629</v>
      </c>
      <c r="I8690" s="38" t="n">
        <f aca="false">Sens!$I$8679*Sens!$I$8687</f>
        <v>84.2950764463991</v>
      </c>
      <c r="J8690" s="38" t="n">
        <f aca="false">Sens!$J$8679*Sens!$J$8687</f>
        <v>95.5499047729386</v>
      </c>
      <c r="K8690" s="38" t="n">
        <f aca="false">Sens!$K$8679*Sens!$K$8687</f>
        <v>105.104895250232</v>
      </c>
      <c r="L8690" s="38" t="n">
        <f aca="false">Sens!$L$8679*Sens!$L$8687</f>
        <v>115.615384775256</v>
      </c>
      <c r="M8690" s="38" t="n">
        <f aca="false">Sens!$M$8679*Sens!$M$8687</f>
        <v>127.176923252781</v>
      </c>
      <c r="N8690" s="38" t="n">
        <f aca="false">Sens!$N$8679*Sens!$N$8687</f>
        <v>21.7087111412496</v>
      </c>
      <c r="O8690" s="38" t="n">
        <f aca="false">Sens!$O$8679*Sens!$O$8687</f>
        <v>28.0189463642798</v>
      </c>
      <c r="P8690" s="5" t="s">
        <v>699</v>
      </c>
    </row>
    <row r="8691" customFormat="false" ht="15" hidden="false" customHeight="false" outlineLevel="0" collapsed="false">
      <c r="A8691" s="5" t="s">
        <v>700</v>
      </c>
      <c r="B8691" s="0" t="s">
        <v>86</v>
      </c>
      <c r="C8691" s="38" t="n">
        <f aca="false">Sens!$C$8679-Sens!$C$8690</f>
        <v>15.1456871171543</v>
      </c>
      <c r="D8691" s="38" t="n">
        <f aca="false">Sens!$D$8679-Sens!$D$8690</f>
        <v>18.8908765400825</v>
      </c>
      <c r="E8691" s="38" t="n">
        <f aca="false">Sens!$E$8679-Sens!$E$8690</f>
        <v>10.0485775075586</v>
      </c>
      <c r="F8691" s="38" t="n">
        <f aca="false">Sens!$F$8679-Sens!$F$8690</f>
        <v>13.0132771613635</v>
      </c>
      <c r="G8691" s="38" t="n">
        <f aca="false">Sens!$G$8679-Sens!$G$8690</f>
        <v>23.0450381503318</v>
      </c>
      <c r="H8691" s="38" t="n">
        <f aca="false">Sens!$H$8679-Sens!$H$8690</f>
        <v>27.6667457326347</v>
      </c>
      <c r="I8691" s="38" t="n">
        <f aca="false">Sens!$I$8679-Sens!$I$8690</f>
        <v>32.2880346490971</v>
      </c>
      <c r="J8691" s="38" t="n">
        <f aca="false">Sens!$J$8679-Sens!$J$8690</f>
        <v>36.5990371690132</v>
      </c>
      <c r="K8691" s="38" t="n">
        <f aca="false">Sens!$K$8679-Sens!$K$8690</f>
        <v>40.2589408859145</v>
      </c>
      <c r="L8691" s="38" t="n">
        <f aca="false">Sens!$L$8679-Sens!$L$8690</f>
        <v>44.2848349745059</v>
      </c>
      <c r="M8691" s="38" t="n">
        <f aca="false">Sens!$M$8679-Sens!$M$8690</f>
        <v>48.7133184719565</v>
      </c>
      <c r="N8691" s="38" t="n">
        <f aca="false">Sens!$N$8679-Sens!$N$8690</f>
        <v>7.90628885875037</v>
      </c>
      <c r="O8691" s="38" t="n">
        <f aca="false">Sens!$O$8679-Sens!$O$8690</f>
        <v>11.0010536357202</v>
      </c>
    </row>
    <row r="8692" customFormat="false" ht="19.4" hidden="false" customHeight="false" outlineLevel="0" collapsed="false">
      <c r="A8692" s="31" t="s">
        <v>1328</v>
      </c>
    </row>
    <row r="8693" customFormat="false" ht="17.15" hidden="false" customHeight="false" outlineLevel="0" collapsed="false">
      <c r="A8693" s="6" t="s">
        <v>16</v>
      </c>
      <c r="B8693" s="6" t="s">
        <v>17</v>
      </c>
      <c r="C8693" s="20" t="s">
        <v>504</v>
      </c>
      <c r="D8693" s="20" t="s">
        <v>505</v>
      </c>
      <c r="E8693" s="20" t="s">
        <v>587</v>
      </c>
      <c r="F8693" s="20" t="s">
        <v>588</v>
      </c>
      <c r="G8693" s="20" t="s">
        <v>589</v>
      </c>
      <c r="H8693" s="20" t="s">
        <v>590</v>
      </c>
      <c r="I8693" s="20" t="s">
        <v>591</v>
      </c>
      <c r="J8693" s="20" t="s">
        <v>592</v>
      </c>
      <c r="K8693" s="20" t="s">
        <v>593</v>
      </c>
      <c r="L8693" s="20" t="s">
        <v>594</v>
      </c>
      <c r="M8693" s="20" t="s">
        <v>595</v>
      </c>
      <c r="N8693" s="20" t="s">
        <v>596</v>
      </c>
      <c r="O8693" s="20" t="s">
        <v>597</v>
      </c>
      <c r="P8693" s="6" t="s">
        <v>23</v>
      </c>
      <c r="R8693" s="20" t="n">
        <v>2023</v>
      </c>
      <c r="S8693" s="20" t="n">
        <v>2024</v>
      </c>
      <c r="T8693" s="20" t="n">
        <v>2025</v>
      </c>
      <c r="U8693" s="20" t="n">
        <v>2026</v>
      </c>
      <c r="V8693" s="20" t="n">
        <v>2027</v>
      </c>
      <c r="W8693" s="20" t="n">
        <v>2028</v>
      </c>
      <c r="X8693" s="20" t="n">
        <v>2029</v>
      </c>
      <c r="Y8693" s="20" t="n">
        <v>2030</v>
      </c>
      <c r="Z8693" s="20" t="n">
        <v>2031</v>
      </c>
      <c r="AA8693" s="20" t="n">
        <v>2032</v>
      </c>
    </row>
    <row r="8694" customFormat="false" ht="17.15" hidden="false" customHeight="false" outlineLevel="0" collapsed="false">
      <c r="A8694" s="1" t="s">
        <v>598</v>
      </c>
    </row>
    <row r="8695" customFormat="false" ht="17.15" hidden="false" customHeight="false" outlineLevel="0" collapsed="false">
      <c r="A8695" s="5" t="s">
        <v>599</v>
      </c>
      <c r="B8695" s="0" t="s">
        <v>144</v>
      </c>
      <c r="H8695" s="32" t="n">
        <f aca="false">pace_B</f>
        <v>3634.3</v>
      </c>
      <c r="I8695" s="32" t="n">
        <f aca="false">pace_B</f>
        <v>3634.3</v>
      </c>
      <c r="J8695" s="32" t="n">
        <f aca="false">pace_B</f>
        <v>3634.3</v>
      </c>
      <c r="K8695" s="32" t="n">
        <f aca="false">pace_B+(Sens!$J$8696*tg_lo-pace_B)*1/3</f>
        <v>2521.53366666667</v>
      </c>
      <c r="L8695" s="32" t="n">
        <f aca="false">pace_B+(Sens!$J$8696*tg_lo-pace_B)*2/3</f>
        <v>1408.76733333333</v>
      </c>
      <c r="M8695" s="32" t="n">
        <f aca="false">pace_B+(Sens!$J$8696*tg_lo-pace_B)*3/3</f>
        <v>296.001</v>
      </c>
      <c r="P8695" s="5" t="s">
        <v>600</v>
      </c>
    </row>
    <row r="8696" customFormat="false" ht="17.15" hidden="false" customHeight="false" outlineLevel="0" collapsed="false">
      <c r="A8696" s="15" t="s">
        <v>601</v>
      </c>
      <c r="B8696" s="14" t="s">
        <v>129</v>
      </c>
      <c r="C8696" s="33" t="n">
        <f aca="false">mw_ye24</f>
        <v>360</v>
      </c>
      <c r="D8696" s="33" t="n">
        <f aca="false">mw_ye25</f>
        <v>1440</v>
      </c>
      <c r="E8696" s="33" t="n">
        <f aca="false">mw_open</f>
        <v>2080</v>
      </c>
      <c r="F8696" s="33" t="n">
        <f aca="false">Sens!$E$8696+pace_B*0.5</f>
        <v>3897.15</v>
      </c>
      <c r="G8696" s="33" t="n">
        <f aca="false">Sens!$F$8696</f>
        <v>3897.15</v>
      </c>
      <c r="H8696" s="33" t="n">
        <f aca="false">Sens!$G$8696+Sens!$H$8695</f>
        <v>7531.45</v>
      </c>
      <c r="I8696" s="33" t="n">
        <f aca="false">Sens!$H$8696+Sens!$I$8695</f>
        <v>11165.75</v>
      </c>
      <c r="J8696" s="33" t="n">
        <f aca="false">Sens!$I$8696+Sens!$J$8695</f>
        <v>14800.05</v>
      </c>
      <c r="K8696" s="33" t="n">
        <f aca="false">Sens!$J$8696+Sens!$K$8695</f>
        <v>17321.5836666667</v>
      </c>
      <c r="L8696" s="33" t="n">
        <f aca="false">Sens!$K$8696+Sens!$L$8695</f>
        <v>18730.351</v>
      </c>
      <c r="M8696" s="33" t="n">
        <f aca="false">Sens!$L$8696+Sens!$M$8695</f>
        <v>19026.352</v>
      </c>
      <c r="N8696" s="33" t="n">
        <f aca="false">(mw_ye24+mw_ye25)/2</f>
        <v>900</v>
      </c>
      <c r="O8696" s="33" t="n">
        <f aca="false">mw_ye25</f>
        <v>1440</v>
      </c>
      <c r="P8696" s="5" t="s">
        <v>602</v>
      </c>
    </row>
    <row r="8697" customFormat="false" ht="17.15" hidden="false" customHeight="false" outlineLevel="0" collapsed="false">
      <c r="A8697" s="5" t="s">
        <v>603</v>
      </c>
      <c r="B8697" s="0" t="s">
        <v>129</v>
      </c>
      <c r="C8697" s="32" t="n">
        <f aca="false">(mw_ye23+mw_ye24)/2</f>
        <v>240</v>
      </c>
      <c r="D8697" s="32" t="n">
        <f aca="false">(Sens!$C$8696+Sens!$D$8696)/2</f>
        <v>900</v>
      </c>
      <c r="E8697" s="32" t="n">
        <f aca="false">(Sens!$D$8696+Sens!$E$8696)/2</f>
        <v>1760</v>
      </c>
      <c r="F8697" s="32" t="n">
        <f aca="false">(Sens!$E$8696+Sens!$F$8696)/2</f>
        <v>2988.575</v>
      </c>
      <c r="G8697" s="32" t="n">
        <f aca="false">(Sens!$E$8697+Sens!$F$8697)/2</f>
        <v>2374.2875</v>
      </c>
      <c r="H8697" s="32" t="n">
        <f aca="false">(Sens!$G$8696+Sens!$H$8696)/2</f>
        <v>5714.3</v>
      </c>
      <c r="I8697" s="32" t="n">
        <f aca="false">(Sens!$H$8696+Sens!$I$8696)/2</f>
        <v>9348.6</v>
      </c>
      <c r="J8697" s="32" t="n">
        <f aca="false">(Sens!$I$8696+Sens!$J$8696)/2</f>
        <v>12982.9</v>
      </c>
      <c r="K8697" s="32" t="n">
        <f aca="false">(Sens!$J$8696+Sens!$K$8696)/2</f>
        <v>16060.8168333333</v>
      </c>
      <c r="L8697" s="32" t="n">
        <f aca="false">(Sens!$K$8696+Sens!$L$8696)/2</f>
        <v>18025.9673333333</v>
      </c>
      <c r="M8697" s="32" t="n">
        <f aca="false">(Sens!$L$8696+Sens!$M$8696)/2</f>
        <v>18878.3515</v>
      </c>
      <c r="N8697" s="32" t="n">
        <f aca="false">(Sens!$C$8696+Sens!$N$8696)/2</f>
        <v>630</v>
      </c>
      <c r="O8697" s="32" t="n">
        <f aca="false">(Sens!$N$8696+Sens!$O$8696)/2</f>
        <v>1170</v>
      </c>
    </row>
    <row r="8698" customFormat="false" ht="15" hidden="false" customHeight="false" outlineLevel="0" collapsed="false">
      <c r="A8698" s="5" t="s">
        <v>604</v>
      </c>
      <c r="B8698" s="5" t="s">
        <v>123</v>
      </c>
      <c r="C8698" s="34" t="n">
        <v>1</v>
      </c>
      <c r="D8698" s="34" t="n">
        <v>1</v>
      </c>
      <c r="E8698" s="34" t="n">
        <v>0.5</v>
      </c>
      <c r="F8698" s="34" t="n">
        <v>0.5</v>
      </c>
      <c r="G8698" s="34" t="n">
        <v>1</v>
      </c>
      <c r="H8698" s="34" t="n">
        <v>1</v>
      </c>
      <c r="I8698" s="34" t="n">
        <v>1</v>
      </c>
      <c r="J8698" s="34" t="n">
        <v>1</v>
      </c>
      <c r="K8698" s="34" t="n">
        <v>1</v>
      </c>
      <c r="L8698" s="34" t="n">
        <v>1</v>
      </c>
      <c r="M8698" s="34" t="n">
        <v>1</v>
      </c>
      <c r="N8698" s="34" t="n">
        <v>0.5</v>
      </c>
      <c r="O8698" s="34" t="n">
        <v>0.5</v>
      </c>
    </row>
    <row r="8699" customFormat="false" ht="17.15" hidden="false" customHeight="false" outlineLevel="0" collapsed="false">
      <c r="A8699" s="5" t="s">
        <v>605</v>
      </c>
      <c r="B8699" s="0" t="s">
        <v>129</v>
      </c>
      <c r="C8699" s="32" t="n">
        <f aca="false">Sens!$C$8696-mw_ye23</f>
        <v>240</v>
      </c>
      <c r="D8699" s="32" t="n">
        <f aca="false">Sens!$D$8696-Sens!$C$8696</f>
        <v>1080</v>
      </c>
      <c r="E8699" s="32" t="n">
        <f aca="false">Sens!$E$8696-Sens!$D$8696</f>
        <v>640</v>
      </c>
      <c r="F8699" s="32" t="n">
        <f aca="false">Sens!$F$8696-Sens!$E$8696</f>
        <v>1817.15</v>
      </c>
      <c r="G8699" s="32" t="n">
        <f aca="false">Sens!$E$8699+Sens!$F$8699</f>
        <v>2457.15</v>
      </c>
      <c r="H8699" s="32" t="n">
        <f aca="false">Sens!$H$8696-Sens!$G$8696</f>
        <v>3634.3</v>
      </c>
      <c r="I8699" s="32" t="n">
        <f aca="false">Sens!$I$8696-Sens!$H$8696</f>
        <v>3634.3</v>
      </c>
      <c r="J8699" s="32" t="n">
        <f aca="false">Sens!$J$8696-Sens!$I$8696</f>
        <v>3634.3</v>
      </c>
      <c r="K8699" s="32" t="n">
        <f aca="false">Sens!$K$8696-Sens!$J$8696</f>
        <v>2521.53366666667</v>
      </c>
      <c r="L8699" s="32" t="n">
        <f aca="false">Sens!$L$8696-Sens!$K$8696</f>
        <v>1408.76733333333</v>
      </c>
      <c r="M8699" s="32" t="n">
        <f aca="false">Sens!$M$8696-Sens!$L$8696</f>
        <v>296.001</v>
      </c>
      <c r="N8699" s="32" t="n">
        <f aca="false">Sens!$N$8696-Sens!$C$8696</f>
        <v>540</v>
      </c>
      <c r="O8699" s="32" t="n">
        <f aca="false">Sens!$O$8696-Sens!$N$8696</f>
        <v>540</v>
      </c>
    </row>
    <row r="8700" customFormat="false" ht="17.15" hidden="false" customHeight="false" outlineLevel="0" collapsed="false">
      <c r="A8700" s="5" t="s">
        <v>606</v>
      </c>
      <c r="B8700" s="0" t="s">
        <v>129</v>
      </c>
      <c r="C8700" s="32" t="n">
        <f aca="false">Sens!$C$8699/ext_sh</f>
        <v>300</v>
      </c>
      <c r="D8700" s="32" t="n">
        <f aca="false">Sens!$D$8699/ext_sh</f>
        <v>1350</v>
      </c>
      <c r="E8700" s="32" t="n">
        <f aca="false">Sens!$E$8699/ext_sh</f>
        <v>800</v>
      </c>
      <c r="F8700" s="32" t="n">
        <f aca="false">Sens!$F$8699/ext_sh</f>
        <v>2271.4375</v>
      </c>
      <c r="G8700" s="32" t="n">
        <f aca="false">Sens!$G$8699/ext_sh</f>
        <v>3071.4375</v>
      </c>
      <c r="H8700" s="32" t="n">
        <f aca="false">Sens!$H$8699/ext_sh</f>
        <v>4542.875</v>
      </c>
      <c r="I8700" s="32" t="n">
        <f aca="false">Sens!$I$8699/ext_sh</f>
        <v>4542.875</v>
      </c>
      <c r="J8700" s="32" t="n">
        <f aca="false">Sens!$J$8699/ext_sh</f>
        <v>4542.875</v>
      </c>
      <c r="K8700" s="32" t="n">
        <f aca="false">Sens!$K$8699/ext_sh</f>
        <v>3151.91708333333</v>
      </c>
      <c r="L8700" s="32" t="n">
        <f aca="false">Sens!$L$8699/ext_sh</f>
        <v>1760.95916666667</v>
      </c>
      <c r="M8700" s="32" t="n">
        <f aca="false">Sens!$M$8699/ext_sh</f>
        <v>370.00125</v>
      </c>
      <c r="N8700" s="32" t="n">
        <f aca="false">Sens!$N$8699/ext_sh</f>
        <v>675</v>
      </c>
      <c r="O8700" s="32" t="n">
        <f aca="false">Sens!$O$8699/ext_sh</f>
        <v>675</v>
      </c>
      <c r="P8700" s="8" t="s">
        <v>607</v>
      </c>
      <c r="R8700" s="32" t="n">
        <f aca="false">mw_ye23/ext_sh</f>
        <v>150</v>
      </c>
      <c r="S8700" s="32" t="n">
        <f aca="false">Sens!$C$8700</f>
        <v>300</v>
      </c>
      <c r="T8700" s="32" t="n">
        <f aca="false">Sens!$D$8700</f>
        <v>1350</v>
      </c>
      <c r="U8700" s="32" t="n">
        <f aca="false">Sens!$G$8700</f>
        <v>3071.4375</v>
      </c>
      <c r="V8700" s="32" t="n">
        <f aca="false">Sens!$H$8700</f>
        <v>4542.875</v>
      </c>
      <c r="W8700" s="32" t="n">
        <f aca="false">Sens!$I$8700</f>
        <v>4542.875</v>
      </c>
      <c r="X8700" s="32" t="n">
        <f aca="false">Sens!$J$8700</f>
        <v>4542.875</v>
      </c>
      <c r="Y8700" s="32" t="n">
        <f aca="false">Sens!$K$8700</f>
        <v>3151.91708333333</v>
      </c>
      <c r="Z8700" s="32" t="n">
        <f aca="false">Sens!$L$8700</f>
        <v>1760.95916666667</v>
      </c>
      <c r="AA8700" s="32" t="n">
        <f aca="false">Sens!$M$8700</f>
        <v>370.00125</v>
      </c>
    </row>
    <row r="8701" customFormat="false" ht="17.15" hidden="false" customHeight="false" outlineLevel="0" collapsed="false">
      <c r="A8701" s="1" t="s">
        <v>608</v>
      </c>
    </row>
    <row r="8702" customFormat="false" ht="17.15" hidden="false" customHeight="false" outlineLevel="0" collapsed="false">
      <c r="A8702" s="0" t="s">
        <v>609</v>
      </c>
      <c r="B8702" s="0" t="s">
        <v>52</v>
      </c>
      <c r="F8702" s="35" t="n">
        <f aca="false">na_vr26</f>
        <v>0</v>
      </c>
      <c r="G8702" s="35" t="n">
        <f aca="false">na_vr26</f>
        <v>0</v>
      </c>
      <c r="H8702" s="35" t="n">
        <f aca="false">na_vr27</f>
        <v>0.5</v>
      </c>
      <c r="I8702" s="35" t="n">
        <f aca="false">na_vr28</f>
        <v>1</v>
      </c>
      <c r="J8702" s="35" t="n">
        <f aca="false">na_vr28</f>
        <v>1</v>
      </c>
      <c r="K8702" s="35" t="n">
        <f aca="false">na_vr28</f>
        <v>1</v>
      </c>
      <c r="L8702" s="35" t="n">
        <f aca="false">na_vr28</f>
        <v>1</v>
      </c>
      <c r="M8702" s="35" t="n">
        <f aca="false">na_vr28</f>
        <v>1</v>
      </c>
    </row>
    <row r="8703" customFormat="false" ht="17.15" hidden="false" customHeight="false" outlineLevel="0" collapsed="false">
      <c r="A8703" s="5" t="s">
        <v>610</v>
      </c>
      <c r="B8703" s="0" t="s">
        <v>173</v>
      </c>
      <c r="F8703" s="36" t="n">
        <f aca="false">cust_sh*tk_he_gb300*cf_chip+(1-cust_sh)*((1-Sens!$F$8702)*tk_he_gb300+Sens!$F$8702*tk_he_vr200)</f>
        <v>10.8864110021101</v>
      </c>
      <c r="G8703" s="36" t="n">
        <f aca="false">cust_sh*tk_he_gb300*cf_chip+(1-cust_sh)*((1-Sens!$G$8702)*tk_he_gb300+Sens!$G$8702*tk_he_vr200)</f>
        <v>10.8864110021101</v>
      </c>
      <c r="H8703" s="36" t="n">
        <f aca="false">cust_sh*tk_he_gb300*cf_chip+(1-cust_sh)*((1-Sens!$H$8702)*tk_he_gb300+Sens!$H$8702*tk_he_vr200)</f>
        <v>11.2211760027286</v>
      </c>
      <c r="I8703" s="36" t="n">
        <f aca="false">cust_sh*tk_he_gb300*cf_chip+(1-cust_sh)*((1-Sens!$I$8702)*tk_he_gb300+Sens!$I$8702*tk_he_vr200)</f>
        <v>11.5559410033471</v>
      </c>
      <c r="J8703" s="36" t="n">
        <f aca="false">cust_sh*tk_he_gb300*cf_chip+(1-cust_sh)*((1-Sens!$J$8702)*tk_he_gb300+Sens!$J$8702*tk_he_vr200)</f>
        <v>11.5559410033471</v>
      </c>
      <c r="K8703" s="36" t="n">
        <f aca="false">cust_sh*tk_he_gb300*cf_chip+(1-cust_sh)*((1-Sens!$K$8702)*tk_he_gb300+Sens!$K$8702*tk_he_vr200)</f>
        <v>11.5559410033471</v>
      </c>
      <c r="L8703" s="36" t="n">
        <f aca="false">cust_sh*tk_he_gb300*cf_chip+(1-cust_sh)*((1-Sens!$L$8702)*tk_he_gb300+Sens!$L$8702*tk_he_vr200)</f>
        <v>11.5559410033471</v>
      </c>
      <c r="M8703" s="36" t="n">
        <f aca="false">cust_sh*tk_he_gb300*cf_chip+(1-cust_sh)*((1-Sens!$M$8702)*tk_he_gb300+Sens!$M$8702*tk_he_vr200)</f>
        <v>11.5559410033471</v>
      </c>
    </row>
    <row r="8704" customFormat="false" ht="17.15" hidden="false" customHeight="false" outlineLevel="0" collapsed="false">
      <c r="A8704" s="5" t="s">
        <v>611</v>
      </c>
      <c r="B8704" s="0" t="s">
        <v>173</v>
      </c>
      <c r="F8704" s="36" t="n">
        <f aca="false">cust_sh*tk_ox_gb300+(1-cust_sh)*((1-Sens!$F$8702)*tk_ox_gb300+Sens!$F$8702*tk_ox_vr200)</f>
        <v>1.98263481314457</v>
      </c>
      <c r="G8704" s="36" t="n">
        <f aca="false">cust_sh*tk_ox_gb300+(1-cust_sh)*((1-Sens!$G$8702)*tk_ox_gb300+Sens!$G$8702*tk_ox_vr200)</f>
        <v>1.98263481314457</v>
      </c>
      <c r="H8704" s="36" t="n">
        <f aca="false">cust_sh*tk_ox_gb300+(1-cust_sh)*((1-Sens!$H$8702)*tk_ox_gb300+Sens!$H$8702*tk_ox_vr200)</f>
        <v>2.01034999693694</v>
      </c>
      <c r="I8704" s="36" t="n">
        <f aca="false">cust_sh*tk_ox_gb300+(1-cust_sh)*((1-Sens!$I$8702)*tk_ox_gb300+Sens!$I$8702*tk_ox_vr200)</f>
        <v>2.0380651807293</v>
      </c>
      <c r="J8704" s="36" t="n">
        <f aca="false">cust_sh*tk_ox_gb300+(1-cust_sh)*((1-Sens!$J$8702)*tk_ox_gb300+Sens!$J$8702*tk_ox_vr200)</f>
        <v>2.0380651807293</v>
      </c>
      <c r="K8704" s="36" t="n">
        <f aca="false">cust_sh*tk_ox_gb300+(1-cust_sh)*((1-Sens!$K$8702)*tk_ox_gb300+Sens!$K$8702*tk_ox_vr200)</f>
        <v>2.0380651807293</v>
      </c>
      <c r="L8704" s="36" t="n">
        <f aca="false">cust_sh*tk_ox_gb300+(1-cust_sh)*((1-Sens!$L$8702)*tk_ox_gb300+Sens!$L$8702*tk_ox_vr200)</f>
        <v>2.0380651807293</v>
      </c>
      <c r="M8704" s="36" t="n">
        <f aca="false">cust_sh*tk_ox_gb300+(1-cust_sh)*((1-Sens!$M$8702)*tk_ox_gb300+Sens!$M$8702*tk_ox_vr200)</f>
        <v>2.0380651807293</v>
      </c>
    </row>
    <row r="8705" customFormat="false" ht="17.15" hidden="false" customHeight="false" outlineLevel="0" collapsed="false">
      <c r="A8705" s="5" t="s">
        <v>612</v>
      </c>
      <c r="B8705" s="0" t="s">
        <v>192</v>
      </c>
      <c r="F8705" s="36" t="n">
        <f aca="false">cust_sh*tk_cx_gb300*cf_cx+(1-cust_sh)*((1-Sens!$F$8702)*tk_cx_gb300+Sens!$F$8702*tk_cx_vr200)</f>
        <v>32.237224</v>
      </c>
      <c r="G8705" s="36" t="n">
        <f aca="false">cust_sh*tk_cx_gb300*cf_cx+(1-cust_sh)*((1-Sens!$G$8702)*tk_cx_gb300+Sens!$G$8702*tk_cx_vr200)</f>
        <v>32.237224</v>
      </c>
      <c r="H8705" s="36" t="n">
        <f aca="false">cust_sh*tk_cx_gb300*cf_cx+(1-cust_sh)*((1-Sens!$H$8702)*tk_cx_gb300+Sens!$H$8702*tk_cx_vr200)</f>
        <v>33.574506</v>
      </c>
      <c r="I8705" s="36" t="n">
        <f aca="false">cust_sh*tk_cx_gb300*cf_cx+(1-cust_sh)*((1-Sens!$I$8702)*tk_cx_gb300+Sens!$I$8702*tk_cx_vr200)</f>
        <v>34.911788</v>
      </c>
      <c r="J8705" s="36" t="n">
        <f aca="false">cust_sh*tk_cx_gb300*cf_cx+(1-cust_sh)*((1-Sens!$J$8702)*tk_cx_gb300+Sens!$J$8702*tk_cx_vr200)</f>
        <v>34.911788</v>
      </c>
      <c r="K8705" s="36" t="n">
        <f aca="false">cust_sh*tk_cx_gb300*cf_cx+(1-cust_sh)*((1-Sens!$K$8702)*tk_cx_gb300+Sens!$K$8702*tk_cx_vr200)</f>
        <v>34.911788</v>
      </c>
      <c r="L8705" s="36" t="n">
        <f aca="false">cust_sh*tk_cx_gb300*cf_cx+(1-cust_sh)*((1-Sens!$L$8702)*tk_cx_gb300+Sens!$L$8702*tk_cx_vr200)</f>
        <v>34.911788</v>
      </c>
      <c r="M8705" s="36" t="n">
        <f aca="false">cust_sh*tk_cx_gb300*cf_cx+(1-cust_sh)*((1-Sens!$M$8702)*tk_cx_gb300+Sens!$M$8702*tk_cx_vr200)</f>
        <v>34.911788</v>
      </c>
    </row>
    <row r="8706" customFormat="false" ht="17.15" hidden="false" customHeight="false" outlineLevel="0" collapsed="false">
      <c r="A8706" s="5" t="s">
        <v>613</v>
      </c>
      <c r="B8706" s="0" t="s">
        <v>129</v>
      </c>
      <c r="F8706" s="32" t="n">
        <f aca="false">Sens!$F$8696-mw_open</f>
        <v>1817.15</v>
      </c>
      <c r="G8706" s="32" t="n">
        <f aca="false">Sens!$F$8706</f>
        <v>1817.15</v>
      </c>
      <c r="H8706" s="32" t="n">
        <f aca="false">Sens!$H$8696-mw_open</f>
        <v>5451.45</v>
      </c>
      <c r="I8706" s="32" t="n">
        <f aca="false">Sens!$I$8696-mw_open</f>
        <v>9085.75</v>
      </c>
      <c r="J8706" s="32" t="n">
        <f aca="false">Sens!$J$8696-mw_open</f>
        <v>12720.05</v>
      </c>
      <c r="K8706" s="32" t="n">
        <f aca="false">Sens!$K$8696-mw_open</f>
        <v>15241.5836666667</v>
      </c>
      <c r="L8706" s="32" t="n">
        <f aca="false">Sens!$L$8696-mw_open</f>
        <v>16650.351</v>
      </c>
      <c r="M8706" s="32" t="n">
        <f aca="false">Sens!$M$8696-mw_open</f>
        <v>16946.352</v>
      </c>
    </row>
    <row r="8707" customFormat="false" ht="17.15" hidden="false" customHeight="false" outlineLevel="0" collapsed="false">
      <c r="A8707" s="0" t="s">
        <v>614</v>
      </c>
      <c r="B8707" s="0" t="s">
        <v>615</v>
      </c>
      <c r="F8707" s="32" t="n">
        <f aca="false">Sens!$F$8699*Sens!$F$8703</f>
        <v>19782.2417524844</v>
      </c>
      <c r="G8707" s="32" t="n">
        <f aca="false">Sens!$F$8707</f>
        <v>19782.2417524844</v>
      </c>
      <c r="H8707" s="32" t="n">
        <f aca="false">Sens!$G$8707+Sens!$H$8699*Sens!$H$8703</f>
        <v>60563.3616992009</v>
      </c>
      <c r="I8707" s="32" t="n">
        <f aca="false">Sens!$H$8707+Sens!$I$8699*Sens!$I$8703</f>
        <v>102561.118087665</v>
      </c>
      <c r="J8707" s="32" t="n">
        <f aca="false">Sens!$I$8707+Sens!$J$8699*Sens!$J$8703</f>
        <v>144558.87447613</v>
      </c>
      <c r="K8707" s="32" t="n">
        <f aca="false">Sens!$J$8707+Sens!$K$8699*Sens!$K$8703</f>
        <v>173697.568766083</v>
      </c>
      <c r="L8707" s="32" t="n">
        <f aca="false">Sens!$K$8707+Sens!$L$8699*Sens!$L$8703</f>
        <v>189977.200957526</v>
      </c>
      <c r="M8707" s="32" t="n">
        <f aca="false">Sens!$L$8707+Sens!$M$8699*Sens!$M$8703</f>
        <v>193397.771050458</v>
      </c>
    </row>
    <row r="8708" customFormat="false" ht="17.15" hidden="false" customHeight="false" outlineLevel="0" collapsed="false">
      <c r="A8708" s="0" t="s">
        <v>616</v>
      </c>
      <c r="B8708" s="0" t="s">
        <v>615</v>
      </c>
      <c r="F8708" s="32" t="n">
        <f aca="false">Sens!$F$8699*Sens!$F$8704</f>
        <v>3602.74485070566</v>
      </c>
      <c r="G8708" s="32" t="n">
        <f aca="false">Sens!$F$8708</f>
        <v>3602.74485070566</v>
      </c>
      <c r="H8708" s="32" t="n">
        <f aca="false">Sens!$G$8708+Sens!$H$8699*Sens!$H$8704</f>
        <v>10908.9598445736</v>
      </c>
      <c r="I8708" s="32" t="n">
        <f aca="false">Sens!$H$8708+Sens!$I$8699*Sens!$I$8704</f>
        <v>18315.9001308981</v>
      </c>
      <c r="J8708" s="32" t="n">
        <f aca="false">Sens!$I$8708+Sens!$J$8699*Sens!$J$8704</f>
        <v>25722.8404172225</v>
      </c>
      <c r="K8708" s="32" t="n">
        <f aca="false">Sens!$J$8708+Sens!$K$8699*Sens!$K$8704</f>
        <v>30861.8903852926</v>
      </c>
      <c r="L8708" s="32" t="n">
        <f aca="false">Sens!$K$8708+Sens!$L$8699*Sens!$L$8704</f>
        <v>33733.0500351081</v>
      </c>
      <c r="M8708" s="32" t="n">
        <f aca="false">Sens!$L$8708+Sens!$M$8699*Sens!$M$8704</f>
        <v>34336.3193666691</v>
      </c>
    </row>
    <row r="8709" customFormat="false" ht="17.15" hidden="false" customHeight="false" outlineLevel="0" collapsed="false">
      <c r="A8709" s="5" t="s">
        <v>617</v>
      </c>
      <c r="B8709" s="0" t="s">
        <v>173</v>
      </c>
      <c r="F8709" s="36" t="n">
        <f aca="false">IF(Sens!$F$8706&gt;0,Sens!$F$8707/Sens!$F$8706,Sens!$F$8703)</f>
        <v>10.8864110021101</v>
      </c>
      <c r="G8709" s="36" t="n">
        <f aca="false">IF(Sens!$G$8706&gt;0,Sens!$G$8707/Sens!$G$8706,Sens!$G$8703)</f>
        <v>10.8864110021101</v>
      </c>
      <c r="H8709" s="36" t="n">
        <f aca="false">IF(Sens!$H$8706&gt;0,Sens!$H$8707/Sens!$H$8706,Sens!$H$8703)</f>
        <v>11.1095876691891</v>
      </c>
      <c r="I8709" s="36" t="n">
        <f aca="false">IF(Sens!$I$8706&gt;0,Sens!$I$8707/Sens!$I$8706,Sens!$I$8703)</f>
        <v>11.2881290028523</v>
      </c>
      <c r="J8709" s="36" t="n">
        <f aca="false">IF(Sens!$J$8706&gt;0,Sens!$J$8707/Sens!$J$8706,Sens!$J$8703)</f>
        <v>11.3646467172794</v>
      </c>
      <c r="K8709" s="36" t="n">
        <f aca="false">IF(Sens!$K$8706&gt;0,Sens!$K$8707/Sens!$K$8706,Sens!$K$8703)</f>
        <v>11.3962940180527</v>
      </c>
      <c r="L8709" s="36" t="n">
        <f aca="false">IF(Sens!$L$8706&gt;0,Sens!$L$8707/Sens!$L$8706,Sens!$L$8703)</f>
        <v>11.4098015685991</v>
      </c>
      <c r="M8709" s="36" t="n">
        <f aca="false">IF(Sens!$M$8706&gt;0,Sens!$M$8707/Sens!$M$8706,Sens!$M$8703)</f>
        <v>11.4123541780825</v>
      </c>
    </row>
    <row r="8710" customFormat="false" ht="17.15" hidden="false" customHeight="false" outlineLevel="0" collapsed="false">
      <c r="A8710" s="5" t="s">
        <v>618</v>
      </c>
      <c r="B8710" s="0" t="s">
        <v>173</v>
      </c>
      <c r="F8710" s="36" t="n">
        <f aca="false">IF(Sens!$F$8706&gt;0,Sens!$F$8708/Sens!$F$8706,Sens!$F$8704)</f>
        <v>1.98263481314457</v>
      </c>
      <c r="G8710" s="36" t="n">
        <f aca="false">IF(Sens!$G$8706&gt;0,Sens!$G$8708/Sens!$G$8706,Sens!$G$8704)</f>
        <v>1.98263481314457</v>
      </c>
      <c r="H8710" s="36" t="n">
        <f aca="false">IF(Sens!$H$8706&gt;0,Sens!$H$8708/Sens!$H$8706,Sens!$H$8704)</f>
        <v>2.00111160233948</v>
      </c>
      <c r="I8710" s="36" t="n">
        <f aca="false">IF(Sens!$I$8706&gt;0,Sens!$I$8708/Sens!$I$8706,Sens!$I$8704)</f>
        <v>2.01589303369541</v>
      </c>
      <c r="J8710" s="36" t="n">
        <f aca="false">IF(Sens!$J$8706&gt;0,Sens!$J$8708/Sens!$J$8706,Sens!$J$8704)</f>
        <v>2.02222793284795</v>
      </c>
      <c r="K8710" s="36" t="n">
        <f aca="false">IF(Sens!$K$8706&gt;0,Sens!$K$8708/Sens!$K$8706,Sens!$K$8704)</f>
        <v>2.02484801187606</v>
      </c>
      <c r="L8710" s="36" t="n">
        <f aca="false">IF(Sens!$L$8706&gt;0,Sens!$L$8708/Sens!$L$8706,Sens!$L$8704)</f>
        <v>2.02596630155773</v>
      </c>
      <c r="M8710" s="36" t="n">
        <f aca="false">IF(Sens!$M$8706&gt;0,Sens!$M$8708/Sens!$M$8706,Sens!$M$8704)</f>
        <v>2.02617763201597</v>
      </c>
    </row>
    <row r="8711" customFormat="false" ht="17.15" hidden="false" customHeight="false" outlineLevel="0" collapsed="false">
      <c r="A8711" s="15" t="s">
        <v>619</v>
      </c>
      <c r="B8711" s="14" t="s">
        <v>173</v>
      </c>
      <c r="C8711" s="14"/>
      <c r="D8711" s="14"/>
      <c r="E8711" s="14"/>
      <c r="F8711" s="37" t="n">
        <f aca="false">Sens!$F$8709*k_B</f>
        <v>10.7987645808025</v>
      </c>
      <c r="G8711" s="37" t="n">
        <f aca="false">Sens!$G$8709*k_B</f>
        <v>10.7987645808025</v>
      </c>
      <c r="H8711" s="37" t="n">
        <f aca="false">Sens!$H$8709*k_B</f>
        <v>11.0201444540452</v>
      </c>
      <c r="I8711" s="37" t="n">
        <f aca="false">Sens!$I$8709*k_B</f>
        <v>11.1972483526393</v>
      </c>
      <c r="J8711" s="37" t="n">
        <f aca="false">Sens!$J$8709*k_B</f>
        <v>11.2731500234653</v>
      </c>
      <c r="K8711" s="37" t="n">
        <f aca="false">Sens!$K$8709*k_B</f>
        <v>11.3045425320343</v>
      </c>
      <c r="L8711" s="37" t="n">
        <f aca="false">Sens!$L$8709*k_B</f>
        <v>11.3179413333826</v>
      </c>
      <c r="M8711" s="37" t="n">
        <f aca="false">Sens!$M$8709*k_B</f>
        <v>11.3204733918244</v>
      </c>
      <c r="N8711" s="14"/>
      <c r="O8711" s="14"/>
      <c r="P8711" s="5" t="s">
        <v>620</v>
      </c>
    </row>
    <row r="8712" customFormat="false" ht="17.15" hidden="false" customHeight="false" outlineLevel="0" collapsed="false">
      <c r="A8712" s="5" t="s">
        <v>621</v>
      </c>
      <c r="B8712" s="0" t="s">
        <v>129</v>
      </c>
      <c r="F8712" s="32" t="n">
        <f aca="false">Sens!$F$8706/2</f>
        <v>908.575</v>
      </c>
      <c r="H8712" s="32" t="n">
        <f aca="false">(Sens!$G$8706+Sens!$H$8706)/2</f>
        <v>3634.3</v>
      </c>
      <c r="I8712" s="32" t="n">
        <f aca="false">(Sens!$H$8706+Sens!$I$8706)/2</f>
        <v>7268.6</v>
      </c>
      <c r="J8712" s="32" t="n">
        <f aca="false">(Sens!$I$8706+Sens!$J$8706)/2</f>
        <v>10902.9</v>
      </c>
      <c r="K8712" s="32" t="n">
        <f aca="false">(Sens!$J$8706+Sens!$K$8706)/2</f>
        <v>13980.8168333333</v>
      </c>
      <c r="L8712" s="32" t="n">
        <f aca="false">(Sens!$K$8706+Sens!$L$8706)/2</f>
        <v>15945.9673333333</v>
      </c>
      <c r="M8712" s="32" t="n">
        <f aca="false">(Sens!$L$8706+Sens!$M$8706)/2</f>
        <v>16798.3515</v>
      </c>
    </row>
    <row r="8713" customFormat="false" ht="17.15" hidden="false" customHeight="false" outlineLevel="0" collapsed="false">
      <c r="A8713" s="1" t="s">
        <v>622</v>
      </c>
    </row>
    <row r="8714" customFormat="false" ht="17.15" hidden="false" customHeight="false" outlineLevel="0" collapsed="false">
      <c r="A8714" s="1" t="s">
        <v>623</v>
      </c>
      <c r="B8714" s="8" t="s">
        <v>86</v>
      </c>
      <c r="C8714" s="38" t="n">
        <f aca="false">Sens!$C$8697*rpm_open*Sens!$C$8698/1000</f>
        <v>2.32100535697364</v>
      </c>
      <c r="D8714" s="38" t="n">
        <f aca="false">Sens!$D$8697*rpm_open*Sens!$D$8698/1000</f>
        <v>8.70377008865116</v>
      </c>
      <c r="E8714" s="38" t="n">
        <f aca="false">Sens!$E$8697*rpm_open*Sens!$E$8698/1000</f>
        <v>8.51035297557002</v>
      </c>
      <c r="F8714" s="38" t="n">
        <f aca="false">(mw_open*rpm_open+Sens!$F$8712*Sens!$F$8711)*Sens!$F$8698/1000</f>
        <v>14.9634336447205</v>
      </c>
      <c r="G8714" s="38" t="n">
        <f aca="false">Sens!$E$8714+Sens!$F$8714</f>
        <v>23.4737866202905</v>
      </c>
      <c r="H8714" s="38" t="n">
        <f aca="false">(mw_open*rpm_open+Sens!$H$8712*Sens!$H$8711)/1000</f>
        <v>60.1658907497746</v>
      </c>
      <c r="I8714" s="38" t="n">
        <f aca="false">(mw_open*rpm_open+Sens!$I$8712*Sens!$I$8711)/1000</f>
        <v>101.503699136432</v>
      </c>
      <c r="J8714" s="38" t="n">
        <f aca="false">(mw_open*rpm_open+Sens!$J$8712*Sens!$J$8711)/1000</f>
        <v>143.025407151278</v>
      </c>
      <c r="K8714" s="38" t="n">
        <f aca="false">(mw_open*rpm_open+Sens!$K$8712*Sens!$K$8711)/1000</f>
        <v>178.162118285436</v>
      </c>
      <c r="L8714" s="38" t="n">
        <f aca="false">(mw_open*rpm_open+Sens!$L$8712*Sens!$L$8711)/1000</f>
        <v>200.590902543141</v>
      </c>
      <c r="M8714" s="38" t="n">
        <f aca="false">(mw_open*rpm_open+Sens!$M$8712*Sens!$M$8711)/1000</f>
        <v>210.280670942702</v>
      </c>
      <c r="N8714" s="38" t="n">
        <f aca="false">Sens!$N$8697*rpm_open*Sens!$N$8698/1000</f>
        <v>3.04631953102791</v>
      </c>
      <c r="O8714" s="38" t="n">
        <f aca="false">Sens!$O$8697*rpm_open*Sens!$O$8698/1000</f>
        <v>5.65745055762326</v>
      </c>
      <c r="P8714" s="5" t="s">
        <v>624</v>
      </c>
    </row>
    <row r="8715" customFormat="false" ht="17.15" hidden="false" customHeight="false" outlineLevel="0" collapsed="false">
      <c r="A8715" s="5" t="s">
        <v>625</v>
      </c>
      <c r="B8715" s="0" t="s">
        <v>173</v>
      </c>
      <c r="C8715" s="36" t="n">
        <f aca="false">Sens!$C$8714*1000/(Sens!$C$8697*Sens!$C$8698)</f>
        <v>9.67085565405685</v>
      </c>
      <c r="D8715" s="36" t="n">
        <f aca="false">Sens!$D$8714*1000/(Sens!$D$8697*Sens!$D$8698)</f>
        <v>9.67085565405685</v>
      </c>
      <c r="E8715" s="36" t="n">
        <f aca="false">Sens!$E$8714*1000/(Sens!$E$8697*Sens!$E$8698)</f>
        <v>9.67085565405685</v>
      </c>
      <c r="F8715" s="36" t="n">
        <f aca="false">Sens!$F$8714*1000/(Sens!$F$8697*Sens!$F$8698)</f>
        <v>10.0137581588017</v>
      </c>
      <c r="G8715" s="36" t="n">
        <f aca="false">Sens!$G$8714*1000/(Sens!$G$8697*Sens!$G$8698)</f>
        <v>9.88666562928478</v>
      </c>
      <c r="H8715" s="36" t="n">
        <f aca="false">Sens!$H$8714*1000/(Sens!$H$8697*Sens!$H$8698)</f>
        <v>10.5290045586992</v>
      </c>
      <c r="I8715" s="36" t="n">
        <f aca="false">Sens!$I$8714*1000/(Sens!$I$8697*Sens!$I$8698)</f>
        <v>10.8576363451674</v>
      </c>
      <c r="J8715" s="36" t="n">
        <f aca="false">Sens!$J$8714*1000/(Sens!$J$8697*Sens!$J$8698)</f>
        <v>11.0164452588619</v>
      </c>
      <c r="K8715" s="36" t="n">
        <f aca="false">Sens!$K$8714*1000/(Sens!$K$8697*Sens!$K$8698)</f>
        <v>11.0929674458194</v>
      </c>
      <c r="L8715" s="36" t="n">
        <f aca="false">Sens!$L$8714*1000/(Sens!$L$8697*Sens!$L$8698)</f>
        <v>11.1278856126745</v>
      </c>
      <c r="M8715" s="36" t="n">
        <f aca="false">Sens!$M$8714*1000/(Sens!$M$8697*Sens!$M$8698)</f>
        <v>11.1387199747129</v>
      </c>
      <c r="N8715" s="36" t="n">
        <f aca="false">Sens!$N$8714*1000/(Sens!$N$8697*Sens!$N$8698)</f>
        <v>9.67085565405685</v>
      </c>
      <c r="O8715" s="36" t="n">
        <f aca="false">Sens!$O$8714*1000/(Sens!$O$8697*Sens!$O$8698)</f>
        <v>9.67085565405685</v>
      </c>
    </row>
    <row r="8716" customFormat="false" ht="17.15" hidden="false" customHeight="false" outlineLevel="0" collapsed="false">
      <c r="A8716" s="0" t="s">
        <v>626</v>
      </c>
      <c r="B8716" s="0" t="s">
        <v>86</v>
      </c>
      <c r="C8716" s="38" t="n">
        <f aca="false">Sens!$C$8697/ext_sh*(ox_open+rent_mw)*Sens!$C$8698/1000</f>
        <v>0.642569210675032</v>
      </c>
      <c r="D8716" s="38" t="n">
        <f aca="false">Sens!$D$8697/ext_sh*(ox_open+rent_mw)*Sens!$D$8698/1000</f>
        <v>2.40963454003137</v>
      </c>
      <c r="E8716" s="38" t="n">
        <f aca="false">Sens!$E$8697/ext_sh*(ox_open+rent_mw)*Sens!$E$8698/1000</f>
        <v>2.35608710580845</v>
      </c>
      <c r="F8716" s="38" t="n">
        <f aca="false">((mw_open*ox_open+Sens!$F$8712*Sens!$F$8710)/ext_sh+Sens!$F$8697/ext_sh*rent_mw)*Sens!$F$8698/1000</f>
        <v>4.05421991106232</v>
      </c>
      <c r="G8716" s="38" t="n">
        <f aca="false">Sens!$E$8716+Sens!$F$8716</f>
        <v>6.41030701687077</v>
      </c>
      <c r="H8716" s="38" t="n">
        <f aca="false">((mw_open*ox_open+Sens!$H$8712*Sens!$H$8710)/ext_sh+Sens!$H$8697/ext_sh*rent_mw)*Sens!$H$8698/1000</f>
        <v>15.8108975546616</v>
      </c>
      <c r="I8716" s="38" t="n">
        <f aca="false">((mw_open*ox_open+Sens!$I$8712*Sens!$I$8710)/ext_sh+Sens!$I$8697/ext_sh*rent_mw)*Sens!$I$8698/1000</f>
        <v>26.1871623400817</v>
      </c>
      <c r="J8716" s="38" t="n">
        <f aca="false">((mw_open*ox_open+Sens!$J$8712*Sens!$J$8710)/ext_sh+Sens!$J$8697/ext_sh*rent_mw)*Sens!$J$8698/1000</f>
        <v>36.5826128954935</v>
      </c>
      <c r="K8716" s="38" t="n">
        <f aca="false">((mw_open*ox_open+Sens!$K$8712*Sens!$K$8710)/ext_sh+Sens!$K$8697/ext_sh*rent_mw)*Sens!$K$8698/1000</f>
        <v>45.3836433528648</v>
      </c>
      <c r="L8716" s="38" t="n">
        <f aca="false">((mw_open*ox_open+Sens!$L$8712*Sens!$L$8710)/ext_sh+Sens!$L$8697/ext_sh*rent_mw)*Sens!$L$8698/1000</f>
        <v>51.0023088908591</v>
      </c>
      <c r="M8716" s="38" t="n">
        <f aca="false">((mw_open*ox_open+Sens!$M$8712*Sens!$M$8710)/ext_sh+Sens!$M$8697/ext_sh*rent_mw)*Sens!$M$8698/1000</f>
        <v>53.4353660768611</v>
      </c>
      <c r="N8716" s="38" t="n">
        <f aca="false">Sens!$N$8697/ext_sh*(ox_open+rent_mw)*Sens!$N$8698/1000</f>
        <v>0.84337208901098</v>
      </c>
      <c r="O8716" s="38" t="n">
        <f aca="false">Sens!$O$8697/ext_sh*(ox_open+rent_mw)*Sens!$O$8698/1000</f>
        <v>1.56626245102039</v>
      </c>
    </row>
    <row r="8717" customFormat="false" ht="17.15" hidden="false" customHeight="false" outlineLevel="0" collapsed="false">
      <c r="A8717" s="0" t="s">
        <v>627</v>
      </c>
      <c r="B8717" s="0" t="s">
        <v>86</v>
      </c>
      <c r="C8717" s="38" t="n">
        <f aca="false">Q!$D$7</f>
        <v>107.556</v>
      </c>
      <c r="D8717" s="38" t="n">
        <f aca="false">Q!$E$7</f>
        <v>128.725</v>
      </c>
      <c r="E8717" s="38" t="n">
        <f aca="false">Q!$P$7</f>
        <v>79.819</v>
      </c>
      <c r="N8717" s="38" t="n">
        <f aca="false">Q!$N$7</f>
        <v>60.14</v>
      </c>
      <c r="O8717" s="38" t="n">
        <f aca="false">Q!$O$7</f>
        <v>68.585</v>
      </c>
    </row>
    <row r="8718" customFormat="false" ht="17.15" hidden="false" customHeight="false" outlineLevel="0" collapsed="false">
      <c r="A8718" s="1" t="s">
        <v>628</v>
      </c>
      <c r="B8718" s="8" t="s">
        <v>86</v>
      </c>
      <c r="C8718" s="38" t="n">
        <f aca="false">Sens!$C$8717-Sens!$C$8714</f>
        <v>105.234994643026</v>
      </c>
      <c r="D8718" s="38" t="n">
        <f aca="false">Sens!$D$8717-Sens!$D$8714</f>
        <v>120.021229911349</v>
      </c>
      <c r="E8718" s="38" t="n">
        <f aca="false">Sens!$E$8717-Sens!$E$8714</f>
        <v>71.30864702443</v>
      </c>
      <c r="F8718" s="38" t="n">
        <f aca="false">Sens!$O$8718*(1+Sens!$F$8719)</f>
        <v>71.7692997942464</v>
      </c>
      <c r="G8718" s="38" t="n">
        <f aca="false">Sens!$E$8718+Sens!$F$8718</f>
        <v>143.077946818676</v>
      </c>
      <c r="H8718" s="38" t="n">
        <f aca="false">Sens!$G$8718*(1+Sens!$H$8719)</f>
        <v>161.017077079203</v>
      </c>
      <c r="I8718" s="38" t="n">
        <f aca="false">Sens!$H$8718*(1+Sens!$I$8719)</f>
        <v>178.769759521457</v>
      </c>
      <c r="J8718" s="38" t="n">
        <f aca="false">Sens!$I$8718*(1+Sens!$J$8719)</f>
        <v>195.775538045907</v>
      </c>
      <c r="K8718" s="38" t="n">
        <f aca="false">Sens!$J$8718*(1+Sens!$K$8719)</f>
        <v>211.43758108958</v>
      </c>
      <c r="L8718" s="38" t="n">
        <f aca="false">Sens!$K$8718*(1+Sens!$L$8719)</f>
        <v>228.352587576746</v>
      </c>
      <c r="M8718" s="38" t="n">
        <f aca="false">Sens!$L$8718*(1+Sens!$M$8719)</f>
        <v>246.620794582886</v>
      </c>
      <c r="N8718" s="38" t="n">
        <f aca="false">Sens!$N$8717-Sens!$N$8714</f>
        <v>57.0936804689721</v>
      </c>
      <c r="O8718" s="38" t="n">
        <f aca="false">Sens!$O$8717-Sens!$O$8714</f>
        <v>62.9275494423768</v>
      </c>
      <c r="P8718" s="5" t="s">
        <v>629</v>
      </c>
    </row>
    <row r="8719" customFormat="false" ht="17.15" hidden="false" customHeight="false" outlineLevel="0" collapsed="false">
      <c r="A8719" s="0" t="s">
        <v>630</v>
      </c>
      <c r="B8719" s="0" t="s">
        <v>52</v>
      </c>
      <c r="D8719" s="13" t="n">
        <f aca="false">Sens!$D$8718/Sens!$C$8718-1</f>
        <v>0.140506827776062</v>
      </c>
      <c r="E8719" s="13" t="n">
        <f aca="false">Sens!$E$8718/Sens!$N$8718-1</f>
        <v>0.248976181579029</v>
      </c>
      <c r="F8719" s="13" t="n">
        <f aca="false">Sens!$D$8719</f>
        <v>0.140506827776062</v>
      </c>
      <c r="G8719" s="13" t="n">
        <f aca="false">Sens!$G$8718/Sens!$D$8718-1</f>
        <v>0.19210532106993</v>
      </c>
      <c r="H8719" s="13" t="n">
        <f aca="false">Sens!$F$8719+(g_awso_lt-Sens!$F$8719)*1/4</f>
        <v>0.125380120832046</v>
      </c>
      <c r="I8719" s="13" t="n">
        <f aca="false">Sens!$F$8719+(g_awso_lt-Sens!$F$8719)*2/4</f>
        <v>0.110253413888031</v>
      </c>
      <c r="J8719" s="13" t="n">
        <f aca="false">Sens!$F$8719+(g_awso_lt-Sens!$F$8719)*3/4</f>
        <v>0.0951267069440154</v>
      </c>
      <c r="K8719" s="13" t="n">
        <f aca="false">Sens!$F$8719+(g_awso_lt-Sens!$F$8719)*4/4</f>
        <v>0.08</v>
      </c>
      <c r="L8719" s="13" t="n">
        <f aca="false">g_awso_lt</f>
        <v>0.08</v>
      </c>
      <c r="M8719" s="13" t="n">
        <f aca="false">g_awso_lt</f>
        <v>0.08</v>
      </c>
      <c r="P8719" s="5" t="s">
        <v>631</v>
      </c>
    </row>
    <row r="8720" customFormat="false" ht="17.15" hidden="false" customHeight="false" outlineLevel="0" collapsed="false">
      <c r="A8720" s="1" t="s">
        <v>632</v>
      </c>
    </row>
    <row r="8721" customFormat="false" ht="17.15" hidden="false" customHeight="false" outlineLevel="0" collapsed="false">
      <c r="A8721" s="0" t="s">
        <v>633</v>
      </c>
      <c r="B8721" s="0" t="s">
        <v>86</v>
      </c>
      <c r="F8721" s="38" t="n">
        <f aca="false">cx_rt*Sens!$F$8686+cx_awso*Sens!$F$8718</f>
        <v>34.9734495387866</v>
      </c>
    </row>
    <row r="8722" customFormat="false" ht="17.15" hidden="false" customHeight="false" outlineLevel="0" collapsed="false">
      <c r="A8722" s="0" t="s">
        <v>634</v>
      </c>
      <c r="B8722" s="0" t="s">
        <v>52</v>
      </c>
      <c r="C8722" s="13" t="n">
        <f aca="false">tk_cx_h100/(tk_cx_h100+tk_fac*(1-colo_sh))</f>
        <v>0.730756458006641</v>
      </c>
      <c r="D8722" s="13" t="n">
        <f aca="false">tk_cx_h100/(tk_cx_h100+tk_fac*(1-colo_sh))</f>
        <v>0.730756458006641</v>
      </c>
      <c r="E8722" s="13" t="n">
        <f aca="false">Sens!$F$8722</f>
        <v>0.760792334328868</v>
      </c>
      <c r="F8722" s="13" t="n">
        <f aca="false">Sens!$F$8705/(Sens!$F$8705+tk_fac*(1-colo_sh))</f>
        <v>0.760792334328868</v>
      </c>
      <c r="G8722" s="13" t="n">
        <f aca="false">Sens!$G$8705/(Sens!$G$8705+tk_fac*(1-colo_sh))</f>
        <v>0.760792334328868</v>
      </c>
      <c r="H8722" s="13" t="n">
        <f aca="false">Sens!$H$8705/(Sens!$H$8705+tk_fac*(1-colo_sh))</f>
        <v>0.768110668862996</v>
      </c>
      <c r="I8722" s="13" t="n">
        <f aca="false">Sens!$I$8705/(Sens!$I$8705+tk_fac*(1-colo_sh))</f>
        <v>0.77499450139483</v>
      </c>
      <c r="J8722" s="13" t="n">
        <f aca="false">Sens!$J$8705/(Sens!$J$8705+tk_fac*(1-colo_sh))</f>
        <v>0.77499450139483</v>
      </c>
      <c r="K8722" s="13" t="n">
        <f aca="false">Sens!$K$8705/(Sens!$K$8705+tk_fac*(1-colo_sh))</f>
        <v>0.77499450139483</v>
      </c>
      <c r="L8722" s="13" t="n">
        <f aca="false">Sens!$L$8705/(Sens!$L$8705+tk_fac*(1-colo_sh))</f>
        <v>0.77499450139483</v>
      </c>
      <c r="M8722" s="13" t="n">
        <f aca="false">Sens!$M$8705/(Sens!$M$8705+tk_fac*(1-colo_sh))</f>
        <v>0.77499450139483</v>
      </c>
    </row>
    <row r="8723" customFormat="false" ht="17.15" hidden="false" customHeight="false" outlineLevel="0" collapsed="false">
      <c r="A8723" s="1" t="s">
        <v>635</v>
      </c>
      <c r="B8723" s="8" t="s">
        <v>86</v>
      </c>
      <c r="C8723" s="38" t="n">
        <f aca="false">Q!$D$46-cx_rt*Q!$D$16-cx_awso*Sens!$C$8718</f>
        <v>25.2781053077374</v>
      </c>
      <c r="D8723" s="38" t="n">
        <f aca="false">Q!$E$46-cx_rt*Q!$E$16-cx_awso*Sens!$D$8718</f>
        <v>69.5686316310026</v>
      </c>
      <c r="E8723" s="38" t="n">
        <f aca="false">Q!$P$46-cx_rt*Q!$P$16-cx_awso*Sens!$E$8718</f>
        <v>64.1899206485108</v>
      </c>
      <c r="F8723" s="38" t="n">
        <f aca="false">capex_g26-Q!$P$46-Sens!$F$8721</f>
        <v>88.7165504612134</v>
      </c>
      <c r="G8723" s="38" t="n">
        <f aca="false">Sens!$E$8723+Sens!$F$8723</f>
        <v>152.906471109724</v>
      </c>
      <c r="H8723" s="38" t="n">
        <f aca="false">Sens!$H$8700*(Sens!$H$8705+tk_fac*(1-colo_sh))/1000+Sens!$H$8724</f>
        <v>198.57136494475</v>
      </c>
      <c r="I8723" s="38" t="n">
        <f aca="false">Sens!$I$8700*(Sens!$I$8705+tk_fac*(1-colo_sh))/1000+Sens!$I$8724</f>
        <v>204.6464699105</v>
      </c>
      <c r="J8723" s="38" t="n">
        <f aca="false">Sens!$J$8700*(Sens!$J$8705+tk_fac*(1-colo_sh))/1000+Sens!$J$8724</f>
        <v>209.8832381105</v>
      </c>
      <c r="K8723" s="38" t="n">
        <f aca="false">Sens!$K$8700*(Sens!$K$8705+tk_fac*(1-colo_sh))/1000+Sens!$K$8724</f>
        <v>152.460428963578</v>
      </c>
      <c r="L8723" s="38" t="n">
        <f aca="false">Sens!$L$8700*(Sens!$L$8705+tk_fac*(1-colo_sh))/1000+Sens!$L$8724</f>
        <v>126.458229016657</v>
      </c>
      <c r="M8723" s="38" t="n">
        <f aca="false">Sens!$M$8700*(Sens!$M$8705+tk_fac*(1-colo_sh))/1000+Sens!$M$8724</f>
        <v>123.897112724985</v>
      </c>
      <c r="P8723" s="5" t="s">
        <v>636</v>
      </c>
      <c r="R8723" s="38" t="n">
        <f aca="false">Q!$C$46-cx_rt*Q!$C$16-cx_awso*(Q!$C$7-mw_ye23/2*rpm_open/1000)</f>
        <v>1.50429979529945</v>
      </c>
      <c r="S8723" s="38" t="n">
        <f aca="false">Sens!$C$8723</f>
        <v>25.2781053077374</v>
      </c>
      <c r="T8723" s="38" t="n">
        <f aca="false">Sens!$D$8723</f>
        <v>69.5686316310026</v>
      </c>
      <c r="U8723" s="38" t="n">
        <f aca="false">Sens!$G$8723</f>
        <v>152.906471109724</v>
      </c>
      <c r="V8723" s="38" t="n">
        <f aca="false">Sens!$H$8723</f>
        <v>198.57136494475</v>
      </c>
      <c r="W8723" s="38" t="n">
        <f aca="false">Sens!$I$8723</f>
        <v>204.6464699105</v>
      </c>
      <c r="X8723" s="38" t="n">
        <f aca="false">Sens!$J$8723</f>
        <v>209.8832381105</v>
      </c>
      <c r="Y8723" s="38" t="n">
        <f aca="false">Sens!$K$8723</f>
        <v>152.460428963578</v>
      </c>
      <c r="Z8723" s="38" t="n">
        <f aca="false">Sens!$L$8723</f>
        <v>126.458229016657</v>
      </c>
      <c r="AA8723" s="38" t="n">
        <f aca="false">Sens!$M$8723</f>
        <v>123.897112724985</v>
      </c>
    </row>
    <row r="8724" customFormat="false" ht="17.15" hidden="false" customHeight="false" outlineLevel="0" collapsed="false">
      <c r="A8724" s="0" t="s">
        <v>637</v>
      </c>
      <c r="B8724" s="0" t="s">
        <v>86</v>
      </c>
      <c r="H8724" s="38" t="n">
        <f aca="false">SUMPRODUCT(--(Sens!$R$8693:$AA$8693=2027-tk_life),Sens!$R$8700:$AA$8700)*Sens!$H$8705/1000</f>
        <v>0</v>
      </c>
      <c r="I8724" s="38" t="n">
        <f aca="false">SUMPRODUCT(--(Sens!$R$8693:$AA$8693=2028-tk_life),Sens!$R$8700:$AA$8700)*Sens!$I$8705/1000</f>
        <v>0</v>
      </c>
      <c r="J8724" s="38" t="n">
        <f aca="false">SUMPRODUCT(--(Sens!$R$8693:$AA$8693=2029-tk_life),Sens!$R$8700:$AA$8700)*Sens!$J$8705/1000</f>
        <v>5.2367682</v>
      </c>
      <c r="K8724" s="38" t="n">
        <f aca="false">SUMPRODUCT(--(Sens!$R$8693:$AA$8693=2030-tk_life),Sens!$R$8700:$AA$8700)*Sens!$K$8705/1000</f>
        <v>10.4735364</v>
      </c>
      <c r="L8724" s="38" t="n">
        <f aca="false">SUMPRODUCT(--(Sens!$R$8693:$AA$8693=2031-tk_life),Sens!$R$8700:$AA$8700)*Sens!$L$8705/1000</f>
        <v>47.1309138</v>
      </c>
      <c r="M8724" s="38" t="n">
        <f aca="false">SUMPRODUCT(--(Sens!$R$8693:$AA$8693=2032-tk_life),Sens!$R$8700:$AA$8700)*Sens!$M$8705/1000</f>
        <v>107.22937485525</v>
      </c>
    </row>
    <row r="8725" customFormat="false" ht="17.15" hidden="false" customHeight="false" outlineLevel="0" collapsed="false">
      <c r="A8725" s="0" t="s">
        <v>638</v>
      </c>
      <c r="B8725" s="0" t="s">
        <v>86</v>
      </c>
      <c r="C8725" s="38" t="n">
        <f aca="false">MIN(Sens!$C$8723,Sens!$C$8700*(tk_cx_h100+tk_fac*(1-colo_sh))/1000)</f>
        <v>11.2938642</v>
      </c>
      <c r="D8725" s="38" t="n">
        <f aca="false">MIN(Sens!$D$8723,Sens!$D$8700*(tk_cx_h100+tk_fac*(1-colo_sh))/1000)</f>
        <v>50.8223889</v>
      </c>
      <c r="E8725" s="38" t="n">
        <f aca="false">MIN(Sens!$E$8723,Sens!$E$8700*(Sens!$F$8705+tk_fac*(1-colo_sh))/1000)</f>
        <v>33.8985792</v>
      </c>
      <c r="F8725" s="38" t="n">
        <f aca="false">Sens!$F$8723</f>
        <v>88.7165504612134</v>
      </c>
      <c r="G8725" s="38" t="n">
        <f aca="false">Sens!$E$8725+Sens!$F$8725</f>
        <v>122.615129661213</v>
      </c>
      <c r="H8725" s="38" t="n">
        <f aca="false">Sens!$H$8723</f>
        <v>198.57136494475</v>
      </c>
      <c r="I8725" s="38" t="n">
        <f aca="false">Sens!$I$8723</f>
        <v>204.6464699105</v>
      </c>
      <c r="J8725" s="38" t="n">
        <f aca="false">Sens!$J$8723</f>
        <v>209.8832381105</v>
      </c>
      <c r="K8725" s="38" t="n">
        <f aca="false">Sens!$K$8723</f>
        <v>152.460428963578</v>
      </c>
      <c r="L8725" s="38" t="n">
        <f aca="false">Sens!$L$8723</f>
        <v>126.458229016657</v>
      </c>
      <c r="M8725" s="38" t="n">
        <f aca="false">Sens!$M$8723</f>
        <v>123.897112724985</v>
      </c>
      <c r="P8725" s="5" t="s">
        <v>639</v>
      </c>
      <c r="R8725" s="38" t="n">
        <f aca="false">MIN(Sens!$R$8723,Sens!$R$8700*(tk_cx_h100+tk_fac*(1-colo_sh))/1000)</f>
        <v>1.50429979529945</v>
      </c>
      <c r="S8725" s="38" t="n">
        <f aca="false">Sens!$C$8725</f>
        <v>11.2938642</v>
      </c>
      <c r="T8725" s="38" t="n">
        <f aca="false">Sens!$D$8725</f>
        <v>50.8223889</v>
      </c>
      <c r="U8725" s="38" t="n">
        <f aca="false">Sens!$G$8725</f>
        <v>122.615129661213</v>
      </c>
      <c r="V8725" s="38" t="n">
        <f aca="false">Sens!$H$8725</f>
        <v>198.57136494475</v>
      </c>
      <c r="W8725" s="38" t="n">
        <f aca="false">Sens!$I$8725</f>
        <v>204.6464699105</v>
      </c>
      <c r="X8725" s="38" t="n">
        <f aca="false">Sens!$J$8725</f>
        <v>209.8832381105</v>
      </c>
      <c r="Y8725" s="38" t="n">
        <f aca="false">Sens!$K$8725</f>
        <v>152.460428963578</v>
      </c>
      <c r="Z8725" s="38" t="n">
        <f aca="false">Sens!$L$8725</f>
        <v>126.458229016657</v>
      </c>
      <c r="AA8725" s="38" t="n">
        <f aca="false">Sens!$M$8725</f>
        <v>123.897112724985</v>
      </c>
    </row>
    <row r="8726" customFormat="false" ht="17.15" hidden="false" customHeight="false" outlineLevel="0" collapsed="false">
      <c r="A8726" s="5" t="s">
        <v>640</v>
      </c>
      <c r="B8726" s="0" t="s">
        <v>86</v>
      </c>
      <c r="C8726" s="38" t="n">
        <f aca="false">Sens!$C$8723-Sens!$C$8725</f>
        <v>13.9842411077374</v>
      </c>
      <c r="D8726" s="38" t="n">
        <f aca="false">Sens!$D$8723-Sens!$D$8725</f>
        <v>18.7462427310026</v>
      </c>
      <c r="E8726" s="38" t="n">
        <f aca="false">Sens!$E$8723-Sens!$E$8725</f>
        <v>30.2913414485108</v>
      </c>
      <c r="F8726" s="38" t="n">
        <f aca="false">Sens!$F$8723-Sens!$F$8725</f>
        <v>0</v>
      </c>
      <c r="G8726" s="38" t="n">
        <f aca="false">Sens!$G$8723-Sens!$G$8725</f>
        <v>30.2913414485108</v>
      </c>
      <c r="H8726" s="38" t="n">
        <f aca="false">Sens!$H$8723-Sens!$H$8725</f>
        <v>0</v>
      </c>
      <c r="I8726" s="38" t="n">
        <f aca="false">Sens!$I$8723-Sens!$I$8725</f>
        <v>0</v>
      </c>
      <c r="J8726" s="38" t="n">
        <f aca="false">Sens!$J$8723-Sens!$J$8725</f>
        <v>0</v>
      </c>
      <c r="K8726" s="38" t="n">
        <f aca="false">Sens!$K$8723-Sens!$K$8725</f>
        <v>0</v>
      </c>
      <c r="L8726" s="38" t="n">
        <f aca="false">Sens!$L$8723-Sens!$L$8725</f>
        <v>0</v>
      </c>
      <c r="M8726" s="38" t="n">
        <f aca="false">Sens!$M$8723-Sens!$M$8725</f>
        <v>0</v>
      </c>
      <c r="P8726" s="5" t="s">
        <v>641</v>
      </c>
      <c r="R8726" s="38" t="n">
        <f aca="false">Sens!$R$8723-Sens!$R$8725</f>
        <v>0</v>
      </c>
      <c r="S8726" s="38" t="n">
        <f aca="false">Sens!$S$8723-Sens!$S$8725</f>
        <v>13.9842411077374</v>
      </c>
      <c r="T8726" s="38" t="n">
        <f aca="false">Sens!$T$8723-Sens!$T$8725</f>
        <v>18.7462427310026</v>
      </c>
      <c r="U8726" s="38" t="n">
        <f aca="false">Sens!$U$8723-Sens!$U$8725</f>
        <v>30.2913414485108</v>
      </c>
      <c r="V8726" s="38" t="n">
        <f aca="false">Sens!$V$8723-Sens!$V$8725</f>
        <v>0</v>
      </c>
      <c r="W8726" s="38" t="n">
        <f aca="false">Sens!$W$8723-Sens!$W$8725</f>
        <v>0</v>
      </c>
      <c r="X8726" s="38" t="n">
        <f aca="false">Sens!$X$8723-Sens!$X$8725</f>
        <v>0</v>
      </c>
      <c r="Y8726" s="38" t="n">
        <f aca="false">Sens!$Y$8723-Sens!$Y$8725</f>
        <v>0</v>
      </c>
      <c r="Z8726" s="38" t="n">
        <f aca="false">Sens!$Z$8723-Sens!$Z$8725</f>
        <v>0</v>
      </c>
      <c r="AA8726" s="38" t="n">
        <f aca="false">Sens!$AA$8723-Sens!$AA$8725</f>
        <v>0</v>
      </c>
    </row>
    <row r="8727" customFormat="false" ht="17.15" hidden="false" customHeight="false" outlineLevel="0" collapsed="false">
      <c r="A8727" s="5" t="s">
        <v>642</v>
      </c>
      <c r="B8727" s="0" t="s">
        <v>86</v>
      </c>
      <c r="R8727" s="38" t="n">
        <f aca="false">Sens!$R$8726*Sens!$C$8722</f>
        <v>0</v>
      </c>
      <c r="S8727" s="38" t="n">
        <f aca="false">Sens!$S$8726*Sens!$C$8722</f>
        <v>10.219074499801</v>
      </c>
      <c r="T8727" s="38" t="n">
        <f aca="false">Sens!$T$8726*Sens!$C$8722</f>
        <v>13.6989379390402</v>
      </c>
      <c r="U8727" s="38" t="n">
        <f aca="false">Sens!$U$8726*Sens!$E$8722</f>
        <v>23.0454203705653</v>
      </c>
      <c r="V8727" s="38" t="n">
        <f aca="false">Sens!$V$8726*Sens!$E$8722</f>
        <v>0</v>
      </c>
      <c r="W8727" s="38" t="n">
        <f aca="false">Sens!$W$8726*Sens!$E$8722</f>
        <v>0</v>
      </c>
      <c r="X8727" s="38" t="n">
        <f aca="false">Sens!$X$8726*Sens!$E$8722</f>
        <v>0</v>
      </c>
      <c r="Y8727" s="38" t="n">
        <f aca="false">Sens!$Y$8726*Sens!$E$8722</f>
        <v>0</v>
      </c>
      <c r="Z8727" s="38" t="n">
        <f aca="false">Sens!$Z$8726*Sens!$E$8722</f>
        <v>0</v>
      </c>
      <c r="AA8727" s="38" t="n">
        <f aca="false">Sens!$AA$8726*Sens!$E$8722</f>
        <v>0</v>
      </c>
    </row>
    <row r="8728" customFormat="false" ht="17.15" hidden="false" customHeight="false" outlineLevel="0" collapsed="false">
      <c r="A8728" s="5" t="s">
        <v>643</v>
      </c>
      <c r="B8728" s="0" t="s">
        <v>86</v>
      </c>
      <c r="R8728" s="38" t="n">
        <f aca="false">SUMPRODUCT(--(Sens!$R$8693:$AA$8693=2023-cip_lag),Sens!$R$8727:$AA$8727)</f>
        <v>0</v>
      </c>
      <c r="S8728" s="38" t="n">
        <f aca="false">SUMPRODUCT(--(Sens!$R$8693:$AA$8693=2024-cip_lag),Sens!$R$8727:$AA$8727)</f>
        <v>0</v>
      </c>
      <c r="T8728" s="38" t="n">
        <f aca="false">SUMPRODUCT(--(Sens!$R$8693:$AA$8693=2025-cip_lag),Sens!$R$8727:$AA$8727)</f>
        <v>10.219074499801</v>
      </c>
      <c r="U8728" s="38" t="n">
        <f aca="false">SUMPRODUCT(--(Sens!$R$8693:$AA$8693=2026-cip_lag),Sens!$R$8727:$AA$8727)</f>
        <v>13.6989379390402</v>
      </c>
      <c r="V8728" s="38" t="n">
        <f aca="false">SUMPRODUCT(--(Sens!$R$8693:$AA$8693=2027-cip_lag),Sens!$R$8727:$AA$8727)</f>
        <v>23.0454203705653</v>
      </c>
      <c r="W8728" s="38" t="n">
        <f aca="false">SUMPRODUCT(--(Sens!$R$8693:$AA$8693=2028-cip_lag),Sens!$R$8727:$AA$8727)</f>
        <v>0</v>
      </c>
      <c r="X8728" s="38" t="n">
        <f aca="false">SUMPRODUCT(--(Sens!$R$8693:$AA$8693=2029-cip_lag),Sens!$R$8727:$AA$8727)</f>
        <v>0</v>
      </c>
      <c r="Y8728" s="38" t="n">
        <f aca="false">SUMPRODUCT(--(Sens!$R$8693:$AA$8693=2030-cip_lag),Sens!$R$8727:$AA$8727)</f>
        <v>0</v>
      </c>
      <c r="Z8728" s="38" t="n">
        <f aca="false">SUMPRODUCT(--(Sens!$R$8693:$AA$8693=2031-cip_lag),Sens!$R$8727:$AA$8727)</f>
        <v>0</v>
      </c>
      <c r="AA8728" s="38" t="n">
        <f aca="false">SUMPRODUCT(--(Sens!$R$8693:$AA$8693=2032-cip_lag),Sens!$R$8727:$AA$8727)</f>
        <v>0</v>
      </c>
    </row>
    <row r="8729" customFormat="false" ht="15" hidden="false" customHeight="false" outlineLevel="0" collapsed="false">
      <c r="A8729" s="5" t="s">
        <v>644</v>
      </c>
      <c r="B8729" s="0" t="s">
        <v>86</v>
      </c>
      <c r="R8729" s="38" t="n">
        <f aca="false">SUMPRODUCT(--(Sens!$R$8693:$AA$8693=2023-cip_lag),Sens!$R$8726:$AA$8726)-Sens!$R$8728</f>
        <v>0</v>
      </c>
      <c r="S8729" s="38" t="n">
        <f aca="false">SUMPRODUCT(--(Sens!$R$8693:$AA$8693=2024-cip_lag),Sens!$R$8726:$AA$8726)-Sens!$S$8728</f>
        <v>0</v>
      </c>
      <c r="T8729" s="38" t="n">
        <f aca="false">SUMPRODUCT(--(Sens!$R$8693:$AA$8693=2025-cip_lag),Sens!$R$8726:$AA$8726)-Sens!$T$8728</f>
        <v>3.76516660793636</v>
      </c>
      <c r="U8729" s="38" t="n">
        <f aca="false">SUMPRODUCT(--(Sens!$R$8693:$AA$8693=2026-cip_lag),Sens!$R$8726:$AA$8726)-Sens!$U$8728</f>
        <v>5.04730479196242</v>
      </c>
      <c r="V8729" s="38" t="n">
        <f aca="false">SUMPRODUCT(--(Sens!$R$8693:$AA$8693=2027-cip_lag),Sens!$R$8726:$AA$8726)-Sens!$V$8728</f>
        <v>7.24592107794548</v>
      </c>
      <c r="W8729" s="38" t="n">
        <f aca="false">SUMPRODUCT(--(Sens!$R$8693:$AA$8693=2028-cip_lag),Sens!$R$8726:$AA$8726)-Sens!$W$8728</f>
        <v>0</v>
      </c>
      <c r="X8729" s="38" t="n">
        <f aca="false">SUMPRODUCT(--(Sens!$R$8693:$AA$8693=2029-cip_lag),Sens!$R$8726:$AA$8726)-Sens!$X$8728</f>
        <v>0</v>
      </c>
      <c r="Y8729" s="38" t="n">
        <f aca="false">SUMPRODUCT(--(Sens!$R$8693:$AA$8693=2030-cip_lag),Sens!$R$8726:$AA$8726)-Sens!$Y$8728</f>
        <v>0</v>
      </c>
      <c r="Z8729" s="38" t="n">
        <f aca="false">SUMPRODUCT(--(Sens!$R$8693:$AA$8693=2031-cip_lag),Sens!$R$8726:$AA$8726)-Sens!$Z$8728</f>
        <v>0</v>
      </c>
      <c r="AA8729" s="38" t="n">
        <f aca="false">SUMPRODUCT(--(Sens!$R$8693:$AA$8693=2032-cip_lag),Sens!$R$8726:$AA$8726)-Sens!$AA$8728</f>
        <v>0</v>
      </c>
    </row>
    <row r="8730" customFormat="false" ht="17.15" hidden="false" customHeight="false" outlineLevel="0" collapsed="false">
      <c r="A8730" s="5" t="s">
        <v>645</v>
      </c>
      <c r="B8730" s="0" t="s">
        <v>86</v>
      </c>
      <c r="C8730" s="38" t="n">
        <f aca="false">Sens!$C$8725*Sens!$C$8722</f>
        <v>8.2530642</v>
      </c>
      <c r="D8730" s="38" t="n">
        <f aca="false">Sens!$D$8725*Sens!$D$8722</f>
        <v>37.1387889</v>
      </c>
      <c r="E8730" s="38" t="n">
        <f aca="false">Sens!$E$8725*Sens!$E$8722</f>
        <v>25.7897792</v>
      </c>
      <c r="F8730" s="38" t="n">
        <f aca="false">Sens!$F$8725*Sens!$F$8722</f>
        <v>67.4948715189913</v>
      </c>
      <c r="G8730" s="38" t="n">
        <f aca="false">Sens!$E$8730+Sens!$F$8730</f>
        <v>93.2846507189913</v>
      </c>
      <c r="H8730" s="38" t="n">
        <f aca="false">(Sens!$H$8725-Sens!$H$8724)*Sens!$H$8722+Sens!$H$8724</f>
        <v>152.52478394475</v>
      </c>
      <c r="I8730" s="38" t="n">
        <f aca="false">(Sens!$I$8725-Sens!$I$8724)*Sens!$I$8722+Sens!$I$8724</f>
        <v>158.5998889105</v>
      </c>
      <c r="J8730" s="38" t="n">
        <f aca="false">(Sens!$J$8725-Sens!$J$8724)*Sens!$J$8722+Sens!$J$8724</f>
        <v>163.8366571105</v>
      </c>
      <c r="K8730" s="38" t="n">
        <f aca="false">(Sens!$K$8725-Sens!$K$8724)*Sens!$K$8722+Sens!$K$8724</f>
        <v>120.512597406912</v>
      </c>
      <c r="L8730" s="38" t="n">
        <f aca="false">(Sens!$L$8725-Sens!$L$8724)*Sens!$L$8722+Sens!$L$8724</f>
        <v>108.609146903323</v>
      </c>
      <c r="M8730" s="38" t="n">
        <f aca="false">(Sens!$M$8725-Sens!$M$8724)*Sens!$M$8722+Sens!$M$8724</f>
        <v>120.146780054985</v>
      </c>
      <c r="R8730" s="38" t="n">
        <f aca="false">Sens!$R$8725*Sens!$C$8722</f>
        <v>1.09927679019314</v>
      </c>
      <c r="S8730" s="38" t="n">
        <f aca="false">Sens!$C$8730</f>
        <v>8.2530642</v>
      </c>
      <c r="T8730" s="38" t="n">
        <f aca="false">Sens!$D$8730</f>
        <v>37.1387889</v>
      </c>
      <c r="U8730" s="38" t="n">
        <f aca="false">Sens!$G$8730</f>
        <v>93.2846507189913</v>
      </c>
      <c r="V8730" s="38" t="n">
        <f aca="false">Sens!$H$8730</f>
        <v>152.52478394475</v>
      </c>
      <c r="W8730" s="38" t="n">
        <f aca="false">Sens!$I$8730</f>
        <v>158.5998889105</v>
      </c>
      <c r="X8730" s="38" t="n">
        <f aca="false">Sens!$J$8730</f>
        <v>163.8366571105</v>
      </c>
      <c r="Y8730" s="38" t="n">
        <f aca="false">Sens!$K$8730</f>
        <v>120.512597406912</v>
      </c>
      <c r="Z8730" s="38" t="n">
        <f aca="false">Sens!$L$8730</f>
        <v>108.609146903323</v>
      </c>
      <c r="AA8730" s="38" t="n">
        <f aca="false">Sens!$M$8730</f>
        <v>120.146780054985</v>
      </c>
    </row>
    <row r="8731" customFormat="false" ht="15" hidden="false" customHeight="false" outlineLevel="0" collapsed="false">
      <c r="A8731" s="5" t="s">
        <v>646</v>
      </c>
      <c r="B8731" s="0" t="s">
        <v>86</v>
      </c>
      <c r="C8731" s="38" t="n">
        <f aca="false">Sens!$C$8725-Sens!$C$8730</f>
        <v>3.0408</v>
      </c>
      <c r="D8731" s="38" t="n">
        <f aca="false">Sens!$D$8725-Sens!$D$8730</f>
        <v>13.6836</v>
      </c>
      <c r="E8731" s="38" t="n">
        <f aca="false">Sens!$E$8725-Sens!$E$8730</f>
        <v>8.1088</v>
      </c>
      <c r="F8731" s="38" t="n">
        <f aca="false">Sens!$F$8725-Sens!$F$8730</f>
        <v>21.2216789422221</v>
      </c>
      <c r="G8731" s="38" t="n">
        <f aca="false">Sens!$G$8725-Sens!$G$8730</f>
        <v>29.3304789422221</v>
      </c>
      <c r="H8731" s="38" t="n">
        <f aca="false">Sens!$H$8725-Sens!$H$8730</f>
        <v>46.046581</v>
      </c>
      <c r="I8731" s="38" t="n">
        <f aca="false">Sens!$I$8725-Sens!$I$8730</f>
        <v>46.046581</v>
      </c>
      <c r="J8731" s="38" t="n">
        <f aca="false">Sens!$J$8725-Sens!$J$8730</f>
        <v>46.046581</v>
      </c>
      <c r="K8731" s="38" t="n">
        <f aca="false">Sens!$K$8725-Sens!$K$8730</f>
        <v>31.9478315566667</v>
      </c>
      <c r="L8731" s="38" t="n">
        <f aca="false">Sens!$L$8725-Sens!$L$8730</f>
        <v>17.8490821133333</v>
      </c>
      <c r="M8731" s="38" t="n">
        <f aca="false">Sens!$M$8725-Sens!$M$8730</f>
        <v>3.75033267000001</v>
      </c>
      <c r="R8731" s="38" t="n">
        <f aca="false">Sens!$R$8725-Sens!$R$8730</f>
        <v>0.405023005106309</v>
      </c>
      <c r="S8731" s="38" t="n">
        <f aca="false">Sens!$S$8725-Sens!$S$8730</f>
        <v>3.0408</v>
      </c>
      <c r="T8731" s="38" t="n">
        <f aca="false">Sens!$T$8725-Sens!$T$8730</f>
        <v>13.6836</v>
      </c>
      <c r="U8731" s="38" t="n">
        <f aca="false">Sens!$U$8725-Sens!$U$8730</f>
        <v>29.3304789422221</v>
      </c>
      <c r="V8731" s="38" t="n">
        <f aca="false">Sens!$V$8725-Sens!$V$8730</f>
        <v>46.046581</v>
      </c>
      <c r="W8731" s="38" t="n">
        <f aca="false">Sens!$W$8725-Sens!$W$8730</f>
        <v>46.046581</v>
      </c>
      <c r="X8731" s="38" t="n">
        <f aca="false">Sens!$X$8725-Sens!$X$8730</f>
        <v>46.046581</v>
      </c>
      <c r="Y8731" s="38" t="n">
        <f aca="false">Sens!$Y$8725-Sens!$Y$8730</f>
        <v>31.9478315566667</v>
      </c>
      <c r="Z8731" s="38" t="n">
        <f aca="false">Sens!$Z$8725-Sens!$Z$8730</f>
        <v>17.8490821133333</v>
      </c>
      <c r="AA8731" s="38" t="n">
        <f aca="false">Sens!$AA$8725-Sens!$AA$8730</f>
        <v>3.75033267000001</v>
      </c>
    </row>
    <row r="8732" customFormat="false" ht="17.15" hidden="false" customHeight="false" outlineLevel="0" collapsed="false">
      <c r="A8732" s="0" t="s">
        <v>647</v>
      </c>
      <c r="B8732" s="0" t="s">
        <v>52</v>
      </c>
      <c r="C8732" s="13" t="n">
        <f aca="false">Sens!$C$8723/Sens!$C$8848</f>
        <v>0.325505489553393</v>
      </c>
      <c r="D8732" s="13" t="n">
        <f aca="false">Sens!$D$8723/Sens!$D$8848</f>
        <v>0.54214956071542</v>
      </c>
      <c r="E8732" s="13" t="n">
        <f aca="false">Sens!$E$8723/Sens!$E$8848</f>
        <v>0.666492790452817</v>
      </c>
      <c r="F8732" s="13" t="n">
        <f aca="false">Sens!$F$8723/Sens!$F$8848</f>
        <v>0.71724917504417</v>
      </c>
      <c r="G8732" s="13" t="n">
        <f aca="false">Sens!$G$8723/Sens!$G$8848</f>
        <v>0.69502941413511</v>
      </c>
      <c r="H8732" s="13" t="n">
        <f aca="false">Sens!$H$8723/Sens!$H$8848</f>
        <v>0.726376041178204</v>
      </c>
      <c r="I8732" s="13" t="n">
        <f aca="false">Sens!$I$8723/Sens!$I$8848</f>
        <v>0.713099092661699</v>
      </c>
      <c r="J8732" s="13" t="n">
        <f aca="false">Sens!$J$8723/Sens!$J$8848</f>
        <v>0.701208348786245</v>
      </c>
      <c r="K8732" s="13" t="n">
        <f aca="false">Sens!$K$8723/Sens!$K$8848</f>
        <v>0.614068498670476</v>
      </c>
      <c r="L8732" s="13" t="n">
        <f aca="false">Sens!$L$8723/Sens!$L$8848</f>
        <v>0.551880938289018</v>
      </c>
      <c r="M8732" s="13" t="n">
        <f aca="false">Sens!$M$8723/Sens!$M$8848</f>
        <v>0.529570283055906</v>
      </c>
    </row>
    <row r="8733" customFormat="false" ht="17.15" hidden="false" customHeight="false" outlineLevel="0" collapsed="false">
      <c r="A8733" s="0" t="s">
        <v>648</v>
      </c>
      <c r="B8733" s="0" t="s">
        <v>86</v>
      </c>
      <c r="C8733" s="38" t="n">
        <f aca="false">Sens!$S$8733</f>
        <v>0.183212798365523</v>
      </c>
      <c r="D8733" s="38" t="n">
        <f aca="false">Sens!$T$8733</f>
        <v>1.55872349836552</v>
      </c>
      <c r="E8733" s="38" t="n">
        <f aca="false">Sens!$G$8733/2</f>
        <v>4.72585036583285</v>
      </c>
      <c r="F8733" s="38" t="n">
        <f aca="false">Sens!$G$8733/2</f>
        <v>4.72585036583285</v>
      </c>
      <c r="G8733" s="38" t="n">
        <f aca="false">Sens!$U$8733</f>
        <v>9.4517007316657</v>
      </c>
      <c r="H8733" s="38" t="n">
        <f aca="false">Sens!$V$8733</f>
        <v>27.2822988413376</v>
      </c>
      <c r="I8733" s="38" t="n">
        <f aca="false">Sens!$W$8733</f>
        <v>56.5439995605568</v>
      </c>
      <c r="J8733" s="38" t="n">
        <f aca="false">Sens!$X$8733</f>
        <v>82.9773143789735</v>
      </c>
      <c r="K8733" s="38" t="n">
        <f aca="false">Sens!$Y$8733</f>
        <v>110.100211099025</v>
      </c>
      <c r="L8733" s="38" t="n">
        <f aca="false">Sens!$Z$8733</f>
        <v>128.810133300177</v>
      </c>
      <c r="M8733" s="38" t="n">
        <f aca="false">Sens!$AA$8733</f>
        <v>139.018680550764</v>
      </c>
      <c r="N8733" s="38" t="n">
        <f aca="false">Sens!$D$8733/2</f>
        <v>0.779361749182762</v>
      </c>
      <c r="O8733" s="38" t="n">
        <f aca="false">Sens!$D$8733/2</f>
        <v>0.779361749182762</v>
      </c>
      <c r="R8733" s="38" t="n">
        <f aca="false">(SUMPRODUCT(--(Sens!$R$8693:$AA$8693&lt;Sens!R$8693),--(Sens!$R$8693:$AA$8693&gt;=Sens!R$8693-tk_life),Sens!$R$8730:$AA$8730)+SUMPRODUCT(--(Sens!$R$8693:$AA$8693&lt;Sens!R$8693),--(Sens!$R$8693:$AA$8693&gt;=Sens!R$8693-tk_life),Sens!$R$8728:$AA$8728))/tk_life</f>
        <v>0</v>
      </c>
      <c r="S8733" s="38" t="n">
        <f aca="false">(SUMPRODUCT(--(Sens!$R$8693:$AA$8693&lt;Sens!S$8693),--(Sens!$R$8693:$AA$8693&gt;=Sens!S$8693-tk_life),Sens!$R$8730:$AA$8730)+SUMPRODUCT(--(Sens!$R$8693:$AA$8693&lt;Sens!S$8693),--(Sens!$R$8693:$AA$8693&gt;=Sens!S$8693-tk_life),Sens!$R$8728:$AA$8728))/tk_life</f>
        <v>0.183212798365523</v>
      </c>
      <c r="T8733" s="38" t="n">
        <f aca="false">(SUMPRODUCT(--(Sens!$R$8693:$AA$8693&lt;Sens!T$8693),--(Sens!$R$8693:$AA$8693&gt;=Sens!T$8693-tk_life),Sens!$R$8730:$AA$8730)+SUMPRODUCT(--(Sens!$R$8693:$AA$8693&lt;Sens!T$8693),--(Sens!$R$8693:$AA$8693&gt;=Sens!T$8693-tk_life),Sens!$R$8728:$AA$8728))/tk_life</f>
        <v>1.55872349836552</v>
      </c>
      <c r="U8733" s="38" t="n">
        <f aca="false">(SUMPRODUCT(--(Sens!$R$8693:$AA$8693&lt;Sens!U$8693),--(Sens!$R$8693:$AA$8693&gt;=Sens!U$8693-tk_life),Sens!$R$8730:$AA$8730)+SUMPRODUCT(--(Sens!$R$8693:$AA$8693&lt;Sens!U$8693),--(Sens!$R$8693:$AA$8693&gt;=Sens!U$8693-tk_life),Sens!$R$8728:$AA$8728))/tk_life</f>
        <v>9.4517007316657</v>
      </c>
      <c r="V8733" s="38" t="n">
        <f aca="false">(SUMPRODUCT(--(Sens!$R$8693:$AA$8693&lt;Sens!V$8693),--(Sens!$R$8693:$AA$8693&gt;=Sens!V$8693-tk_life),Sens!$R$8730:$AA$8730)+SUMPRODUCT(--(Sens!$R$8693:$AA$8693&lt;Sens!V$8693),--(Sens!$R$8693:$AA$8693&gt;=Sens!V$8693-tk_life),Sens!$R$8728:$AA$8728))/tk_life</f>
        <v>27.2822988413376</v>
      </c>
      <c r="W8733" s="38" t="n">
        <f aca="false">(SUMPRODUCT(--(Sens!$R$8693:$AA$8693&lt;Sens!W$8693),--(Sens!$R$8693:$AA$8693&gt;=Sens!W$8693-tk_life),Sens!$R$8730:$AA$8730)+SUMPRODUCT(--(Sens!$R$8693:$AA$8693&lt;Sens!W$8693),--(Sens!$R$8693:$AA$8693&gt;=Sens!W$8693-tk_life),Sens!$R$8728:$AA$8728))/tk_life</f>
        <v>56.5439995605568</v>
      </c>
      <c r="X8733" s="38" t="n">
        <f aca="false">(SUMPRODUCT(--(Sens!$R$8693:$AA$8693&lt;Sens!X$8693),--(Sens!$R$8693:$AA$8693&gt;=Sens!X$8693-tk_life),Sens!$R$8730:$AA$8730)+SUMPRODUCT(--(Sens!$R$8693:$AA$8693&lt;Sens!X$8693),--(Sens!$R$8693:$AA$8693&gt;=Sens!X$8693-tk_life),Sens!$R$8728:$AA$8728))/tk_life</f>
        <v>82.9773143789735</v>
      </c>
      <c r="Y8733" s="38" t="n">
        <f aca="false">(SUMPRODUCT(--(Sens!$R$8693:$AA$8693&lt;Sens!Y$8693),--(Sens!$R$8693:$AA$8693&gt;=Sens!Y$8693-tk_life),Sens!$R$8730:$AA$8730)+SUMPRODUCT(--(Sens!$R$8693:$AA$8693&lt;Sens!Y$8693),--(Sens!$R$8693:$AA$8693&gt;=Sens!Y$8693-tk_life),Sens!$R$8728:$AA$8728))/tk_life</f>
        <v>110.100211099025</v>
      </c>
      <c r="Z8733" s="38" t="n">
        <f aca="false">(SUMPRODUCT(--(Sens!$R$8693:$AA$8693&lt;Sens!Z$8693),--(Sens!$R$8693:$AA$8693&gt;=Sens!Z$8693-tk_life),Sens!$R$8730:$AA$8730)+SUMPRODUCT(--(Sens!$R$8693:$AA$8693&lt;Sens!Z$8693),--(Sens!$R$8693:$AA$8693&gt;=Sens!Z$8693-tk_life),Sens!$R$8728:$AA$8728))/tk_life</f>
        <v>128.810133300177</v>
      </c>
      <c r="AA8733" s="38" t="n">
        <f aca="false">(SUMPRODUCT(--(Sens!$R$8693:$AA$8693&lt;Sens!AA$8693),--(Sens!$R$8693:$AA$8693&gt;=Sens!AA$8693-tk_life),Sens!$R$8730:$AA$8730)+SUMPRODUCT(--(Sens!$R$8693:$AA$8693&lt;Sens!AA$8693),--(Sens!$R$8693:$AA$8693&gt;=Sens!AA$8693-tk_life),Sens!$R$8728:$AA$8728))/tk_life</f>
        <v>139.018680550764</v>
      </c>
    </row>
    <row r="8734" customFormat="false" ht="17.15" hidden="false" customHeight="false" outlineLevel="0" collapsed="false">
      <c r="A8734" s="0" t="s">
        <v>649</v>
      </c>
      <c r="B8734" s="0" t="s">
        <v>86</v>
      </c>
      <c r="C8734" s="38" t="n">
        <f aca="false">Sens!$S$8734</f>
        <v>0.0202511502553155</v>
      </c>
      <c r="D8734" s="38" t="n">
        <f aca="false">Sens!$T$8734</f>
        <v>0.172291150255315</v>
      </c>
      <c r="E8734" s="38" t="n">
        <f aca="false">Sens!$G$8734/2</f>
        <v>0.522364740326067</v>
      </c>
      <c r="F8734" s="38" t="n">
        <f aca="false">Sens!$G$8734/2</f>
        <v>0.522364740326067</v>
      </c>
      <c r="G8734" s="38" t="n">
        <f aca="false">Sens!$U$8734</f>
        <v>1.04472948065213</v>
      </c>
      <c r="H8734" s="38" t="n">
        <f aca="false">Sens!$V$8734</f>
        <v>2.76361866736136</v>
      </c>
      <c r="I8734" s="38" t="n">
        <f aca="false">Sens!$W$8734</f>
        <v>5.42824377125863</v>
      </c>
      <c r="J8734" s="38" t="n">
        <f aca="false">Sens!$X$8734</f>
        <v>7.73057282125864</v>
      </c>
      <c r="K8734" s="38" t="n">
        <f aca="false">Sens!$Y$8734</f>
        <v>10.0329018712586</v>
      </c>
      <c r="L8734" s="38" t="n">
        <f aca="false">Sens!$Z$8734</f>
        <v>11.630293449092</v>
      </c>
      <c r="M8734" s="38" t="n">
        <f aca="false">Sens!$AA$8734</f>
        <v>12.5227475547586</v>
      </c>
      <c r="N8734" s="38" t="n">
        <f aca="false">Sens!$D$8734/2</f>
        <v>0.0861455751276577</v>
      </c>
      <c r="O8734" s="38" t="n">
        <f aca="false">Sens!$D$8734/2</f>
        <v>0.0861455751276577</v>
      </c>
      <c r="R8734" s="38" t="n">
        <f aca="false">(SUMPRODUCT(--(Sens!$R$8693:$AA$8693&lt;Sens!R$8693),Sens!$R$8731:$AA$8731)+SUMPRODUCT(--(Sens!$R$8693:$AA$8693&lt;Sens!R$8693),Sens!$R$8729:$AA$8729))/fac_life</f>
        <v>0</v>
      </c>
      <c r="S8734" s="38" t="n">
        <f aca="false">(SUMPRODUCT(--(Sens!$R$8693:$AA$8693&lt;Sens!S$8693),Sens!$R$8731:$AA$8731)+SUMPRODUCT(--(Sens!$R$8693:$AA$8693&lt;Sens!S$8693),Sens!$R$8729:$AA$8729))/fac_life</f>
        <v>0.0202511502553155</v>
      </c>
      <c r="T8734" s="38" t="n">
        <f aca="false">(SUMPRODUCT(--(Sens!$R$8693:$AA$8693&lt;Sens!T$8693),Sens!$R$8731:$AA$8731)+SUMPRODUCT(--(Sens!$R$8693:$AA$8693&lt;Sens!T$8693),Sens!$R$8729:$AA$8729))/fac_life</f>
        <v>0.172291150255315</v>
      </c>
      <c r="U8734" s="38" t="n">
        <f aca="false">(SUMPRODUCT(--(Sens!$R$8693:$AA$8693&lt;Sens!U$8693),Sens!$R$8731:$AA$8731)+SUMPRODUCT(--(Sens!$R$8693:$AA$8693&lt;Sens!U$8693),Sens!$R$8729:$AA$8729))/fac_life</f>
        <v>1.04472948065213</v>
      </c>
      <c r="V8734" s="38" t="n">
        <f aca="false">(SUMPRODUCT(--(Sens!$R$8693:$AA$8693&lt;Sens!V$8693),Sens!$R$8731:$AA$8731)+SUMPRODUCT(--(Sens!$R$8693:$AA$8693&lt;Sens!V$8693),Sens!$R$8729:$AA$8729))/fac_life</f>
        <v>2.76361866736136</v>
      </c>
      <c r="W8734" s="38" t="n">
        <f aca="false">(SUMPRODUCT(--(Sens!$R$8693:$AA$8693&lt;Sens!W$8693),Sens!$R$8731:$AA$8731)+SUMPRODUCT(--(Sens!$R$8693:$AA$8693&lt;Sens!W$8693),Sens!$R$8729:$AA$8729))/fac_life</f>
        <v>5.42824377125863</v>
      </c>
      <c r="X8734" s="38" t="n">
        <f aca="false">(SUMPRODUCT(--(Sens!$R$8693:$AA$8693&lt;Sens!X$8693),Sens!$R$8731:$AA$8731)+SUMPRODUCT(--(Sens!$R$8693:$AA$8693&lt;Sens!X$8693),Sens!$R$8729:$AA$8729))/fac_life</f>
        <v>7.73057282125864</v>
      </c>
      <c r="Y8734" s="38" t="n">
        <f aca="false">(SUMPRODUCT(--(Sens!$R$8693:$AA$8693&lt;Sens!Y$8693),Sens!$R$8731:$AA$8731)+SUMPRODUCT(--(Sens!$R$8693:$AA$8693&lt;Sens!Y$8693),Sens!$R$8729:$AA$8729))/fac_life</f>
        <v>10.0329018712586</v>
      </c>
      <c r="Z8734" s="38" t="n">
        <f aca="false">(SUMPRODUCT(--(Sens!$R$8693:$AA$8693&lt;Sens!Z$8693),Sens!$R$8731:$AA$8731)+SUMPRODUCT(--(Sens!$R$8693:$AA$8693&lt;Sens!Z$8693),Sens!$R$8729:$AA$8729))/fac_life</f>
        <v>11.630293449092</v>
      </c>
      <c r="AA8734" s="38" t="n">
        <f aca="false">(SUMPRODUCT(--(Sens!$R$8693:$AA$8693&lt;Sens!AA$8693),Sens!$R$8731:$AA$8731)+SUMPRODUCT(--(Sens!$R$8693:$AA$8693&lt;Sens!AA$8693),Sens!$R$8729:$AA$8729))/fac_life</f>
        <v>12.5227475547586</v>
      </c>
    </row>
    <row r="8735" customFormat="false" ht="17.15" hidden="false" customHeight="false" outlineLevel="0" collapsed="false">
      <c r="A8735" s="1" t="s">
        <v>650</v>
      </c>
      <c r="B8735" s="8" t="s">
        <v>86</v>
      </c>
      <c r="C8735" s="38" t="n">
        <f aca="false">Sens!$C$8733+Sens!$C$8734</f>
        <v>0.203463948620839</v>
      </c>
      <c r="D8735" s="38" t="n">
        <f aca="false">Sens!$D$8733+Sens!$D$8734</f>
        <v>1.73101464862084</v>
      </c>
      <c r="E8735" s="38" t="n">
        <f aca="false">Sens!$E$8733+Sens!$E$8734</f>
        <v>5.24821510615892</v>
      </c>
      <c r="F8735" s="38" t="n">
        <f aca="false">Sens!$F$8733+Sens!$F$8734</f>
        <v>5.24821510615892</v>
      </c>
      <c r="G8735" s="38" t="n">
        <f aca="false">Sens!$G$8733+Sens!$G$8734</f>
        <v>10.4964302123178</v>
      </c>
      <c r="H8735" s="38" t="n">
        <f aca="false">Sens!$H$8733+Sens!$H$8734</f>
        <v>30.045917508699</v>
      </c>
      <c r="I8735" s="38" t="n">
        <f aca="false">Sens!$I$8733+Sens!$I$8734</f>
        <v>61.9722433318155</v>
      </c>
      <c r="J8735" s="38" t="n">
        <f aca="false">Sens!$J$8733+Sens!$J$8734</f>
        <v>90.7078872002321</v>
      </c>
      <c r="K8735" s="38" t="n">
        <f aca="false">Sens!$K$8733+Sens!$K$8734</f>
        <v>120.133112970283</v>
      </c>
      <c r="L8735" s="38" t="n">
        <f aca="false">Sens!$L$8733+Sens!$L$8734</f>
        <v>140.440426749269</v>
      </c>
      <c r="M8735" s="38" t="n">
        <f aca="false">Sens!$M$8733+Sens!$M$8734</f>
        <v>151.541428105522</v>
      </c>
      <c r="N8735" s="38" t="n">
        <f aca="false">Sens!$N$8733+Sens!$N$8734</f>
        <v>0.865507324310419</v>
      </c>
      <c r="O8735" s="38" t="n">
        <f aca="false">Sens!$O$8733+Sens!$O$8734</f>
        <v>0.865507324310419</v>
      </c>
      <c r="R8735" s="38" t="n">
        <f aca="false">Sens!$R$8733+Sens!$R$8734</f>
        <v>0</v>
      </c>
      <c r="S8735" s="38" t="n">
        <f aca="false">Sens!$S$8733+Sens!$S$8734</f>
        <v>0.203463948620839</v>
      </c>
      <c r="T8735" s="38" t="n">
        <f aca="false">Sens!$T$8733+Sens!$T$8734</f>
        <v>1.73101464862084</v>
      </c>
      <c r="U8735" s="38" t="n">
        <f aca="false">Sens!$U$8733+Sens!$U$8734</f>
        <v>10.4964302123178</v>
      </c>
      <c r="V8735" s="38" t="n">
        <f aca="false">Sens!$V$8733+Sens!$V$8734</f>
        <v>30.045917508699</v>
      </c>
      <c r="W8735" s="38" t="n">
        <f aca="false">Sens!$W$8733+Sens!$W$8734</f>
        <v>61.9722433318155</v>
      </c>
      <c r="X8735" s="38" t="n">
        <f aca="false">Sens!$X$8733+Sens!$X$8734</f>
        <v>90.7078872002321</v>
      </c>
      <c r="Y8735" s="38" t="n">
        <f aca="false">Sens!$Y$8733+Sens!$Y$8734</f>
        <v>120.133112970283</v>
      </c>
      <c r="Z8735" s="38" t="n">
        <f aca="false">Sens!$Z$8733+Sens!$Z$8734</f>
        <v>140.440426749269</v>
      </c>
      <c r="AA8735" s="38" t="n">
        <f aca="false">Sens!$AA$8733+Sens!$AA$8734</f>
        <v>151.541428105522</v>
      </c>
    </row>
    <row r="8736" customFormat="false" ht="17.15" hidden="false" customHeight="false" outlineLevel="0" collapsed="false">
      <c r="A8736" s="0" t="s">
        <v>651</v>
      </c>
      <c r="B8736" s="0" t="s">
        <v>86</v>
      </c>
      <c r="C8736" s="38" t="n">
        <f aca="false">Sens!$S$8736</f>
        <v>26.578941154416</v>
      </c>
      <c r="D8736" s="38" t="n">
        <f aca="false">Sens!$T$8736</f>
        <v>94.4165581367978</v>
      </c>
      <c r="G8736" s="38" t="n">
        <f aca="false">Sens!$U$8736</f>
        <v>236.826599034204</v>
      </c>
      <c r="H8736" s="38" t="n">
        <f aca="false">Sens!$V$8736</f>
        <v>405.352046470255</v>
      </c>
      <c r="I8736" s="38" t="n">
        <f aca="false">Sens!$W$8736</f>
        <v>548.02627304894</v>
      </c>
      <c r="J8736" s="38" t="n">
        <f aca="false">Sens!$X$8736</f>
        <v>667.201623959208</v>
      </c>
      <c r="K8736" s="38" t="n">
        <f aca="false">Sens!$Y$8736</f>
        <v>699.528939952503</v>
      </c>
      <c r="L8736" s="38" t="n">
        <f aca="false">Sens!$Z$8736</f>
        <v>685.546742219891</v>
      </c>
      <c r="M8736" s="38" t="n">
        <f aca="false">Sens!$AA$8736</f>
        <v>657.902426839353</v>
      </c>
      <c r="R8736" s="38" t="n">
        <f aca="false">SUM(Sens!$R$8723:$R$8723)-SUM(Sens!$R$8735:$R$8735)</f>
        <v>1.50429979529945</v>
      </c>
      <c r="S8736" s="38" t="n">
        <f aca="false">SUM(Sens!$R$8723:$S$8723)-SUM(Sens!$R$8735:$S$8735)</f>
        <v>26.578941154416</v>
      </c>
      <c r="T8736" s="38" t="n">
        <f aca="false">SUM(Sens!$R$8723:$T$8723)-SUM(Sens!$R$8735:$T$8735)</f>
        <v>94.4165581367978</v>
      </c>
      <c r="U8736" s="38" t="n">
        <f aca="false">SUM(Sens!$R$8723:$U$8723)-SUM(Sens!$R$8735:$U$8735)</f>
        <v>236.826599034204</v>
      </c>
      <c r="V8736" s="38" t="n">
        <f aca="false">SUM(Sens!$R$8723:$V$8723)-SUM(Sens!$R$8735:$V$8735)</f>
        <v>405.352046470255</v>
      </c>
      <c r="W8736" s="38" t="n">
        <f aca="false">SUM(Sens!$R$8723:$W$8723)-SUM(Sens!$R$8735:$W$8735)</f>
        <v>548.02627304894</v>
      </c>
      <c r="X8736" s="38" t="n">
        <f aca="false">SUM(Sens!$R$8723:$X$8723)-SUM(Sens!$R$8735:$X$8735)</f>
        <v>667.201623959208</v>
      </c>
      <c r="Y8736" s="38" t="n">
        <f aca="false">SUM(Sens!$R$8723:$Y$8723)-SUM(Sens!$R$8735:$Y$8735)</f>
        <v>699.528939952503</v>
      </c>
      <c r="Z8736" s="38" t="n">
        <f aca="false">SUM(Sens!$R$8723:$Z$8723)-SUM(Sens!$R$8735:$Z$8735)</f>
        <v>685.546742219891</v>
      </c>
      <c r="AA8736" s="38" t="n">
        <f aca="false">SUM(Sens!$R$8723:$AA$8723)-SUM(Sens!$R$8735:$AA$8735)</f>
        <v>657.902426839353</v>
      </c>
    </row>
    <row r="8737" customFormat="false" ht="17.15" hidden="false" customHeight="false" outlineLevel="0" collapsed="false">
      <c r="A8737" s="1" t="s">
        <v>652</v>
      </c>
    </row>
    <row r="8738" customFormat="false" ht="17.15" hidden="false" customHeight="false" outlineLevel="0" collapsed="false">
      <c r="A8738" s="0" t="s">
        <v>653</v>
      </c>
      <c r="B8738" s="0" t="s">
        <v>86</v>
      </c>
      <c r="C8738" s="38" t="n">
        <f aca="false">Sens!$C$8714-ext_sh*Sens!$C$8716</f>
        <v>1.80694998843362</v>
      </c>
      <c r="D8738" s="38" t="n">
        <f aca="false">Sens!$D$8714-ext_sh*Sens!$D$8716</f>
        <v>6.77606245662607</v>
      </c>
      <c r="E8738" s="38" t="n">
        <f aca="false">Sens!$E$8714-ext_sh*Sens!$E$8716</f>
        <v>6.62548329092326</v>
      </c>
      <c r="F8738" s="38" t="n">
        <f aca="false">Sens!$F$8714-ext_sh*Sens!$F$8716</f>
        <v>11.7200577158706</v>
      </c>
      <c r="G8738" s="38" t="n">
        <f aca="false">Sens!$G$8714-ext_sh*Sens!$G$8716</f>
        <v>18.3455410067939</v>
      </c>
      <c r="H8738" s="38" t="n">
        <f aca="false">Sens!$H$8714-ext_sh*Sens!$H$8716</f>
        <v>47.5171727060453</v>
      </c>
      <c r="I8738" s="38" t="n">
        <f aca="false">Sens!$I$8714-ext_sh*Sens!$I$8716</f>
        <v>80.5539692643667</v>
      </c>
      <c r="J8738" s="38" t="n">
        <f aca="false">Sens!$J$8714-ext_sh*Sens!$J$8716</f>
        <v>113.759316834883</v>
      </c>
      <c r="K8738" s="38" t="n">
        <f aca="false">Sens!$K$8714-ext_sh*Sens!$K$8716</f>
        <v>141.855203603144</v>
      </c>
      <c r="L8738" s="38" t="n">
        <f aca="false">Sens!$L$8714-ext_sh*Sens!$L$8716</f>
        <v>159.789055430453</v>
      </c>
      <c r="M8738" s="38" t="n">
        <f aca="false">Sens!$M$8714-ext_sh*Sens!$M$8716</f>
        <v>167.532378081213</v>
      </c>
      <c r="N8738" s="38" t="n">
        <f aca="false">Sens!$N$8714-ext_sh*Sens!$N$8716</f>
        <v>2.37162185981912</v>
      </c>
      <c r="O8738" s="38" t="n">
        <f aca="false">Sens!$O$8714-ext_sh*Sens!$O$8716</f>
        <v>4.40444059680694</v>
      </c>
    </row>
    <row r="8739" customFormat="false" ht="17.15" hidden="false" customHeight="false" outlineLevel="0" collapsed="false">
      <c r="A8739" s="1" t="s">
        <v>654</v>
      </c>
      <c r="B8739" s="8" t="s">
        <v>86</v>
      </c>
      <c r="C8739" s="38" t="n">
        <f aca="false">Sens!$C$8738-ext_sh*Sens!$C$8735</f>
        <v>1.64417882953695</v>
      </c>
      <c r="D8739" s="38" t="n">
        <f aca="false">Sens!$D$8738-ext_sh*Sens!$D$8735</f>
        <v>5.39125073772939</v>
      </c>
      <c r="E8739" s="38" t="n">
        <f aca="false">Sens!$E$8738-ext_sh*Sens!$E$8735</f>
        <v>2.42691120599613</v>
      </c>
      <c r="F8739" s="38" t="n">
        <f aca="false">Sens!$F$8738-ext_sh*Sens!$F$8735</f>
        <v>7.52148563094346</v>
      </c>
      <c r="G8739" s="38" t="n">
        <f aca="false">Sens!$G$8738-ext_sh*Sens!$G$8735</f>
        <v>9.94839683693959</v>
      </c>
      <c r="H8739" s="38" t="n">
        <f aca="false">Sens!$H$8738-ext_sh*Sens!$H$8735</f>
        <v>23.4804386990861</v>
      </c>
      <c r="I8739" s="38" t="n">
        <f aca="false">Sens!$I$8738-ext_sh*Sens!$I$8735</f>
        <v>30.9761745989143</v>
      </c>
      <c r="J8739" s="38" t="n">
        <f aca="false">Sens!$J$8738-ext_sh*Sens!$J$8735</f>
        <v>41.1930070746977</v>
      </c>
      <c r="K8739" s="38" t="n">
        <f aca="false">Sens!$K$8738-ext_sh*Sens!$K$8735</f>
        <v>45.7487132269171</v>
      </c>
      <c r="L8739" s="38" t="n">
        <f aca="false">Sens!$L$8738-ext_sh*Sens!$L$8735</f>
        <v>47.4367140310386</v>
      </c>
      <c r="M8739" s="38" t="n">
        <f aca="false">Sens!$M$8738-ext_sh*Sens!$M$8735</f>
        <v>46.2992355967948</v>
      </c>
      <c r="N8739" s="38" t="n">
        <f aca="false">Sens!$N$8738-ext_sh*Sens!$N$8735</f>
        <v>1.67921600037079</v>
      </c>
      <c r="O8739" s="38" t="n">
        <f aca="false">Sens!$O$8738-ext_sh*Sens!$O$8735</f>
        <v>3.71203473735861</v>
      </c>
    </row>
    <row r="8740" customFormat="false" ht="17.15" hidden="false" customHeight="false" outlineLevel="0" collapsed="false">
      <c r="A8740" s="0" t="s">
        <v>655</v>
      </c>
      <c r="B8740" s="0" t="s">
        <v>52</v>
      </c>
      <c r="C8740" s="13" t="n">
        <f aca="false">Sens!$C$8739/Sens!$C$8714</f>
        <v>0.708390794789371</v>
      </c>
      <c r="D8740" s="13" t="n">
        <f aca="false">Sens!$D$8739/Sens!$D$8714</f>
        <v>0.619415573115729</v>
      </c>
      <c r="E8740" s="13" t="n">
        <f aca="false">Sens!$E$8739/Sens!$E$8714</f>
        <v>0.285171627189009</v>
      </c>
      <c r="F8740" s="13" t="n">
        <f aca="false">Sens!$F$8739/Sens!$F$8714</f>
        <v>0.502657732812366</v>
      </c>
      <c r="G8740" s="13" t="n">
        <f aca="false">Sens!$G$8739/Sens!$G$8714</f>
        <v>0.423808778611812</v>
      </c>
      <c r="H8740" s="13" t="n">
        <f aca="false">Sens!$H$8739/Sens!$H$8714</f>
        <v>0.390261631739809</v>
      </c>
      <c r="I8740" s="13" t="n">
        <f aca="false">Sens!$I$8739/Sens!$I$8714</f>
        <v>0.305172864264572</v>
      </c>
      <c r="J8740" s="13" t="n">
        <f aca="false">Sens!$J$8739/Sens!$J$8714</f>
        <v>0.288011814789856</v>
      </c>
      <c r="K8740" s="13" t="n">
        <f aca="false">Sens!$K$8739/Sens!$K$8714</f>
        <v>0.256781372309587</v>
      </c>
      <c r="L8740" s="13" t="n">
        <f aca="false">Sens!$L$8739/Sens!$L$8714</f>
        <v>0.236484872592048</v>
      </c>
      <c r="M8740" s="13" t="n">
        <f aca="false">Sens!$M$8739/Sens!$M$8714</f>
        <v>0.220178275964369</v>
      </c>
      <c r="N8740" s="13" t="n">
        <f aca="false">Sens!$N$8739/Sens!$N$8714</f>
        <v>0.551227795793364</v>
      </c>
      <c r="O8740" s="13" t="n">
        <f aca="false">Sens!$O$8739/Sens!$O$8714</f>
        <v>0.656132068597002</v>
      </c>
    </row>
    <row r="8741" customFormat="false" ht="17.15" hidden="false" customHeight="false" outlineLevel="0" collapsed="false">
      <c r="A8741" s="5" t="s">
        <v>656</v>
      </c>
      <c r="B8741" s="0" t="s">
        <v>86</v>
      </c>
      <c r="C8741" s="39" t="n">
        <v>0</v>
      </c>
      <c r="D8741" s="39" t="n">
        <v>0</v>
      </c>
      <c r="E8741" s="39" t="n">
        <v>0</v>
      </c>
      <c r="F8741" s="38" t="n">
        <f aca="false">IF(internal_ai_reading=2,1,0)*(1-ext_sh)/ext_sh*(mw_open*he_open+Sens!$F$8712*Sens!$F$8709)*Sens!$F$8698/1000</f>
        <v>3.77122048175818</v>
      </c>
      <c r="G8741" s="38" t="n">
        <f aca="false">Sens!$E$8741+Sens!$F$8741</f>
        <v>3.77122048175818</v>
      </c>
      <c r="H8741" s="38" t="n">
        <f aca="false">IF(internal_ai_reading=2,1,0)*(1-ext_sh)/ext_sh*(mw_open*he_open+Sens!$H$8712*Sens!$H$8709)*Sens!$H$8698/1000</f>
        <v>15.1635543609893</v>
      </c>
      <c r="I8741" s="38" t="n">
        <f aca="false">IF(internal_ai_reading=2,1,0)*(1-ext_sh)/ext_sh*(mw_open*he_open+Sens!$I$8712*Sens!$I$8709)*Sens!$I$8698/1000</f>
        <v>25.5818843619889</v>
      </c>
      <c r="J8741" s="38" t="n">
        <f aca="false">IF(internal_ai_reading=2,1,0)*(1-ext_sh)/ext_sh*(mw_open*he_open+Sens!$J$8712*Sens!$J$8709)*Sens!$J$8698/1000</f>
        <v>36.0465624179122</v>
      </c>
      <c r="K8741" s="38" t="n">
        <f aca="false">IF(internal_ai_reading=2,1,0)*(1-ext_sh)/ext_sh*(mw_open*he_open+Sens!$K$8712*Sens!$K$8709)*Sens!$K$8698/1000</f>
        <v>44.9020355557576</v>
      </c>
      <c r="L8741" s="38" t="n">
        <f aca="false">IF(internal_ai_reading=2,1,0)*(1-ext_sh)/ext_sh*(mw_open*he_open+Sens!$L$8712*Sens!$L$8709)*Sens!$L$8698/1000</f>
        <v>50.55474151763</v>
      </c>
      <c r="M8741" s="38" t="n">
        <f aca="false">IF(internal_ai_reading=2,1,0)*(1-ext_sh)/ext_sh*(mw_open*he_open+Sens!$M$8712*Sens!$M$8709)*Sens!$M$8698/1000</f>
        <v>52.9968449759368</v>
      </c>
      <c r="N8741" s="39" t="n">
        <v>0</v>
      </c>
      <c r="O8741" s="39" t="n">
        <v>0</v>
      </c>
      <c r="P8741" s="8" t="s">
        <v>657</v>
      </c>
    </row>
    <row r="8742" customFormat="false" ht="17.15" hidden="false" customHeight="false" outlineLevel="0" collapsed="false">
      <c r="A8742" s="5" t="s">
        <v>658</v>
      </c>
      <c r="B8742" s="0" t="s">
        <v>86</v>
      </c>
      <c r="C8742" s="38" t="n">
        <f aca="false">(1-ext_sh)*(Sens!$C$8716+Sens!$C$8735)</f>
        <v>0.169206631859174</v>
      </c>
      <c r="D8742" s="38" t="n">
        <f aca="false">(1-ext_sh)*(Sens!$D$8716+Sens!$D$8735)</f>
        <v>0.828129837730442</v>
      </c>
      <c r="E8742" s="38" t="n">
        <f aca="false">(1-ext_sh)*(Sens!$E$8716+Sens!$E$8735)</f>
        <v>1.52086044239347</v>
      </c>
      <c r="F8742" s="38" t="n">
        <f aca="false">(1-ext_sh)*(Sens!$F$8716+Sens!$F$8735)</f>
        <v>1.86048700344425</v>
      </c>
      <c r="G8742" s="38" t="n">
        <f aca="false">(1-ext_sh)*(Sens!$G$8716+Sens!$G$8735)</f>
        <v>3.38134744583772</v>
      </c>
      <c r="H8742" s="38" t="n">
        <f aca="false">(1-ext_sh)*(Sens!$H$8716+Sens!$H$8735)</f>
        <v>9.17136301267211</v>
      </c>
      <c r="I8742" s="38" t="n">
        <f aca="false">(1-ext_sh)*(Sens!$I$8716+Sens!$I$8735)</f>
        <v>17.6318811343794</v>
      </c>
      <c r="J8742" s="38" t="n">
        <f aca="false">(1-ext_sh)*(Sens!$J$8716+Sens!$J$8735)</f>
        <v>25.4581000191451</v>
      </c>
      <c r="K8742" s="38" t="n">
        <f aca="false">(1-ext_sh)*(Sens!$K$8716+Sens!$K$8735)</f>
        <v>33.1033512646296</v>
      </c>
      <c r="L8742" s="38" t="n">
        <f aca="false">(1-ext_sh)*(Sens!$L$8716+Sens!$L$8735)</f>
        <v>38.2885471280255</v>
      </c>
      <c r="M8742" s="38" t="n">
        <f aca="false">(1-ext_sh)*(Sens!$M$8716+Sens!$M$8735)</f>
        <v>40.9953588364767</v>
      </c>
      <c r="N8742" s="38" t="n">
        <f aca="false">(1-ext_sh)*(Sens!$N$8716+Sens!$N$8735)</f>
        <v>0.34177588266428</v>
      </c>
      <c r="O8742" s="38" t="n">
        <f aca="false">(1-ext_sh)*(Sens!$O$8716+Sens!$O$8735)</f>
        <v>0.486353955066162</v>
      </c>
    </row>
    <row r="8743" customFormat="false" ht="17.15" hidden="false" customHeight="false" outlineLevel="0" collapsed="false">
      <c r="A8743" s="0" t="s">
        <v>659</v>
      </c>
      <c r="B8743" s="0" t="s">
        <v>86</v>
      </c>
      <c r="C8743" s="38" t="n">
        <f aca="false">Q!$D$24</f>
        <v>39.834</v>
      </c>
      <c r="D8743" s="38" t="n">
        <f aca="false">Q!$E$24</f>
        <v>45.606</v>
      </c>
      <c r="E8743" s="38" t="n">
        <f aca="false">Q!$P$24</f>
        <v>30.782</v>
      </c>
      <c r="N8743" s="38" t="n">
        <f aca="false">Q!$N$24</f>
        <v>21.707</v>
      </c>
      <c r="O8743" s="38" t="n">
        <f aca="false">Q!$O$24</f>
        <v>23.899</v>
      </c>
    </row>
    <row r="8744" customFormat="false" ht="17.15" hidden="false" customHeight="false" outlineLevel="0" collapsed="false">
      <c r="A8744" s="0" t="s">
        <v>660</v>
      </c>
      <c r="B8744" s="0" t="s">
        <v>86</v>
      </c>
      <c r="C8744" s="38" t="n">
        <f aca="false">Sens!$C$8743-Sens!$C$8739</f>
        <v>38.1898211704631</v>
      </c>
      <c r="D8744" s="38" t="n">
        <f aca="false">Sens!$D$8743-Sens!$D$8739</f>
        <v>40.2147492622706</v>
      </c>
      <c r="E8744" s="38" t="n">
        <f aca="false">Sens!$E$8743-Sens!$E$8739</f>
        <v>28.3550887940039</v>
      </c>
      <c r="F8744" s="38" t="n">
        <f aca="false">Sens!$F$8718*Sens!$F$8745</f>
        <v>25.9529793149447</v>
      </c>
      <c r="G8744" s="38" t="n">
        <f aca="false">Sens!$E$8744+Sens!$F$8744</f>
        <v>54.3080681089486</v>
      </c>
      <c r="H8744" s="38" t="n">
        <f aca="false">Sens!$H$8718*Sens!$H$8745</f>
        <v>58.2264684589333</v>
      </c>
      <c r="I8744" s="38" t="n">
        <f aca="false">Sens!$I$8718*Sens!$I$8745</f>
        <v>64.6461353851744</v>
      </c>
      <c r="J8744" s="38" t="n">
        <f aca="false">Sens!$J$8718*Sens!$J$8745</f>
        <v>70.7957093610231</v>
      </c>
      <c r="K8744" s="38" t="n">
        <f aca="false">Sens!$K$8718*Sens!$K$8745</f>
        <v>76.4593661099049</v>
      </c>
      <c r="L8744" s="38" t="n">
        <f aca="false">Sens!$L$8718*Sens!$L$8745</f>
        <v>82.5761153986973</v>
      </c>
      <c r="M8744" s="38" t="n">
        <f aca="false">Sens!$M$8718*Sens!$M$8745</f>
        <v>89.1822046305931</v>
      </c>
      <c r="N8744" s="38" t="n">
        <f aca="false">Sens!$N$8743-Sens!$N$8739</f>
        <v>20.0277839996292</v>
      </c>
      <c r="O8744" s="38" t="n">
        <f aca="false">Sens!$O$8743-Sens!$O$8739</f>
        <v>20.1869652626414</v>
      </c>
      <c r="P8744" s="5" t="s">
        <v>661</v>
      </c>
    </row>
    <row r="8745" customFormat="false" ht="17.15" hidden="false" customHeight="false" outlineLevel="0" collapsed="false">
      <c r="A8745" s="0" t="s">
        <v>662</v>
      </c>
      <c r="B8745" s="0" t="s">
        <v>52</v>
      </c>
      <c r="C8745" s="13" t="n">
        <f aca="false">Sens!$C$8744/Sens!$C$8718</f>
        <v>0.362900395443635</v>
      </c>
      <c r="D8745" s="13" t="n">
        <f aca="false">Sens!$D$8744/Sens!$D$8718</f>
        <v>0.335063632425483</v>
      </c>
      <c r="E8745" s="13" t="n">
        <f aca="false">Sens!$E$8744/Sens!$E$8718</f>
        <v>0.397638855555478</v>
      </c>
      <c r="F8745" s="13" t="n">
        <f aca="false">(Sens!$O$8744+Sens!$E$8744)/(Sens!$O$8718+Sens!$E$8718)</f>
        <v>0.361616727338133</v>
      </c>
      <c r="G8745" s="13" t="n">
        <f aca="false">Sens!$G$8744/Sens!$G$8718</f>
        <v>0.379569803149143</v>
      </c>
      <c r="H8745" s="13" t="n">
        <f aca="false">Sens!$F$8745</f>
        <v>0.361616727338133</v>
      </c>
      <c r="I8745" s="13" t="n">
        <f aca="false">Sens!$F$8745</f>
        <v>0.361616727338133</v>
      </c>
      <c r="J8745" s="13" t="n">
        <f aca="false">Sens!$F$8745</f>
        <v>0.361616727338133</v>
      </c>
      <c r="K8745" s="13" t="n">
        <f aca="false">Sens!$F$8745</f>
        <v>0.361616727338133</v>
      </c>
      <c r="L8745" s="13" t="n">
        <f aca="false">Sens!$F$8745</f>
        <v>0.361616727338133</v>
      </c>
      <c r="M8745" s="13" t="n">
        <f aca="false">Sens!$F$8745</f>
        <v>0.361616727338133</v>
      </c>
      <c r="N8745" s="13" t="n">
        <f aca="false">Sens!$N$8744/Sens!$N$8718</f>
        <v>0.35078810535806</v>
      </c>
      <c r="O8745" s="13" t="n">
        <f aca="false">Sens!$O$8744/Sens!$O$8718</f>
        <v>0.320796939361619</v>
      </c>
      <c r="P8745" s="8" t="s">
        <v>663</v>
      </c>
    </row>
    <row r="8746" customFormat="false" ht="17.15" hidden="false" customHeight="false" outlineLevel="0" collapsed="false">
      <c r="A8746" s="0" t="s">
        <v>664</v>
      </c>
      <c r="B8746" s="0" t="s">
        <v>52</v>
      </c>
      <c r="D8746" s="13" t="n">
        <f aca="false">(Q!$E$31-ext_sh*Sens!$D$8735)/Sens!$D$8718</f>
        <v>0.167180325480118</v>
      </c>
    </row>
    <row r="8747" customFormat="false" ht="17.15" hidden="false" customHeight="false" outlineLevel="0" collapsed="false">
      <c r="A8747" s="0" t="s">
        <v>665</v>
      </c>
      <c r="B8747" s="0" t="s">
        <v>86</v>
      </c>
      <c r="C8747" s="38" t="n">
        <f aca="false">Q!$D$31</f>
        <v>13.32</v>
      </c>
      <c r="D8747" s="38" t="n">
        <f aca="false">Q!$E$31</f>
        <v>21.45</v>
      </c>
      <c r="E8747" s="38" t="n">
        <f aca="false">Q!$P$31</f>
        <v>15.353</v>
      </c>
      <c r="F8747" s="38" t="n">
        <f aca="false">ext_sh*Sens!$F$8735+Sens!$D$8746*Sens!$F$8718</f>
        <v>16.1969869840094</v>
      </c>
      <c r="G8747" s="38" t="n">
        <f aca="false">Sens!$E$8747+Sens!$F$8747</f>
        <v>31.5499869840094</v>
      </c>
      <c r="H8747" s="38" t="n">
        <f aca="false">ext_sh*Sens!$H$8735+Sens!$D$8746*Sens!$H$8718</f>
        <v>50.9556213609176</v>
      </c>
      <c r="I8747" s="38" t="n">
        <f aca="false">ext_sh*Sens!$I$8735+Sens!$D$8746*Sens!$I$8718</f>
        <v>79.464581248252</v>
      </c>
      <c r="J8747" s="38" t="n">
        <f aca="false">ext_sh*Sens!$J$8735+Sens!$D$8746*Sens!$J$8718</f>
        <v>105.296127931746</v>
      </c>
      <c r="K8747" s="38" t="n">
        <f aca="false">ext_sh*Sens!$K$8735+Sens!$D$8746*Sens!$K$8718</f>
        <v>131.454694001511</v>
      </c>
      <c r="L8747" s="38" t="n">
        <f aca="false">ext_sh*Sens!$L$8735+Sens!$D$8746*Sens!$L$8718</f>
        <v>150.528401314722</v>
      </c>
      <c r="M8747" s="38" t="n">
        <f aca="false">ext_sh*Sens!$M$8735+Sens!$D$8746*Sens!$M$8718</f>
        <v>162.46328719295</v>
      </c>
      <c r="N8747" s="38" t="n">
        <f aca="false">Q!$N$31</f>
        <v>9.234</v>
      </c>
      <c r="O8747" s="38" t="n">
        <f aca="false">Q!$O$31</f>
        <v>12.216</v>
      </c>
    </row>
    <row r="8748" customFormat="false" ht="17.15" hidden="false" customHeight="false" outlineLevel="0" collapsed="false">
      <c r="A8748" s="1" t="s">
        <v>666</v>
      </c>
    </row>
    <row r="8749" customFormat="false" ht="17.15" hidden="false" customHeight="false" outlineLevel="0" collapsed="false">
      <c r="A8749" s="15" t="s">
        <v>667</v>
      </c>
      <c r="B8749" s="14" t="s">
        <v>52</v>
      </c>
      <c r="C8749" s="14"/>
      <c r="D8749" s="14"/>
      <c r="E8749" s="14"/>
      <c r="F8749" s="14"/>
      <c r="G8749" s="17" t="n">
        <f aca="false">Sens!$G$8739*(1-tax)/(ext_sh*(Sens!$D$8736+Sens!$G$8736)/2)</f>
        <v>0.0620504069546486</v>
      </c>
      <c r="H8749" s="17" t="n">
        <f aca="false">Sens!$H$8739*(1-tax)/(ext_sh*(Sens!$G$8736+Sens!$H$8736)/2)</f>
        <v>0.0755420551527686</v>
      </c>
      <c r="I8749" s="17" t="n">
        <f aca="false">Sens!$I$8739*(1-tax)/(ext_sh*(Sens!$H$8736+Sens!$I$8736)/2)</f>
        <v>0.067127575356291</v>
      </c>
      <c r="J8749" s="17" t="n">
        <f aca="false">Sens!$J$8739*(1-tax)/(ext_sh*(Sens!$I$8736+Sens!$J$8736)/2)</f>
        <v>0.0700332392906535</v>
      </c>
      <c r="K8749" s="17" t="n">
        <f aca="false">Sens!$K$8739*(1-tax)/(ext_sh*(Sens!$J$8736+Sens!$K$8736)/2)</f>
        <v>0.0691567260881567</v>
      </c>
      <c r="L8749" s="17" t="n">
        <f aca="false">Sens!$L$8739*(1-tax)/(ext_sh*(Sens!$K$8736+Sens!$L$8736)/2)</f>
        <v>0.0707586505670534</v>
      </c>
      <c r="M8749" s="17" t="n">
        <f aca="false">Sens!$M$8739*(1-tax)/(ext_sh*(Sens!$L$8736+Sens!$M$8736)/2)</f>
        <v>0.0712018094618408</v>
      </c>
      <c r="N8749" s="14"/>
      <c r="O8749" s="14"/>
      <c r="P8749" s="8" t="s">
        <v>668</v>
      </c>
    </row>
    <row r="8750" customFormat="false" ht="17.15" hidden="false" customHeight="false" outlineLevel="0" collapsed="false">
      <c r="A8750" s="5" t="s">
        <v>669</v>
      </c>
      <c r="B8750" s="0" t="s">
        <v>57</v>
      </c>
      <c r="H8750" s="36" t="n">
        <f aca="false">Sens!$H$8714*1000/(mw_open*he_open+Sens!$H$8712*Sens!$H$8709)</f>
        <v>0.991949006767191</v>
      </c>
      <c r="I8750" s="36" t="n">
        <f aca="false">Sens!$I$8714*1000/(mw_open*he_open+Sens!$I$8712*Sens!$I$8709)</f>
        <v>0.991949006767191</v>
      </c>
      <c r="J8750" s="36" t="n">
        <f aca="false">Sens!$J$8714*1000/(mw_open*he_open+Sens!$J$8712*Sens!$J$8709)</f>
        <v>0.991949006767191</v>
      </c>
      <c r="K8750" s="36" t="n">
        <f aca="false">Sens!$K$8714*1000/(mw_open*he_open+Sens!$K$8712*Sens!$K$8709)</f>
        <v>0.991949006767191</v>
      </c>
      <c r="L8750" s="36" t="n">
        <f aca="false">Sens!$L$8714*1000/(mw_open*he_open+Sens!$L$8712*Sens!$L$8709)</f>
        <v>0.991949006767191</v>
      </c>
      <c r="M8750" s="36" t="n">
        <f aca="false">Sens!$M$8714*1000/(mw_open*he_open+Sens!$M$8712*Sens!$M$8709)</f>
        <v>0.991949006767191</v>
      </c>
    </row>
    <row r="8751" customFormat="false" ht="17.15" hidden="false" customHeight="false" outlineLevel="0" collapsed="false">
      <c r="A8751" s="5" t="s">
        <v>670</v>
      </c>
      <c r="B8751" s="0" t="s">
        <v>57</v>
      </c>
      <c r="H8751" s="36" t="n">
        <f aca="false">Sens!$H$8750*(Sens!$H$8714+(wacc-0.01)*ext_sh*(Sens!$G$8736+Sens!$H$8736)/2/(1-tax)-Sens!$H$8739)/Sens!$H$8714</f>
        <v>1.13418299619523</v>
      </c>
      <c r="I8751" s="36" t="n">
        <f aca="false">Sens!$I$8750*(Sens!$I$8714+(wacc-0.01)*ext_sh*(Sens!$H$8736+Sens!$I$8736)/2/(1-tax)-Sens!$I$8739)/Sens!$I$8714</f>
        <v>1.15505915295125</v>
      </c>
      <c r="J8751" s="36" t="n">
        <f aca="false">Sens!$J$8750*(Sens!$J$8714+(wacc-0.01)*ext_sh*(Sens!$I$8736+Sens!$J$8736)/2/(1-tax)-Sens!$J$8739)/Sens!$J$8714</f>
        <v>1.12764664966637</v>
      </c>
      <c r="K8751" s="36" t="n">
        <f aca="false">Sens!$K$8750*(Sens!$K$8714+(wacc-0.01)*ext_sh*(Sens!$J$8736+Sens!$K$8736)/2/(1-tax)-Sens!$K$8739)/Sens!$K$8714</f>
        <v>1.11769403320623</v>
      </c>
      <c r="L8751" s="36" t="n">
        <f aca="false">Sens!$L$8750*(Sens!$L$8714+(wacc-0.01)*ext_sh*(Sens!$K$8736+Sens!$L$8736)/2/(1-tax)-Sens!$L$8739)/Sens!$L$8714</f>
        <v>1.099822398008</v>
      </c>
      <c r="M8751" s="36" t="n">
        <f aca="false">Sens!$M$8750*(Sens!$M$8714+(wacc-0.01)*ext_sh*(Sens!$L$8736+Sens!$M$8736)/2/(1-tax)-Sens!$M$8739)/Sens!$M$8714</f>
        <v>1.09039962833931</v>
      </c>
    </row>
    <row r="8752" customFormat="false" ht="17.15" hidden="false" customHeight="false" outlineLevel="0" collapsed="false">
      <c r="A8752" s="5" t="s">
        <v>671</v>
      </c>
      <c r="B8752" s="0" t="s">
        <v>52</v>
      </c>
      <c r="C8752" s="13" t="n">
        <f aca="false">Sens!$C$8715/tk_pq</f>
        <v>0.195316432429398</v>
      </c>
      <c r="D8752" s="13" t="n">
        <f aca="false">Sens!$D$8715/tk_pq</f>
        <v>0.195316432429398</v>
      </c>
      <c r="E8752" s="13" t="n">
        <f aca="false">Sens!$E$8715/tk_pq</f>
        <v>0.195316432429398</v>
      </c>
      <c r="F8752" s="13" t="n">
        <f aca="false">Sens!$F$8715/tk_pq</f>
        <v>0.202241827274866</v>
      </c>
      <c r="G8752" s="13" t="n">
        <f aca="false">Sens!$G$8715/tk_pq</f>
        <v>0.199675016194063</v>
      </c>
      <c r="H8752" s="13" t="n">
        <f aca="false">Sens!$H$8715/tk_pq</f>
        <v>0.212647947710325</v>
      </c>
      <c r="I8752" s="13" t="n">
        <f aca="false">Sens!$I$8715/tk_pq</f>
        <v>0.219285125475351</v>
      </c>
      <c r="J8752" s="13" t="n">
        <f aca="false">Sens!$J$8715/tk_pq</f>
        <v>0.222492493217189</v>
      </c>
      <c r="K8752" s="13" t="n">
        <f aca="false">Sens!$K$8715/tk_pq</f>
        <v>0.224037965623446</v>
      </c>
      <c r="L8752" s="13" t="n">
        <f aca="false">Sens!$L$8715/tk_pq</f>
        <v>0.224743186755999</v>
      </c>
      <c r="M8752" s="13" t="n">
        <f aca="false">Sens!$M$8715/tk_pq</f>
        <v>0.224962001824354</v>
      </c>
      <c r="N8752" s="13" t="n">
        <f aca="false">Sens!$N$8715/tk_pq</f>
        <v>0.195316432429398</v>
      </c>
      <c r="O8752" s="13" t="n">
        <f aca="false">Sens!$O$8715/tk_pq</f>
        <v>0.195316432429398</v>
      </c>
      <c r="P8752" s="5" t="s">
        <v>672</v>
      </c>
    </row>
    <row r="8755" customFormat="false" ht="17.15" hidden="false" customHeight="false" outlineLevel="0" collapsed="false">
      <c r="A8755" s="1" t="s">
        <v>701</v>
      </c>
    </row>
    <row r="8756" customFormat="false" ht="17.15" hidden="false" customHeight="false" outlineLevel="0" collapsed="false">
      <c r="A8756" s="0" t="s">
        <v>702</v>
      </c>
      <c r="B8756" s="0" t="s">
        <v>86</v>
      </c>
      <c r="C8756" s="38" t="n">
        <f aca="false">Sens!$C$8714</f>
        <v>2.32100535697364</v>
      </c>
      <c r="D8756" s="38" t="n">
        <f aca="false">Sens!$D$8714</f>
        <v>8.70377008865116</v>
      </c>
      <c r="E8756" s="38" t="n">
        <f aca="false">Sens!$E$8714</f>
        <v>8.51035297557002</v>
      </c>
      <c r="F8756" s="38" t="n">
        <f aca="false">Sens!$F$8714</f>
        <v>14.9634336447205</v>
      </c>
      <c r="G8756" s="38" t="n">
        <f aca="false">Sens!$G$8714</f>
        <v>23.4737866202905</v>
      </c>
      <c r="H8756" s="38" t="n">
        <f aca="false">Sens!$H$8714</f>
        <v>60.1658907497746</v>
      </c>
      <c r="I8756" s="38" t="n">
        <f aca="false">Sens!$I$8714</f>
        <v>101.503699136432</v>
      </c>
      <c r="J8756" s="38" t="n">
        <f aca="false">Sens!$J$8714</f>
        <v>143.025407151278</v>
      </c>
      <c r="K8756" s="38" t="n">
        <f aca="false">Sens!$K$8714</f>
        <v>178.162118285436</v>
      </c>
      <c r="L8756" s="38" t="n">
        <f aca="false">Sens!$L$8714</f>
        <v>200.590902543141</v>
      </c>
      <c r="M8756" s="38" t="n">
        <f aca="false">Sens!$M$8714</f>
        <v>210.280670942702</v>
      </c>
      <c r="N8756" s="38" t="n">
        <f aca="false">Sens!$N$8714</f>
        <v>3.04631953102791</v>
      </c>
      <c r="O8756" s="38" t="n">
        <f aca="false">Sens!$O$8714</f>
        <v>5.65745055762326</v>
      </c>
      <c r="P8756" s="8" t="s">
        <v>703</v>
      </c>
    </row>
    <row r="8757" customFormat="false" ht="17.15" hidden="false" customHeight="false" outlineLevel="0" collapsed="false">
      <c r="A8757" s="0" t="s">
        <v>704</v>
      </c>
      <c r="B8757" s="0" t="s">
        <v>86</v>
      </c>
      <c r="C8757" s="38" t="n">
        <f aca="false">Sens!$C$8718</f>
        <v>105.234994643026</v>
      </c>
      <c r="D8757" s="38" t="n">
        <f aca="false">Sens!$D$8718</f>
        <v>120.021229911349</v>
      </c>
      <c r="E8757" s="38" t="n">
        <f aca="false">Sens!$E$8718</f>
        <v>71.30864702443</v>
      </c>
      <c r="F8757" s="38" t="n">
        <f aca="false">Sens!$F$8718</f>
        <v>71.7692997942464</v>
      </c>
      <c r="G8757" s="38" t="n">
        <f aca="false">Sens!$G$8718</f>
        <v>143.077946818676</v>
      </c>
      <c r="H8757" s="38" t="n">
        <f aca="false">Sens!$H$8718</f>
        <v>161.017077079203</v>
      </c>
      <c r="I8757" s="38" t="n">
        <f aca="false">Sens!$I$8718</f>
        <v>178.769759521457</v>
      </c>
      <c r="J8757" s="38" t="n">
        <f aca="false">Sens!$J$8718</f>
        <v>195.775538045907</v>
      </c>
      <c r="K8757" s="38" t="n">
        <f aca="false">Sens!$K$8718</f>
        <v>211.43758108958</v>
      </c>
      <c r="L8757" s="38" t="n">
        <f aca="false">Sens!$L$8718</f>
        <v>228.352587576746</v>
      </c>
      <c r="M8757" s="38" t="n">
        <f aca="false">Sens!$M$8718</f>
        <v>246.620794582886</v>
      </c>
      <c r="N8757" s="38" t="n">
        <f aca="false">Sens!$N$8718</f>
        <v>57.0936804689721</v>
      </c>
      <c r="O8757" s="38" t="n">
        <f aca="false">Sens!$O$8718</f>
        <v>62.9275494423768</v>
      </c>
      <c r="P8757" s="8" t="s">
        <v>703</v>
      </c>
    </row>
    <row r="8758" customFormat="false" ht="17.15" hidden="false" customHeight="false" outlineLevel="0" collapsed="false">
      <c r="A8758" s="1" t="s">
        <v>523</v>
      </c>
      <c r="B8758" s="8" t="s">
        <v>86</v>
      </c>
      <c r="C8758" s="38" t="n">
        <f aca="false">Q!$D$7</f>
        <v>107.556</v>
      </c>
      <c r="D8758" s="38" t="n">
        <f aca="false">Q!$E$7</f>
        <v>128.725</v>
      </c>
      <c r="E8758" s="38" t="n">
        <f aca="false">Q!$P$7</f>
        <v>79.819</v>
      </c>
      <c r="F8758" s="38" t="n">
        <f aca="false">Sens!$F$8756+Sens!$F$8757</f>
        <v>86.7327334389669</v>
      </c>
      <c r="G8758" s="38" t="n">
        <f aca="false">Sens!$G$8756+Sens!$G$8757</f>
        <v>166.551733438967</v>
      </c>
      <c r="H8758" s="38" t="n">
        <f aca="false">Sens!$H$8756+Sens!$H$8757</f>
        <v>221.182967828978</v>
      </c>
      <c r="I8758" s="38" t="n">
        <f aca="false">Sens!$I$8756+Sens!$I$8757</f>
        <v>280.27345865789</v>
      </c>
      <c r="J8758" s="38" t="n">
        <f aca="false">Sens!$J$8756+Sens!$J$8757</f>
        <v>338.800945197185</v>
      </c>
      <c r="K8758" s="38" t="n">
        <f aca="false">Sens!$K$8756+Sens!$K$8757</f>
        <v>389.599699375015</v>
      </c>
      <c r="L8758" s="38" t="n">
        <f aca="false">Sens!$L$8756+Sens!$L$8757</f>
        <v>428.943490119887</v>
      </c>
      <c r="M8758" s="38" t="n">
        <f aca="false">Sens!$M$8756+Sens!$M$8757</f>
        <v>456.901465525587</v>
      </c>
      <c r="N8758" s="38" t="n">
        <f aca="false">Q!$N$7</f>
        <v>60.14</v>
      </c>
      <c r="O8758" s="38" t="n">
        <f aca="false">Q!$O$7</f>
        <v>68.585</v>
      </c>
      <c r="P8758" s="5" t="s">
        <v>705</v>
      </c>
    </row>
    <row r="8759" customFormat="false" ht="15" hidden="false" customHeight="false" outlineLevel="0" collapsed="false">
      <c r="A8759" s="3" t="s">
        <v>706</v>
      </c>
      <c r="B8759" s="8" t="s">
        <v>86</v>
      </c>
      <c r="C8759" s="38" t="n">
        <f aca="false">Q!$D$8</f>
        <v>637.959</v>
      </c>
      <c r="D8759" s="38" t="n">
        <f aca="false">Q!$E$8</f>
        <v>716.924</v>
      </c>
      <c r="E8759" s="38" t="n">
        <f aca="false">Q!$P$8</f>
        <v>382.125</v>
      </c>
      <c r="F8759" s="38" t="n">
        <f aca="false">Sens!$F$8686+Sens!$F$8758</f>
        <v>435.780975084504</v>
      </c>
      <c r="G8759" s="38" t="n">
        <f aca="false">Sens!$G$8686+Sens!$G$8758</f>
        <v>817.905975084504</v>
      </c>
      <c r="H8759" s="38" t="n">
        <f aca="false">Sens!$H$8686+Sens!$H$8758</f>
        <v>942.279857350364</v>
      </c>
      <c r="I8759" s="38" t="n">
        <f aca="false">Sens!$I$8686+Sens!$I$8758</f>
        <v>1068.80284981042</v>
      </c>
      <c r="J8759" s="38" t="n">
        <f aca="false">Sens!$J$8686+Sens!$J$8758</f>
        <v>1189.90935093863</v>
      </c>
      <c r="K8759" s="38" t="n">
        <f aca="false">Sens!$K$8686+Sens!$K$8758</f>
        <v>1295.7761548061</v>
      </c>
      <c r="L8759" s="38" t="n">
        <f aca="false">Sens!$L$8686+Sens!$L$8758</f>
        <v>1394.03659659548</v>
      </c>
      <c r="M8759" s="38" t="n">
        <f aca="false">Sens!$M$8686+Sens!$M$8758</f>
        <v>1485.04937347247</v>
      </c>
      <c r="N8759" s="38" t="n">
        <f aca="false">Q!$N$8</f>
        <v>323.369</v>
      </c>
      <c r="O8759" s="38" t="n">
        <f aca="false">Q!$O$8</f>
        <v>393.555</v>
      </c>
    </row>
    <row r="8760" customFormat="false" ht="17.15" hidden="false" customHeight="false" outlineLevel="0" collapsed="false">
      <c r="A8760" s="24" t="s">
        <v>714</v>
      </c>
      <c r="B8760" s="25" t="s">
        <v>86</v>
      </c>
      <c r="C8760" s="41" t="n">
        <f aca="false">Sens!$C$8686-(Sens!$C$8688+Sens!$C$8689)</f>
        <v>0</v>
      </c>
      <c r="D8760" s="41" t="n">
        <f aca="false">Sens!$D$8686-(Sens!$D$8688+Sens!$D$8689)</f>
        <v>0</v>
      </c>
      <c r="E8760" s="41" t="n">
        <f aca="false">Sens!$E$8686-(Sens!$E$8688+Sens!$E$8689)</f>
        <v>0</v>
      </c>
      <c r="F8760" s="41" t="n">
        <f aca="false">Sens!$F$8686-(Sens!$F$8688+Sens!$F$8689)</f>
        <v>0</v>
      </c>
      <c r="G8760" s="41" t="n">
        <f aca="false">Sens!$G$8686-(Sens!$G$8688+Sens!$G$8689)</f>
        <v>0</v>
      </c>
      <c r="H8760" s="41" t="n">
        <f aca="false">Sens!$H$8686-(Sens!$H$8688+Sens!$H$8689)</f>
        <v>0</v>
      </c>
      <c r="I8760" s="41" t="n">
        <f aca="false">Sens!$I$8686-(Sens!$I$8688+Sens!$I$8689)</f>
        <v>0</v>
      </c>
      <c r="J8760" s="41" t="n">
        <f aca="false">Sens!$J$8686-(Sens!$J$8688+Sens!$J$8689)</f>
        <v>0</v>
      </c>
      <c r="K8760" s="41" t="n">
        <f aca="false">Sens!$K$8686-(Sens!$K$8688+Sens!$K$8689)</f>
        <v>0</v>
      </c>
      <c r="L8760" s="41" t="n">
        <f aca="false">Sens!$L$8686-(Sens!$L$8688+Sens!$L$8689)</f>
        <v>0</v>
      </c>
      <c r="M8760" s="41" t="n">
        <f aca="false">Sens!$M$8686-(Sens!$M$8688+Sens!$M$8689)</f>
        <v>0</v>
      </c>
      <c r="N8760" s="41" t="n">
        <f aca="false">Sens!$N$8686-(Sens!$N$8688+Sens!$N$8689)</f>
        <v>0</v>
      </c>
      <c r="O8760" s="41" t="n">
        <f aca="false">Sens!$O$8686-(Sens!$O$8688+Sens!$O$8689)</f>
        <v>0</v>
      </c>
    </row>
    <row r="8761" customFormat="false" ht="17.15" hidden="false" customHeight="false" outlineLevel="0" collapsed="false">
      <c r="A8761" s="24" t="s">
        <v>715</v>
      </c>
      <c r="B8761" s="25" t="s">
        <v>86</v>
      </c>
      <c r="C8761" s="41" t="n">
        <f aca="false">Sens!$C$8756+Sens!$C$8757-Sens!$C$8758</f>
        <v>0</v>
      </c>
      <c r="D8761" s="41" t="n">
        <f aca="false">Sens!$D$8756+Sens!$D$8757-Sens!$D$8758</f>
        <v>0</v>
      </c>
      <c r="E8761" s="41" t="n">
        <f aca="false">Sens!$E$8756+Sens!$E$8757-Sens!$E$8758</f>
        <v>0</v>
      </c>
      <c r="F8761" s="41" t="n">
        <f aca="false">Sens!$F$8756+Sens!$F$8757-Sens!$F$8758</f>
        <v>0</v>
      </c>
      <c r="G8761" s="41" t="n">
        <f aca="false">Sens!$G$8756+Sens!$G$8757-Sens!$G$8758</f>
        <v>0</v>
      </c>
      <c r="H8761" s="41" t="n">
        <f aca="false">Sens!$H$8756+Sens!$H$8757-Sens!$H$8758</f>
        <v>0</v>
      </c>
      <c r="I8761" s="41" t="n">
        <f aca="false">Sens!$I$8756+Sens!$I$8757-Sens!$I$8758</f>
        <v>0</v>
      </c>
      <c r="J8761" s="41" t="n">
        <f aca="false">Sens!$J$8756+Sens!$J$8757-Sens!$J$8758</f>
        <v>0</v>
      </c>
      <c r="K8761" s="41" t="n">
        <f aca="false">Sens!$K$8756+Sens!$K$8757-Sens!$K$8758</f>
        <v>0</v>
      </c>
      <c r="L8761" s="41" t="n">
        <f aca="false">Sens!$L$8756+Sens!$L$8757-Sens!$L$8758</f>
        <v>0</v>
      </c>
      <c r="M8761" s="41" t="n">
        <f aca="false">Sens!$M$8756+Sens!$M$8757-Sens!$M$8758</f>
        <v>0</v>
      </c>
      <c r="N8761" s="41" t="n">
        <f aca="false">Sens!$N$8756+Sens!$N$8757-Sens!$N$8758</f>
        <v>0</v>
      </c>
      <c r="O8761" s="41" t="n">
        <f aca="false">Sens!$O$8756+Sens!$O$8757-Sens!$O$8758</f>
        <v>0</v>
      </c>
    </row>
    <row r="8762" customFormat="false" ht="17.15" hidden="false" customHeight="false" outlineLevel="0" collapsed="false">
      <c r="A8762" s="24" t="s">
        <v>716</v>
      </c>
      <c r="B8762" s="25" t="s">
        <v>86</v>
      </c>
      <c r="C8762" s="41" t="n">
        <f aca="false">Sens!$C$8688+Sens!$C$8689+Sens!$C$8758-Sens!$C$8759</f>
        <v>0</v>
      </c>
      <c r="D8762" s="41" t="n">
        <f aca="false">Sens!$D$8688+Sens!$D$8689+Sens!$D$8758-Sens!$D$8759</f>
        <v>0</v>
      </c>
      <c r="E8762" s="41" t="n">
        <f aca="false">Sens!$E$8688+Sens!$E$8689+Sens!$E$8758-Sens!$E$8759</f>
        <v>0</v>
      </c>
      <c r="F8762" s="41" t="n">
        <f aca="false">Sens!$F$8688+Sens!$F$8689+Sens!$F$8758-Sens!$F$8759</f>
        <v>0</v>
      </c>
      <c r="G8762" s="41" t="n">
        <f aca="false">Sens!$G$8688+Sens!$G$8689+Sens!$G$8758-Sens!$G$8759</f>
        <v>0</v>
      </c>
      <c r="H8762" s="41" t="n">
        <f aca="false">Sens!$H$8688+Sens!$H$8689+Sens!$H$8758-Sens!$H$8759</f>
        <v>0</v>
      </c>
      <c r="I8762" s="41" t="n">
        <f aca="false">Sens!$I$8688+Sens!$I$8689+Sens!$I$8758-Sens!$I$8759</f>
        <v>0</v>
      </c>
      <c r="J8762" s="41" t="n">
        <f aca="false">Sens!$J$8688+Sens!$J$8689+Sens!$J$8758-Sens!$J$8759</f>
        <v>0</v>
      </c>
      <c r="K8762" s="41" t="n">
        <f aca="false">Sens!$K$8688+Sens!$K$8689+Sens!$K$8758-Sens!$K$8759</f>
        <v>0</v>
      </c>
      <c r="L8762" s="41" t="n">
        <f aca="false">Sens!$L$8688+Sens!$L$8689+Sens!$L$8758-Sens!$L$8759</f>
        <v>0</v>
      </c>
      <c r="M8762" s="41" t="n">
        <f aca="false">Sens!$M$8688+Sens!$M$8689+Sens!$M$8758-Sens!$M$8759</f>
        <v>0</v>
      </c>
      <c r="N8762" s="41" t="n">
        <f aca="false">Sens!$N$8688+Sens!$N$8689+Sens!$N$8758-Sens!$N$8759</f>
        <v>0</v>
      </c>
      <c r="O8762" s="41" t="n">
        <f aca="false">Sens!$O$8688+Sens!$O$8689+Sens!$O$8758-Sens!$O$8759</f>
        <v>0</v>
      </c>
    </row>
    <row r="8763" customFormat="false" ht="15" hidden="false" customHeight="false" outlineLevel="0" collapsed="false">
      <c r="A8763" s="5" t="s">
        <v>710</v>
      </c>
      <c r="B8763" s="0" t="s">
        <v>52</v>
      </c>
      <c r="G8763" s="13" t="n">
        <f aca="false">Sens!$G$8759/Sens!$D$8759-1</f>
        <v>0.140854504918937</v>
      </c>
      <c r="H8763" s="13" t="n">
        <f aca="false">Sens!$H$8759/Sens!$G$8759-1</f>
        <v>0.152063789793209</v>
      </c>
      <c r="I8763" s="13" t="n">
        <f aca="false">Sens!$I$8759/Sens!$H$8759-1</f>
        <v>0.134273264437417</v>
      </c>
      <c r="J8763" s="13" t="n">
        <f aca="false">Sens!$J$8759/Sens!$I$8759-1</f>
        <v>0.113310421234083</v>
      </c>
      <c r="K8763" s="13" t="n">
        <f aca="false">Sens!$K$8759/Sens!$J$8759-1</f>
        <v>0.0889704781158034</v>
      </c>
      <c r="L8763" s="13" t="n">
        <f aca="false">Sens!$L$8759/Sens!$K$8759-1</f>
        <v>0.0758313397147494</v>
      </c>
      <c r="M8763" s="13" t="n">
        <f aca="false">Sens!$M$8759/Sens!$L$8759-1</f>
        <v>0.0652872220853238</v>
      </c>
    </row>
    <row r="8764" customFormat="false" ht="17.15" hidden="false" customHeight="false" outlineLevel="0" collapsed="false">
      <c r="A8764" s="0" t="s">
        <v>711</v>
      </c>
      <c r="B8764" s="0" t="s">
        <v>52</v>
      </c>
      <c r="C8764" s="13" t="n">
        <f aca="false">Sens!$C$8758/Sens!$C$8759</f>
        <v>0.168593906504964</v>
      </c>
      <c r="D8764" s="13" t="n">
        <f aca="false">Sens!$D$8758/Sens!$D$8759</f>
        <v>0.179551807444025</v>
      </c>
      <c r="E8764" s="13" t="n">
        <f aca="false">Sens!$E$8758/Sens!$E$8759</f>
        <v>0.208881910369643</v>
      </c>
      <c r="F8764" s="13" t="n">
        <f aca="false">Sens!$F$8758/Sens!$F$8759</f>
        <v>0.199028269699356</v>
      </c>
      <c r="G8764" s="13" t="n">
        <f aca="false">Sens!$G$8758/Sens!$G$8759</f>
        <v>0.203631882529968</v>
      </c>
      <c r="H8764" s="13" t="n">
        <f aca="false">Sens!$H$8758/Sens!$H$8759</f>
        <v>0.234731715958496</v>
      </c>
      <c r="I8764" s="13" t="n">
        <f aca="false">Sens!$I$8758/Sens!$I$8759</f>
        <v>0.262231204480418</v>
      </c>
      <c r="J8764" s="13" t="n">
        <f aca="false">Sens!$J$8758/Sens!$J$8759</f>
        <v>0.284728366013706</v>
      </c>
      <c r="K8764" s="13" t="n">
        <f aca="false">Sens!$K$8758/Sens!$K$8759</f>
        <v>0.300668983550877</v>
      </c>
      <c r="L8764" s="13" t="n">
        <f aca="false">Sens!$L$8758/Sens!$L$8759</f>
        <v>0.307698873306092</v>
      </c>
      <c r="M8764" s="13" t="n">
        <f aca="false">Sens!$M$8758/Sens!$M$8759</f>
        <v>0.30766752519293</v>
      </c>
      <c r="N8764" s="13" t="n">
        <f aca="false">Sens!$N$8758/Sens!$N$8759</f>
        <v>0.185979484737251</v>
      </c>
      <c r="O8764" s="13" t="n">
        <f aca="false">Sens!$O$8758/Sens!$O$8759</f>
        <v>0.174270432341096</v>
      </c>
    </row>
    <row r="8765" customFormat="false" ht="17.15" hidden="false" customHeight="false" outlineLevel="0" collapsed="false">
      <c r="A8765" s="0" t="s">
        <v>712</v>
      </c>
      <c r="B8765" s="0" t="s">
        <v>52</v>
      </c>
      <c r="C8765" s="13" t="n">
        <f aca="false">Sens!$C$8756/Sens!$C$8758</f>
        <v>0.0215795060896058</v>
      </c>
      <c r="D8765" s="13" t="n">
        <f aca="false">Sens!$D$8756/Sens!$D$8758</f>
        <v>0.0676152269462122</v>
      </c>
      <c r="E8765" s="13" t="n">
        <f aca="false">Sens!$E$8756/Sens!$E$8758</f>
        <v>0.106620641395783</v>
      </c>
      <c r="F8765" s="13" t="n">
        <f aca="false">Sens!$F$8756/Sens!$F$8758</f>
        <v>0.172523487401099</v>
      </c>
      <c r="G8765" s="13" t="n">
        <f aca="false">Sens!$G$8756/Sens!$G$8758</f>
        <v>0.140939911795589</v>
      </c>
      <c r="H8765" s="13" t="n">
        <f aca="false">Sens!$H$8756/Sens!$H$8758</f>
        <v>0.272018642937714</v>
      </c>
      <c r="I8765" s="13" t="n">
        <f aca="false">Sens!$I$8756/Sens!$I$8758</f>
        <v>0.362159512436497</v>
      </c>
      <c r="J8765" s="13" t="n">
        <f aca="false">Sens!$J$8756/Sens!$J$8758</f>
        <v>0.422151735934609</v>
      </c>
      <c r="K8765" s="13" t="n">
        <f aca="false">Sens!$K$8756/Sens!$K$8758</f>
        <v>0.45729531765871</v>
      </c>
      <c r="L8765" s="13" t="n">
        <f aca="false">Sens!$L$8756/Sens!$L$8758</f>
        <v>0.467639461055993</v>
      </c>
      <c r="M8765" s="13" t="n">
        <f aca="false">Sens!$M$8756/Sens!$M$8758</f>
        <v>0.460231990503268</v>
      </c>
      <c r="N8765" s="13" t="n">
        <f aca="false">Sens!$N$8756/Sens!$N$8758</f>
        <v>0.0506537999838362</v>
      </c>
      <c r="O8765" s="13" t="n">
        <f aca="false">Sens!$O$8756/Sens!$O$8758</f>
        <v>0.0824881615167056</v>
      </c>
    </row>
    <row r="8768" customFormat="false" ht="19.4" hidden="false" customHeight="false" outlineLevel="0" collapsed="false">
      <c r="A8768" s="31" t="s">
        <v>1329</v>
      </c>
    </row>
    <row r="8769" customFormat="false" ht="17.15" hidden="false" customHeight="false" outlineLevel="0" collapsed="false">
      <c r="A8769" s="6" t="s">
        <v>16</v>
      </c>
      <c r="B8769" s="6" t="s">
        <v>17</v>
      </c>
      <c r="C8769" s="20" t="s">
        <v>504</v>
      </c>
      <c r="D8769" s="20" t="s">
        <v>505</v>
      </c>
      <c r="E8769" s="20" t="s">
        <v>587</v>
      </c>
      <c r="F8769" s="20" t="s">
        <v>588</v>
      </c>
      <c r="G8769" s="20" t="s">
        <v>589</v>
      </c>
      <c r="H8769" s="20" t="s">
        <v>590</v>
      </c>
      <c r="I8769" s="20" t="s">
        <v>591</v>
      </c>
      <c r="J8769" s="20" t="s">
        <v>592</v>
      </c>
      <c r="K8769" s="20" t="s">
        <v>593</v>
      </c>
      <c r="L8769" s="20" t="s">
        <v>594</v>
      </c>
      <c r="M8769" s="20" t="s">
        <v>595</v>
      </c>
      <c r="N8769" s="20" t="s">
        <v>596</v>
      </c>
      <c r="O8769" s="20" t="s">
        <v>597</v>
      </c>
      <c r="P8769" s="6" t="s">
        <v>23</v>
      </c>
      <c r="R8769" s="20" t="n">
        <v>2023</v>
      </c>
      <c r="S8769" s="20" t="n">
        <v>2024</v>
      </c>
      <c r="T8769" s="20" t="n">
        <v>2025</v>
      </c>
      <c r="U8769" s="20" t="n">
        <v>2026</v>
      </c>
      <c r="V8769" s="20" t="n">
        <v>2027</v>
      </c>
      <c r="W8769" s="20" t="n">
        <v>2028</v>
      </c>
      <c r="X8769" s="20" t="n">
        <v>2029</v>
      </c>
      <c r="Y8769" s="20" t="n">
        <v>2030</v>
      </c>
      <c r="Z8769" s="20" t="n">
        <v>2031</v>
      </c>
      <c r="AA8769" s="20" t="n">
        <v>2032</v>
      </c>
    </row>
    <row r="8770" customFormat="false" ht="17.15" hidden="false" customHeight="false" outlineLevel="0" collapsed="false">
      <c r="A8770" s="1" t="s">
        <v>727</v>
      </c>
    </row>
    <row r="8771" customFormat="false" ht="15" hidden="false" customHeight="false" outlineLevel="0" collapsed="false">
      <c r="A8771" s="0" t="s">
        <v>526</v>
      </c>
      <c r="B8771" s="0" t="s">
        <v>86</v>
      </c>
      <c r="C8771" s="38" t="n">
        <f aca="false">Sens!$C$8673</f>
        <v>247.029</v>
      </c>
      <c r="D8771" s="38" t="n">
        <f aca="false">Sens!$D$8673</f>
        <v>269.287</v>
      </c>
      <c r="E8771" s="38" t="n">
        <f aca="false">Sens!$E$8673</f>
        <v>134.686</v>
      </c>
      <c r="F8771" s="38" t="n">
        <f aca="false">Sens!$F$8673</f>
        <v>158.293876822267</v>
      </c>
      <c r="G8771" s="38" t="n">
        <f aca="false">Sens!$G$8673</f>
        <v>292.979876822267</v>
      </c>
      <c r="H8771" s="38" t="n">
        <f aca="false">Sens!$H$8673</f>
        <v>318.184543087396</v>
      </c>
      <c r="I8771" s="38" t="n">
        <f aca="false">Sens!$I$8673</f>
        <v>341.736278761793</v>
      </c>
      <c r="J8771" s="38" t="n">
        <f aca="false">Sens!$J$8673</f>
        <v>362.927192787048</v>
      </c>
      <c r="K8771" s="38" t="n">
        <f aca="false">Sens!$K$8673</f>
        <v>381.0735524264</v>
      </c>
      <c r="L8771" s="38" t="n">
        <f aca="false">Sens!$L$8673</f>
        <v>400.12723004772</v>
      </c>
      <c r="M8771" s="38" t="n">
        <f aca="false">Sens!$M$8673</f>
        <v>420.133591550106</v>
      </c>
      <c r="N8771" s="38" t="n">
        <f aca="false">Sens!$N$8673</f>
        <v>118.892</v>
      </c>
      <c r="O8771" s="38" t="n">
        <f aca="false">Sens!$O$8673</f>
        <v>150.395</v>
      </c>
    </row>
    <row r="8772" customFormat="false" ht="15" hidden="false" customHeight="false" outlineLevel="0" collapsed="false">
      <c r="A8772" s="0" t="s">
        <v>527</v>
      </c>
      <c r="B8772" s="0" t="s">
        <v>86</v>
      </c>
      <c r="C8772" s="38" t="n">
        <f aca="false">Sens!$C$8675</f>
        <v>21.215</v>
      </c>
      <c r="D8772" s="38" t="n">
        <f aca="false">Sens!$D$8675</f>
        <v>22.561</v>
      </c>
      <c r="E8772" s="38" t="n">
        <f aca="false">Sens!$E$8675</f>
        <v>11.579</v>
      </c>
      <c r="F8772" s="38" t="n">
        <f aca="false">Sens!$F$8675</f>
        <v>11.5938724610325</v>
      </c>
      <c r="G8772" s="38" t="n">
        <f aca="false">Sens!$G$8675</f>
        <v>23.1728724610325</v>
      </c>
      <c r="H8772" s="38" t="n">
        <f aca="false">Sens!$H$8675</f>
        <v>24.353392759506</v>
      </c>
      <c r="I8772" s="38" t="n">
        <f aca="false">Sens!$I$8675</f>
        <v>25.4240338872015</v>
      </c>
      <c r="J8772" s="38" t="n">
        <f aca="false">Sens!$J$8675</f>
        <v>26.3642491017174</v>
      </c>
      <c r="K8772" s="38" t="n">
        <f aca="false">Sens!$K$8675</f>
        <v>27.155176574769</v>
      </c>
      <c r="L8772" s="38" t="n">
        <f aca="false">Sens!$L$8675</f>
        <v>27.969831872012</v>
      </c>
      <c r="M8772" s="38" t="n">
        <f aca="false">Sens!$M$8675</f>
        <v>28.8089268281724</v>
      </c>
      <c r="N8772" s="38" t="n">
        <f aca="false">Sens!$N$8675</f>
        <v>11.128</v>
      </c>
      <c r="O8772" s="38" t="n">
        <f aca="false">Sens!$O$8675</f>
        <v>11.433</v>
      </c>
    </row>
    <row r="8773" customFormat="false" ht="15" hidden="false" customHeight="false" outlineLevel="0" collapsed="false">
      <c r="A8773" s="0" t="s">
        <v>528</v>
      </c>
      <c r="B8773" s="0" t="s">
        <v>86</v>
      </c>
      <c r="C8773" s="38" t="n">
        <f aca="false">Sens!$C$8677</f>
        <v>156.146</v>
      </c>
      <c r="D8773" s="38" t="n">
        <f aca="false">Sens!$D$8677</f>
        <v>172.162</v>
      </c>
      <c r="E8773" s="38" t="n">
        <f aca="false">Sens!$E$8677</f>
        <v>88.358</v>
      </c>
      <c r="F8773" s="38" t="n">
        <f aca="false">Sens!$F$8677</f>
        <v>102.004388260171</v>
      </c>
      <c r="G8773" s="38" t="n">
        <f aca="false">Sens!$G$8677</f>
        <v>190.362388260171</v>
      </c>
      <c r="H8773" s="38" t="n">
        <f aca="false">Sens!$H$8677</f>
        <v>210.343106588311</v>
      </c>
      <c r="I8773" s="38" t="n">
        <f aca="false">Sens!$I$8677</f>
        <v>229.969728494648</v>
      </c>
      <c r="J8773" s="38" t="n">
        <f aca="false">Sens!$J$8677</f>
        <v>248.747636972598</v>
      </c>
      <c r="K8773" s="38" t="n">
        <f aca="false">Sens!$K$8677</f>
        <v>266.15997156068</v>
      </c>
      <c r="L8773" s="38" t="n">
        <f aca="false">Sens!$L$8677</f>
        <v>284.791169569927</v>
      </c>
      <c r="M8773" s="38" t="n">
        <f aca="false">Sens!$M$8677</f>
        <v>304.726551439822</v>
      </c>
      <c r="N8773" s="38" t="n">
        <f aca="false">Sens!$N$8677</f>
        <v>76.86</v>
      </c>
      <c r="O8773" s="38" t="n">
        <f aca="false">Sens!$O$8677</f>
        <v>95.302</v>
      </c>
    </row>
    <row r="8774" customFormat="false" ht="15" hidden="false" customHeight="false" outlineLevel="0" collapsed="false">
      <c r="A8774" s="0" t="s">
        <v>529</v>
      </c>
      <c r="B8774" s="0" t="s">
        <v>86</v>
      </c>
      <c r="C8774" s="38" t="n">
        <f aca="false">Sens!$C$8679</f>
        <v>56.214</v>
      </c>
      <c r="D8774" s="38" t="n">
        <f aca="false">Sens!$D$8679</f>
        <v>68.635</v>
      </c>
      <c r="E8774" s="38" t="n">
        <f aca="false">Sens!$E$8679</f>
        <v>37.052</v>
      </c>
      <c r="F8774" s="38" t="n">
        <f aca="false">Sens!$F$8679</f>
        <v>46.1572219944148</v>
      </c>
      <c r="G8774" s="38" t="n">
        <f aca="false">Sens!$G$8679</f>
        <v>83.2092219944148</v>
      </c>
      <c r="H8774" s="38" t="n">
        <f aca="false">Sens!$H$8679</f>
        <v>99.8969223878976</v>
      </c>
      <c r="I8774" s="38" t="n">
        <f aca="false">Sens!$I$8679</f>
        <v>116.583111095496</v>
      </c>
      <c r="J8774" s="38" t="n">
        <f aca="false">Sens!$J$8679</f>
        <v>132.148941941952</v>
      </c>
      <c r="K8774" s="38" t="n">
        <f aca="false">Sens!$K$8679</f>
        <v>145.363836136147</v>
      </c>
      <c r="L8774" s="38" t="n">
        <f aca="false">Sens!$L$8679</f>
        <v>159.900219749762</v>
      </c>
      <c r="M8774" s="38" t="n">
        <f aca="false">Sens!$M$8679</f>
        <v>175.890241724738</v>
      </c>
      <c r="N8774" s="38" t="n">
        <f aca="false">Sens!$N$8679</f>
        <v>29.615</v>
      </c>
      <c r="O8774" s="38" t="n">
        <f aca="false">Sens!$O$8679</f>
        <v>39.02</v>
      </c>
    </row>
    <row r="8775" customFormat="false" ht="15" hidden="false" customHeight="false" outlineLevel="0" collapsed="false">
      <c r="A8775" s="0" t="s">
        <v>530</v>
      </c>
      <c r="B8775" s="0" t="s">
        <v>86</v>
      </c>
      <c r="C8775" s="38" t="n">
        <f aca="false">Sens!$C$8681</f>
        <v>44.374</v>
      </c>
      <c r="D8775" s="38" t="n">
        <f aca="false">Sens!$D$8681</f>
        <v>49.619</v>
      </c>
      <c r="E8775" s="38" t="n">
        <f aca="false">Sens!$E$8681</f>
        <v>27.157</v>
      </c>
      <c r="F8775" s="38" t="n">
        <f aca="false">Sens!$F$8681</f>
        <v>27.7764165988154</v>
      </c>
      <c r="G8775" s="38" t="n">
        <f aca="false">Sens!$G$8681</f>
        <v>54.9334165988154</v>
      </c>
      <c r="H8775" s="38" t="n">
        <f aca="false">Sens!$H$8681</f>
        <v>61.1564112561829</v>
      </c>
      <c r="I8775" s="38" t="n">
        <f aca="false">Sens!$I$8681</f>
        <v>67.2020282103945</v>
      </c>
      <c r="J8775" s="38" t="n">
        <f aca="false">Sens!$J$8681</f>
        <v>72.8757274028885</v>
      </c>
      <c r="K8775" s="38" t="n">
        <f aca="false">Sens!$K$8681</f>
        <v>77.9770283210907</v>
      </c>
      <c r="L8775" s="38" t="n">
        <f aca="false">Sens!$L$8681</f>
        <v>83.4354203035671</v>
      </c>
      <c r="M8775" s="38" t="n">
        <f aca="false">Sens!$M$8681</f>
        <v>89.2758997248168</v>
      </c>
      <c r="N8775" s="38" t="n">
        <f aca="false">Sens!$N$8681</f>
        <v>23.923</v>
      </c>
      <c r="O8775" s="38" t="n">
        <f aca="false">Sens!$O$8681</f>
        <v>25.696</v>
      </c>
    </row>
    <row r="8776" customFormat="false" ht="15" hidden="false" customHeight="false" outlineLevel="0" collapsed="false">
      <c r="A8776" s="0" t="s">
        <v>531</v>
      </c>
      <c r="B8776" s="0" t="s">
        <v>86</v>
      </c>
      <c r="C8776" s="38" t="n">
        <f aca="false">Sens!$C$8683</f>
        <v>5.425</v>
      </c>
      <c r="D8776" s="38" t="n">
        <f aca="false">Sens!$D$8683</f>
        <v>5.935</v>
      </c>
      <c r="E8776" s="38" t="n">
        <f aca="false">Sens!$E$8683</f>
        <v>3.474</v>
      </c>
      <c r="F8776" s="38" t="n">
        <f aca="false">Sens!$F$8683</f>
        <v>3.22246550883619</v>
      </c>
      <c r="G8776" s="38" t="n">
        <f aca="false">Sens!$G$8683</f>
        <v>6.69646550883619</v>
      </c>
      <c r="H8776" s="38" t="n">
        <f aca="false">Sens!$H$8683</f>
        <v>7.16251344209196</v>
      </c>
      <c r="I8776" s="38" t="n">
        <f aca="false">Sens!$I$8683</f>
        <v>7.61421070299826</v>
      </c>
      <c r="J8776" s="38" t="n">
        <f aca="false">Sens!$J$8683</f>
        <v>8.04465753523932</v>
      </c>
      <c r="K8776" s="38" t="n">
        <f aca="false">Sens!$K$8683</f>
        <v>8.44689041200128</v>
      </c>
      <c r="L8776" s="38" t="n">
        <f aca="false">Sens!$L$8683</f>
        <v>8.86923493260135</v>
      </c>
      <c r="M8776" s="38" t="n">
        <f aca="false">Sens!$M$8683</f>
        <v>9.31269667923142</v>
      </c>
      <c r="N8776" s="38" t="n">
        <f aca="false">Sens!$N$8683</f>
        <v>2.811</v>
      </c>
      <c r="O8776" s="38" t="n">
        <f aca="false">Sens!$O$8683</f>
        <v>3.124</v>
      </c>
    </row>
    <row r="8777" customFormat="false" ht="17.15" hidden="false" customHeight="false" outlineLevel="0" collapsed="false">
      <c r="A8777" s="0" t="s">
        <v>728</v>
      </c>
      <c r="B8777" s="0" t="s">
        <v>86</v>
      </c>
      <c r="C8777" s="38" t="n">
        <f aca="false">Sens!$C$8758</f>
        <v>107.556</v>
      </c>
      <c r="D8777" s="38" t="n">
        <f aca="false">Sens!$D$8758</f>
        <v>128.725</v>
      </c>
      <c r="E8777" s="38" t="n">
        <f aca="false">Sens!$E$8758</f>
        <v>79.819</v>
      </c>
      <c r="F8777" s="38" t="n">
        <f aca="false">Sens!$F$8758</f>
        <v>86.7327334389669</v>
      </c>
      <c r="G8777" s="38" t="n">
        <f aca="false">Sens!$G$8758</f>
        <v>166.551733438967</v>
      </c>
      <c r="H8777" s="38" t="n">
        <f aca="false">Sens!$H$8758</f>
        <v>221.182967828978</v>
      </c>
      <c r="I8777" s="38" t="n">
        <f aca="false">Sens!$I$8758</f>
        <v>280.27345865789</v>
      </c>
      <c r="J8777" s="38" t="n">
        <f aca="false">Sens!$J$8758</f>
        <v>338.800945197185</v>
      </c>
      <c r="K8777" s="38" t="n">
        <f aca="false">Sens!$K$8758</f>
        <v>389.599699375015</v>
      </c>
      <c r="L8777" s="38" t="n">
        <f aca="false">Sens!$L$8758</f>
        <v>428.943490119887</v>
      </c>
      <c r="M8777" s="38" t="n">
        <f aca="false">Sens!$M$8758</f>
        <v>456.901465525587</v>
      </c>
      <c r="N8777" s="38" t="n">
        <f aca="false">Sens!$N$8758</f>
        <v>60.14</v>
      </c>
      <c r="O8777" s="38" t="n">
        <f aca="false">Sens!$O$8758</f>
        <v>68.585</v>
      </c>
    </row>
    <row r="8778" customFormat="false" ht="15" hidden="false" customHeight="false" outlineLevel="0" collapsed="false">
      <c r="A8778" s="1" t="s">
        <v>519</v>
      </c>
      <c r="B8778" s="8" t="s">
        <v>86</v>
      </c>
      <c r="C8778" s="38" t="n">
        <f aca="false">Sens!$C$8688</f>
        <v>387.497</v>
      </c>
      <c r="D8778" s="38" t="n">
        <f aca="false">Sens!$D$8688</f>
        <v>426.305</v>
      </c>
      <c r="E8778" s="38" t="n">
        <f aca="false">Sens!$E$8688</f>
        <v>220.32</v>
      </c>
      <c r="F8778" s="38" t="n">
        <f aca="false">Sens!$F$8688</f>
        <v>250.639773480586</v>
      </c>
      <c r="G8778" s="38" t="n">
        <f aca="false">Sens!$G$8688</f>
        <v>470.959773480586</v>
      </c>
      <c r="H8778" s="38" t="n">
        <f aca="false">Sens!$H$8688</f>
        <v>521.386990416437</v>
      </c>
      <c r="I8778" s="38" t="n">
        <f aca="false">Sens!$I$8688</f>
        <v>570.143862887555</v>
      </c>
      <c r="J8778" s="38" t="n">
        <f aca="false">Sens!$J$8688</f>
        <v>615.391435791933</v>
      </c>
      <c r="K8778" s="38" t="n">
        <f aca="false">Sens!$K$8688</f>
        <v>655.208227561543</v>
      </c>
      <c r="L8778" s="38" t="n">
        <f aca="false">Sens!$L$8688</f>
        <v>697.807739249767</v>
      </c>
      <c r="M8778" s="38" t="n">
        <f aca="false">Sens!$M$8688</f>
        <v>743.399328463592</v>
      </c>
      <c r="N8778" s="38" t="n">
        <f aca="false">Sens!$N$8688</f>
        <v>192.955</v>
      </c>
      <c r="O8778" s="38" t="n">
        <f aca="false">Sens!$O$8688</f>
        <v>233.35</v>
      </c>
    </row>
    <row r="8779" customFormat="false" ht="15" hidden="false" customHeight="false" outlineLevel="0" collapsed="false">
      <c r="A8779" s="1" t="s">
        <v>522</v>
      </c>
      <c r="B8779" s="8" t="s">
        <v>86</v>
      </c>
      <c r="C8779" s="38" t="n">
        <f aca="false">Sens!$C$8689</f>
        <v>142.906</v>
      </c>
      <c r="D8779" s="38" t="n">
        <f aca="false">Sens!$D$8689</f>
        <v>161.894</v>
      </c>
      <c r="E8779" s="38" t="n">
        <f aca="false">Sens!$E$8689</f>
        <v>81.986</v>
      </c>
      <c r="F8779" s="38" t="n">
        <f aca="false">Sens!$F$8689</f>
        <v>98.408468164951</v>
      </c>
      <c r="G8779" s="38" t="n">
        <f aca="false">Sens!$G$8689</f>
        <v>180.394468164951</v>
      </c>
      <c r="H8779" s="38" t="n">
        <f aca="false">Sens!$H$8689</f>
        <v>199.709899104949</v>
      </c>
      <c r="I8779" s="38" t="n">
        <f aca="false">Sens!$I$8689</f>
        <v>218.385528264976</v>
      </c>
      <c r="J8779" s="38" t="n">
        <f aca="false">Sens!$J$8689</f>
        <v>235.71696994951</v>
      </c>
      <c r="K8779" s="38" t="n">
        <f aca="false">Sens!$K$8689</f>
        <v>250.968227869545</v>
      </c>
      <c r="L8779" s="38" t="n">
        <f aca="false">Sens!$L$8689</f>
        <v>267.285367225822</v>
      </c>
      <c r="M8779" s="38" t="n">
        <f aca="false">Sens!$M$8689</f>
        <v>284.748579483295</v>
      </c>
      <c r="N8779" s="38" t="n">
        <f aca="false">Sens!$N$8689</f>
        <v>70.274</v>
      </c>
      <c r="O8779" s="38" t="n">
        <f aca="false">Sens!$O$8689</f>
        <v>91.62</v>
      </c>
    </row>
    <row r="8780" customFormat="false" ht="15" hidden="false" customHeight="false" outlineLevel="0" collapsed="false">
      <c r="A8780" s="1" t="s">
        <v>523</v>
      </c>
      <c r="B8780" s="8" t="s">
        <v>86</v>
      </c>
      <c r="C8780" s="38" t="n">
        <f aca="false">Sens!$C$8758</f>
        <v>107.556</v>
      </c>
      <c r="D8780" s="38" t="n">
        <f aca="false">Sens!$D$8758</f>
        <v>128.725</v>
      </c>
      <c r="E8780" s="38" t="n">
        <f aca="false">Sens!$E$8758</f>
        <v>79.819</v>
      </c>
      <c r="F8780" s="38" t="n">
        <f aca="false">Sens!$F$8758</f>
        <v>86.7327334389669</v>
      </c>
      <c r="G8780" s="38" t="n">
        <f aca="false">Sens!$G$8758</f>
        <v>166.551733438967</v>
      </c>
      <c r="H8780" s="38" t="n">
        <f aca="false">Sens!$H$8758</f>
        <v>221.182967828978</v>
      </c>
      <c r="I8780" s="38" t="n">
        <f aca="false">Sens!$I$8758</f>
        <v>280.27345865789</v>
      </c>
      <c r="J8780" s="38" t="n">
        <f aca="false">Sens!$J$8758</f>
        <v>338.800945197185</v>
      </c>
      <c r="K8780" s="38" t="n">
        <f aca="false">Sens!$K$8758</f>
        <v>389.599699375015</v>
      </c>
      <c r="L8780" s="38" t="n">
        <f aca="false">Sens!$L$8758</f>
        <v>428.943490119887</v>
      </c>
      <c r="M8780" s="38" t="n">
        <f aca="false">Sens!$M$8758</f>
        <v>456.901465525587</v>
      </c>
      <c r="N8780" s="38" t="n">
        <f aca="false">Sens!$N$8758</f>
        <v>60.14</v>
      </c>
      <c r="O8780" s="38" t="n">
        <f aca="false">Sens!$O$8758</f>
        <v>68.585</v>
      </c>
    </row>
    <row r="8781" customFormat="false" ht="17.15" hidden="false" customHeight="false" outlineLevel="0" collapsed="false">
      <c r="A8781" s="0" t="s">
        <v>702</v>
      </c>
      <c r="B8781" s="0" t="s">
        <v>86</v>
      </c>
      <c r="C8781" s="38" t="n">
        <f aca="false">Sens!$C$8756</f>
        <v>2.32100535697364</v>
      </c>
      <c r="D8781" s="38" t="n">
        <f aca="false">Sens!$D$8756</f>
        <v>8.70377008865116</v>
      </c>
      <c r="E8781" s="38" t="n">
        <f aca="false">Sens!$E$8756</f>
        <v>8.51035297557002</v>
      </c>
      <c r="F8781" s="38" t="n">
        <f aca="false">Sens!$F$8756</f>
        <v>14.9634336447205</v>
      </c>
      <c r="G8781" s="38" t="n">
        <f aca="false">Sens!$G$8756</f>
        <v>23.4737866202905</v>
      </c>
      <c r="H8781" s="38" t="n">
        <f aca="false">Sens!$H$8756</f>
        <v>60.1658907497746</v>
      </c>
      <c r="I8781" s="38" t="n">
        <f aca="false">Sens!$I$8756</f>
        <v>101.503699136432</v>
      </c>
      <c r="J8781" s="38" t="n">
        <f aca="false">Sens!$J$8756</f>
        <v>143.025407151278</v>
      </c>
      <c r="K8781" s="38" t="n">
        <f aca="false">Sens!$K$8756</f>
        <v>178.162118285436</v>
      </c>
      <c r="L8781" s="38" t="n">
        <f aca="false">Sens!$L$8756</f>
        <v>200.590902543141</v>
      </c>
      <c r="M8781" s="38" t="n">
        <f aca="false">Sens!$M$8756</f>
        <v>210.280670942702</v>
      </c>
      <c r="N8781" s="38" t="n">
        <f aca="false">Sens!$N$8756</f>
        <v>3.04631953102791</v>
      </c>
      <c r="O8781" s="38" t="n">
        <f aca="false">Sens!$O$8756</f>
        <v>5.65745055762326</v>
      </c>
    </row>
    <row r="8782" customFormat="false" ht="17.15" hidden="false" customHeight="false" outlineLevel="0" collapsed="false">
      <c r="A8782" s="0" t="s">
        <v>704</v>
      </c>
      <c r="B8782" s="0" t="s">
        <v>86</v>
      </c>
      <c r="C8782" s="38" t="n">
        <f aca="false">Sens!$C$8757</f>
        <v>105.234994643026</v>
      </c>
      <c r="D8782" s="38" t="n">
        <f aca="false">Sens!$D$8757</f>
        <v>120.021229911349</v>
      </c>
      <c r="E8782" s="38" t="n">
        <f aca="false">Sens!$E$8757</f>
        <v>71.30864702443</v>
      </c>
      <c r="F8782" s="38" t="n">
        <f aca="false">Sens!$F$8757</f>
        <v>71.7692997942464</v>
      </c>
      <c r="G8782" s="38" t="n">
        <f aca="false">Sens!$G$8757</f>
        <v>143.077946818676</v>
      </c>
      <c r="H8782" s="38" t="n">
        <f aca="false">Sens!$H$8757</f>
        <v>161.017077079203</v>
      </c>
      <c r="I8782" s="38" t="n">
        <f aca="false">Sens!$I$8757</f>
        <v>178.769759521457</v>
      </c>
      <c r="J8782" s="38" t="n">
        <f aca="false">Sens!$J$8757</f>
        <v>195.775538045907</v>
      </c>
      <c r="K8782" s="38" t="n">
        <f aca="false">Sens!$K$8757</f>
        <v>211.43758108958</v>
      </c>
      <c r="L8782" s="38" t="n">
        <f aca="false">Sens!$L$8757</f>
        <v>228.352587576746</v>
      </c>
      <c r="M8782" s="38" t="n">
        <f aca="false">Sens!$M$8757</f>
        <v>246.620794582886</v>
      </c>
      <c r="N8782" s="38" t="n">
        <f aca="false">Sens!$N$8757</f>
        <v>57.0936804689721</v>
      </c>
      <c r="O8782" s="38" t="n">
        <f aca="false">Sens!$O$8757</f>
        <v>62.9275494423768</v>
      </c>
    </row>
    <row r="8783" customFormat="false" ht="15" hidden="false" customHeight="false" outlineLevel="0" collapsed="false">
      <c r="A8783" s="3" t="s">
        <v>524</v>
      </c>
      <c r="B8783" s="8" t="s">
        <v>86</v>
      </c>
      <c r="C8783" s="38" t="n">
        <f aca="false">Sens!$C$8759</f>
        <v>637.959</v>
      </c>
      <c r="D8783" s="38" t="n">
        <f aca="false">Sens!$D$8759</f>
        <v>716.924</v>
      </c>
      <c r="E8783" s="38" t="n">
        <f aca="false">Sens!$E$8759</f>
        <v>382.125</v>
      </c>
      <c r="F8783" s="38" t="n">
        <f aca="false">Sens!$F$8759</f>
        <v>435.780975084504</v>
      </c>
      <c r="G8783" s="38" t="n">
        <f aca="false">Sens!$G$8759</f>
        <v>817.905975084504</v>
      </c>
      <c r="H8783" s="38" t="n">
        <f aca="false">Sens!$H$8759</f>
        <v>942.279857350364</v>
      </c>
      <c r="I8783" s="38" t="n">
        <f aca="false">Sens!$I$8759</f>
        <v>1068.80284981042</v>
      </c>
      <c r="J8783" s="38" t="n">
        <f aca="false">Sens!$J$8759</f>
        <v>1189.90935093863</v>
      </c>
      <c r="K8783" s="38" t="n">
        <f aca="false">Sens!$K$8759</f>
        <v>1295.7761548061</v>
      </c>
      <c r="L8783" s="38" t="n">
        <f aca="false">Sens!$L$8759</f>
        <v>1394.03659659548</v>
      </c>
      <c r="M8783" s="38" t="n">
        <f aca="false">Sens!$M$8759</f>
        <v>1485.04937347247</v>
      </c>
      <c r="N8783" s="38" t="n">
        <f aca="false">Sens!$N$8759</f>
        <v>323.369</v>
      </c>
      <c r="O8783" s="38" t="n">
        <f aca="false">Sens!$O$8759</f>
        <v>393.555</v>
      </c>
    </row>
    <row r="8784" customFormat="false" ht="17.15" hidden="false" customHeight="false" outlineLevel="0" collapsed="false">
      <c r="A8784" s="24" t="s">
        <v>714</v>
      </c>
      <c r="B8784" s="25" t="s">
        <v>86</v>
      </c>
      <c r="C8784" s="41" t="n">
        <f aca="false">Sens!$C$8771+Sens!$C$8772+Sens!$C$8773+Sens!$C$8774+Sens!$C$8775+Sens!$C$8776-(Sens!$C$8778+Sens!$C$8779)</f>
        <v>0</v>
      </c>
      <c r="D8784" s="41" t="n">
        <f aca="false">Sens!$D$8771+Sens!$D$8772+Sens!$D$8773+Sens!$D$8774+Sens!$D$8775+Sens!$D$8776-(Sens!$D$8778+Sens!$D$8779)</f>
        <v>0</v>
      </c>
      <c r="E8784" s="41" t="n">
        <f aca="false">Sens!$E$8771+Sens!$E$8772+Sens!$E$8773+Sens!$E$8774+Sens!$E$8775+Sens!$E$8776-(Sens!$E$8778+Sens!$E$8779)</f>
        <v>0</v>
      </c>
      <c r="F8784" s="41" t="n">
        <f aca="false">Sens!$F$8771+Sens!$F$8772+Sens!$F$8773+Sens!$F$8774+Sens!$F$8775+Sens!$F$8776-(Sens!$F$8778+Sens!$F$8779)</f>
        <v>0</v>
      </c>
      <c r="G8784" s="41" t="n">
        <f aca="false">Sens!$G$8771+Sens!$G$8772+Sens!$G$8773+Sens!$G$8774+Sens!$G$8775+Sens!$G$8776-(Sens!$G$8778+Sens!$G$8779)</f>
        <v>0</v>
      </c>
      <c r="H8784" s="41" t="n">
        <f aca="false">Sens!$H$8771+Sens!$H$8772+Sens!$H$8773+Sens!$H$8774+Sens!$H$8775+Sens!$H$8776-(Sens!$H$8778+Sens!$H$8779)</f>
        <v>0</v>
      </c>
      <c r="I8784" s="41" t="n">
        <f aca="false">Sens!$I$8771+Sens!$I$8772+Sens!$I$8773+Sens!$I$8774+Sens!$I$8775+Sens!$I$8776-(Sens!$I$8778+Sens!$I$8779)</f>
        <v>0</v>
      </c>
      <c r="J8784" s="41" t="n">
        <f aca="false">Sens!$J$8771+Sens!$J$8772+Sens!$J$8773+Sens!$J$8774+Sens!$J$8775+Sens!$J$8776-(Sens!$J$8778+Sens!$J$8779)</f>
        <v>0</v>
      </c>
      <c r="K8784" s="41" t="n">
        <f aca="false">Sens!$K$8771+Sens!$K$8772+Sens!$K$8773+Sens!$K$8774+Sens!$K$8775+Sens!$K$8776-(Sens!$K$8778+Sens!$K$8779)</f>
        <v>0</v>
      </c>
      <c r="L8784" s="41" t="n">
        <f aca="false">Sens!$L$8771+Sens!$L$8772+Sens!$L$8773+Sens!$L$8774+Sens!$L$8775+Sens!$L$8776-(Sens!$L$8778+Sens!$L$8779)</f>
        <v>0</v>
      </c>
      <c r="M8784" s="41" t="n">
        <f aca="false">Sens!$M$8771+Sens!$M$8772+Sens!$M$8773+Sens!$M$8774+Sens!$M$8775+Sens!$M$8776-(Sens!$M$8778+Sens!$M$8779)</f>
        <v>0</v>
      </c>
      <c r="N8784" s="41" t="n">
        <f aca="false">Sens!$N$8771+Sens!$N$8772+Sens!$N$8773+Sens!$N$8774+Sens!$N$8775+Sens!$N$8776-(Sens!$N$8778+Sens!$N$8779)</f>
        <v>0</v>
      </c>
      <c r="O8784" s="41" t="n">
        <f aca="false">Sens!$O$8771+Sens!$O$8772+Sens!$O$8773+Sens!$O$8774+Sens!$O$8775+Sens!$O$8776-(Sens!$O$8778+Sens!$O$8779)</f>
        <v>0</v>
      </c>
    </row>
    <row r="8785" customFormat="false" ht="17.15" hidden="false" customHeight="false" outlineLevel="0" collapsed="false">
      <c r="A8785" s="24" t="s">
        <v>715</v>
      </c>
      <c r="B8785" s="25" t="s">
        <v>86</v>
      </c>
      <c r="C8785" s="41" t="n">
        <f aca="false">Sens!$C$8781+Sens!$C$8782-Sens!$C$8780</f>
        <v>0</v>
      </c>
      <c r="D8785" s="41" t="n">
        <f aca="false">Sens!$D$8781+Sens!$D$8782-Sens!$D$8780</f>
        <v>0</v>
      </c>
      <c r="E8785" s="41" t="n">
        <f aca="false">Sens!$E$8781+Sens!$E$8782-Sens!$E$8780</f>
        <v>0</v>
      </c>
      <c r="F8785" s="41" t="n">
        <f aca="false">Sens!$F$8781+Sens!$F$8782-Sens!$F$8780</f>
        <v>0</v>
      </c>
      <c r="G8785" s="41" t="n">
        <f aca="false">Sens!$G$8781+Sens!$G$8782-Sens!$G$8780</f>
        <v>0</v>
      </c>
      <c r="H8785" s="41" t="n">
        <f aca="false">Sens!$H$8781+Sens!$H$8782-Sens!$H$8780</f>
        <v>0</v>
      </c>
      <c r="I8785" s="41" t="n">
        <f aca="false">Sens!$I$8781+Sens!$I$8782-Sens!$I$8780</f>
        <v>0</v>
      </c>
      <c r="J8785" s="41" t="n">
        <f aca="false">Sens!$J$8781+Sens!$J$8782-Sens!$J$8780</f>
        <v>0</v>
      </c>
      <c r="K8785" s="41" t="n">
        <f aca="false">Sens!$K$8781+Sens!$K$8782-Sens!$K$8780</f>
        <v>0</v>
      </c>
      <c r="L8785" s="41" t="n">
        <f aca="false">Sens!$L$8781+Sens!$L$8782-Sens!$L$8780</f>
        <v>0</v>
      </c>
      <c r="M8785" s="41" t="n">
        <f aca="false">Sens!$M$8781+Sens!$M$8782-Sens!$M$8780</f>
        <v>0</v>
      </c>
      <c r="N8785" s="41" t="n">
        <f aca="false">Sens!$N$8781+Sens!$N$8782-Sens!$N$8780</f>
        <v>0</v>
      </c>
      <c r="O8785" s="41" t="n">
        <f aca="false">Sens!$O$8781+Sens!$O$8782-Sens!$O$8780</f>
        <v>0</v>
      </c>
    </row>
    <row r="8786" customFormat="false" ht="17.15" hidden="false" customHeight="false" outlineLevel="0" collapsed="false">
      <c r="A8786" s="24" t="s">
        <v>774</v>
      </c>
      <c r="B8786" s="25" t="s">
        <v>86</v>
      </c>
      <c r="C8786" s="41" t="n">
        <f aca="false">Sens!$C$8771+Sens!$C$8772+Sens!$C$8773+Sens!$C$8774+Sens!$C$8775+Sens!$C$8776+Sens!$C$8777-Sens!$C$8783</f>
        <v>0</v>
      </c>
      <c r="D8786" s="41" t="n">
        <f aca="false">Sens!$D$8771+Sens!$D$8772+Sens!$D$8773+Sens!$D$8774+Sens!$D$8775+Sens!$D$8776+Sens!$D$8777-Sens!$D$8783</f>
        <v>0</v>
      </c>
      <c r="E8786" s="41" t="n">
        <f aca="false">Sens!$E$8771+Sens!$E$8772+Sens!$E$8773+Sens!$E$8774+Sens!$E$8775+Sens!$E$8776+Sens!$E$8777-Sens!$E$8783</f>
        <v>0</v>
      </c>
      <c r="F8786" s="41" t="n">
        <f aca="false">Sens!$F$8771+Sens!$F$8772+Sens!$F$8773+Sens!$F$8774+Sens!$F$8775+Sens!$F$8776+Sens!$F$8777-Sens!$F$8783</f>
        <v>0</v>
      </c>
      <c r="G8786" s="41" t="n">
        <f aca="false">Sens!$G$8771+Sens!$G$8772+Sens!$G$8773+Sens!$G$8774+Sens!$G$8775+Sens!$G$8776+Sens!$G$8777-Sens!$G$8783</f>
        <v>0</v>
      </c>
      <c r="H8786" s="41" t="n">
        <f aca="false">Sens!$H$8771+Sens!$H$8772+Sens!$H$8773+Sens!$H$8774+Sens!$H$8775+Sens!$H$8776+Sens!$H$8777-Sens!$H$8783</f>
        <v>0</v>
      </c>
      <c r="I8786" s="41" t="n">
        <f aca="false">Sens!$I$8771+Sens!$I$8772+Sens!$I$8773+Sens!$I$8774+Sens!$I$8775+Sens!$I$8776+Sens!$I$8777-Sens!$I$8783</f>
        <v>0</v>
      </c>
      <c r="J8786" s="41" t="n">
        <f aca="false">Sens!$J$8771+Sens!$J$8772+Sens!$J$8773+Sens!$J$8774+Sens!$J$8775+Sens!$J$8776+Sens!$J$8777-Sens!$J$8783</f>
        <v>0</v>
      </c>
      <c r="K8786" s="41" t="n">
        <f aca="false">Sens!$K$8771+Sens!$K$8772+Sens!$K$8773+Sens!$K$8774+Sens!$K$8775+Sens!$K$8776+Sens!$K$8777-Sens!$K$8783</f>
        <v>0</v>
      </c>
      <c r="L8786" s="41" t="n">
        <f aca="false">Sens!$L$8771+Sens!$L$8772+Sens!$L$8773+Sens!$L$8774+Sens!$L$8775+Sens!$L$8776+Sens!$L$8777-Sens!$L$8783</f>
        <v>0</v>
      </c>
      <c r="M8786" s="41" t="n">
        <f aca="false">Sens!$M$8771+Sens!$M$8772+Sens!$M$8773+Sens!$M$8774+Sens!$M$8775+Sens!$M$8776+Sens!$M$8777-Sens!$M$8783</f>
        <v>0</v>
      </c>
      <c r="N8786" s="41" t="n">
        <f aca="false">Sens!$N$8771+Sens!$N$8772+Sens!$N$8773+Sens!$N$8774+Sens!$N$8775+Sens!$N$8776+Sens!$N$8777-Sens!$N$8783</f>
        <v>0</v>
      </c>
      <c r="O8786" s="41" t="n">
        <f aca="false">Sens!$O$8771+Sens!$O$8772+Sens!$O$8773+Sens!$O$8774+Sens!$O$8775+Sens!$O$8776+Sens!$O$8777-Sens!$O$8783</f>
        <v>0</v>
      </c>
    </row>
    <row r="8787" customFormat="false" ht="17.15" hidden="false" customHeight="false" outlineLevel="0" collapsed="false">
      <c r="A8787" s="24" t="s">
        <v>716</v>
      </c>
      <c r="B8787" s="25" t="s">
        <v>86</v>
      </c>
      <c r="C8787" s="41" t="n">
        <f aca="false">Sens!$C$8778+Sens!$C$8779+Sens!$C$8780-Sens!$C$8783</f>
        <v>0</v>
      </c>
      <c r="D8787" s="41" t="n">
        <f aca="false">Sens!$D$8778+Sens!$D$8779+Sens!$D$8780-Sens!$D$8783</f>
        <v>0</v>
      </c>
      <c r="E8787" s="41" t="n">
        <f aca="false">Sens!$E$8778+Sens!$E$8779+Sens!$E$8780-Sens!$E$8783</f>
        <v>0</v>
      </c>
      <c r="F8787" s="41" t="n">
        <f aca="false">Sens!$F$8778+Sens!$F$8779+Sens!$F$8780-Sens!$F$8783</f>
        <v>0</v>
      </c>
      <c r="G8787" s="41" t="n">
        <f aca="false">Sens!$G$8778+Sens!$G$8779+Sens!$G$8780-Sens!$G$8783</f>
        <v>0</v>
      </c>
      <c r="H8787" s="41" t="n">
        <f aca="false">Sens!$H$8778+Sens!$H$8779+Sens!$H$8780-Sens!$H$8783</f>
        <v>0</v>
      </c>
      <c r="I8787" s="41" t="n">
        <f aca="false">Sens!$I$8778+Sens!$I$8779+Sens!$I$8780-Sens!$I$8783</f>
        <v>0</v>
      </c>
      <c r="J8787" s="41" t="n">
        <f aca="false">Sens!$J$8778+Sens!$J$8779+Sens!$J$8780-Sens!$J$8783</f>
        <v>0</v>
      </c>
      <c r="K8787" s="41" t="n">
        <f aca="false">Sens!$K$8778+Sens!$K$8779+Sens!$K$8780-Sens!$K$8783</f>
        <v>0</v>
      </c>
      <c r="L8787" s="41" t="n">
        <f aca="false">Sens!$L$8778+Sens!$L$8779+Sens!$L$8780-Sens!$L$8783</f>
        <v>0</v>
      </c>
      <c r="M8787" s="41" t="n">
        <f aca="false">Sens!$M$8778+Sens!$M$8779+Sens!$M$8780-Sens!$M$8783</f>
        <v>0</v>
      </c>
      <c r="N8787" s="41" t="n">
        <f aca="false">Sens!$N$8778+Sens!$N$8779+Sens!$N$8780-Sens!$N$8783</f>
        <v>0</v>
      </c>
      <c r="O8787" s="41" t="n">
        <f aca="false">Sens!$O$8778+Sens!$O$8779+Sens!$O$8780-Sens!$O$8783</f>
        <v>0</v>
      </c>
    </row>
    <row r="8788" customFormat="false" ht="17.15" hidden="false" customHeight="false" outlineLevel="0" collapsed="false">
      <c r="A8788" s="1" t="s">
        <v>730</v>
      </c>
    </row>
    <row r="8789" customFormat="false" ht="17.15" hidden="false" customHeight="false" outlineLevel="0" collapsed="false">
      <c r="A8789" s="0" t="s">
        <v>731</v>
      </c>
      <c r="B8789" s="0" t="s">
        <v>86</v>
      </c>
      <c r="C8789" s="38" t="n">
        <f aca="false">Sens!$C$8690*m_ad</f>
        <v>20.5341564414228</v>
      </c>
      <c r="D8789" s="38" t="n">
        <f aca="false">Sens!$D$8690*m_ad</f>
        <v>24.8720617299587</v>
      </c>
      <c r="E8789" s="38" t="n">
        <f aca="false">Sens!$E$8690*m_ad</f>
        <v>13.5017112462207</v>
      </c>
      <c r="F8789" s="38" t="n">
        <f aca="false">Sens!$F$8690*m_ad</f>
        <v>16.5719724165257</v>
      </c>
      <c r="G8789" s="38" t="n">
        <f aca="false">Sens!$G$8690*m_ad</f>
        <v>30.0820919220415</v>
      </c>
      <c r="H8789" s="38" t="n">
        <f aca="false">Sens!$H$8690*m_ad</f>
        <v>36.1150883276314</v>
      </c>
      <c r="I8789" s="38" t="n">
        <f aca="false">Sens!$I$8690*m_ad</f>
        <v>42.1475382231996</v>
      </c>
      <c r="J8789" s="38" t="n">
        <f aca="false">Sens!$J$8690*m_ad</f>
        <v>47.7749523864693</v>
      </c>
      <c r="K8789" s="38" t="n">
        <f aca="false">Sens!$K$8690*m_ad</f>
        <v>52.5524476251162</v>
      </c>
      <c r="L8789" s="38" t="n">
        <f aca="false">Sens!$L$8690*m_ad</f>
        <v>57.8076923876279</v>
      </c>
      <c r="M8789" s="38" t="n">
        <f aca="false">Sens!$M$8690*m_ad</f>
        <v>63.5884616263907</v>
      </c>
      <c r="N8789" s="38" t="n">
        <f aca="false">Sens!$N$8690*m_ad</f>
        <v>10.8543555706248</v>
      </c>
      <c r="O8789" s="38" t="n">
        <f aca="false">Sens!$O$8690*m_ad</f>
        <v>14.0094731821399</v>
      </c>
    </row>
    <row r="8790" customFormat="false" ht="17.15" hidden="false" customHeight="false" outlineLevel="0" collapsed="false">
      <c r="A8790" s="0" t="s">
        <v>732</v>
      </c>
      <c r="B8790" s="0" t="s">
        <v>86</v>
      </c>
      <c r="C8790" s="38" t="n">
        <f aca="false">Sens!$C$8688-Sens!$C$8690</f>
        <v>346.428687117154</v>
      </c>
      <c r="D8790" s="38" t="n">
        <f aca="false">Sens!$D$8688-Sens!$D$8690</f>
        <v>376.560876540083</v>
      </c>
      <c r="E8790" s="38" t="n">
        <f aca="false">Sens!$E$8688-Sens!$E$8690</f>
        <v>193.316577507559</v>
      </c>
      <c r="F8790" s="38" t="n">
        <f aca="false">Sens!$F$8688-Sens!$F$8690</f>
        <v>217.495828647535</v>
      </c>
      <c r="G8790" s="38" t="n">
        <f aca="false">Sens!$G$8688-Sens!$G$8690</f>
        <v>410.795589636503</v>
      </c>
      <c r="H8790" s="38" t="n">
        <f aca="false">Sens!$H$8688-Sens!$H$8690</f>
        <v>449.156813761174</v>
      </c>
      <c r="I8790" s="38" t="n">
        <f aca="false">Sens!$I$8688-Sens!$I$8690</f>
        <v>485.848786441156</v>
      </c>
      <c r="J8790" s="38" t="n">
        <f aca="false">Sens!$J$8688-Sens!$J$8690</f>
        <v>519.841531018994</v>
      </c>
      <c r="K8790" s="38" t="n">
        <f aca="false">Sens!$K$8688-Sens!$K$8690</f>
        <v>550.103332311311</v>
      </c>
      <c r="L8790" s="38" t="n">
        <f aca="false">Sens!$L$8688-Sens!$L$8690</f>
        <v>582.192354474511</v>
      </c>
      <c r="M8790" s="38" t="n">
        <f aca="false">Sens!$M$8688-Sens!$M$8690</f>
        <v>616.22240521081</v>
      </c>
      <c r="N8790" s="38" t="n">
        <f aca="false">Sens!$N$8688-Sens!$N$8690</f>
        <v>171.24628885875</v>
      </c>
      <c r="O8790" s="38" t="n">
        <f aca="false">Sens!$O$8688-Sens!$O$8690</f>
        <v>205.33105363572</v>
      </c>
    </row>
    <row r="8791" customFormat="false" ht="17.15" hidden="false" customHeight="false" outlineLevel="0" collapsed="false">
      <c r="A8791" s="0" t="s">
        <v>733</v>
      </c>
      <c r="B8791" s="0" t="s">
        <v>86</v>
      </c>
      <c r="C8791" s="38" t="n">
        <f aca="false">Sens!$C$8742*Sens!$C$8687</f>
        <v>0.123617442257179</v>
      </c>
      <c r="D8791" s="38" t="n">
        <f aca="false">Sens!$D$8742*Sens!$D$8687</f>
        <v>0.600198046024689</v>
      </c>
      <c r="E8791" s="38" t="n">
        <f aca="false">Sens!$E$8742*Sens!$E$8687</f>
        <v>1.10840000750276</v>
      </c>
      <c r="F8791" s="38" t="n">
        <f aca="false">Sens!$F$8742*Sens!$F$8687</f>
        <v>1.33595298721025</v>
      </c>
      <c r="G8791" s="38" t="n">
        <f aca="false">Sens!$G$8742*Sens!$G$8687</f>
        <v>2.44487335052545</v>
      </c>
      <c r="H8791" s="38" t="n">
        <f aca="false">Sens!$H$8742*Sens!$H$8687</f>
        <v>6.63132711939388</v>
      </c>
      <c r="I8791" s="38" t="n">
        <f aca="false">Sens!$I$8742*Sens!$I$8687</f>
        <v>12.7486799258504</v>
      </c>
      <c r="J8791" s="38" t="n">
        <f aca="false">Sens!$J$8742*Sens!$J$8687</f>
        <v>18.4074045299415</v>
      </c>
      <c r="K8791" s="38" t="n">
        <f aca="false">Sens!$K$8742*Sens!$K$8687</f>
        <v>23.9352810133727</v>
      </c>
      <c r="L8791" s="38" t="n">
        <f aca="false">Sens!$L$8742*Sens!$L$8687</f>
        <v>27.6844216700883</v>
      </c>
      <c r="M8791" s="38" t="n">
        <f aca="false">Sens!$M$8742*Sens!$M$8687</f>
        <v>29.6415739346474</v>
      </c>
      <c r="N8791" s="38" t="n">
        <f aca="false">Sens!$N$8742*Sens!$N$8687</f>
        <v>0.25053229484398</v>
      </c>
      <c r="O8791" s="38" t="n">
        <f aca="false">Sens!$O$8742*Sens!$O$8687</f>
        <v>0.349234376756897</v>
      </c>
    </row>
    <row r="8792" customFormat="false" ht="17.15" hidden="false" customHeight="false" outlineLevel="0" collapsed="false">
      <c r="A8792" s="0" t="s">
        <v>734</v>
      </c>
      <c r="B8792" s="0" t="s">
        <v>52</v>
      </c>
      <c r="C8792" s="28" t="n">
        <f aca="false">(Sens!$C$8793-Sens!$C$8789+Sens!$C$8791)/Sens!$C$8790</f>
        <v>0.0131526665379575</v>
      </c>
      <c r="D8792" s="28" t="n">
        <f aca="false">(Sens!$D$8793-Sens!$D$8789+Sens!$D$8791)/Sens!$D$8790</f>
        <v>0.0141999252954702</v>
      </c>
      <c r="E8792" s="28" t="n">
        <f aca="false">(Sens!$E$8793-Sens!$E$8789+Sens!$E$8791)/Sens!$E$8790</f>
        <v>0.0258471819939326</v>
      </c>
      <c r="F8792" s="28" t="n">
        <f aca="false">Sens!$O$8792+(Sens!$E$8792-Sens!$N$8792)</f>
        <v>0.0224302350712874</v>
      </c>
      <c r="G8792" s="28" t="n">
        <f aca="false">(Sens!$G$8793-Sens!$G$8789+Sens!$G$8791)/Sens!$G$8790</f>
        <v>0.0240199351461372</v>
      </c>
      <c r="H8792" s="28" t="n">
        <f aca="false">Sens!$G$8792+step_na</f>
        <v>0.0270199351461372</v>
      </c>
      <c r="I8792" s="28" t="n">
        <f aca="false">Sens!$H$8792+step_na</f>
        <v>0.0300199351461372</v>
      </c>
      <c r="J8792" s="28" t="n">
        <f aca="false">Sens!$I$8792+step_na</f>
        <v>0.0330199351461372</v>
      </c>
      <c r="K8792" s="28" t="n">
        <f aca="false">Sens!$J$8792+step_na</f>
        <v>0.0360199351461372</v>
      </c>
      <c r="L8792" s="28" t="n">
        <f aca="false">Sens!$K$8792</f>
        <v>0.0360199351461372</v>
      </c>
      <c r="M8792" s="28" t="n">
        <f aca="false">Sens!$L$8792</f>
        <v>0.0360199351461372</v>
      </c>
      <c r="N8792" s="28" t="n">
        <f aca="false">(Sens!$N$8793-Sens!$N$8789+Sens!$N$8791)/Sens!$N$8790</f>
        <v>0.0160831323269779</v>
      </c>
      <c r="O8792" s="28" t="n">
        <f aca="false">(Sens!$O$8793-Sens!$O$8789+Sens!$O$8791)/Sens!$O$8790</f>
        <v>0.0126661854043327</v>
      </c>
      <c r="P8792" s="8" t="s">
        <v>735</v>
      </c>
    </row>
    <row r="8793" customFormat="false" ht="17.15" hidden="false" customHeight="false" outlineLevel="0" collapsed="false">
      <c r="A8793" s="1" t="s">
        <v>736</v>
      </c>
      <c r="B8793" s="8" t="s">
        <v>86</v>
      </c>
      <c r="C8793" s="38" t="n">
        <f aca="false">Q!$D$22</f>
        <v>24.967</v>
      </c>
      <c r="D8793" s="38" t="n">
        <f aca="false">Q!$E$22</f>
        <v>29.619</v>
      </c>
      <c r="E8793" s="38" t="n">
        <f aca="false">Q!$P$22</f>
        <v>17.39</v>
      </c>
      <c r="F8793" s="38" t="n">
        <f aca="false">Sens!$F$8789+Sens!$F$8790*Sens!$F$8792-Sens!$F$8791</f>
        <v>20.1145019929041</v>
      </c>
      <c r="G8793" s="38" t="n">
        <f aca="false">Sens!$E$8793+Sens!$F$8793</f>
        <v>37.5045019929041</v>
      </c>
      <c r="H8793" s="38" t="n">
        <f aca="false">Sens!$H$8789+Sens!$H$8790*Sens!$H$8792-Sens!$H$8791</f>
        <v>41.6199491865101</v>
      </c>
      <c r="I8793" s="38" t="n">
        <f aca="false">Sens!$I$8789+Sens!$I$8790*Sens!$I$8792-Sens!$I$8791</f>
        <v>43.9840073571422</v>
      </c>
      <c r="J8793" s="38" t="n">
        <f aca="false">Sens!$J$8789+Sens!$J$8790*Sens!$J$8792-Sens!$J$8791</f>
        <v>46.5326814970436</v>
      </c>
      <c r="K8793" s="38" t="n">
        <f aca="false">Sens!$K$8789+Sens!$K$8790*Sens!$K$8792-Sens!$K$8791</f>
        <v>48.4318529652709</v>
      </c>
      <c r="L8793" s="38" t="n">
        <f aca="false">Sens!$L$8789+Sens!$L$8790*Sens!$L$8792-Sens!$L$8791</f>
        <v>51.0938015682884</v>
      </c>
      <c r="M8793" s="38" t="n">
        <f aca="false">Sens!$M$8789+Sens!$M$8790*Sens!$M$8792-Sens!$M$8791</f>
        <v>56.1431787630333</v>
      </c>
      <c r="N8793" s="38" t="n">
        <f aca="false">Q!$N$22</f>
        <v>13.358</v>
      </c>
      <c r="O8793" s="38" t="n">
        <f aca="false">Q!$O$22</f>
        <v>16.261</v>
      </c>
    </row>
    <row r="8794" customFormat="false" ht="17.15" hidden="false" customHeight="false" outlineLevel="0" collapsed="false">
      <c r="A8794" s="0" t="s">
        <v>737</v>
      </c>
      <c r="B8794" s="0" t="s">
        <v>86</v>
      </c>
      <c r="C8794" s="38" t="n">
        <f aca="false">Sens!$C$8691*m_ad</f>
        <v>7.57284355857716</v>
      </c>
      <c r="D8794" s="38" t="n">
        <f aca="false">Sens!$D$8691*m_ad</f>
        <v>9.44543827004127</v>
      </c>
      <c r="E8794" s="38" t="n">
        <f aca="false">Sens!$E$8691*m_ad</f>
        <v>5.02428875377928</v>
      </c>
      <c r="F8794" s="38" t="n">
        <f aca="false">Sens!$F$8691*m_ad</f>
        <v>6.50663858068173</v>
      </c>
      <c r="G8794" s="38" t="n">
        <f aca="false">Sens!$G$8691*m_ad</f>
        <v>11.5225190751659</v>
      </c>
      <c r="H8794" s="38" t="n">
        <f aca="false">Sens!$H$8691*m_ad</f>
        <v>13.8333728663174</v>
      </c>
      <c r="I8794" s="38" t="n">
        <f aca="false">Sens!$I$8691*m_ad</f>
        <v>16.1440173245485</v>
      </c>
      <c r="J8794" s="38" t="n">
        <f aca="false">Sens!$J$8691*m_ad</f>
        <v>18.2995185845066</v>
      </c>
      <c r="K8794" s="38" t="n">
        <f aca="false">Sens!$K$8691*m_ad</f>
        <v>20.1294704429572</v>
      </c>
      <c r="L8794" s="38" t="n">
        <f aca="false">Sens!$L$8691*m_ad</f>
        <v>22.142417487253</v>
      </c>
      <c r="M8794" s="38" t="n">
        <f aca="false">Sens!$M$8691*m_ad</f>
        <v>24.3566592359783</v>
      </c>
      <c r="N8794" s="38" t="n">
        <f aca="false">Sens!$N$8691*m_ad</f>
        <v>3.95314442937518</v>
      </c>
      <c r="O8794" s="38" t="n">
        <f aca="false">Sens!$O$8691*m_ad</f>
        <v>5.50052681786011</v>
      </c>
    </row>
    <row r="8795" customFormat="false" ht="17.15" hidden="false" customHeight="false" outlineLevel="0" collapsed="false">
      <c r="A8795" s="0" t="s">
        <v>738</v>
      </c>
      <c r="B8795" s="0" t="s">
        <v>86</v>
      </c>
      <c r="C8795" s="38" t="n">
        <f aca="false">Sens!$C$8689-Sens!$C$8691</f>
        <v>127.760312882846</v>
      </c>
      <c r="D8795" s="38" t="n">
        <f aca="false">Sens!$D$8689-Sens!$D$8691</f>
        <v>143.003123459917</v>
      </c>
      <c r="E8795" s="38" t="n">
        <f aca="false">Sens!$E$8689-Sens!$E$8691</f>
        <v>71.9374224924414</v>
      </c>
      <c r="F8795" s="38" t="n">
        <f aca="false">Sens!$F$8689-Sens!$F$8691</f>
        <v>85.3951910035875</v>
      </c>
      <c r="G8795" s="38" t="n">
        <f aca="false">Sens!$G$8689-Sens!$G$8691</f>
        <v>157.349430014619</v>
      </c>
      <c r="H8795" s="38" t="n">
        <f aca="false">Sens!$H$8689-Sens!$H$8691</f>
        <v>172.043153372315</v>
      </c>
      <c r="I8795" s="38" t="n">
        <f aca="false">Sens!$I$8689-Sens!$I$8691</f>
        <v>186.097493615879</v>
      </c>
      <c r="J8795" s="38" t="n">
        <f aca="false">Sens!$J$8689-Sens!$J$8691</f>
        <v>199.117932780497</v>
      </c>
      <c r="K8795" s="38" t="n">
        <f aca="false">Sens!$K$8689-Sens!$K$8691</f>
        <v>210.70928698363</v>
      </c>
      <c r="L8795" s="38" t="n">
        <f aca="false">Sens!$L$8689-Sens!$L$8691</f>
        <v>223.000532251316</v>
      </c>
      <c r="M8795" s="38" t="n">
        <f aca="false">Sens!$M$8689-Sens!$M$8691</f>
        <v>236.035261011339</v>
      </c>
      <c r="N8795" s="38" t="n">
        <f aca="false">Sens!$N$8689-Sens!$N$8691</f>
        <v>62.3677111412496</v>
      </c>
      <c r="O8795" s="38" t="n">
        <f aca="false">Sens!$O$8689-Sens!$O$8691</f>
        <v>80.6189463642798</v>
      </c>
    </row>
    <row r="8796" customFormat="false" ht="17.15" hidden="false" customHeight="false" outlineLevel="0" collapsed="false">
      <c r="A8796" s="0" t="s">
        <v>739</v>
      </c>
      <c r="B8796" s="0" t="s">
        <v>86</v>
      </c>
      <c r="C8796" s="38" t="n">
        <f aca="false">Sens!$C$8742*(1-Sens!$C$8687)</f>
        <v>0.0455891896019953</v>
      </c>
      <c r="D8796" s="38" t="n">
        <f aca="false">Sens!$D$8742*(1-Sens!$D$8687)</f>
        <v>0.227931791705753</v>
      </c>
      <c r="E8796" s="38" t="n">
        <f aca="false">Sens!$E$8742*(1-Sens!$E$8687)</f>
        <v>0.412460434890711</v>
      </c>
      <c r="F8796" s="38" t="n">
        <f aca="false">Sens!$F$8742*(1-Sens!$F$8687)</f>
        <v>0.524534016233997</v>
      </c>
      <c r="G8796" s="38" t="n">
        <f aca="false">Sens!$G$8742*(1-Sens!$G$8687)</f>
        <v>0.936474095312266</v>
      </c>
      <c r="H8796" s="38" t="n">
        <f aca="false">Sens!$H$8742*(1-Sens!$H$8687)</f>
        <v>2.54003589327823</v>
      </c>
      <c r="I8796" s="38" t="n">
        <f aca="false">Sens!$I$8742*(1-Sens!$I$8687)</f>
        <v>4.88320120852905</v>
      </c>
      <c r="J8796" s="38" t="n">
        <f aca="false">Sens!$J$8742*(1-Sens!$J$8687)</f>
        <v>7.05069548920359</v>
      </c>
      <c r="K8796" s="38" t="n">
        <f aca="false">Sens!$K$8742*(1-Sens!$K$8687)</f>
        <v>9.16807025125686</v>
      </c>
      <c r="L8796" s="38" t="n">
        <f aca="false">Sens!$L$8742*(1-Sens!$L$8687)</f>
        <v>10.6041254579372</v>
      </c>
      <c r="M8796" s="38" t="n">
        <f aca="false">Sens!$M$8742*(1-Sens!$M$8687)</f>
        <v>11.3537849018292</v>
      </c>
      <c r="N8796" s="38" t="n">
        <f aca="false">Sens!$N$8742*(1-Sens!$N$8687)</f>
        <v>0.0912435878202994</v>
      </c>
      <c r="O8796" s="38" t="n">
        <f aca="false">Sens!$O$8742*(1-Sens!$O$8687)</f>
        <v>0.137119578309265</v>
      </c>
    </row>
    <row r="8797" customFormat="false" ht="17.15" hidden="false" customHeight="false" outlineLevel="0" collapsed="false">
      <c r="A8797" s="0" t="s">
        <v>740</v>
      </c>
      <c r="B8797" s="0" t="s">
        <v>52</v>
      </c>
      <c r="C8797" s="28" t="n">
        <f aca="false">(Sens!$C$8798-Sens!$C$8794+Sens!$C$8796)/Sens!$C$8795</f>
        <v>-0.0292364215826579</v>
      </c>
      <c r="D8797" s="28" t="n">
        <f aca="false">(Sens!$D$8798-Sens!$D$8794+Sens!$D$8796)/Sens!$D$8795</f>
        <v>-0.0312406216748665</v>
      </c>
      <c r="E8797" s="28" t="n">
        <f aca="false">(Sens!$E$8798-Sens!$E$8794+Sens!$E$8796)/Sens!$E$8795</f>
        <v>-0.0204459413185552</v>
      </c>
      <c r="F8797" s="28" t="n">
        <f aca="false">Sens!$O$8797+(Sens!$E$8797-Sens!$N$8797)</f>
        <v>-0.0375409290246314</v>
      </c>
      <c r="G8797" s="28" t="n">
        <f aca="false">(Sens!$G$8798-Sens!$G$8794+Sens!$G$8796)/Sens!$G$8795</f>
        <v>-0.0296712560031684</v>
      </c>
      <c r="H8797" s="28" t="n">
        <f aca="false">Sens!$G$8797+step_in</f>
        <v>-0.0296712560031684</v>
      </c>
      <c r="I8797" s="28" t="n">
        <f aca="false">Sens!$H$8797+step_in</f>
        <v>-0.0296712560031684</v>
      </c>
      <c r="J8797" s="28" t="n">
        <f aca="false">Sens!$I$8797+step_in</f>
        <v>-0.0296712560031684</v>
      </c>
      <c r="K8797" s="28" t="n">
        <f aca="false">Sens!$J$8797+step_in</f>
        <v>-0.0296712560031684</v>
      </c>
      <c r="L8797" s="28" t="n">
        <f aca="false">Sens!$K$8797</f>
        <v>-0.0296712560031684</v>
      </c>
      <c r="M8797" s="28" t="n">
        <f aca="false">Sens!$L$8797</f>
        <v>-0.0296712560031684</v>
      </c>
      <c r="N8797" s="28" t="n">
        <f aca="false">(Sens!$N$8798-Sens!$N$8794+Sens!$N$8796)/Sens!$N$8795</f>
        <v>-0.0216602600421776</v>
      </c>
      <c r="O8797" s="28" t="n">
        <f aca="false">(Sens!$O$8798-Sens!$O$8794+Sens!$O$8796)/Sens!$O$8795</f>
        <v>-0.0387552477482538</v>
      </c>
      <c r="P8797" s="8" t="s">
        <v>735</v>
      </c>
    </row>
    <row r="8798" customFormat="false" ht="17.15" hidden="false" customHeight="false" outlineLevel="0" collapsed="false">
      <c r="A8798" s="1" t="s">
        <v>741</v>
      </c>
      <c r="B8798" s="8" t="s">
        <v>86</v>
      </c>
      <c r="C8798" s="38" t="n">
        <f aca="false">Q!$D$23</f>
        <v>3.792</v>
      </c>
      <c r="D8798" s="38" t="n">
        <f aca="false">Q!$E$23</f>
        <v>4.75</v>
      </c>
      <c r="E8798" s="38" t="n">
        <f aca="false">Q!$P$23</f>
        <v>3.141</v>
      </c>
      <c r="F8798" s="38" t="n">
        <f aca="false">Sens!$F$8794+Sens!$F$8795*Sens!$F$8797-Sens!$F$8796</f>
        <v>2.77628975993721</v>
      </c>
      <c r="G8798" s="38" t="n">
        <f aca="false">Sens!$E$8798+Sens!$F$8798</f>
        <v>5.91728975993721</v>
      </c>
      <c r="H8798" s="38" t="n">
        <f aca="false">Sens!$H$8794+Sens!$H$8795*Sens!$H$8797-Sens!$H$8796</f>
        <v>6.18860052573681</v>
      </c>
      <c r="I8798" s="38" t="n">
        <f aca="false">Sens!$I$8794+Sens!$I$8795*Sens!$I$8797-Sens!$I$8796</f>
        <v>5.73906974139474</v>
      </c>
      <c r="J8798" s="38" t="n">
        <f aca="false">Sens!$J$8794+Sens!$J$8795*Sens!$J$8797-Sens!$J$8796</f>
        <v>5.34074393695119</v>
      </c>
      <c r="K8798" s="38" t="n">
        <f aca="false">Sens!$K$8794+Sens!$K$8795*Sens!$K$8797-Sens!$K$8796</f>
        <v>4.70939099536401</v>
      </c>
      <c r="L8798" s="38" t="n">
        <f aca="false">Sens!$L$8794+Sens!$L$8795*Sens!$L$8797-Sens!$L$8796</f>
        <v>4.92158614804412</v>
      </c>
      <c r="M8798" s="38" t="n">
        <f aca="false">Sens!$M$8794+Sens!$M$8795*Sens!$M$8797-Sens!$M$8796</f>
        <v>5.99941167890691</v>
      </c>
      <c r="N8798" s="38" t="n">
        <f aca="false">Q!$N$23</f>
        <v>2.511</v>
      </c>
      <c r="O8798" s="38" t="n">
        <f aca="false">Q!$O$23</f>
        <v>2.239</v>
      </c>
    </row>
    <row r="8799" customFormat="false" ht="17.15" hidden="false" customHeight="false" outlineLevel="0" collapsed="false">
      <c r="A8799" s="0" t="s">
        <v>742</v>
      </c>
      <c r="B8799" s="0" t="s">
        <v>86</v>
      </c>
      <c r="C8799" s="38" t="n">
        <f aca="false">Sens!$C$8739</f>
        <v>1.64417882953695</v>
      </c>
      <c r="D8799" s="38" t="n">
        <f aca="false">Sens!$D$8739</f>
        <v>5.39125073772939</v>
      </c>
      <c r="E8799" s="38" t="n">
        <f aca="false">Sens!$E$8739</f>
        <v>2.42691120599613</v>
      </c>
      <c r="F8799" s="38" t="n">
        <f aca="false">Sens!$F$8739</f>
        <v>7.52148563094346</v>
      </c>
      <c r="G8799" s="38" t="n">
        <f aca="false">Sens!$G$8739</f>
        <v>9.94839683693959</v>
      </c>
      <c r="H8799" s="38" t="n">
        <f aca="false">Sens!$H$8739</f>
        <v>23.4804386990861</v>
      </c>
      <c r="I8799" s="38" t="n">
        <f aca="false">Sens!$I$8739</f>
        <v>30.9761745989143</v>
      </c>
      <c r="J8799" s="38" t="n">
        <f aca="false">Sens!$J$8739</f>
        <v>41.1930070746977</v>
      </c>
      <c r="K8799" s="38" t="n">
        <f aca="false">Sens!$K$8739</f>
        <v>45.7487132269171</v>
      </c>
      <c r="L8799" s="38" t="n">
        <f aca="false">Sens!$L$8739</f>
        <v>47.4367140310386</v>
      </c>
      <c r="M8799" s="38" t="n">
        <f aca="false">Sens!$M$8739</f>
        <v>46.2992355967948</v>
      </c>
      <c r="N8799" s="38" t="n">
        <f aca="false">Sens!$N$8739</f>
        <v>1.67921600037079</v>
      </c>
      <c r="O8799" s="38" t="n">
        <f aca="false">Sens!$O$8739</f>
        <v>3.71203473735861</v>
      </c>
    </row>
    <row r="8800" customFormat="false" ht="17.15" hidden="false" customHeight="false" outlineLevel="0" collapsed="false">
      <c r="A8800" s="0" t="s">
        <v>660</v>
      </c>
      <c r="B8800" s="0" t="s">
        <v>86</v>
      </c>
      <c r="C8800" s="38" t="n">
        <f aca="false">Sens!$C$8744</f>
        <v>38.1898211704631</v>
      </c>
      <c r="D8800" s="38" t="n">
        <f aca="false">Sens!$D$8744</f>
        <v>40.2147492622706</v>
      </c>
      <c r="E8800" s="38" t="n">
        <f aca="false">Sens!$E$8744</f>
        <v>28.3550887940039</v>
      </c>
      <c r="F8800" s="38" t="n">
        <f aca="false">Sens!$F$8744</f>
        <v>25.9529793149447</v>
      </c>
      <c r="G8800" s="38" t="n">
        <f aca="false">Sens!$G$8744</f>
        <v>54.3080681089486</v>
      </c>
      <c r="H8800" s="38" t="n">
        <f aca="false">Sens!$H$8744</f>
        <v>58.2264684589333</v>
      </c>
      <c r="I8800" s="38" t="n">
        <f aca="false">Sens!$I$8744</f>
        <v>64.6461353851744</v>
      </c>
      <c r="J8800" s="38" t="n">
        <f aca="false">Sens!$J$8744</f>
        <v>70.7957093610231</v>
      </c>
      <c r="K8800" s="38" t="n">
        <f aca="false">Sens!$K$8744</f>
        <v>76.4593661099049</v>
      </c>
      <c r="L8800" s="38" t="n">
        <f aca="false">Sens!$L$8744</f>
        <v>82.5761153986973</v>
      </c>
      <c r="M8800" s="38" t="n">
        <f aca="false">Sens!$M$8744</f>
        <v>89.1822046305931</v>
      </c>
      <c r="N8800" s="38" t="n">
        <f aca="false">Sens!$N$8744</f>
        <v>20.0277839996292</v>
      </c>
      <c r="O8800" s="38" t="n">
        <f aca="false">Sens!$O$8744</f>
        <v>20.1869652626414</v>
      </c>
    </row>
    <row r="8801" customFormat="false" ht="17.15" hidden="false" customHeight="false" outlineLevel="0" collapsed="false">
      <c r="A8801" s="1" t="s">
        <v>743</v>
      </c>
      <c r="B8801" s="8" t="s">
        <v>86</v>
      </c>
      <c r="C8801" s="38" t="n">
        <f aca="false">Q!$D$24</f>
        <v>39.834</v>
      </c>
      <c r="D8801" s="38" t="n">
        <f aca="false">Q!$E$24</f>
        <v>45.606</v>
      </c>
      <c r="E8801" s="38" t="n">
        <f aca="false">Q!$P$24</f>
        <v>30.782</v>
      </c>
      <c r="F8801" s="38" t="n">
        <f aca="false">Sens!$F$8799+Sens!$F$8800</f>
        <v>33.4744649458882</v>
      </c>
      <c r="G8801" s="38" t="n">
        <f aca="false">Sens!$G$8799+Sens!$G$8800</f>
        <v>64.2564649458882</v>
      </c>
      <c r="H8801" s="38" t="n">
        <f aca="false">Sens!$H$8799+Sens!$H$8800</f>
        <v>81.7069071580194</v>
      </c>
      <c r="I8801" s="38" t="n">
        <f aca="false">Sens!$I$8799+Sens!$I$8800</f>
        <v>95.6223099840887</v>
      </c>
      <c r="J8801" s="38" t="n">
        <f aca="false">Sens!$J$8799+Sens!$J$8800</f>
        <v>111.988716435721</v>
      </c>
      <c r="K8801" s="38" t="n">
        <f aca="false">Sens!$K$8799+Sens!$K$8800</f>
        <v>122.208079336822</v>
      </c>
      <c r="L8801" s="38" t="n">
        <f aca="false">Sens!$L$8799+Sens!$L$8800</f>
        <v>130.012829429736</v>
      </c>
      <c r="M8801" s="38" t="n">
        <f aca="false">Sens!$M$8799+Sens!$M$8800</f>
        <v>135.481440227388</v>
      </c>
      <c r="N8801" s="38" t="n">
        <f aca="false">Q!$N$24</f>
        <v>21.707</v>
      </c>
      <c r="O8801" s="38" t="n">
        <f aca="false">Q!$O$24</f>
        <v>23.899</v>
      </c>
    </row>
    <row r="8802" customFormat="false" ht="17.15" hidden="false" customHeight="false" outlineLevel="0" collapsed="false">
      <c r="A8802" s="5" t="s">
        <v>744</v>
      </c>
      <c r="B8802" s="0" t="s">
        <v>86</v>
      </c>
      <c r="C8802" s="38" t="n">
        <f aca="false">Q!$D$26</f>
        <v>0</v>
      </c>
      <c r="D8802" s="38" t="n">
        <f aca="false">Q!$E$26</f>
        <v>0</v>
      </c>
      <c r="E8802" s="38" t="n">
        <f aca="false">Q!$P$26</f>
        <v>0</v>
      </c>
      <c r="F8802" s="39" t="n">
        <v>0</v>
      </c>
      <c r="G8802" s="38" t="n">
        <f aca="false">Sens!$E$8802+Sens!$F$8802</f>
        <v>0</v>
      </c>
      <c r="H8802" s="39" t="n">
        <v>0</v>
      </c>
      <c r="I8802" s="39" t="n">
        <v>0</v>
      </c>
      <c r="J8802" s="39" t="n">
        <v>0</v>
      </c>
      <c r="K8802" s="39" t="n">
        <v>0</v>
      </c>
      <c r="L8802" s="39" t="n">
        <v>0</v>
      </c>
      <c r="M8802" s="39" t="n">
        <v>0</v>
      </c>
      <c r="N8802" s="38" t="n">
        <f aca="false">Q!$N$26</f>
        <v>0</v>
      </c>
      <c r="O8802" s="38" t="n">
        <f aca="false">Q!$O$26</f>
        <v>0</v>
      </c>
    </row>
    <row r="8803" customFormat="false" ht="15" hidden="false" customHeight="false" outlineLevel="0" collapsed="false">
      <c r="A8803" s="3" t="s">
        <v>541</v>
      </c>
      <c r="B8803" s="8" t="s">
        <v>86</v>
      </c>
      <c r="C8803" s="38" t="n">
        <f aca="false">Q!$D$25</f>
        <v>68.593</v>
      </c>
      <c r="D8803" s="38" t="n">
        <f aca="false">Q!$E$25</f>
        <v>79.975</v>
      </c>
      <c r="E8803" s="38" t="n">
        <f aca="false">Q!$P$25</f>
        <v>51.313</v>
      </c>
      <c r="F8803" s="38" t="n">
        <f aca="false">Sens!$F$8793+Sens!$F$8798+Sens!$F$8801+Sens!$F$8802</f>
        <v>56.3652566987294</v>
      </c>
      <c r="G8803" s="38" t="n">
        <f aca="false">Sens!$G$8793+Sens!$G$8798+Sens!$G$8801+Sens!$G$8802</f>
        <v>107.678256698729</v>
      </c>
      <c r="H8803" s="38" t="n">
        <f aca="false">Sens!$H$8793+Sens!$H$8798+Sens!$H$8801+Sens!$H$8802</f>
        <v>129.515456870266</v>
      </c>
      <c r="I8803" s="38" t="n">
        <f aca="false">Sens!$I$8793+Sens!$I$8798+Sens!$I$8801+Sens!$I$8802</f>
        <v>145.345387082626</v>
      </c>
      <c r="J8803" s="38" t="n">
        <f aca="false">Sens!$J$8793+Sens!$J$8798+Sens!$J$8801+Sens!$J$8802</f>
        <v>163.862141869716</v>
      </c>
      <c r="K8803" s="38" t="n">
        <f aca="false">Sens!$K$8793+Sens!$K$8798+Sens!$K$8801+Sens!$K$8802</f>
        <v>175.349323297457</v>
      </c>
      <c r="L8803" s="38" t="n">
        <f aca="false">Sens!$L$8793+Sens!$L$8798+Sens!$L$8801+Sens!$L$8802</f>
        <v>186.028217146068</v>
      </c>
      <c r="M8803" s="38" t="n">
        <f aca="false">Sens!$M$8793+Sens!$M$8798+Sens!$M$8801+Sens!$M$8802</f>
        <v>197.624030669328</v>
      </c>
      <c r="N8803" s="38" t="n">
        <f aca="false">Q!$N$25</f>
        <v>37.576</v>
      </c>
      <c r="O8803" s="38" t="n">
        <f aca="false">Q!$O$25</f>
        <v>42.399</v>
      </c>
    </row>
    <row r="8804" customFormat="false" ht="17.15" hidden="false" customHeight="false" outlineLevel="0" collapsed="false">
      <c r="A8804" s="24" t="s">
        <v>775</v>
      </c>
      <c r="B8804" s="25" t="s">
        <v>86</v>
      </c>
      <c r="C8804" s="41" t="n">
        <f aca="false">Sens!$C$8793+Sens!$C$8798+Sens!$C$8801+Sens!$C$8802-Sens!$C$8803</f>
        <v>0</v>
      </c>
      <c r="D8804" s="41" t="n">
        <f aca="false">Sens!$D$8793+Sens!$D$8798+Sens!$D$8801+Sens!$D$8802-Sens!$D$8803</f>
        <v>0</v>
      </c>
      <c r="E8804" s="41" t="n">
        <f aca="false">Sens!$E$8793+Sens!$E$8798+Sens!$E$8801+Sens!$E$8802-Sens!$E$8803</f>
        <v>0</v>
      </c>
      <c r="F8804" s="41" t="n">
        <f aca="false">Sens!$F$8793+Sens!$F$8798+Sens!$F$8801+Sens!$F$8802-Sens!$F$8803</f>
        <v>0</v>
      </c>
      <c r="G8804" s="41" t="n">
        <f aca="false">Sens!$G$8793+Sens!$G$8798+Sens!$G$8801+Sens!$G$8802-Sens!$G$8803</f>
        <v>0</v>
      </c>
      <c r="H8804" s="41" t="n">
        <f aca="false">Sens!$H$8793+Sens!$H$8798+Sens!$H$8801+Sens!$H$8802-Sens!$H$8803</f>
        <v>0</v>
      </c>
      <c r="I8804" s="41" t="n">
        <f aca="false">Sens!$I$8793+Sens!$I$8798+Sens!$I$8801+Sens!$I$8802-Sens!$I$8803</f>
        <v>0</v>
      </c>
      <c r="J8804" s="41" t="n">
        <f aca="false">Sens!$J$8793+Sens!$J$8798+Sens!$J$8801+Sens!$J$8802-Sens!$J$8803</f>
        <v>0</v>
      </c>
      <c r="K8804" s="41" t="n">
        <f aca="false">Sens!$K$8793+Sens!$K$8798+Sens!$K$8801+Sens!$K$8802-Sens!$K$8803</f>
        <v>0</v>
      </c>
      <c r="L8804" s="41" t="n">
        <f aca="false">Sens!$L$8793+Sens!$L$8798+Sens!$L$8801+Sens!$L$8802-Sens!$L$8803</f>
        <v>0</v>
      </c>
      <c r="M8804" s="41" t="n">
        <f aca="false">Sens!$M$8793+Sens!$M$8798+Sens!$M$8801+Sens!$M$8802-Sens!$M$8803</f>
        <v>0</v>
      </c>
      <c r="N8804" s="41" t="n">
        <f aca="false">Sens!$N$8793+Sens!$N$8798+Sens!$N$8801+Sens!$N$8802-Sens!$N$8803</f>
        <v>0</v>
      </c>
      <c r="O8804" s="41" t="n">
        <f aca="false">Sens!$O$8793+Sens!$O$8798+Sens!$O$8801+Sens!$O$8802-Sens!$O$8803</f>
        <v>0</v>
      </c>
    </row>
    <row r="8805" customFormat="false" ht="17.15" hidden="false" customHeight="false" outlineLevel="0" collapsed="false">
      <c r="A8805" s="5" t="s">
        <v>746</v>
      </c>
      <c r="B8805" s="0" t="s">
        <v>86</v>
      </c>
      <c r="C8805" s="38" t="n">
        <f aca="false">Sens!$C$8741</f>
        <v>0</v>
      </c>
      <c r="D8805" s="38" t="n">
        <f aca="false">Sens!$D$8741</f>
        <v>0</v>
      </c>
      <c r="E8805" s="38" t="n">
        <f aca="false">Sens!$E$8741</f>
        <v>0</v>
      </c>
      <c r="F8805" s="38" t="n">
        <f aca="false">Sens!$F$8741</f>
        <v>3.77122048175818</v>
      </c>
      <c r="G8805" s="38" t="n">
        <f aca="false">Sens!$G$8741</f>
        <v>3.77122048175818</v>
      </c>
      <c r="H8805" s="38" t="n">
        <f aca="false">Sens!$H$8741</f>
        <v>15.1635543609893</v>
      </c>
      <c r="I8805" s="38" t="n">
        <f aca="false">Sens!$I$8741</f>
        <v>25.5818843619889</v>
      </c>
      <c r="J8805" s="38" t="n">
        <f aca="false">Sens!$J$8741</f>
        <v>36.0465624179122</v>
      </c>
      <c r="K8805" s="38" t="n">
        <f aca="false">Sens!$K$8741</f>
        <v>44.9020355557576</v>
      </c>
      <c r="L8805" s="38" t="n">
        <f aca="false">Sens!$L$8741</f>
        <v>50.55474151763</v>
      </c>
      <c r="M8805" s="38" t="n">
        <f aca="false">Sens!$M$8741</f>
        <v>52.9968449759368</v>
      </c>
      <c r="N8805" s="38" t="n">
        <f aca="false">Sens!$N$8741</f>
        <v>0</v>
      </c>
      <c r="O8805" s="38" t="n">
        <f aca="false">Sens!$O$8741</f>
        <v>0</v>
      </c>
      <c r="P8805" s="5" t="s">
        <v>747</v>
      </c>
    </row>
    <row r="8806" customFormat="false" ht="17.15" hidden="false" customHeight="false" outlineLevel="0" collapsed="false">
      <c r="A8806" s="5" t="s">
        <v>748</v>
      </c>
      <c r="B8806" s="0" t="s">
        <v>86</v>
      </c>
      <c r="C8806" s="38" t="n">
        <f aca="false">Sens!$C$8803+Sens!$C$8805</f>
        <v>68.593</v>
      </c>
      <c r="D8806" s="38" t="n">
        <f aca="false">Sens!$D$8803+Sens!$D$8805</f>
        <v>79.975</v>
      </c>
      <c r="E8806" s="38" t="n">
        <f aca="false">Sens!$E$8803+Sens!$E$8805</f>
        <v>51.313</v>
      </c>
      <c r="F8806" s="38" t="n">
        <f aca="false">Sens!$F$8803+Sens!$F$8805</f>
        <v>60.1364771804876</v>
      </c>
      <c r="G8806" s="38" t="n">
        <f aca="false">Sens!$G$8803+Sens!$G$8805</f>
        <v>111.449477180488</v>
      </c>
      <c r="H8806" s="38" t="n">
        <f aca="false">Sens!$H$8803+Sens!$H$8805</f>
        <v>144.679011231256</v>
      </c>
      <c r="I8806" s="38" t="n">
        <f aca="false">Sens!$I$8803+Sens!$I$8805</f>
        <v>170.927271444615</v>
      </c>
      <c r="J8806" s="38" t="n">
        <f aca="false">Sens!$J$8803+Sens!$J$8805</f>
        <v>199.908704287628</v>
      </c>
      <c r="K8806" s="38" t="n">
        <f aca="false">Sens!$K$8803+Sens!$K$8805</f>
        <v>220.251358853214</v>
      </c>
      <c r="L8806" s="38" t="n">
        <f aca="false">Sens!$L$8803+Sens!$L$8805</f>
        <v>236.582958663698</v>
      </c>
      <c r="M8806" s="38" t="n">
        <f aca="false">Sens!$M$8803+Sens!$M$8805</f>
        <v>250.620875645265</v>
      </c>
      <c r="N8806" s="38" t="n">
        <f aca="false">Sens!$N$8803+Sens!$N$8805</f>
        <v>37.576</v>
      </c>
      <c r="O8806" s="38" t="n">
        <f aca="false">Sens!$O$8803+Sens!$O$8805</f>
        <v>42.399</v>
      </c>
    </row>
    <row r="8807" customFormat="false" ht="17.15" hidden="false" customHeight="false" outlineLevel="0" collapsed="false">
      <c r="A8807" s="0" t="s">
        <v>749</v>
      </c>
      <c r="B8807" s="0" t="s">
        <v>52</v>
      </c>
      <c r="C8807" s="13" t="n">
        <f aca="false">Sens!$C$8793/Sens!$C$8778</f>
        <v>0.0644314665661928</v>
      </c>
      <c r="D8807" s="13" t="n">
        <f aca="false">Sens!$D$8793/Sens!$D$8778</f>
        <v>0.0694784250712518</v>
      </c>
      <c r="E8807" s="13" t="n">
        <f aca="false">Sens!$E$8793/Sens!$E$8778</f>
        <v>0.0789306463326071</v>
      </c>
      <c r="F8807" s="13" t="n">
        <f aca="false">Sens!$F$8793/Sens!$F$8778</f>
        <v>0.0802526339438384</v>
      </c>
      <c r="G8807" s="13" t="n">
        <f aca="false">Sens!$G$8793/Sens!$G$8778</f>
        <v>0.0796341940538369</v>
      </c>
      <c r="H8807" s="13" t="n">
        <f aca="false">Sens!$H$8793/Sens!$H$8778</f>
        <v>0.0798254462645258</v>
      </c>
      <c r="I8807" s="13" t="n">
        <f aca="false">Sens!$I$8793/Sens!$I$8778</f>
        <v>0.0771454543672196</v>
      </c>
      <c r="J8807" s="13" t="n">
        <f aca="false">Sens!$J$8793/Sens!$J$8778</f>
        <v>0.0756147693819656</v>
      </c>
      <c r="K8807" s="13" t="n">
        <f aca="false">Sens!$K$8793/Sens!$K$8778</f>
        <v>0.0739182612915551</v>
      </c>
      <c r="L8807" s="13" t="n">
        <f aca="false">Sens!$L$8793/Sens!$L$8778</f>
        <v>0.0732204570032725</v>
      </c>
      <c r="M8807" s="13" t="n">
        <f aca="false">Sens!$M$8793/Sens!$M$8778</f>
        <v>0.0755222349730478</v>
      </c>
      <c r="N8807" s="13" t="n">
        <f aca="false">Sens!$N$8793/Sens!$N$8778</f>
        <v>0.069228576611127</v>
      </c>
      <c r="O8807" s="13" t="n">
        <f aca="false">Sens!$O$8793/Sens!$O$8778</f>
        <v>0.069685022498393</v>
      </c>
    </row>
    <row r="8808" customFormat="false" ht="17.15" hidden="false" customHeight="false" outlineLevel="0" collapsed="false">
      <c r="A8808" s="0" t="s">
        <v>750</v>
      </c>
      <c r="B8808" s="0" t="s">
        <v>52</v>
      </c>
      <c r="C8808" s="13" t="n">
        <f aca="false">Sens!$C$8798/Sens!$C$8779</f>
        <v>0.026534925055631</v>
      </c>
      <c r="D8808" s="13" t="n">
        <f aca="false">Sens!$D$8798/Sens!$D$8779</f>
        <v>0.0293401855535103</v>
      </c>
      <c r="E8808" s="13" t="n">
        <f aca="false">Sens!$E$8798/Sens!$E$8779</f>
        <v>0.03831141902276</v>
      </c>
      <c r="F8808" s="13" t="n">
        <f aca="false">Sens!$F$8798/Sens!$F$8779</f>
        <v>0.0282118989524726</v>
      </c>
      <c r="G8808" s="13" t="n">
        <f aca="false">Sens!$G$8798/Sens!$G$8779</f>
        <v>0.0328019468674976</v>
      </c>
      <c r="H8808" s="13" t="n">
        <f aca="false">Sens!$H$8798/Sens!$H$8779</f>
        <v>0.0309879507899839</v>
      </c>
      <c r="I8808" s="13" t="n">
        <f aca="false">Sens!$I$8798/Sens!$I$8779</f>
        <v>0.0262795332043765</v>
      </c>
      <c r="J8808" s="13" t="n">
        <f aca="false">Sens!$J$8798/Sens!$J$8779</f>
        <v>0.0226574435353346</v>
      </c>
      <c r="K8808" s="13" t="n">
        <f aca="false">Sens!$K$8798/Sens!$K$8779</f>
        <v>0.0187648892265837</v>
      </c>
      <c r="L8808" s="13" t="n">
        <f aca="false">Sens!$L$8798/Sens!$L$8779</f>
        <v>0.0184132270281972</v>
      </c>
      <c r="M8808" s="13" t="n">
        <f aca="false">Sens!$M$8798/Sens!$M$8779</f>
        <v>0.0210691540227995</v>
      </c>
      <c r="N8808" s="13" t="n">
        <f aca="false">Sens!$N$8798/Sens!$N$8779</f>
        <v>0.0357315650169337</v>
      </c>
      <c r="O8808" s="13" t="n">
        <f aca="false">Sens!$O$8798/Sens!$O$8779</f>
        <v>0.0244378956559703</v>
      </c>
    </row>
    <row r="8809" customFormat="false" ht="17.15" hidden="false" customHeight="false" outlineLevel="0" collapsed="false">
      <c r="A8809" s="14" t="s">
        <v>751</v>
      </c>
      <c r="B8809" s="14" t="s">
        <v>52</v>
      </c>
      <c r="C8809" s="17" t="n">
        <f aca="false">Sens!$C$8801/Sens!$C$8780</f>
        <v>0.370355907620217</v>
      </c>
      <c r="D8809" s="17" t="n">
        <f aca="false">Sens!$D$8801/Sens!$D$8780</f>
        <v>0.35429015342785</v>
      </c>
      <c r="E8809" s="17" t="n">
        <f aca="false">Sens!$E$8801/Sens!$E$8780</f>
        <v>0.385647527531039</v>
      </c>
      <c r="F8809" s="17" t="n">
        <f aca="false">Sens!$F$8801/Sens!$F$8780</f>
        <v>0.385949613469105</v>
      </c>
      <c r="G8809" s="17" t="n">
        <f aca="false">Sens!$G$8801/Sens!$G$8780</f>
        <v>0.385804840448779</v>
      </c>
      <c r="H8809" s="17" t="n">
        <f aca="false">Sens!$H$8801/Sens!$H$8780</f>
        <v>0.369408675360557</v>
      </c>
      <c r="I8809" s="17" t="n">
        <f aca="false">Sens!$I$8801/Sens!$I$8780</f>
        <v>0.34117504540738</v>
      </c>
      <c r="J8809" s="17" t="n">
        <f aca="false">Sens!$J$8801/Sens!$J$8780</f>
        <v>0.330544285732563</v>
      </c>
      <c r="K8809" s="17" t="n">
        <f aca="false">Sens!$K$8801/Sens!$K$8780</f>
        <v>0.31367601035849</v>
      </c>
      <c r="L8809" s="17" t="n">
        <f aca="false">Sens!$L$8801/Sens!$L$8780</f>
        <v>0.303100134223737</v>
      </c>
      <c r="M8809" s="17" t="n">
        <f aca="false">Sens!$M$8801/Sens!$M$8780</f>
        <v>0.296522227328686</v>
      </c>
      <c r="N8809" s="17" t="n">
        <f aca="false">Sens!$N$8801/Sens!$N$8780</f>
        <v>0.360941137346192</v>
      </c>
      <c r="O8809" s="17" t="n">
        <f aca="false">Sens!$O$8801/Sens!$O$8780</f>
        <v>0.348458117664212</v>
      </c>
    </row>
    <row r="8810" customFormat="false" ht="17.15" hidden="false" customHeight="false" outlineLevel="0" collapsed="false">
      <c r="A8810" s="0" t="s">
        <v>752</v>
      </c>
      <c r="B8810" s="0" t="s">
        <v>52</v>
      </c>
      <c r="C8810" s="13" t="n">
        <f aca="false">Sens!$C$8799/Sens!$C$8781</f>
        <v>0.708390794789371</v>
      </c>
      <c r="D8810" s="13" t="n">
        <f aca="false">Sens!$D$8799/Sens!$D$8781</f>
        <v>0.619415573115729</v>
      </c>
      <c r="E8810" s="13" t="n">
        <f aca="false">Sens!$E$8799/Sens!$E$8781</f>
        <v>0.285171627189009</v>
      </c>
      <c r="F8810" s="13" t="n">
        <f aca="false">Sens!$F$8799/Sens!$F$8781</f>
        <v>0.502657732812366</v>
      </c>
      <c r="G8810" s="13" t="n">
        <f aca="false">Sens!$G$8799/Sens!$G$8781</f>
        <v>0.423808778611812</v>
      </c>
      <c r="H8810" s="13" t="n">
        <f aca="false">Sens!$H$8799/Sens!$H$8781</f>
        <v>0.390261631739809</v>
      </c>
      <c r="I8810" s="13" t="n">
        <f aca="false">Sens!$I$8799/Sens!$I$8781</f>
        <v>0.305172864264572</v>
      </c>
      <c r="J8810" s="13" t="n">
        <f aca="false">Sens!$J$8799/Sens!$J$8781</f>
        <v>0.288011814789856</v>
      </c>
      <c r="K8810" s="13" t="n">
        <f aca="false">Sens!$K$8799/Sens!$K$8781</f>
        <v>0.256781372309587</v>
      </c>
      <c r="L8810" s="13" t="n">
        <f aca="false">Sens!$L$8799/Sens!$L$8781</f>
        <v>0.236484872592048</v>
      </c>
      <c r="M8810" s="13" t="n">
        <f aca="false">Sens!$M$8799/Sens!$M$8781</f>
        <v>0.220178275964369</v>
      </c>
      <c r="N8810" s="13" t="n">
        <f aca="false">Sens!$N$8799/Sens!$N$8781</f>
        <v>0.551227795793364</v>
      </c>
      <c r="O8810" s="13" t="n">
        <f aca="false">Sens!$O$8799/Sens!$O$8781</f>
        <v>0.656132068597002</v>
      </c>
    </row>
    <row r="8811" customFormat="false" ht="15" hidden="false" customHeight="false" outlineLevel="0" collapsed="false">
      <c r="A8811" s="5" t="s">
        <v>753</v>
      </c>
      <c r="B8811" s="0" t="s">
        <v>52</v>
      </c>
      <c r="C8811" s="13" t="n">
        <f aca="false">Sens!$C$8803/Sens!$C$8783</f>
        <v>0.107519448742004</v>
      </c>
      <c r="D8811" s="13" t="n">
        <f aca="false">Sens!$D$8803/Sens!$D$8783</f>
        <v>0.111552967957552</v>
      </c>
      <c r="E8811" s="13" t="n">
        <f aca="false">Sens!$E$8803/Sens!$E$8783</f>
        <v>0.13428328426562</v>
      </c>
      <c r="F8811" s="13" t="n">
        <f aca="false">Sens!$F$8803/Sens!$F$8783</f>
        <v>0.129343087287827</v>
      </c>
      <c r="G8811" s="13" t="n">
        <f aca="false">Sens!$G$8803/Sens!$G$8783</f>
        <v>0.131651143259596</v>
      </c>
      <c r="H8811" s="13" t="n">
        <f aca="false">Sens!$H$8803/Sens!$H$8783</f>
        <v>0.137449034763893</v>
      </c>
      <c r="I8811" s="13" t="n">
        <f aca="false">Sens!$I$8803/Sens!$I$8783</f>
        <v>0.13598895915033</v>
      </c>
      <c r="J8811" s="13" t="n">
        <f aca="false">Sens!$J$8803/Sens!$J$8783</f>
        <v>0.137709769017663</v>
      </c>
      <c r="K8811" s="13" t="n">
        <f aca="false">Sens!$K$8803/Sens!$K$8783</f>
        <v>0.135323776909366</v>
      </c>
      <c r="L8811" s="13" t="n">
        <f aca="false">Sens!$L$8803/Sens!$L$8783</f>
        <v>0.133445719861579</v>
      </c>
      <c r="M8811" s="13" t="n">
        <f aca="false">Sens!$M$8803/Sens!$M$8783</f>
        <v>0.133075730813735</v>
      </c>
      <c r="N8811" s="13" t="n">
        <f aca="false">Sens!$N$8803/Sens!$N$8783</f>
        <v>0.116201614873411</v>
      </c>
      <c r="O8811" s="13" t="n">
        <f aca="false">Sens!$O$8803/Sens!$O$8783</f>
        <v>0.107733353660861</v>
      </c>
    </row>
    <row r="8812" customFormat="false" ht="17.15" hidden="false" customHeight="false" outlineLevel="0" collapsed="false">
      <c r="A8812" s="1" t="s">
        <v>754</v>
      </c>
    </row>
    <row r="8813" customFormat="false" ht="17.15" hidden="false" customHeight="false" outlineLevel="0" collapsed="false">
      <c r="A8813" s="5" t="s">
        <v>755</v>
      </c>
      <c r="B8813" s="0" t="s">
        <v>52</v>
      </c>
      <c r="D8813" s="28" t="n">
        <f aca="false">(Q!$E$29+Q!$E$30-(1-ext_sh)*Sens!$D$8735)/Sens!$D$8686</f>
        <v>0.0341105596409988</v>
      </c>
    </row>
    <row r="8814" customFormat="false" ht="17.15" hidden="false" customHeight="false" outlineLevel="0" collapsed="false">
      <c r="A8814" s="0" t="s">
        <v>545</v>
      </c>
      <c r="B8814" s="0" t="s">
        <v>86</v>
      </c>
      <c r="C8814" s="38" t="n">
        <f aca="false">Q!$D$29</f>
        <v>14.285</v>
      </c>
      <c r="D8814" s="38" t="n">
        <f aca="false">Q!$E$29</f>
        <v>15.503</v>
      </c>
      <c r="E8814" s="38" t="n">
        <f aca="false">Q!$P$29</f>
        <v>8.78</v>
      </c>
      <c r="F8814" s="38" t="n">
        <f aca="false">(Sens!$D$8813*Sens!$F$8686+(1-ext_sh)*Sens!$F$8735)*Sens!$F$8687</f>
        <v>9.30317620449232</v>
      </c>
      <c r="G8814" s="38" t="n">
        <f aca="false">Sens!$E$8814+Sens!$F$8814</f>
        <v>18.0831762044923</v>
      </c>
      <c r="H8814" s="38" t="n">
        <f aca="false">(Sens!$D$8813*Sens!$H$8686+(1-ext_sh)*Sens!$H$8735)*Sens!$H$8687</f>
        <v>22.1297245338482</v>
      </c>
      <c r="I8814" s="38" t="n">
        <f aca="false">(Sens!$D$8813*Sens!$I$8686+(1-ext_sh)*Sens!$I$8735)*Sens!$I$8687</f>
        <v>28.409695984391</v>
      </c>
      <c r="J8814" s="38" t="n">
        <f aca="false">(Sens!$D$8813*Sens!$J$8686+(1-ext_sh)*Sens!$J$8735)*Sens!$J$8687</f>
        <v>34.1085606174579</v>
      </c>
      <c r="K8814" s="38" t="n">
        <f aca="false">(Sens!$D$8813*Sens!$K$8686+(1-ext_sh)*Sens!$K$8735)*Sens!$K$8687</f>
        <v>39.7218983009068</v>
      </c>
      <c r="L8814" s="38" t="n">
        <f aca="false">(Sens!$D$8813*Sens!$L$8686+(1-ext_sh)*Sens!$L$8735)*Sens!$L$8687</f>
        <v>44.1116202150966</v>
      </c>
      <c r="M8814" s="38" t="n">
        <f aca="false">(Sens!$D$8813*Sens!$M$8686+(1-ext_sh)*Sens!$M$8735)*Sens!$M$8687</f>
        <v>47.2720841306133</v>
      </c>
      <c r="N8814" s="38" t="n">
        <f aca="false">Q!$N$29</f>
        <v>7.272</v>
      </c>
      <c r="O8814" s="38" t="n">
        <f aca="false">Q!$O$29</f>
        <v>8.231</v>
      </c>
    </row>
    <row r="8815" customFormat="false" ht="17.15" hidden="false" customHeight="false" outlineLevel="0" collapsed="false">
      <c r="A8815" s="0" t="s">
        <v>547</v>
      </c>
      <c r="B8815" s="0" t="s">
        <v>86</v>
      </c>
      <c r="C8815" s="38" t="n">
        <f aca="false">Q!$D$30</f>
        <v>4.462</v>
      </c>
      <c r="D8815" s="38" t="n">
        <f aca="false">Q!$E$30</f>
        <v>4.907</v>
      </c>
      <c r="E8815" s="38" t="n">
        <f aca="false">Q!$P$30</f>
        <v>2.57</v>
      </c>
      <c r="F8815" s="38" t="n">
        <f aca="false">(Sens!$D$8813*Sens!$F$8686+(1-ext_sh)*Sens!$F$8735)*(1-Sens!$F$8687)</f>
        <v>3.6526976809753</v>
      </c>
      <c r="G8815" s="38" t="n">
        <f aca="false">Sens!$E$8815+Sens!$F$8815</f>
        <v>6.2226976809753</v>
      </c>
      <c r="H8815" s="38" t="n">
        <f aca="false">(Sens!$D$8813*Sens!$H$8686+(1-ext_sh)*Sens!$H$8735)*(1-Sens!$H$8687)</f>
        <v>8.4764774248495</v>
      </c>
      <c r="I8815" s="38" t="n">
        <f aca="false">(Sens!$D$8813*Sens!$I$8686+(1-ext_sh)*Sens!$I$8735)*(1-Sens!$I$8687)</f>
        <v>10.881931507561</v>
      </c>
      <c r="J8815" s="38" t="n">
        <f aca="false">(Sens!$D$8813*Sens!$J$8686+(1-ext_sh)*Sens!$J$8735)*(1-Sens!$J$8687)</f>
        <v>13.0648008575874</v>
      </c>
      <c r="K8815" s="38" t="n">
        <f aca="false">(Sens!$D$8813*Sens!$K$8686+(1-ext_sh)*Sens!$K$8735)*(1-Sens!$K$8687)</f>
        <v>15.2149103214008</v>
      </c>
      <c r="L8815" s="38" t="n">
        <f aca="false">(Sens!$D$8813*Sens!$L$8686+(1-ext_sh)*Sens!$L$8735)*(1-Sens!$L$8687)</f>
        <v>16.8963311023095</v>
      </c>
      <c r="M8815" s="38" t="n">
        <f aca="false">(Sens!$D$8813*Sens!$M$8686+(1-ext_sh)*Sens!$M$8735)*(1-Sens!$M$8687)</f>
        <v>18.1069020242816</v>
      </c>
      <c r="N8815" s="38" t="n">
        <f aca="false">Q!$N$30</f>
        <v>2.316</v>
      </c>
      <c r="O8815" s="38" t="n">
        <f aca="false">Q!$O$30</f>
        <v>2.591</v>
      </c>
    </row>
    <row r="8816" customFormat="false" ht="17.15" hidden="false" customHeight="false" outlineLevel="0" collapsed="false">
      <c r="A8816" s="0" t="s">
        <v>548</v>
      </c>
      <c r="B8816" s="0" t="s">
        <v>86</v>
      </c>
      <c r="C8816" s="38" t="n">
        <f aca="false">Sens!$C$8747</f>
        <v>13.32</v>
      </c>
      <c r="D8816" s="38" t="n">
        <f aca="false">Sens!$D$8747</f>
        <v>21.45</v>
      </c>
      <c r="E8816" s="38" t="n">
        <f aca="false">Sens!$E$8747</f>
        <v>15.353</v>
      </c>
      <c r="F8816" s="38" t="n">
        <f aca="false">Sens!$F$8747</f>
        <v>16.1969869840094</v>
      </c>
      <c r="G8816" s="38" t="n">
        <f aca="false">Sens!$G$8747</f>
        <v>31.5499869840094</v>
      </c>
      <c r="H8816" s="38" t="n">
        <f aca="false">Sens!$H$8747</f>
        <v>50.9556213609176</v>
      </c>
      <c r="I8816" s="38" t="n">
        <f aca="false">Sens!$I$8747</f>
        <v>79.464581248252</v>
      </c>
      <c r="J8816" s="38" t="n">
        <f aca="false">Sens!$J$8747</f>
        <v>105.296127931746</v>
      </c>
      <c r="K8816" s="38" t="n">
        <f aca="false">Sens!$K$8747</f>
        <v>131.454694001511</v>
      </c>
      <c r="L8816" s="38" t="n">
        <f aca="false">Sens!$L$8747</f>
        <v>150.528401314722</v>
      </c>
      <c r="M8816" s="38" t="n">
        <f aca="false">Sens!$M$8747</f>
        <v>162.46328719295</v>
      </c>
      <c r="N8816" s="38" t="n">
        <f aca="false">Sens!$N$8747</f>
        <v>9.234</v>
      </c>
      <c r="O8816" s="38" t="n">
        <f aca="false">Sens!$O$8747</f>
        <v>12.216</v>
      </c>
    </row>
    <row r="8817" customFormat="false" ht="17.15" hidden="false" customHeight="false" outlineLevel="0" collapsed="false">
      <c r="A8817" s="5" t="s">
        <v>756</v>
      </c>
      <c r="B8817" s="0" t="s">
        <v>86</v>
      </c>
      <c r="C8817" s="38" t="n">
        <f aca="false">Sens!$C$8814+Sens!$C$8815+Sens!$C$8816</f>
        <v>32.067</v>
      </c>
      <c r="D8817" s="38" t="n">
        <f aca="false">Sens!$D$8814+Sens!$D$8815+Sens!$D$8816</f>
        <v>41.86</v>
      </c>
      <c r="E8817" s="38" t="n">
        <f aca="false">Sens!$E$8814+Sens!$E$8815+Sens!$E$8816</f>
        <v>26.703</v>
      </c>
      <c r="F8817" s="38" t="n">
        <f aca="false">Sens!$F$8814+Sens!$F$8815+Sens!$F$8816</f>
        <v>29.152860869477</v>
      </c>
      <c r="G8817" s="38" t="n">
        <f aca="false">Sens!$G$8814+Sens!$G$8815+Sens!$G$8816</f>
        <v>55.855860869477</v>
      </c>
      <c r="H8817" s="38" t="n">
        <f aca="false">Sens!$H$8814+Sens!$H$8815+Sens!$H$8816</f>
        <v>81.5618233196153</v>
      </c>
      <c r="I8817" s="38" t="n">
        <f aca="false">Sens!$I$8814+Sens!$I$8815+Sens!$I$8816</f>
        <v>118.756208740204</v>
      </c>
      <c r="J8817" s="38" t="n">
        <f aca="false">Sens!$J$8814+Sens!$J$8815+Sens!$J$8816</f>
        <v>152.469489406791</v>
      </c>
      <c r="K8817" s="38" t="n">
        <f aca="false">Sens!$K$8814+Sens!$K$8815+Sens!$K$8816</f>
        <v>186.391502623819</v>
      </c>
      <c r="L8817" s="38" t="n">
        <f aca="false">Sens!$L$8814+Sens!$L$8815+Sens!$L$8816</f>
        <v>211.536352632128</v>
      </c>
      <c r="M8817" s="38" t="n">
        <f aca="false">Sens!$M$8814+Sens!$M$8815+Sens!$M$8816</f>
        <v>227.842273347845</v>
      </c>
      <c r="N8817" s="38" t="n">
        <f aca="false">Sens!$N$8814+Sens!$N$8815+Sens!$N$8816</f>
        <v>18.822</v>
      </c>
      <c r="O8817" s="38" t="n">
        <f aca="false">Sens!$O$8814+Sens!$O$8815+Sens!$O$8816</f>
        <v>23.038</v>
      </c>
    </row>
    <row r="8818" customFormat="false" ht="17.15" hidden="false" customHeight="false" outlineLevel="0" collapsed="false">
      <c r="A8818" s="0" t="s">
        <v>757</v>
      </c>
      <c r="B8818" s="0" t="s">
        <v>86</v>
      </c>
      <c r="C8818" s="38" t="n">
        <f aca="false">Sens!$C$8789+Sens!$C$8794</f>
        <v>28.107</v>
      </c>
      <c r="D8818" s="38" t="n">
        <f aca="false">Sens!$D$8789+Sens!$D$8794</f>
        <v>34.3175</v>
      </c>
      <c r="E8818" s="38" t="n">
        <f aca="false">Sens!$E$8789+Sens!$E$8794</f>
        <v>18.526</v>
      </c>
      <c r="F8818" s="38" t="n">
        <f aca="false">Sens!$F$8789+Sens!$F$8794</f>
        <v>23.0786109972074</v>
      </c>
      <c r="G8818" s="38" t="n">
        <f aca="false">Sens!$G$8789+Sens!$G$8794</f>
        <v>41.6046109972074</v>
      </c>
      <c r="H8818" s="38" t="n">
        <f aca="false">Sens!$H$8789+Sens!$H$8794</f>
        <v>49.9484611939488</v>
      </c>
      <c r="I8818" s="38" t="n">
        <f aca="false">Sens!$I$8789+Sens!$I$8794</f>
        <v>58.2915555477481</v>
      </c>
      <c r="J8818" s="38" t="n">
        <f aca="false">Sens!$J$8789+Sens!$J$8794</f>
        <v>66.0744709709759</v>
      </c>
      <c r="K8818" s="38" t="n">
        <f aca="false">Sens!$K$8789+Sens!$K$8794</f>
        <v>72.6819180680735</v>
      </c>
      <c r="L8818" s="38" t="n">
        <f aca="false">Sens!$L$8789+Sens!$L$8794</f>
        <v>79.9501098748808</v>
      </c>
      <c r="M8818" s="38" t="n">
        <f aca="false">Sens!$M$8789+Sens!$M$8794</f>
        <v>87.9451208623689</v>
      </c>
      <c r="N8818" s="38" t="n">
        <f aca="false">Sens!$N$8789+Sens!$N$8794</f>
        <v>14.8075</v>
      </c>
      <c r="O8818" s="38" t="n">
        <f aca="false">Sens!$O$8789+Sens!$O$8794</f>
        <v>19.51</v>
      </c>
    </row>
    <row r="8819" customFormat="false" ht="17.15" hidden="false" customHeight="false" outlineLevel="0" collapsed="false">
      <c r="A8819" s="0" t="s">
        <v>758</v>
      </c>
      <c r="B8819" s="0" t="s">
        <v>86</v>
      </c>
      <c r="C8819" s="38" t="n">
        <f aca="false">Sens!$C$8793+Sens!$C$8798+Sens!$C$8814+Sens!$C$8815-Sens!$C$8818</f>
        <v>19.399</v>
      </c>
      <c r="D8819" s="38" t="n">
        <f aca="false">Sens!$D$8793+Sens!$D$8798+Sens!$D$8814+Sens!$D$8815-Sens!$D$8818</f>
        <v>20.4615</v>
      </c>
      <c r="E8819" s="38" t="n">
        <f aca="false">Sens!$E$8793+Sens!$E$8798+Sens!$E$8814+Sens!$E$8815-Sens!$E$8818</f>
        <v>13.355</v>
      </c>
      <c r="F8819" s="38" t="n">
        <f aca="false">Sens!$F$8793+Sens!$F$8798+Sens!$F$8814+Sens!$F$8815-Sens!$F$8818</f>
        <v>12.7680546411015</v>
      </c>
      <c r="G8819" s="38" t="n">
        <f aca="false">Sens!$G$8793+Sens!$G$8798+Sens!$G$8814+Sens!$G$8815-Sens!$G$8818</f>
        <v>26.1230546411015</v>
      </c>
      <c r="H8819" s="38" t="n">
        <f aca="false">Sens!$H$8793+Sens!$H$8798+Sens!$H$8814+Sens!$H$8815-Sens!$H$8818</f>
        <v>28.4662904769959</v>
      </c>
      <c r="I8819" s="38" t="n">
        <f aca="false">Sens!$I$8793+Sens!$I$8798+Sens!$I$8814+Sens!$I$8815-Sens!$I$8818</f>
        <v>30.7231490427408</v>
      </c>
      <c r="J8819" s="38" t="n">
        <f aca="false">Sens!$J$8793+Sens!$J$8798+Sens!$J$8814+Sens!$J$8815-Sens!$J$8818</f>
        <v>32.9723159380642</v>
      </c>
      <c r="K8819" s="38" t="n">
        <f aca="false">Sens!$K$8793+Sens!$K$8798+Sens!$K$8814+Sens!$K$8815-Sens!$K$8818</f>
        <v>35.396134514869</v>
      </c>
      <c r="L8819" s="38" t="n">
        <f aca="false">Sens!$L$8793+Sens!$L$8798+Sens!$L$8814+Sens!$L$8815-Sens!$L$8818</f>
        <v>37.0732291588577</v>
      </c>
      <c r="M8819" s="38" t="n">
        <f aca="false">Sens!$M$8793+Sens!$M$8798+Sens!$M$8814+Sens!$M$8815-Sens!$M$8818</f>
        <v>39.5764557344662</v>
      </c>
      <c r="N8819" s="38" t="n">
        <f aca="false">Sens!$N$8793+Sens!$N$8798+Sens!$N$8814+Sens!$N$8815-Sens!$N$8818</f>
        <v>10.6495</v>
      </c>
      <c r="O8819" s="38" t="n">
        <f aca="false">Sens!$O$8793+Sens!$O$8798+Sens!$O$8814+Sens!$O$8815-Sens!$O$8818</f>
        <v>9.81200000000001</v>
      </c>
    </row>
    <row r="8820" customFormat="false" ht="17.15" hidden="false" customHeight="false" outlineLevel="0" collapsed="false">
      <c r="A8820" s="0" t="s">
        <v>759</v>
      </c>
      <c r="B8820" s="0" t="s">
        <v>86</v>
      </c>
      <c r="C8820" s="38" t="n">
        <f aca="false">Sens!$C$8800+Sens!$C$8816-ext_sh*Sens!$C$8735</f>
        <v>51.3470500115664</v>
      </c>
      <c r="D8820" s="38" t="n">
        <f aca="false">Sens!$D$8800+Sens!$D$8816-ext_sh*Sens!$D$8735</f>
        <v>60.2799375433739</v>
      </c>
      <c r="E8820" s="38" t="n">
        <f aca="false">Sens!$E$8800+Sens!$E$8816-ext_sh*Sens!$E$8735</f>
        <v>39.5095167090767</v>
      </c>
      <c r="F8820" s="38" t="n">
        <f aca="false">Sens!$F$8800+Sens!$F$8816-ext_sh*Sens!$F$8735</f>
        <v>37.951394214027</v>
      </c>
      <c r="G8820" s="38" t="n">
        <f aca="false">Sens!$G$8800+Sens!$G$8816-ext_sh*Sens!$G$8735</f>
        <v>77.4609109231037</v>
      </c>
      <c r="H8820" s="38" t="n">
        <f aca="false">Sens!$H$8800+Sens!$H$8816-ext_sh*Sens!$H$8735</f>
        <v>85.1453558128916</v>
      </c>
      <c r="I8820" s="38" t="n">
        <f aca="false">Sens!$I$8800+Sens!$I$8816-ext_sh*Sens!$I$8735</f>
        <v>94.532921967974</v>
      </c>
      <c r="J8820" s="38" t="n">
        <f aca="false">Sens!$J$8800+Sens!$J$8816-ext_sh*Sens!$J$8735</f>
        <v>103.525527532583</v>
      </c>
      <c r="K8820" s="38" t="n">
        <f aca="false">Sens!$K$8800+Sens!$K$8816-ext_sh*Sens!$K$8735</f>
        <v>111.80756973519</v>
      </c>
      <c r="L8820" s="38" t="n">
        <f aca="false">Sens!$L$8800+Sens!$L$8816-ext_sh*Sens!$L$8735</f>
        <v>120.752175314005</v>
      </c>
      <c r="M8820" s="38" t="n">
        <f aca="false">Sens!$M$8800+Sens!$M$8816-ext_sh*Sens!$M$8735</f>
        <v>130.412349339125</v>
      </c>
      <c r="N8820" s="38" t="n">
        <f aca="false">Sens!$N$8800+Sens!$N$8816-ext_sh*Sens!$N$8735</f>
        <v>28.5693781401809</v>
      </c>
      <c r="O8820" s="38" t="n">
        <f aca="false">Sens!$O$8800+Sens!$O$8816-ext_sh*Sens!$O$8735</f>
        <v>31.7105594031931</v>
      </c>
    </row>
    <row r="8821" customFormat="false" ht="17.15" hidden="false" customHeight="false" outlineLevel="0" collapsed="false">
      <c r="A8821" s="0" t="s">
        <v>760</v>
      </c>
      <c r="B8821" s="0" t="s">
        <v>86</v>
      </c>
      <c r="C8821" s="38" t="n">
        <f aca="false">Sens!$C$8738</f>
        <v>1.80694998843362</v>
      </c>
      <c r="D8821" s="38" t="n">
        <f aca="false">Sens!$D$8738</f>
        <v>6.77606245662607</v>
      </c>
      <c r="E8821" s="38" t="n">
        <f aca="false">Sens!$E$8738</f>
        <v>6.62548329092326</v>
      </c>
      <c r="F8821" s="38" t="n">
        <f aca="false">Sens!$F$8738</f>
        <v>11.7200577158706</v>
      </c>
      <c r="G8821" s="38" t="n">
        <f aca="false">Sens!$G$8738</f>
        <v>18.3455410067939</v>
      </c>
      <c r="H8821" s="38" t="n">
        <f aca="false">Sens!$H$8738</f>
        <v>47.5171727060453</v>
      </c>
      <c r="I8821" s="38" t="n">
        <f aca="false">Sens!$I$8738</f>
        <v>80.5539692643667</v>
      </c>
      <c r="J8821" s="38" t="n">
        <f aca="false">Sens!$J$8738</f>
        <v>113.759316834883</v>
      </c>
      <c r="K8821" s="38" t="n">
        <f aca="false">Sens!$K$8738</f>
        <v>141.855203603144</v>
      </c>
      <c r="L8821" s="38" t="n">
        <f aca="false">Sens!$L$8738</f>
        <v>159.789055430453</v>
      </c>
      <c r="M8821" s="38" t="n">
        <f aca="false">Sens!$M$8738</f>
        <v>167.532378081213</v>
      </c>
      <c r="N8821" s="38" t="n">
        <f aca="false">Sens!$N$8738</f>
        <v>2.37162185981912</v>
      </c>
      <c r="O8821" s="38" t="n">
        <f aca="false">Sens!$O$8738</f>
        <v>4.40444059680694</v>
      </c>
    </row>
    <row r="8822" customFormat="false" ht="17.15" hidden="false" customHeight="false" outlineLevel="0" collapsed="false">
      <c r="A8822" s="0" t="s">
        <v>761</v>
      </c>
      <c r="B8822" s="0" t="s">
        <v>86</v>
      </c>
      <c r="C8822" s="38" t="n">
        <f aca="false">Sens!$C$8803+Sens!$C$8817</f>
        <v>100.66</v>
      </c>
      <c r="D8822" s="38" t="n">
        <f aca="false">Sens!$D$8803+Sens!$D$8817</f>
        <v>121.835</v>
      </c>
      <c r="E8822" s="38" t="n">
        <f aca="false">Sens!$E$8803+Sens!$E$8817</f>
        <v>78.016</v>
      </c>
      <c r="F8822" s="38" t="n">
        <f aca="false">Sens!$F$8803+Sens!$F$8817</f>
        <v>85.5181175682064</v>
      </c>
      <c r="G8822" s="38" t="n">
        <f aca="false">Sens!$G$8803+Sens!$G$8817</f>
        <v>163.534117568206</v>
      </c>
      <c r="H8822" s="38" t="n">
        <f aca="false">Sens!$H$8803+Sens!$H$8817</f>
        <v>211.077280189882</v>
      </c>
      <c r="I8822" s="38" t="n">
        <f aca="false">Sens!$I$8803+Sens!$I$8817</f>
        <v>264.10159582283</v>
      </c>
      <c r="J8822" s="38" t="n">
        <f aca="false">Sens!$J$8803+Sens!$J$8817</f>
        <v>316.331631276507</v>
      </c>
      <c r="K8822" s="38" t="n">
        <f aca="false">Sens!$K$8803+Sens!$K$8817</f>
        <v>361.740825921276</v>
      </c>
      <c r="L8822" s="38" t="n">
        <f aca="false">Sens!$L$8803+Sens!$L$8817</f>
        <v>397.564569778197</v>
      </c>
      <c r="M8822" s="38" t="n">
        <f aca="false">Sens!$M$8803+Sens!$M$8817</f>
        <v>425.466304017173</v>
      </c>
      <c r="N8822" s="38" t="n">
        <f aca="false">Sens!$N$8803+Sens!$N$8817</f>
        <v>56.398</v>
      </c>
      <c r="O8822" s="38" t="n">
        <f aca="false">Sens!$O$8803+Sens!$O$8817</f>
        <v>65.437</v>
      </c>
    </row>
    <row r="8823" customFormat="false" ht="17.15" hidden="false" customHeight="false" outlineLevel="0" collapsed="false">
      <c r="A8823" s="1" t="s">
        <v>762</v>
      </c>
    </row>
    <row r="8824" customFormat="false" ht="15" hidden="false" customHeight="false" outlineLevel="0" collapsed="false">
      <c r="A8824" s="5" t="s">
        <v>551</v>
      </c>
      <c r="B8824" s="0" t="s">
        <v>86</v>
      </c>
      <c r="C8824" s="38" t="n">
        <f aca="false">Q!$D$34</f>
        <v>2.406</v>
      </c>
      <c r="D8824" s="38" t="n">
        <f aca="false">Q!$E$34</f>
        <v>2.274</v>
      </c>
      <c r="E8824" s="38" t="n">
        <f aca="false">Q!$P$34</f>
        <v>2.114</v>
      </c>
      <c r="F8824" s="38" t="n">
        <f aca="false">Sens!$F$8862</f>
        <v>3.24888962733561</v>
      </c>
      <c r="G8824" s="38" t="n">
        <f aca="false">Sens!$E$8824+Sens!$F$8824</f>
        <v>5.36288962733561</v>
      </c>
      <c r="H8824" s="38" t="n">
        <f aca="false">Sens!$H$8862</f>
        <v>7.42354172302123</v>
      </c>
      <c r="I8824" s="38" t="n">
        <f aca="false">Sens!$I$8862</f>
        <v>7.84418947693382</v>
      </c>
      <c r="J8824" s="38" t="n">
        <f aca="false">Sens!$J$8862</f>
        <v>8.79561318891235</v>
      </c>
      <c r="K8824" s="38" t="n">
        <f aca="false">Sens!$K$8862</f>
        <v>8.79561318891235</v>
      </c>
      <c r="L8824" s="38" t="n">
        <f aca="false">Sens!$L$8862</f>
        <v>8.79561318891235</v>
      </c>
      <c r="M8824" s="38" t="n">
        <f aca="false">Sens!$M$8862</f>
        <v>8.79561318891235</v>
      </c>
      <c r="N8824" s="38" t="n">
        <f aca="false">Q!$N$34</f>
        <v>1.057</v>
      </c>
      <c r="O8824" s="38" t="n">
        <f aca="false">Q!$O$34</f>
        <v>1.217</v>
      </c>
    </row>
    <row r="8825" customFormat="false" ht="15" hidden="false" customHeight="false" outlineLevel="0" collapsed="false">
      <c r="A8825" s="5" t="s">
        <v>763</v>
      </c>
      <c r="B8825" s="0" t="s">
        <v>86</v>
      </c>
      <c r="F8825" s="38" t="n">
        <f aca="false">Sens!$F$8863</f>
        <v>2.59</v>
      </c>
      <c r="H8825" s="38" t="n">
        <f aca="false">Sens!$H$8863</f>
        <v>4.1153774832261</v>
      </c>
      <c r="I8825" s="38" t="n">
        <f aca="false">Sens!$I$8863</f>
        <v>2.10589651022864</v>
      </c>
      <c r="J8825" s="38" t="n">
        <f aca="false">Sens!$J$8863</f>
        <v>2.10589651022864</v>
      </c>
      <c r="K8825" s="38" t="n">
        <f aca="false">Sens!$K$8863</f>
        <v>3.172800358404</v>
      </c>
      <c r="L8825" s="38" t="n">
        <f aca="false">Sens!$L$8863</f>
        <v>8.41944638731071</v>
      </c>
      <c r="M8825" s="38" t="n">
        <f aca="false">Sens!$M$8863</f>
        <v>16.2381912039624</v>
      </c>
    </row>
    <row r="8826" customFormat="false" ht="17.15" hidden="false" customHeight="false" outlineLevel="0" collapsed="false">
      <c r="A8826" s="5" t="s">
        <v>764</v>
      </c>
      <c r="B8826" s="0" t="s">
        <v>86</v>
      </c>
      <c r="C8826" s="38" t="n">
        <f aca="false">Q!$D$39</f>
        <v>2.427</v>
      </c>
      <c r="D8826" s="38" t="n">
        <f aca="false">Q!$E$39</f>
        <v>19.61</v>
      </c>
      <c r="E8826" s="38" t="n">
        <f aca="false">Q!$P$39</f>
        <v>71.492</v>
      </c>
      <c r="F8826" s="39" t="n">
        <v>0</v>
      </c>
      <c r="G8826" s="38" t="n">
        <f aca="false">Sens!$E$8826+Sens!$F$8826</f>
        <v>71.492</v>
      </c>
      <c r="H8826" s="39" t="n">
        <v>0</v>
      </c>
      <c r="I8826" s="39" t="n">
        <v>0</v>
      </c>
      <c r="J8826" s="39" t="n">
        <v>0</v>
      </c>
      <c r="K8826" s="39" t="n">
        <v>0</v>
      </c>
      <c r="L8826" s="39" t="n">
        <v>0</v>
      </c>
      <c r="M8826" s="39" t="n">
        <v>0</v>
      </c>
      <c r="N8826" s="38" t="n">
        <f aca="false">Q!$N$39</f>
        <v>6.017</v>
      </c>
      <c r="O8826" s="38" t="n">
        <f aca="false">Q!$O$39</f>
        <v>13.593</v>
      </c>
      <c r="P8826" s="5" t="s">
        <v>765</v>
      </c>
    </row>
    <row r="8827" customFormat="false" ht="15" hidden="false" customHeight="false" outlineLevel="0" collapsed="false">
      <c r="A8827" s="5" t="s">
        <v>554</v>
      </c>
      <c r="B8827" s="0" t="s">
        <v>86</v>
      </c>
      <c r="C8827" s="38" t="n">
        <f aca="false">Q!$D$36</f>
        <v>68.614</v>
      </c>
      <c r="D8827" s="38" t="n">
        <f aca="false">Q!$E$36</f>
        <v>97.311</v>
      </c>
      <c r="E8827" s="38" t="n">
        <f aca="false">Q!$P$36</f>
        <v>120.691</v>
      </c>
      <c r="F8827" s="38" t="n">
        <f aca="false">Sens!$F$8803-Sens!$F$8824+Sens!$F$8825+Sens!$F$8826</f>
        <v>55.7063670713938</v>
      </c>
      <c r="G8827" s="38" t="n">
        <f aca="false">Sens!$E$8827+Sens!$F$8827</f>
        <v>176.397367071394</v>
      </c>
      <c r="H8827" s="38" t="n">
        <f aca="false">Sens!$H$8803-Sens!$H$8824+Sens!$H$8825+Sens!$H$8826</f>
        <v>126.207292630471</v>
      </c>
      <c r="I8827" s="38" t="n">
        <f aca="false">Sens!$I$8803-Sens!$I$8824+Sens!$I$8825+Sens!$I$8826</f>
        <v>139.60709411592</v>
      </c>
      <c r="J8827" s="38" t="n">
        <f aca="false">Sens!$J$8803-Sens!$J$8824+Sens!$J$8825+Sens!$J$8826</f>
        <v>157.172425191032</v>
      </c>
      <c r="K8827" s="38" t="n">
        <f aca="false">Sens!$K$8803-Sens!$K$8824+Sens!$K$8825+Sens!$K$8826</f>
        <v>169.726510466949</v>
      </c>
      <c r="L8827" s="38" t="n">
        <f aca="false">Sens!$L$8803-Sens!$L$8824+Sens!$L$8825+Sens!$L$8826</f>
        <v>185.652050344467</v>
      </c>
      <c r="M8827" s="38" t="n">
        <f aca="false">Sens!$M$8803-Sens!$M$8824+Sens!$M$8825+Sens!$M$8826</f>
        <v>205.066608684378</v>
      </c>
      <c r="N8827" s="38" t="n">
        <f aca="false">Q!$N$36</f>
        <v>42.536</v>
      </c>
      <c r="O8827" s="38" t="n">
        <f aca="false">Q!$O$36</f>
        <v>54.775</v>
      </c>
    </row>
    <row r="8828" customFormat="false" ht="15" hidden="false" customHeight="false" outlineLevel="0" collapsed="false">
      <c r="A8828" s="5" t="s">
        <v>555</v>
      </c>
      <c r="B8828" s="0" t="s">
        <v>86</v>
      </c>
      <c r="C8828" s="38" t="n">
        <f aca="false">Q!$D$37</f>
        <v>9.265</v>
      </c>
      <c r="D8828" s="38" t="n">
        <f aca="false">Q!$E$37</f>
        <v>19.087</v>
      </c>
      <c r="E8828" s="38" t="n">
        <f aca="false">Q!$P$37</f>
        <v>27.759</v>
      </c>
      <c r="F8828" s="38" t="n">
        <f aca="false">Sens!$F$8827*tax</f>
        <v>9.669763357865</v>
      </c>
      <c r="G8828" s="38" t="n">
        <f aca="false">Sens!$E$8828+Sens!$F$8828</f>
        <v>37.428763357865</v>
      </c>
      <c r="H8828" s="38" t="n">
        <f aca="false">Sens!$H$8827*tax</f>
        <v>21.9076331473816</v>
      </c>
      <c r="I8828" s="38" t="n">
        <f aca="false">Sens!$I$8827*tax</f>
        <v>24.2336313450491</v>
      </c>
      <c r="J8828" s="38" t="n">
        <f aca="false">Sens!$J$8827*tax</f>
        <v>27.2827010246639</v>
      </c>
      <c r="K8828" s="38" t="n">
        <f aca="false">Sens!$K$8827*tax</f>
        <v>29.4618959744438</v>
      </c>
      <c r="L8828" s="38" t="n">
        <f aca="false">Sens!$L$8827*tax</f>
        <v>32.2263232752671</v>
      </c>
      <c r="M8828" s="38" t="n">
        <f aca="false">Sens!$M$8827*tax</f>
        <v>35.5963901942569</v>
      </c>
      <c r="N8828" s="38" t="n">
        <f aca="false">Q!$N$37</f>
        <v>7.231</v>
      </c>
      <c r="O8828" s="38" t="n">
        <f aca="false">Q!$O$37</f>
        <v>11.856</v>
      </c>
    </row>
    <row r="8829" customFormat="false" ht="15" hidden="false" customHeight="false" outlineLevel="0" collapsed="false">
      <c r="A8829" s="3" t="s">
        <v>556</v>
      </c>
      <c r="B8829" s="8" t="s">
        <v>86</v>
      </c>
      <c r="C8829" s="38" t="n">
        <f aca="false">Q!$D$38</f>
        <v>59.248</v>
      </c>
      <c r="D8829" s="38" t="n">
        <f aca="false">Q!$E$38</f>
        <v>77.67</v>
      </c>
      <c r="E8829" s="38" t="n">
        <f aca="false">Q!$P$38</f>
        <v>92.902</v>
      </c>
      <c r="F8829" s="38" t="n">
        <f aca="false">Sens!$F$8827-Sens!$F$8828</f>
        <v>46.0366037135288</v>
      </c>
      <c r="G8829" s="38" t="n">
        <f aca="false">Sens!$E$8829+Sens!$F$8829</f>
        <v>138.938603713529</v>
      </c>
      <c r="H8829" s="38" t="n">
        <f aca="false">Sens!$H$8827-Sens!$H$8828</f>
        <v>104.29965948309</v>
      </c>
      <c r="I8829" s="38" t="n">
        <f aca="false">Sens!$I$8827-Sens!$I$8828</f>
        <v>115.373462770871</v>
      </c>
      <c r="J8829" s="38" t="n">
        <f aca="false">Sens!$J$8827-Sens!$J$8828</f>
        <v>129.889724166368</v>
      </c>
      <c r="K8829" s="38" t="n">
        <f aca="false">Sens!$K$8827-Sens!$K$8828</f>
        <v>140.264614492505</v>
      </c>
      <c r="L8829" s="38" t="n">
        <f aca="false">Sens!$L$8827-Sens!$L$8828</f>
        <v>153.4257270692</v>
      </c>
      <c r="M8829" s="38" t="n">
        <f aca="false">Sens!$M$8827-Sens!$M$8828</f>
        <v>169.470218490121</v>
      </c>
      <c r="N8829" s="38" t="n">
        <f aca="false">Q!$N$38</f>
        <v>35.291</v>
      </c>
      <c r="O8829" s="38" t="n">
        <f aca="false">Q!$O$38</f>
        <v>42.379</v>
      </c>
    </row>
    <row r="8830" customFormat="false" ht="17.15" hidden="false" customHeight="false" outlineLevel="0" collapsed="false">
      <c r="A8830" s="5" t="s">
        <v>559</v>
      </c>
      <c r="B8830" s="5" t="s">
        <v>33</v>
      </c>
      <c r="C8830" s="22" t="n">
        <f aca="false">Q!$D$41</f>
        <v>10.721</v>
      </c>
      <c r="D8830" s="22" t="n">
        <f aca="false">Q!$E$41</f>
        <v>10.827</v>
      </c>
      <c r="E8830" s="22" t="n">
        <f aca="false">(Q!$L$41+Q!$M$41)/2</f>
        <v>10.8885</v>
      </c>
      <c r="F8830" s="22" t="n">
        <f aca="false">Sens!$G$8830</f>
        <v>10.924806</v>
      </c>
      <c r="G8830" s="22" t="n">
        <f aca="false">Q!$M$41*(1+sh_g*0.25)</f>
        <v>10.924806</v>
      </c>
      <c r="H8830" s="22" t="n">
        <f aca="false">Sens!$G$8830*(1+sh_g)</f>
        <v>11.012204448</v>
      </c>
      <c r="I8830" s="22" t="n">
        <f aca="false">Sens!$H$8830*(1+sh_g)</f>
        <v>11.100302083584</v>
      </c>
      <c r="J8830" s="22" t="n">
        <f aca="false">Sens!$I$8830*(1+sh_g)</f>
        <v>11.1891045002527</v>
      </c>
      <c r="K8830" s="22" t="n">
        <f aca="false">Sens!$J$8830*(1+sh_g)</f>
        <v>11.2786173362547</v>
      </c>
      <c r="L8830" s="22" t="n">
        <f aca="false">Sens!$K$8830*(1+sh_g)</f>
        <v>11.3688462749447</v>
      </c>
      <c r="M8830" s="22" t="n">
        <f aca="false">Sens!$L$8830*(1+sh_g)</f>
        <v>11.4597970451443</v>
      </c>
      <c r="P8830" s="5" t="s">
        <v>766</v>
      </c>
    </row>
    <row r="8831" customFormat="false" ht="17.15" hidden="false" customHeight="false" outlineLevel="0" collapsed="false">
      <c r="A8831" s="5" t="s">
        <v>767</v>
      </c>
      <c r="B8831" s="0" t="s">
        <v>86</v>
      </c>
      <c r="C8831" s="38" t="n">
        <f aca="false">Sens!$C$8829+Sens!$C$8805*(1-tax)</f>
        <v>59.248</v>
      </c>
      <c r="D8831" s="38" t="n">
        <f aca="false">Sens!$D$8829+Sens!$D$8805*(1-tax)</f>
        <v>77.67</v>
      </c>
      <c r="E8831" s="38" t="n">
        <f aca="false">Sens!$E$8829+Sens!$E$8805*(1-tax)</f>
        <v>92.902</v>
      </c>
      <c r="F8831" s="38" t="n">
        <f aca="false">Sens!$F$8829+Sens!$F$8805*(1-tax)</f>
        <v>49.1531986731775</v>
      </c>
      <c r="G8831" s="38" t="n">
        <f aca="false">Sens!$G$8829+Sens!$G$8805*(1-tax)</f>
        <v>142.055198673178</v>
      </c>
      <c r="H8831" s="38" t="n">
        <f aca="false">Sens!$H$8829+Sens!$H$8805*(1-tax)</f>
        <v>116.831055438434</v>
      </c>
      <c r="I8831" s="38" t="n">
        <f aca="false">Sens!$I$8829+Sens!$I$8805*(1-tax)</f>
        <v>136.514727845811</v>
      </c>
      <c r="J8831" s="38" t="n">
        <f aca="false">Sens!$J$8829+Sens!$J$8805*(1-tax)</f>
        <v>159.679161110652</v>
      </c>
      <c r="K8831" s="38" t="n">
        <f aca="false">Sens!$K$8829+Sens!$K$8805*(1-tax)</f>
        <v>177.372351461996</v>
      </c>
      <c r="L8831" s="38" t="n">
        <f aca="false">Sens!$L$8829+Sens!$L$8805*(1-tax)</f>
        <v>195.204947712044</v>
      </c>
      <c r="M8831" s="38" t="n">
        <f aca="false">Sens!$M$8829+Sens!$M$8805*(1-tax)</f>
        <v>213.267631218502</v>
      </c>
      <c r="N8831" s="38" t="n">
        <f aca="false">Sens!$N$8829+Sens!$N$8805*(1-tax)</f>
        <v>35.291</v>
      </c>
      <c r="O8831" s="38" t="n">
        <f aca="false">Sens!$O$8829+Sens!$O$8805*(1-tax)</f>
        <v>42.379</v>
      </c>
    </row>
    <row r="8832" customFormat="false" ht="17.15" hidden="false" customHeight="false" outlineLevel="0" collapsed="false">
      <c r="A8832" s="43" t="s">
        <v>768</v>
      </c>
      <c r="B8832" s="14" t="s">
        <v>27</v>
      </c>
      <c r="C8832" s="44" t="n">
        <f aca="false">Sens!$C$8831/Sens!$C$8830</f>
        <v>5.52635015390355</v>
      </c>
      <c r="D8832" s="44" t="n">
        <f aca="false">Sens!$D$8831/Sens!$D$8830</f>
        <v>7.1737323358271</v>
      </c>
      <c r="E8832" s="44" t="n">
        <f aca="false">Sens!$E$8831/Sens!$E$8830</f>
        <v>8.53212104513937</v>
      </c>
      <c r="F8832" s="14"/>
      <c r="G8832" s="44" t="n">
        <f aca="false">Sens!$G$8831/Sens!$G$8830</f>
        <v>13.0029950804781</v>
      </c>
      <c r="H8832" s="44" t="n">
        <f aca="false">Sens!$H$8831/Sens!$H$8830</f>
        <v>10.6092341447268</v>
      </c>
      <c r="I8832" s="44" t="n">
        <f aca="false">Sens!$I$8831/Sens!$I$8830</f>
        <v>12.298289435537</v>
      </c>
      <c r="J8832" s="44" t="n">
        <f aca="false">Sens!$J$8831/Sens!$J$8830</f>
        <v>14.2709509154236</v>
      </c>
      <c r="K8832" s="44" t="n">
        <f aca="false">Sens!$K$8831/Sens!$K$8830</f>
        <v>15.7264269346065</v>
      </c>
      <c r="L8832" s="44" t="n">
        <f aca="false">Sens!$L$8831/Sens!$L$8830</f>
        <v>17.1701633561751</v>
      </c>
      <c r="M8832" s="44" t="n">
        <f aca="false">Sens!$M$8831/Sens!$M$8830</f>
        <v>18.6100705255393</v>
      </c>
      <c r="N8832" s="14"/>
      <c r="O8832" s="14"/>
    </row>
    <row r="8833" customFormat="false" ht="17.15" hidden="false" customHeight="false" outlineLevel="0" collapsed="false">
      <c r="A8833" s="0" t="s">
        <v>769</v>
      </c>
      <c r="B8833" s="0" t="s">
        <v>27</v>
      </c>
      <c r="C8833" s="30" t="n">
        <f aca="false">Sens!$C$8829/Sens!$C$8830</f>
        <v>5.52635015390355</v>
      </c>
      <c r="D8833" s="30" t="n">
        <f aca="false">Sens!$D$8829/Sens!$D$8830</f>
        <v>7.1737323358271</v>
      </c>
      <c r="E8833" s="30" t="n">
        <f aca="false">Sens!$E$8829/Sens!$E$8830</f>
        <v>8.53212104513937</v>
      </c>
      <c r="G8833" s="30" t="n">
        <f aca="false">Sens!$G$8829/Sens!$G$8830</f>
        <v>12.7177181648378</v>
      </c>
      <c r="H8833" s="30" t="n">
        <f aca="false">Sens!$H$8829/Sens!$H$8830</f>
        <v>9.47127888658407</v>
      </c>
      <c r="I8833" s="30" t="n">
        <f aca="false">Sens!$I$8829/Sens!$I$8830</f>
        <v>10.3937227925981</v>
      </c>
      <c r="J8833" s="30" t="n">
        <f aca="false">Sens!$J$8829/Sens!$J$8830</f>
        <v>11.6085897815536</v>
      </c>
      <c r="K8833" s="30" t="n">
        <f aca="false">Sens!$K$8829/Sens!$K$8830</f>
        <v>12.4363306521296</v>
      </c>
      <c r="L8833" s="30" t="n">
        <f aca="false">Sens!$L$8829/Sens!$L$8830</f>
        <v>13.4952767729235</v>
      </c>
      <c r="M8833" s="30" t="n">
        <f aca="false">Sens!$M$8829/Sens!$M$8830</f>
        <v>14.7882390781021</v>
      </c>
    </row>
    <row r="8834" customFormat="false" ht="17.15" hidden="false" customHeight="false" outlineLevel="0" collapsed="false">
      <c r="A8834" s="0" t="s">
        <v>770</v>
      </c>
      <c r="B8834" s="0" t="s">
        <v>27</v>
      </c>
      <c r="C8834" s="30" t="n">
        <f aca="false">(Sens!$C$8829-Sens!$C$8826*(1-tax))/Sens!$C$8830</f>
        <v>5.33926775917445</v>
      </c>
      <c r="D8834" s="30" t="n">
        <f aca="false">(Sens!$D$8829-Sens!$D$8826*(1-tax))/Sens!$D$8830</f>
        <v>5.67691812755503</v>
      </c>
      <c r="E8834" s="30" t="n">
        <f aca="false">(Sens!$E$8829-Sens!$E$8826*(1-tax))/Sens!$E$8830</f>
        <v>3.10602057006846</v>
      </c>
      <c r="G8834" s="30" t="n">
        <f aca="false">(Sens!$G$8829-Sens!$G$8826*(1-tax))/Sens!$G$8830</f>
        <v>7.30965004694081</v>
      </c>
      <c r="H8834" s="30" t="n">
        <f aca="false">(Sens!$H$8829-Sens!$H$8826*(1-tax))/Sens!$H$8830</f>
        <v>9.47127888658407</v>
      </c>
      <c r="I8834" s="30" t="n">
        <f aca="false">(Sens!$I$8829-Sens!$I$8826*(1-tax))/Sens!$I$8830</f>
        <v>10.3937227925981</v>
      </c>
      <c r="J8834" s="30" t="n">
        <f aca="false">(Sens!$J$8829-Sens!$J$8826*(1-tax))/Sens!$J$8830</f>
        <v>11.6085897815536</v>
      </c>
      <c r="K8834" s="30" t="n">
        <f aca="false">(Sens!$K$8829-Sens!$K$8826*(1-tax))/Sens!$K$8830</f>
        <v>12.4363306521296</v>
      </c>
      <c r="L8834" s="30" t="n">
        <f aca="false">(Sens!$L$8829-Sens!$L$8826*(1-tax))/Sens!$L$8830</f>
        <v>13.4952767729235</v>
      </c>
      <c r="M8834" s="30" t="n">
        <f aca="false">(Sens!$M$8829-Sens!$M$8826*(1-tax))/Sens!$M$8830</f>
        <v>14.7882390781021</v>
      </c>
      <c r="P8834" s="5" t="s">
        <v>771</v>
      </c>
    </row>
    <row r="8835" customFormat="false" ht="17.15" hidden="false" customHeight="false" outlineLevel="0" collapsed="false">
      <c r="A8835" s="0" t="s">
        <v>772</v>
      </c>
      <c r="B8835" s="0" t="s">
        <v>52</v>
      </c>
      <c r="H8835" s="13" t="n">
        <f aca="false">Sens!$H$8832/Sens!$G$8832-1</f>
        <v>-0.184093043251635</v>
      </c>
      <c r="I8835" s="13" t="n">
        <f aca="false">Sens!$I$8832/Sens!$H$8832-1</f>
        <v>0.159206147000695</v>
      </c>
      <c r="J8835" s="13" t="n">
        <f aca="false">Sens!$J$8832/Sens!$I$8832-1</f>
        <v>0.160401289157047</v>
      </c>
      <c r="K8835" s="13" t="n">
        <f aca="false">Sens!$K$8832/Sens!$J$8832-1</f>
        <v>0.101988720149673</v>
      </c>
      <c r="L8835" s="13" t="n">
        <f aca="false">Sens!$L$8832/Sens!$K$8832-1</f>
        <v>0.0918032066388574</v>
      </c>
      <c r="M8835" s="13" t="n">
        <f aca="false">Sens!$M$8832/Sens!$L$8832-1</f>
        <v>0.083861005832911</v>
      </c>
    </row>
    <row r="8838" customFormat="false" ht="19.4" hidden="false" customHeight="false" outlineLevel="0" collapsed="false">
      <c r="A8838" s="31" t="s">
        <v>1330</v>
      </c>
    </row>
    <row r="8839" customFormat="false" ht="17.15" hidden="false" customHeight="false" outlineLevel="0" collapsed="false">
      <c r="A8839" s="6" t="s">
        <v>16</v>
      </c>
      <c r="B8839" s="6" t="s">
        <v>17</v>
      </c>
      <c r="C8839" s="20" t="s">
        <v>504</v>
      </c>
      <c r="D8839" s="20" t="s">
        <v>505</v>
      </c>
      <c r="E8839" s="20" t="s">
        <v>587</v>
      </c>
      <c r="F8839" s="20" t="s">
        <v>588</v>
      </c>
      <c r="G8839" s="20" t="s">
        <v>589</v>
      </c>
      <c r="H8839" s="20" t="s">
        <v>590</v>
      </c>
      <c r="I8839" s="20" t="s">
        <v>591</v>
      </c>
      <c r="J8839" s="20" t="s">
        <v>592</v>
      </c>
      <c r="K8839" s="20" t="s">
        <v>593</v>
      </c>
      <c r="L8839" s="20" t="s">
        <v>594</v>
      </c>
      <c r="M8839" s="20" t="s">
        <v>595</v>
      </c>
      <c r="N8839" s="20" t="s">
        <v>596</v>
      </c>
      <c r="O8839" s="20" t="s">
        <v>597</v>
      </c>
      <c r="P8839" s="6" t="s">
        <v>23</v>
      </c>
      <c r="R8839" s="20" t="n">
        <v>2023</v>
      </c>
      <c r="S8839" s="20" t="n">
        <v>2024</v>
      </c>
      <c r="T8839" s="20" t="n">
        <v>2025</v>
      </c>
      <c r="U8839" s="20" t="n">
        <v>2026</v>
      </c>
      <c r="V8839" s="20" t="n">
        <v>2027</v>
      </c>
      <c r="W8839" s="20" t="n">
        <v>2028</v>
      </c>
      <c r="X8839" s="20" t="n">
        <v>2029</v>
      </c>
      <c r="Y8839" s="20" t="n">
        <v>2030</v>
      </c>
      <c r="Z8839" s="20" t="n">
        <v>2031</v>
      </c>
      <c r="AA8839" s="20" t="n">
        <v>2032</v>
      </c>
    </row>
    <row r="8840" customFormat="false" ht="15" hidden="false" customHeight="false" outlineLevel="0" collapsed="false">
      <c r="A8840" s="5" t="s">
        <v>556</v>
      </c>
      <c r="B8840" s="0" t="s">
        <v>86</v>
      </c>
      <c r="C8840" s="38" t="n">
        <f aca="false">Sens!$C$8829</f>
        <v>59.248</v>
      </c>
      <c r="D8840" s="38" t="n">
        <f aca="false">Sens!$D$8829</f>
        <v>77.67</v>
      </c>
      <c r="E8840" s="38" t="n">
        <f aca="false">Sens!$E$8829</f>
        <v>92.902</v>
      </c>
      <c r="F8840" s="38" t="n">
        <f aca="false">Sens!$F$8829</f>
        <v>46.0366037135288</v>
      </c>
      <c r="G8840" s="38" t="n">
        <f aca="false">Sens!$G$8829</f>
        <v>138.938603713529</v>
      </c>
      <c r="H8840" s="38" t="n">
        <f aca="false">Sens!$H$8829</f>
        <v>104.29965948309</v>
      </c>
      <c r="I8840" s="38" t="n">
        <f aca="false">Sens!$I$8829</f>
        <v>115.373462770871</v>
      </c>
      <c r="J8840" s="38" t="n">
        <f aca="false">Sens!$J$8829</f>
        <v>129.889724166368</v>
      </c>
      <c r="K8840" s="38" t="n">
        <f aca="false">Sens!$K$8829</f>
        <v>140.264614492505</v>
      </c>
      <c r="L8840" s="38" t="n">
        <f aca="false">Sens!$L$8829</f>
        <v>153.4257270692</v>
      </c>
      <c r="M8840" s="38" t="n">
        <f aca="false">Sens!$M$8829</f>
        <v>169.470218490121</v>
      </c>
    </row>
    <row r="8841" customFormat="false" ht="17.15" hidden="false" customHeight="false" outlineLevel="0" collapsed="false">
      <c r="A8841" s="5" t="s">
        <v>795</v>
      </c>
      <c r="B8841" s="0" t="s">
        <v>86</v>
      </c>
      <c r="C8841" s="38" t="n">
        <f aca="false">Sens!$C$8817</f>
        <v>32.067</v>
      </c>
      <c r="D8841" s="38" t="n">
        <f aca="false">Sens!$D$8817</f>
        <v>41.86</v>
      </c>
      <c r="E8841" s="38" t="n">
        <f aca="false">Sens!$E$8817</f>
        <v>26.703</v>
      </c>
      <c r="F8841" s="38" t="n">
        <f aca="false">Sens!$F$8817</f>
        <v>29.152860869477</v>
      </c>
      <c r="G8841" s="38" t="n">
        <f aca="false">Sens!$G$8817</f>
        <v>55.855860869477</v>
      </c>
      <c r="H8841" s="38" t="n">
        <f aca="false">Sens!$H$8817</f>
        <v>81.5618233196153</v>
      </c>
      <c r="I8841" s="38" t="n">
        <f aca="false">Sens!$I$8817</f>
        <v>118.756208740204</v>
      </c>
      <c r="J8841" s="38" t="n">
        <f aca="false">Sens!$J$8817</f>
        <v>152.469489406791</v>
      </c>
      <c r="K8841" s="38" t="n">
        <f aca="false">Sens!$K$8817</f>
        <v>186.391502623819</v>
      </c>
      <c r="L8841" s="38" t="n">
        <f aca="false">Sens!$L$8817</f>
        <v>211.536352632128</v>
      </c>
      <c r="M8841" s="38" t="n">
        <f aca="false">Sens!$M$8817</f>
        <v>227.842273347845</v>
      </c>
    </row>
    <row r="8842" customFormat="false" ht="15" hidden="false" customHeight="false" outlineLevel="0" collapsed="false">
      <c r="A8842" s="5" t="s">
        <v>796</v>
      </c>
      <c r="B8842" s="0" t="s">
        <v>86</v>
      </c>
      <c r="C8842" s="38" t="n">
        <f aca="false">Q!$D$48</f>
        <v>22.011</v>
      </c>
      <c r="D8842" s="38" t="n">
        <f aca="false">Q!$E$48</f>
        <v>19.467</v>
      </c>
      <c r="E8842" s="38" t="n">
        <f aca="false">Q!$P$48</f>
        <v>10.07</v>
      </c>
      <c r="F8842" s="38" t="n">
        <f aca="false">sbc_r*Sens!$F$8759</f>
        <v>10.8507035798037</v>
      </c>
      <c r="G8842" s="38" t="n">
        <f aca="false">Sens!$E$8842+Sens!$F$8842</f>
        <v>20.9207035798037</v>
      </c>
      <c r="H8842" s="38" t="n">
        <f aca="false">sbc_r*Sens!$H$8759</f>
        <v>23.46224366345</v>
      </c>
      <c r="I8842" s="38" t="n">
        <f aca="false">sbc_r*Sens!$I$8759</f>
        <v>26.6125957111676</v>
      </c>
      <c r="J8842" s="38" t="n">
        <f aca="false">sbc_r*Sens!$J$8759</f>
        <v>29.6280801413323</v>
      </c>
      <c r="K8842" s="38" t="n">
        <f aca="false">sbc_r*Sens!$K$8759</f>
        <v>32.26410459716</v>
      </c>
      <c r="L8842" s="38" t="n">
        <f aca="false">sbc_r*Sens!$L$8759</f>
        <v>34.7107348734595</v>
      </c>
      <c r="M8842" s="38" t="n">
        <f aca="false">sbc_r*Sens!$M$8759</f>
        <v>36.9769023298878</v>
      </c>
    </row>
    <row r="8843" customFormat="false" ht="17.15" hidden="false" customHeight="false" outlineLevel="0" collapsed="false">
      <c r="A8843" s="5" t="s">
        <v>797</v>
      </c>
      <c r="B8843" s="0" t="s">
        <v>86</v>
      </c>
      <c r="C8843" s="38" t="n">
        <f aca="false">Q!$D$44-Sens!$C$8840-Sens!$C$8841-Sens!$C$8842</f>
        <v>2.551</v>
      </c>
      <c r="D8843" s="38" t="n">
        <f aca="false">Q!$E$44-Sens!$D$8840-Sens!$D$8841-Sens!$D$8842</f>
        <v>0.51700000000001</v>
      </c>
      <c r="E8843" s="38" t="n">
        <f aca="false">Q!$P$44-Sens!$E$8840-Sens!$E$8841-Sens!$E$8842</f>
        <v>-58.256</v>
      </c>
      <c r="F8843" s="38" t="n">
        <f aca="false">oth_r*Sens!$F$8759</f>
        <v>5.22265251035878</v>
      </c>
      <c r="G8843" s="38" t="n">
        <f aca="false">Sens!$E$8843+Sens!$F$8843</f>
        <v>-53.0333474896412</v>
      </c>
      <c r="H8843" s="38" t="n">
        <f aca="false">oth_r*Sens!$H$8759</f>
        <v>11.2928295263397</v>
      </c>
      <c r="I8843" s="38" t="n">
        <f aca="false">oth_r*Sens!$I$8759</f>
        <v>12.8091546115766</v>
      </c>
      <c r="J8843" s="38" t="n">
        <f aca="false">oth_r*Sens!$J$8759</f>
        <v>14.2605653162668</v>
      </c>
      <c r="K8843" s="38" t="n">
        <f aca="false">oth_r*Sens!$K$8759</f>
        <v>15.5293346306567</v>
      </c>
      <c r="L8843" s="38" t="n">
        <f aca="false">oth_r*Sens!$L$8759</f>
        <v>16.7069448805781</v>
      </c>
      <c r="M8843" s="38" t="n">
        <f aca="false">oth_r*Sens!$M$8759</f>
        <v>17.7976949013636</v>
      </c>
      <c r="P8843" s="8" t="s">
        <v>798</v>
      </c>
    </row>
    <row r="8844" customFormat="false" ht="15" hidden="false" customHeight="false" outlineLevel="0" collapsed="false">
      <c r="A8844" s="3" t="s">
        <v>562</v>
      </c>
      <c r="B8844" s="8" t="s">
        <v>86</v>
      </c>
      <c r="C8844" s="38" t="n">
        <f aca="false">Q!$D$44</f>
        <v>115.877</v>
      </c>
      <c r="D8844" s="38" t="n">
        <f aca="false">Q!$E$44</f>
        <v>139.514</v>
      </c>
      <c r="E8844" s="38" t="n">
        <f aca="false">Q!$P$44</f>
        <v>71.419</v>
      </c>
      <c r="F8844" s="38" t="n">
        <f aca="false">Sens!$F$8840+Sens!$F$8841+Sens!$F$8842+Sens!$F$8843</f>
        <v>91.2628206731683</v>
      </c>
      <c r="G8844" s="38" t="n">
        <f aca="false">Sens!$E$8844+Sens!$F$8844</f>
        <v>162.681820673168</v>
      </c>
      <c r="H8844" s="38" t="n">
        <f aca="false">Sens!$H$8840+Sens!$H$8841+Sens!$H$8842+Sens!$H$8843</f>
        <v>220.616555992495</v>
      </c>
      <c r="I8844" s="38" t="n">
        <f aca="false">Sens!$I$8840+Sens!$I$8841+Sens!$I$8842+Sens!$I$8843</f>
        <v>273.55142183382</v>
      </c>
      <c r="J8844" s="38" t="n">
        <f aca="false">Sens!$J$8840+Sens!$J$8841+Sens!$J$8842+Sens!$J$8843</f>
        <v>326.247859030758</v>
      </c>
      <c r="K8844" s="38" t="n">
        <f aca="false">Sens!$K$8840+Sens!$K$8841+Sens!$K$8842+Sens!$K$8843</f>
        <v>374.44955634414</v>
      </c>
      <c r="L8844" s="38" t="n">
        <f aca="false">Sens!$L$8840+Sens!$L$8841+Sens!$L$8842+Sens!$L$8843</f>
        <v>416.379759455366</v>
      </c>
      <c r="M8844" s="38" t="n">
        <f aca="false">Sens!$M$8840+Sens!$M$8841+Sens!$M$8842+Sens!$M$8843</f>
        <v>452.087089069218</v>
      </c>
    </row>
    <row r="8845" customFormat="false" ht="17.15" hidden="false" customHeight="false" outlineLevel="0" collapsed="false">
      <c r="A8845" s="5" t="s">
        <v>799</v>
      </c>
      <c r="B8845" s="0" t="s">
        <v>86</v>
      </c>
      <c r="C8845" s="38" t="n">
        <f aca="false">Sens!$C$8723</f>
        <v>25.2781053077374</v>
      </c>
      <c r="D8845" s="38" t="n">
        <f aca="false">Sens!$D$8723</f>
        <v>69.5686316310026</v>
      </c>
      <c r="E8845" s="38" t="n">
        <f aca="false">Sens!$E$8723</f>
        <v>64.1899206485108</v>
      </c>
      <c r="F8845" s="38" t="n">
        <f aca="false">Sens!$F$8723</f>
        <v>88.7165504612134</v>
      </c>
      <c r="G8845" s="38" t="n">
        <f aca="false">Sens!$G$8723</f>
        <v>152.906471109724</v>
      </c>
      <c r="H8845" s="38" t="n">
        <f aca="false">Sens!$H$8723</f>
        <v>198.57136494475</v>
      </c>
      <c r="I8845" s="38" t="n">
        <f aca="false">Sens!$I$8723</f>
        <v>204.6464699105</v>
      </c>
      <c r="J8845" s="38" t="n">
        <f aca="false">Sens!$J$8723</f>
        <v>209.8832381105</v>
      </c>
      <c r="K8845" s="38" t="n">
        <f aca="false">Sens!$K$8723</f>
        <v>152.460428963578</v>
      </c>
      <c r="L8845" s="38" t="n">
        <f aca="false">Sens!$L$8723</f>
        <v>126.458229016657</v>
      </c>
      <c r="M8845" s="38" t="n">
        <f aca="false">Sens!$M$8723</f>
        <v>123.897112724985</v>
      </c>
    </row>
    <row r="8846" customFormat="false" ht="17.15" hidden="false" customHeight="false" outlineLevel="0" collapsed="false">
      <c r="A8846" s="5" t="s">
        <v>800</v>
      </c>
      <c r="B8846" s="0" t="s">
        <v>86</v>
      </c>
      <c r="C8846" s="38" t="n">
        <f aca="false">cx_awso*Sens!$C$8757</f>
        <v>21.0469989286053</v>
      </c>
      <c r="D8846" s="38" t="n">
        <f aca="false">cx_awso*Sens!$D$8757</f>
        <v>24.0042459822698</v>
      </c>
      <c r="E8846" s="38" t="n">
        <f aca="false">cx_awso*Sens!$E$8757</f>
        <v>14.261729404886</v>
      </c>
      <c r="F8846" s="38" t="n">
        <f aca="false">cx_awso*Sens!$F$8757</f>
        <v>14.3538599588493</v>
      </c>
      <c r="G8846" s="38" t="n">
        <f aca="false">Sens!$E$8846+Sens!$F$8846</f>
        <v>28.6155893637353</v>
      </c>
      <c r="H8846" s="38" t="n">
        <f aca="false">cx_awso*Sens!$H$8757</f>
        <v>32.2034154158406</v>
      </c>
      <c r="I8846" s="38" t="n">
        <f aca="false">cx_awso*Sens!$I$8757</f>
        <v>35.7539519042915</v>
      </c>
      <c r="J8846" s="38" t="n">
        <f aca="false">cx_awso*Sens!$J$8757</f>
        <v>39.1551076091815</v>
      </c>
      <c r="K8846" s="38" t="n">
        <f aca="false">cx_awso*Sens!$K$8757</f>
        <v>42.287516217916</v>
      </c>
      <c r="L8846" s="38" t="n">
        <f aca="false">cx_awso*Sens!$L$8757</f>
        <v>45.6705175153492</v>
      </c>
      <c r="M8846" s="38" t="n">
        <f aca="false">cx_awso*Sens!$M$8757</f>
        <v>49.3241589165772</v>
      </c>
    </row>
    <row r="8847" customFormat="false" ht="17.15" hidden="false" customHeight="false" outlineLevel="0" collapsed="false">
      <c r="A8847" s="5" t="s">
        <v>801</v>
      </c>
      <c r="B8847" s="0" t="s">
        <v>86</v>
      </c>
      <c r="C8847" s="38" t="n">
        <f aca="false">Q!$D$46-Sens!$C$8845-Sens!$C$8846</f>
        <v>31.3328957636573</v>
      </c>
      <c r="D8847" s="38" t="n">
        <f aca="false">Q!$E$46-Sens!$D$8845-Sens!$D$8846</f>
        <v>34.7471223867276</v>
      </c>
      <c r="E8847" s="38" t="n">
        <f aca="false">Q!$P$46-Sens!$E$8845-Sens!$E$8846</f>
        <v>17.8583499466032</v>
      </c>
      <c r="F8847" s="38" t="n">
        <f aca="false">cx_rt*Sens!$F$8686</f>
        <v>20.6195895799373</v>
      </c>
      <c r="G8847" s="38" t="n">
        <f aca="false">Sens!$E$8847+Sens!$F$8847</f>
        <v>38.4779395265405</v>
      </c>
      <c r="H8847" s="38" t="n">
        <f aca="false">cx_rt*Sens!$H$8686</f>
        <v>42.5978994743075</v>
      </c>
      <c r="I8847" s="38" t="n">
        <f aca="false">cx_rt*Sens!$I$8686</f>
        <v>46.5813904136335</v>
      </c>
      <c r="J8847" s="38" t="n">
        <f aca="false">cx_rt*Sens!$J$8686</f>
        <v>50.2781676586844</v>
      </c>
      <c r="K8847" s="38" t="n">
        <f aca="false">cx_rt*Sens!$K$8686</f>
        <v>53.5312440191755</v>
      </c>
      <c r="L8847" s="38" t="n">
        <f aca="false">cx_rt*Sens!$L$8686</f>
        <v>57.0116717051447</v>
      </c>
      <c r="M8847" s="38" t="n">
        <f aca="false">cx_rt*Sens!$M$8686</f>
        <v>60.7365554669226</v>
      </c>
    </row>
    <row r="8848" customFormat="false" ht="15" hidden="false" customHeight="false" outlineLevel="0" collapsed="false">
      <c r="A8848" s="3" t="s">
        <v>802</v>
      </c>
      <c r="B8848" s="8" t="s">
        <v>86</v>
      </c>
      <c r="C8848" s="38" t="n">
        <f aca="false">Q!$D$46</f>
        <v>77.658</v>
      </c>
      <c r="D8848" s="38" t="n">
        <f aca="false">Q!$E$46</f>
        <v>128.32</v>
      </c>
      <c r="E8848" s="38" t="n">
        <f aca="false">Q!$P$46</f>
        <v>96.31</v>
      </c>
      <c r="F8848" s="38" t="n">
        <f aca="false">Sens!$F$8845+Sens!$F$8846+Sens!$F$8847</f>
        <v>123.69</v>
      </c>
      <c r="G8848" s="38" t="n">
        <f aca="false">Sens!$E$8848+Sens!$F$8848</f>
        <v>220</v>
      </c>
      <c r="H8848" s="38" t="n">
        <f aca="false">Sens!$H$8845+Sens!$H$8846+Sens!$H$8847</f>
        <v>273.372679834898</v>
      </c>
      <c r="I8848" s="38" t="n">
        <f aca="false">Sens!$I$8845+Sens!$I$8846+Sens!$I$8847</f>
        <v>286.981812228425</v>
      </c>
      <c r="J8848" s="38" t="n">
        <f aca="false">Sens!$J$8845+Sens!$J$8846+Sens!$J$8847</f>
        <v>299.316513378366</v>
      </c>
      <c r="K8848" s="38" t="n">
        <f aca="false">Sens!$K$8845+Sens!$K$8846+Sens!$K$8847</f>
        <v>248.27918920067</v>
      </c>
      <c r="L8848" s="38" t="n">
        <f aca="false">Sens!$L$8845+Sens!$L$8846+Sens!$L$8847</f>
        <v>229.140418237151</v>
      </c>
      <c r="M8848" s="38" t="n">
        <f aca="false">Sens!$M$8845+Sens!$M$8846+Sens!$M$8847</f>
        <v>233.957827108485</v>
      </c>
    </row>
    <row r="8849" customFormat="false" ht="17.15" hidden="false" customHeight="false" outlineLevel="0" collapsed="false">
      <c r="A8849" s="5" t="s">
        <v>570</v>
      </c>
      <c r="B8849" s="0" t="s">
        <v>86</v>
      </c>
      <c r="C8849" s="38" t="n">
        <f aca="false">Q!$D$50</f>
        <v>2.043</v>
      </c>
      <c r="D8849" s="38" t="n">
        <f aca="false">Q!$E$50</f>
        <v>1.557</v>
      </c>
      <c r="E8849" s="38" t="n">
        <f aca="false">lease_pr/2</f>
        <v>0.8</v>
      </c>
      <c r="F8849" s="38" t="n">
        <f aca="false">lease_pr/2</f>
        <v>0.8</v>
      </c>
      <c r="G8849" s="38" t="n">
        <f aca="false">Sens!$E$8849+Sens!$F$8849</f>
        <v>1.6</v>
      </c>
      <c r="H8849" s="38" t="n">
        <f aca="false">lease_pr</f>
        <v>1.6</v>
      </c>
      <c r="I8849" s="38" t="n">
        <f aca="false">lease_pr</f>
        <v>1.6</v>
      </c>
      <c r="J8849" s="38" t="n">
        <f aca="false">lease_pr</f>
        <v>1.6</v>
      </c>
      <c r="K8849" s="38" t="n">
        <f aca="false">lease_pr</f>
        <v>1.6</v>
      </c>
      <c r="L8849" s="38" t="n">
        <f aca="false">lease_pr</f>
        <v>1.6</v>
      </c>
      <c r="M8849" s="38" t="n">
        <f aca="false">lease_pr</f>
        <v>1.6</v>
      </c>
      <c r="P8849" s="8" t="s">
        <v>803</v>
      </c>
    </row>
    <row r="8850" customFormat="false" ht="15" hidden="false" customHeight="false" outlineLevel="0" collapsed="false">
      <c r="A8850" s="47" t="s">
        <v>804</v>
      </c>
      <c r="B8850" s="14" t="s">
        <v>86</v>
      </c>
      <c r="C8850" s="48" t="n">
        <f aca="false">Sens!$C$8844-Sens!$C$8848-Sens!$C$8849</f>
        <v>36.176</v>
      </c>
      <c r="D8850" s="48" t="n">
        <f aca="false">Sens!$D$8844-Sens!$D$8848-Sens!$D$8849</f>
        <v>9.63700000000002</v>
      </c>
      <c r="E8850" s="48" t="n">
        <f aca="false">Sens!$E$8844-Sens!$E$8848-Sens!$E$8849</f>
        <v>-25.691</v>
      </c>
      <c r="F8850" s="48" t="n">
        <f aca="false">Sens!$F$8844-Sens!$F$8848-Sens!$F$8849</f>
        <v>-33.2271793268317</v>
      </c>
      <c r="G8850" s="48" t="n">
        <f aca="false">Sens!$G$8844-Sens!$G$8848-Sens!$G$8849</f>
        <v>-58.9181793268317</v>
      </c>
      <c r="H8850" s="48" t="n">
        <f aca="false">Sens!$H$8844-Sens!$H$8848-Sens!$H$8849</f>
        <v>-54.3561238424036</v>
      </c>
      <c r="I8850" s="48" t="n">
        <f aca="false">Sens!$I$8844-Sens!$I$8848-Sens!$I$8849</f>
        <v>-15.0303903946055</v>
      </c>
      <c r="J8850" s="48" t="n">
        <f aca="false">Sens!$J$8844-Sens!$J$8848-Sens!$J$8849</f>
        <v>25.3313456523922</v>
      </c>
      <c r="K8850" s="48" t="n">
        <f aca="false">Sens!$K$8844-Sens!$K$8848-Sens!$K$8849</f>
        <v>124.570367143471</v>
      </c>
      <c r="L8850" s="48" t="n">
        <f aca="false">Sens!$L$8844-Sens!$L$8848-Sens!$L$8849</f>
        <v>185.639341218215</v>
      </c>
      <c r="M8850" s="48" t="n">
        <f aca="false">Sens!$M$8844-Sens!$M$8848-Sens!$M$8849</f>
        <v>216.529261960733</v>
      </c>
      <c r="N8850" s="14"/>
      <c r="O8850" s="14"/>
    </row>
    <row r="8851" customFormat="false" ht="17.15" hidden="false" customHeight="false" outlineLevel="0" collapsed="false">
      <c r="A8851" s="5" t="s">
        <v>805</v>
      </c>
      <c r="B8851" s="0" t="s">
        <v>86</v>
      </c>
      <c r="C8851" s="38" t="n">
        <f aca="false">dps*Sens!$C$8830</f>
        <v>0</v>
      </c>
      <c r="D8851" s="38" t="n">
        <f aca="false">dps*Sens!$D$8830</f>
        <v>0</v>
      </c>
      <c r="E8851" s="38" t="n">
        <f aca="false">dps*Sens!$E$8830</f>
        <v>0</v>
      </c>
      <c r="F8851" s="38" t="n">
        <f aca="false">0</f>
        <v>0</v>
      </c>
      <c r="G8851" s="38" t="n">
        <f aca="false">dps*Sens!$G$8830</f>
        <v>0</v>
      </c>
      <c r="H8851" s="38" t="n">
        <f aca="false">dps*Sens!$H$8830</f>
        <v>0</v>
      </c>
      <c r="I8851" s="38" t="n">
        <f aca="false">dps*Sens!$I$8830</f>
        <v>0</v>
      </c>
      <c r="J8851" s="38" t="n">
        <f aca="false">dps*Sens!$J$8830</f>
        <v>0</v>
      </c>
      <c r="K8851" s="38" t="n">
        <f aca="false">dps*Sens!$K$8830</f>
        <v>0</v>
      </c>
      <c r="L8851" s="38" t="n">
        <f aca="false">dps*Sens!$L$8830</f>
        <v>0</v>
      </c>
      <c r="M8851" s="38" t="n">
        <f aca="false">dps*Sens!$M$8830</f>
        <v>0</v>
      </c>
      <c r="P8851" s="8" t="s">
        <v>806</v>
      </c>
    </row>
    <row r="8852" customFormat="false" ht="17.15" hidden="false" customHeight="false" outlineLevel="0" collapsed="false">
      <c r="A8852" s="5" t="s">
        <v>807</v>
      </c>
      <c r="B8852" s="0" t="s">
        <v>86</v>
      </c>
      <c r="C8852" s="38" t="n">
        <f aca="false">0</f>
        <v>0</v>
      </c>
      <c r="D8852" s="38" t="n">
        <f aca="false">0</f>
        <v>0</v>
      </c>
      <c r="E8852" s="38" t="n">
        <f aca="false">0</f>
        <v>0</v>
      </c>
      <c r="F8852" s="38" t="n">
        <f aca="false">0</f>
        <v>0</v>
      </c>
      <c r="G8852" s="38" t="n">
        <f aca="false">0</f>
        <v>0</v>
      </c>
      <c r="H8852" s="38" t="n">
        <f aca="false">0</f>
        <v>0</v>
      </c>
      <c r="I8852" s="38" t="n">
        <f aca="false">0</f>
        <v>0</v>
      </c>
      <c r="J8852" s="38" t="n">
        <f aca="false">0</f>
        <v>0</v>
      </c>
      <c r="K8852" s="38" t="n">
        <f aca="false">0</f>
        <v>0</v>
      </c>
      <c r="L8852" s="38" t="n">
        <f aca="false">0</f>
        <v>0</v>
      </c>
      <c r="M8852" s="38" t="n">
        <f aca="false">0</f>
        <v>0</v>
      </c>
      <c r="P8852" s="8" t="s">
        <v>808</v>
      </c>
    </row>
    <row r="8853" customFormat="false" ht="15" hidden="false" customHeight="false" outlineLevel="0" collapsed="false">
      <c r="A8853" s="3" t="s">
        <v>809</v>
      </c>
      <c r="B8853" s="8" t="s">
        <v>86</v>
      </c>
      <c r="C8853" s="38" t="n">
        <f aca="false">Sens!$C$8850-Sens!$C$8851</f>
        <v>36.176</v>
      </c>
      <c r="D8853" s="38" t="n">
        <f aca="false">Sens!$D$8850-Sens!$D$8851</f>
        <v>9.63700000000002</v>
      </c>
      <c r="E8853" s="38" t="n">
        <f aca="false">Sens!$E$8850-Sens!$E$8851</f>
        <v>-25.691</v>
      </c>
      <c r="F8853" s="38" t="n">
        <f aca="false">Sens!$F$8850-Sens!$F$8851</f>
        <v>-33.2271793268317</v>
      </c>
      <c r="G8853" s="38" t="n">
        <f aca="false">Sens!$G$8850-Sens!$G$8851</f>
        <v>-58.9181793268317</v>
      </c>
      <c r="H8853" s="38" t="n">
        <f aca="false">Sens!$H$8850-Sens!$H$8851</f>
        <v>-54.3561238424036</v>
      </c>
      <c r="I8853" s="38" t="n">
        <f aca="false">Sens!$I$8850-Sens!$I$8851</f>
        <v>-15.0303903946055</v>
      </c>
      <c r="J8853" s="38" t="n">
        <f aca="false">Sens!$J$8850-Sens!$J$8851</f>
        <v>25.3313456523922</v>
      </c>
      <c r="K8853" s="38" t="n">
        <f aca="false">Sens!$K$8850-Sens!$K$8851</f>
        <v>124.570367143471</v>
      </c>
      <c r="L8853" s="38" t="n">
        <f aca="false">Sens!$L$8850-Sens!$L$8851</f>
        <v>185.639341218215</v>
      </c>
      <c r="M8853" s="38" t="n">
        <f aca="false">Sens!$M$8850-Sens!$M$8851</f>
        <v>216.529261960733</v>
      </c>
    </row>
    <row r="8854" customFormat="false" ht="17.15" hidden="false" customHeight="false" outlineLevel="0" collapsed="false">
      <c r="A8854" s="5" t="s">
        <v>810</v>
      </c>
      <c r="B8854" s="0" t="s">
        <v>86</v>
      </c>
      <c r="E8854" s="38" t="n">
        <f aca="false">Q!$P$53</f>
        <v>39.767</v>
      </c>
      <c r="F8854" s="38" t="n">
        <f aca="false">inv_2h26</f>
        <v>21.3</v>
      </c>
      <c r="G8854" s="38" t="n">
        <f aca="false">Sens!$E$8854+Sens!$F$8854</f>
        <v>61.067</v>
      </c>
      <c r="H8854" s="39" t="n">
        <v>0</v>
      </c>
      <c r="I8854" s="39" t="n">
        <v>0</v>
      </c>
      <c r="J8854" s="39" t="n">
        <v>0</v>
      </c>
      <c r="K8854" s="39" t="n">
        <v>0</v>
      </c>
      <c r="L8854" s="39" t="n">
        <v>0</v>
      </c>
      <c r="M8854" s="39" t="n">
        <v>0</v>
      </c>
    </row>
    <row r="8855" customFormat="false" ht="17.15" hidden="false" customHeight="false" outlineLevel="0" collapsed="false">
      <c r="A8855" s="5" t="s">
        <v>811</v>
      </c>
      <c r="B8855" s="0" t="s">
        <v>86</v>
      </c>
      <c r="F8855" s="38" t="n">
        <f aca="false">iss_2h26</f>
        <v>29.249999</v>
      </c>
      <c r="G8855" s="38" t="n">
        <f aca="false">Sens!$F$8855</f>
        <v>29.249999</v>
      </c>
      <c r="H8855" s="39" t="n">
        <v>0</v>
      </c>
      <c r="I8855" s="39" t="n">
        <v>0</v>
      </c>
      <c r="J8855" s="39" t="n">
        <v>0</v>
      </c>
      <c r="K8855" s="39" t="n">
        <v>0</v>
      </c>
      <c r="L8855" s="39" t="n">
        <v>0</v>
      </c>
      <c r="M8855" s="39" t="n">
        <v>0</v>
      </c>
    </row>
    <row r="8856" customFormat="false" ht="17.15" hidden="false" customHeight="false" outlineLevel="0" collapsed="false">
      <c r="A8856" s="5" t="s">
        <v>812</v>
      </c>
      <c r="B8856" s="0" t="s">
        <v>86</v>
      </c>
      <c r="F8856" s="38" t="n">
        <f aca="false">cash_q2</f>
        <v>122.988</v>
      </c>
      <c r="G8856" s="38" t="n">
        <f aca="false">cash_q2</f>
        <v>122.988</v>
      </c>
      <c r="H8856" s="38" t="n">
        <f aca="false">Sens!$G$8859</f>
        <v>97.7108196731683</v>
      </c>
      <c r="I8856" s="38" t="n">
        <f aca="false">Sens!$H$8859</f>
        <v>50</v>
      </c>
      <c r="J8856" s="38" t="n">
        <f aca="false">Sens!$I$8859</f>
        <v>50</v>
      </c>
      <c r="K8856" s="38" t="n">
        <f aca="false">Sens!$J$8859</f>
        <v>75.3313456523922</v>
      </c>
      <c r="L8856" s="38" t="n">
        <f aca="false">Sens!$K$8859</f>
        <v>199.901712795863</v>
      </c>
      <c r="M8856" s="38" t="n">
        <f aca="false">Sens!$L$8859</f>
        <v>385.541054014078</v>
      </c>
    </row>
    <row r="8857" customFormat="false" ht="15" hidden="false" customHeight="false" outlineLevel="0" collapsed="false">
      <c r="A8857" s="5" t="s">
        <v>813</v>
      </c>
      <c r="B8857" s="0" t="s">
        <v>86</v>
      </c>
      <c r="F8857" s="38" t="n">
        <f aca="false">Sens!$F$8856+Sens!$F$8853-Sens!$F$8852-Sens!$F$8854+Sens!$F$8855</f>
        <v>97.7108196731683</v>
      </c>
      <c r="H8857" s="38" t="n">
        <f aca="false">Sens!$H$8856+Sens!$H$8853-Sens!$H$8852-Sens!$H$8854+Sens!$H$8855</f>
        <v>43.3546958307647</v>
      </c>
      <c r="I8857" s="38" t="n">
        <f aca="false">Sens!$I$8856+Sens!$I$8853-Sens!$I$8852-Sens!$I$8854+Sens!$I$8855</f>
        <v>34.9696096053945</v>
      </c>
      <c r="J8857" s="38" t="n">
        <f aca="false">Sens!$J$8856+Sens!$J$8853-Sens!$J$8852-Sens!$J$8854+Sens!$J$8855</f>
        <v>75.3313456523922</v>
      </c>
      <c r="K8857" s="38" t="n">
        <f aca="false">Sens!$K$8856+Sens!$K$8853-Sens!$K$8852-Sens!$K$8854+Sens!$K$8855</f>
        <v>199.901712795863</v>
      </c>
      <c r="L8857" s="38" t="n">
        <f aca="false">Sens!$L$8856+Sens!$L$8853-Sens!$L$8852-Sens!$L$8854+Sens!$L$8855</f>
        <v>385.541054014078</v>
      </c>
      <c r="M8857" s="38" t="n">
        <f aca="false">Sens!$M$8856+Sens!$M$8853-Sens!$M$8852-Sens!$M$8854+Sens!$M$8855</f>
        <v>602.070315974811</v>
      </c>
    </row>
    <row r="8858" customFormat="false" ht="17.15" hidden="false" customHeight="false" outlineLevel="0" collapsed="false">
      <c r="A8858" s="5" t="s">
        <v>814</v>
      </c>
      <c r="B8858" s="0" t="s">
        <v>86</v>
      </c>
      <c r="F8858" s="38" t="n">
        <f aca="false">MAX(0,min_cash-Sens!$F$8857)</f>
        <v>0</v>
      </c>
      <c r="G8858" s="38" t="n">
        <f aca="false">Sens!$F$8858</f>
        <v>0</v>
      </c>
      <c r="H8858" s="38" t="n">
        <f aca="false">MAX(0,min_cash-Sens!$H$8857)</f>
        <v>6.64530416923528</v>
      </c>
      <c r="I8858" s="38" t="n">
        <f aca="false">MAX(0,min_cash-Sens!$I$8857)</f>
        <v>15.0303903946055</v>
      </c>
      <c r="J8858" s="38" t="n">
        <f aca="false">MAX(0,min_cash-Sens!$J$8857)</f>
        <v>0</v>
      </c>
      <c r="K8858" s="38" t="n">
        <f aca="false">MAX(0,min_cash-Sens!$K$8857)</f>
        <v>0</v>
      </c>
      <c r="L8858" s="38" t="n">
        <f aca="false">MAX(0,min_cash-Sens!$L$8857)</f>
        <v>0</v>
      </c>
      <c r="M8858" s="38" t="n">
        <f aca="false">MAX(0,min_cash-Sens!$M$8857)</f>
        <v>0</v>
      </c>
      <c r="P8858" s="5" t="s">
        <v>815</v>
      </c>
    </row>
    <row r="8859" customFormat="false" ht="15" hidden="false" customHeight="false" outlineLevel="0" collapsed="false">
      <c r="A8859" s="5" t="s">
        <v>816</v>
      </c>
      <c r="B8859" s="0" t="s">
        <v>86</v>
      </c>
      <c r="D8859" s="38" t="n">
        <f aca="false">Q!$E$61</f>
        <v>123.029</v>
      </c>
      <c r="E8859" s="38" t="n">
        <f aca="false">Q!$M$61</f>
        <v>122.988</v>
      </c>
      <c r="F8859" s="38" t="n">
        <f aca="false">Sens!$F$8857+Sens!$F$8858</f>
        <v>97.7108196731683</v>
      </c>
      <c r="G8859" s="38" t="n">
        <f aca="false">Sens!$F$8859</f>
        <v>97.7108196731683</v>
      </c>
      <c r="H8859" s="38" t="n">
        <f aca="false">Sens!$H$8857+Sens!$H$8858</f>
        <v>50</v>
      </c>
      <c r="I8859" s="38" t="n">
        <f aca="false">Sens!$I$8857+Sens!$I$8858</f>
        <v>50</v>
      </c>
      <c r="J8859" s="38" t="n">
        <f aca="false">Sens!$J$8857+Sens!$J$8858</f>
        <v>75.3313456523922</v>
      </c>
      <c r="K8859" s="38" t="n">
        <f aca="false">Sens!$K$8857+Sens!$K$8858</f>
        <v>199.901712795863</v>
      </c>
      <c r="L8859" s="38" t="n">
        <f aca="false">Sens!$L$8857+Sens!$L$8858</f>
        <v>385.541054014078</v>
      </c>
      <c r="M8859" s="38" t="n">
        <f aca="false">Sens!$M$8857+Sens!$M$8858</f>
        <v>602.070315974811</v>
      </c>
    </row>
    <row r="8860" customFormat="false" ht="15" hidden="false" customHeight="false" outlineLevel="0" collapsed="false">
      <c r="A8860" s="5" t="s">
        <v>817</v>
      </c>
      <c r="B8860" s="0" t="s">
        <v>86</v>
      </c>
      <c r="D8860" s="38" t="n">
        <f aca="false">Q!$E$62</f>
        <v>68.836</v>
      </c>
      <c r="E8860" s="38" t="n">
        <f aca="false">Q!$M$62</f>
        <v>132.995</v>
      </c>
      <c r="F8860" s="38" t="n">
        <f aca="false">debt_q2+Sens!$F$8855+Sens!$F$8858</f>
        <v>162.244999</v>
      </c>
      <c r="G8860" s="38" t="n">
        <f aca="false">Sens!$F$8860</f>
        <v>162.244999</v>
      </c>
      <c r="H8860" s="38" t="n">
        <f aca="false">Sens!$G$8860+Sens!$H$8858</f>
        <v>168.890303169235</v>
      </c>
      <c r="I8860" s="38" t="n">
        <f aca="false">Sens!$H$8860+Sens!$I$8858</f>
        <v>183.920693563841</v>
      </c>
      <c r="J8860" s="38" t="n">
        <f aca="false">Sens!$I$8860+Sens!$J$8858</f>
        <v>183.920693563841</v>
      </c>
      <c r="K8860" s="38" t="n">
        <f aca="false">Sens!$J$8860+Sens!$K$8858</f>
        <v>183.920693563841</v>
      </c>
      <c r="L8860" s="38" t="n">
        <f aca="false">Sens!$K$8860+Sens!$L$8858</f>
        <v>183.920693563841</v>
      </c>
      <c r="M8860" s="38" t="n">
        <f aca="false">Sens!$L$8860+Sens!$M$8858</f>
        <v>183.920693563841</v>
      </c>
    </row>
    <row r="8861" customFormat="false" ht="15" hidden="false" customHeight="false" outlineLevel="0" collapsed="false">
      <c r="A8861" s="5" t="s">
        <v>818</v>
      </c>
      <c r="B8861" s="0" t="s">
        <v>86</v>
      </c>
      <c r="D8861" s="38" t="n">
        <f aca="false">Sens!$D$8860-Sens!$D$8859</f>
        <v>-54.193</v>
      </c>
      <c r="E8861" s="38" t="n">
        <f aca="false">Sens!$E$8860-Sens!$E$8859</f>
        <v>10.007</v>
      </c>
      <c r="F8861" s="38" t="n">
        <f aca="false">Sens!$F$8860-Sens!$F$8859</f>
        <v>64.5341793268317</v>
      </c>
      <c r="G8861" s="38" t="n">
        <f aca="false">Sens!$G$8860-Sens!$G$8859</f>
        <v>64.5341793268317</v>
      </c>
      <c r="H8861" s="38" t="n">
        <f aca="false">Sens!$H$8860-Sens!$H$8859</f>
        <v>118.890303169235</v>
      </c>
      <c r="I8861" s="38" t="n">
        <f aca="false">Sens!$I$8860-Sens!$I$8859</f>
        <v>133.920693563841</v>
      </c>
      <c r="J8861" s="38" t="n">
        <f aca="false">Sens!$J$8860-Sens!$J$8859</f>
        <v>108.589347911449</v>
      </c>
      <c r="K8861" s="38" t="n">
        <f aca="false">Sens!$K$8860-Sens!$K$8859</f>
        <v>-15.9810192320221</v>
      </c>
      <c r="L8861" s="38" t="n">
        <f aca="false">Sens!$L$8860-Sens!$L$8859</f>
        <v>-201.620360450237</v>
      </c>
      <c r="M8861" s="38" t="n">
        <f aca="false">Sens!$M$8860-Sens!$M$8859</f>
        <v>-418.14962241097</v>
      </c>
    </row>
    <row r="8862" customFormat="false" ht="17.15" hidden="false" customHeight="false" outlineLevel="0" collapsed="false">
      <c r="A8862" s="5" t="s">
        <v>819</v>
      </c>
      <c r="B8862" s="0" t="s">
        <v>86</v>
      </c>
      <c r="F8862" s="38" t="n">
        <f aca="false">debt_q2*kd_book*0.5+iss_2h26*kd_new*iss_t</f>
        <v>3.24888962733561</v>
      </c>
      <c r="H8862" s="38" t="n">
        <f aca="false">debt_q2*kd_book+(Sens!$G$8860-debt_q2)*kd_new</f>
        <v>7.42354172302123</v>
      </c>
      <c r="I8862" s="38" t="n">
        <f aca="false">debt_q2*kd_book+(Sens!$H$8860-debt_q2)*kd_new</f>
        <v>7.84418947693382</v>
      </c>
      <c r="J8862" s="38" t="n">
        <f aca="false">debt_q2*kd_book+(Sens!$I$8860-debt_q2)*kd_new</f>
        <v>8.79561318891235</v>
      </c>
      <c r="K8862" s="38" t="n">
        <f aca="false">debt_q2*kd_book+(Sens!$J$8860-debt_q2)*kd_new</f>
        <v>8.79561318891235</v>
      </c>
      <c r="L8862" s="38" t="n">
        <f aca="false">debt_q2*kd_book+(Sens!$K$8860-debt_q2)*kd_new</f>
        <v>8.79561318891235</v>
      </c>
      <c r="M8862" s="38" t="n">
        <f aca="false">debt_q2*kd_book+(Sens!$L$8860-debt_q2)*kd_new</f>
        <v>8.79561318891235</v>
      </c>
    </row>
    <row r="8863" customFormat="false" ht="17.15" hidden="false" customHeight="false" outlineLevel="0" collapsed="false">
      <c r="A8863" s="5" t="s">
        <v>820</v>
      </c>
      <c r="B8863" s="0" t="s">
        <v>86</v>
      </c>
      <c r="F8863" s="38" t="n">
        <f aca="false">cash_q2*y_cash*0.5</f>
        <v>2.59</v>
      </c>
      <c r="H8863" s="38" t="n">
        <f aca="false">Sens!$G$8859*y_cash</f>
        <v>4.1153774832261</v>
      </c>
      <c r="I8863" s="38" t="n">
        <f aca="false">Sens!$H$8859*y_cash</f>
        <v>2.10589651022864</v>
      </c>
      <c r="J8863" s="38" t="n">
        <f aca="false">Sens!$I$8859*y_cash</f>
        <v>2.10589651022864</v>
      </c>
      <c r="K8863" s="38" t="n">
        <f aca="false">Sens!$J$8859*y_cash</f>
        <v>3.172800358404</v>
      </c>
      <c r="L8863" s="38" t="n">
        <f aca="false">Sens!$K$8859*y_cash</f>
        <v>8.41944638731071</v>
      </c>
      <c r="M8863" s="38" t="n">
        <f aca="false">Sens!$L$8859*y_cash</f>
        <v>16.2381912039624</v>
      </c>
    </row>
    <row r="8864" customFormat="false" ht="17.15" hidden="false" customHeight="false" outlineLevel="0" collapsed="false">
      <c r="A8864" s="47" t="s">
        <v>821</v>
      </c>
      <c r="B8864" s="14" t="s">
        <v>86</v>
      </c>
      <c r="C8864" s="14"/>
      <c r="D8864" s="14"/>
      <c r="E8864" s="14"/>
      <c r="F8864" s="14"/>
      <c r="G8864" s="48" t="n">
        <f aca="false">SUM(Sens!$G$8853:$K$8853)</f>
        <v>21.5970192320221</v>
      </c>
      <c r="H8864" s="14"/>
      <c r="I8864" s="14"/>
      <c r="J8864" s="14"/>
      <c r="K8864" s="14"/>
      <c r="L8864" s="14"/>
      <c r="M8864" s="14"/>
      <c r="N8864" s="14"/>
      <c r="O8864" s="14"/>
    </row>
    <row r="8865" customFormat="false" ht="17.15" hidden="false" customHeight="false" outlineLevel="0" collapsed="false">
      <c r="A8865" s="0" t="s">
        <v>787</v>
      </c>
      <c r="B8865" s="0" t="s">
        <v>86</v>
      </c>
      <c r="G8865" s="38" t="n">
        <f aca="false">SUM(Sens!$G$8858:$K$8858)</f>
        <v>21.6756945638408</v>
      </c>
    </row>
    <row r="8866" customFormat="false" ht="17.15" hidden="false" customHeight="false" outlineLevel="0" collapsed="false">
      <c r="A8866" s="24" t="s">
        <v>824</v>
      </c>
      <c r="B8866" s="25" t="s">
        <v>86</v>
      </c>
      <c r="C8866" s="25"/>
      <c r="D8866" s="25"/>
      <c r="E8866" s="25"/>
      <c r="F8866" s="25"/>
      <c r="G8866" s="41" t="n">
        <f aca="false">Sens!$G$8864-(Sens!$G$8853+Sens!$H$8853+Sens!$I$8853+Sens!$J$8853+Sens!$K$8853)</f>
        <v>0</v>
      </c>
      <c r="H8866" s="25"/>
      <c r="I8866" s="25"/>
      <c r="J8866" s="25"/>
      <c r="K8866" s="25"/>
      <c r="L8866" s="25"/>
      <c r="M8866" s="25"/>
      <c r="N8866" s="25"/>
      <c r="O8866" s="25"/>
    </row>
    <row r="8869" customFormat="false" ht="19.4" hidden="false" customHeight="false" outlineLevel="0" collapsed="false">
      <c r="A8869" s="31" t="s">
        <v>1331</v>
      </c>
    </row>
    <row r="8870" customFormat="false" ht="17.15" hidden="false" customHeight="false" outlineLevel="0" collapsed="false">
      <c r="A8870" s="6" t="s">
        <v>16</v>
      </c>
      <c r="B8870" s="6" t="s">
        <v>17</v>
      </c>
      <c r="C8870" s="20" t="s">
        <v>504</v>
      </c>
      <c r="D8870" s="20" t="s">
        <v>505</v>
      </c>
      <c r="E8870" s="20" t="s">
        <v>587</v>
      </c>
      <c r="F8870" s="20" t="s">
        <v>588</v>
      </c>
      <c r="G8870" s="20" t="s">
        <v>589</v>
      </c>
      <c r="H8870" s="20" t="s">
        <v>590</v>
      </c>
      <c r="I8870" s="20" t="s">
        <v>591</v>
      </c>
      <c r="J8870" s="20" t="s">
        <v>592</v>
      </c>
      <c r="K8870" s="20" t="s">
        <v>593</v>
      </c>
      <c r="L8870" s="20" t="s">
        <v>594</v>
      </c>
      <c r="M8870" s="20" t="s">
        <v>595</v>
      </c>
      <c r="N8870" s="20" t="s">
        <v>596</v>
      </c>
      <c r="O8870" s="20" t="s">
        <v>597</v>
      </c>
      <c r="P8870" s="6" t="s">
        <v>23</v>
      </c>
      <c r="R8870" s="20" t="n">
        <v>2023</v>
      </c>
      <c r="S8870" s="20" t="n">
        <v>2024</v>
      </c>
      <c r="T8870" s="20" t="n">
        <v>2025</v>
      </c>
      <c r="U8870" s="20" t="n">
        <v>2026</v>
      </c>
      <c r="V8870" s="20" t="n">
        <v>2027</v>
      </c>
      <c r="W8870" s="20" t="n">
        <v>2028</v>
      </c>
      <c r="X8870" s="20" t="n">
        <v>2029</v>
      </c>
      <c r="Y8870" s="20" t="n">
        <v>2030</v>
      </c>
      <c r="Z8870" s="20" t="n">
        <v>2031</v>
      </c>
      <c r="AA8870" s="20" t="n">
        <v>2032</v>
      </c>
    </row>
    <row r="8871" customFormat="false" ht="17.15" hidden="false" customHeight="false" outlineLevel="0" collapsed="false">
      <c r="A8871" s="1" t="s">
        <v>926</v>
      </c>
    </row>
    <row r="8872" customFormat="false" ht="17.15" hidden="false" customHeight="false" outlineLevel="0" collapsed="false">
      <c r="A8872" s="0" t="s">
        <v>927</v>
      </c>
      <c r="B8872" s="0" t="s">
        <v>86</v>
      </c>
      <c r="H8872" s="38" t="n">
        <f aca="false">Sens!$H$8806*(1-tax)</f>
        <v>119.56497355468</v>
      </c>
      <c r="I8872" s="38" t="n">
        <f aca="false">Sens!$I$8806*(1-tax)</f>
        <v>141.256941944278</v>
      </c>
      <c r="J8872" s="38" t="n">
        <f aca="false">Sens!$J$8806*(1-tax)</f>
        <v>165.207646486437</v>
      </c>
      <c r="K8872" s="38" t="n">
        <f aca="false">Sens!$K$8806*(1-tax)</f>
        <v>182.019130989042</v>
      </c>
      <c r="L8872" s="38" t="n">
        <f aca="false">Sens!$L$8806*(1-tax)</f>
        <v>195.515817777459</v>
      </c>
      <c r="M8872" s="38" t="n">
        <f aca="false">Sens!$M$8806*(1-tax)</f>
        <v>207.116969585035</v>
      </c>
    </row>
    <row r="8873" customFormat="false" ht="15" hidden="false" customHeight="false" outlineLevel="0" collapsed="false">
      <c r="A8873" s="5" t="s">
        <v>928</v>
      </c>
      <c r="B8873" s="0" t="s">
        <v>86</v>
      </c>
      <c r="H8873" s="38" t="n">
        <f aca="false">Sens!$H$8817</f>
        <v>81.5618233196153</v>
      </c>
      <c r="I8873" s="38" t="n">
        <f aca="false">Sens!$I$8817</f>
        <v>118.756208740204</v>
      </c>
      <c r="J8873" s="38" t="n">
        <f aca="false">Sens!$J$8817</f>
        <v>152.469489406791</v>
      </c>
      <c r="K8873" s="38" t="n">
        <f aca="false">Sens!$K$8817</f>
        <v>186.391502623819</v>
      </c>
      <c r="L8873" s="38" t="n">
        <f aca="false">Sens!$L$8817</f>
        <v>211.536352632128</v>
      </c>
      <c r="M8873" s="38" t="n">
        <f aca="false">Sens!$M$8817</f>
        <v>227.842273347845</v>
      </c>
    </row>
    <row r="8874" customFormat="false" ht="15" hidden="false" customHeight="false" outlineLevel="0" collapsed="false">
      <c r="A8874" s="5" t="s">
        <v>929</v>
      </c>
      <c r="B8874" s="0" t="s">
        <v>86</v>
      </c>
      <c r="H8874" s="38" t="n">
        <f aca="false">Sens!$H$8848</f>
        <v>273.372679834898</v>
      </c>
      <c r="I8874" s="38" t="n">
        <f aca="false">Sens!$I$8848</f>
        <v>286.981812228425</v>
      </c>
      <c r="J8874" s="38" t="n">
        <f aca="false">Sens!$J$8848</f>
        <v>299.316513378366</v>
      </c>
      <c r="K8874" s="38" t="n">
        <f aca="false">Sens!$K$8848</f>
        <v>248.27918920067</v>
      </c>
      <c r="L8874" s="38" t="n">
        <f aca="false">Sens!$L$8848</f>
        <v>229.140418237151</v>
      </c>
      <c r="M8874" s="38" t="n">
        <f aca="false">Sens!$M$8848</f>
        <v>233.957827108485</v>
      </c>
    </row>
    <row r="8875" customFormat="false" ht="15" hidden="false" customHeight="false" outlineLevel="0" collapsed="false">
      <c r="A8875" s="5" t="s">
        <v>930</v>
      </c>
      <c r="B8875" s="0" t="s">
        <v>86</v>
      </c>
      <c r="H8875" s="38" t="n">
        <f aca="false">Sens!$H$8849</f>
        <v>1.6</v>
      </c>
      <c r="I8875" s="38" t="n">
        <f aca="false">Sens!$I$8849</f>
        <v>1.6</v>
      </c>
      <c r="J8875" s="38" t="n">
        <f aca="false">Sens!$J$8849</f>
        <v>1.6</v>
      </c>
      <c r="K8875" s="38" t="n">
        <f aca="false">Sens!$K$8849</f>
        <v>1.6</v>
      </c>
      <c r="L8875" s="38" t="n">
        <f aca="false">Sens!$L$8849</f>
        <v>1.6</v>
      </c>
      <c r="M8875" s="38" t="n">
        <f aca="false">Sens!$M$8849</f>
        <v>1.6</v>
      </c>
    </row>
    <row r="8876" customFormat="false" ht="15" hidden="false" customHeight="false" outlineLevel="0" collapsed="false">
      <c r="A8876" s="5" t="s">
        <v>931</v>
      </c>
      <c r="B8876" s="0" t="s">
        <v>86</v>
      </c>
      <c r="H8876" s="38" t="n">
        <f aca="false">Sens!$H$8843</f>
        <v>11.2928295263397</v>
      </c>
      <c r="I8876" s="38" t="n">
        <f aca="false">Sens!$I$8843</f>
        <v>12.8091546115766</v>
      </c>
      <c r="J8876" s="38" t="n">
        <f aca="false">Sens!$J$8843</f>
        <v>14.2605653162668</v>
      </c>
      <c r="K8876" s="38" t="n">
        <f aca="false">Sens!$K$8843</f>
        <v>15.5293346306567</v>
      </c>
      <c r="L8876" s="38" t="n">
        <f aca="false">Sens!$L$8843</f>
        <v>16.7069448805781</v>
      </c>
      <c r="M8876" s="38" t="n">
        <f aca="false">Sens!$M$8843</f>
        <v>17.7976949013636</v>
      </c>
    </row>
    <row r="8877" customFormat="false" ht="17.15" hidden="false" customHeight="false" outlineLevel="0" collapsed="false">
      <c r="A8877" s="1" t="s">
        <v>932</v>
      </c>
      <c r="B8877" s="8" t="s">
        <v>86</v>
      </c>
      <c r="H8877" s="38" t="n">
        <f aca="false">Sens!$H$8872+Sens!$H$8873-Sens!$H$8874-Sens!$H$8875+Sens!$H$8876</f>
        <v>-62.5530534342631</v>
      </c>
      <c r="I8877" s="38" t="n">
        <f aca="false">Sens!$I$8872+Sens!$I$8873-Sens!$I$8874-Sens!$I$8875+Sens!$I$8876</f>
        <v>-15.7595069323669</v>
      </c>
      <c r="J8877" s="38" t="n">
        <f aca="false">Sens!$J$8872+Sens!$J$8873-Sens!$J$8874-Sens!$J$8875+Sens!$J$8876</f>
        <v>31.0211878311291</v>
      </c>
      <c r="K8877" s="38" t="n">
        <f aca="false">Sens!$K$8872+Sens!$K$8873-Sens!$K$8874-Sens!$K$8875+Sens!$K$8876</f>
        <v>134.060779042848</v>
      </c>
      <c r="L8877" s="38" t="n">
        <f aca="false">Sens!$L$8872+Sens!$L$8873-Sens!$L$8874-Sens!$L$8875+Sens!$L$8876</f>
        <v>193.018697053015</v>
      </c>
      <c r="M8877" s="38" t="n">
        <f aca="false">Sens!$M$8872+Sens!$M$8873-Sens!$M$8874-Sens!$M$8875+Sens!$M$8876</f>
        <v>217.199110725758</v>
      </c>
    </row>
    <row r="8878" customFormat="false" ht="15" hidden="false" customHeight="false" outlineLevel="0" collapsed="false">
      <c r="A8878" s="5" t="s">
        <v>933</v>
      </c>
      <c r="B8878" s="0" t="s">
        <v>57</v>
      </c>
      <c r="H8878" s="40" t="n">
        <f aca="false">1/(1+(wacc-0.01))^(2027-2026-0.5)</f>
        <v>0.952036717208703</v>
      </c>
      <c r="I8878" s="40" t="n">
        <f aca="false">1/(1+(wacc-0.01))^(2028-2026-0.5)</f>
        <v>0.862901242709724</v>
      </c>
      <c r="J8878" s="40" t="n">
        <f aca="false">1/(1+(wacc-0.01))^(2029-2026-0.5)</f>
        <v>0.782111174086951</v>
      </c>
      <c r="K8878" s="40" t="n">
        <f aca="false">1/(1+(wacc-0.01))^(2030-2026-0.5)</f>
        <v>0.708885163626357</v>
      </c>
      <c r="L8878" s="40" t="n">
        <f aca="false">1/(1+(wacc-0.01))^(2031-2026-0.5)</f>
        <v>0.642515018144594</v>
      </c>
      <c r="M8878" s="40" t="n">
        <f aca="false">1/(1+(wacc-0.01))^(2032-2026-0.5)</f>
        <v>0.582358849816389</v>
      </c>
    </row>
    <row r="8879" customFormat="false" ht="15" hidden="false" customHeight="false" outlineLevel="0" collapsed="false">
      <c r="A8879" s="5" t="s">
        <v>934</v>
      </c>
      <c r="B8879" s="0" t="s">
        <v>86</v>
      </c>
      <c r="H8879" s="38" t="n">
        <f aca="false">Sens!$H$8877*Sens!$H$8878</f>
        <v>-59.5528036429364</v>
      </c>
      <c r="I8879" s="38" t="n">
        <f aca="false">Sens!$I$8877*Sens!$I$8878</f>
        <v>-13.5988981164319</v>
      </c>
      <c r="J8879" s="38" t="n">
        <f aca="false">Sens!$J$8877*Sens!$J$8878</f>
        <v>24.2620176361763</v>
      </c>
      <c r="K8879" s="38" t="n">
        <f aca="false">Sens!$K$8877*Sens!$K$8878</f>
        <v>95.0336972876659</v>
      </c>
      <c r="L8879" s="38" t="n">
        <f aca="false">Sens!$L$8877*Sens!$L$8878</f>
        <v>124.017411639264</v>
      </c>
      <c r="M8879" s="38" t="n">
        <f aca="false">Sens!$M$8877*Sens!$M$8878</f>
        <v>126.487824303395</v>
      </c>
    </row>
    <row r="8880" customFormat="false" ht="15" hidden="false" customHeight="false" outlineLevel="0" collapsed="false">
      <c r="A8880" s="5" t="s">
        <v>935</v>
      </c>
      <c r="B8880" s="0" t="s">
        <v>86</v>
      </c>
      <c r="C8880" s="38" t="n">
        <f aca="false">SUM(Sens!$H$8879:$M$8879)</f>
        <v>296.649249107132</v>
      </c>
    </row>
    <row r="8881" customFormat="false" ht="17.15" hidden="false" customHeight="false" outlineLevel="0" collapsed="false">
      <c r="A8881" s="5" t="s">
        <v>936</v>
      </c>
      <c r="B8881" s="0" t="s">
        <v>86</v>
      </c>
      <c r="C8881" s="38" t="n">
        <f aca="false">Sens!$M$8872*(1+tg_lo)*(1-tg_lo/ronic)/((wacc-0.01)-tg_lo)</f>
        <v>2088.49724373356</v>
      </c>
    </row>
    <row r="8882" customFormat="false" ht="15" hidden="false" customHeight="false" outlineLevel="0" collapsed="false">
      <c r="A8882" s="5" t="s">
        <v>937</v>
      </c>
      <c r="B8882" s="0" t="s">
        <v>86</v>
      </c>
      <c r="C8882" s="38" t="n">
        <f aca="false">Sens!$C$8881/(1+(wacc-0.01))^6</f>
        <v>1157.91927725878</v>
      </c>
    </row>
    <row r="8883" customFormat="false" ht="17.15" hidden="false" customHeight="false" outlineLevel="0" collapsed="false">
      <c r="A8883" s="5" t="s">
        <v>938</v>
      </c>
      <c r="B8883" s="0" t="s">
        <v>86</v>
      </c>
      <c r="C8883" s="38" t="n">
        <f aca="false">Sens!$C$8880+Sens!$C$8882</f>
        <v>1454.56852636591</v>
      </c>
    </row>
    <row r="8884" customFormat="false" ht="17.15" hidden="false" customHeight="false" outlineLevel="0" collapsed="false">
      <c r="A8884" s="5" t="s">
        <v>939</v>
      </c>
      <c r="B8884" s="0" t="s">
        <v>52</v>
      </c>
      <c r="C8884" s="13" t="n">
        <f aca="false">Sens!$C$8882/Sens!$C$8883</f>
        <v>0.796056876159503</v>
      </c>
    </row>
    <row r="8885" customFormat="false" ht="17.15" hidden="false" customHeight="false" outlineLevel="0" collapsed="false">
      <c r="A8885" s="5" t="s">
        <v>940</v>
      </c>
      <c r="B8885" s="0" t="s">
        <v>86</v>
      </c>
      <c r="C8885" s="38" t="n">
        <f aca="false">Sens!$G$8861+fin_debt</f>
        <v>89.0551793268317</v>
      </c>
    </row>
    <row r="8886" customFormat="false" ht="17.15" hidden="false" customHeight="false" outlineLevel="0" collapsed="false">
      <c r="A8886" s="5" t="s">
        <v>941</v>
      </c>
      <c r="B8886" s="0" t="s">
        <v>86</v>
      </c>
      <c r="C8886" s="38" t="n">
        <f aca="false">(ant_val*ant_sh+oai_val*oai_sh)*(1-liq_disc)</f>
        <v>178.944</v>
      </c>
    </row>
    <row r="8887" customFormat="false" ht="15" hidden="false" customHeight="false" outlineLevel="0" collapsed="false">
      <c r="A8887" s="5" t="s">
        <v>942</v>
      </c>
      <c r="B8887" s="0" t="s">
        <v>86</v>
      </c>
      <c r="C8887" s="38" t="n">
        <f aca="false">Sens!$C$8883-Sens!$C$8885+Sens!$C$8886</f>
        <v>1544.45734703908</v>
      </c>
    </row>
    <row r="8888" customFormat="false" ht="17.15" hidden="false" customHeight="false" outlineLevel="0" collapsed="false">
      <c r="A8888" s="5" t="s">
        <v>943</v>
      </c>
      <c r="B8888" s="0" t="s">
        <v>27</v>
      </c>
      <c r="C8888" s="30" t="n">
        <f aca="false">Sens!$C$8887/sh_out</f>
        <v>143.186759354408</v>
      </c>
    </row>
    <row r="8889" customFormat="false" ht="17.15" hidden="false" customHeight="false" outlineLevel="0" collapsed="false">
      <c r="A8889" s="1" t="s">
        <v>944</v>
      </c>
      <c r="B8889" s="8" t="s">
        <v>27</v>
      </c>
      <c r="C8889" s="30" t="n">
        <f aca="false">Sens!$C$8888*(1+ke)^tp_yf-dps*tp_yf</f>
        <v>156.842315424479</v>
      </c>
    </row>
    <row r="8890" customFormat="false" ht="17.15" hidden="false" customHeight="false" outlineLevel="0" collapsed="false">
      <c r="A8890" s="3" t="s">
        <v>945</v>
      </c>
    </row>
    <row r="8891" customFormat="false" ht="17.15" hidden="false" customHeight="false" outlineLevel="0" collapsed="false">
      <c r="A8891" s="5" t="s">
        <v>946</v>
      </c>
      <c r="B8891" s="0" t="s">
        <v>86</v>
      </c>
      <c r="C8891" s="38" t="n">
        <f aca="false">(1-tp_yf)*(Sens!$H$8818+sbc_ab*Sens!$H$8842*Sens!$H$8679/Sens!$H$8759)+tp_yf*(Sens!$I$8818+sbc_ab*Sens!$I$8842*Sens!$I$8679/Sens!$I$8759)</f>
        <v>59.634664536349</v>
      </c>
    </row>
    <row r="8892" customFormat="false" ht="15" hidden="false" customHeight="false" outlineLevel="0" collapsed="false">
      <c r="A8892" s="5" t="s">
        <v>947</v>
      </c>
      <c r="B8892" s="0" t="s">
        <v>57</v>
      </c>
      <c r="C8892" s="30" t="n">
        <f aca="false">m_ads*m_x</f>
        <v>9.11</v>
      </c>
    </row>
    <row r="8893" customFormat="false" ht="17.15" hidden="false" customHeight="false" outlineLevel="0" collapsed="false">
      <c r="A8893" s="5" t="s">
        <v>948</v>
      </c>
      <c r="B8893" s="0" t="s">
        <v>86</v>
      </c>
      <c r="C8893" s="38" t="n">
        <f aca="false">Sens!$C$8891*Sens!$C$8892</f>
        <v>543.271793926139</v>
      </c>
    </row>
    <row r="8894" customFormat="false" ht="17.15" hidden="false" customHeight="false" outlineLevel="0" collapsed="false">
      <c r="A8894" s="5" t="s">
        <v>949</v>
      </c>
      <c r="B8894" s="0" t="s">
        <v>86</v>
      </c>
      <c r="C8894" s="38" t="n">
        <f aca="false">(1-tp_yf)*(Sens!$H$8819+sbc_ab*Sens!$H$8842*(Sens!$H$8686-Sens!$H$8679)/Sens!$H$8759+IF(internal_ai_reading=2,1,0)*(1-ext_sh)*Sens!$H$8716)+tp_yf*(Sens!$I$8819+sbc_ab*Sens!$I$8842*(Sens!$I$8686-Sens!$I$8679)/Sens!$I$8759+IF(internal_ai_reading=2,1,0)*(1-ext_sh)*Sens!$I$8716)</f>
        <v>51.6951811103438</v>
      </c>
    </row>
    <row r="8895" customFormat="false" ht="17.15" hidden="false" customHeight="false" outlineLevel="0" collapsed="false">
      <c r="A8895" s="5" t="s">
        <v>950</v>
      </c>
      <c r="B8895" s="0" t="s">
        <v>57</v>
      </c>
      <c r="C8895" s="30" t="n">
        <f aca="false">m_retail*m_x</f>
        <v>17.72</v>
      </c>
    </row>
    <row r="8896" customFormat="false" ht="17.15" hidden="false" customHeight="false" outlineLevel="0" collapsed="false">
      <c r="A8896" s="5" t="s">
        <v>951</v>
      </c>
      <c r="B8896" s="0" t="s">
        <v>86</v>
      </c>
      <c r="C8896" s="38" t="n">
        <f aca="false">Sens!$C$8894*Sens!$C$8895</f>
        <v>916.038609275292</v>
      </c>
    </row>
    <row r="8897" customFormat="false" ht="17.15" hidden="false" customHeight="false" outlineLevel="0" collapsed="false">
      <c r="A8897" s="0" t="s">
        <v>952</v>
      </c>
      <c r="B8897" s="0" t="s">
        <v>86</v>
      </c>
      <c r="C8897" s="38" t="n">
        <f aca="false">(1-tp_yf)*(Sens!$H$8820+sbc_ab*Sens!$H$8842*Sens!$H$8757/Sens!$H$8759)+tp_yf*(Sens!$I$8820+sbc_ab*Sens!$I$8842*Sens!$I$8757/Sens!$I$8759)</f>
        <v>97.2337130506861</v>
      </c>
    </row>
    <row r="8898" customFormat="false" ht="17.15" hidden="false" customHeight="false" outlineLevel="0" collapsed="false">
      <c r="A8898" s="0" t="s">
        <v>953</v>
      </c>
      <c r="B8898" s="0" t="s">
        <v>57</v>
      </c>
      <c r="C8898" s="30" t="n">
        <f aca="false">m_cloud*m_x</f>
        <v>13.82</v>
      </c>
    </row>
    <row r="8899" customFormat="false" ht="17.15" hidden="false" customHeight="false" outlineLevel="0" collapsed="false">
      <c r="A8899" s="0" t="s">
        <v>954</v>
      </c>
      <c r="B8899" s="0" t="s">
        <v>86</v>
      </c>
      <c r="C8899" s="38" t="n">
        <f aca="false">Sens!$C$8897*Sens!$C$8898</f>
        <v>1343.76991436048</v>
      </c>
    </row>
    <row r="8900" customFormat="false" ht="17.15" hidden="false" customHeight="false" outlineLevel="0" collapsed="false">
      <c r="A8900" s="0" t="s">
        <v>955</v>
      </c>
      <c r="B8900" s="0" t="s">
        <v>86</v>
      </c>
      <c r="H8900" s="38" t="n">
        <f aca="false">Sens!$H$8738-tax*Sens!$H$8739-ext_sh*Sens!$H$8723</f>
        <v>-115.41576008619</v>
      </c>
      <c r="I8900" s="38" t="n">
        <f aca="false">Sens!$I$8738-tax*Sens!$I$8739-ext_sh*Sens!$I$8723</f>
        <v>-88.5401912683161</v>
      </c>
      <c r="J8900" s="38" t="n">
        <f aca="false">Sens!$J$8738-tax*Sens!$J$8739-ext_sh*Sens!$J$8723</f>
        <v>-61.2977422866746</v>
      </c>
      <c r="K8900" s="38" t="n">
        <f aca="false">Sens!$K$8738-tax*Sens!$K$8739-ext_sh*Sens!$K$8723</f>
        <v>11.9455917032656</v>
      </c>
      <c r="L8900" s="38" t="n">
        <f aca="false">Sens!$L$8738-tax*Sens!$L$8739-ext_sh*Sens!$L$8723</f>
        <v>50.3881926675933</v>
      </c>
      <c r="M8900" s="38" t="n">
        <f aca="false">Sens!$M$8738-tax*Sens!$M$8739-ext_sh*Sens!$M$8723</f>
        <v>60.3778570072396</v>
      </c>
    </row>
    <row r="8901" customFormat="false" ht="17.15" hidden="false" customHeight="false" outlineLevel="0" collapsed="false">
      <c r="A8901" s="5" t="s">
        <v>956</v>
      </c>
      <c r="B8901" s="0" t="s">
        <v>86</v>
      </c>
      <c r="H8901" s="38" t="n">
        <f aca="false">Sens!$H$8900*Sens!$H$8878</f>
        <v>-109.880041346603</v>
      </c>
      <c r="I8901" s="38" t="n">
        <f aca="false">Sens!$I$8900*Sens!$I$8878</f>
        <v>-76.4014410751866</v>
      </c>
      <c r="J8901" s="38" t="n">
        <f aca="false">Sens!$J$8900*Sens!$J$8878</f>
        <v>-47.9416491887104</v>
      </c>
      <c r="K8901" s="38" t="n">
        <f aca="false">Sens!$K$8900*Sens!$K$8878</f>
        <v>8.46805272918308</v>
      </c>
      <c r="L8901" s="38" t="n">
        <f aca="false">Sens!$L$8900*Sens!$L$8878</f>
        <v>32.375170526092</v>
      </c>
      <c r="M8901" s="38" t="n">
        <f aca="false">Sens!$M$8900*Sens!$M$8878</f>
        <v>35.1615793611145</v>
      </c>
    </row>
    <row r="8902" customFormat="false" ht="17.15" hidden="false" customHeight="false" outlineLevel="0" collapsed="false">
      <c r="A8902" s="5" t="s">
        <v>957</v>
      </c>
      <c r="B8902" s="0" t="s">
        <v>86</v>
      </c>
      <c r="C8902" s="38" t="n">
        <f aca="false">Sens!$M$8739*(1-tax)*(1+tg_lo)*(1-tg_lo/ronic)/((wacc-0.01)-tg_lo)</f>
        <v>385.825106076728</v>
      </c>
    </row>
    <row r="8903" customFormat="false" ht="17.15" hidden="false" customHeight="false" outlineLevel="0" collapsed="false">
      <c r="A8903" s="0" t="s">
        <v>958</v>
      </c>
      <c r="B8903" s="0" t="s">
        <v>86</v>
      </c>
      <c r="C8903" s="38" t="n">
        <f aca="false">(SUM(Sens!$I$8901:$M$8901)+Sens!$C$8902/(1+(wacc-0.01))^6)*(1+(wacc-0.01))^tp_yf</f>
        <v>179.506768084403</v>
      </c>
    </row>
    <row r="8904" customFormat="false" ht="17.15" hidden="false" customHeight="false" outlineLevel="0" collapsed="false">
      <c r="A8904" s="5" t="s">
        <v>959</v>
      </c>
      <c r="B8904" s="0" t="s">
        <v>86</v>
      </c>
      <c r="C8904" s="38" t="n">
        <f aca="false">(1-tp_yf)*(Sens!$H$8821)+tp_yf*(Sens!$I$8821)</f>
        <v>74.6707041238437</v>
      </c>
    </row>
    <row r="8905" customFormat="false" ht="17.15" hidden="false" customHeight="false" outlineLevel="0" collapsed="false">
      <c r="A8905" s="5" t="s">
        <v>960</v>
      </c>
      <c r="B8905" s="0" t="s">
        <v>86</v>
      </c>
      <c r="C8905" s="38" t="n">
        <f aca="false">Sens!$C$8904*m_ai</f>
        <v>448.024224743062</v>
      </c>
    </row>
    <row r="8906" customFormat="false" ht="17.15" hidden="false" customHeight="false" outlineLevel="0" collapsed="false">
      <c r="A8906" s="0" t="s">
        <v>961</v>
      </c>
      <c r="B8906" s="0" t="s">
        <v>86</v>
      </c>
      <c r="C8906" s="38" t="n">
        <f aca="false">IF(ai_leg=1,Sens!$C$8903,Sens!$C$8905)</f>
        <v>179.506768084403</v>
      </c>
    </row>
    <row r="8907" customFormat="false" ht="17.15" hidden="false" customHeight="false" outlineLevel="0" collapsed="false">
      <c r="A8907" s="5" t="s">
        <v>962</v>
      </c>
      <c r="B8907" s="0" t="s">
        <v>86</v>
      </c>
      <c r="C8907" s="38" t="n">
        <f aca="false">Sens!$C$8893+Sens!$C$8896+Sens!$C$8899+Sens!$C$8906</f>
        <v>2982.58708564632</v>
      </c>
    </row>
    <row r="8908" customFormat="false" ht="17.15" hidden="false" customHeight="false" outlineLevel="0" collapsed="false">
      <c r="A8908" s="5" t="s">
        <v>963</v>
      </c>
      <c r="B8908" s="0" t="s">
        <v>86</v>
      </c>
      <c r="C8908" s="38" t="n">
        <f aca="false">Sens!$H$8861+fin_debt</f>
        <v>143.411303169235</v>
      </c>
    </row>
    <row r="8909" customFormat="false" ht="15" hidden="false" customHeight="false" outlineLevel="0" collapsed="false">
      <c r="A8909" s="5" t="s">
        <v>964</v>
      </c>
      <c r="B8909" s="0" t="s">
        <v>86</v>
      </c>
      <c r="C8909" s="38" t="n">
        <f aca="false">Sens!$C$8907-Sens!$C$8908+Sens!$C$8886</f>
        <v>3018.11978247708</v>
      </c>
    </row>
    <row r="8910" customFormat="false" ht="15" hidden="false" customHeight="false" outlineLevel="0" collapsed="false">
      <c r="A8910" s="3" t="s">
        <v>965</v>
      </c>
      <c r="B8910" s="8" t="s">
        <v>27</v>
      </c>
      <c r="C8910" s="30" t="n">
        <f aca="false">Sens!$C$8909/sh_val</f>
        <v>273.620477393217</v>
      </c>
    </row>
    <row r="8911" customFormat="false" ht="17.15" hidden="false" customHeight="false" outlineLevel="0" collapsed="false">
      <c r="A8911" s="47" t="s">
        <v>966</v>
      </c>
      <c r="B8911" s="14" t="s">
        <v>27</v>
      </c>
      <c r="C8911" s="44" t="n">
        <f aca="false">w_dcf*Sens!$C$8889+(1-w_dcf)*Sens!$C$8910</f>
        <v>215.231396408848</v>
      </c>
      <c r="D8911" s="14"/>
      <c r="E8911" s="14"/>
      <c r="F8911" s="14"/>
      <c r="G8911" s="14"/>
      <c r="H8911" s="14"/>
      <c r="I8911" s="14"/>
      <c r="J8911" s="14"/>
      <c r="K8911" s="14"/>
      <c r="L8911" s="14"/>
      <c r="M8911" s="14"/>
      <c r="N8911" s="14"/>
      <c r="O8911" s="14"/>
    </row>
    <row r="8912" customFormat="false" ht="17.15" hidden="false" customHeight="false" outlineLevel="0" collapsed="false">
      <c r="A8912" s="5" t="s">
        <v>967</v>
      </c>
      <c r="B8912" s="0" t="s">
        <v>27</v>
      </c>
      <c r="C8912" s="30" t="n">
        <f aca="false">v022_wdcf*Sens!$C$8889+(1-v022_wdcf)*Sens!$C$8910</f>
        <v>221.070304507285</v>
      </c>
    </row>
    <row r="8913" customFormat="false" ht="17.15" hidden="false" customHeight="false" outlineLevel="0" collapsed="false">
      <c r="A8913" s="5" t="s">
        <v>968</v>
      </c>
      <c r="B8913" s="0" t="s">
        <v>27</v>
      </c>
      <c r="C8913" s="30" t="n">
        <f aca="false">(Sens!$C$8909-Sens!$C$8906+Sens!$C$8905)/sh_val</f>
        <v>297.964068759578</v>
      </c>
    </row>
    <row r="8916" customFormat="false" ht="19.4" hidden="false" customHeight="false" outlineLevel="0" collapsed="false">
      <c r="A8916" s="31" t="s">
        <v>1332</v>
      </c>
    </row>
    <row r="8917" customFormat="false" ht="17.15" hidden="false" customHeight="false" outlineLevel="0" collapsed="false">
      <c r="A8917" s="6" t="s">
        <v>16</v>
      </c>
      <c r="B8917" s="6" t="s">
        <v>17</v>
      </c>
      <c r="C8917" s="20" t="s">
        <v>504</v>
      </c>
      <c r="D8917" s="20" t="s">
        <v>505</v>
      </c>
      <c r="E8917" s="20" t="s">
        <v>587</v>
      </c>
      <c r="F8917" s="20" t="s">
        <v>588</v>
      </c>
      <c r="G8917" s="20" t="s">
        <v>589</v>
      </c>
      <c r="H8917" s="20" t="s">
        <v>590</v>
      </c>
      <c r="I8917" s="20" t="s">
        <v>591</v>
      </c>
      <c r="J8917" s="20" t="s">
        <v>592</v>
      </c>
      <c r="K8917" s="20" t="s">
        <v>593</v>
      </c>
      <c r="L8917" s="20" t="s">
        <v>594</v>
      </c>
      <c r="M8917" s="20" t="s">
        <v>595</v>
      </c>
      <c r="N8917" s="20" t="s">
        <v>596</v>
      </c>
      <c r="O8917" s="20" t="s">
        <v>597</v>
      </c>
      <c r="P8917" s="6" t="s">
        <v>23</v>
      </c>
      <c r="R8917" s="20" t="n">
        <v>2023</v>
      </c>
      <c r="S8917" s="20" t="n">
        <v>2024</v>
      </c>
      <c r="T8917" s="20" t="n">
        <v>2025</v>
      </c>
      <c r="U8917" s="20" t="n">
        <v>2026</v>
      </c>
      <c r="V8917" s="20" t="n">
        <v>2027</v>
      </c>
      <c r="W8917" s="20" t="n">
        <v>2028</v>
      </c>
      <c r="X8917" s="20" t="n">
        <v>2029</v>
      </c>
      <c r="Y8917" s="20" t="n">
        <v>2030</v>
      </c>
      <c r="Z8917" s="20" t="n">
        <v>2031</v>
      </c>
      <c r="AA8917" s="20" t="n">
        <v>2032</v>
      </c>
    </row>
    <row r="8918" customFormat="false" ht="17.15" hidden="false" customHeight="false" outlineLevel="0" collapsed="false">
      <c r="A8918" s="1" t="s">
        <v>677</v>
      </c>
    </row>
    <row r="8919" customFormat="false" ht="17.15" hidden="false" customHeight="false" outlineLevel="0" collapsed="false">
      <c r="A8919" s="0" t="s">
        <v>526</v>
      </c>
      <c r="B8919" s="0" t="s">
        <v>86</v>
      </c>
      <c r="C8919" s="38" t="n">
        <f aca="false">Q!$D$10</f>
        <v>247.029</v>
      </c>
      <c r="D8919" s="38" t="n">
        <f aca="false">Q!$E$10</f>
        <v>269.287</v>
      </c>
      <c r="E8919" s="38" t="n">
        <f aca="false">Q!$P$10</f>
        <v>134.686</v>
      </c>
      <c r="F8919" s="38" t="n">
        <f aca="false">Sens!$O$8919*(1+Sens!$F$8920)*Sens!$F$8931</f>
        <v>158.293876822267</v>
      </c>
      <c r="G8919" s="38" t="n">
        <f aca="false">Sens!$E$8919+Sens!$F$8919</f>
        <v>292.979876822267</v>
      </c>
      <c r="H8919" s="38" t="n">
        <f aca="false">Sens!$G$8919*(1+Sens!$H$8920)</f>
        <v>318.184543087396</v>
      </c>
      <c r="I8919" s="38" t="n">
        <f aca="false">Sens!$H$8919*(1+Sens!$I$8920)</f>
        <v>341.736278761793</v>
      </c>
      <c r="J8919" s="38" t="n">
        <f aca="false">Sens!$I$8919*(1+Sens!$J$8920)</f>
        <v>362.927192787048</v>
      </c>
      <c r="K8919" s="38" t="n">
        <f aca="false">Sens!$J$8919*(1+Sens!$K$8920)</f>
        <v>381.0735524264</v>
      </c>
      <c r="L8919" s="38" t="n">
        <f aca="false">Sens!$K$8919*(1+Sens!$L$8920)</f>
        <v>400.12723004772</v>
      </c>
      <c r="M8919" s="38" t="n">
        <f aca="false">Sens!$L$8919*(1+Sens!$M$8920)</f>
        <v>420.133591550106</v>
      </c>
      <c r="N8919" s="38" t="n">
        <f aca="false">Q!$N$10</f>
        <v>118.892</v>
      </c>
      <c r="O8919" s="38" t="n">
        <f aca="false">Q!$O$10</f>
        <v>150.395</v>
      </c>
      <c r="P8919" s="8" t="s">
        <v>678</v>
      </c>
    </row>
    <row r="8920" customFormat="false" ht="17.15" hidden="false" customHeight="false" outlineLevel="0" collapsed="false">
      <c r="A8920" s="0" t="s">
        <v>679</v>
      </c>
      <c r="B8920" s="0" t="s">
        <v>52</v>
      </c>
      <c r="E8920" s="13" t="n">
        <f aca="false">Sens!$E$8919/Sens!$N$8919-1</f>
        <v>0.132843252699929</v>
      </c>
      <c r="F8920" s="13" t="n">
        <f aca="false">Sens!$O$8919/(Q!$F$10+Q!$G$10)-1</f>
        <v>0.0980382135842941</v>
      </c>
      <c r="G8920" s="13" t="n">
        <f aca="false">Sens!$G$8919/Sens!$D$8919-1</f>
        <v>0.0879837378791657</v>
      </c>
      <c r="H8920" s="13" t="n">
        <f aca="false">Sens!$F$8920+(g_os-Sens!$F$8920)*1/4</f>
        <v>0.0860286601882206</v>
      </c>
      <c r="I8920" s="13" t="n">
        <f aca="false">Sens!$F$8920+(g_os-Sens!$F$8920)*2/4</f>
        <v>0.074019106792147</v>
      </c>
      <c r="J8920" s="13" t="n">
        <f aca="false">Sens!$F$8920+(g_os-Sens!$F$8920)*3/4</f>
        <v>0.0620095533960735</v>
      </c>
      <c r="K8920" s="13" t="n">
        <f aca="false">Sens!$F$8920+(g_os-Sens!$F$8920)*4/4</f>
        <v>0.05</v>
      </c>
      <c r="L8920" s="13" t="n">
        <f aca="false">g_os</f>
        <v>0.05</v>
      </c>
      <c r="M8920" s="13" t="n">
        <f aca="false">g_os</f>
        <v>0.05</v>
      </c>
      <c r="P8920" s="8" t="s">
        <v>680</v>
      </c>
    </row>
    <row r="8921" customFormat="false" ht="17.15" hidden="false" customHeight="false" outlineLevel="0" collapsed="false">
      <c r="A8921" s="0" t="s">
        <v>527</v>
      </c>
      <c r="B8921" s="0" t="s">
        <v>86</v>
      </c>
      <c r="C8921" s="38" t="n">
        <f aca="false">Q!$D$11</f>
        <v>21.215</v>
      </c>
      <c r="D8921" s="38" t="n">
        <f aca="false">Q!$E$11</f>
        <v>22.561</v>
      </c>
      <c r="E8921" s="38" t="n">
        <f aca="false">Q!$P$11</f>
        <v>11.579</v>
      </c>
      <c r="F8921" s="38" t="n">
        <f aca="false">Sens!$O$8921*(1+Sens!$F$8922)*Sens!$F$8931</f>
        <v>11.5938724610325</v>
      </c>
      <c r="G8921" s="38" t="n">
        <f aca="false">Sens!$E$8921+Sens!$F$8921</f>
        <v>23.1728724610325</v>
      </c>
      <c r="H8921" s="38" t="n">
        <f aca="false">Sens!$G$8921*(1+Sens!$H$8922)</f>
        <v>24.353392759506</v>
      </c>
      <c r="I8921" s="38" t="n">
        <f aca="false">Sens!$H$8921*(1+Sens!$I$8922)</f>
        <v>25.4240338872015</v>
      </c>
      <c r="J8921" s="38" t="n">
        <f aca="false">Sens!$I$8921*(1+Sens!$J$8922)</f>
        <v>26.3642491017174</v>
      </c>
      <c r="K8921" s="38" t="n">
        <f aca="false">Sens!$J$8921*(1+Sens!$K$8922)</f>
        <v>27.155176574769</v>
      </c>
      <c r="L8921" s="38" t="n">
        <f aca="false">Sens!$K$8921*(1+Sens!$L$8922)</f>
        <v>27.969831872012</v>
      </c>
      <c r="M8921" s="38" t="n">
        <f aca="false">Sens!$L$8921*(1+Sens!$M$8922)</f>
        <v>28.8089268281724</v>
      </c>
      <c r="N8921" s="38" t="n">
        <f aca="false">Q!$N$11</f>
        <v>11.128</v>
      </c>
      <c r="O8921" s="38" t="n">
        <f aca="false">Q!$O$11</f>
        <v>11.433</v>
      </c>
      <c r="P8921" s="8" t="s">
        <v>678</v>
      </c>
    </row>
    <row r="8922" customFormat="false" ht="17.15" hidden="false" customHeight="false" outlineLevel="0" collapsed="false">
      <c r="A8922" s="0" t="s">
        <v>681</v>
      </c>
      <c r="B8922" s="0" t="s">
        <v>52</v>
      </c>
      <c r="E8922" s="13" t="n">
        <f aca="false">Sens!$E$8921/Sens!$N$8921-1</f>
        <v>0.0405283968368082</v>
      </c>
      <c r="F8922" s="13" t="n">
        <f aca="false">Sens!$O$8921/(Q!$F$11+Q!$G$11)-1</f>
        <v>0.0579254187100955</v>
      </c>
      <c r="G8922" s="13" t="n">
        <f aca="false">Sens!$G$8921/Sens!$D$8921-1</f>
        <v>0.0271208040881397</v>
      </c>
      <c r="H8922" s="13" t="n">
        <f aca="false">Sens!$F$8922+(g_ps-Sens!$F$8922)*1/4</f>
        <v>0.0509440640325716</v>
      </c>
      <c r="I8922" s="13" t="n">
        <f aca="false">Sens!$F$8922+(g_ps-Sens!$F$8922)*2/4</f>
        <v>0.0439627093550477</v>
      </c>
      <c r="J8922" s="13" t="n">
        <f aca="false">Sens!$F$8922+(g_ps-Sens!$F$8922)*3/4</f>
        <v>0.0369813546775239</v>
      </c>
      <c r="K8922" s="13" t="n">
        <f aca="false">Sens!$F$8922+(g_ps-Sens!$F$8922)*4/4</f>
        <v>0.03</v>
      </c>
      <c r="L8922" s="13" t="n">
        <f aca="false">g_ps</f>
        <v>0.03</v>
      </c>
      <c r="M8922" s="13" t="n">
        <f aca="false">g_ps</f>
        <v>0.03</v>
      </c>
      <c r="P8922" s="8" t="s">
        <v>682</v>
      </c>
    </row>
    <row r="8923" customFormat="false" ht="17.15" hidden="false" customHeight="false" outlineLevel="0" collapsed="false">
      <c r="A8923" s="0" t="s">
        <v>528</v>
      </c>
      <c r="B8923" s="0" t="s">
        <v>86</v>
      </c>
      <c r="C8923" s="38" t="n">
        <f aca="false">Q!$D$12</f>
        <v>156.146</v>
      </c>
      <c r="D8923" s="38" t="n">
        <f aca="false">Q!$E$12</f>
        <v>172.162</v>
      </c>
      <c r="E8923" s="38" t="n">
        <f aca="false">Q!$P$12</f>
        <v>88.358</v>
      </c>
      <c r="F8923" s="38" t="n">
        <f aca="false">Sens!$O$8923*(1+Sens!$F$8924)*Sens!$F$8931</f>
        <v>102.004388260171</v>
      </c>
      <c r="G8923" s="38" t="n">
        <f aca="false">Sens!$E$8923+Sens!$F$8923</f>
        <v>190.362388260171</v>
      </c>
      <c r="H8923" s="38" t="n">
        <f aca="false">Sens!$G$8923*(1+Sens!$H$8924)</f>
        <v>210.343106588311</v>
      </c>
      <c r="I8923" s="38" t="n">
        <f aca="false">Sens!$H$8923*(1+Sens!$I$8924)</f>
        <v>229.969728494648</v>
      </c>
      <c r="J8923" s="38" t="n">
        <f aca="false">Sens!$I$8923*(1+Sens!$J$8924)</f>
        <v>248.747636972598</v>
      </c>
      <c r="K8923" s="38" t="n">
        <f aca="false">Sens!$J$8923*(1+Sens!$K$8924)</f>
        <v>266.15997156068</v>
      </c>
      <c r="L8923" s="38" t="n">
        <f aca="false">Sens!$K$8923*(1+Sens!$L$8924)</f>
        <v>284.791169569927</v>
      </c>
      <c r="M8923" s="38" t="n">
        <f aca="false">Sens!$L$8923*(1+Sens!$M$8924)</f>
        <v>304.726551439822</v>
      </c>
      <c r="N8923" s="38" t="n">
        <f aca="false">Q!$N$12</f>
        <v>76.86</v>
      </c>
      <c r="O8923" s="38" t="n">
        <f aca="false">Q!$O$12</f>
        <v>95.302</v>
      </c>
      <c r="P8923" s="8" t="s">
        <v>678</v>
      </c>
    </row>
    <row r="8924" customFormat="false" ht="17.15" hidden="false" customHeight="false" outlineLevel="0" collapsed="false">
      <c r="A8924" s="0" t="s">
        <v>683</v>
      </c>
      <c r="B8924" s="0" t="s">
        <v>52</v>
      </c>
      <c r="E8924" s="13" t="n">
        <f aca="false">Sens!$E$8923/Sens!$N$8923-1</f>
        <v>0.1495966692688</v>
      </c>
      <c r="F8924" s="13" t="n">
        <f aca="false">Sens!$O$8923/(Q!$F$12+Q!$G$12)-1</f>
        <v>0.11661530890813</v>
      </c>
      <c r="G8924" s="13" t="n">
        <f aca="false">Sens!$G$8923/Sens!$D$8923-1</f>
        <v>0.105716640490767</v>
      </c>
      <c r="H8924" s="13" t="n">
        <f aca="false">Sens!$F$8924+(g_sp-Sens!$F$8924)*1/4</f>
        <v>0.104961481681098</v>
      </c>
      <c r="I8924" s="13" t="n">
        <f aca="false">Sens!$F$8924+(g_sp-Sens!$F$8924)*2/4</f>
        <v>0.0933076544540651</v>
      </c>
      <c r="J8924" s="13" t="n">
        <f aca="false">Sens!$F$8924+(g_sp-Sens!$F$8924)*3/4</f>
        <v>0.0816538272270325</v>
      </c>
      <c r="K8924" s="13" t="n">
        <f aca="false">Sens!$F$8924+(g_sp-Sens!$F$8924)*4/4</f>
        <v>0.07</v>
      </c>
      <c r="L8924" s="13" t="n">
        <f aca="false">g_sp</f>
        <v>0.07</v>
      </c>
      <c r="M8924" s="13" t="n">
        <f aca="false">g_sp</f>
        <v>0.07</v>
      </c>
      <c r="P8924" s="8" t="s">
        <v>684</v>
      </c>
    </row>
    <row r="8925" customFormat="false" ht="17.15" hidden="false" customHeight="false" outlineLevel="0" collapsed="false">
      <c r="A8925" s="0" t="s">
        <v>529</v>
      </c>
      <c r="B8925" s="0" t="s">
        <v>86</v>
      </c>
      <c r="C8925" s="38" t="n">
        <f aca="false">Q!$D$13</f>
        <v>56.214</v>
      </c>
      <c r="D8925" s="38" t="n">
        <f aca="false">Q!$E$13</f>
        <v>68.635</v>
      </c>
      <c r="E8925" s="38" t="n">
        <f aca="false">Q!$P$13</f>
        <v>37.052</v>
      </c>
      <c r="F8925" s="38" t="n">
        <f aca="false">Sens!$O$8925*(1+Sens!$F$8926)*Sens!$F$8931</f>
        <v>46.1572219944148</v>
      </c>
      <c r="G8925" s="38" t="n">
        <f aca="false">Sens!$E$8925+Sens!$F$8925</f>
        <v>83.2092219944148</v>
      </c>
      <c r="H8925" s="38" t="n">
        <f aca="false">Sens!$G$8925*(1+Sens!$H$8926)</f>
        <v>99.8969223878976</v>
      </c>
      <c r="I8925" s="38" t="n">
        <f aca="false">Sens!$H$8925*(1+Sens!$I$8926)</f>
        <v>116.583111095496</v>
      </c>
      <c r="J8925" s="38" t="n">
        <f aca="false">Sens!$I$8925*(1+Sens!$J$8926)</f>
        <v>132.148941941952</v>
      </c>
      <c r="K8925" s="38" t="n">
        <f aca="false">Sens!$J$8925*(1+Sens!$K$8926)</f>
        <v>145.363836136147</v>
      </c>
      <c r="L8925" s="38" t="n">
        <f aca="false">Sens!$K$8925*(1+Sens!$L$8926)</f>
        <v>159.900219749762</v>
      </c>
      <c r="M8925" s="38" t="n">
        <f aca="false">Sens!$L$8925*(1+Sens!$M$8926)</f>
        <v>175.890241724738</v>
      </c>
      <c r="N8925" s="38" t="n">
        <f aca="false">Q!$N$13</f>
        <v>29.615</v>
      </c>
      <c r="O8925" s="38" t="n">
        <f aca="false">Q!$O$13</f>
        <v>39.02</v>
      </c>
      <c r="P8925" s="8" t="s">
        <v>678</v>
      </c>
    </row>
    <row r="8926" customFormat="false" ht="17.15" hidden="false" customHeight="false" outlineLevel="0" collapsed="false">
      <c r="A8926" s="0" t="s">
        <v>685</v>
      </c>
      <c r="B8926" s="0" t="s">
        <v>52</v>
      </c>
      <c r="E8926" s="13" t="n">
        <f aca="false">Sens!$E$8925/Sens!$N$8925-1</f>
        <v>0.25112274185379</v>
      </c>
      <c r="F8926" s="13" t="n">
        <f aca="false">Sens!$O$8925/(Q!$F$13+Q!$G$13)-1</f>
        <v>0.234068123596572</v>
      </c>
      <c r="G8926" s="13" t="n">
        <f aca="false">Sens!$G$8925/Sens!$D$8925-1</f>
        <v>0.212343876949294</v>
      </c>
      <c r="H8926" s="13" t="n">
        <f aca="false">Sens!$F$8926+(g_ad-Sens!$F$8926)*1/4</f>
        <v>0.200551092697429</v>
      </c>
      <c r="I8926" s="13" t="n">
        <f aca="false">Sens!$F$8926+(g_ad-Sens!$F$8926)*2/4</f>
        <v>0.167034061798286</v>
      </c>
      <c r="J8926" s="13" t="n">
        <f aca="false">Sens!$F$8926+(g_ad-Sens!$F$8926)*3/4</f>
        <v>0.133517030899143</v>
      </c>
      <c r="K8926" s="13" t="n">
        <f aca="false">Sens!$F$8926+(g_ad-Sens!$F$8926)*4/4</f>
        <v>0.1</v>
      </c>
      <c r="L8926" s="13" t="n">
        <f aca="false">g_ad</f>
        <v>0.1</v>
      </c>
      <c r="M8926" s="13" t="n">
        <f aca="false">g_ad</f>
        <v>0.1</v>
      </c>
      <c r="P8926" s="8" t="s">
        <v>686</v>
      </c>
    </row>
    <row r="8927" customFormat="false" ht="17.15" hidden="false" customHeight="false" outlineLevel="0" collapsed="false">
      <c r="A8927" s="0" t="s">
        <v>530</v>
      </c>
      <c r="B8927" s="0" t="s">
        <v>86</v>
      </c>
      <c r="C8927" s="38" t="n">
        <f aca="false">Q!$D$14</f>
        <v>44.374</v>
      </c>
      <c r="D8927" s="38" t="n">
        <f aca="false">Q!$E$14</f>
        <v>49.619</v>
      </c>
      <c r="E8927" s="38" t="n">
        <f aca="false">Q!$P$14</f>
        <v>27.157</v>
      </c>
      <c r="F8927" s="38" t="n">
        <f aca="false">Sens!$O$8927*(1+Sens!$F$8928)*Sens!$F$8931</f>
        <v>27.7764165988154</v>
      </c>
      <c r="G8927" s="38" t="n">
        <f aca="false">Sens!$E$8927+Sens!$F$8927</f>
        <v>54.9334165988154</v>
      </c>
      <c r="H8927" s="38" t="n">
        <f aca="false">Sens!$G$8927*(1+Sens!$H$8928)</f>
        <v>61.1564112561829</v>
      </c>
      <c r="I8927" s="38" t="n">
        <f aca="false">Sens!$H$8927*(1+Sens!$I$8928)</f>
        <v>67.2020282103945</v>
      </c>
      <c r="J8927" s="38" t="n">
        <f aca="false">Sens!$I$8927*(1+Sens!$J$8928)</f>
        <v>72.8757274028885</v>
      </c>
      <c r="K8927" s="38" t="n">
        <f aca="false">Sens!$J$8927*(1+Sens!$K$8928)</f>
        <v>77.9770283210907</v>
      </c>
      <c r="L8927" s="38" t="n">
        <f aca="false">Sens!$K$8927*(1+Sens!$L$8928)</f>
        <v>83.4354203035671</v>
      </c>
      <c r="M8927" s="38" t="n">
        <f aca="false">Sens!$L$8927*(1+Sens!$M$8928)</f>
        <v>89.2758997248168</v>
      </c>
      <c r="N8927" s="38" t="n">
        <f aca="false">Q!$N$14</f>
        <v>23.923</v>
      </c>
      <c r="O8927" s="38" t="n">
        <f aca="false">Q!$O$14</f>
        <v>25.696</v>
      </c>
      <c r="P8927" s="8" t="s">
        <v>678</v>
      </c>
    </row>
    <row r="8928" customFormat="false" ht="17.15" hidden="false" customHeight="false" outlineLevel="0" collapsed="false">
      <c r="A8928" s="0" t="s">
        <v>687</v>
      </c>
      <c r="B8928" s="0" t="s">
        <v>52</v>
      </c>
      <c r="E8928" s="13" t="n">
        <f aca="false">Sens!$E$8927/Sens!$N$8927-1</f>
        <v>0.135183714417088</v>
      </c>
      <c r="F8928" s="13" t="n">
        <f aca="false">Sens!$O$8927/(Q!$F$14+Q!$G$14)-1</f>
        <v>0.127709997366804</v>
      </c>
      <c r="G8928" s="13" t="n">
        <f aca="false">Sens!$G$8927/Sens!$D$8927-1</f>
        <v>0.107104468022641</v>
      </c>
      <c r="H8928" s="13" t="n">
        <f aca="false">Sens!$F$8928+(g_sub-Sens!$F$8928)*1/4</f>
        <v>0.113282498025103</v>
      </c>
      <c r="I8928" s="13" t="n">
        <f aca="false">Sens!$F$8928+(g_sub-Sens!$F$8928)*2/4</f>
        <v>0.0988549986834021</v>
      </c>
      <c r="J8928" s="13" t="n">
        <f aca="false">Sens!$F$8928+(g_sub-Sens!$F$8928)*3/4</f>
        <v>0.084427499341701</v>
      </c>
      <c r="K8928" s="13" t="n">
        <f aca="false">Sens!$F$8928+(g_sub-Sens!$F$8928)*4/4</f>
        <v>0.07</v>
      </c>
      <c r="L8928" s="13" t="n">
        <f aca="false">g_sub</f>
        <v>0.07</v>
      </c>
      <c r="M8928" s="13" t="n">
        <f aca="false">g_sub</f>
        <v>0.07</v>
      </c>
      <c r="P8928" s="8" t="s">
        <v>688</v>
      </c>
    </row>
    <row r="8929" customFormat="false" ht="17.15" hidden="false" customHeight="false" outlineLevel="0" collapsed="false">
      <c r="A8929" s="0" t="s">
        <v>531</v>
      </c>
      <c r="B8929" s="0" t="s">
        <v>86</v>
      </c>
      <c r="C8929" s="38" t="n">
        <f aca="false">Q!$D$15</f>
        <v>5.425</v>
      </c>
      <c r="D8929" s="38" t="n">
        <f aca="false">Q!$E$15</f>
        <v>5.935</v>
      </c>
      <c r="E8929" s="38" t="n">
        <f aca="false">Q!$P$15</f>
        <v>3.474</v>
      </c>
      <c r="F8929" s="38" t="n">
        <f aca="false">Sens!$O$8929*(1+Sens!$F$8930)*Sens!$F$8931</f>
        <v>3.22246550883619</v>
      </c>
      <c r="G8929" s="38" t="n">
        <f aca="false">Sens!$E$8929+Sens!$F$8929</f>
        <v>6.69646550883619</v>
      </c>
      <c r="H8929" s="38" t="n">
        <f aca="false">Sens!$G$8929*(1+Sens!$H$8930)</f>
        <v>7.16251344209196</v>
      </c>
      <c r="I8929" s="38" t="n">
        <f aca="false">Sens!$H$8929*(1+Sens!$I$8930)</f>
        <v>7.61421070299826</v>
      </c>
      <c r="J8929" s="38" t="n">
        <f aca="false">Sens!$I$8929*(1+Sens!$J$8930)</f>
        <v>8.04465753523932</v>
      </c>
      <c r="K8929" s="38" t="n">
        <f aca="false">Sens!$J$8929*(1+Sens!$K$8930)</f>
        <v>8.44689041200128</v>
      </c>
      <c r="L8929" s="38" t="n">
        <f aca="false">Sens!$K$8929*(1+Sens!$L$8930)</f>
        <v>8.86923493260135</v>
      </c>
      <c r="M8929" s="38" t="n">
        <f aca="false">Sens!$L$8929*(1+Sens!$M$8930)</f>
        <v>9.31269667923142</v>
      </c>
      <c r="N8929" s="38" t="n">
        <f aca="false">Q!$N$15</f>
        <v>2.811</v>
      </c>
      <c r="O8929" s="38" t="n">
        <f aca="false">Q!$O$15</f>
        <v>3.124</v>
      </c>
      <c r="P8929" s="8" t="s">
        <v>678</v>
      </c>
    </row>
    <row r="8930" customFormat="false" ht="17.15" hidden="false" customHeight="false" outlineLevel="0" collapsed="false">
      <c r="A8930" s="0" t="s">
        <v>689</v>
      </c>
      <c r="B8930" s="0" t="s">
        <v>52</v>
      </c>
      <c r="E8930" s="13" t="n">
        <f aca="false">Sens!$E$8929/Sens!$N$8929-1</f>
        <v>0.235859124866596</v>
      </c>
      <c r="F8930" s="13" t="n">
        <f aca="false">Sens!$O$8929/(Q!$F$15+Q!$G$15)-1</f>
        <v>0.0761281433000345</v>
      </c>
      <c r="G8930" s="13" t="n">
        <f aca="false">Sens!$G$8929/Sens!$D$8929-1</f>
        <v>0.128300843948811</v>
      </c>
      <c r="H8930" s="13" t="n">
        <f aca="false">Sens!$F$8930+(g_ot-Sens!$F$8930)*1/4</f>
        <v>0.0695961074750259</v>
      </c>
      <c r="I8930" s="13" t="n">
        <f aca="false">Sens!$F$8930+(g_ot-Sens!$F$8930)*2/4</f>
        <v>0.0630640716500172</v>
      </c>
      <c r="J8930" s="13" t="n">
        <f aca="false">Sens!$F$8930+(g_ot-Sens!$F$8930)*3/4</f>
        <v>0.0565320358250086</v>
      </c>
      <c r="K8930" s="13" t="n">
        <f aca="false">Sens!$F$8930+(g_ot-Sens!$F$8930)*4/4</f>
        <v>0.05</v>
      </c>
      <c r="L8930" s="13" t="n">
        <f aca="false">g_ot</f>
        <v>0.05</v>
      </c>
      <c r="M8930" s="13" t="n">
        <f aca="false">g_ot</f>
        <v>0.05</v>
      </c>
      <c r="P8930" s="8" t="s">
        <v>690</v>
      </c>
    </row>
    <row r="8931" customFormat="false" ht="17.15" hidden="false" customHeight="false" outlineLevel="0" collapsed="false">
      <c r="A8931" s="0" t="s">
        <v>691</v>
      </c>
      <c r="B8931" s="0" t="s">
        <v>57</v>
      </c>
      <c r="F8931" s="40" t="n">
        <f aca="false">(g26q3_mid*Q!$O$8/Q!$J$8-Thesis!$F$89-Thesis!$F$93)/(Sens!$O$8919*(1+Sens!$F$8920)+Sens!$O$8921*(1+Sens!$F$8922)+Sens!$O$8923*(1+Sens!$F$8924)+Sens!$O$8925*(1+Sens!$F$8926)+Sens!$O$8927*(1+Sens!$F$8928)+Sens!$O$8929*(1+Sens!$F$8930))</f>
        <v>0.958546670622329</v>
      </c>
      <c r="P8931" s="8" t="s">
        <v>692</v>
      </c>
    </row>
    <row r="8932" customFormat="false" ht="17.15" hidden="false" customHeight="false" outlineLevel="0" collapsed="false">
      <c r="A8932" s="3" t="s">
        <v>693</v>
      </c>
      <c r="B8932" s="8" t="s">
        <v>86</v>
      </c>
      <c r="C8932" s="38" t="n">
        <f aca="false">Sens!$C$8919+Sens!$C$8921+Sens!$C$8923+Sens!$C$8925+Sens!$C$8927+Sens!$C$8929</f>
        <v>530.403</v>
      </c>
      <c r="D8932" s="38" t="n">
        <f aca="false">Sens!$D$8919+Sens!$D$8921+Sens!$D$8923+Sens!$D$8925+Sens!$D$8927+Sens!$D$8929</f>
        <v>588.199</v>
      </c>
      <c r="E8932" s="38" t="n">
        <f aca="false">Sens!$E$8919+Sens!$E$8921+Sens!$E$8923+Sens!$E$8925+Sens!$E$8927+Sens!$E$8929</f>
        <v>302.306</v>
      </c>
      <c r="F8932" s="38" t="n">
        <f aca="false">Sens!$F$8919+Sens!$F$8921+Sens!$F$8923+Sens!$F$8925+Sens!$F$8927+Sens!$F$8929</f>
        <v>349.048241645537</v>
      </c>
      <c r="G8932" s="38" t="n">
        <f aca="false">Sens!$G$8919+Sens!$G$8921+Sens!$G$8923+Sens!$G$8925+Sens!$G$8927+Sens!$G$8929</f>
        <v>651.354241645537</v>
      </c>
      <c r="H8932" s="38" t="n">
        <f aca="false">Sens!$H$8919+Sens!$H$8921+Sens!$H$8923+Sens!$H$8925+Sens!$H$8927+Sens!$H$8929</f>
        <v>721.096889521386</v>
      </c>
      <c r="I8932" s="38" t="n">
        <f aca="false">Sens!$I$8919+Sens!$I$8921+Sens!$I$8923+Sens!$I$8925+Sens!$I$8927+Sens!$I$8929</f>
        <v>788.529391152531</v>
      </c>
      <c r="J8932" s="38" t="n">
        <f aca="false">Sens!$J$8919+Sens!$J$8921+Sens!$J$8923+Sens!$J$8925+Sens!$J$8927+Sens!$J$8929</f>
        <v>851.108405741443</v>
      </c>
      <c r="K8932" s="38" t="n">
        <f aca="false">Sens!$K$8919+Sens!$K$8921+Sens!$K$8923+Sens!$K$8925+Sens!$K$8927+Sens!$K$8929</f>
        <v>906.176455431088</v>
      </c>
      <c r="L8932" s="38" t="n">
        <f aca="false">Sens!$L$8919+Sens!$L$8921+Sens!$L$8923+Sens!$L$8925+Sens!$L$8927+Sens!$L$8929</f>
        <v>965.093106475589</v>
      </c>
      <c r="M8932" s="38" t="n">
        <f aca="false">Sens!$M$8919+Sens!$M$8921+Sens!$M$8923+Sens!$M$8925+Sens!$M$8927+Sens!$M$8929</f>
        <v>1028.14790794689</v>
      </c>
      <c r="N8932" s="38" t="n">
        <f aca="false">Sens!$N$8919+Sens!$N$8921+Sens!$N$8923+Sens!$N$8925+Sens!$N$8927+Sens!$N$8929</f>
        <v>263.229</v>
      </c>
      <c r="O8932" s="38" t="n">
        <f aca="false">Sens!$O$8919+Sens!$O$8921+Sens!$O$8923+Sens!$O$8925+Sens!$O$8927+Sens!$O$8929</f>
        <v>324.97</v>
      </c>
    </row>
    <row r="8933" customFormat="false" ht="17.15" hidden="false" customHeight="false" outlineLevel="0" collapsed="false">
      <c r="A8933" s="5" t="s">
        <v>694</v>
      </c>
      <c r="B8933" s="0" t="s">
        <v>52</v>
      </c>
      <c r="C8933" s="13" t="n">
        <f aca="false">Q!$D$5/(Q!$D$5+Q!$D$6)</f>
        <v>0.730570905519011</v>
      </c>
      <c r="D8933" s="13" t="n">
        <f aca="false">Q!$E$5/(Q!$E$5+Q!$E$6)</f>
        <v>0.724763217890544</v>
      </c>
      <c r="E8933" s="13" t="n">
        <f aca="false">Q!$P$5/(Q!$P$5+Q!$P$6)</f>
        <v>0.728797972914861</v>
      </c>
      <c r="F8933" s="13" t="n">
        <f aca="false">Sens!$O$8933</f>
        <v>0.718066283041511</v>
      </c>
      <c r="G8933" s="13" t="n">
        <f aca="false">Sens!$G$8934/Sens!$G$8932</f>
        <v>0.723047066202847</v>
      </c>
      <c r="H8933" s="13" t="n">
        <f aca="false">Sens!$G$8933</f>
        <v>0.723047066202847</v>
      </c>
      <c r="I8933" s="13" t="n">
        <f aca="false">Sens!$G$8933</f>
        <v>0.723047066202847</v>
      </c>
      <c r="J8933" s="13" t="n">
        <f aca="false">Sens!$G$8933</f>
        <v>0.723047066202847</v>
      </c>
      <c r="K8933" s="13" t="n">
        <f aca="false">Sens!$G$8933</f>
        <v>0.723047066202847</v>
      </c>
      <c r="L8933" s="13" t="n">
        <f aca="false">Sens!$G$8933</f>
        <v>0.723047066202847</v>
      </c>
      <c r="M8933" s="13" t="n">
        <f aca="false">Sens!$G$8933</f>
        <v>0.723047066202847</v>
      </c>
      <c r="N8933" s="13" t="n">
        <f aca="false">Q!$N$5/(Q!$N$5+Q!$N$6)</f>
        <v>0.733030935041352</v>
      </c>
      <c r="O8933" s="13" t="n">
        <f aca="false">Q!$O$5/(Q!$O$5+Q!$O$6)</f>
        <v>0.718066283041511</v>
      </c>
      <c r="P8933" s="8" t="s">
        <v>695</v>
      </c>
    </row>
    <row r="8934" customFormat="false" ht="17.15" hidden="false" customHeight="false" outlineLevel="0" collapsed="false">
      <c r="A8934" s="1" t="s">
        <v>519</v>
      </c>
      <c r="B8934" s="8" t="s">
        <v>86</v>
      </c>
      <c r="C8934" s="38" t="n">
        <f aca="false">Q!$D$5</f>
        <v>387.497</v>
      </c>
      <c r="D8934" s="38" t="n">
        <f aca="false">Q!$E$5</f>
        <v>426.305</v>
      </c>
      <c r="E8934" s="38" t="n">
        <f aca="false">Q!$P$5</f>
        <v>220.32</v>
      </c>
      <c r="F8934" s="38" t="n">
        <f aca="false">Sens!$F$8932*Sens!$F$8933</f>
        <v>250.639773480586</v>
      </c>
      <c r="G8934" s="38" t="n">
        <f aca="false">Sens!$E$8934+Sens!$F$8934</f>
        <v>470.959773480586</v>
      </c>
      <c r="H8934" s="38" t="n">
        <f aca="false">Sens!$H$8932*Sens!$H$8933</f>
        <v>521.386990416437</v>
      </c>
      <c r="I8934" s="38" t="n">
        <f aca="false">Sens!$I$8932*Sens!$I$8933</f>
        <v>570.143862887555</v>
      </c>
      <c r="J8934" s="38" t="n">
        <f aca="false">Sens!$J$8932*Sens!$J$8933</f>
        <v>615.391435791933</v>
      </c>
      <c r="K8934" s="38" t="n">
        <f aca="false">Sens!$K$8932*Sens!$K$8933</f>
        <v>655.208227561543</v>
      </c>
      <c r="L8934" s="38" t="n">
        <f aca="false">Sens!$L$8932*Sens!$L$8933</f>
        <v>697.807739249767</v>
      </c>
      <c r="M8934" s="38" t="n">
        <f aca="false">Sens!$M$8932*Sens!$M$8933</f>
        <v>743.399328463592</v>
      </c>
      <c r="N8934" s="38" t="n">
        <f aca="false">Q!$N$5</f>
        <v>192.955</v>
      </c>
      <c r="O8934" s="38" t="n">
        <f aca="false">Q!$O$5</f>
        <v>233.35</v>
      </c>
      <c r="P8934" s="5" t="s">
        <v>696</v>
      </c>
    </row>
    <row r="8935" customFormat="false" ht="17.15" hidden="false" customHeight="false" outlineLevel="0" collapsed="false">
      <c r="A8935" s="1" t="s">
        <v>522</v>
      </c>
      <c r="B8935" s="8" t="s">
        <v>86</v>
      </c>
      <c r="C8935" s="38" t="n">
        <f aca="false">Q!$D$6</f>
        <v>142.906</v>
      </c>
      <c r="D8935" s="38" t="n">
        <f aca="false">Q!$E$6</f>
        <v>161.894</v>
      </c>
      <c r="E8935" s="38" t="n">
        <f aca="false">Q!$P$6</f>
        <v>81.986</v>
      </c>
      <c r="F8935" s="38" t="n">
        <f aca="false">Sens!$F$8932*(1-Sens!$F$8933)</f>
        <v>98.408468164951</v>
      </c>
      <c r="G8935" s="38" t="n">
        <f aca="false">Sens!$E$8935+Sens!$F$8935</f>
        <v>180.394468164951</v>
      </c>
      <c r="H8935" s="38" t="n">
        <f aca="false">Sens!$H$8932*(1-Sens!$H$8933)</f>
        <v>199.709899104949</v>
      </c>
      <c r="I8935" s="38" t="n">
        <f aca="false">Sens!$I$8932*(1-Sens!$I$8933)</f>
        <v>218.385528264976</v>
      </c>
      <c r="J8935" s="38" t="n">
        <f aca="false">Sens!$J$8932*(1-Sens!$J$8933)</f>
        <v>235.71696994951</v>
      </c>
      <c r="K8935" s="38" t="n">
        <f aca="false">Sens!$K$8932*(1-Sens!$K$8933)</f>
        <v>250.968227869545</v>
      </c>
      <c r="L8935" s="38" t="n">
        <f aca="false">Sens!$L$8932*(1-Sens!$L$8933)</f>
        <v>267.285367225822</v>
      </c>
      <c r="M8935" s="38" t="n">
        <f aca="false">Sens!$M$8932*(1-Sens!$M$8933)</f>
        <v>284.748579483295</v>
      </c>
      <c r="N8935" s="38" t="n">
        <f aca="false">Q!$N$6</f>
        <v>70.274</v>
      </c>
      <c r="O8935" s="38" t="n">
        <f aca="false">Q!$O$6</f>
        <v>91.62</v>
      </c>
      <c r="P8935" s="5" t="s">
        <v>697</v>
      </c>
    </row>
    <row r="8936" customFormat="false" ht="17.15" hidden="false" customHeight="false" outlineLevel="0" collapsed="false">
      <c r="A8936" s="5" t="s">
        <v>698</v>
      </c>
      <c r="B8936" s="0" t="s">
        <v>86</v>
      </c>
      <c r="C8936" s="38" t="n">
        <f aca="false">Sens!$C$8925*Sens!$C$8933</f>
        <v>41.0683128828457</v>
      </c>
      <c r="D8936" s="38" t="n">
        <f aca="false">Sens!$D$8925*Sens!$D$8933</f>
        <v>49.7441234599175</v>
      </c>
      <c r="E8936" s="38" t="n">
        <f aca="false">Sens!$E$8925*Sens!$E$8933</f>
        <v>27.0034224924414</v>
      </c>
      <c r="F8936" s="38" t="n">
        <f aca="false">Sens!$F$8925*Sens!$F$8933</f>
        <v>33.1439448330513</v>
      </c>
      <c r="G8936" s="38" t="n">
        <f aca="false">Sens!$G$8925*Sens!$G$8933</f>
        <v>60.164183844083</v>
      </c>
      <c r="H8936" s="38" t="n">
        <f aca="false">Sens!$H$8925*Sens!$H$8933</f>
        <v>72.2301766552629</v>
      </c>
      <c r="I8936" s="38" t="n">
        <f aca="false">Sens!$I$8925*Sens!$I$8933</f>
        <v>84.2950764463991</v>
      </c>
      <c r="J8936" s="38" t="n">
        <f aca="false">Sens!$J$8925*Sens!$J$8933</f>
        <v>95.5499047729386</v>
      </c>
      <c r="K8936" s="38" t="n">
        <f aca="false">Sens!$K$8925*Sens!$K$8933</f>
        <v>105.104895250232</v>
      </c>
      <c r="L8936" s="38" t="n">
        <f aca="false">Sens!$L$8925*Sens!$L$8933</f>
        <v>115.615384775256</v>
      </c>
      <c r="M8936" s="38" t="n">
        <f aca="false">Sens!$M$8925*Sens!$M$8933</f>
        <v>127.176923252781</v>
      </c>
      <c r="N8936" s="38" t="n">
        <f aca="false">Sens!$N$8925*Sens!$N$8933</f>
        <v>21.7087111412496</v>
      </c>
      <c r="O8936" s="38" t="n">
        <f aca="false">Sens!$O$8925*Sens!$O$8933</f>
        <v>28.0189463642798</v>
      </c>
      <c r="P8936" s="5" t="s">
        <v>699</v>
      </c>
    </row>
    <row r="8937" customFormat="false" ht="15" hidden="false" customHeight="false" outlineLevel="0" collapsed="false">
      <c r="A8937" s="5" t="s">
        <v>700</v>
      </c>
      <c r="B8937" s="0" t="s">
        <v>86</v>
      </c>
      <c r="C8937" s="38" t="n">
        <f aca="false">Sens!$C$8925-Sens!$C$8936</f>
        <v>15.1456871171543</v>
      </c>
      <c r="D8937" s="38" t="n">
        <f aca="false">Sens!$D$8925-Sens!$D$8936</f>
        <v>18.8908765400825</v>
      </c>
      <c r="E8937" s="38" t="n">
        <f aca="false">Sens!$E$8925-Sens!$E$8936</f>
        <v>10.0485775075586</v>
      </c>
      <c r="F8937" s="38" t="n">
        <f aca="false">Sens!$F$8925-Sens!$F$8936</f>
        <v>13.0132771613635</v>
      </c>
      <c r="G8937" s="38" t="n">
        <f aca="false">Sens!$G$8925-Sens!$G$8936</f>
        <v>23.0450381503318</v>
      </c>
      <c r="H8937" s="38" t="n">
        <f aca="false">Sens!$H$8925-Sens!$H$8936</f>
        <v>27.6667457326347</v>
      </c>
      <c r="I8937" s="38" t="n">
        <f aca="false">Sens!$I$8925-Sens!$I$8936</f>
        <v>32.2880346490971</v>
      </c>
      <c r="J8937" s="38" t="n">
        <f aca="false">Sens!$J$8925-Sens!$J$8936</f>
        <v>36.5990371690132</v>
      </c>
      <c r="K8937" s="38" t="n">
        <f aca="false">Sens!$K$8925-Sens!$K$8936</f>
        <v>40.2589408859145</v>
      </c>
      <c r="L8937" s="38" t="n">
        <f aca="false">Sens!$L$8925-Sens!$L$8936</f>
        <v>44.2848349745059</v>
      </c>
      <c r="M8937" s="38" t="n">
        <f aca="false">Sens!$M$8925-Sens!$M$8936</f>
        <v>48.7133184719565</v>
      </c>
      <c r="N8937" s="38" t="n">
        <f aca="false">Sens!$N$8925-Sens!$N$8936</f>
        <v>7.90628885875037</v>
      </c>
      <c r="O8937" s="38" t="n">
        <f aca="false">Sens!$O$8925-Sens!$O$8936</f>
        <v>11.0010536357202</v>
      </c>
    </row>
    <row r="8938" customFormat="false" ht="19.4" hidden="false" customHeight="false" outlineLevel="0" collapsed="false">
      <c r="A8938" s="31" t="s">
        <v>1333</v>
      </c>
    </row>
    <row r="8939" customFormat="false" ht="17.15" hidden="false" customHeight="false" outlineLevel="0" collapsed="false">
      <c r="A8939" s="6" t="s">
        <v>16</v>
      </c>
      <c r="B8939" s="6" t="s">
        <v>17</v>
      </c>
      <c r="C8939" s="20" t="s">
        <v>504</v>
      </c>
      <c r="D8939" s="20" t="s">
        <v>505</v>
      </c>
      <c r="E8939" s="20" t="s">
        <v>587</v>
      </c>
      <c r="F8939" s="20" t="s">
        <v>588</v>
      </c>
      <c r="G8939" s="20" t="s">
        <v>589</v>
      </c>
      <c r="H8939" s="20" t="s">
        <v>590</v>
      </c>
      <c r="I8939" s="20" t="s">
        <v>591</v>
      </c>
      <c r="J8939" s="20" t="s">
        <v>592</v>
      </c>
      <c r="K8939" s="20" t="s">
        <v>593</v>
      </c>
      <c r="L8939" s="20" t="s">
        <v>594</v>
      </c>
      <c r="M8939" s="20" t="s">
        <v>595</v>
      </c>
      <c r="N8939" s="20" t="s">
        <v>596</v>
      </c>
      <c r="O8939" s="20" t="s">
        <v>597</v>
      </c>
      <c r="P8939" s="6" t="s">
        <v>23</v>
      </c>
      <c r="R8939" s="20" t="n">
        <v>2023</v>
      </c>
      <c r="S8939" s="20" t="n">
        <v>2024</v>
      </c>
      <c r="T8939" s="20" t="n">
        <v>2025</v>
      </c>
      <c r="U8939" s="20" t="n">
        <v>2026</v>
      </c>
      <c r="V8939" s="20" t="n">
        <v>2027</v>
      </c>
      <c r="W8939" s="20" t="n">
        <v>2028</v>
      </c>
      <c r="X8939" s="20" t="n">
        <v>2029</v>
      </c>
      <c r="Y8939" s="20" t="n">
        <v>2030</v>
      </c>
      <c r="Z8939" s="20" t="n">
        <v>2031</v>
      </c>
      <c r="AA8939" s="20" t="n">
        <v>2032</v>
      </c>
    </row>
    <row r="8940" customFormat="false" ht="17.15" hidden="false" customHeight="false" outlineLevel="0" collapsed="false">
      <c r="A8940" s="1" t="s">
        <v>598</v>
      </c>
    </row>
    <row r="8941" customFormat="false" ht="17.15" hidden="false" customHeight="false" outlineLevel="0" collapsed="false">
      <c r="A8941" s="5" t="s">
        <v>599</v>
      </c>
      <c r="B8941" s="0" t="s">
        <v>144</v>
      </c>
      <c r="H8941" s="32" t="n">
        <f aca="false">pace_B</f>
        <v>3634.3</v>
      </c>
      <c r="I8941" s="32" t="n">
        <f aca="false">pace_B</f>
        <v>3634.3</v>
      </c>
      <c r="J8941" s="32" t="n">
        <f aca="false">pace_B</f>
        <v>3634.3</v>
      </c>
      <c r="K8941" s="32" t="n">
        <f aca="false">pace_B+(Sens!$J$8942*tg-pace_B)*1/3</f>
        <v>2570.86716666667</v>
      </c>
      <c r="L8941" s="32" t="n">
        <f aca="false">pace_B+(Sens!$J$8942*tg-pace_B)*2/3</f>
        <v>1507.43433333333</v>
      </c>
      <c r="M8941" s="32" t="n">
        <f aca="false">pace_B+(Sens!$J$8942*tg-pace_B)*3/3</f>
        <v>444.0015</v>
      </c>
      <c r="P8941" s="5" t="s">
        <v>600</v>
      </c>
    </row>
    <row r="8942" customFormat="false" ht="17.15" hidden="false" customHeight="false" outlineLevel="0" collapsed="false">
      <c r="A8942" s="15" t="s">
        <v>601</v>
      </c>
      <c r="B8942" s="14" t="s">
        <v>129</v>
      </c>
      <c r="C8942" s="33" t="n">
        <f aca="false">mw_ye24</f>
        <v>360</v>
      </c>
      <c r="D8942" s="33" t="n">
        <f aca="false">mw_ye25</f>
        <v>1440</v>
      </c>
      <c r="E8942" s="33" t="n">
        <f aca="false">mw_open</f>
        <v>2080</v>
      </c>
      <c r="F8942" s="33" t="n">
        <f aca="false">Sens!$E$8942+pace_B*0.5</f>
        <v>3897.15</v>
      </c>
      <c r="G8942" s="33" t="n">
        <f aca="false">Sens!$F$8942</f>
        <v>3897.15</v>
      </c>
      <c r="H8942" s="33" t="n">
        <f aca="false">Sens!$G$8942+Sens!$H$8941</f>
        <v>7531.45</v>
      </c>
      <c r="I8942" s="33" t="n">
        <f aca="false">Sens!$H$8942+Sens!$I$8941</f>
        <v>11165.75</v>
      </c>
      <c r="J8942" s="33" t="n">
        <f aca="false">Sens!$I$8942+Sens!$J$8941</f>
        <v>14800.05</v>
      </c>
      <c r="K8942" s="33" t="n">
        <f aca="false">Sens!$J$8942+Sens!$K$8941</f>
        <v>17370.9171666667</v>
      </c>
      <c r="L8942" s="33" t="n">
        <f aca="false">Sens!$K$8942+Sens!$L$8941</f>
        <v>18878.3515</v>
      </c>
      <c r="M8942" s="33" t="n">
        <f aca="false">Sens!$L$8942+Sens!$M$8941</f>
        <v>19322.353</v>
      </c>
      <c r="N8942" s="33" t="n">
        <f aca="false">(mw_ye24+mw_ye25)/2</f>
        <v>900</v>
      </c>
      <c r="O8942" s="33" t="n">
        <f aca="false">mw_ye25</f>
        <v>1440</v>
      </c>
      <c r="P8942" s="5" t="s">
        <v>602</v>
      </c>
    </row>
    <row r="8943" customFormat="false" ht="17.15" hidden="false" customHeight="false" outlineLevel="0" collapsed="false">
      <c r="A8943" s="5" t="s">
        <v>603</v>
      </c>
      <c r="B8943" s="0" t="s">
        <v>129</v>
      </c>
      <c r="C8943" s="32" t="n">
        <f aca="false">(mw_ye23+mw_ye24)/2</f>
        <v>240</v>
      </c>
      <c r="D8943" s="32" t="n">
        <f aca="false">(Sens!$C$8942+Sens!$D$8942)/2</f>
        <v>900</v>
      </c>
      <c r="E8943" s="32" t="n">
        <f aca="false">(Sens!$D$8942+Sens!$E$8942)/2</f>
        <v>1760</v>
      </c>
      <c r="F8943" s="32" t="n">
        <f aca="false">(Sens!$E$8942+Sens!$F$8942)/2</f>
        <v>2988.575</v>
      </c>
      <c r="G8943" s="32" t="n">
        <f aca="false">(Sens!$E$8943+Sens!$F$8943)/2</f>
        <v>2374.2875</v>
      </c>
      <c r="H8943" s="32" t="n">
        <f aca="false">(Sens!$G$8942+Sens!$H$8942)/2</f>
        <v>5714.3</v>
      </c>
      <c r="I8943" s="32" t="n">
        <f aca="false">(Sens!$H$8942+Sens!$I$8942)/2</f>
        <v>9348.6</v>
      </c>
      <c r="J8943" s="32" t="n">
        <f aca="false">(Sens!$I$8942+Sens!$J$8942)/2</f>
        <v>12982.9</v>
      </c>
      <c r="K8943" s="32" t="n">
        <f aca="false">(Sens!$J$8942+Sens!$K$8942)/2</f>
        <v>16085.4835833333</v>
      </c>
      <c r="L8943" s="32" t="n">
        <f aca="false">(Sens!$K$8942+Sens!$L$8942)/2</f>
        <v>18124.6343333333</v>
      </c>
      <c r="M8943" s="32" t="n">
        <f aca="false">(Sens!$L$8942+Sens!$M$8942)/2</f>
        <v>19100.35225</v>
      </c>
      <c r="N8943" s="32" t="n">
        <f aca="false">(Sens!$C$8942+Sens!$N$8942)/2</f>
        <v>630</v>
      </c>
      <c r="O8943" s="32" t="n">
        <f aca="false">(Sens!$N$8942+Sens!$O$8942)/2</f>
        <v>1170</v>
      </c>
    </row>
    <row r="8944" customFormat="false" ht="15" hidden="false" customHeight="false" outlineLevel="0" collapsed="false">
      <c r="A8944" s="5" t="s">
        <v>604</v>
      </c>
      <c r="B8944" s="5" t="s">
        <v>123</v>
      </c>
      <c r="C8944" s="34" t="n">
        <v>1</v>
      </c>
      <c r="D8944" s="34" t="n">
        <v>1</v>
      </c>
      <c r="E8944" s="34" t="n">
        <v>0.5</v>
      </c>
      <c r="F8944" s="34" t="n">
        <v>0.5</v>
      </c>
      <c r="G8944" s="34" t="n">
        <v>1</v>
      </c>
      <c r="H8944" s="34" t="n">
        <v>1</v>
      </c>
      <c r="I8944" s="34" t="n">
        <v>1</v>
      </c>
      <c r="J8944" s="34" t="n">
        <v>1</v>
      </c>
      <c r="K8944" s="34" t="n">
        <v>1</v>
      </c>
      <c r="L8944" s="34" t="n">
        <v>1</v>
      </c>
      <c r="M8944" s="34" t="n">
        <v>1</v>
      </c>
      <c r="N8944" s="34" t="n">
        <v>0.5</v>
      </c>
      <c r="O8944" s="34" t="n">
        <v>0.5</v>
      </c>
    </row>
    <row r="8945" customFormat="false" ht="17.15" hidden="false" customHeight="false" outlineLevel="0" collapsed="false">
      <c r="A8945" s="5" t="s">
        <v>605</v>
      </c>
      <c r="B8945" s="0" t="s">
        <v>129</v>
      </c>
      <c r="C8945" s="32" t="n">
        <f aca="false">Sens!$C$8942-mw_ye23</f>
        <v>240</v>
      </c>
      <c r="D8945" s="32" t="n">
        <f aca="false">Sens!$D$8942-Sens!$C$8942</f>
        <v>1080</v>
      </c>
      <c r="E8945" s="32" t="n">
        <f aca="false">Sens!$E$8942-Sens!$D$8942</f>
        <v>640</v>
      </c>
      <c r="F8945" s="32" t="n">
        <f aca="false">Sens!$F$8942-Sens!$E$8942</f>
        <v>1817.15</v>
      </c>
      <c r="G8945" s="32" t="n">
        <f aca="false">Sens!$E$8945+Sens!$F$8945</f>
        <v>2457.15</v>
      </c>
      <c r="H8945" s="32" t="n">
        <f aca="false">Sens!$H$8942-Sens!$G$8942</f>
        <v>3634.3</v>
      </c>
      <c r="I8945" s="32" t="n">
        <f aca="false">Sens!$I$8942-Sens!$H$8942</f>
        <v>3634.3</v>
      </c>
      <c r="J8945" s="32" t="n">
        <f aca="false">Sens!$J$8942-Sens!$I$8942</f>
        <v>3634.3</v>
      </c>
      <c r="K8945" s="32" t="n">
        <f aca="false">Sens!$K$8942-Sens!$J$8942</f>
        <v>2570.86716666667</v>
      </c>
      <c r="L8945" s="32" t="n">
        <f aca="false">Sens!$L$8942-Sens!$K$8942</f>
        <v>1507.43433333333</v>
      </c>
      <c r="M8945" s="32" t="n">
        <f aca="false">Sens!$M$8942-Sens!$L$8942</f>
        <v>444.001499999999</v>
      </c>
      <c r="N8945" s="32" t="n">
        <f aca="false">Sens!$N$8942-Sens!$C$8942</f>
        <v>540</v>
      </c>
      <c r="O8945" s="32" t="n">
        <f aca="false">Sens!$O$8942-Sens!$N$8942</f>
        <v>540</v>
      </c>
    </row>
    <row r="8946" customFormat="false" ht="17.15" hidden="false" customHeight="false" outlineLevel="0" collapsed="false">
      <c r="A8946" s="5" t="s">
        <v>606</v>
      </c>
      <c r="B8946" s="0" t="s">
        <v>129</v>
      </c>
      <c r="C8946" s="32" t="n">
        <f aca="false">Sens!$C$8945/ext_sh</f>
        <v>300</v>
      </c>
      <c r="D8946" s="32" t="n">
        <f aca="false">Sens!$D$8945/ext_sh</f>
        <v>1350</v>
      </c>
      <c r="E8946" s="32" t="n">
        <f aca="false">Sens!$E$8945/ext_sh</f>
        <v>800</v>
      </c>
      <c r="F8946" s="32" t="n">
        <f aca="false">Sens!$F$8945/ext_sh</f>
        <v>2271.4375</v>
      </c>
      <c r="G8946" s="32" t="n">
        <f aca="false">Sens!$G$8945/ext_sh</f>
        <v>3071.4375</v>
      </c>
      <c r="H8946" s="32" t="n">
        <f aca="false">Sens!$H$8945/ext_sh</f>
        <v>4542.875</v>
      </c>
      <c r="I8946" s="32" t="n">
        <f aca="false">Sens!$I$8945/ext_sh</f>
        <v>4542.875</v>
      </c>
      <c r="J8946" s="32" t="n">
        <f aca="false">Sens!$J$8945/ext_sh</f>
        <v>4542.875</v>
      </c>
      <c r="K8946" s="32" t="n">
        <f aca="false">Sens!$K$8945/ext_sh</f>
        <v>3213.58395833333</v>
      </c>
      <c r="L8946" s="32" t="n">
        <f aca="false">Sens!$L$8945/ext_sh</f>
        <v>1884.29291666667</v>
      </c>
      <c r="M8946" s="32" t="n">
        <f aca="false">Sens!$M$8945/ext_sh</f>
        <v>555.001874999998</v>
      </c>
      <c r="N8946" s="32" t="n">
        <f aca="false">Sens!$N$8945/ext_sh</f>
        <v>675</v>
      </c>
      <c r="O8946" s="32" t="n">
        <f aca="false">Sens!$O$8945/ext_sh</f>
        <v>675</v>
      </c>
      <c r="P8946" s="8" t="s">
        <v>607</v>
      </c>
      <c r="R8946" s="32" t="n">
        <f aca="false">mw_ye23/ext_sh</f>
        <v>150</v>
      </c>
      <c r="S8946" s="32" t="n">
        <f aca="false">Sens!$C$8946</f>
        <v>300</v>
      </c>
      <c r="T8946" s="32" t="n">
        <f aca="false">Sens!$D$8946</f>
        <v>1350</v>
      </c>
      <c r="U8946" s="32" t="n">
        <f aca="false">Sens!$G$8946</f>
        <v>3071.4375</v>
      </c>
      <c r="V8946" s="32" t="n">
        <f aca="false">Sens!$H$8946</f>
        <v>4542.875</v>
      </c>
      <c r="W8946" s="32" t="n">
        <f aca="false">Sens!$I$8946</f>
        <v>4542.875</v>
      </c>
      <c r="X8946" s="32" t="n">
        <f aca="false">Sens!$J$8946</f>
        <v>4542.875</v>
      </c>
      <c r="Y8946" s="32" t="n">
        <f aca="false">Sens!$K$8946</f>
        <v>3213.58395833333</v>
      </c>
      <c r="Z8946" s="32" t="n">
        <f aca="false">Sens!$L$8946</f>
        <v>1884.29291666667</v>
      </c>
      <c r="AA8946" s="32" t="n">
        <f aca="false">Sens!$M$8946</f>
        <v>555.001874999998</v>
      </c>
    </row>
    <row r="8947" customFormat="false" ht="17.15" hidden="false" customHeight="false" outlineLevel="0" collapsed="false">
      <c r="A8947" s="1" t="s">
        <v>608</v>
      </c>
    </row>
    <row r="8948" customFormat="false" ht="17.15" hidden="false" customHeight="false" outlineLevel="0" collapsed="false">
      <c r="A8948" s="0" t="s">
        <v>609</v>
      </c>
      <c r="B8948" s="0" t="s">
        <v>52</v>
      </c>
      <c r="F8948" s="35" t="n">
        <f aca="false">na_vr26</f>
        <v>0</v>
      </c>
      <c r="G8948" s="35" t="n">
        <f aca="false">na_vr26</f>
        <v>0</v>
      </c>
      <c r="H8948" s="35" t="n">
        <f aca="false">na_vr27</f>
        <v>0.5</v>
      </c>
      <c r="I8948" s="35" t="n">
        <f aca="false">na_vr28</f>
        <v>1</v>
      </c>
      <c r="J8948" s="35" t="n">
        <f aca="false">na_vr28</f>
        <v>1</v>
      </c>
      <c r="K8948" s="35" t="n">
        <f aca="false">na_vr28</f>
        <v>1</v>
      </c>
      <c r="L8948" s="35" t="n">
        <f aca="false">na_vr28</f>
        <v>1</v>
      </c>
      <c r="M8948" s="35" t="n">
        <f aca="false">na_vr28</f>
        <v>1</v>
      </c>
    </row>
    <row r="8949" customFormat="false" ht="17.15" hidden="false" customHeight="false" outlineLevel="0" collapsed="false">
      <c r="A8949" s="5" t="s">
        <v>610</v>
      </c>
      <c r="B8949" s="0" t="s">
        <v>173</v>
      </c>
      <c r="F8949" s="36" t="n">
        <f aca="false">cust_sh*tk_he_gb300*cf_chip+(1-cust_sh)*((1-Sens!$F$8948)*tk_he_gb300+Sens!$F$8948*tk_he_vr200)</f>
        <v>10.8864110021101</v>
      </c>
      <c r="G8949" s="36" t="n">
        <f aca="false">cust_sh*tk_he_gb300*cf_chip+(1-cust_sh)*((1-Sens!$G$8948)*tk_he_gb300+Sens!$G$8948*tk_he_vr200)</f>
        <v>10.8864110021101</v>
      </c>
      <c r="H8949" s="36" t="n">
        <f aca="false">cust_sh*tk_he_gb300*cf_chip+(1-cust_sh)*((1-Sens!$H$8948)*tk_he_gb300+Sens!$H$8948*tk_he_vr200)</f>
        <v>11.2211760027286</v>
      </c>
      <c r="I8949" s="36" t="n">
        <f aca="false">cust_sh*tk_he_gb300*cf_chip+(1-cust_sh)*((1-Sens!$I$8948)*tk_he_gb300+Sens!$I$8948*tk_he_vr200)</f>
        <v>11.5559410033471</v>
      </c>
      <c r="J8949" s="36" t="n">
        <f aca="false">cust_sh*tk_he_gb300*cf_chip+(1-cust_sh)*((1-Sens!$J$8948)*tk_he_gb300+Sens!$J$8948*tk_he_vr200)</f>
        <v>11.5559410033471</v>
      </c>
      <c r="K8949" s="36" t="n">
        <f aca="false">cust_sh*tk_he_gb300*cf_chip+(1-cust_sh)*((1-Sens!$K$8948)*tk_he_gb300+Sens!$K$8948*tk_he_vr200)</f>
        <v>11.5559410033471</v>
      </c>
      <c r="L8949" s="36" t="n">
        <f aca="false">cust_sh*tk_he_gb300*cf_chip+(1-cust_sh)*((1-Sens!$L$8948)*tk_he_gb300+Sens!$L$8948*tk_he_vr200)</f>
        <v>11.5559410033471</v>
      </c>
      <c r="M8949" s="36" t="n">
        <f aca="false">cust_sh*tk_he_gb300*cf_chip+(1-cust_sh)*((1-Sens!$M$8948)*tk_he_gb300+Sens!$M$8948*tk_he_vr200)</f>
        <v>11.5559410033471</v>
      </c>
    </row>
    <row r="8950" customFormat="false" ht="17.15" hidden="false" customHeight="false" outlineLevel="0" collapsed="false">
      <c r="A8950" s="5" t="s">
        <v>611</v>
      </c>
      <c r="B8950" s="0" t="s">
        <v>173</v>
      </c>
      <c r="F8950" s="36" t="n">
        <f aca="false">cust_sh*tk_ox_gb300+(1-cust_sh)*((1-Sens!$F$8948)*tk_ox_gb300+Sens!$F$8948*tk_ox_vr200)</f>
        <v>1.98263481314457</v>
      </c>
      <c r="G8950" s="36" t="n">
        <f aca="false">cust_sh*tk_ox_gb300+(1-cust_sh)*((1-Sens!$G$8948)*tk_ox_gb300+Sens!$G$8948*tk_ox_vr200)</f>
        <v>1.98263481314457</v>
      </c>
      <c r="H8950" s="36" t="n">
        <f aca="false">cust_sh*tk_ox_gb300+(1-cust_sh)*((1-Sens!$H$8948)*tk_ox_gb300+Sens!$H$8948*tk_ox_vr200)</f>
        <v>2.01034999693694</v>
      </c>
      <c r="I8950" s="36" t="n">
        <f aca="false">cust_sh*tk_ox_gb300+(1-cust_sh)*((1-Sens!$I$8948)*tk_ox_gb300+Sens!$I$8948*tk_ox_vr200)</f>
        <v>2.0380651807293</v>
      </c>
      <c r="J8950" s="36" t="n">
        <f aca="false">cust_sh*tk_ox_gb300+(1-cust_sh)*((1-Sens!$J$8948)*tk_ox_gb300+Sens!$J$8948*tk_ox_vr200)</f>
        <v>2.0380651807293</v>
      </c>
      <c r="K8950" s="36" t="n">
        <f aca="false">cust_sh*tk_ox_gb300+(1-cust_sh)*((1-Sens!$K$8948)*tk_ox_gb300+Sens!$K$8948*tk_ox_vr200)</f>
        <v>2.0380651807293</v>
      </c>
      <c r="L8950" s="36" t="n">
        <f aca="false">cust_sh*tk_ox_gb300+(1-cust_sh)*((1-Sens!$L$8948)*tk_ox_gb300+Sens!$L$8948*tk_ox_vr200)</f>
        <v>2.0380651807293</v>
      </c>
      <c r="M8950" s="36" t="n">
        <f aca="false">cust_sh*tk_ox_gb300+(1-cust_sh)*((1-Sens!$M$8948)*tk_ox_gb300+Sens!$M$8948*tk_ox_vr200)</f>
        <v>2.0380651807293</v>
      </c>
    </row>
    <row r="8951" customFormat="false" ht="17.15" hidden="false" customHeight="false" outlineLevel="0" collapsed="false">
      <c r="A8951" s="5" t="s">
        <v>612</v>
      </c>
      <c r="B8951" s="0" t="s">
        <v>192</v>
      </c>
      <c r="F8951" s="36" t="n">
        <f aca="false">cust_sh*tk_cx_gb300*cf_cx+(1-cust_sh)*((1-Sens!$F$8948)*tk_cx_gb300+Sens!$F$8948*tk_cx_vr200)</f>
        <v>32.237224</v>
      </c>
      <c r="G8951" s="36" t="n">
        <f aca="false">cust_sh*tk_cx_gb300*cf_cx+(1-cust_sh)*((1-Sens!$G$8948)*tk_cx_gb300+Sens!$G$8948*tk_cx_vr200)</f>
        <v>32.237224</v>
      </c>
      <c r="H8951" s="36" t="n">
        <f aca="false">cust_sh*tk_cx_gb300*cf_cx+(1-cust_sh)*((1-Sens!$H$8948)*tk_cx_gb300+Sens!$H$8948*tk_cx_vr200)</f>
        <v>33.574506</v>
      </c>
      <c r="I8951" s="36" t="n">
        <f aca="false">cust_sh*tk_cx_gb300*cf_cx+(1-cust_sh)*((1-Sens!$I$8948)*tk_cx_gb300+Sens!$I$8948*tk_cx_vr200)</f>
        <v>34.911788</v>
      </c>
      <c r="J8951" s="36" t="n">
        <f aca="false">cust_sh*tk_cx_gb300*cf_cx+(1-cust_sh)*((1-Sens!$J$8948)*tk_cx_gb300+Sens!$J$8948*tk_cx_vr200)</f>
        <v>34.911788</v>
      </c>
      <c r="K8951" s="36" t="n">
        <f aca="false">cust_sh*tk_cx_gb300*cf_cx+(1-cust_sh)*((1-Sens!$K$8948)*tk_cx_gb300+Sens!$K$8948*tk_cx_vr200)</f>
        <v>34.911788</v>
      </c>
      <c r="L8951" s="36" t="n">
        <f aca="false">cust_sh*tk_cx_gb300*cf_cx+(1-cust_sh)*((1-Sens!$L$8948)*tk_cx_gb300+Sens!$L$8948*tk_cx_vr200)</f>
        <v>34.911788</v>
      </c>
      <c r="M8951" s="36" t="n">
        <f aca="false">cust_sh*tk_cx_gb300*cf_cx+(1-cust_sh)*((1-Sens!$M$8948)*tk_cx_gb300+Sens!$M$8948*tk_cx_vr200)</f>
        <v>34.911788</v>
      </c>
    </row>
    <row r="8952" customFormat="false" ht="17.15" hidden="false" customHeight="false" outlineLevel="0" collapsed="false">
      <c r="A8952" s="5" t="s">
        <v>613</v>
      </c>
      <c r="B8952" s="0" t="s">
        <v>129</v>
      </c>
      <c r="F8952" s="32" t="n">
        <f aca="false">Sens!$F$8942-mw_open</f>
        <v>1817.15</v>
      </c>
      <c r="G8952" s="32" t="n">
        <f aca="false">Sens!$F$8952</f>
        <v>1817.15</v>
      </c>
      <c r="H8952" s="32" t="n">
        <f aca="false">Sens!$H$8942-mw_open</f>
        <v>5451.45</v>
      </c>
      <c r="I8952" s="32" t="n">
        <f aca="false">Sens!$I$8942-mw_open</f>
        <v>9085.75</v>
      </c>
      <c r="J8952" s="32" t="n">
        <f aca="false">Sens!$J$8942-mw_open</f>
        <v>12720.05</v>
      </c>
      <c r="K8952" s="32" t="n">
        <f aca="false">Sens!$K$8942-mw_open</f>
        <v>15290.9171666667</v>
      </c>
      <c r="L8952" s="32" t="n">
        <f aca="false">Sens!$L$8942-mw_open</f>
        <v>16798.3515</v>
      </c>
      <c r="M8952" s="32" t="n">
        <f aca="false">Sens!$M$8942-mw_open</f>
        <v>17242.353</v>
      </c>
    </row>
    <row r="8953" customFormat="false" ht="17.15" hidden="false" customHeight="false" outlineLevel="0" collapsed="false">
      <c r="A8953" s="0" t="s">
        <v>614</v>
      </c>
      <c r="B8953" s="0" t="s">
        <v>615</v>
      </c>
      <c r="F8953" s="32" t="n">
        <f aca="false">Sens!$F$8945*Sens!$F$8949</f>
        <v>19782.2417524844</v>
      </c>
      <c r="G8953" s="32" t="n">
        <f aca="false">Sens!$F$8953</f>
        <v>19782.2417524844</v>
      </c>
      <c r="H8953" s="32" t="n">
        <f aca="false">Sens!$G$8953+Sens!$H$8945*Sens!$H$8949</f>
        <v>60563.3616992009</v>
      </c>
      <c r="I8953" s="32" t="n">
        <f aca="false">Sens!$H$8953+Sens!$I$8945*Sens!$I$8949</f>
        <v>102561.118087665</v>
      </c>
      <c r="J8953" s="32" t="n">
        <f aca="false">Sens!$I$8953+Sens!$J$8945*Sens!$J$8949</f>
        <v>144558.87447613</v>
      </c>
      <c r="K8953" s="32" t="n">
        <f aca="false">Sens!$J$8953+Sens!$K$8945*Sens!$K$8949</f>
        <v>174267.663781572</v>
      </c>
      <c r="L8953" s="32" t="n">
        <f aca="false">Sens!$K$8953+Sens!$L$8945*Sens!$L$8949</f>
        <v>191687.486003992</v>
      </c>
      <c r="M8953" s="32" t="n">
        <f aca="false">Sens!$L$8953+Sens!$M$8945*Sens!$M$8949</f>
        <v>196818.341143389</v>
      </c>
    </row>
    <row r="8954" customFormat="false" ht="17.15" hidden="false" customHeight="false" outlineLevel="0" collapsed="false">
      <c r="A8954" s="0" t="s">
        <v>616</v>
      </c>
      <c r="B8954" s="0" t="s">
        <v>615</v>
      </c>
      <c r="F8954" s="32" t="n">
        <f aca="false">Sens!$F$8945*Sens!$F$8950</f>
        <v>3602.74485070566</v>
      </c>
      <c r="G8954" s="32" t="n">
        <f aca="false">Sens!$F$8954</f>
        <v>3602.74485070566</v>
      </c>
      <c r="H8954" s="32" t="n">
        <f aca="false">Sens!$G$8954+Sens!$H$8945*Sens!$H$8950</f>
        <v>10908.9598445736</v>
      </c>
      <c r="I8954" s="32" t="n">
        <f aca="false">Sens!$H$8954+Sens!$I$8945*Sens!$I$8950</f>
        <v>18315.9001308981</v>
      </c>
      <c r="J8954" s="32" t="n">
        <f aca="false">Sens!$I$8954+Sens!$J$8945*Sens!$J$8950</f>
        <v>25722.8404172225</v>
      </c>
      <c r="K8954" s="32" t="n">
        <f aca="false">Sens!$J$8954+Sens!$K$8945*Sens!$K$8950</f>
        <v>30962.4352738861</v>
      </c>
      <c r="L8954" s="32" t="n">
        <f aca="false">Sens!$K$8954+Sens!$L$8945*Sens!$L$8950</f>
        <v>34034.6847008886</v>
      </c>
      <c r="M8954" s="32" t="n">
        <f aca="false">Sens!$L$8954+Sens!$M$8945*Sens!$M$8950</f>
        <v>34939.5886982302</v>
      </c>
    </row>
    <row r="8955" customFormat="false" ht="17.15" hidden="false" customHeight="false" outlineLevel="0" collapsed="false">
      <c r="A8955" s="5" t="s">
        <v>617</v>
      </c>
      <c r="B8955" s="0" t="s">
        <v>173</v>
      </c>
      <c r="F8955" s="36" t="n">
        <f aca="false">IF(Sens!$F$8952&gt;0,Sens!$F$8953/Sens!$F$8952,Sens!$F$8949)</f>
        <v>10.8864110021101</v>
      </c>
      <c r="G8955" s="36" t="n">
        <f aca="false">IF(Sens!$G$8952&gt;0,Sens!$G$8953/Sens!$G$8952,Sens!$G$8949)</f>
        <v>10.8864110021101</v>
      </c>
      <c r="H8955" s="36" t="n">
        <f aca="false">IF(Sens!$H$8952&gt;0,Sens!$H$8953/Sens!$H$8952,Sens!$H$8949)</f>
        <v>11.1095876691891</v>
      </c>
      <c r="I8955" s="36" t="n">
        <f aca="false">IF(Sens!$I$8952&gt;0,Sens!$I$8953/Sens!$I$8952,Sens!$I$8949)</f>
        <v>11.2881290028523</v>
      </c>
      <c r="J8955" s="36" t="n">
        <f aca="false">IF(Sens!$J$8952&gt;0,Sens!$J$8953/Sens!$J$8952,Sens!$J$8949)</f>
        <v>11.3646467172794</v>
      </c>
      <c r="K8955" s="36" t="n">
        <f aca="false">IF(Sens!$K$8952&gt;0,Sens!$K$8953/Sens!$K$8952,Sens!$K$8949)</f>
        <v>11.3968090914432</v>
      </c>
      <c r="L8955" s="36" t="n">
        <f aca="false">IF(Sens!$L$8952&gt;0,Sens!$L$8953/Sens!$L$8952,Sens!$L$8949)</f>
        <v>11.4110891181192</v>
      </c>
      <c r="M8955" s="36" t="n">
        <f aca="false">IF(Sens!$M$8952&gt;0,Sens!$M$8953/Sens!$M$8952,Sens!$M$8949)</f>
        <v>11.4148191458201</v>
      </c>
    </row>
    <row r="8956" customFormat="false" ht="17.15" hidden="false" customHeight="false" outlineLevel="0" collapsed="false">
      <c r="A8956" s="5" t="s">
        <v>618</v>
      </c>
      <c r="B8956" s="0" t="s">
        <v>173</v>
      </c>
      <c r="F8956" s="36" t="n">
        <f aca="false">IF(Sens!$F$8952&gt;0,Sens!$F$8954/Sens!$F$8952,Sens!$F$8950)</f>
        <v>1.98263481314457</v>
      </c>
      <c r="G8956" s="36" t="n">
        <f aca="false">IF(Sens!$G$8952&gt;0,Sens!$G$8954/Sens!$G$8952,Sens!$G$8950)</f>
        <v>1.98263481314457</v>
      </c>
      <c r="H8956" s="36" t="n">
        <f aca="false">IF(Sens!$H$8952&gt;0,Sens!$H$8954/Sens!$H$8952,Sens!$H$8950)</f>
        <v>2.00111160233948</v>
      </c>
      <c r="I8956" s="36" t="n">
        <f aca="false">IF(Sens!$I$8952&gt;0,Sens!$I$8954/Sens!$I$8952,Sens!$I$8950)</f>
        <v>2.01589303369541</v>
      </c>
      <c r="J8956" s="36" t="n">
        <f aca="false">IF(Sens!$J$8952&gt;0,Sens!$J$8954/Sens!$J$8952,Sens!$J$8950)</f>
        <v>2.02222793284795</v>
      </c>
      <c r="K8956" s="36" t="n">
        <f aca="false">IF(Sens!$K$8952&gt;0,Sens!$K$8954/Sens!$K$8952,Sens!$K$8950)</f>
        <v>2.02489065478573</v>
      </c>
      <c r="L8956" s="36" t="n">
        <f aca="false">IF(Sens!$L$8952&gt;0,Sens!$L$8954/Sens!$L$8952,Sens!$L$8950)</f>
        <v>2.0260728977417</v>
      </c>
      <c r="M8956" s="36" t="n">
        <f aca="false">IF(Sens!$M$8952&gt;0,Sens!$M$8954/Sens!$M$8952,Sens!$M$8950)</f>
        <v>2.02638170661685</v>
      </c>
    </row>
    <row r="8957" customFormat="false" ht="17.15" hidden="false" customHeight="false" outlineLevel="0" collapsed="false">
      <c r="A8957" s="15" t="s">
        <v>619</v>
      </c>
      <c r="B8957" s="14" t="s">
        <v>173</v>
      </c>
      <c r="C8957" s="14"/>
      <c r="D8957" s="14"/>
      <c r="E8957" s="14"/>
      <c r="F8957" s="37" t="n">
        <f aca="false">Sens!$F$8955*k_B</f>
        <v>10.7987645808025</v>
      </c>
      <c r="G8957" s="37" t="n">
        <f aca="false">Sens!$G$8955*k_B</f>
        <v>10.7987645808025</v>
      </c>
      <c r="H8957" s="37" t="n">
        <f aca="false">Sens!$H$8955*k_B</f>
        <v>11.0201444540452</v>
      </c>
      <c r="I8957" s="37" t="n">
        <f aca="false">Sens!$I$8955*k_B</f>
        <v>11.1972483526393</v>
      </c>
      <c r="J8957" s="37" t="n">
        <f aca="false">Sens!$J$8955*k_B</f>
        <v>11.2731500234653</v>
      </c>
      <c r="K8957" s="37" t="n">
        <f aca="false">Sens!$K$8955*k_B</f>
        <v>11.3050534585724</v>
      </c>
      <c r="L8957" s="37" t="n">
        <f aca="false">Sens!$L$8955*k_B</f>
        <v>11.3192185168503</v>
      </c>
      <c r="M8957" s="37" t="n">
        <f aca="false">Sens!$M$8955*k_B</f>
        <v>11.3229185141234</v>
      </c>
      <c r="N8957" s="14"/>
      <c r="O8957" s="14"/>
      <c r="P8957" s="5" t="s">
        <v>620</v>
      </c>
    </row>
    <row r="8958" customFormat="false" ht="17.15" hidden="false" customHeight="false" outlineLevel="0" collapsed="false">
      <c r="A8958" s="5" t="s">
        <v>621</v>
      </c>
      <c r="B8958" s="0" t="s">
        <v>129</v>
      </c>
      <c r="F8958" s="32" t="n">
        <f aca="false">Sens!$F$8952/2</f>
        <v>908.575</v>
      </c>
      <c r="H8958" s="32" t="n">
        <f aca="false">(Sens!$G$8952+Sens!$H$8952)/2</f>
        <v>3634.3</v>
      </c>
      <c r="I8958" s="32" t="n">
        <f aca="false">(Sens!$H$8952+Sens!$I$8952)/2</f>
        <v>7268.6</v>
      </c>
      <c r="J8958" s="32" t="n">
        <f aca="false">(Sens!$I$8952+Sens!$J$8952)/2</f>
        <v>10902.9</v>
      </c>
      <c r="K8958" s="32" t="n">
        <f aca="false">(Sens!$J$8952+Sens!$K$8952)/2</f>
        <v>14005.4835833333</v>
      </c>
      <c r="L8958" s="32" t="n">
        <f aca="false">(Sens!$K$8952+Sens!$L$8952)/2</f>
        <v>16044.6343333333</v>
      </c>
      <c r="M8958" s="32" t="n">
        <f aca="false">(Sens!$L$8952+Sens!$M$8952)/2</f>
        <v>17020.35225</v>
      </c>
    </row>
    <row r="8959" customFormat="false" ht="17.15" hidden="false" customHeight="false" outlineLevel="0" collapsed="false">
      <c r="A8959" s="1" t="s">
        <v>622</v>
      </c>
    </row>
    <row r="8960" customFormat="false" ht="17.15" hidden="false" customHeight="false" outlineLevel="0" collapsed="false">
      <c r="A8960" s="1" t="s">
        <v>623</v>
      </c>
      <c r="B8960" s="8" t="s">
        <v>86</v>
      </c>
      <c r="C8960" s="38" t="n">
        <f aca="false">Sens!$C$8943*rpm_open*Sens!$C$8944/1000</f>
        <v>2.32100535697364</v>
      </c>
      <c r="D8960" s="38" t="n">
        <f aca="false">Sens!$D$8943*rpm_open*Sens!$D$8944/1000</f>
        <v>8.70377008865116</v>
      </c>
      <c r="E8960" s="38" t="n">
        <f aca="false">Sens!$E$8943*rpm_open*Sens!$E$8944/1000</f>
        <v>8.51035297557002</v>
      </c>
      <c r="F8960" s="38" t="n">
        <f aca="false">(mw_open*rpm_open+Sens!$F$8958*Sens!$F$8957)*Sens!$F$8944/1000</f>
        <v>14.9634336447205</v>
      </c>
      <c r="G8960" s="38" t="n">
        <f aca="false">Sens!$E$8960+Sens!$F$8960</f>
        <v>23.4737866202905</v>
      </c>
      <c r="H8960" s="38" t="n">
        <f aca="false">(mw_open*rpm_open+Sens!$H$8958*Sens!$H$8957)/1000</f>
        <v>60.1658907497746</v>
      </c>
      <c r="I8960" s="38" t="n">
        <f aca="false">(mw_open*rpm_open+Sens!$I$8958*Sens!$I$8957)/1000</f>
        <v>101.503699136432</v>
      </c>
      <c r="J8960" s="38" t="n">
        <f aca="false">(mw_open*rpm_open+Sens!$J$8958*Sens!$J$8957)/1000</f>
        <v>143.025407151278</v>
      </c>
      <c r="K8960" s="38" t="n">
        <f aca="false">(mw_open*rpm_open+Sens!$K$8958*Sens!$K$8957)/1000</f>
        <v>178.44812038318</v>
      </c>
      <c r="L8960" s="38" t="n">
        <f aca="false">(mw_open*rpm_open+Sens!$L$8958*Sens!$L$8957)/1000</f>
        <v>201.728101802396</v>
      </c>
      <c r="M8960" s="38" t="n">
        <f aca="false">(mw_open*rpm_open+Sens!$M$8958*Sens!$M$8957)/1000</f>
        <v>212.835441368865</v>
      </c>
      <c r="N8960" s="38" t="n">
        <f aca="false">Sens!$N$8943*rpm_open*Sens!$N$8944/1000</f>
        <v>3.04631953102791</v>
      </c>
      <c r="O8960" s="38" t="n">
        <f aca="false">Sens!$O$8943*rpm_open*Sens!$O$8944/1000</f>
        <v>5.65745055762326</v>
      </c>
      <c r="P8960" s="5" t="s">
        <v>624</v>
      </c>
    </row>
    <row r="8961" customFormat="false" ht="17.15" hidden="false" customHeight="false" outlineLevel="0" collapsed="false">
      <c r="A8961" s="5" t="s">
        <v>625</v>
      </c>
      <c r="B8961" s="0" t="s">
        <v>173</v>
      </c>
      <c r="C8961" s="36" t="n">
        <f aca="false">Sens!$C$8960*1000/(Sens!$C$8943*Sens!$C$8944)</f>
        <v>9.67085565405685</v>
      </c>
      <c r="D8961" s="36" t="n">
        <f aca="false">Sens!$D$8960*1000/(Sens!$D$8943*Sens!$D$8944)</f>
        <v>9.67085565405685</v>
      </c>
      <c r="E8961" s="36" t="n">
        <f aca="false">Sens!$E$8960*1000/(Sens!$E$8943*Sens!$E$8944)</f>
        <v>9.67085565405685</v>
      </c>
      <c r="F8961" s="36" t="n">
        <f aca="false">Sens!$F$8960*1000/(Sens!$F$8943*Sens!$F$8944)</f>
        <v>10.0137581588017</v>
      </c>
      <c r="G8961" s="36" t="n">
        <f aca="false">Sens!$G$8960*1000/(Sens!$G$8943*Sens!$G$8944)</f>
        <v>9.88666562928478</v>
      </c>
      <c r="H8961" s="36" t="n">
        <f aca="false">Sens!$H$8960*1000/(Sens!$H$8943*Sens!$H$8944)</f>
        <v>10.5290045586992</v>
      </c>
      <c r="I8961" s="36" t="n">
        <f aca="false">Sens!$I$8960*1000/(Sens!$I$8943*Sens!$I$8944)</f>
        <v>10.8576363451674</v>
      </c>
      <c r="J8961" s="36" t="n">
        <f aca="false">Sens!$J$8960*1000/(Sens!$J$8943*Sens!$J$8944)</f>
        <v>11.0164452588619</v>
      </c>
      <c r="K8961" s="36" t="n">
        <f aca="false">Sens!$K$8960*1000/(Sens!$K$8943*Sens!$K$8944)</f>
        <v>11.0937367508227</v>
      </c>
      <c r="L8961" s="36" t="n">
        <f aca="false">Sens!$L$8960*1000/(Sens!$L$8943*Sens!$L$8944)</f>
        <v>11.1300508519168</v>
      </c>
      <c r="M8961" s="36" t="n">
        <f aca="false">Sens!$M$8960*1000/(Sens!$M$8943*Sens!$M$8944)</f>
        <v>11.1430113216297</v>
      </c>
      <c r="N8961" s="36" t="n">
        <f aca="false">Sens!$N$8960*1000/(Sens!$N$8943*Sens!$N$8944)</f>
        <v>9.67085565405685</v>
      </c>
      <c r="O8961" s="36" t="n">
        <f aca="false">Sens!$O$8960*1000/(Sens!$O$8943*Sens!$O$8944)</f>
        <v>9.67085565405685</v>
      </c>
    </row>
    <row r="8962" customFormat="false" ht="17.15" hidden="false" customHeight="false" outlineLevel="0" collapsed="false">
      <c r="A8962" s="0" t="s">
        <v>626</v>
      </c>
      <c r="B8962" s="0" t="s">
        <v>86</v>
      </c>
      <c r="C8962" s="38" t="n">
        <f aca="false">Sens!$C$8943/ext_sh*(ox_open+rent_mw)*Sens!$C$8944/1000</f>
        <v>0.642569210675032</v>
      </c>
      <c r="D8962" s="38" t="n">
        <f aca="false">Sens!$D$8943/ext_sh*(ox_open+rent_mw)*Sens!$D$8944/1000</f>
        <v>2.40963454003137</v>
      </c>
      <c r="E8962" s="38" t="n">
        <f aca="false">Sens!$E$8943/ext_sh*(ox_open+rent_mw)*Sens!$E$8944/1000</f>
        <v>2.35608710580845</v>
      </c>
      <c r="F8962" s="38" t="n">
        <f aca="false">((mw_open*ox_open+Sens!$F$8958*Sens!$F$8956)/ext_sh+Sens!$F$8943/ext_sh*rent_mw)*Sens!$F$8944/1000</f>
        <v>4.05421991106232</v>
      </c>
      <c r="G8962" s="38" t="n">
        <f aca="false">Sens!$E$8962+Sens!$F$8962</f>
        <v>6.41030701687077</v>
      </c>
      <c r="H8962" s="38" t="n">
        <f aca="false">((mw_open*ox_open+Sens!$H$8958*Sens!$H$8956)/ext_sh+Sens!$H$8943/ext_sh*rent_mw)*Sens!$H$8944/1000</f>
        <v>15.8108975546616</v>
      </c>
      <c r="I8962" s="38" t="n">
        <f aca="false">((mw_open*ox_open+Sens!$I$8958*Sens!$I$8956)/ext_sh+Sens!$I$8943/ext_sh*rent_mw)*Sens!$I$8944/1000</f>
        <v>26.1871623400817</v>
      </c>
      <c r="J8962" s="38" t="n">
        <f aca="false">((mw_open*ox_open+Sens!$J$8958*Sens!$J$8956)/ext_sh+Sens!$J$8943/ext_sh*rent_mw)*Sens!$J$8944/1000</f>
        <v>36.5826128954935</v>
      </c>
      <c r="K8962" s="38" t="n">
        <f aca="false">((mw_open*ox_open+Sens!$K$8958*Sens!$K$8956)/ext_sh+Sens!$K$8943/ext_sh*rent_mw)*Sens!$K$8944/1000</f>
        <v>45.4546361137628</v>
      </c>
      <c r="L8962" s="38" t="n">
        <f aca="false">((mw_open*ox_open+Sens!$L$8958*Sens!$L$8956)/ext_sh+Sens!$L$8943/ext_sh*rent_mw)*Sens!$L$8944/1000</f>
        <v>51.2855695554452</v>
      </c>
      <c r="M8962" s="38" t="n">
        <f aca="false">((mw_open*ox_open+Sens!$M$8958*Sens!$M$8956)/ext_sh+Sens!$M$8943/ext_sh*rent_mw)*Sens!$M$8944/1000</f>
        <v>54.0722927838398</v>
      </c>
      <c r="N8962" s="38" t="n">
        <f aca="false">Sens!$N$8943/ext_sh*(ox_open+rent_mw)*Sens!$N$8944/1000</f>
        <v>0.84337208901098</v>
      </c>
      <c r="O8962" s="38" t="n">
        <f aca="false">Sens!$O$8943/ext_sh*(ox_open+rent_mw)*Sens!$O$8944/1000</f>
        <v>1.56626245102039</v>
      </c>
    </row>
    <row r="8963" customFormat="false" ht="17.15" hidden="false" customHeight="false" outlineLevel="0" collapsed="false">
      <c r="A8963" s="0" t="s">
        <v>627</v>
      </c>
      <c r="B8963" s="0" t="s">
        <v>86</v>
      </c>
      <c r="C8963" s="38" t="n">
        <f aca="false">Q!$D$7</f>
        <v>107.556</v>
      </c>
      <c r="D8963" s="38" t="n">
        <f aca="false">Q!$E$7</f>
        <v>128.725</v>
      </c>
      <c r="E8963" s="38" t="n">
        <f aca="false">Q!$P$7</f>
        <v>79.819</v>
      </c>
      <c r="N8963" s="38" t="n">
        <f aca="false">Q!$N$7</f>
        <v>60.14</v>
      </c>
      <c r="O8963" s="38" t="n">
        <f aca="false">Q!$O$7</f>
        <v>68.585</v>
      </c>
    </row>
    <row r="8964" customFormat="false" ht="17.15" hidden="false" customHeight="false" outlineLevel="0" collapsed="false">
      <c r="A8964" s="1" t="s">
        <v>628</v>
      </c>
      <c r="B8964" s="8" t="s">
        <v>86</v>
      </c>
      <c r="C8964" s="38" t="n">
        <f aca="false">Sens!$C$8963-Sens!$C$8960</f>
        <v>105.234994643026</v>
      </c>
      <c r="D8964" s="38" t="n">
        <f aca="false">Sens!$D$8963-Sens!$D$8960</f>
        <v>120.021229911349</v>
      </c>
      <c r="E8964" s="38" t="n">
        <f aca="false">Sens!$E$8963-Sens!$E$8960</f>
        <v>71.30864702443</v>
      </c>
      <c r="F8964" s="38" t="n">
        <f aca="false">Sens!$O$8964*(1+Sens!$F$8965)</f>
        <v>71.7692997942464</v>
      </c>
      <c r="G8964" s="38" t="n">
        <f aca="false">Sens!$E$8964+Sens!$F$8964</f>
        <v>143.077946818676</v>
      </c>
      <c r="H8964" s="38" t="n">
        <f aca="false">Sens!$G$8964*(1+Sens!$H$8965)</f>
        <v>161.017077079203</v>
      </c>
      <c r="I8964" s="38" t="n">
        <f aca="false">Sens!$H$8964*(1+Sens!$I$8965)</f>
        <v>178.769759521457</v>
      </c>
      <c r="J8964" s="38" t="n">
        <f aca="false">Sens!$I$8964*(1+Sens!$J$8965)</f>
        <v>195.775538045907</v>
      </c>
      <c r="K8964" s="38" t="n">
        <f aca="false">Sens!$J$8964*(1+Sens!$K$8965)</f>
        <v>211.43758108958</v>
      </c>
      <c r="L8964" s="38" t="n">
        <f aca="false">Sens!$K$8964*(1+Sens!$L$8965)</f>
        <v>228.352587576746</v>
      </c>
      <c r="M8964" s="38" t="n">
        <f aca="false">Sens!$L$8964*(1+Sens!$M$8965)</f>
        <v>246.620794582886</v>
      </c>
      <c r="N8964" s="38" t="n">
        <f aca="false">Sens!$N$8963-Sens!$N$8960</f>
        <v>57.0936804689721</v>
      </c>
      <c r="O8964" s="38" t="n">
        <f aca="false">Sens!$O$8963-Sens!$O$8960</f>
        <v>62.9275494423768</v>
      </c>
      <c r="P8964" s="5" t="s">
        <v>629</v>
      </c>
    </row>
    <row r="8965" customFormat="false" ht="17.15" hidden="false" customHeight="false" outlineLevel="0" collapsed="false">
      <c r="A8965" s="0" t="s">
        <v>630</v>
      </c>
      <c r="B8965" s="0" t="s">
        <v>52</v>
      </c>
      <c r="D8965" s="13" t="n">
        <f aca="false">Sens!$D$8964/Sens!$C$8964-1</f>
        <v>0.140506827776062</v>
      </c>
      <c r="E8965" s="13" t="n">
        <f aca="false">Sens!$E$8964/Sens!$N$8964-1</f>
        <v>0.248976181579029</v>
      </c>
      <c r="F8965" s="13" t="n">
        <f aca="false">Sens!$D$8965</f>
        <v>0.140506827776062</v>
      </c>
      <c r="G8965" s="13" t="n">
        <f aca="false">Sens!$G$8964/Sens!$D$8964-1</f>
        <v>0.19210532106993</v>
      </c>
      <c r="H8965" s="13" t="n">
        <f aca="false">Sens!$F$8965+(g_awso_lt-Sens!$F$8965)*1/4</f>
        <v>0.125380120832046</v>
      </c>
      <c r="I8965" s="13" t="n">
        <f aca="false">Sens!$F$8965+(g_awso_lt-Sens!$F$8965)*2/4</f>
        <v>0.110253413888031</v>
      </c>
      <c r="J8965" s="13" t="n">
        <f aca="false">Sens!$F$8965+(g_awso_lt-Sens!$F$8965)*3/4</f>
        <v>0.0951267069440154</v>
      </c>
      <c r="K8965" s="13" t="n">
        <f aca="false">Sens!$F$8965+(g_awso_lt-Sens!$F$8965)*4/4</f>
        <v>0.08</v>
      </c>
      <c r="L8965" s="13" t="n">
        <f aca="false">g_awso_lt</f>
        <v>0.08</v>
      </c>
      <c r="M8965" s="13" t="n">
        <f aca="false">g_awso_lt</f>
        <v>0.08</v>
      </c>
      <c r="P8965" s="5" t="s">
        <v>631</v>
      </c>
    </row>
    <row r="8966" customFormat="false" ht="17.15" hidden="false" customHeight="false" outlineLevel="0" collapsed="false">
      <c r="A8966" s="1" t="s">
        <v>632</v>
      </c>
    </row>
    <row r="8967" customFormat="false" ht="17.15" hidden="false" customHeight="false" outlineLevel="0" collapsed="false">
      <c r="A8967" s="0" t="s">
        <v>633</v>
      </c>
      <c r="B8967" s="0" t="s">
        <v>86</v>
      </c>
      <c r="F8967" s="38" t="n">
        <f aca="false">cx_rt*Sens!$F$8932+cx_awso*Sens!$F$8964</f>
        <v>34.9734495387866</v>
      </c>
    </row>
    <row r="8968" customFormat="false" ht="17.15" hidden="false" customHeight="false" outlineLevel="0" collapsed="false">
      <c r="A8968" s="0" t="s">
        <v>634</v>
      </c>
      <c r="B8968" s="0" t="s">
        <v>52</v>
      </c>
      <c r="C8968" s="13" t="n">
        <f aca="false">tk_cx_h100/(tk_cx_h100+tk_fac*(1-colo_sh))</f>
        <v>0.730756458006641</v>
      </c>
      <c r="D8968" s="13" t="n">
        <f aca="false">tk_cx_h100/(tk_cx_h100+tk_fac*(1-colo_sh))</f>
        <v>0.730756458006641</v>
      </c>
      <c r="E8968" s="13" t="n">
        <f aca="false">Sens!$F$8968</f>
        <v>0.760792334328868</v>
      </c>
      <c r="F8968" s="13" t="n">
        <f aca="false">Sens!$F$8951/(Sens!$F$8951+tk_fac*(1-colo_sh))</f>
        <v>0.760792334328868</v>
      </c>
      <c r="G8968" s="13" t="n">
        <f aca="false">Sens!$G$8951/(Sens!$G$8951+tk_fac*(1-colo_sh))</f>
        <v>0.760792334328868</v>
      </c>
      <c r="H8968" s="13" t="n">
        <f aca="false">Sens!$H$8951/(Sens!$H$8951+tk_fac*(1-colo_sh))</f>
        <v>0.768110668862996</v>
      </c>
      <c r="I8968" s="13" t="n">
        <f aca="false">Sens!$I$8951/(Sens!$I$8951+tk_fac*(1-colo_sh))</f>
        <v>0.77499450139483</v>
      </c>
      <c r="J8968" s="13" t="n">
        <f aca="false">Sens!$J$8951/(Sens!$J$8951+tk_fac*(1-colo_sh))</f>
        <v>0.77499450139483</v>
      </c>
      <c r="K8968" s="13" t="n">
        <f aca="false">Sens!$K$8951/(Sens!$K$8951+tk_fac*(1-colo_sh))</f>
        <v>0.77499450139483</v>
      </c>
      <c r="L8968" s="13" t="n">
        <f aca="false">Sens!$L$8951/(Sens!$L$8951+tk_fac*(1-colo_sh))</f>
        <v>0.77499450139483</v>
      </c>
      <c r="M8968" s="13" t="n">
        <f aca="false">Sens!$M$8951/(Sens!$M$8951+tk_fac*(1-colo_sh))</f>
        <v>0.77499450139483</v>
      </c>
    </row>
    <row r="8969" customFormat="false" ht="17.15" hidden="false" customHeight="false" outlineLevel="0" collapsed="false">
      <c r="A8969" s="1" t="s">
        <v>635</v>
      </c>
      <c r="B8969" s="8" t="s">
        <v>86</v>
      </c>
      <c r="C8969" s="38" t="n">
        <f aca="false">Q!$D$46-cx_rt*Q!$D$16-cx_awso*Sens!$C$8964</f>
        <v>25.2781053077374</v>
      </c>
      <c r="D8969" s="38" t="n">
        <f aca="false">Q!$E$46-cx_rt*Q!$E$16-cx_awso*Sens!$D$8964</f>
        <v>69.5686316310026</v>
      </c>
      <c r="E8969" s="38" t="n">
        <f aca="false">Q!$P$46-cx_rt*Q!$P$16-cx_awso*Sens!$E$8964</f>
        <v>64.1899206485108</v>
      </c>
      <c r="F8969" s="38" t="n">
        <f aca="false">capex_g26-Q!$P$46-Sens!$F$8967</f>
        <v>88.7165504612134</v>
      </c>
      <c r="G8969" s="38" t="n">
        <f aca="false">Sens!$E$8969+Sens!$F$8969</f>
        <v>152.906471109724</v>
      </c>
      <c r="H8969" s="38" t="n">
        <f aca="false">Sens!$H$8946*(Sens!$H$8951+tk_fac*(1-colo_sh))/1000+Sens!$H$8970</f>
        <v>198.57136494475</v>
      </c>
      <c r="I8969" s="38" t="n">
        <f aca="false">Sens!$I$8946*(Sens!$I$8951+tk_fac*(1-colo_sh))/1000+Sens!$I$8970</f>
        <v>204.6464699105</v>
      </c>
      <c r="J8969" s="38" t="n">
        <f aca="false">Sens!$J$8946*(Sens!$J$8951+tk_fac*(1-colo_sh))/1000+Sens!$J$8970</f>
        <v>209.8832381105</v>
      </c>
      <c r="K8969" s="38" t="n">
        <f aca="false">Sens!$K$8946*(Sens!$K$8951+tk_fac*(1-colo_sh))/1000+Sens!$K$8970</f>
        <v>155.238385275201</v>
      </c>
      <c r="L8969" s="38" t="n">
        <f aca="false">Sens!$L$8946*(Sens!$L$8951+tk_fac*(1-colo_sh))/1000+Sens!$L$8970</f>
        <v>132.014141639902</v>
      </c>
      <c r="M8969" s="38" t="n">
        <f aca="false">Sens!$M$8946*(Sens!$M$8951+tk_fac*(1-colo_sh))/1000+Sens!$M$8970</f>
        <v>132.230981659852</v>
      </c>
      <c r="P8969" s="5" t="s">
        <v>636</v>
      </c>
      <c r="R8969" s="38" t="n">
        <f aca="false">Q!$C$46-cx_rt*Q!$C$16-cx_awso*(Q!$C$7-mw_ye23/2*rpm_open/1000)</f>
        <v>1.50429979529945</v>
      </c>
      <c r="S8969" s="38" t="n">
        <f aca="false">Sens!$C$8969</f>
        <v>25.2781053077374</v>
      </c>
      <c r="T8969" s="38" t="n">
        <f aca="false">Sens!$D$8969</f>
        <v>69.5686316310026</v>
      </c>
      <c r="U8969" s="38" t="n">
        <f aca="false">Sens!$G$8969</f>
        <v>152.906471109724</v>
      </c>
      <c r="V8969" s="38" t="n">
        <f aca="false">Sens!$H$8969</f>
        <v>198.57136494475</v>
      </c>
      <c r="W8969" s="38" t="n">
        <f aca="false">Sens!$I$8969</f>
        <v>204.6464699105</v>
      </c>
      <c r="X8969" s="38" t="n">
        <f aca="false">Sens!$J$8969</f>
        <v>209.8832381105</v>
      </c>
      <c r="Y8969" s="38" t="n">
        <f aca="false">Sens!$K$8969</f>
        <v>155.238385275201</v>
      </c>
      <c r="Z8969" s="38" t="n">
        <f aca="false">Sens!$L$8969</f>
        <v>132.014141639902</v>
      </c>
      <c r="AA8969" s="38" t="n">
        <f aca="false">Sens!$M$8969</f>
        <v>132.230981659852</v>
      </c>
    </row>
    <row r="8970" customFormat="false" ht="17.15" hidden="false" customHeight="false" outlineLevel="0" collapsed="false">
      <c r="A8970" s="0" t="s">
        <v>637</v>
      </c>
      <c r="B8970" s="0" t="s">
        <v>86</v>
      </c>
      <c r="H8970" s="38" t="n">
        <f aca="false">SUMPRODUCT(--(Sens!$R$8939:$AA$8939=2027-tk_life),Sens!$R$8946:$AA$8946)*Sens!$H$8951/1000</f>
        <v>0</v>
      </c>
      <c r="I8970" s="38" t="n">
        <f aca="false">SUMPRODUCT(--(Sens!$R$8939:$AA$8939=2028-tk_life),Sens!$R$8946:$AA$8946)*Sens!$I$8951/1000</f>
        <v>0</v>
      </c>
      <c r="J8970" s="38" t="n">
        <f aca="false">SUMPRODUCT(--(Sens!$R$8939:$AA$8939=2029-tk_life),Sens!$R$8946:$AA$8946)*Sens!$J$8951/1000</f>
        <v>5.2367682</v>
      </c>
      <c r="K8970" s="38" t="n">
        <f aca="false">SUMPRODUCT(--(Sens!$R$8939:$AA$8939=2030-tk_life),Sens!$R$8946:$AA$8946)*Sens!$K$8951/1000</f>
        <v>10.4735364</v>
      </c>
      <c r="L8970" s="38" t="n">
        <f aca="false">SUMPRODUCT(--(Sens!$R$8939:$AA$8939=2031-tk_life),Sens!$R$8946:$AA$8946)*Sens!$L$8951/1000</f>
        <v>47.1309138</v>
      </c>
      <c r="M8970" s="38" t="n">
        <f aca="false">SUMPRODUCT(--(Sens!$R$8939:$AA$8939=2032-tk_life),Sens!$R$8946:$AA$8946)*Sens!$M$8951/1000</f>
        <v>107.22937485525</v>
      </c>
    </row>
    <row r="8971" customFormat="false" ht="17.15" hidden="false" customHeight="false" outlineLevel="0" collapsed="false">
      <c r="A8971" s="0" t="s">
        <v>638</v>
      </c>
      <c r="B8971" s="0" t="s">
        <v>86</v>
      </c>
      <c r="C8971" s="38" t="n">
        <f aca="false">MIN(Sens!$C$8969,Sens!$C$8946*(tk_cx_h100+tk_fac*(1-colo_sh))/1000)</f>
        <v>11.2938642</v>
      </c>
      <c r="D8971" s="38" t="n">
        <f aca="false">MIN(Sens!$D$8969,Sens!$D$8946*(tk_cx_h100+tk_fac*(1-colo_sh))/1000)</f>
        <v>50.8223889</v>
      </c>
      <c r="E8971" s="38" t="n">
        <f aca="false">MIN(Sens!$E$8969,Sens!$E$8946*(Sens!$F$8951+tk_fac*(1-colo_sh))/1000)</f>
        <v>33.8985792</v>
      </c>
      <c r="F8971" s="38" t="n">
        <f aca="false">Sens!$F$8969</f>
        <v>88.7165504612134</v>
      </c>
      <c r="G8971" s="38" t="n">
        <f aca="false">Sens!$E$8971+Sens!$F$8971</f>
        <v>122.615129661213</v>
      </c>
      <c r="H8971" s="38" t="n">
        <f aca="false">Sens!$H$8969</f>
        <v>198.57136494475</v>
      </c>
      <c r="I8971" s="38" t="n">
        <f aca="false">Sens!$I$8969</f>
        <v>204.6464699105</v>
      </c>
      <c r="J8971" s="38" t="n">
        <f aca="false">Sens!$J$8969</f>
        <v>209.8832381105</v>
      </c>
      <c r="K8971" s="38" t="n">
        <f aca="false">Sens!$K$8969</f>
        <v>155.238385275201</v>
      </c>
      <c r="L8971" s="38" t="n">
        <f aca="false">Sens!$L$8969</f>
        <v>132.014141639902</v>
      </c>
      <c r="M8971" s="38" t="n">
        <f aca="false">Sens!$M$8969</f>
        <v>132.230981659852</v>
      </c>
      <c r="P8971" s="5" t="s">
        <v>639</v>
      </c>
      <c r="R8971" s="38" t="n">
        <f aca="false">MIN(Sens!$R$8969,Sens!$R$8946*(tk_cx_h100+tk_fac*(1-colo_sh))/1000)</f>
        <v>1.50429979529945</v>
      </c>
      <c r="S8971" s="38" t="n">
        <f aca="false">Sens!$C$8971</f>
        <v>11.2938642</v>
      </c>
      <c r="T8971" s="38" t="n">
        <f aca="false">Sens!$D$8971</f>
        <v>50.8223889</v>
      </c>
      <c r="U8971" s="38" t="n">
        <f aca="false">Sens!$G$8971</f>
        <v>122.615129661213</v>
      </c>
      <c r="V8971" s="38" t="n">
        <f aca="false">Sens!$H$8971</f>
        <v>198.57136494475</v>
      </c>
      <c r="W8971" s="38" t="n">
        <f aca="false">Sens!$I$8971</f>
        <v>204.6464699105</v>
      </c>
      <c r="X8971" s="38" t="n">
        <f aca="false">Sens!$J$8971</f>
        <v>209.8832381105</v>
      </c>
      <c r="Y8971" s="38" t="n">
        <f aca="false">Sens!$K$8971</f>
        <v>155.238385275201</v>
      </c>
      <c r="Z8971" s="38" t="n">
        <f aca="false">Sens!$L$8971</f>
        <v>132.014141639902</v>
      </c>
      <c r="AA8971" s="38" t="n">
        <f aca="false">Sens!$M$8971</f>
        <v>132.230981659852</v>
      </c>
    </row>
    <row r="8972" customFormat="false" ht="17.15" hidden="false" customHeight="false" outlineLevel="0" collapsed="false">
      <c r="A8972" s="5" t="s">
        <v>640</v>
      </c>
      <c r="B8972" s="0" t="s">
        <v>86</v>
      </c>
      <c r="C8972" s="38" t="n">
        <f aca="false">Sens!$C$8969-Sens!$C$8971</f>
        <v>13.9842411077374</v>
      </c>
      <c r="D8972" s="38" t="n">
        <f aca="false">Sens!$D$8969-Sens!$D$8971</f>
        <v>18.7462427310026</v>
      </c>
      <c r="E8972" s="38" t="n">
        <f aca="false">Sens!$E$8969-Sens!$E$8971</f>
        <v>30.2913414485108</v>
      </c>
      <c r="F8972" s="38" t="n">
        <f aca="false">Sens!$F$8969-Sens!$F$8971</f>
        <v>0</v>
      </c>
      <c r="G8972" s="38" t="n">
        <f aca="false">Sens!$G$8969-Sens!$G$8971</f>
        <v>30.2913414485108</v>
      </c>
      <c r="H8972" s="38" t="n">
        <f aca="false">Sens!$H$8969-Sens!$H$8971</f>
        <v>0</v>
      </c>
      <c r="I8972" s="38" t="n">
        <f aca="false">Sens!$I$8969-Sens!$I$8971</f>
        <v>0</v>
      </c>
      <c r="J8972" s="38" t="n">
        <f aca="false">Sens!$J$8969-Sens!$J$8971</f>
        <v>0</v>
      </c>
      <c r="K8972" s="38" t="n">
        <f aca="false">Sens!$K$8969-Sens!$K$8971</f>
        <v>0</v>
      </c>
      <c r="L8972" s="38" t="n">
        <f aca="false">Sens!$L$8969-Sens!$L$8971</f>
        <v>0</v>
      </c>
      <c r="M8972" s="38" t="n">
        <f aca="false">Sens!$M$8969-Sens!$M$8971</f>
        <v>0</v>
      </c>
      <c r="P8972" s="5" t="s">
        <v>641</v>
      </c>
      <c r="R8972" s="38" t="n">
        <f aca="false">Sens!$R$8969-Sens!$R$8971</f>
        <v>0</v>
      </c>
      <c r="S8972" s="38" t="n">
        <f aca="false">Sens!$S$8969-Sens!$S$8971</f>
        <v>13.9842411077374</v>
      </c>
      <c r="T8972" s="38" t="n">
        <f aca="false">Sens!$T$8969-Sens!$T$8971</f>
        <v>18.7462427310026</v>
      </c>
      <c r="U8972" s="38" t="n">
        <f aca="false">Sens!$U$8969-Sens!$U$8971</f>
        <v>30.2913414485108</v>
      </c>
      <c r="V8972" s="38" t="n">
        <f aca="false">Sens!$V$8969-Sens!$V$8971</f>
        <v>0</v>
      </c>
      <c r="W8972" s="38" t="n">
        <f aca="false">Sens!$W$8969-Sens!$W$8971</f>
        <v>0</v>
      </c>
      <c r="X8972" s="38" t="n">
        <f aca="false">Sens!$X$8969-Sens!$X$8971</f>
        <v>0</v>
      </c>
      <c r="Y8972" s="38" t="n">
        <f aca="false">Sens!$Y$8969-Sens!$Y$8971</f>
        <v>0</v>
      </c>
      <c r="Z8972" s="38" t="n">
        <f aca="false">Sens!$Z$8969-Sens!$Z$8971</f>
        <v>0</v>
      </c>
      <c r="AA8972" s="38" t="n">
        <f aca="false">Sens!$AA$8969-Sens!$AA$8971</f>
        <v>0</v>
      </c>
    </row>
    <row r="8973" customFormat="false" ht="17.15" hidden="false" customHeight="false" outlineLevel="0" collapsed="false">
      <c r="A8973" s="5" t="s">
        <v>642</v>
      </c>
      <c r="B8973" s="0" t="s">
        <v>86</v>
      </c>
      <c r="R8973" s="38" t="n">
        <f aca="false">Sens!$R$8972*Sens!$C$8968</f>
        <v>0</v>
      </c>
      <c r="S8973" s="38" t="n">
        <f aca="false">Sens!$S$8972*Sens!$C$8968</f>
        <v>10.219074499801</v>
      </c>
      <c r="T8973" s="38" t="n">
        <f aca="false">Sens!$T$8972*Sens!$C$8968</f>
        <v>13.6989379390402</v>
      </c>
      <c r="U8973" s="38" t="n">
        <f aca="false">Sens!$U$8972*Sens!$E$8968</f>
        <v>23.0454203705653</v>
      </c>
      <c r="V8973" s="38" t="n">
        <f aca="false">Sens!$V$8972*Sens!$E$8968</f>
        <v>0</v>
      </c>
      <c r="W8973" s="38" t="n">
        <f aca="false">Sens!$W$8972*Sens!$E$8968</f>
        <v>0</v>
      </c>
      <c r="X8973" s="38" t="n">
        <f aca="false">Sens!$X$8972*Sens!$E$8968</f>
        <v>0</v>
      </c>
      <c r="Y8973" s="38" t="n">
        <f aca="false">Sens!$Y$8972*Sens!$E$8968</f>
        <v>0</v>
      </c>
      <c r="Z8973" s="38" t="n">
        <f aca="false">Sens!$Z$8972*Sens!$E$8968</f>
        <v>0</v>
      </c>
      <c r="AA8973" s="38" t="n">
        <f aca="false">Sens!$AA$8972*Sens!$E$8968</f>
        <v>0</v>
      </c>
    </row>
    <row r="8974" customFormat="false" ht="17.15" hidden="false" customHeight="false" outlineLevel="0" collapsed="false">
      <c r="A8974" s="5" t="s">
        <v>643</v>
      </c>
      <c r="B8974" s="0" t="s">
        <v>86</v>
      </c>
      <c r="R8974" s="38" t="n">
        <f aca="false">SUMPRODUCT(--(Sens!$R$8939:$AA$8939=2023-cip_lag),Sens!$R$8973:$AA$8973)</f>
        <v>0</v>
      </c>
      <c r="S8974" s="38" t="n">
        <f aca="false">SUMPRODUCT(--(Sens!$R$8939:$AA$8939=2024-cip_lag),Sens!$R$8973:$AA$8973)</f>
        <v>0</v>
      </c>
      <c r="T8974" s="38" t="n">
        <f aca="false">SUMPRODUCT(--(Sens!$R$8939:$AA$8939=2025-cip_lag),Sens!$R$8973:$AA$8973)</f>
        <v>10.219074499801</v>
      </c>
      <c r="U8974" s="38" t="n">
        <f aca="false">SUMPRODUCT(--(Sens!$R$8939:$AA$8939=2026-cip_lag),Sens!$R$8973:$AA$8973)</f>
        <v>13.6989379390402</v>
      </c>
      <c r="V8974" s="38" t="n">
        <f aca="false">SUMPRODUCT(--(Sens!$R$8939:$AA$8939=2027-cip_lag),Sens!$R$8973:$AA$8973)</f>
        <v>23.0454203705653</v>
      </c>
      <c r="W8974" s="38" t="n">
        <f aca="false">SUMPRODUCT(--(Sens!$R$8939:$AA$8939=2028-cip_lag),Sens!$R$8973:$AA$8973)</f>
        <v>0</v>
      </c>
      <c r="X8974" s="38" t="n">
        <f aca="false">SUMPRODUCT(--(Sens!$R$8939:$AA$8939=2029-cip_lag),Sens!$R$8973:$AA$8973)</f>
        <v>0</v>
      </c>
      <c r="Y8974" s="38" t="n">
        <f aca="false">SUMPRODUCT(--(Sens!$R$8939:$AA$8939=2030-cip_lag),Sens!$R$8973:$AA$8973)</f>
        <v>0</v>
      </c>
      <c r="Z8974" s="38" t="n">
        <f aca="false">SUMPRODUCT(--(Sens!$R$8939:$AA$8939=2031-cip_lag),Sens!$R$8973:$AA$8973)</f>
        <v>0</v>
      </c>
      <c r="AA8974" s="38" t="n">
        <f aca="false">SUMPRODUCT(--(Sens!$R$8939:$AA$8939=2032-cip_lag),Sens!$R$8973:$AA$8973)</f>
        <v>0</v>
      </c>
    </row>
    <row r="8975" customFormat="false" ht="15" hidden="false" customHeight="false" outlineLevel="0" collapsed="false">
      <c r="A8975" s="5" t="s">
        <v>644</v>
      </c>
      <c r="B8975" s="0" t="s">
        <v>86</v>
      </c>
      <c r="R8975" s="38" t="n">
        <f aca="false">SUMPRODUCT(--(Sens!$R$8939:$AA$8939=2023-cip_lag),Sens!$R$8972:$AA$8972)-Sens!$R$8974</f>
        <v>0</v>
      </c>
      <c r="S8975" s="38" t="n">
        <f aca="false">SUMPRODUCT(--(Sens!$R$8939:$AA$8939=2024-cip_lag),Sens!$R$8972:$AA$8972)-Sens!$S$8974</f>
        <v>0</v>
      </c>
      <c r="T8975" s="38" t="n">
        <f aca="false">SUMPRODUCT(--(Sens!$R$8939:$AA$8939=2025-cip_lag),Sens!$R$8972:$AA$8972)-Sens!$T$8974</f>
        <v>3.76516660793636</v>
      </c>
      <c r="U8975" s="38" t="n">
        <f aca="false">SUMPRODUCT(--(Sens!$R$8939:$AA$8939=2026-cip_lag),Sens!$R$8972:$AA$8972)-Sens!$U$8974</f>
        <v>5.04730479196242</v>
      </c>
      <c r="V8975" s="38" t="n">
        <f aca="false">SUMPRODUCT(--(Sens!$R$8939:$AA$8939=2027-cip_lag),Sens!$R$8972:$AA$8972)-Sens!$V$8974</f>
        <v>7.24592107794548</v>
      </c>
      <c r="W8975" s="38" t="n">
        <f aca="false">SUMPRODUCT(--(Sens!$R$8939:$AA$8939=2028-cip_lag),Sens!$R$8972:$AA$8972)-Sens!$W$8974</f>
        <v>0</v>
      </c>
      <c r="X8975" s="38" t="n">
        <f aca="false">SUMPRODUCT(--(Sens!$R$8939:$AA$8939=2029-cip_lag),Sens!$R$8972:$AA$8972)-Sens!$X$8974</f>
        <v>0</v>
      </c>
      <c r="Y8975" s="38" t="n">
        <f aca="false">SUMPRODUCT(--(Sens!$R$8939:$AA$8939=2030-cip_lag),Sens!$R$8972:$AA$8972)-Sens!$Y$8974</f>
        <v>0</v>
      </c>
      <c r="Z8975" s="38" t="n">
        <f aca="false">SUMPRODUCT(--(Sens!$R$8939:$AA$8939=2031-cip_lag),Sens!$R$8972:$AA$8972)-Sens!$Z$8974</f>
        <v>0</v>
      </c>
      <c r="AA8975" s="38" t="n">
        <f aca="false">SUMPRODUCT(--(Sens!$R$8939:$AA$8939=2032-cip_lag),Sens!$R$8972:$AA$8972)-Sens!$AA$8974</f>
        <v>0</v>
      </c>
    </row>
    <row r="8976" customFormat="false" ht="17.15" hidden="false" customHeight="false" outlineLevel="0" collapsed="false">
      <c r="A8976" s="5" t="s">
        <v>645</v>
      </c>
      <c r="B8976" s="0" t="s">
        <v>86</v>
      </c>
      <c r="C8976" s="38" t="n">
        <f aca="false">Sens!$C$8971*Sens!$C$8968</f>
        <v>8.2530642</v>
      </c>
      <c r="D8976" s="38" t="n">
        <f aca="false">Sens!$D$8971*Sens!$D$8968</f>
        <v>37.1387889</v>
      </c>
      <c r="E8976" s="38" t="n">
        <f aca="false">Sens!$E$8971*Sens!$E$8968</f>
        <v>25.7897792</v>
      </c>
      <c r="F8976" s="38" t="n">
        <f aca="false">Sens!$F$8971*Sens!$F$8968</f>
        <v>67.4948715189913</v>
      </c>
      <c r="G8976" s="38" t="n">
        <f aca="false">Sens!$E$8976+Sens!$F$8976</f>
        <v>93.2846507189913</v>
      </c>
      <c r="H8976" s="38" t="n">
        <f aca="false">(Sens!$H$8971-Sens!$H$8970)*Sens!$H$8968+Sens!$H$8970</f>
        <v>152.52478394475</v>
      </c>
      <c r="I8976" s="38" t="n">
        <f aca="false">(Sens!$I$8971-Sens!$I$8970)*Sens!$I$8968+Sens!$I$8970</f>
        <v>158.5998889105</v>
      </c>
      <c r="J8976" s="38" t="n">
        <f aca="false">(Sens!$J$8971-Sens!$J$8970)*Sens!$J$8968+Sens!$J$8970</f>
        <v>163.8366571105</v>
      </c>
      <c r="K8976" s="38" t="n">
        <f aca="false">(Sens!$K$8971-Sens!$K$8970)*Sens!$K$8968+Sens!$K$8970</f>
        <v>122.665498273534</v>
      </c>
      <c r="L8976" s="38" t="n">
        <f aca="false">(Sens!$L$8971-Sens!$L$8970)*Sens!$L$8968+Sens!$L$8970</f>
        <v>112.914948636568</v>
      </c>
      <c r="M8976" s="38" t="n">
        <f aca="false">(Sens!$M$8971-Sens!$M$8970)*Sens!$M$8968+Sens!$M$8970</f>
        <v>126.605482654852</v>
      </c>
      <c r="R8976" s="38" t="n">
        <f aca="false">Sens!$R$8971*Sens!$C$8968</f>
        <v>1.09927679019314</v>
      </c>
      <c r="S8976" s="38" t="n">
        <f aca="false">Sens!$C$8976</f>
        <v>8.2530642</v>
      </c>
      <c r="T8976" s="38" t="n">
        <f aca="false">Sens!$D$8976</f>
        <v>37.1387889</v>
      </c>
      <c r="U8976" s="38" t="n">
        <f aca="false">Sens!$G$8976</f>
        <v>93.2846507189913</v>
      </c>
      <c r="V8976" s="38" t="n">
        <f aca="false">Sens!$H$8976</f>
        <v>152.52478394475</v>
      </c>
      <c r="W8976" s="38" t="n">
        <f aca="false">Sens!$I$8976</f>
        <v>158.5998889105</v>
      </c>
      <c r="X8976" s="38" t="n">
        <f aca="false">Sens!$J$8976</f>
        <v>163.8366571105</v>
      </c>
      <c r="Y8976" s="38" t="n">
        <f aca="false">Sens!$K$8976</f>
        <v>122.665498273534</v>
      </c>
      <c r="Z8976" s="38" t="n">
        <f aca="false">Sens!$L$8976</f>
        <v>112.914948636568</v>
      </c>
      <c r="AA8976" s="38" t="n">
        <f aca="false">Sens!$M$8976</f>
        <v>126.605482654852</v>
      </c>
    </row>
    <row r="8977" customFormat="false" ht="15" hidden="false" customHeight="false" outlineLevel="0" collapsed="false">
      <c r="A8977" s="5" t="s">
        <v>646</v>
      </c>
      <c r="B8977" s="0" t="s">
        <v>86</v>
      </c>
      <c r="C8977" s="38" t="n">
        <f aca="false">Sens!$C$8971-Sens!$C$8976</f>
        <v>3.0408</v>
      </c>
      <c r="D8977" s="38" t="n">
        <f aca="false">Sens!$D$8971-Sens!$D$8976</f>
        <v>13.6836</v>
      </c>
      <c r="E8977" s="38" t="n">
        <f aca="false">Sens!$E$8971-Sens!$E$8976</f>
        <v>8.1088</v>
      </c>
      <c r="F8977" s="38" t="n">
        <f aca="false">Sens!$F$8971-Sens!$F$8976</f>
        <v>21.2216789422221</v>
      </c>
      <c r="G8977" s="38" t="n">
        <f aca="false">Sens!$G$8971-Sens!$G$8976</f>
        <v>29.3304789422221</v>
      </c>
      <c r="H8977" s="38" t="n">
        <f aca="false">Sens!$H$8971-Sens!$H$8976</f>
        <v>46.046581</v>
      </c>
      <c r="I8977" s="38" t="n">
        <f aca="false">Sens!$I$8971-Sens!$I$8976</f>
        <v>46.046581</v>
      </c>
      <c r="J8977" s="38" t="n">
        <f aca="false">Sens!$J$8971-Sens!$J$8976</f>
        <v>46.046581</v>
      </c>
      <c r="K8977" s="38" t="n">
        <f aca="false">Sens!$K$8971-Sens!$K$8976</f>
        <v>32.5728870016667</v>
      </c>
      <c r="L8977" s="38" t="n">
        <f aca="false">Sens!$L$8971-Sens!$L$8976</f>
        <v>19.0991930033334</v>
      </c>
      <c r="M8977" s="38" t="n">
        <f aca="false">Sens!$M$8971-Sens!$M$8976</f>
        <v>5.62549900499998</v>
      </c>
      <c r="R8977" s="38" t="n">
        <f aca="false">Sens!$R$8971-Sens!$R$8976</f>
        <v>0.405023005106309</v>
      </c>
      <c r="S8977" s="38" t="n">
        <f aca="false">Sens!$S$8971-Sens!$S$8976</f>
        <v>3.0408</v>
      </c>
      <c r="T8977" s="38" t="n">
        <f aca="false">Sens!$T$8971-Sens!$T$8976</f>
        <v>13.6836</v>
      </c>
      <c r="U8977" s="38" t="n">
        <f aca="false">Sens!$U$8971-Sens!$U$8976</f>
        <v>29.3304789422221</v>
      </c>
      <c r="V8977" s="38" t="n">
        <f aca="false">Sens!$V$8971-Sens!$V$8976</f>
        <v>46.046581</v>
      </c>
      <c r="W8977" s="38" t="n">
        <f aca="false">Sens!$W$8971-Sens!$W$8976</f>
        <v>46.046581</v>
      </c>
      <c r="X8977" s="38" t="n">
        <f aca="false">Sens!$X$8971-Sens!$X$8976</f>
        <v>46.046581</v>
      </c>
      <c r="Y8977" s="38" t="n">
        <f aca="false">Sens!$Y$8971-Sens!$Y$8976</f>
        <v>32.5728870016667</v>
      </c>
      <c r="Z8977" s="38" t="n">
        <f aca="false">Sens!$Z$8971-Sens!$Z$8976</f>
        <v>19.0991930033334</v>
      </c>
      <c r="AA8977" s="38" t="n">
        <f aca="false">Sens!$AA$8971-Sens!$AA$8976</f>
        <v>5.62549900499998</v>
      </c>
    </row>
    <row r="8978" customFormat="false" ht="17.15" hidden="false" customHeight="false" outlineLevel="0" collapsed="false">
      <c r="A8978" s="0" t="s">
        <v>647</v>
      </c>
      <c r="B8978" s="0" t="s">
        <v>52</v>
      </c>
      <c r="C8978" s="13" t="n">
        <f aca="false">Sens!$C$8969/Sens!$C$9094</f>
        <v>0.325505489553393</v>
      </c>
      <c r="D8978" s="13" t="n">
        <f aca="false">Sens!$D$8969/Sens!$D$9094</f>
        <v>0.54214956071542</v>
      </c>
      <c r="E8978" s="13" t="n">
        <f aca="false">Sens!$E$8969/Sens!$E$9094</f>
        <v>0.666492790452817</v>
      </c>
      <c r="F8978" s="13" t="n">
        <f aca="false">Sens!$F$8969/Sens!$F$9094</f>
        <v>0.71724917504417</v>
      </c>
      <c r="G8978" s="13" t="n">
        <f aca="false">Sens!$G$8969/Sens!$G$9094</f>
        <v>0.69502941413511</v>
      </c>
      <c r="H8978" s="13" t="n">
        <f aca="false">Sens!$H$8969/Sens!$H$9094</f>
        <v>0.726376041178204</v>
      </c>
      <c r="I8978" s="13" t="n">
        <f aca="false">Sens!$I$8969/Sens!$I$9094</f>
        <v>0.713099092661699</v>
      </c>
      <c r="J8978" s="13" t="n">
        <f aca="false">Sens!$J$8969/Sens!$J$9094</f>
        <v>0.701208348786245</v>
      </c>
      <c r="K8978" s="13" t="n">
        <f aca="false">Sens!$K$8969/Sens!$K$9094</f>
        <v>0.618338844562383</v>
      </c>
      <c r="L8978" s="13" t="n">
        <f aca="false">Sens!$L$8969/Sens!$L$9094</f>
        <v>0.562489158462506</v>
      </c>
      <c r="M8978" s="13" t="n">
        <f aca="false">Sens!$M$8969/Sens!$M$9094</f>
        <v>0.545751190895923</v>
      </c>
    </row>
    <row r="8979" customFormat="false" ht="17.15" hidden="false" customHeight="false" outlineLevel="0" collapsed="false">
      <c r="A8979" s="0" t="s">
        <v>648</v>
      </c>
      <c r="B8979" s="0" t="s">
        <v>86</v>
      </c>
      <c r="C8979" s="38" t="n">
        <f aca="false">Sens!$S$8979</f>
        <v>0.183212798365523</v>
      </c>
      <c r="D8979" s="38" t="n">
        <f aca="false">Sens!$T$8979</f>
        <v>1.55872349836552</v>
      </c>
      <c r="E8979" s="38" t="n">
        <f aca="false">Sens!$G$8979/2</f>
        <v>4.72585036583285</v>
      </c>
      <c r="F8979" s="38" t="n">
        <f aca="false">Sens!$G$8979/2</f>
        <v>4.72585036583285</v>
      </c>
      <c r="G8979" s="38" t="n">
        <f aca="false">Sens!$U$8979</f>
        <v>9.4517007316657</v>
      </c>
      <c r="H8979" s="38" t="n">
        <f aca="false">Sens!$V$8979</f>
        <v>27.2822988413376</v>
      </c>
      <c r="I8979" s="38" t="n">
        <f aca="false">Sens!$W$8979</f>
        <v>56.5439995605568</v>
      </c>
      <c r="J8979" s="38" t="n">
        <f aca="false">Sens!$X$8979</f>
        <v>82.9773143789735</v>
      </c>
      <c r="K8979" s="38" t="n">
        <f aca="false">Sens!$Y$8979</f>
        <v>110.100211099025</v>
      </c>
      <c r="L8979" s="38" t="n">
        <f aca="false">Sens!$Z$8979</f>
        <v>129.16895011128</v>
      </c>
      <c r="M8979" s="38" t="n">
        <f aca="false">Sens!$AA$8979</f>
        <v>140.095130984075</v>
      </c>
      <c r="N8979" s="38" t="n">
        <f aca="false">Sens!$D$8979/2</f>
        <v>0.779361749182762</v>
      </c>
      <c r="O8979" s="38" t="n">
        <f aca="false">Sens!$D$8979/2</f>
        <v>0.779361749182762</v>
      </c>
      <c r="R8979" s="38" t="n">
        <f aca="false">(SUMPRODUCT(--(Sens!$R$8939:$AA$8939&lt;Sens!R$8939),--(Sens!$R$8939:$AA$8939&gt;=Sens!R$8939-tk_life),Sens!$R$8976:$AA$8976)+SUMPRODUCT(--(Sens!$R$8939:$AA$8939&lt;Sens!R$8939),--(Sens!$R$8939:$AA$8939&gt;=Sens!R$8939-tk_life),Sens!$R$8974:$AA$8974))/tk_life</f>
        <v>0</v>
      </c>
      <c r="S8979" s="38" t="n">
        <f aca="false">(SUMPRODUCT(--(Sens!$R$8939:$AA$8939&lt;Sens!S$8939),--(Sens!$R$8939:$AA$8939&gt;=Sens!S$8939-tk_life),Sens!$R$8976:$AA$8976)+SUMPRODUCT(--(Sens!$R$8939:$AA$8939&lt;Sens!S$8939),--(Sens!$R$8939:$AA$8939&gt;=Sens!S$8939-tk_life),Sens!$R$8974:$AA$8974))/tk_life</f>
        <v>0.183212798365523</v>
      </c>
      <c r="T8979" s="38" t="n">
        <f aca="false">(SUMPRODUCT(--(Sens!$R$8939:$AA$8939&lt;Sens!T$8939),--(Sens!$R$8939:$AA$8939&gt;=Sens!T$8939-tk_life),Sens!$R$8976:$AA$8976)+SUMPRODUCT(--(Sens!$R$8939:$AA$8939&lt;Sens!T$8939),--(Sens!$R$8939:$AA$8939&gt;=Sens!T$8939-tk_life),Sens!$R$8974:$AA$8974))/tk_life</f>
        <v>1.55872349836552</v>
      </c>
      <c r="U8979" s="38" t="n">
        <f aca="false">(SUMPRODUCT(--(Sens!$R$8939:$AA$8939&lt;Sens!U$8939),--(Sens!$R$8939:$AA$8939&gt;=Sens!U$8939-tk_life),Sens!$R$8976:$AA$8976)+SUMPRODUCT(--(Sens!$R$8939:$AA$8939&lt;Sens!U$8939),--(Sens!$R$8939:$AA$8939&gt;=Sens!U$8939-tk_life),Sens!$R$8974:$AA$8974))/tk_life</f>
        <v>9.4517007316657</v>
      </c>
      <c r="V8979" s="38" t="n">
        <f aca="false">(SUMPRODUCT(--(Sens!$R$8939:$AA$8939&lt;Sens!V$8939),--(Sens!$R$8939:$AA$8939&gt;=Sens!V$8939-tk_life),Sens!$R$8976:$AA$8976)+SUMPRODUCT(--(Sens!$R$8939:$AA$8939&lt;Sens!V$8939),--(Sens!$R$8939:$AA$8939&gt;=Sens!V$8939-tk_life),Sens!$R$8974:$AA$8974))/tk_life</f>
        <v>27.2822988413376</v>
      </c>
      <c r="W8979" s="38" t="n">
        <f aca="false">(SUMPRODUCT(--(Sens!$R$8939:$AA$8939&lt;Sens!W$8939),--(Sens!$R$8939:$AA$8939&gt;=Sens!W$8939-tk_life),Sens!$R$8976:$AA$8976)+SUMPRODUCT(--(Sens!$R$8939:$AA$8939&lt;Sens!W$8939),--(Sens!$R$8939:$AA$8939&gt;=Sens!W$8939-tk_life),Sens!$R$8974:$AA$8974))/tk_life</f>
        <v>56.5439995605568</v>
      </c>
      <c r="X8979" s="38" t="n">
        <f aca="false">(SUMPRODUCT(--(Sens!$R$8939:$AA$8939&lt;Sens!X$8939),--(Sens!$R$8939:$AA$8939&gt;=Sens!X$8939-tk_life),Sens!$R$8976:$AA$8976)+SUMPRODUCT(--(Sens!$R$8939:$AA$8939&lt;Sens!X$8939),--(Sens!$R$8939:$AA$8939&gt;=Sens!X$8939-tk_life),Sens!$R$8974:$AA$8974))/tk_life</f>
        <v>82.9773143789735</v>
      </c>
      <c r="Y8979" s="38" t="n">
        <f aca="false">(SUMPRODUCT(--(Sens!$R$8939:$AA$8939&lt;Sens!Y$8939),--(Sens!$R$8939:$AA$8939&gt;=Sens!Y$8939-tk_life),Sens!$R$8976:$AA$8976)+SUMPRODUCT(--(Sens!$R$8939:$AA$8939&lt;Sens!Y$8939),--(Sens!$R$8939:$AA$8939&gt;=Sens!Y$8939-tk_life),Sens!$R$8974:$AA$8974))/tk_life</f>
        <v>110.100211099025</v>
      </c>
      <c r="Z8979" s="38" t="n">
        <f aca="false">(SUMPRODUCT(--(Sens!$R$8939:$AA$8939&lt;Sens!Z$8939),--(Sens!$R$8939:$AA$8939&gt;=Sens!Z$8939-tk_life),Sens!$R$8976:$AA$8976)+SUMPRODUCT(--(Sens!$R$8939:$AA$8939&lt;Sens!Z$8939),--(Sens!$R$8939:$AA$8939&gt;=Sens!Z$8939-tk_life),Sens!$R$8974:$AA$8974))/tk_life</f>
        <v>129.16895011128</v>
      </c>
      <c r="AA8979" s="38" t="n">
        <f aca="false">(SUMPRODUCT(--(Sens!$R$8939:$AA$8939&lt;Sens!AA$8939),--(Sens!$R$8939:$AA$8939&gt;=Sens!AA$8939-tk_life),Sens!$R$8976:$AA$8976)+SUMPRODUCT(--(Sens!$R$8939:$AA$8939&lt;Sens!AA$8939),--(Sens!$R$8939:$AA$8939&gt;=Sens!AA$8939-tk_life),Sens!$R$8974:$AA$8974))/tk_life</f>
        <v>140.095130984075</v>
      </c>
    </row>
    <row r="8980" customFormat="false" ht="17.15" hidden="false" customHeight="false" outlineLevel="0" collapsed="false">
      <c r="A8980" s="0" t="s">
        <v>649</v>
      </c>
      <c r="B8980" s="0" t="s">
        <v>86</v>
      </c>
      <c r="C8980" s="38" t="n">
        <f aca="false">Sens!$S$8980</f>
        <v>0.0202511502553155</v>
      </c>
      <c r="D8980" s="38" t="n">
        <f aca="false">Sens!$T$8980</f>
        <v>0.172291150255315</v>
      </c>
      <c r="E8980" s="38" t="n">
        <f aca="false">Sens!$G$8980/2</f>
        <v>0.522364740326067</v>
      </c>
      <c r="F8980" s="38" t="n">
        <f aca="false">Sens!$G$8980/2</f>
        <v>0.522364740326067</v>
      </c>
      <c r="G8980" s="38" t="n">
        <f aca="false">Sens!$U$8980</f>
        <v>1.04472948065213</v>
      </c>
      <c r="H8980" s="38" t="n">
        <f aca="false">Sens!$V$8980</f>
        <v>2.76361866736136</v>
      </c>
      <c r="I8980" s="38" t="n">
        <f aca="false">Sens!$W$8980</f>
        <v>5.42824377125863</v>
      </c>
      <c r="J8980" s="38" t="n">
        <f aca="false">Sens!$X$8980</f>
        <v>7.73057282125864</v>
      </c>
      <c r="K8980" s="38" t="n">
        <f aca="false">Sens!$Y$8980</f>
        <v>10.0329018712586</v>
      </c>
      <c r="L8980" s="38" t="n">
        <f aca="false">Sens!$Z$8980</f>
        <v>11.661546221342</v>
      </c>
      <c r="M8980" s="38" t="n">
        <f aca="false">Sens!$AA$8980</f>
        <v>12.6165058715086</v>
      </c>
      <c r="N8980" s="38" t="n">
        <f aca="false">Sens!$D$8980/2</f>
        <v>0.0861455751276577</v>
      </c>
      <c r="O8980" s="38" t="n">
        <f aca="false">Sens!$D$8980/2</f>
        <v>0.0861455751276577</v>
      </c>
      <c r="R8980" s="38" t="n">
        <f aca="false">(SUMPRODUCT(--(Sens!$R$8939:$AA$8939&lt;Sens!R$8939),Sens!$R$8977:$AA$8977)+SUMPRODUCT(--(Sens!$R$8939:$AA$8939&lt;Sens!R$8939),Sens!$R$8975:$AA$8975))/fac_life</f>
        <v>0</v>
      </c>
      <c r="S8980" s="38" t="n">
        <f aca="false">(SUMPRODUCT(--(Sens!$R$8939:$AA$8939&lt;Sens!S$8939),Sens!$R$8977:$AA$8977)+SUMPRODUCT(--(Sens!$R$8939:$AA$8939&lt;Sens!S$8939),Sens!$R$8975:$AA$8975))/fac_life</f>
        <v>0.0202511502553155</v>
      </c>
      <c r="T8980" s="38" t="n">
        <f aca="false">(SUMPRODUCT(--(Sens!$R$8939:$AA$8939&lt;Sens!T$8939),Sens!$R$8977:$AA$8977)+SUMPRODUCT(--(Sens!$R$8939:$AA$8939&lt;Sens!T$8939),Sens!$R$8975:$AA$8975))/fac_life</f>
        <v>0.172291150255315</v>
      </c>
      <c r="U8980" s="38" t="n">
        <f aca="false">(SUMPRODUCT(--(Sens!$R$8939:$AA$8939&lt;Sens!U$8939),Sens!$R$8977:$AA$8977)+SUMPRODUCT(--(Sens!$R$8939:$AA$8939&lt;Sens!U$8939),Sens!$R$8975:$AA$8975))/fac_life</f>
        <v>1.04472948065213</v>
      </c>
      <c r="V8980" s="38" t="n">
        <f aca="false">(SUMPRODUCT(--(Sens!$R$8939:$AA$8939&lt;Sens!V$8939),Sens!$R$8977:$AA$8977)+SUMPRODUCT(--(Sens!$R$8939:$AA$8939&lt;Sens!V$8939),Sens!$R$8975:$AA$8975))/fac_life</f>
        <v>2.76361866736136</v>
      </c>
      <c r="W8980" s="38" t="n">
        <f aca="false">(SUMPRODUCT(--(Sens!$R$8939:$AA$8939&lt;Sens!W$8939),Sens!$R$8977:$AA$8977)+SUMPRODUCT(--(Sens!$R$8939:$AA$8939&lt;Sens!W$8939),Sens!$R$8975:$AA$8975))/fac_life</f>
        <v>5.42824377125863</v>
      </c>
      <c r="X8980" s="38" t="n">
        <f aca="false">(SUMPRODUCT(--(Sens!$R$8939:$AA$8939&lt;Sens!X$8939),Sens!$R$8977:$AA$8977)+SUMPRODUCT(--(Sens!$R$8939:$AA$8939&lt;Sens!X$8939),Sens!$R$8975:$AA$8975))/fac_life</f>
        <v>7.73057282125864</v>
      </c>
      <c r="Y8980" s="38" t="n">
        <f aca="false">(SUMPRODUCT(--(Sens!$R$8939:$AA$8939&lt;Sens!Y$8939),Sens!$R$8977:$AA$8977)+SUMPRODUCT(--(Sens!$R$8939:$AA$8939&lt;Sens!Y$8939),Sens!$R$8975:$AA$8975))/fac_life</f>
        <v>10.0329018712586</v>
      </c>
      <c r="Z8980" s="38" t="n">
        <f aca="false">(SUMPRODUCT(--(Sens!$R$8939:$AA$8939&lt;Sens!Z$8939),Sens!$R$8977:$AA$8977)+SUMPRODUCT(--(Sens!$R$8939:$AA$8939&lt;Sens!Z$8939),Sens!$R$8975:$AA$8975))/fac_life</f>
        <v>11.661546221342</v>
      </c>
      <c r="AA8980" s="38" t="n">
        <f aca="false">(SUMPRODUCT(--(Sens!$R$8939:$AA$8939&lt;Sens!AA$8939),Sens!$R$8977:$AA$8977)+SUMPRODUCT(--(Sens!$R$8939:$AA$8939&lt;Sens!AA$8939),Sens!$R$8975:$AA$8975))/fac_life</f>
        <v>12.6165058715086</v>
      </c>
    </row>
    <row r="8981" customFormat="false" ht="17.15" hidden="false" customHeight="false" outlineLevel="0" collapsed="false">
      <c r="A8981" s="1" t="s">
        <v>650</v>
      </c>
      <c r="B8981" s="8" t="s">
        <v>86</v>
      </c>
      <c r="C8981" s="38" t="n">
        <f aca="false">Sens!$C$8979+Sens!$C$8980</f>
        <v>0.203463948620839</v>
      </c>
      <c r="D8981" s="38" t="n">
        <f aca="false">Sens!$D$8979+Sens!$D$8980</f>
        <v>1.73101464862084</v>
      </c>
      <c r="E8981" s="38" t="n">
        <f aca="false">Sens!$E$8979+Sens!$E$8980</f>
        <v>5.24821510615892</v>
      </c>
      <c r="F8981" s="38" t="n">
        <f aca="false">Sens!$F$8979+Sens!$F$8980</f>
        <v>5.24821510615892</v>
      </c>
      <c r="G8981" s="38" t="n">
        <f aca="false">Sens!$G$8979+Sens!$G$8980</f>
        <v>10.4964302123178</v>
      </c>
      <c r="H8981" s="38" t="n">
        <f aca="false">Sens!$H$8979+Sens!$H$8980</f>
        <v>30.045917508699</v>
      </c>
      <c r="I8981" s="38" t="n">
        <f aca="false">Sens!$I$8979+Sens!$I$8980</f>
        <v>61.9722433318155</v>
      </c>
      <c r="J8981" s="38" t="n">
        <f aca="false">Sens!$J$8979+Sens!$J$8980</f>
        <v>90.7078872002321</v>
      </c>
      <c r="K8981" s="38" t="n">
        <f aca="false">Sens!$K$8979+Sens!$K$8980</f>
        <v>120.133112970283</v>
      </c>
      <c r="L8981" s="38" t="n">
        <f aca="false">Sens!$L$8979+Sens!$L$8980</f>
        <v>140.830496332622</v>
      </c>
      <c r="M8981" s="38" t="n">
        <f aca="false">Sens!$M$8979+Sens!$M$8980</f>
        <v>152.711636855584</v>
      </c>
      <c r="N8981" s="38" t="n">
        <f aca="false">Sens!$N$8979+Sens!$N$8980</f>
        <v>0.865507324310419</v>
      </c>
      <c r="O8981" s="38" t="n">
        <f aca="false">Sens!$O$8979+Sens!$O$8980</f>
        <v>0.865507324310419</v>
      </c>
      <c r="R8981" s="38" t="n">
        <f aca="false">Sens!$R$8979+Sens!$R$8980</f>
        <v>0</v>
      </c>
      <c r="S8981" s="38" t="n">
        <f aca="false">Sens!$S$8979+Sens!$S$8980</f>
        <v>0.203463948620839</v>
      </c>
      <c r="T8981" s="38" t="n">
        <f aca="false">Sens!$T$8979+Sens!$T$8980</f>
        <v>1.73101464862084</v>
      </c>
      <c r="U8981" s="38" t="n">
        <f aca="false">Sens!$U$8979+Sens!$U$8980</f>
        <v>10.4964302123178</v>
      </c>
      <c r="V8981" s="38" t="n">
        <f aca="false">Sens!$V$8979+Sens!$V$8980</f>
        <v>30.045917508699</v>
      </c>
      <c r="W8981" s="38" t="n">
        <f aca="false">Sens!$W$8979+Sens!$W$8980</f>
        <v>61.9722433318155</v>
      </c>
      <c r="X8981" s="38" t="n">
        <f aca="false">Sens!$X$8979+Sens!$X$8980</f>
        <v>90.7078872002321</v>
      </c>
      <c r="Y8981" s="38" t="n">
        <f aca="false">Sens!$Y$8979+Sens!$Y$8980</f>
        <v>120.133112970283</v>
      </c>
      <c r="Z8981" s="38" t="n">
        <f aca="false">Sens!$Z$8979+Sens!$Z$8980</f>
        <v>140.830496332622</v>
      </c>
      <c r="AA8981" s="38" t="n">
        <f aca="false">Sens!$AA$8979+Sens!$AA$8980</f>
        <v>152.711636855584</v>
      </c>
    </row>
    <row r="8982" customFormat="false" ht="17.15" hidden="false" customHeight="false" outlineLevel="0" collapsed="false">
      <c r="A8982" s="0" t="s">
        <v>651</v>
      </c>
      <c r="B8982" s="0" t="s">
        <v>86</v>
      </c>
      <c r="C8982" s="38" t="n">
        <f aca="false">Sens!$S$8982</f>
        <v>26.578941154416</v>
      </c>
      <c r="D8982" s="38" t="n">
        <f aca="false">Sens!$T$8982</f>
        <v>94.4165581367978</v>
      </c>
      <c r="G8982" s="38" t="n">
        <f aca="false">Sens!$U$8982</f>
        <v>236.826599034204</v>
      </c>
      <c r="H8982" s="38" t="n">
        <f aca="false">Sens!$V$8982</f>
        <v>405.352046470255</v>
      </c>
      <c r="I8982" s="38" t="n">
        <f aca="false">Sens!$W$8982</f>
        <v>548.02627304894</v>
      </c>
      <c r="J8982" s="38" t="n">
        <f aca="false">Sens!$X$8982</f>
        <v>667.201623959208</v>
      </c>
      <c r="K8982" s="38" t="n">
        <f aca="false">Sens!$Y$8982</f>
        <v>702.306896264125</v>
      </c>
      <c r="L8982" s="38" t="n">
        <f aca="false">Sens!$Z$8982</f>
        <v>693.490541571405</v>
      </c>
      <c r="M8982" s="38" t="n">
        <f aca="false">Sens!$AA$8982</f>
        <v>673.009886375674</v>
      </c>
      <c r="R8982" s="38" t="n">
        <f aca="false">SUM(Sens!$R$8969:$R$8969)-SUM(Sens!$R$8981:$R$8981)</f>
        <v>1.50429979529945</v>
      </c>
      <c r="S8982" s="38" t="n">
        <f aca="false">SUM(Sens!$R$8969:$S$8969)-SUM(Sens!$R$8981:$S$8981)</f>
        <v>26.578941154416</v>
      </c>
      <c r="T8982" s="38" t="n">
        <f aca="false">SUM(Sens!$R$8969:$T$8969)-SUM(Sens!$R$8981:$T$8981)</f>
        <v>94.4165581367978</v>
      </c>
      <c r="U8982" s="38" t="n">
        <f aca="false">SUM(Sens!$R$8969:$U$8969)-SUM(Sens!$R$8981:$U$8981)</f>
        <v>236.826599034204</v>
      </c>
      <c r="V8982" s="38" t="n">
        <f aca="false">SUM(Sens!$R$8969:$V$8969)-SUM(Sens!$R$8981:$V$8981)</f>
        <v>405.352046470255</v>
      </c>
      <c r="W8982" s="38" t="n">
        <f aca="false">SUM(Sens!$R$8969:$W$8969)-SUM(Sens!$R$8981:$W$8981)</f>
        <v>548.02627304894</v>
      </c>
      <c r="X8982" s="38" t="n">
        <f aca="false">SUM(Sens!$R$8969:$X$8969)-SUM(Sens!$R$8981:$X$8981)</f>
        <v>667.201623959208</v>
      </c>
      <c r="Y8982" s="38" t="n">
        <f aca="false">SUM(Sens!$R$8969:$Y$8969)-SUM(Sens!$R$8981:$Y$8981)</f>
        <v>702.306896264125</v>
      </c>
      <c r="Z8982" s="38" t="n">
        <f aca="false">SUM(Sens!$R$8969:$Z$8969)-SUM(Sens!$R$8981:$Z$8981)</f>
        <v>693.490541571405</v>
      </c>
      <c r="AA8982" s="38" t="n">
        <f aca="false">SUM(Sens!$R$8969:$AA$8969)-SUM(Sens!$R$8981:$AA$8981)</f>
        <v>673.009886375674</v>
      </c>
    </row>
    <row r="8983" customFormat="false" ht="17.15" hidden="false" customHeight="false" outlineLevel="0" collapsed="false">
      <c r="A8983" s="1" t="s">
        <v>652</v>
      </c>
    </row>
    <row r="8984" customFormat="false" ht="17.15" hidden="false" customHeight="false" outlineLevel="0" collapsed="false">
      <c r="A8984" s="0" t="s">
        <v>653</v>
      </c>
      <c r="B8984" s="0" t="s">
        <v>86</v>
      </c>
      <c r="C8984" s="38" t="n">
        <f aca="false">Sens!$C$8960-ext_sh*Sens!$C$8962</f>
        <v>1.80694998843362</v>
      </c>
      <c r="D8984" s="38" t="n">
        <f aca="false">Sens!$D$8960-ext_sh*Sens!$D$8962</f>
        <v>6.77606245662607</v>
      </c>
      <c r="E8984" s="38" t="n">
        <f aca="false">Sens!$E$8960-ext_sh*Sens!$E$8962</f>
        <v>6.62548329092326</v>
      </c>
      <c r="F8984" s="38" t="n">
        <f aca="false">Sens!$F$8960-ext_sh*Sens!$F$8962</f>
        <v>11.7200577158706</v>
      </c>
      <c r="G8984" s="38" t="n">
        <f aca="false">Sens!$G$8960-ext_sh*Sens!$G$8962</f>
        <v>18.3455410067939</v>
      </c>
      <c r="H8984" s="38" t="n">
        <f aca="false">Sens!$H$8960-ext_sh*Sens!$H$8962</f>
        <v>47.5171727060453</v>
      </c>
      <c r="I8984" s="38" t="n">
        <f aca="false">Sens!$I$8960-ext_sh*Sens!$I$8962</f>
        <v>80.5539692643667</v>
      </c>
      <c r="J8984" s="38" t="n">
        <f aca="false">Sens!$J$8960-ext_sh*Sens!$J$8962</f>
        <v>113.759316834883</v>
      </c>
      <c r="K8984" s="38" t="n">
        <f aca="false">Sens!$K$8960-ext_sh*Sens!$K$8962</f>
        <v>142.084411492169</v>
      </c>
      <c r="L8984" s="38" t="n">
        <f aca="false">Sens!$L$8960-ext_sh*Sens!$L$8962</f>
        <v>160.69964615804</v>
      </c>
      <c r="M8984" s="38" t="n">
        <f aca="false">Sens!$M$8960-ext_sh*Sens!$M$8962</f>
        <v>169.577607141793</v>
      </c>
      <c r="N8984" s="38" t="n">
        <f aca="false">Sens!$N$8960-ext_sh*Sens!$N$8962</f>
        <v>2.37162185981912</v>
      </c>
      <c r="O8984" s="38" t="n">
        <f aca="false">Sens!$O$8960-ext_sh*Sens!$O$8962</f>
        <v>4.40444059680694</v>
      </c>
    </row>
    <row r="8985" customFormat="false" ht="17.15" hidden="false" customHeight="false" outlineLevel="0" collapsed="false">
      <c r="A8985" s="1" t="s">
        <v>654</v>
      </c>
      <c r="B8985" s="8" t="s">
        <v>86</v>
      </c>
      <c r="C8985" s="38" t="n">
        <f aca="false">Sens!$C$8984-ext_sh*Sens!$C$8981</f>
        <v>1.64417882953695</v>
      </c>
      <c r="D8985" s="38" t="n">
        <f aca="false">Sens!$D$8984-ext_sh*Sens!$D$8981</f>
        <v>5.39125073772939</v>
      </c>
      <c r="E8985" s="38" t="n">
        <f aca="false">Sens!$E$8984-ext_sh*Sens!$E$8981</f>
        <v>2.42691120599613</v>
      </c>
      <c r="F8985" s="38" t="n">
        <f aca="false">Sens!$F$8984-ext_sh*Sens!$F$8981</f>
        <v>7.52148563094346</v>
      </c>
      <c r="G8985" s="38" t="n">
        <f aca="false">Sens!$G$8984-ext_sh*Sens!$G$8981</f>
        <v>9.94839683693959</v>
      </c>
      <c r="H8985" s="38" t="n">
        <f aca="false">Sens!$H$8984-ext_sh*Sens!$H$8981</f>
        <v>23.4804386990861</v>
      </c>
      <c r="I8985" s="38" t="n">
        <f aca="false">Sens!$I$8984-ext_sh*Sens!$I$8981</f>
        <v>30.9761745989143</v>
      </c>
      <c r="J8985" s="38" t="n">
        <f aca="false">Sens!$J$8984-ext_sh*Sens!$J$8981</f>
        <v>41.1930070746977</v>
      </c>
      <c r="K8985" s="38" t="n">
        <f aca="false">Sens!$K$8984-ext_sh*Sens!$K$8981</f>
        <v>45.9779211159428</v>
      </c>
      <c r="L8985" s="38" t="n">
        <f aca="false">Sens!$L$8984-ext_sh*Sens!$L$8981</f>
        <v>48.0352490919424</v>
      </c>
      <c r="M8985" s="38" t="n">
        <f aca="false">Sens!$M$8984-ext_sh*Sens!$M$8981</f>
        <v>47.4082976573265</v>
      </c>
      <c r="N8985" s="38" t="n">
        <f aca="false">Sens!$N$8984-ext_sh*Sens!$N$8981</f>
        <v>1.67921600037079</v>
      </c>
      <c r="O8985" s="38" t="n">
        <f aca="false">Sens!$O$8984-ext_sh*Sens!$O$8981</f>
        <v>3.71203473735861</v>
      </c>
    </row>
    <row r="8986" customFormat="false" ht="17.15" hidden="false" customHeight="false" outlineLevel="0" collapsed="false">
      <c r="A8986" s="0" t="s">
        <v>655</v>
      </c>
      <c r="B8986" s="0" t="s">
        <v>52</v>
      </c>
      <c r="C8986" s="13" t="n">
        <f aca="false">Sens!$C$8985/Sens!$C$8960</f>
        <v>0.708390794789371</v>
      </c>
      <c r="D8986" s="13" t="n">
        <f aca="false">Sens!$D$8985/Sens!$D$8960</f>
        <v>0.619415573115729</v>
      </c>
      <c r="E8986" s="13" t="n">
        <f aca="false">Sens!$E$8985/Sens!$E$8960</f>
        <v>0.285171627189009</v>
      </c>
      <c r="F8986" s="13" t="n">
        <f aca="false">Sens!$F$8985/Sens!$F$8960</f>
        <v>0.502657732812366</v>
      </c>
      <c r="G8986" s="13" t="n">
        <f aca="false">Sens!$G$8985/Sens!$G$8960</f>
        <v>0.423808778611812</v>
      </c>
      <c r="H8986" s="13" t="n">
        <f aca="false">Sens!$H$8985/Sens!$H$8960</f>
        <v>0.390261631739809</v>
      </c>
      <c r="I8986" s="13" t="n">
        <f aca="false">Sens!$I$8985/Sens!$I$8960</f>
        <v>0.305172864264572</v>
      </c>
      <c r="J8986" s="13" t="n">
        <f aca="false">Sens!$J$8985/Sens!$J$8960</f>
        <v>0.288011814789856</v>
      </c>
      <c r="K8986" s="13" t="n">
        <f aca="false">Sens!$K$8985/Sens!$K$8960</f>
        <v>0.25765427518774</v>
      </c>
      <c r="L8986" s="13" t="n">
        <f aca="false">Sens!$L$8985/Sens!$L$8960</f>
        <v>0.238118778012374</v>
      </c>
      <c r="M8986" s="13" t="n">
        <f aca="false">Sens!$M$8985/Sens!$M$8960</f>
        <v>0.222746255757109</v>
      </c>
      <c r="N8986" s="13" t="n">
        <f aca="false">Sens!$N$8985/Sens!$N$8960</f>
        <v>0.551227795793364</v>
      </c>
      <c r="O8986" s="13" t="n">
        <f aca="false">Sens!$O$8985/Sens!$O$8960</f>
        <v>0.656132068597002</v>
      </c>
    </row>
    <row r="8987" customFormat="false" ht="17.15" hidden="false" customHeight="false" outlineLevel="0" collapsed="false">
      <c r="A8987" s="5" t="s">
        <v>656</v>
      </c>
      <c r="B8987" s="0" t="s">
        <v>86</v>
      </c>
      <c r="C8987" s="39" t="n">
        <v>0</v>
      </c>
      <c r="D8987" s="39" t="n">
        <v>0</v>
      </c>
      <c r="E8987" s="39" t="n">
        <v>0</v>
      </c>
      <c r="F8987" s="38" t="n">
        <f aca="false">IF(internal_ai_reading=2,1,0)*(1-ext_sh)/ext_sh*(mw_open*he_open+Sens!$F$8958*Sens!$F$8955)*Sens!$F$8944/1000</f>
        <v>3.77122048175818</v>
      </c>
      <c r="G8987" s="38" t="n">
        <f aca="false">Sens!$E$8987+Sens!$F$8987</f>
        <v>3.77122048175818</v>
      </c>
      <c r="H8987" s="38" t="n">
        <f aca="false">IF(internal_ai_reading=2,1,0)*(1-ext_sh)/ext_sh*(mw_open*he_open+Sens!$H$8958*Sens!$H$8955)*Sens!$H$8944/1000</f>
        <v>15.1635543609893</v>
      </c>
      <c r="I8987" s="38" t="n">
        <f aca="false">IF(internal_ai_reading=2,1,0)*(1-ext_sh)/ext_sh*(mw_open*he_open+Sens!$I$8958*Sens!$I$8955)*Sens!$I$8944/1000</f>
        <v>25.5818843619889</v>
      </c>
      <c r="J8987" s="38" t="n">
        <f aca="false">IF(internal_ai_reading=2,1,0)*(1-ext_sh)/ext_sh*(mw_open*he_open+Sens!$J$8958*Sens!$J$8955)*Sens!$J$8944/1000</f>
        <v>36.0465624179122</v>
      </c>
      <c r="K8987" s="38" t="n">
        <f aca="false">IF(internal_ai_reading=2,1,0)*(1-ext_sh)/ext_sh*(mw_open*he_open+Sens!$K$8958*Sens!$K$8955)*Sens!$K$8944/1000</f>
        <v>44.9741164026038</v>
      </c>
      <c r="L8987" s="38" t="n">
        <f aca="false">IF(internal_ai_reading=2,1,0)*(1-ext_sh)/ext_sh*(mw_open*he_open+Sens!$L$8958*Sens!$L$8955)*Sens!$L$8944/1000</f>
        <v>50.8413488057813</v>
      </c>
      <c r="M8987" s="38" t="n">
        <f aca="false">IF(internal_ai_reading=2,1,0)*(1-ext_sh)/ext_sh*(mw_open*he_open+Sens!$M$8958*Sens!$M$8955)*Sens!$M$8944/1000</f>
        <v>53.6407214274315</v>
      </c>
      <c r="N8987" s="39" t="n">
        <v>0</v>
      </c>
      <c r="O8987" s="39" t="n">
        <v>0</v>
      </c>
      <c r="P8987" s="8" t="s">
        <v>657</v>
      </c>
    </row>
    <row r="8988" customFormat="false" ht="17.15" hidden="false" customHeight="false" outlineLevel="0" collapsed="false">
      <c r="A8988" s="5" t="s">
        <v>658</v>
      </c>
      <c r="B8988" s="0" t="s">
        <v>86</v>
      </c>
      <c r="C8988" s="38" t="n">
        <f aca="false">(1-ext_sh)*(Sens!$C$8962+Sens!$C$8981)</f>
        <v>0.169206631859174</v>
      </c>
      <c r="D8988" s="38" t="n">
        <f aca="false">(1-ext_sh)*(Sens!$D$8962+Sens!$D$8981)</f>
        <v>0.828129837730442</v>
      </c>
      <c r="E8988" s="38" t="n">
        <f aca="false">(1-ext_sh)*(Sens!$E$8962+Sens!$E$8981)</f>
        <v>1.52086044239347</v>
      </c>
      <c r="F8988" s="38" t="n">
        <f aca="false">(1-ext_sh)*(Sens!$F$8962+Sens!$F$8981)</f>
        <v>1.86048700344425</v>
      </c>
      <c r="G8988" s="38" t="n">
        <f aca="false">(1-ext_sh)*(Sens!$G$8962+Sens!$G$8981)</f>
        <v>3.38134744583772</v>
      </c>
      <c r="H8988" s="38" t="n">
        <f aca="false">(1-ext_sh)*(Sens!$H$8962+Sens!$H$8981)</f>
        <v>9.17136301267211</v>
      </c>
      <c r="I8988" s="38" t="n">
        <f aca="false">(1-ext_sh)*(Sens!$I$8962+Sens!$I$8981)</f>
        <v>17.6318811343794</v>
      </c>
      <c r="J8988" s="38" t="n">
        <f aca="false">(1-ext_sh)*(Sens!$J$8962+Sens!$J$8981)</f>
        <v>25.4581000191451</v>
      </c>
      <c r="K8988" s="38" t="n">
        <f aca="false">(1-ext_sh)*(Sens!$K$8962+Sens!$K$8981)</f>
        <v>33.1175498168092</v>
      </c>
      <c r="L8988" s="38" t="n">
        <f aca="false">(1-ext_sh)*(Sens!$L$8962+Sens!$L$8981)</f>
        <v>38.4232131776135</v>
      </c>
      <c r="M8988" s="38" t="n">
        <f aca="false">(1-ext_sh)*(Sens!$M$8962+Sens!$M$8981)</f>
        <v>41.3567859278847</v>
      </c>
      <c r="N8988" s="38" t="n">
        <f aca="false">(1-ext_sh)*(Sens!$N$8962+Sens!$N$8981)</f>
        <v>0.34177588266428</v>
      </c>
      <c r="O8988" s="38" t="n">
        <f aca="false">(1-ext_sh)*(Sens!$O$8962+Sens!$O$8981)</f>
        <v>0.486353955066162</v>
      </c>
    </row>
    <row r="8989" customFormat="false" ht="17.15" hidden="false" customHeight="false" outlineLevel="0" collapsed="false">
      <c r="A8989" s="0" t="s">
        <v>659</v>
      </c>
      <c r="B8989" s="0" t="s">
        <v>86</v>
      </c>
      <c r="C8989" s="38" t="n">
        <f aca="false">Q!$D$24</f>
        <v>39.834</v>
      </c>
      <c r="D8989" s="38" t="n">
        <f aca="false">Q!$E$24</f>
        <v>45.606</v>
      </c>
      <c r="E8989" s="38" t="n">
        <f aca="false">Q!$P$24</f>
        <v>30.782</v>
      </c>
      <c r="N8989" s="38" t="n">
        <f aca="false">Q!$N$24</f>
        <v>21.707</v>
      </c>
      <c r="O8989" s="38" t="n">
        <f aca="false">Q!$O$24</f>
        <v>23.899</v>
      </c>
    </row>
    <row r="8990" customFormat="false" ht="17.15" hidden="false" customHeight="false" outlineLevel="0" collapsed="false">
      <c r="A8990" s="0" t="s">
        <v>660</v>
      </c>
      <c r="B8990" s="0" t="s">
        <v>86</v>
      </c>
      <c r="C8990" s="38" t="n">
        <f aca="false">Sens!$C$8989-Sens!$C$8985</f>
        <v>38.1898211704631</v>
      </c>
      <c r="D8990" s="38" t="n">
        <f aca="false">Sens!$D$8989-Sens!$D$8985</f>
        <v>40.2147492622706</v>
      </c>
      <c r="E8990" s="38" t="n">
        <f aca="false">Sens!$E$8989-Sens!$E$8985</f>
        <v>28.3550887940039</v>
      </c>
      <c r="F8990" s="38" t="n">
        <f aca="false">Sens!$F$8964*Sens!$F$8991</f>
        <v>25.9529793149447</v>
      </c>
      <c r="G8990" s="38" t="n">
        <f aca="false">Sens!$E$8990+Sens!$F$8990</f>
        <v>54.3080681089486</v>
      </c>
      <c r="H8990" s="38" t="n">
        <f aca="false">Sens!$H$8964*Sens!$H$8991</f>
        <v>58.2264684589333</v>
      </c>
      <c r="I8990" s="38" t="n">
        <f aca="false">Sens!$I$8964*Sens!$I$8991</f>
        <v>64.6461353851744</v>
      </c>
      <c r="J8990" s="38" t="n">
        <f aca="false">Sens!$J$8964*Sens!$J$8991</f>
        <v>70.7957093610231</v>
      </c>
      <c r="K8990" s="38" t="n">
        <f aca="false">Sens!$K$8964*Sens!$K$8991</f>
        <v>76.4593661099049</v>
      </c>
      <c r="L8990" s="38" t="n">
        <f aca="false">Sens!$L$8964*Sens!$L$8991</f>
        <v>82.5761153986973</v>
      </c>
      <c r="M8990" s="38" t="n">
        <f aca="false">Sens!$M$8964*Sens!$M$8991</f>
        <v>89.1822046305931</v>
      </c>
      <c r="N8990" s="38" t="n">
        <f aca="false">Sens!$N$8989-Sens!$N$8985</f>
        <v>20.0277839996292</v>
      </c>
      <c r="O8990" s="38" t="n">
        <f aca="false">Sens!$O$8989-Sens!$O$8985</f>
        <v>20.1869652626414</v>
      </c>
      <c r="P8990" s="5" t="s">
        <v>661</v>
      </c>
    </row>
    <row r="8991" customFormat="false" ht="17.15" hidden="false" customHeight="false" outlineLevel="0" collapsed="false">
      <c r="A8991" s="0" t="s">
        <v>662</v>
      </c>
      <c r="B8991" s="0" t="s">
        <v>52</v>
      </c>
      <c r="C8991" s="13" t="n">
        <f aca="false">Sens!$C$8990/Sens!$C$8964</f>
        <v>0.362900395443635</v>
      </c>
      <c r="D8991" s="13" t="n">
        <f aca="false">Sens!$D$8990/Sens!$D$8964</f>
        <v>0.335063632425483</v>
      </c>
      <c r="E8991" s="13" t="n">
        <f aca="false">Sens!$E$8990/Sens!$E$8964</f>
        <v>0.397638855555478</v>
      </c>
      <c r="F8991" s="13" t="n">
        <f aca="false">(Sens!$O$8990+Sens!$E$8990)/(Sens!$O$8964+Sens!$E$8964)</f>
        <v>0.361616727338133</v>
      </c>
      <c r="G8991" s="13" t="n">
        <f aca="false">Sens!$G$8990/Sens!$G$8964</f>
        <v>0.379569803149143</v>
      </c>
      <c r="H8991" s="13" t="n">
        <f aca="false">Sens!$F$8991</f>
        <v>0.361616727338133</v>
      </c>
      <c r="I8991" s="13" t="n">
        <f aca="false">Sens!$F$8991</f>
        <v>0.361616727338133</v>
      </c>
      <c r="J8991" s="13" t="n">
        <f aca="false">Sens!$F$8991</f>
        <v>0.361616727338133</v>
      </c>
      <c r="K8991" s="13" t="n">
        <f aca="false">Sens!$F$8991</f>
        <v>0.361616727338133</v>
      </c>
      <c r="L8991" s="13" t="n">
        <f aca="false">Sens!$F$8991</f>
        <v>0.361616727338133</v>
      </c>
      <c r="M8991" s="13" t="n">
        <f aca="false">Sens!$F$8991</f>
        <v>0.361616727338133</v>
      </c>
      <c r="N8991" s="13" t="n">
        <f aca="false">Sens!$N$8990/Sens!$N$8964</f>
        <v>0.35078810535806</v>
      </c>
      <c r="O8991" s="13" t="n">
        <f aca="false">Sens!$O$8990/Sens!$O$8964</f>
        <v>0.320796939361619</v>
      </c>
      <c r="P8991" s="8" t="s">
        <v>663</v>
      </c>
    </row>
    <row r="8992" customFormat="false" ht="17.15" hidden="false" customHeight="false" outlineLevel="0" collapsed="false">
      <c r="A8992" s="0" t="s">
        <v>664</v>
      </c>
      <c r="B8992" s="0" t="s">
        <v>52</v>
      </c>
      <c r="D8992" s="13" t="n">
        <f aca="false">(Q!$E$31-ext_sh*Sens!$D$8981)/Sens!$D$8964</f>
        <v>0.167180325480118</v>
      </c>
    </row>
    <row r="8993" customFormat="false" ht="17.15" hidden="false" customHeight="false" outlineLevel="0" collapsed="false">
      <c r="A8993" s="0" t="s">
        <v>665</v>
      </c>
      <c r="B8993" s="0" t="s">
        <v>86</v>
      </c>
      <c r="C8993" s="38" t="n">
        <f aca="false">Q!$D$31</f>
        <v>13.32</v>
      </c>
      <c r="D8993" s="38" t="n">
        <f aca="false">Q!$E$31</f>
        <v>21.45</v>
      </c>
      <c r="E8993" s="38" t="n">
        <f aca="false">Q!$P$31</f>
        <v>15.353</v>
      </c>
      <c r="F8993" s="38" t="n">
        <f aca="false">ext_sh*Sens!$F$8981+Sens!$D$8992*Sens!$F$8964</f>
        <v>16.1969869840094</v>
      </c>
      <c r="G8993" s="38" t="n">
        <f aca="false">Sens!$E$8993+Sens!$F$8993</f>
        <v>31.5499869840094</v>
      </c>
      <c r="H8993" s="38" t="n">
        <f aca="false">ext_sh*Sens!$H$8981+Sens!$D$8992*Sens!$H$8964</f>
        <v>50.9556213609176</v>
      </c>
      <c r="I8993" s="38" t="n">
        <f aca="false">ext_sh*Sens!$I$8981+Sens!$D$8992*Sens!$I$8964</f>
        <v>79.464581248252</v>
      </c>
      <c r="J8993" s="38" t="n">
        <f aca="false">ext_sh*Sens!$J$8981+Sens!$D$8992*Sens!$J$8964</f>
        <v>105.296127931746</v>
      </c>
      <c r="K8993" s="38" t="n">
        <f aca="false">ext_sh*Sens!$K$8981+Sens!$D$8992*Sens!$K$8964</f>
        <v>131.454694001511</v>
      </c>
      <c r="L8993" s="38" t="n">
        <f aca="false">ext_sh*Sens!$L$8981+Sens!$D$8992*Sens!$L$8964</f>
        <v>150.840456981405</v>
      </c>
      <c r="M8993" s="38" t="n">
        <f aca="false">ext_sh*Sens!$M$8981+Sens!$D$8992*Sens!$M$8964</f>
        <v>163.399454192999</v>
      </c>
      <c r="N8993" s="38" t="n">
        <f aca="false">Q!$N$31</f>
        <v>9.234</v>
      </c>
      <c r="O8993" s="38" t="n">
        <f aca="false">Q!$O$31</f>
        <v>12.216</v>
      </c>
    </row>
    <row r="8994" customFormat="false" ht="17.15" hidden="false" customHeight="false" outlineLevel="0" collapsed="false">
      <c r="A8994" s="1" t="s">
        <v>666</v>
      </c>
    </row>
    <row r="8995" customFormat="false" ht="17.15" hidden="false" customHeight="false" outlineLevel="0" collapsed="false">
      <c r="A8995" s="15" t="s">
        <v>667</v>
      </c>
      <c r="B8995" s="14" t="s">
        <v>52</v>
      </c>
      <c r="C8995" s="14"/>
      <c r="D8995" s="14"/>
      <c r="E8995" s="14"/>
      <c r="F8995" s="14"/>
      <c r="G8995" s="17" t="n">
        <f aca="false">Sens!$G$8985*(1-tax)/(ext_sh*(Sens!$D$8982+Sens!$G$8982)/2)</f>
        <v>0.0620504069546486</v>
      </c>
      <c r="H8995" s="17" t="n">
        <f aca="false">Sens!$H$8985*(1-tax)/(ext_sh*(Sens!$G$8982+Sens!$H$8982)/2)</f>
        <v>0.0755420551527686</v>
      </c>
      <c r="I8995" s="17" t="n">
        <f aca="false">Sens!$I$8985*(1-tax)/(ext_sh*(Sens!$H$8982+Sens!$I$8982)/2)</f>
        <v>0.067127575356291</v>
      </c>
      <c r="J8995" s="17" t="n">
        <f aca="false">Sens!$J$8985*(1-tax)/(ext_sh*(Sens!$I$8982+Sens!$J$8982)/2)</f>
        <v>0.0700332392906535</v>
      </c>
      <c r="K8995" s="17" t="n">
        <f aca="false">Sens!$K$8985*(1-tax)/(ext_sh*(Sens!$J$8982+Sens!$K$8982)/2)</f>
        <v>0.0693622290093833</v>
      </c>
      <c r="L8995" s="17" t="n">
        <f aca="false">Sens!$L$8985*(1-tax)/(ext_sh*(Sens!$K$8982+Sens!$L$8982)/2)</f>
        <v>0.0711010638813626</v>
      </c>
      <c r="M8995" s="17" t="n">
        <f aca="false">Sens!$M$8985*(1-tax)/(ext_sh*(Sens!$L$8982+Sens!$M$8982)/2)</f>
        <v>0.071677531066401</v>
      </c>
      <c r="N8995" s="14"/>
      <c r="O8995" s="14"/>
      <c r="P8995" s="8" t="s">
        <v>668</v>
      </c>
    </row>
    <row r="8996" customFormat="false" ht="17.15" hidden="false" customHeight="false" outlineLevel="0" collapsed="false">
      <c r="A8996" s="5" t="s">
        <v>669</v>
      </c>
      <c r="B8996" s="0" t="s">
        <v>57</v>
      </c>
      <c r="H8996" s="36" t="n">
        <f aca="false">Sens!$H$8960*1000/(mw_open*he_open+Sens!$H$8958*Sens!$H$8955)</f>
        <v>0.991949006767191</v>
      </c>
      <c r="I8996" s="36" t="n">
        <f aca="false">Sens!$I$8960*1000/(mw_open*he_open+Sens!$I$8958*Sens!$I$8955)</f>
        <v>0.991949006767191</v>
      </c>
      <c r="J8996" s="36" t="n">
        <f aca="false">Sens!$J$8960*1000/(mw_open*he_open+Sens!$J$8958*Sens!$J$8955)</f>
        <v>0.991949006767191</v>
      </c>
      <c r="K8996" s="36" t="n">
        <f aca="false">Sens!$K$8960*1000/(mw_open*he_open+Sens!$K$8958*Sens!$K$8955)</f>
        <v>0.991949006767191</v>
      </c>
      <c r="L8996" s="36" t="n">
        <f aca="false">Sens!$L$8960*1000/(mw_open*he_open+Sens!$L$8958*Sens!$L$8955)</f>
        <v>0.991949006767191</v>
      </c>
      <c r="M8996" s="36" t="n">
        <f aca="false">Sens!$M$8960*1000/(mw_open*he_open+Sens!$M$8958*Sens!$M$8955)</f>
        <v>0.991949006767191</v>
      </c>
    </row>
    <row r="8997" customFormat="false" ht="17.15" hidden="false" customHeight="false" outlineLevel="0" collapsed="false">
      <c r="A8997" s="5" t="s">
        <v>670</v>
      </c>
      <c r="B8997" s="0" t="s">
        <v>57</v>
      </c>
      <c r="H8997" s="36" t="n">
        <f aca="false">Sens!$H$8996*(Sens!$H$8960+(wacc-0.01)*ext_sh*(Sens!$G$8982+Sens!$H$8982)/2/(1-tax)-Sens!$H$8985)/Sens!$H$8960</f>
        <v>1.13418299619523</v>
      </c>
      <c r="I8997" s="36" t="n">
        <f aca="false">Sens!$I$8996*(Sens!$I$8960+(wacc-0.01)*ext_sh*(Sens!$H$8982+Sens!$I$8982)/2/(1-tax)-Sens!$I$8985)/Sens!$I$8960</f>
        <v>1.15505915295125</v>
      </c>
      <c r="J8997" s="36" t="n">
        <f aca="false">Sens!$J$8996*(Sens!$J$8960+(wacc-0.01)*ext_sh*(Sens!$I$8982+Sens!$J$8982)/2/(1-tax)-Sens!$J$8985)/Sens!$J$8960</f>
        <v>1.12764664966637</v>
      </c>
      <c r="K8997" s="36" t="n">
        <f aca="false">Sens!$K$8996*(Sens!$K$8960+(wacc-0.01)*ext_sh*(Sens!$J$8982+Sens!$K$8982)/2/(1-tax)-Sens!$K$8985)/Sens!$K$8960</f>
        <v>1.11699045422875</v>
      </c>
      <c r="L8997" s="36" t="n">
        <f aca="false">Sens!$L$8996*(Sens!$L$8960+(wacc-0.01)*ext_sh*(Sens!$K$8982+Sens!$L$8982)/2/(1-tax)-Sens!$L$8985)/Sens!$L$8960</f>
        <v>1.09890710025075</v>
      </c>
      <c r="M8997" s="36" t="n">
        <f aca="false">Sens!$M$8996*(Sens!$M$8960+(wacc-0.01)*ext_sh*(Sens!$L$8982+Sens!$M$8982)/2/(1-tax)-Sens!$M$8985)/Sens!$M$8960</f>
        <v>1.08942038350229</v>
      </c>
    </row>
    <row r="8998" customFormat="false" ht="17.15" hidden="false" customHeight="false" outlineLevel="0" collapsed="false">
      <c r="A8998" s="5" t="s">
        <v>671</v>
      </c>
      <c r="B8998" s="0" t="s">
        <v>52</v>
      </c>
      <c r="C8998" s="13" t="n">
        <f aca="false">Sens!$C$8961/tk_pq</f>
        <v>0.195316432429398</v>
      </c>
      <c r="D8998" s="13" t="n">
        <f aca="false">Sens!$D$8961/tk_pq</f>
        <v>0.195316432429398</v>
      </c>
      <c r="E8998" s="13" t="n">
        <f aca="false">Sens!$E$8961/tk_pq</f>
        <v>0.195316432429398</v>
      </c>
      <c r="F8998" s="13" t="n">
        <f aca="false">Sens!$F$8961/tk_pq</f>
        <v>0.202241827274866</v>
      </c>
      <c r="G8998" s="13" t="n">
        <f aca="false">Sens!$G$8961/tk_pq</f>
        <v>0.199675016194063</v>
      </c>
      <c r="H8998" s="13" t="n">
        <f aca="false">Sens!$H$8961/tk_pq</f>
        <v>0.212647947710325</v>
      </c>
      <c r="I8998" s="13" t="n">
        <f aca="false">Sens!$I$8961/tk_pq</f>
        <v>0.219285125475351</v>
      </c>
      <c r="J8998" s="13" t="n">
        <f aca="false">Sens!$J$8961/tk_pq</f>
        <v>0.222492493217189</v>
      </c>
      <c r="K8998" s="13" t="n">
        <f aca="false">Sens!$K$8961/tk_pq</f>
        <v>0.224053502812094</v>
      </c>
      <c r="L8998" s="13" t="n">
        <f aca="false">Sens!$L$8961/tk_pq</f>
        <v>0.224786916785614</v>
      </c>
      <c r="M8998" s="13" t="n">
        <f aca="false">Sens!$M$8961/tk_pq</f>
        <v>0.225048671566937</v>
      </c>
      <c r="N8998" s="13" t="n">
        <f aca="false">Sens!$N$8961/tk_pq</f>
        <v>0.195316432429398</v>
      </c>
      <c r="O8998" s="13" t="n">
        <f aca="false">Sens!$O$8961/tk_pq</f>
        <v>0.195316432429398</v>
      </c>
      <c r="P8998" s="5" t="s">
        <v>672</v>
      </c>
    </row>
    <row r="9001" customFormat="false" ht="17.15" hidden="false" customHeight="false" outlineLevel="0" collapsed="false">
      <c r="A9001" s="1" t="s">
        <v>701</v>
      </c>
    </row>
    <row r="9002" customFormat="false" ht="17.15" hidden="false" customHeight="false" outlineLevel="0" collapsed="false">
      <c r="A9002" s="0" t="s">
        <v>702</v>
      </c>
      <c r="B9002" s="0" t="s">
        <v>86</v>
      </c>
      <c r="C9002" s="38" t="n">
        <f aca="false">Sens!$C$8960</f>
        <v>2.32100535697364</v>
      </c>
      <c r="D9002" s="38" t="n">
        <f aca="false">Sens!$D$8960</f>
        <v>8.70377008865116</v>
      </c>
      <c r="E9002" s="38" t="n">
        <f aca="false">Sens!$E$8960</f>
        <v>8.51035297557002</v>
      </c>
      <c r="F9002" s="38" t="n">
        <f aca="false">Sens!$F$8960</f>
        <v>14.9634336447205</v>
      </c>
      <c r="G9002" s="38" t="n">
        <f aca="false">Sens!$G$8960</f>
        <v>23.4737866202905</v>
      </c>
      <c r="H9002" s="38" t="n">
        <f aca="false">Sens!$H$8960</f>
        <v>60.1658907497746</v>
      </c>
      <c r="I9002" s="38" t="n">
        <f aca="false">Sens!$I$8960</f>
        <v>101.503699136432</v>
      </c>
      <c r="J9002" s="38" t="n">
        <f aca="false">Sens!$J$8960</f>
        <v>143.025407151278</v>
      </c>
      <c r="K9002" s="38" t="n">
        <f aca="false">Sens!$K$8960</f>
        <v>178.44812038318</v>
      </c>
      <c r="L9002" s="38" t="n">
        <f aca="false">Sens!$L$8960</f>
        <v>201.728101802396</v>
      </c>
      <c r="M9002" s="38" t="n">
        <f aca="false">Sens!$M$8960</f>
        <v>212.835441368865</v>
      </c>
      <c r="N9002" s="38" t="n">
        <f aca="false">Sens!$N$8960</f>
        <v>3.04631953102791</v>
      </c>
      <c r="O9002" s="38" t="n">
        <f aca="false">Sens!$O$8960</f>
        <v>5.65745055762326</v>
      </c>
      <c r="P9002" s="8" t="s">
        <v>703</v>
      </c>
    </row>
    <row r="9003" customFormat="false" ht="17.15" hidden="false" customHeight="false" outlineLevel="0" collapsed="false">
      <c r="A9003" s="0" t="s">
        <v>704</v>
      </c>
      <c r="B9003" s="0" t="s">
        <v>86</v>
      </c>
      <c r="C9003" s="38" t="n">
        <f aca="false">Sens!$C$8964</f>
        <v>105.234994643026</v>
      </c>
      <c r="D9003" s="38" t="n">
        <f aca="false">Sens!$D$8964</f>
        <v>120.021229911349</v>
      </c>
      <c r="E9003" s="38" t="n">
        <f aca="false">Sens!$E$8964</f>
        <v>71.30864702443</v>
      </c>
      <c r="F9003" s="38" t="n">
        <f aca="false">Sens!$F$8964</f>
        <v>71.7692997942464</v>
      </c>
      <c r="G9003" s="38" t="n">
        <f aca="false">Sens!$G$8964</f>
        <v>143.077946818676</v>
      </c>
      <c r="H9003" s="38" t="n">
        <f aca="false">Sens!$H$8964</f>
        <v>161.017077079203</v>
      </c>
      <c r="I9003" s="38" t="n">
        <f aca="false">Sens!$I$8964</f>
        <v>178.769759521457</v>
      </c>
      <c r="J9003" s="38" t="n">
        <f aca="false">Sens!$J$8964</f>
        <v>195.775538045907</v>
      </c>
      <c r="K9003" s="38" t="n">
        <f aca="false">Sens!$K$8964</f>
        <v>211.43758108958</v>
      </c>
      <c r="L9003" s="38" t="n">
        <f aca="false">Sens!$L$8964</f>
        <v>228.352587576746</v>
      </c>
      <c r="M9003" s="38" t="n">
        <f aca="false">Sens!$M$8964</f>
        <v>246.620794582886</v>
      </c>
      <c r="N9003" s="38" t="n">
        <f aca="false">Sens!$N$8964</f>
        <v>57.0936804689721</v>
      </c>
      <c r="O9003" s="38" t="n">
        <f aca="false">Sens!$O$8964</f>
        <v>62.9275494423768</v>
      </c>
      <c r="P9003" s="8" t="s">
        <v>703</v>
      </c>
    </row>
    <row r="9004" customFormat="false" ht="17.15" hidden="false" customHeight="false" outlineLevel="0" collapsed="false">
      <c r="A9004" s="1" t="s">
        <v>523</v>
      </c>
      <c r="B9004" s="8" t="s">
        <v>86</v>
      </c>
      <c r="C9004" s="38" t="n">
        <f aca="false">Q!$D$7</f>
        <v>107.556</v>
      </c>
      <c r="D9004" s="38" t="n">
        <f aca="false">Q!$E$7</f>
        <v>128.725</v>
      </c>
      <c r="E9004" s="38" t="n">
        <f aca="false">Q!$P$7</f>
        <v>79.819</v>
      </c>
      <c r="F9004" s="38" t="n">
        <f aca="false">Sens!$F$9002+Sens!$F$9003</f>
        <v>86.7327334389669</v>
      </c>
      <c r="G9004" s="38" t="n">
        <f aca="false">Sens!$G$9002+Sens!$G$9003</f>
        <v>166.551733438967</v>
      </c>
      <c r="H9004" s="38" t="n">
        <f aca="false">Sens!$H$9002+Sens!$H$9003</f>
        <v>221.182967828978</v>
      </c>
      <c r="I9004" s="38" t="n">
        <f aca="false">Sens!$I$9002+Sens!$I$9003</f>
        <v>280.27345865789</v>
      </c>
      <c r="J9004" s="38" t="n">
        <f aca="false">Sens!$J$9002+Sens!$J$9003</f>
        <v>338.800945197185</v>
      </c>
      <c r="K9004" s="38" t="n">
        <f aca="false">Sens!$K$9002+Sens!$K$9003</f>
        <v>389.88570147276</v>
      </c>
      <c r="L9004" s="38" t="n">
        <f aca="false">Sens!$L$9002+Sens!$L$9003</f>
        <v>430.080689379143</v>
      </c>
      <c r="M9004" s="38" t="n">
        <f aca="false">Sens!$M$9002+Sens!$M$9003</f>
        <v>459.456235951751</v>
      </c>
      <c r="N9004" s="38" t="n">
        <f aca="false">Q!$N$7</f>
        <v>60.14</v>
      </c>
      <c r="O9004" s="38" t="n">
        <f aca="false">Q!$O$7</f>
        <v>68.585</v>
      </c>
      <c r="P9004" s="5" t="s">
        <v>705</v>
      </c>
    </row>
    <row r="9005" customFormat="false" ht="15" hidden="false" customHeight="false" outlineLevel="0" collapsed="false">
      <c r="A9005" s="3" t="s">
        <v>706</v>
      </c>
      <c r="B9005" s="8" t="s">
        <v>86</v>
      </c>
      <c r="C9005" s="38" t="n">
        <f aca="false">Q!$D$8</f>
        <v>637.959</v>
      </c>
      <c r="D9005" s="38" t="n">
        <f aca="false">Q!$E$8</f>
        <v>716.924</v>
      </c>
      <c r="E9005" s="38" t="n">
        <f aca="false">Q!$P$8</f>
        <v>382.125</v>
      </c>
      <c r="F9005" s="38" t="n">
        <f aca="false">Sens!$F$8932+Sens!$F$9004</f>
        <v>435.780975084504</v>
      </c>
      <c r="G9005" s="38" t="n">
        <f aca="false">Sens!$G$8932+Sens!$G$9004</f>
        <v>817.905975084504</v>
      </c>
      <c r="H9005" s="38" t="n">
        <f aca="false">Sens!$H$8932+Sens!$H$9004</f>
        <v>942.279857350364</v>
      </c>
      <c r="I9005" s="38" t="n">
        <f aca="false">Sens!$I$8932+Sens!$I$9004</f>
        <v>1068.80284981042</v>
      </c>
      <c r="J9005" s="38" t="n">
        <f aca="false">Sens!$J$8932+Sens!$J$9004</f>
        <v>1189.90935093863</v>
      </c>
      <c r="K9005" s="38" t="n">
        <f aca="false">Sens!$K$8932+Sens!$K$9004</f>
        <v>1296.06215690385</v>
      </c>
      <c r="L9005" s="38" t="n">
        <f aca="false">Sens!$L$8932+Sens!$L$9004</f>
        <v>1395.17379585473</v>
      </c>
      <c r="M9005" s="38" t="n">
        <f aca="false">Sens!$M$8932+Sens!$M$9004</f>
        <v>1487.60414389864</v>
      </c>
      <c r="N9005" s="38" t="n">
        <f aca="false">Q!$N$8</f>
        <v>323.369</v>
      </c>
      <c r="O9005" s="38" t="n">
        <f aca="false">Q!$O$8</f>
        <v>393.555</v>
      </c>
    </row>
    <row r="9006" customFormat="false" ht="17.15" hidden="false" customHeight="false" outlineLevel="0" collapsed="false">
      <c r="A9006" s="24" t="s">
        <v>714</v>
      </c>
      <c r="B9006" s="25" t="s">
        <v>86</v>
      </c>
      <c r="C9006" s="41" t="n">
        <f aca="false">Sens!$C$8932-(Sens!$C$8934+Sens!$C$8935)</f>
        <v>0</v>
      </c>
      <c r="D9006" s="41" t="n">
        <f aca="false">Sens!$D$8932-(Sens!$D$8934+Sens!$D$8935)</f>
        <v>0</v>
      </c>
      <c r="E9006" s="41" t="n">
        <f aca="false">Sens!$E$8932-(Sens!$E$8934+Sens!$E$8935)</f>
        <v>0</v>
      </c>
      <c r="F9006" s="41" t="n">
        <f aca="false">Sens!$F$8932-(Sens!$F$8934+Sens!$F$8935)</f>
        <v>0</v>
      </c>
      <c r="G9006" s="41" t="n">
        <f aca="false">Sens!$G$8932-(Sens!$G$8934+Sens!$G$8935)</f>
        <v>0</v>
      </c>
      <c r="H9006" s="41" t="n">
        <f aca="false">Sens!$H$8932-(Sens!$H$8934+Sens!$H$8935)</f>
        <v>0</v>
      </c>
      <c r="I9006" s="41" t="n">
        <f aca="false">Sens!$I$8932-(Sens!$I$8934+Sens!$I$8935)</f>
        <v>0</v>
      </c>
      <c r="J9006" s="41" t="n">
        <f aca="false">Sens!$J$8932-(Sens!$J$8934+Sens!$J$8935)</f>
        <v>0</v>
      </c>
      <c r="K9006" s="41" t="n">
        <f aca="false">Sens!$K$8932-(Sens!$K$8934+Sens!$K$8935)</f>
        <v>0</v>
      </c>
      <c r="L9006" s="41" t="n">
        <f aca="false">Sens!$L$8932-(Sens!$L$8934+Sens!$L$8935)</f>
        <v>0</v>
      </c>
      <c r="M9006" s="41" t="n">
        <f aca="false">Sens!$M$8932-(Sens!$M$8934+Sens!$M$8935)</f>
        <v>0</v>
      </c>
      <c r="N9006" s="41" t="n">
        <f aca="false">Sens!$N$8932-(Sens!$N$8934+Sens!$N$8935)</f>
        <v>0</v>
      </c>
      <c r="O9006" s="41" t="n">
        <f aca="false">Sens!$O$8932-(Sens!$O$8934+Sens!$O$8935)</f>
        <v>0</v>
      </c>
    </row>
    <row r="9007" customFormat="false" ht="17.15" hidden="false" customHeight="false" outlineLevel="0" collapsed="false">
      <c r="A9007" s="24" t="s">
        <v>715</v>
      </c>
      <c r="B9007" s="25" t="s">
        <v>86</v>
      </c>
      <c r="C9007" s="41" t="n">
        <f aca="false">Sens!$C$9002+Sens!$C$9003-Sens!$C$9004</f>
        <v>0</v>
      </c>
      <c r="D9007" s="41" t="n">
        <f aca="false">Sens!$D$9002+Sens!$D$9003-Sens!$D$9004</f>
        <v>0</v>
      </c>
      <c r="E9007" s="41" t="n">
        <f aca="false">Sens!$E$9002+Sens!$E$9003-Sens!$E$9004</f>
        <v>0</v>
      </c>
      <c r="F9007" s="41" t="n">
        <f aca="false">Sens!$F$9002+Sens!$F$9003-Sens!$F$9004</f>
        <v>0</v>
      </c>
      <c r="G9007" s="41" t="n">
        <f aca="false">Sens!$G$9002+Sens!$G$9003-Sens!$G$9004</f>
        <v>0</v>
      </c>
      <c r="H9007" s="41" t="n">
        <f aca="false">Sens!$H$9002+Sens!$H$9003-Sens!$H$9004</f>
        <v>0</v>
      </c>
      <c r="I9007" s="41" t="n">
        <f aca="false">Sens!$I$9002+Sens!$I$9003-Sens!$I$9004</f>
        <v>0</v>
      </c>
      <c r="J9007" s="41" t="n">
        <f aca="false">Sens!$J$9002+Sens!$J$9003-Sens!$J$9004</f>
        <v>0</v>
      </c>
      <c r="K9007" s="41" t="n">
        <f aca="false">Sens!$K$9002+Sens!$K$9003-Sens!$K$9004</f>
        <v>0</v>
      </c>
      <c r="L9007" s="41" t="n">
        <f aca="false">Sens!$L$9002+Sens!$L$9003-Sens!$L$9004</f>
        <v>0</v>
      </c>
      <c r="M9007" s="41" t="n">
        <f aca="false">Sens!$M$9002+Sens!$M$9003-Sens!$M$9004</f>
        <v>0</v>
      </c>
      <c r="N9007" s="41" t="n">
        <f aca="false">Sens!$N$9002+Sens!$N$9003-Sens!$N$9004</f>
        <v>0</v>
      </c>
      <c r="O9007" s="41" t="n">
        <f aca="false">Sens!$O$9002+Sens!$O$9003-Sens!$O$9004</f>
        <v>0</v>
      </c>
    </row>
    <row r="9008" customFormat="false" ht="17.15" hidden="false" customHeight="false" outlineLevel="0" collapsed="false">
      <c r="A9008" s="24" t="s">
        <v>716</v>
      </c>
      <c r="B9008" s="25" t="s">
        <v>86</v>
      </c>
      <c r="C9008" s="41" t="n">
        <f aca="false">Sens!$C$8934+Sens!$C$8935+Sens!$C$9004-Sens!$C$9005</f>
        <v>0</v>
      </c>
      <c r="D9008" s="41" t="n">
        <f aca="false">Sens!$D$8934+Sens!$D$8935+Sens!$D$9004-Sens!$D$9005</f>
        <v>0</v>
      </c>
      <c r="E9008" s="41" t="n">
        <f aca="false">Sens!$E$8934+Sens!$E$8935+Sens!$E$9004-Sens!$E$9005</f>
        <v>0</v>
      </c>
      <c r="F9008" s="41" t="n">
        <f aca="false">Sens!$F$8934+Sens!$F$8935+Sens!$F$9004-Sens!$F$9005</f>
        <v>0</v>
      </c>
      <c r="G9008" s="41" t="n">
        <f aca="false">Sens!$G$8934+Sens!$G$8935+Sens!$G$9004-Sens!$G$9005</f>
        <v>0</v>
      </c>
      <c r="H9008" s="41" t="n">
        <f aca="false">Sens!$H$8934+Sens!$H$8935+Sens!$H$9004-Sens!$H$9005</f>
        <v>0</v>
      </c>
      <c r="I9008" s="41" t="n">
        <f aca="false">Sens!$I$8934+Sens!$I$8935+Sens!$I$9004-Sens!$I$9005</f>
        <v>0</v>
      </c>
      <c r="J9008" s="41" t="n">
        <f aca="false">Sens!$J$8934+Sens!$J$8935+Sens!$J$9004-Sens!$J$9005</f>
        <v>0</v>
      </c>
      <c r="K9008" s="41" t="n">
        <f aca="false">Sens!$K$8934+Sens!$K$8935+Sens!$K$9004-Sens!$K$9005</f>
        <v>0</v>
      </c>
      <c r="L9008" s="41" t="n">
        <f aca="false">Sens!$L$8934+Sens!$L$8935+Sens!$L$9004-Sens!$L$9005</f>
        <v>0</v>
      </c>
      <c r="M9008" s="41" t="n">
        <f aca="false">Sens!$M$8934+Sens!$M$8935+Sens!$M$9004-Sens!$M$9005</f>
        <v>0</v>
      </c>
      <c r="N9008" s="41" t="n">
        <f aca="false">Sens!$N$8934+Sens!$N$8935+Sens!$N$9004-Sens!$N$9005</f>
        <v>0</v>
      </c>
      <c r="O9008" s="41" t="n">
        <f aca="false">Sens!$O$8934+Sens!$O$8935+Sens!$O$9004-Sens!$O$9005</f>
        <v>0</v>
      </c>
    </row>
    <row r="9009" customFormat="false" ht="15" hidden="false" customHeight="false" outlineLevel="0" collapsed="false">
      <c r="A9009" s="5" t="s">
        <v>710</v>
      </c>
      <c r="B9009" s="0" t="s">
        <v>52</v>
      </c>
      <c r="G9009" s="13" t="n">
        <f aca="false">Sens!$G$9005/Sens!$D$9005-1</f>
        <v>0.140854504918937</v>
      </c>
      <c r="H9009" s="13" t="n">
        <f aca="false">Sens!$H$9005/Sens!$G$9005-1</f>
        <v>0.152063789793209</v>
      </c>
      <c r="I9009" s="13" t="n">
        <f aca="false">Sens!$I$9005/Sens!$H$9005-1</f>
        <v>0.134273264437417</v>
      </c>
      <c r="J9009" s="13" t="n">
        <f aca="false">Sens!$J$9005/Sens!$I$9005-1</f>
        <v>0.113310421234083</v>
      </c>
      <c r="K9009" s="13" t="n">
        <f aca="false">Sens!$K$9005/Sens!$J$9005-1</f>
        <v>0.0892108343223652</v>
      </c>
      <c r="L9009" s="13" t="n">
        <f aca="false">Sens!$L$9005/Sens!$K$9005-1</f>
        <v>0.076471362444261</v>
      </c>
      <c r="M9009" s="13" t="n">
        <f aca="false">Sens!$M$9005/Sens!$L$9005-1</f>
        <v>0.066250060256672</v>
      </c>
    </row>
    <row r="9010" customFormat="false" ht="17.15" hidden="false" customHeight="false" outlineLevel="0" collapsed="false">
      <c r="A9010" s="0" t="s">
        <v>711</v>
      </c>
      <c r="B9010" s="0" t="s">
        <v>52</v>
      </c>
      <c r="C9010" s="13" t="n">
        <f aca="false">Sens!$C$9004/Sens!$C$9005</f>
        <v>0.168593906504964</v>
      </c>
      <c r="D9010" s="13" t="n">
        <f aca="false">Sens!$D$9004/Sens!$D$9005</f>
        <v>0.179551807444025</v>
      </c>
      <c r="E9010" s="13" t="n">
        <f aca="false">Sens!$E$9004/Sens!$E$9005</f>
        <v>0.208881910369643</v>
      </c>
      <c r="F9010" s="13" t="n">
        <f aca="false">Sens!$F$9004/Sens!$F$9005</f>
        <v>0.199028269699356</v>
      </c>
      <c r="G9010" s="13" t="n">
        <f aca="false">Sens!$G$9004/Sens!$G$9005</f>
        <v>0.203631882529968</v>
      </c>
      <c r="H9010" s="13" t="n">
        <f aca="false">Sens!$H$9004/Sens!$H$9005</f>
        <v>0.234731715958496</v>
      </c>
      <c r="I9010" s="13" t="n">
        <f aca="false">Sens!$I$9004/Sens!$I$9005</f>
        <v>0.262231204480418</v>
      </c>
      <c r="J9010" s="13" t="n">
        <f aca="false">Sens!$J$9004/Sens!$J$9005</f>
        <v>0.284728366013706</v>
      </c>
      <c r="K9010" s="13" t="n">
        <f aca="false">Sens!$K$9004/Sens!$K$9005</f>
        <v>0.300823304959505</v>
      </c>
      <c r="L9010" s="13" t="n">
        <f aca="false">Sens!$L$9004/Sens!$L$9005</f>
        <v>0.308263164529735</v>
      </c>
      <c r="M9010" s="13" t="n">
        <f aca="false">Sens!$M$9004/Sens!$M$9005</f>
        <v>0.308856517936036</v>
      </c>
      <c r="N9010" s="13" t="n">
        <f aca="false">Sens!$N$9004/Sens!$N$9005</f>
        <v>0.185979484737251</v>
      </c>
      <c r="O9010" s="13" t="n">
        <f aca="false">Sens!$O$9004/Sens!$O$9005</f>
        <v>0.174270432341096</v>
      </c>
    </row>
    <row r="9011" customFormat="false" ht="17.15" hidden="false" customHeight="false" outlineLevel="0" collapsed="false">
      <c r="A9011" s="0" t="s">
        <v>712</v>
      </c>
      <c r="B9011" s="0" t="s">
        <v>52</v>
      </c>
      <c r="C9011" s="13" t="n">
        <f aca="false">Sens!$C$9002/Sens!$C$9004</f>
        <v>0.0215795060896058</v>
      </c>
      <c r="D9011" s="13" t="n">
        <f aca="false">Sens!$D$9002/Sens!$D$9004</f>
        <v>0.0676152269462122</v>
      </c>
      <c r="E9011" s="13" t="n">
        <f aca="false">Sens!$E$9002/Sens!$E$9004</f>
        <v>0.106620641395783</v>
      </c>
      <c r="F9011" s="13" t="n">
        <f aca="false">Sens!$F$9002/Sens!$F$9004</f>
        <v>0.172523487401099</v>
      </c>
      <c r="G9011" s="13" t="n">
        <f aca="false">Sens!$G$9002/Sens!$G$9004</f>
        <v>0.140939911795589</v>
      </c>
      <c r="H9011" s="13" t="n">
        <f aca="false">Sens!$H$9002/Sens!$H$9004</f>
        <v>0.272018642937714</v>
      </c>
      <c r="I9011" s="13" t="n">
        <f aca="false">Sens!$I$9002/Sens!$I$9004</f>
        <v>0.362159512436497</v>
      </c>
      <c r="J9011" s="13" t="n">
        <f aca="false">Sens!$J$9002/Sens!$J$9004</f>
        <v>0.422151735934609</v>
      </c>
      <c r="K9011" s="13" t="n">
        <f aca="false">Sens!$K$9002/Sens!$K$9004</f>
        <v>0.45769342068485</v>
      </c>
      <c r="L9011" s="13" t="n">
        <f aca="false">Sens!$L$9002/Sens!$L$9004</f>
        <v>0.469047103913472</v>
      </c>
      <c r="M9011" s="13" t="n">
        <f aca="false">Sens!$M$9002/Sens!$M$9004</f>
        <v>0.463233328258093</v>
      </c>
      <c r="N9011" s="13" t="n">
        <f aca="false">Sens!$N$9002/Sens!$N$9004</f>
        <v>0.0506537999838362</v>
      </c>
      <c r="O9011" s="13" t="n">
        <f aca="false">Sens!$O$9002/Sens!$O$9004</f>
        <v>0.0824881615167056</v>
      </c>
    </row>
    <row r="9014" customFormat="false" ht="19.4" hidden="false" customHeight="false" outlineLevel="0" collapsed="false">
      <c r="A9014" s="31" t="s">
        <v>1334</v>
      </c>
    </row>
    <row r="9015" customFormat="false" ht="17.15" hidden="false" customHeight="false" outlineLevel="0" collapsed="false">
      <c r="A9015" s="6" t="s">
        <v>16</v>
      </c>
      <c r="B9015" s="6" t="s">
        <v>17</v>
      </c>
      <c r="C9015" s="20" t="s">
        <v>504</v>
      </c>
      <c r="D9015" s="20" t="s">
        <v>505</v>
      </c>
      <c r="E9015" s="20" t="s">
        <v>587</v>
      </c>
      <c r="F9015" s="20" t="s">
        <v>588</v>
      </c>
      <c r="G9015" s="20" t="s">
        <v>589</v>
      </c>
      <c r="H9015" s="20" t="s">
        <v>590</v>
      </c>
      <c r="I9015" s="20" t="s">
        <v>591</v>
      </c>
      <c r="J9015" s="20" t="s">
        <v>592</v>
      </c>
      <c r="K9015" s="20" t="s">
        <v>593</v>
      </c>
      <c r="L9015" s="20" t="s">
        <v>594</v>
      </c>
      <c r="M9015" s="20" t="s">
        <v>595</v>
      </c>
      <c r="N9015" s="20" t="s">
        <v>596</v>
      </c>
      <c r="O9015" s="20" t="s">
        <v>597</v>
      </c>
      <c r="P9015" s="6" t="s">
        <v>23</v>
      </c>
      <c r="R9015" s="20" t="n">
        <v>2023</v>
      </c>
      <c r="S9015" s="20" t="n">
        <v>2024</v>
      </c>
      <c r="T9015" s="20" t="n">
        <v>2025</v>
      </c>
      <c r="U9015" s="20" t="n">
        <v>2026</v>
      </c>
      <c r="V9015" s="20" t="n">
        <v>2027</v>
      </c>
      <c r="W9015" s="20" t="n">
        <v>2028</v>
      </c>
      <c r="X9015" s="20" t="n">
        <v>2029</v>
      </c>
      <c r="Y9015" s="20" t="n">
        <v>2030</v>
      </c>
      <c r="Z9015" s="20" t="n">
        <v>2031</v>
      </c>
      <c r="AA9015" s="20" t="n">
        <v>2032</v>
      </c>
    </row>
    <row r="9016" customFormat="false" ht="17.15" hidden="false" customHeight="false" outlineLevel="0" collapsed="false">
      <c r="A9016" s="1" t="s">
        <v>727</v>
      </c>
    </row>
    <row r="9017" customFormat="false" ht="15" hidden="false" customHeight="false" outlineLevel="0" collapsed="false">
      <c r="A9017" s="0" t="s">
        <v>526</v>
      </c>
      <c r="B9017" s="0" t="s">
        <v>86</v>
      </c>
      <c r="C9017" s="38" t="n">
        <f aca="false">Sens!$C$8919</f>
        <v>247.029</v>
      </c>
      <c r="D9017" s="38" t="n">
        <f aca="false">Sens!$D$8919</f>
        <v>269.287</v>
      </c>
      <c r="E9017" s="38" t="n">
        <f aca="false">Sens!$E$8919</f>
        <v>134.686</v>
      </c>
      <c r="F9017" s="38" t="n">
        <f aca="false">Sens!$F$8919</f>
        <v>158.293876822267</v>
      </c>
      <c r="G9017" s="38" t="n">
        <f aca="false">Sens!$G$8919</f>
        <v>292.979876822267</v>
      </c>
      <c r="H9017" s="38" t="n">
        <f aca="false">Sens!$H$8919</f>
        <v>318.184543087396</v>
      </c>
      <c r="I9017" s="38" t="n">
        <f aca="false">Sens!$I$8919</f>
        <v>341.736278761793</v>
      </c>
      <c r="J9017" s="38" t="n">
        <f aca="false">Sens!$J$8919</f>
        <v>362.927192787048</v>
      </c>
      <c r="K9017" s="38" t="n">
        <f aca="false">Sens!$K$8919</f>
        <v>381.0735524264</v>
      </c>
      <c r="L9017" s="38" t="n">
        <f aca="false">Sens!$L$8919</f>
        <v>400.12723004772</v>
      </c>
      <c r="M9017" s="38" t="n">
        <f aca="false">Sens!$M$8919</f>
        <v>420.133591550106</v>
      </c>
      <c r="N9017" s="38" t="n">
        <f aca="false">Sens!$N$8919</f>
        <v>118.892</v>
      </c>
      <c r="O9017" s="38" t="n">
        <f aca="false">Sens!$O$8919</f>
        <v>150.395</v>
      </c>
    </row>
    <row r="9018" customFormat="false" ht="15" hidden="false" customHeight="false" outlineLevel="0" collapsed="false">
      <c r="A9018" s="0" t="s">
        <v>527</v>
      </c>
      <c r="B9018" s="0" t="s">
        <v>86</v>
      </c>
      <c r="C9018" s="38" t="n">
        <f aca="false">Sens!$C$8921</f>
        <v>21.215</v>
      </c>
      <c r="D9018" s="38" t="n">
        <f aca="false">Sens!$D$8921</f>
        <v>22.561</v>
      </c>
      <c r="E9018" s="38" t="n">
        <f aca="false">Sens!$E$8921</f>
        <v>11.579</v>
      </c>
      <c r="F9018" s="38" t="n">
        <f aca="false">Sens!$F$8921</f>
        <v>11.5938724610325</v>
      </c>
      <c r="G9018" s="38" t="n">
        <f aca="false">Sens!$G$8921</f>
        <v>23.1728724610325</v>
      </c>
      <c r="H9018" s="38" t="n">
        <f aca="false">Sens!$H$8921</f>
        <v>24.353392759506</v>
      </c>
      <c r="I9018" s="38" t="n">
        <f aca="false">Sens!$I$8921</f>
        <v>25.4240338872015</v>
      </c>
      <c r="J9018" s="38" t="n">
        <f aca="false">Sens!$J$8921</f>
        <v>26.3642491017174</v>
      </c>
      <c r="K9018" s="38" t="n">
        <f aca="false">Sens!$K$8921</f>
        <v>27.155176574769</v>
      </c>
      <c r="L9018" s="38" t="n">
        <f aca="false">Sens!$L$8921</f>
        <v>27.969831872012</v>
      </c>
      <c r="M9018" s="38" t="n">
        <f aca="false">Sens!$M$8921</f>
        <v>28.8089268281724</v>
      </c>
      <c r="N9018" s="38" t="n">
        <f aca="false">Sens!$N$8921</f>
        <v>11.128</v>
      </c>
      <c r="O9018" s="38" t="n">
        <f aca="false">Sens!$O$8921</f>
        <v>11.433</v>
      </c>
    </row>
    <row r="9019" customFormat="false" ht="15" hidden="false" customHeight="false" outlineLevel="0" collapsed="false">
      <c r="A9019" s="0" t="s">
        <v>528</v>
      </c>
      <c r="B9019" s="0" t="s">
        <v>86</v>
      </c>
      <c r="C9019" s="38" t="n">
        <f aca="false">Sens!$C$8923</f>
        <v>156.146</v>
      </c>
      <c r="D9019" s="38" t="n">
        <f aca="false">Sens!$D$8923</f>
        <v>172.162</v>
      </c>
      <c r="E9019" s="38" t="n">
        <f aca="false">Sens!$E$8923</f>
        <v>88.358</v>
      </c>
      <c r="F9019" s="38" t="n">
        <f aca="false">Sens!$F$8923</f>
        <v>102.004388260171</v>
      </c>
      <c r="G9019" s="38" t="n">
        <f aca="false">Sens!$G$8923</f>
        <v>190.362388260171</v>
      </c>
      <c r="H9019" s="38" t="n">
        <f aca="false">Sens!$H$8923</f>
        <v>210.343106588311</v>
      </c>
      <c r="I9019" s="38" t="n">
        <f aca="false">Sens!$I$8923</f>
        <v>229.969728494648</v>
      </c>
      <c r="J9019" s="38" t="n">
        <f aca="false">Sens!$J$8923</f>
        <v>248.747636972598</v>
      </c>
      <c r="K9019" s="38" t="n">
        <f aca="false">Sens!$K$8923</f>
        <v>266.15997156068</v>
      </c>
      <c r="L9019" s="38" t="n">
        <f aca="false">Sens!$L$8923</f>
        <v>284.791169569927</v>
      </c>
      <c r="M9019" s="38" t="n">
        <f aca="false">Sens!$M$8923</f>
        <v>304.726551439822</v>
      </c>
      <c r="N9019" s="38" t="n">
        <f aca="false">Sens!$N$8923</f>
        <v>76.86</v>
      </c>
      <c r="O9019" s="38" t="n">
        <f aca="false">Sens!$O$8923</f>
        <v>95.302</v>
      </c>
    </row>
    <row r="9020" customFormat="false" ht="15" hidden="false" customHeight="false" outlineLevel="0" collapsed="false">
      <c r="A9020" s="0" t="s">
        <v>529</v>
      </c>
      <c r="B9020" s="0" t="s">
        <v>86</v>
      </c>
      <c r="C9020" s="38" t="n">
        <f aca="false">Sens!$C$8925</f>
        <v>56.214</v>
      </c>
      <c r="D9020" s="38" t="n">
        <f aca="false">Sens!$D$8925</f>
        <v>68.635</v>
      </c>
      <c r="E9020" s="38" t="n">
        <f aca="false">Sens!$E$8925</f>
        <v>37.052</v>
      </c>
      <c r="F9020" s="38" t="n">
        <f aca="false">Sens!$F$8925</f>
        <v>46.1572219944148</v>
      </c>
      <c r="G9020" s="38" t="n">
        <f aca="false">Sens!$G$8925</f>
        <v>83.2092219944148</v>
      </c>
      <c r="H9020" s="38" t="n">
        <f aca="false">Sens!$H$8925</f>
        <v>99.8969223878976</v>
      </c>
      <c r="I9020" s="38" t="n">
        <f aca="false">Sens!$I$8925</f>
        <v>116.583111095496</v>
      </c>
      <c r="J9020" s="38" t="n">
        <f aca="false">Sens!$J$8925</f>
        <v>132.148941941952</v>
      </c>
      <c r="K9020" s="38" t="n">
        <f aca="false">Sens!$K$8925</f>
        <v>145.363836136147</v>
      </c>
      <c r="L9020" s="38" t="n">
        <f aca="false">Sens!$L$8925</f>
        <v>159.900219749762</v>
      </c>
      <c r="M9020" s="38" t="n">
        <f aca="false">Sens!$M$8925</f>
        <v>175.890241724738</v>
      </c>
      <c r="N9020" s="38" t="n">
        <f aca="false">Sens!$N$8925</f>
        <v>29.615</v>
      </c>
      <c r="O9020" s="38" t="n">
        <f aca="false">Sens!$O$8925</f>
        <v>39.02</v>
      </c>
    </row>
    <row r="9021" customFormat="false" ht="15" hidden="false" customHeight="false" outlineLevel="0" collapsed="false">
      <c r="A9021" s="0" t="s">
        <v>530</v>
      </c>
      <c r="B9021" s="0" t="s">
        <v>86</v>
      </c>
      <c r="C9021" s="38" t="n">
        <f aca="false">Sens!$C$8927</f>
        <v>44.374</v>
      </c>
      <c r="D9021" s="38" t="n">
        <f aca="false">Sens!$D$8927</f>
        <v>49.619</v>
      </c>
      <c r="E9021" s="38" t="n">
        <f aca="false">Sens!$E$8927</f>
        <v>27.157</v>
      </c>
      <c r="F9021" s="38" t="n">
        <f aca="false">Sens!$F$8927</f>
        <v>27.7764165988154</v>
      </c>
      <c r="G9021" s="38" t="n">
        <f aca="false">Sens!$G$8927</f>
        <v>54.9334165988154</v>
      </c>
      <c r="H9021" s="38" t="n">
        <f aca="false">Sens!$H$8927</f>
        <v>61.1564112561829</v>
      </c>
      <c r="I9021" s="38" t="n">
        <f aca="false">Sens!$I$8927</f>
        <v>67.2020282103945</v>
      </c>
      <c r="J9021" s="38" t="n">
        <f aca="false">Sens!$J$8927</f>
        <v>72.8757274028885</v>
      </c>
      <c r="K9021" s="38" t="n">
        <f aca="false">Sens!$K$8927</f>
        <v>77.9770283210907</v>
      </c>
      <c r="L9021" s="38" t="n">
        <f aca="false">Sens!$L$8927</f>
        <v>83.4354203035671</v>
      </c>
      <c r="M9021" s="38" t="n">
        <f aca="false">Sens!$M$8927</f>
        <v>89.2758997248168</v>
      </c>
      <c r="N9021" s="38" t="n">
        <f aca="false">Sens!$N$8927</f>
        <v>23.923</v>
      </c>
      <c r="O9021" s="38" t="n">
        <f aca="false">Sens!$O$8927</f>
        <v>25.696</v>
      </c>
    </row>
    <row r="9022" customFormat="false" ht="15" hidden="false" customHeight="false" outlineLevel="0" collapsed="false">
      <c r="A9022" s="0" t="s">
        <v>531</v>
      </c>
      <c r="B9022" s="0" t="s">
        <v>86</v>
      </c>
      <c r="C9022" s="38" t="n">
        <f aca="false">Sens!$C$8929</f>
        <v>5.425</v>
      </c>
      <c r="D9022" s="38" t="n">
        <f aca="false">Sens!$D$8929</f>
        <v>5.935</v>
      </c>
      <c r="E9022" s="38" t="n">
        <f aca="false">Sens!$E$8929</f>
        <v>3.474</v>
      </c>
      <c r="F9022" s="38" t="n">
        <f aca="false">Sens!$F$8929</f>
        <v>3.22246550883619</v>
      </c>
      <c r="G9022" s="38" t="n">
        <f aca="false">Sens!$G$8929</f>
        <v>6.69646550883619</v>
      </c>
      <c r="H9022" s="38" t="n">
        <f aca="false">Sens!$H$8929</f>
        <v>7.16251344209196</v>
      </c>
      <c r="I9022" s="38" t="n">
        <f aca="false">Sens!$I$8929</f>
        <v>7.61421070299826</v>
      </c>
      <c r="J9022" s="38" t="n">
        <f aca="false">Sens!$J$8929</f>
        <v>8.04465753523932</v>
      </c>
      <c r="K9022" s="38" t="n">
        <f aca="false">Sens!$K$8929</f>
        <v>8.44689041200128</v>
      </c>
      <c r="L9022" s="38" t="n">
        <f aca="false">Sens!$L$8929</f>
        <v>8.86923493260135</v>
      </c>
      <c r="M9022" s="38" t="n">
        <f aca="false">Sens!$M$8929</f>
        <v>9.31269667923142</v>
      </c>
      <c r="N9022" s="38" t="n">
        <f aca="false">Sens!$N$8929</f>
        <v>2.811</v>
      </c>
      <c r="O9022" s="38" t="n">
        <f aca="false">Sens!$O$8929</f>
        <v>3.124</v>
      </c>
    </row>
    <row r="9023" customFormat="false" ht="17.15" hidden="false" customHeight="false" outlineLevel="0" collapsed="false">
      <c r="A9023" s="0" t="s">
        <v>728</v>
      </c>
      <c r="B9023" s="0" t="s">
        <v>86</v>
      </c>
      <c r="C9023" s="38" t="n">
        <f aca="false">Sens!$C$9004</f>
        <v>107.556</v>
      </c>
      <c r="D9023" s="38" t="n">
        <f aca="false">Sens!$D$9004</f>
        <v>128.725</v>
      </c>
      <c r="E9023" s="38" t="n">
        <f aca="false">Sens!$E$9004</f>
        <v>79.819</v>
      </c>
      <c r="F9023" s="38" t="n">
        <f aca="false">Sens!$F$9004</f>
        <v>86.7327334389669</v>
      </c>
      <c r="G9023" s="38" t="n">
        <f aca="false">Sens!$G$9004</f>
        <v>166.551733438967</v>
      </c>
      <c r="H9023" s="38" t="n">
        <f aca="false">Sens!$H$9004</f>
        <v>221.182967828978</v>
      </c>
      <c r="I9023" s="38" t="n">
        <f aca="false">Sens!$I$9004</f>
        <v>280.27345865789</v>
      </c>
      <c r="J9023" s="38" t="n">
        <f aca="false">Sens!$J$9004</f>
        <v>338.800945197185</v>
      </c>
      <c r="K9023" s="38" t="n">
        <f aca="false">Sens!$K$9004</f>
        <v>389.88570147276</v>
      </c>
      <c r="L9023" s="38" t="n">
        <f aca="false">Sens!$L$9004</f>
        <v>430.080689379143</v>
      </c>
      <c r="M9023" s="38" t="n">
        <f aca="false">Sens!$M$9004</f>
        <v>459.456235951751</v>
      </c>
      <c r="N9023" s="38" t="n">
        <f aca="false">Sens!$N$9004</f>
        <v>60.14</v>
      </c>
      <c r="O9023" s="38" t="n">
        <f aca="false">Sens!$O$9004</f>
        <v>68.585</v>
      </c>
    </row>
    <row r="9024" customFormat="false" ht="15" hidden="false" customHeight="false" outlineLevel="0" collapsed="false">
      <c r="A9024" s="1" t="s">
        <v>519</v>
      </c>
      <c r="B9024" s="8" t="s">
        <v>86</v>
      </c>
      <c r="C9024" s="38" t="n">
        <f aca="false">Sens!$C$8934</f>
        <v>387.497</v>
      </c>
      <c r="D9024" s="38" t="n">
        <f aca="false">Sens!$D$8934</f>
        <v>426.305</v>
      </c>
      <c r="E9024" s="38" t="n">
        <f aca="false">Sens!$E$8934</f>
        <v>220.32</v>
      </c>
      <c r="F9024" s="38" t="n">
        <f aca="false">Sens!$F$8934</f>
        <v>250.639773480586</v>
      </c>
      <c r="G9024" s="38" t="n">
        <f aca="false">Sens!$G$8934</f>
        <v>470.959773480586</v>
      </c>
      <c r="H9024" s="38" t="n">
        <f aca="false">Sens!$H$8934</f>
        <v>521.386990416437</v>
      </c>
      <c r="I9024" s="38" t="n">
        <f aca="false">Sens!$I$8934</f>
        <v>570.143862887555</v>
      </c>
      <c r="J9024" s="38" t="n">
        <f aca="false">Sens!$J$8934</f>
        <v>615.391435791933</v>
      </c>
      <c r="K9024" s="38" t="n">
        <f aca="false">Sens!$K$8934</f>
        <v>655.208227561543</v>
      </c>
      <c r="L9024" s="38" t="n">
        <f aca="false">Sens!$L$8934</f>
        <v>697.807739249767</v>
      </c>
      <c r="M9024" s="38" t="n">
        <f aca="false">Sens!$M$8934</f>
        <v>743.399328463592</v>
      </c>
      <c r="N9024" s="38" t="n">
        <f aca="false">Sens!$N$8934</f>
        <v>192.955</v>
      </c>
      <c r="O9024" s="38" t="n">
        <f aca="false">Sens!$O$8934</f>
        <v>233.35</v>
      </c>
    </row>
    <row r="9025" customFormat="false" ht="15" hidden="false" customHeight="false" outlineLevel="0" collapsed="false">
      <c r="A9025" s="1" t="s">
        <v>522</v>
      </c>
      <c r="B9025" s="8" t="s">
        <v>86</v>
      </c>
      <c r="C9025" s="38" t="n">
        <f aca="false">Sens!$C$8935</f>
        <v>142.906</v>
      </c>
      <c r="D9025" s="38" t="n">
        <f aca="false">Sens!$D$8935</f>
        <v>161.894</v>
      </c>
      <c r="E9025" s="38" t="n">
        <f aca="false">Sens!$E$8935</f>
        <v>81.986</v>
      </c>
      <c r="F9025" s="38" t="n">
        <f aca="false">Sens!$F$8935</f>
        <v>98.408468164951</v>
      </c>
      <c r="G9025" s="38" t="n">
        <f aca="false">Sens!$G$8935</f>
        <v>180.394468164951</v>
      </c>
      <c r="H9025" s="38" t="n">
        <f aca="false">Sens!$H$8935</f>
        <v>199.709899104949</v>
      </c>
      <c r="I9025" s="38" t="n">
        <f aca="false">Sens!$I$8935</f>
        <v>218.385528264976</v>
      </c>
      <c r="J9025" s="38" t="n">
        <f aca="false">Sens!$J$8935</f>
        <v>235.71696994951</v>
      </c>
      <c r="K9025" s="38" t="n">
        <f aca="false">Sens!$K$8935</f>
        <v>250.968227869545</v>
      </c>
      <c r="L9025" s="38" t="n">
        <f aca="false">Sens!$L$8935</f>
        <v>267.285367225822</v>
      </c>
      <c r="M9025" s="38" t="n">
        <f aca="false">Sens!$M$8935</f>
        <v>284.748579483295</v>
      </c>
      <c r="N9025" s="38" t="n">
        <f aca="false">Sens!$N$8935</f>
        <v>70.274</v>
      </c>
      <c r="O9025" s="38" t="n">
        <f aca="false">Sens!$O$8935</f>
        <v>91.62</v>
      </c>
    </row>
    <row r="9026" customFormat="false" ht="15" hidden="false" customHeight="false" outlineLevel="0" collapsed="false">
      <c r="A9026" s="1" t="s">
        <v>523</v>
      </c>
      <c r="B9026" s="8" t="s">
        <v>86</v>
      </c>
      <c r="C9026" s="38" t="n">
        <f aca="false">Sens!$C$9004</f>
        <v>107.556</v>
      </c>
      <c r="D9026" s="38" t="n">
        <f aca="false">Sens!$D$9004</f>
        <v>128.725</v>
      </c>
      <c r="E9026" s="38" t="n">
        <f aca="false">Sens!$E$9004</f>
        <v>79.819</v>
      </c>
      <c r="F9026" s="38" t="n">
        <f aca="false">Sens!$F$9004</f>
        <v>86.7327334389669</v>
      </c>
      <c r="G9026" s="38" t="n">
        <f aca="false">Sens!$G$9004</f>
        <v>166.551733438967</v>
      </c>
      <c r="H9026" s="38" t="n">
        <f aca="false">Sens!$H$9004</f>
        <v>221.182967828978</v>
      </c>
      <c r="I9026" s="38" t="n">
        <f aca="false">Sens!$I$9004</f>
        <v>280.27345865789</v>
      </c>
      <c r="J9026" s="38" t="n">
        <f aca="false">Sens!$J$9004</f>
        <v>338.800945197185</v>
      </c>
      <c r="K9026" s="38" t="n">
        <f aca="false">Sens!$K$9004</f>
        <v>389.88570147276</v>
      </c>
      <c r="L9026" s="38" t="n">
        <f aca="false">Sens!$L$9004</f>
        <v>430.080689379143</v>
      </c>
      <c r="M9026" s="38" t="n">
        <f aca="false">Sens!$M$9004</f>
        <v>459.456235951751</v>
      </c>
      <c r="N9026" s="38" t="n">
        <f aca="false">Sens!$N$9004</f>
        <v>60.14</v>
      </c>
      <c r="O9026" s="38" t="n">
        <f aca="false">Sens!$O$9004</f>
        <v>68.585</v>
      </c>
    </row>
    <row r="9027" customFormat="false" ht="17.15" hidden="false" customHeight="false" outlineLevel="0" collapsed="false">
      <c r="A9027" s="0" t="s">
        <v>702</v>
      </c>
      <c r="B9027" s="0" t="s">
        <v>86</v>
      </c>
      <c r="C9027" s="38" t="n">
        <f aca="false">Sens!$C$9002</f>
        <v>2.32100535697364</v>
      </c>
      <c r="D9027" s="38" t="n">
        <f aca="false">Sens!$D$9002</f>
        <v>8.70377008865116</v>
      </c>
      <c r="E9027" s="38" t="n">
        <f aca="false">Sens!$E$9002</f>
        <v>8.51035297557002</v>
      </c>
      <c r="F9027" s="38" t="n">
        <f aca="false">Sens!$F$9002</f>
        <v>14.9634336447205</v>
      </c>
      <c r="G9027" s="38" t="n">
        <f aca="false">Sens!$G$9002</f>
        <v>23.4737866202905</v>
      </c>
      <c r="H9027" s="38" t="n">
        <f aca="false">Sens!$H$9002</f>
        <v>60.1658907497746</v>
      </c>
      <c r="I9027" s="38" t="n">
        <f aca="false">Sens!$I$9002</f>
        <v>101.503699136432</v>
      </c>
      <c r="J9027" s="38" t="n">
        <f aca="false">Sens!$J$9002</f>
        <v>143.025407151278</v>
      </c>
      <c r="K9027" s="38" t="n">
        <f aca="false">Sens!$K$9002</f>
        <v>178.44812038318</v>
      </c>
      <c r="L9027" s="38" t="n">
        <f aca="false">Sens!$L$9002</f>
        <v>201.728101802396</v>
      </c>
      <c r="M9027" s="38" t="n">
        <f aca="false">Sens!$M$9002</f>
        <v>212.835441368865</v>
      </c>
      <c r="N9027" s="38" t="n">
        <f aca="false">Sens!$N$9002</f>
        <v>3.04631953102791</v>
      </c>
      <c r="O9027" s="38" t="n">
        <f aca="false">Sens!$O$9002</f>
        <v>5.65745055762326</v>
      </c>
    </row>
    <row r="9028" customFormat="false" ht="17.15" hidden="false" customHeight="false" outlineLevel="0" collapsed="false">
      <c r="A9028" s="0" t="s">
        <v>704</v>
      </c>
      <c r="B9028" s="0" t="s">
        <v>86</v>
      </c>
      <c r="C9028" s="38" t="n">
        <f aca="false">Sens!$C$9003</f>
        <v>105.234994643026</v>
      </c>
      <c r="D9028" s="38" t="n">
        <f aca="false">Sens!$D$9003</f>
        <v>120.021229911349</v>
      </c>
      <c r="E9028" s="38" t="n">
        <f aca="false">Sens!$E$9003</f>
        <v>71.30864702443</v>
      </c>
      <c r="F9028" s="38" t="n">
        <f aca="false">Sens!$F$9003</f>
        <v>71.7692997942464</v>
      </c>
      <c r="G9028" s="38" t="n">
        <f aca="false">Sens!$G$9003</f>
        <v>143.077946818676</v>
      </c>
      <c r="H9028" s="38" t="n">
        <f aca="false">Sens!$H$9003</f>
        <v>161.017077079203</v>
      </c>
      <c r="I9028" s="38" t="n">
        <f aca="false">Sens!$I$9003</f>
        <v>178.769759521457</v>
      </c>
      <c r="J9028" s="38" t="n">
        <f aca="false">Sens!$J$9003</f>
        <v>195.775538045907</v>
      </c>
      <c r="K9028" s="38" t="n">
        <f aca="false">Sens!$K$9003</f>
        <v>211.43758108958</v>
      </c>
      <c r="L9028" s="38" t="n">
        <f aca="false">Sens!$L$9003</f>
        <v>228.352587576746</v>
      </c>
      <c r="M9028" s="38" t="n">
        <f aca="false">Sens!$M$9003</f>
        <v>246.620794582886</v>
      </c>
      <c r="N9028" s="38" t="n">
        <f aca="false">Sens!$N$9003</f>
        <v>57.0936804689721</v>
      </c>
      <c r="O9028" s="38" t="n">
        <f aca="false">Sens!$O$9003</f>
        <v>62.9275494423768</v>
      </c>
    </row>
    <row r="9029" customFormat="false" ht="15" hidden="false" customHeight="false" outlineLevel="0" collapsed="false">
      <c r="A9029" s="3" t="s">
        <v>524</v>
      </c>
      <c r="B9029" s="8" t="s">
        <v>86</v>
      </c>
      <c r="C9029" s="38" t="n">
        <f aca="false">Sens!$C$9005</f>
        <v>637.959</v>
      </c>
      <c r="D9029" s="38" t="n">
        <f aca="false">Sens!$D$9005</f>
        <v>716.924</v>
      </c>
      <c r="E9029" s="38" t="n">
        <f aca="false">Sens!$E$9005</f>
        <v>382.125</v>
      </c>
      <c r="F9029" s="38" t="n">
        <f aca="false">Sens!$F$9005</f>
        <v>435.780975084504</v>
      </c>
      <c r="G9029" s="38" t="n">
        <f aca="false">Sens!$G$9005</f>
        <v>817.905975084504</v>
      </c>
      <c r="H9029" s="38" t="n">
        <f aca="false">Sens!$H$9005</f>
        <v>942.279857350364</v>
      </c>
      <c r="I9029" s="38" t="n">
        <f aca="false">Sens!$I$9005</f>
        <v>1068.80284981042</v>
      </c>
      <c r="J9029" s="38" t="n">
        <f aca="false">Sens!$J$9005</f>
        <v>1189.90935093863</v>
      </c>
      <c r="K9029" s="38" t="n">
        <f aca="false">Sens!$K$9005</f>
        <v>1296.06215690385</v>
      </c>
      <c r="L9029" s="38" t="n">
        <f aca="false">Sens!$L$9005</f>
        <v>1395.17379585473</v>
      </c>
      <c r="M9029" s="38" t="n">
        <f aca="false">Sens!$M$9005</f>
        <v>1487.60414389864</v>
      </c>
      <c r="N9029" s="38" t="n">
        <f aca="false">Sens!$N$9005</f>
        <v>323.369</v>
      </c>
      <c r="O9029" s="38" t="n">
        <f aca="false">Sens!$O$9005</f>
        <v>393.555</v>
      </c>
    </row>
    <row r="9030" customFormat="false" ht="17.15" hidden="false" customHeight="false" outlineLevel="0" collapsed="false">
      <c r="A9030" s="24" t="s">
        <v>714</v>
      </c>
      <c r="B9030" s="25" t="s">
        <v>86</v>
      </c>
      <c r="C9030" s="41" t="n">
        <f aca="false">Sens!$C$9017+Sens!$C$9018+Sens!$C$9019+Sens!$C$9020+Sens!$C$9021+Sens!$C$9022-(Sens!$C$9024+Sens!$C$9025)</f>
        <v>0</v>
      </c>
      <c r="D9030" s="41" t="n">
        <f aca="false">Sens!$D$9017+Sens!$D$9018+Sens!$D$9019+Sens!$D$9020+Sens!$D$9021+Sens!$D$9022-(Sens!$D$9024+Sens!$D$9025)</f>
        <v>0</v>
      </c>
      <c r="E9030" s="41" t="n">
        <f aca="false">Sens!$E$9017+Sens!$E$9018+Sens!$E$9019+Sens!$E$9020+Sens!$E$9021+Sens!$E$9022-(Sens!$E$9024+Sens!$E$9025)</f>
        <v>0</v>
      </c>
      <c r="F9030" s="41" t="n">
        <f aca="false">Sens!$F$9017+Sens!$F$9018+Sens!$F$9019+Sens!$F$9020+Sens!$F$9021+Sens!$F$9022-(Sens!$F$9024+Sens!$F$9025)</f>
        <v>0</v>
      </c>
      <c r="G9030" s="41" t="n">
        <f aca="false">Sens!$G$9017+Sens!$G$9018+Sens!$G$9019+Sens!$G$9020+Sens!$G$9021+Sens!$G$9022-(Sens!$G$9024+Sens!$G$9025)</f>
        <v>0</v>
      </c>
      <c r="H9030" s="41" t="n">
        <f aca="false">Sens!$H$9017+Sens!$H$9018+Sens!$H$9019+Sens!$H$9020+Sens!$H$9021+Sens!$H$9022-(Sens!$H$9024+Sens!$H$9025)</f>
        <v>0</v>
      </c>
      <c r="I9030" s="41" t="n">
        <f aca="false">Sens!$I$9017+Sens!$I$9018+Sens!$I$9019+Sens!$I$9020+Sens!$I$9021+Sens!$I$9022-(Sens!$I$9024+Sens!$I$9025)</f>
        <v>0</v>
      </c>
      <c r="J9030" s="41" t="n">
        <f aca="false">Sens!$J$9017+Sens!$J$9018+Sens!$J$9019+Sens!$J$9020+Sens!$J$9021+Sens!$J$9022-(Sens!$J$9024+Sens!$J$9025)</f>
        <v>0</v>
      </c>
      <c r="K9030" s="41" t="n">
        <f aca="false">Sens!$K$9017+Sens!$K$9018+Sens!$K$9019+Sens!$K$9020+Sens!$K$9021+Sens!$K$9022-(Sens!$K$9024+Sens!$K$9025)</f>
        <v>0</v>
      </c>
      <c r="L9030" s="41" t="n">
        <f aca="false">Sens!$L$9017+Sens!$L$9018+Sens!$L$9019+Sens!$L$9020+Sens!$L$9021+Sens!$L$9022-(Sens!$L$9024+Sens!$L$9025)</f>
        <v>0</v>
      </c>
      <c r="M9030" s="41" t="n">
        <f aca="false">Sens!$M$9017+Sens!$M$9018+Sens!$M$9019+Sens!$M$9020+Sens!$M$9021+Sens!$M$9022-(Sens!$M$9024+Sens!$M$9025)</f>
        <v>0</v>
      </c>
      <c r="N9030" s="41" t="n">
        <f aca="false">Sens!$N$9017+Sens!$N$9018+Sens!$N$9019+Sens!$N$9020+Sens!$N$9021+Sens!$N$9022-(Sens!$N$9024+Sens!$N$9025)</f>
        <v>0</v>
      </c>
      <c r="O9030" s="41" t="n">
        <f aca="false">Sens!$O$9017+Sens!$O$9018+Sens!$O$9019+Sens!$O$9020+Sens!$O$9021+Sens!$O$9022-(Sens!$O$9024+Sens!$O$9025)</f>
        <v>0</v>
      </c>
    </row>
    <row r="9031" customFormat="false" ht="17.15" hidden="false" customHeight="false" outlineLevel="0" collapsed="false">
      <c r="A9031" s="24" t="s">
        <v>715</v>
      </c>
      <c r="B9031" s="25" t="s">
        <v>86</v>
      </c>
      <c r="C9031" s="41" t="n">
        <f aca="false">Sens!$C$9027+Sens!$C$9028-Sens!$C$9026</f>
        <v>0</v>
      </c>
      <c r="D9031" s="41" t="n">
        <f aca="false">Sens!$D$9027+Sens!$D$9028-Sens!$D$9026</f>
        <v>0</v>
      </c>
      <c r="E9031" s="41" t="n">
        <f aca="false">Sens!$E$9027+Sens!$E$9028-Sens!$E$9026</f>
        <v>0</v>
      </c>
      <c r="F9031" s="41" t="n">
        <f aca="false">Sens!$F$9027+Sens!$F$9028-Sens!$F$9026</f>
        <v>0</v>
      </c>
      <c r="G9031" s="41" t="n">
        <f aca="false">Sens!$G$9027+Sens!$G$9028-Sens!$G$9026</f>
        <v>0</v>
      </c>
      <c r="H9031" s="41" t="n">
        <f aca="false">Sens!$H$9027+Sens!$H$9028-Sens!$H$9026</f>
        <v>0</v>
      </c>
      <c r="I9031" s="41" t="n">
        <f aca="false">Sens!$I$9027+Sens!$I$9028-Sens!$I$9026</f>
        <v>0</v>
      </c>
      <c r="J9031" s="41" t="n">
        <f aca="false">Sens!$J$9027+Sens!$J$9028-Sens!$J$9026</f>
        <v>0</v>
      </c>
      <c r="K9031" s="41" t="n">
        <f aca="false">Sens!$K$9027+Sens!$K$9028-Sens!$K$9026</f>
        <v>0</v>
      </c>
      <c r="L9031" s="41" t="n">
        <f aca="false">Sens!$L$9027+Sens!$L$9028-Sens!$L$9026</f>
        <v>0</v>
      </c>
      <c r="M9031" s="41" t="n">
        <f aca="false">Sens!$M$9027+Sens!$M$9028-Sens!$M$9026</f>
        <v>0</v>
      </c>
      <c r="N9031" s="41" t="n">
        <f aca="false">Sens!$N$9027+Sens!$N$9028-Sens!$N$9026</f>
        <v>0</v>
      </c>
      <c r="O9031" s="41" t="n">
        <f aca="false">Sens!$O$9027+Sens!$O$9028-Sens!$O$9026</f>
        <v>0</v>
      </c>
    </row>
    <row r="9032" customFormat="false" ht="17.15" hidden="false" customHeight="false" outlineLevel="0" collapsed="false">
      <c r="A9032" s="24" t="s">
        <v>774</v>
      </c>
      <c r="B9032" s="25" t="s">
        <v>86</v>
      </c>
      <c r="C9032" s="41" t="n">
        <f aca="false">Sens!$C$9017+Sens!$C$9018+Sens!$C$9019+Sens!$C$9020+Sens!$C$9021+Sens!$C$9022+Sens!$C$9023-Sens!$C$9029</f>
        <v>0</v>
      </c>
      <c r="D9032" s="41" t="n">
        <f aca="false">Sens!$D$9017+Sens!$D$9018+Sens!$D$9019+Sens!$D$9020+Sens!$D$9021+Sens!$D$9022+Sens!$D$9023-Sens!$D$9029</f>
        <v>0</v>
      </c>
      <c r="E9032" s="41" t="n">
        <f aca="false">Sens!$E$9017+Sens!$E$9018+Sens!$E$9019+Sens!$E$9020+Sens!$E$9021+Sens!$E$9022+Sens!$E$9023-Sens!$E$9029</f>
        <v>0</v>
      </c>
      <c r="F9032" s="41" t="n">
        <f aca="false">Sens!$F$9017+Sens!$F$9018+Sens!$F$9019+Sens!$F$9020+Sens!$F$9021+Sens!$F$9022+Sens!$F$9023-Sens!$F$9029</f>
        <v>0</v>
      </c>
      <c r="G9032" s="41" t="n">
        <f aca="false">Sens!$G$9017+Sens!$G$9018+Sens!$G$9019+Sens!$G$9020+Sens!$G$9021+Sens!$G$9022+Sens!$G$9023-Sens!$G$9029</f>
        <v>0</v>
      </c>
      <c r="H9032" s="41" t="n">
        <f aca="false">Sens!$H$9017+Sens!$H$9018+Sens!$H$9019+Sens!$H$9020+Sens!$H$9021+Sens!$H$9022+Sens!$H$9023-Sens!$H$9029</f>
        <v>0</v>
      </c>
      <c r="I9032" s="41" t="n">
        <f aca="false">Sens!$I$9017+Sens!$I$9018+Sens!$I$9019+Sens!$I$9020+Sens!$I$9021+Sens!$I$9022+Sens!$I$9023-Sens!$I$9029</f>
        <v>0</v>
      </c>
      <c r="J9032" s="41" t="n">
        <f aca="false">Sens!$J$9017+Sens!$J$9018+Sens!$J$9019+Sens!$J$9020+Sens!$J$9021+Sens!$J$9022+Sens!$J$9023-Sens!$J$9029</f>
        <v>0</v>
      </c>
      <c r="K9032" s="41" t="n">
        <f aca="false">Sens!$K$9017+Sens!$K$9018+Sens!$K$9019+Sens!$K$9020+Sens!$K$9021+Sens!$K$9022+Sens!$K$9023-Sens!$K$9029</f>
        <v>0</v>
      </c>
      <c r="L9032" s="41" t="n">
        <f aca="false">Sens!$L$9017+Sens!$L$9018+Sens!$L$9019+Sens!$L$9020+Sens!$L$9021+Sens!$L$9022+Sens!$L$9023-Sens!$L$9029</f>
        <v>0</v>
      </c>
      <c r="M9032" s="41" t="n">
        <f aca="false">Sens!$M$9017+Sens!$M$9018+Sens!$M$9019+Sens!$M$9020+Sens!$M$9021+Sens!$M$9022+Sens!$M$9023-Sens!$M$9029</f>
        <v>0</v>
      </c>
      <c r="N9032" s="41" t="n">
        <f aca="false">Sens!$N$9017+Sens!$N$9018+Sens!$N$9019+Sens!$N$9020+Sens!$N$9021+Sens!$N$9022+Sens!$N$9023-Sens!$N$9029</f>
        <v>0</v>
      </c>
      <c r="O9032" s="41" t="n">
        <f aca="false">Sens!$O$9017+Sens!$O$9018+Sens!$O$9019+Sens!$O$9020+Sens!$O$9021+Sens!$O$9022+Sens!$O$9023-Sens!$O$9029</f>
        <v>0</v>
      </c>
    </row>
    <row r="9033" customFormat="false" ht="17.15" hidden="false" customHeight="false" outlineLevel="0" collapsed="false">
      <c r="A9033" s="24" t="s">
        <v>716</v>
      </c>
      <c r="B9033" s="25" t="s">
        <v>86</v>
      </c>
      <c r="C9033" s="41" t="n">
        <f aca="false">Sens!$C$9024+Sens!$C$9025+Sens!$C$9026-Sens!$C$9029</f>
        <v>0</v>
      </c>
      <c r="D9033" s="41" t="n">
        <f aca="false">Sens!$D$9024+Sens!$D$9025+Sens!$D$9026-Sens!$D$9029</f>
        <v>0</v>
      </c>
      <c r="E9033" s="41" t="n">
        <f aca="false">Sens!$E$9024+Sens!$E$9025+Sens!$E$9026-Sens!$E$9029</f>
        <v>0</v>
      </c>
      <c r="F9033" s="41" t="n">
        <f aca="false">Sens!$F$9024+Sens!$F$9025+Sens!$F$9026-Sens!$F$9029</f>
        <v>0</v>
      </c>
      <c r="G9033" s="41" t="n">
        <f aca="false">Sens!$G$9024+Sens!$G$9025+Sens!$G$9026-Sens!$G$9029</f>
        <v>0</v>
      </c>
      <c r="H9033" s="41" t="n">
        <f aca="false">Sens!$H$9024+Sens!$H$9025+Sens!$H$9026-Sens!$H$9029</f>
        <v>0</v>
      </c>
      <c r="I9033" s="41" t="n">
        <f aca="false">Sens!$I$9024+Sens!$I$9025+Sens!$I$9026-Sens!$I$9029</f>
        <v>0</v>
      </c>
      <c r="J9033" s="41" t="n">
        <f aca="false">Sens!$J$9024+Sens!$J$9025+Sens!$J$9026-Sens!$J$9029</f>
        <v>0</v>
      </c>
      <c r="K9033" s="41" t="n">
        <f aca="false">Sens!$K$9024+Sens!$K$9025+Sens!$K$9026-Sens!$K$9029</f>
        <v>0</v>
      </c>
      <c r="L9033" s="41" t="n">
        <f aca="false">Sens!$L$9024+Sens!$L$9025+Sens!$L$9026-Sens!$L$9029</f>
        <v>0</v>
      </c>
      <c r="M9033" s="41" t="n">
        <f aca="false">Sens!$M$9024+Sens!$M$9025+Sens!$M$9026-Sens!$M$9029</f>
        <v>0</v>
      </c>
      <c r="N9033" s="41" t="n">
        <f aca="false">Sens!$N$9024+Sens!$N$9025+Sens!$N$9026-Sens!$N$9029</f>
        <v>0</v>
      </c>
      <c r="O9033" s="41" t="n">
        <f aca="false">Sens!$O$9024+Sens!$O$9025+Sens!$O$9026-Sens!$O$9029</f>
        <v>0</v>
      </c>
    </row>
    <row r="9034" customFormat="false" ht="17.15" hidden="false" customHeight="false" outlineLevel="0" collapsed="false">
      <c r="A9034" s="1" t="s">
        <v>730</v>
      </c>
    </row>
    <row r="9035" customFormat="false" ht="17.15" hidden="false" customHeight="false" outlineLevel="0" collapsed="false">
      <c r="A9035" s="0" t="s">
        <v>731</v>
      </c>
      <c r="B9035" s="0" t="s">
        <v>86</v>
      </c>
      <c r="C9035" s="38" t="n">
        <f aca="false">Sens!$C$8936*m_ad</f>
        <v>20.5341564414228</v>
      </c>
      <c r="D9035" s="38" t="n">
        <f aca="false">Sens!$D$8936*m_ad</f>
        <v>24.8720617299587</v>
      </c>
      <c r="E9035" s="38" t="n">
        <f aca="false">Sens!$E$8936*m_ad</f>
        <v>13.5017112462207</v>
      </c>
      <c r="F9035" s="38" t="n">
        <f aca="false">Sens!$F$8936*m_ad</f>
        <v>16.5719724165257</v>
      </c>
      <c r="G9035" s="38" t="n">
        <f aca="false">Sens!$G$8936*m_ad</f>
        <v>30.0820919220415</v>
      </c>
      <c r="H9035" s="38" t="n">
        <f aca="false">Sens!$H$8936*m_ad</f>
        <v>36.1150883276314</v>
      </c>
      <c r="I9035" s="38" t="n">
        <f aca="false">Sens!$I$8936*m_ad</f>
        <v>42.1475382231996</v>
      </c>
      <c r="J9035" s="38" t="n">
        <f aca="false">Sens!$J$8936*m_ad</f>
        <v>47.7749523864693</v>
      </c>
      <c r="K9035" s="38" t="n">
        <f aca="false">Sens!$K$8936*m_ad</f>
        <v>52.5524476251162</v>
      </c>
      <c r="L9035" s="38" t="n">
        <f aca="false">Sens!$L$8936*m_ad</f>
        <v>57.8076923876279</v>
      </c>
      <c r="M9035" s="38" t="n">
        <f aca="false">Sens!$M$8936*m_ad</f>
        <v>63.5884616263907</v>
      </c>
      <c r="N9035" s="38" t="n">
        <f aca="false">Sens!$N$8936*m_ad</f>
        <v>10.8543555706248</v>
      </c>
      <c r="O9035" s="38" t="n">
        <f aca="false">Sens!$O$8936*m_ad</f>
        <v>14.0094731821399</v>
      </c>
    </row>
    <row r="9036" customFormat="false" ht="17.15" hidden="false" customHeight="false" outlineLevel="0" collapsed="false">
      <c r="A9036" s="0" t="s">
        <v>732</v>
      </c>
      <c r="B9036" s="0" t="s">
        <v>86</v>
      </c>
      <c r="C9036" s="38" t="n">
        <f aca="false">Sens!$C$8934-Sens!$C$8936</f>
        <v>346.428687117154</v>
      </c>
      <c r="D9036" s="38" t="n">
        <f aca="false">Sens!$D$8934-Sens!$D$8936</f>
        <v>376.560876540083</v>
      </c>
      <c r="E9036" s="38" t="n">
        <f aca="false">Sens!$E$8934-Sens!$E$8936</f>
        <v>193.316577507559</v>
      </c>
      <c r="F9036" s="38" t="n">
        <f aca="false">Sens!$F$8934-Sens!$F$8936</f>
        <v>217.495828647535</v>
      </c>
      <c r="G9036" s="38" t="n">
        <f aca="false">Sens!$G$8934-Sens!$G$8936</f>
        <v>410.795589636503</v>
      </c>
      <c r="H9036" s="38" t="n">
        <f aca="false">Sens!$H$8934-Sens!$H$8936</f>
        <v>449.156813761174</v>
      </c>
      <c r="I9036" s="38" t="n">
        <f aca="false">Sens!$I$8934-Sens!$I$8936</f>
        <v>485.848786441156</v>
      </c>
      <c r="J9036" s="38" t="n">
        <f aca="false">Sens!$J$8934-Sens!$J$8936</f>
        <v>519.841531018994</v>
      </c>
      <c r="K9036" s="38" t="n">
        <f aca="false">Sens!$K$8934-Sens!$K$8936</f>
        <v>550.103332311311</v>
      </c>
      <c r="L9036" s="38" t="n">
        <f aca="false">Sens!$L$8934-Sens!$L$8936</f>
        <v>582.192354474511</v>
      </c>
      <c r="M9036" s="38" t="n">
        <f aca="false">Sens!$M$8934-Sens!$M$8936</f>
        <v>616.22240521081</v>
      </c>
      <c r="N9036" s="38" t="n">
        <f aca="false">Sens!$N$8934-Sens!$N$8936</f>
        <v>171.24628885875</v>
      </c>
      <c r="O9036" s="38" t="n">
        <f aca="false">Sens!$O$8934-Sens!$O$8936</f>
        <v>205.33105363572</v>
      </c>
    </row>
    <row r="9037" customFormat="false" ht="17.15" hidden="false" customHeight="false" outlineLevel="0" collapsed="false">
      <c r="A9037" s="0" t="s">
        <v>733</v>
      </c>
      <c r="B9037" s="0" t="s">
        <v>86</v>
      </c>
      <c r="C9037" s="38" t="n">
        <f aca="false">Sens!$C$8988*Sens!$C$8933</f>
        <v>0.123617442257179</v>
      </c>
      <c r="D9037" s="38" t="n">
        <f aca="false">Sens!$D$8988*Sens!$D$8933</f>
        <v>0.600198046024689</v>
      </c>
      <c r="E9037" s="38" t="n">
        <f aca="false">Sens!$E$8988*Sens!$E$8933</f>
        <v>1.10840000750276</v>
      </c>
      <c r="F9037" s="38" t="n">
        <f aca="false">Sens!$F$8988*Sens!$F$8933</f>
        <v>1.33595298721025</v>
      </c>
      <c r="G9037" s="38" t="n">
        <f aca="false">Sens!$G$8988*Sens!$G$8933</f>
        <v>2.44487335052545</v>
      </c>
      <c r="H9037" s="38" t="n">
        <f aca="false">Sens!$H$8988*Sens!$H$8933</f>
        <v>6.63132711939388</v>
      </c>
      <c r="I9037" s="38" t="n">
        <f aca="false">Sens!$I$8988*Sens!$I$8933</f>
        <v>12.7486799258504</v>
      </c>
      <c r="J9037" s="38" t="n">
        <f aca="false">Sens!$J$8988*Sens!$J$8933</f>
        <v>18.4074045299415</v>
      </c>
      <c r="K9037" s="38" t="n">
        <f aca="false">Sens!$K$8988*Sens!$K$8933</f>
        <v>23.9455472348705</v>
      </c>
      <c r="L9037" s="38" t="n">
        <f aca="false">Sens!$L$8988*Sens!$L$8933</f>
        <v>27.78179156216</v>
      </c>
      <c r="M9037" s="38" t="n">
        <f aca="false">Sens!$M$8988*Sens!$M$8933</f>
        <v>29.9029027327362</v>
      </c>
      <c r="N9037" s="38" t="n">
        <f aca="false">Sens!$N$8988*Sens!$N$8933</f>
        <v>0.25053229484398</v>
      </c>
      <c r="O9037" s="38" t="n">
        <f aca="false">Sens!$O$8988*Sens!$O$8933</f>
        <v>0.349234376756897</v>
      </c>
    </row>
    <row r="9038" customFormat="false" ht="17.15" hidden="false" customHeight="false" outlineLevel="0" collapsed="false">
      <c r="A9038" s="0" t="s">
        <v>734</v>
      </c>
      <c r="B9038" s="0" t="s">
        <v>52</v>
      </c>
      <c r="C9038" s="28" t="n">
        <f aca="false">(Sens!$C$9039-Sens!$C$9035+Sens!$C$9037)/Sens!$C$9036</f>
        <v>0.0131526665379575</v>
      </c>
      <c r="D9038" s="28" t="n">
        <f aca="false">(Sens!$D$9039-Sens!$D$9035+Sens!$D$9037)/Sens!$D$9036</f>
        <v>0.0141999252954702</v>
      </c>
      <c r="E9038" s="28" t="n">
        <f aca="false">(Sens!$E$9039-Sens!$E$9035+Sens!$E$9037)/Sens!$E$9036</f>
        <v>0.0258471819939326</v>
      </c>
      <c r="F9038" s="28" t="n">
        <f aca="false">Sens!$O$9038+(Sens!$E$9038-Sens!$N$9038)</f>
        <v>0.0224302350712874</v>
      </c>
      <c r="G9038" s="28" t="n">
        <f aca="false">(Sens!$G$9039-Sens!$G$9035+Sens!$G$9037)/Sens!$G$9036</f>
        <v>0.0240199351461372</v>
      </c>
      <c r="H9038" s="28" t="n">
        <f aca="false">Sens!$G$9038+step_na</f>
        <v>0.0270199351461372</v>
      </c>
      <c r="I9038" s="28" t="n">
        <f aca="false">Sens!$H$9038+step_na</f>
        <v>0.0300199351461372</v>
      </c>
      <c r="J9038" s="28" t="n">
        <f aca="false">Sens!$I$9038+step_na</f>
        <v>0.0330199351461372</v>
      </c>
      <c r="K9038" s="28" t="n">
        <f aca="false">Sens!$J$9038+step_na</f>
        <v>0.0360199351461372</v>
      </c>
      <c r="L9038" s="28" t="n">
        <f aca="false">Sens!$K$9038</f>
        <v>0.0360199351461372</v>
      </c>
      <c r="M9038" s="28" t="n">
        <f aca="false">Sens!$L$9038</f>
        <v>0.0360199351461372</v>
      </c>
      <c r="N9038" s="28" t="n">
        <f aca="false">(Sens!$N$9039-Sens!$N$9035+Sens!$N$9037)/Sens!$N$9036</f>
        <v>0.0160831323269779</v>
      </c>
      <c r="O9038" s="28" t="n">
        <f aca="false">(Sens!$O$9039-Sens!$O$9035+Sens!$O$9037)/Sens!$O$9036</f>
        <v>0.0126661854043327</v>
      </c>
      <c r="P9038" s="8" t="s">
        <v>735</v>
      </c>
    </row>
    <row r="9039" customFormat="false" ht="17.15" hidden="false" customHeight="false" outlineLevel="0" collapsed="false">
      <c r="A9039" s="1" t="s">
        <v>736</v>
      </c>
      <c r="B9039" s="8" t="s">
        <v>86</v>
      </c>
      <c r="C9039" s="38" t="n">
        <f aca="false">Q!$D$22</f>
        <v>24.967</v>
      </c>
      <c r="D9039" s="38" t="n">
        <f aca="false">Q!$E$22</f>
        <v>29.619</v>
      </c>
      <c r="E9039" s="38" t="n">
        <f aca="false">Q!$P$22</f>
        <v>17.39</v>
      </c>
      <c r="F9039" s="38" t="n">
        <f aca="false">Sens!$F$9035+Sens!$F$9036*Sens!$F$9038-Sens!$F$9037</f>
        <v>20.1145019929041</v>
      </c>
      <c r="G9039" s="38" t="n">
        <f aca="false">Sens!$E$9039+Sens!$F$9039</f>
        <v>37.5045019929041</v>
      </c>
      <c r="H9039" s="38" t="n">
        <f aca="false">Sens!$H$9035+Sens!$H$9036*Sens!$H$9038-Sens!$H$9037</f>
        <v>41.6199491865101</v>
      </c>
      <c r="I9039" s="38" t="n">
        <f aca="false">Sens!$I$9035+Sens!$I$9036*Sens!$I$9038-Sens!$I$9037</f>
        <v>43.9840073571422</v>
      </c>
      <c r="J9039" s="38" t="n">
        <f aca="false">Sens!$J$9035+Sens!$J$9036*Sens!$J$9038-Sens!$J$9037</f>
        <v>46.5326814970436</v>
      </c>
      <c r="K9039" s="38" t="n">
        <f aca="false">Sens!$K$9035+Sens!$K$9036*Sens!$K$9038-Sens!$K$9037</f>
        <v>48.4215867437731</v>
      </c>
      <c r="L9039" s="38" t="n">
        <f aca="false">Sens!$L$9035+Sens!$L$9036*Sens!$L$9038-Sens!$L$9037</f>
        <v>50.9964316762167</v>
      </c>
      <c r="M9039" s="38" t="n">
        <f aca="false">Sens!$M$9035+Sens!$M$9036*Sens!$M$9038-Sens!$M$9037</f>
        <v>55.8818499649445</v>
      </c>
      <c r="N9039" s="38" t="n">
        <f aca="false">Q!$N$22</f>
        <v>13.358</v>
      </c>
      <c r="O9039" s="38" t="n">
        <f aca="false">Q!$O$22</f>
        <v>16.261</v>
      </c>
    </row>
    <row r="9040" customFormat="false" ht="17.15" hidden="false" customHeight="false" outlineLevel="0" collapsed="false">
      <c r="A9040" s="0" t="s">
        <v>737</v>
      </c>
      <c r="B9040" s="0" t="s">
        <v>86</v>
      </c>
      <c r="C9040" s="38" t="n">
        <f aca="false">Sens!$C$8937*m_ad</f>
        <v>7.57284355857716</v>
      </c>
      <c r="D9040" s="38" t="n">
        <f aca="false">Sens!$D$8937*m_ad</f>
        <v>9.44543827004127</v>
      </c>
      <c r="E9040" s="38" t="n">
        <f aca="false">Sens!$E$8937*m_ad</f>
        <v>5.02428875377928</v>
      </c>
      <c r="F9040" s="38" t="n">
        <f aca="false">Sens!$F$8937*m_ad</f>
        <v>6.50663858068173</v>
      </c>
      <c r="G9040" s="38" t="n">
        <f aca="false">Sens!$G$8937*m_ad</f>
        <v>11.5225190751659</v>
      </c>
      <c r="H9040" s="38" t="n">
        <f aca="false">Sens!$H$8937*m_ad</f>
        <v>13.8333728663174</v>
      </c>
      <c r="I9040" s="38" t="n">
        <f aca="false">Sens!$I$8937*m_ad</f>
        <v>16.1440173245485</v>
      </c>
      <c r="J9040" s="38" t="n">
        <f aca="false">Sens!$J$8937*m_ad</f>
        <v>18.2995185845066</v>
      </c>
      <c r="K9040" s="38" t="n">
        <f aca="false">Sens!$K$8937*m_ad</f>
        <v>20.1294704429572</v>
      </c>
      <c r="L9040" s="38" t="n">
        <f aca="false">Sens!$L$8937*m_ad</f>
        <v>22.142417487253</v>
      </c>
      <c r="M9040" s="38" t="n">
        <f aca="false">Sens!$M$8937*m_ad</f>
        <v>24.3566592359783</v>
      </c>
      <c r="N9040" s="38" t="n">
        <f aca="false">Sens!$N$8937*m_ad</f>
        <v>3.95314442937518</v>
      </c>
      <c r="O9040" s="38" t="n">
        <f aca="false">Sens!$O$8937*m_ad</f>
        <v>5.50052681786011</v>
      </c>
    </row>
    <row r="9041" customFormat="false" ht="17.15" hidden="false" customHeight="false" outlineLevel="0" collapsed="false">
      <c r="A9041" s="0" t="s">
        <v>738</v>
      </c>
      <c r="B9041" s="0" t="s">
        <v>86</v>
      </c>
      <c r="C9041" s="38" t="n">
        <f aca="false">Sens!$C$8935-Sens!$C$8937</f>
        <v>127.760312882846</v>
      </c>
      <c r="D9041" s="38" t="n">
        <f aca="false">Sens!$D$8935-Sens!$D$8937</f>
        <v>143.003123459917</v>
      </c>
      <c r="E9041" s="38" t="n">
        <f aca="false">Sens!$E$8935-Sens!$E$8937</f>
        <v>71.9374224924414</v>
      </c>
      <c r="F9041" s="38" t="n">
        <f aca="false">Sens!$F$8935-Sens!$F$8937</f>
        <v>85.3951910035875</v>
      </c>
      <c r="G9041" s="38" t="n">
        <f aca="false">Sens!$G$8935-Sens!$G$8937</f>
        <v>157.349430014619</v>
      </c>
      <c r="H9041" s="38" t="n">
        <f aca="false">Sens!$H$8935-Sens!$H$8937</f>
        <v>172.043153372315</v>
      </c>
      <c r="I9041" s="38" t="n">
        <f aca="false">Sens!$I$8935-Sens!$I$8937</f>
        <v>186.097493615879</v>
      </c>
      <c r="J9041" s="38" t="n">
        <f aca="false">Sens!$J$8935-Sens!$J$8937</f>
        <v>199.117932780497</v>
      </c>
      <c r="K9041" s="38" t="n">
        <f aca="false">Sens!$K$8935-Sens!$K$8937</f>
        <v>210.70928698363</v>
      </c>
      <c r="L9041" s="38" t="n">
        <f aca="false">Sens!$L$8935-Sens!$L$8937</f>
        <v>223.000532251316</v>
      </c>
      <c r="M9041" s="38" t="n">
        <f aca="false">Sens!$M$8935-Sens!$M$8937</f>
        <v>236.035261011339</v>
      </c>
      <c r="N9041" s="38" t="n">
        <f aca="false">Sens!$N$8935-Sens!$N$8937</f>
        <v>62.3677111412496</v>
      </c>
      <c r="O9041" s="38" t="n">
        <f aca="false">Sens!$O$8935-Sens!$O$8937</f>
        <v>80.6189463642798</v>
      </c>
    </row>
    <row r="9042" customFormat="false" ht="17.15" hidden="false" customHeight="false" outlineLevel="0" collapsed="false">
      <c r="A9042" s="0" t="s">
        <v>739</v>
      </c>
      <c r="B9042" s="0" t="s">
        <v>86</v>
      </c>
      <c r="C9042" s="38" t="n">
        <f aca="false">Sens!$C$8988*(1-Sens!$C$8933)</f>
        <v>0.0455891896019953</v>
      </c>
      <c r="D9042" s="38" t="n">
        <f aca="false">Sens!$D$8988*(1-Sens!$D$8933)</f>
        <v>0.227931791705753</v>
      </c>
      <c r="E9042" s="38" t="n">
        <f aca="false">Sens!$E$8988*(1-Sens!$E$8933)</f>
        <v>0.412460434890711</v>
      </c>
      <c r="F9042" s="38" t="n">
        <f aca="false">Sens!$F$8988*(1-Sens!$F$8933)</f>
        <v>0.524534016233997</v>
      </c>
      <c r="G9042" s="38" t="n">
        <f aca="false">Sens!$G$8988*(1-Sens!$G$8933)</f>
        <v>0.936474095312266</v>
      </c>
      <c r="H9042" s="38" t="n">
        <f aca="false">Sens!$H$8988*(1-Sens!$H$8933)</f>
        <v>2.54003589327823</v>
      </c>
      <c r="I9042" s="38" t="n">
        <f aca="false">Sens!$I$8988*(1-Sens!$I$8933)</f>
        <v>4.88320120852905</v>
      </c>
      <c r="J9042" s="38" t="n">
        <f aca="false">Sens!$J$8988*(1-Sens!$J$8933)</f>
        <v>7.05069548920359</v>
      </c>
      <c r="K9042" s="38" t="n">
        <f aca="false">Sens!$K$8988*(1-Sens!$K$8933)</f>
        <v>9.17200258193867</v>
      </c>
      <c r="L9042" s="38" t="n">
        <f aca="false">Sens!$L$8988*(1-Sens!$L$8933)</f>
        <v>10.6414216154535</v>
      </c>
      <c r="M9042" s="38" t="n">
        <f aca="false">Sens!$M$8988*(1-Sens!$M$8933)</f>
        <v>11.4538831951485</v>
      </c>
      <c r="N9042" s="38" t="n">
        <f aca="false">Sens!$N$8988*(1-Sens!$N$8933)</f>
        <v>0.0912435878202994</v>
      </c>
      <c r="O9042" s="38" t="n">
        <f aca="false">Sens!$O$8988*(1-Sens!$O$8933)</f>
        <v>0.137119578309265</v>
      </c>
    </row>
    <row r="9043" customFormat="false" ht="17.15" hidden="false" customHeight="false" outlineLevel="0" collapsed="false">
      <c r="A9043" s="0" t="s">
        <v>740</v>
      </c>
      <c r="B9043" s="0" t="s">
        <v>52</v>
      </c>
      <c r="C9043" s="28" t="n">
        <f aca="false">(Sens!$C$9044-Sens!$C$9040+Sens!$C$9042)/Sens!$C$9041</f>
        <v>-0.0292364215826579</v>
      </c>
      <c r="D9043" s="28" t="n">
        <f aca="false">(Sens!$D$9044-Sens!$D$9040+Sens!$D$9042)/Sens!$D$9041</f>
        <v>-0.0312406216748665</v>
      </c>
      <c r="E9043" s="28" t="n">
        <f aca="false">(Sens!$E$9044-Sens!$E$9040+Sens!$E$9042)/Sens!$E$9041</f>
        <v>-0.0204459413185552</v>
      </c>
      <c r="F9043" s="28" t="n">
        <f aca="false">Sens!$O$9043+(Sens!$E$9043-Sens!$N$9043)</f>
        <v>-0.0375409290246314</v>
      </c>
      <c r="G9043" s="28" t="n">
        <f aca="false">(Sens!$G$9044-Sens!$G$9040+Sens!$G$9042)/Sens!$G$9041</f>
        <v>-0.0296712560031684</v>
      </c>
      <c r="H9043" s="28" t="n">
        <f aca="false">Sens!$G$9043+step_in</f>
        <v>-0.0296712560031684</v>
      </c>
      <c r="I9043" s="28" t="n">
        <f aca="false">Sens!$H$9043+step_in</f>
        <v>-0.0296712560031684</v>
      </c>
      <c r="J9043" s="28" t="n">
        <f aca="false">Sens!$I$9043+step_in</f>
        <v>-0.0296712560031684</v>
      </c>
      <c r="K9043" s="28" t="n">
        <f aca="false">Sens!$J$9043+step_in</f>
        <v>-0.0296712560031684</v>
      </c>
      <c r="L9043" s="28" t="n">
        <f aca="false">Sens!$K$9043</f>
        <v>-0.0296712560031684</v>
      </c>
      <c r="M9043" s="28" t="n">
        <f aca="false">Sens!$L$9043</f>
        <v>-0.0296712560031684</v>
      </c>
      <c r="N9043" s="28" t="n">
        <f aca="false">(Sens!$N$9044-Sens!$N$9040+Sens!$N$9042)/Sens!$N$9041</f>
        <v>-0.0216602600421776</v>
      </c>
      <c r="O9043" s="28" t="n">
        <f aca="false">(Sens!$O$9044-Sens!$O$9040+Sens!$O$9042)/Sens!$O$9041</f>
        <v>-0.0387552477482538</v>
      </c>
      <c r="P9043" s="8" t="s">
        <v>735</v>
      </c>
    </row>
    <row r="9044" customFormat="false" ht="17.15" hidden="false" customHeight="false" outlineLevel="0" collapsed="false">
      <c r="A9044" s="1" t="s">
        <v>741</v>
      </c>
      <c r="B9044" s="8" t="s">
        <v>86</v>
      </c>
      <c r="C9044" s="38" t="n">
        <f aca="false">Q!$D$23</f>
        <v>3.792</v>
      </c>
      <c r="D9044" s="38" t="n">
        <f aca="false">Q!$E$23</f>
        <v>4.75</v>
      </c>
      <c r="E9044" s="38" t="n">
        <f aca="false">Q!$P$23</f>
        <v>3.141</v>
      </c>
      <c r="F9044" s="38" t="n">
        <f aca="false">Sens!$F$9040+Sens!$F$9041*Sens!$F$9043-Sens!$F$9042</f>
        <v>2.77628975993721</v>
      </c>
      <c r="G9044" s="38" t="n">
        <f aca="false">Sens!$E$9044+Sens!$F$9044</f>
        <v>5.91728975993721</v>
      </c>
      <c r="H9044" s="38" t="n">
        <f aca="false">Sens!$H$9040+Sens!$H$9041*Sens!$H$9043-Sens!$H$9042</f>
        <v>6.18860052573681</v>
      </c>
      <c r="I9044" s="38" t="n">
        <f aca="false">Sens!$I$9040+Sens!$I$9041*Sens!$I$9043-Sens!$I$9042</f>
        <v>5.73906974139474</v>
      </c>
      <c r="J9044" s="38" t="n">
        <f aca="false">Sens!$J$9040+Sens!$J$9041*Sens!$J$9043-Sens!$J$9042</f>
        <v>5.34074393695119</v>
      </c>
      <c r="K9044" s="38" t="n">
        <f aca="false">Sens!$K$9040+Sens!$K$9041*Sens!$K$9043-Sens!$K$9042</f>
        <v>4.7054586646822</v>
      </c>
      <c r="L9044" s="38" t="n">
        <f aca="false">Sens!$L$9040+Sens!$L$9041*Sens!$L$9043-Sens!$L$9042</f>
        <v>4.88428999052786</v>
      </c>
      <c r="M9044" s="38" t="n">
        <f aca="false">Sens!$M$9040+Sens!$M$9041*Sens!$M$9043-Sens!$M$9042</f>
        <v>5.89931338558769</v>
      </c>
      <c r="N9044" s="38" t="n">
        <f aca="false">Q!$N$23</f>
        <v>2.511</v>
      </c>
      <c r="O9044" s="38" t="n">
        <f aca="false">Q!$O$23</f>
        <v>2.239</v>
      </c>
    </row>
    <row r="9045" customFormat="false" ht="17.15" hidden="false" customHeight="false" outlineLevel="0" collapsed="false">
      <c r="A9045" s="0" t="s">
        <v>742</v>
      </c>
      <c r="B9045" s="0" t="s">
        <v>86</v>
      </c>
      <c r="C9045" s="38" t="n">
        <f aca="false">Sens!$C$8985</f>
        <v>1.64417882953695</v>
      </c>
      <c r="D9045" s="38" t="n">
        <f aca="false">Sens!$D$8985</f>
        <v>5.39125073772939</v>
      </c>
      <c r="E9045" s="38" t="n">
        <f aca="false">Sens!$E$8985</f>
        <v>2.42691120599613</v>
      </c>
      <c r="F9045" s="38" t="n">
        <f aca="false">Sens!$F$8985</f>
        <v>7.52148563094346</v>
      </c>
      <c r="G9045" s="38" t="n">
        <f aca="false">Sens!$G$8985</f>
        <v>9.94839683693959</v>
      </c>
      <c r="H9045" s="38" t="n">
        <f aca="false">Sens!$H$8985</f>
        <v>23.4804386990861</v>
      </c>
      <c r="I9045" s="38" t="n">
        <f aca="false">Sens!$I$8985</f>
        <v>30.9761745989143</v>
      </c>
      <c r="J9045" s="38" t="n">
        <f aca="false">Sens!$J$8985</f>
        <v>41.1930070746977</v>
      </c>
      <c r="K9045" s="38" t="n">
        <f aca="false">Sens!$K$8985</f>
        <v>45.9779211159428</v>
      </c>
      <c r="L9045" s="38" t="n">
        <f aca="false">Sens!$L$8985</f>
        <v>48.0352490919424</v>
      </c>
      <c r="M9045" s="38" t="n">
        <f aca="false">Sens!$M$8985</f>
        <v>47.4082976573265</v>
      </c>
      <c r="N9045" s="38" t="n">
        <f aca="false">Sens!$N$8985</f>
        <v>1.67921600037079</v>
      </c>
      <c r="O9045" s="38" t="n">
        <f aca="false">Sens!$O$8985</f>
        <v>3.71203473735861</v>
      </c>
    </row>
    <row r="9046" customFormat="false" ht="17.15" hidden="false" customHeight="false" outlineLevel="0" collapsed="false">
      <c r="A9046" s="0" t="s">
        <v>660</v>
      </c>
      <c r="B9046" s="0" t="s">
        <v>86</v>
      </c>
      <c r="C9046" s="38" t="n">
        <f aca="false">Sens!$C$8990</f>
        <v>38.1898211704631</v>
      </c>
      <c r="D9046" s="38" t="n">
        <f aca="false">Sens!$D$8990</f>
        <v>40.2147492622706</v>
      </c>
      <c r="E9046" s="38" t="n">
        <f aca="false">Sens!$E$8990</f>
        <v>28.3550887940039</v>
      </c>
      <c r="F9046" s="38" t="n">
        <f aca="false">Sens!$F$8990</f>
        <v>25.9529793149447</v>
      </c>
      <c r="G9046" s="38" t="n">
        <f aca="false">Sens!$G$8990</f>
        <v>54.3080681089486</v>
      </c>
      <c r="H9046" s="38" t="n">
        <f aca="false">Sens!$H$8990</f>
        <v>58.2264684589333</v>
      </c>
      <c r="I9046" s="38" t="n">
        <f aca="false">Sens!$I$8990</f>
        <v>64.6461353851744</v>
      </c>
      <c r="J9046" s="38" t="n">
        <f aca="false">Sens!$J$8990</f>
        <v>70.7957093610231</v>
      </c>
      <c r="K9046" s="38" t="n">
        <f aca="false">Sens!$K$8990</f>
        <v>76.4593661099049</v>
      </c>
      <c r="L9046" s="38" t="n">
        <f aca="false">Sens!$L$8990</f>
        <v>82.5761153986973</v>
      </c>
      <c r="M9046" s="38" t="n">
        <f aca="false">Sens!$M$8990</f>
        <v>89.1822046305931</v>
      </c>
      <c r="N9046" s="38" t="n">
        <f aca="false">Sens!$N$8990</f>
        <v>20.0277839996292</v>
      </c>
      <c r="O9046" s="38" t="n">
        <f aca="false">Sens!$O$8990</f>
        <v>20.1869652626414</v>
      </c>
    </row>
    <row r="9047" customFormat="false" ht="17.15" hidden="false" customHeight="false" outlineLevel="0" collapsed="false">
      <c r="A9047" s="1" t="s">
        <v>743</v>
      </c>
      <c r="B9047" s="8" t="s">
        <v>86</v>
      </c>
      <c r="C9047" s="38" t="n">
        <f aca="false">Q!$D$24</f>
        <v>39.834</v>
      </c>
      <c r="D9047" s="38" t="n">
        <f aca="false">Q!$E$24</f>
        <v>45.606</v>
      </c>
      <c r="E9047" s="38" t="n">
        <f aca="false">Q!$P$24</f>
        <v>30.782</v>
      </c>
      <c r="F9047" s="38" t="n">
        <f aca="false">Sens!$F$9045+Sens!$F$9046</f>
        <v>33.4744649458882</v>
      </c>
      <c r="G9047" s="38" t="n">
        <f aca="false">Sens!$G$9045+Sens!$G$9046</f>
        <v>64.2564649458882</v>
      </c>
      <c r="H9047" s="38" t="n">
        <f aca="false">Sens!$H$9045+Sens!$H$9046</f>
        <v>81.7069071580194</v>
      </c>
      <c r="I9047" s="38" t="n">
        <f aca="false">Sens!$I$9045+Sens!$I$9046</f>
        <v>95.6223099840887</v>
      </c>
      <c r="J9047" s="38" t="n">
        <f aca="false">Sens!$J$9045+Sens!$J$9046</f>
        <v>111.988716435721</v>
      </c>
      <c r="K9047" s="38" t="n">
        <f aca="false">Sens!$K$9045+Sens!$K$9046</f>
        <v>122.437287225848</v>
      </c>
      <c r="L9047" s="38" t="n">
        <f aca="false">Sens!$L$9045+Sens!$L$9046</f>
        <v>130.61136449064</v>
      </c>
      <c r="M9047" s="38" t="n">
        <f aca="false">Sens!$M$9045+Sens!$M$9046</f>
        <v>136.59050228792</v>
      </c>
      <c r="N9047" s="38" t="n">
        <f aca="false">Q!$N$24</f>
        <v>21.707</v>
      </c>
      <c r="O9047" s="38" t="n">
        <f aca="false">Q!$O$24</f>
        <v>23.899</v>
      </c>
    </row>
    <row r="9048" customFormat="false" ht="17.15" hidden="false" customHeight="false" outlineLevel="0" collapsed="false">
      <c r="A9048" s="5" t="s">
        <v>744</v>
      </c>
      <c r="B9048" s="0" t="s">
        <v>86</v>
      </c>
      <c r="C9048" s="38" t="n">
        <f aca="false">Q!$D$26</f>
        <v>0</v>
      </c>
      <c r="D9048" s="38" t="n">
        <f aca="false">Q!$E$26</f>
        <v>0</v>
      </c>
      <c r="E9048" s="38" t="n">
        <f aca="false">Q!$P$26</f>
        <v>0</v>
      </c>
      <c r="F9048" s="39" t="n">
        <v>0</v>
      </c>
      <c r="G9048" s="38" t="n">
        <f aca="false">Sens!$E$9048+Sens!$F$9048</f>
        <v>0</v>
      </c>
      <c r="H9048" s="39" t="n">
        <v>0</v>
      </c>
      <c r="I9048" s="39" t="n">
        <v>0</v>
      </c>
      <c r="J9048" s="39" t="n">
        <v>0</v>
      </c>
      <c r="K9048" s="39" t="n">
        <v>0</v>
      </c>
      <c r="L9048" s="39" t="n">
        <v>0</v>
      </c>
      <c r="M9048" s="39" t="n">
        <v>0</v>
      </c>
      <c r="N9048" s="38" t="n">
        <f aca="false">Q!$N$26</f>
        <v>0</v>
      </c>
      <c r="O9048" s="38" t="n">
        <f aca="false">Q!$O$26</f>
        <v>0</v>
      </c>
    </row>
    <row r="9049" customFormat="false" ht="15" hidden="false" customHeight="false" outlineLevel="0" collapsed="false">
      <c r="A9049" s="3" t="s">
        <v>541</v>
      </c>
      <c r="B9049" s="8" t="s">
        <v>86</v>
      </c>
      <c r="C9049" s="38" t="n">
        <f aca="false">Q!$D$25</f>
        <v>68.593</v>
      </c>
      <c r="D9049" s="38" t="n">
        <f aca="false">Q!$E$25</f>
        <v>79.975</v>
      </c>
      <c r="E9049" s="38" t="n">
        <f aca="false">Q!$P$25</f>
        <v>51.313</v>
      </c>
      <c r="F9049" s="38" t="n">
        <f aca="false">Sens!$F$9039+Sens!$F$9044+Sens!$F$9047+Sens!$F$9048</f>
        <v>56.3652566987294</v>
      </c>
      <c r="G9049" s="38" t="n">
        <f aca="false">Sens!$G$9039+Sens!$G$9044+Sens!$G$9047+Sens!$G$9048</f>
        <v>107.678256698729</v>
      </c>
      <c r="H9049" s="38" t="n">
        <f aca="false">Sens!$H$9039+Sens!$H$9044+Sens!$H$9047+Sens!$H$9048</f>
        <v>129.515456870266</v>
      </c>
      <c r="I9049" s="38" t="n">
        <f aca="false">Sens!$I$9039+Sens!$I$9044+Sens!$I$9047+Sens!$I$9048</f>
        <v>145.345387082626</v>
      </c>
      <c r="J9049" s="38" t="n">
        <f aca="false">Sens!$J$9039+Sens!$J$9044+Sens!$J$9047+Sens!$J$9048</f>
        <v>163.862141869716</v>
      </c>
      <c r="K9049" s="38" t="n">
        <f aca="false">Sens!$K$9039+Sens!$K$9044+Sens!$K$9047+Sens!$K$9048</f>
        <v>175.564332634303</v>
      </c>
      <c r="L9049" s="38" t="n">
        <f aca="false">Sens!$L$9039+Sens!$L$9044+Sens!$L$9047+Sens!$L$9048</f>
        <v>186.492086157384</v>
      </c>
      <c r="M9049" s="38" t="n">
        <f aca="false">Sens!$M$9039+Sens!$M$9044+Sens!$M$9047+Sens!$M$9048</f>
        <v>198.371665638452</v>
      </c>
      <c r="N9049" s="38" t="n">
        <f aca="false">Q!$N$25</f>
        <v>37.576</v>
      </c>
      <c r="O9049" s="38" t="n">
        <f aca="false">Q!$O$25</f>
        <v>42.399</v>
      </c>
    </row>
    <row r="9050" customFormat="false" ht="17.15" hidden="false" customHeight="false" outlineLevel="0" collapsed="false">
      <c r="A9050" s="24" t="s">
        <v>775</v>
      </c>
      <c r="B9050" s="25" t="s">
        <v>86</v>
      </c>
      <c r="C9050" s="41" t="n">
        <f aca="false">Sens!$C$9039+Sens!$C$9044+Sens!$C$9047+Sens!$C$9048-Sens!$C$9049</f>
        <v>0</v>
      </c>
      <c r="D9050" s="41" t="n">
        <f aca="false">Sens!$D$9039+Sens!$D$9044+Sens!$D$9047+Sens!$D$9048-Sens!$D$9049</f>
        <v>0</v>
      </c>
      <c r="E9050" s="41" t="n">
        <f aca="false">Sens!$E$9039+Sens!$E$9044+Sens!$E$9047+Sens!$E$9048-Sens!$E$9049</f>
        <v>0</v>
      </c>
      <c r="F9050" s="41" t="n">
        <f aca="false">Sens!$F$9039+Sens!$F$9044+Sens!$F$9047+Sens!$F$9048-Sens!$F$9049</f>
        <v>0</v>
      </c>
      <c r="G9050" s="41" t="n">
        <f aca="false">Sens!$G$9039+Sens!$G$9044+Sens!$G$9047+Sens!$G$9048-Sens!$G$9049</f>
        <v>0</v>
      </c>
      <c r="H9050" s="41" t="n">
        <f aca="false">Sens!$H$9039+Sens!$H$9044+Sens!$H$9047+Sens!$H$9048-Sens!$H$9049</f>
        <v>0</v>
      </c>
      <c r="I9050" s="41" t="n">
        <f aca="false">Sens!$I$9039+Sens!$I$9044+Sens!$I$9047+Sens!$I$9048-Sens!$I$9049</f>
        <v>0</v>
      </c>
      <c r="J9050" s="41" t="n">
        <f aca="false">Sens!$J$9039+Sens!$J$9044+Sens!$J$9047+Sens!$J$9048-Sens!$J$9049</f>
        <v>0</v>
      </c>
      <c r="K9050" s="41" t="n">
        <f aca="false">Sens!$K$9039+Sens!$K$9044+Sens!$K$9047+Sens!$K$9048-Sens!$K$9049</f>
        <v>0</v>
      </c>
      <c r="L9050" s="41" t="n">
        <f aca="false">Sens!$L$9039+Sens!$L$9044+Sens!$L$9047+Sens!$L$9048-Sens!$L$9049</f>
        <v>0</v>
      </c>
      <c r="M9050" s="41" t="n">
        <f aca="false">Sens!$M$9039+Sens!$M$9044+Sens!$M$9047+Sens!$M$9048-Sens!$M$9049</f>
        <v>0</v>
      </c>
      <c r="N9050" s="41" t="n">
        <f aca="false">Sens!$N$9039+Sens!$N$9044+Sens!$N$9047+Sens!$N$9048-Sens!$N$9049</f>
        <v>0</v>
      </c>
      <c r="O9050" s="41" t="n">
        <f aca="false">Sens!$O$9039+Sens!$O$9044+Sens!$O$9047+Sens!$O$9048-Sens!$O$9049</f>
        <v>0</v>
      </c>
    </row>
    <row r="9051" customFormat="false" ht="17.15" hidden="false" customHeight="false" outlineLevel="0" collapsed="false">
      <c r="A9051" s="5" t="s">
        <v>746</v>
      </c>
      <c r="B9051" s="0" t="s">
        <v>86</v>
      </c>
      <c r="C9051" s="38" t="n">
        <f aca="false">Sens!$C$8987</f>
        <v>0</v>
      </c>
      <c r="D9051" s="38" t="n">
        <f aca="false">Sens!$D$8987</f>
        <v>0</v>
      </c>
      <c r="E9051" s="38" t="n">
        <f aca="false">Sens!$E$8987</f>
        <v>0</v>
      </c>
      <c r="F9051" s="38" t="n">
        <f aca="false">Sens!$F$8987</f>
        <v>3.77122048175818</v>
      </c>
      <c r="G9051" s="38" t="n">
        <f aca="false">Sens!$G$8987</f>
        <v>3.77122048175818</v>
      </c>
      <c r="H9051" s="38" t="n">
        <f aca="false">Sens!$H$8987</f>
        <v>15.1635543609893</v>
      </c>
      <c r="I9051" s="38" t="n">
        <f aca="false">Sens!$I$8987</f>
        <v>25.5818843619889</v>
      </c>
      <c r="J9051" s="38" t="n">
        <f aca="false">Sens!$J$8987</f>
        <v>36.0465624179122</v>
      </c>
      <c r="K9051" s="38" t="n">
        <f aca="false">Sens!$K$8987</f>
        <v>44.9741164026038</v>
      </c>
      <c r="L9051" s="38" t="n">
        <f aca="false">Sens!$L$8987</f>
        <v>50.8413488057813</v>
      </c>
      <c r="M9051" s="38" t="n">
        <f aca="false">Sens!$M$8987</f>
        <v>53.6407214274315</v>
      </c>
      <c r="N9051" s="38" t="n">
        <f aca="false">Sens!$N$8987</f>
        <v>0</v>
      </c>
      <c r="O9051" s="38" t="n">
        <f aca="false">Sens!$O$8987</f>
        <v>0</v>
      </c>
      <c r="P9051" s="5" t="s">
        <v>747</v>
      </c>
    </row>
    <row r="9052" customFormat="false" ht="17.15" hidden="false" customHeight="false" outlineLevel="0" collapsed="false">
      <c r="A9052" s="5" t="s">
        <v>748</v>
      </c>
      <c r="B9052" s="0" t="s">
        <v>86</v>
      </c>
      <c r="C9052" s="38" t="n">
        <f aca="false">Sens!$C$9049+Sens!$C$9051</f>
        <v>68.593</v>
      </c>
      <c r="D9052" s="38" t="n">
        <f aca="false">Sens!$D$9049+Sens!$D$9051</f>
        <v>79.975</v>
      </c>
      <c r="E9052" s="38" t="n">
        <f aca="false">Sens!$E$9049+Sens!$E$9051</f>
        <v>51.313</v>
      </c>
      <c r="F9052" s="38" t="n">
        <f aca="false">Sens!$F$9049+Sens!$F$9051</f>
        <v>60.1364771804876</v>
      </c>
      <c r="G9052" s="38" t="n">
        <f aca="false">Sens!$G$9049+Sens!$G$9051</f>
        <v>111.449477180488</v>
      </c>
      <c r="H9052" s="38" t="n">
        <f aca="false">Sens!$H$9049+Sens!$H$9051</f>
        <v>144.679011231256</v>
      </c>
      <c r="I9052" s="38" t="n">
        <f aca="false">Sens!$I$9049+Sens!$I$9051</f>
        <v>170.927271444615</v>
      </c>
      <c r="J9052" s="38" t="n">
        <f aca="false">Sens!$J$9049+Sens!$J$9051</f>
        <v>199.908704287628</v>
      </c>
      <c r="K9052" s="38" t="n">
        <f aca="false">Sens!$K$9049+Sens!$K$9051</f>
        <v>220.538449036907</v>
      </c>
      <c r="L9052" s="38" t="n">
        <f aca="false">Sens!$L$9049+Sens!$L$9051</f>
        <v>237.333434963166</v>
      </c>
      <c r="M9052" s="38" t="n">
        <f aca="false">Sens!$M$9049+Sens!$M$9051</f>
        <v>252.012387065883</v>
      </c>
      <c r="N9052" s="38" t="n">
        <f aca="false">Sens!$N$9049+Sens!$N$9051</f>
        <v>37.576</v>
      </c>
      <c r="O9052" s="38" t="n">
        <f aca="false">Sens!$O$9049+Sens!$O$9051</f>
        <v>42.399</v>
      </c>
    </row>
    <row r="9053" customFormat="false" ht="17.15" hidden="false" customHeight="false" outlineLevel="0" collapsed="false">
      <c r="A9053" s="0" t="s">
        <v>749</v>
      </c>
      <c r="B9053" s="0" t="s">
        <v>52</v>
      </c>
      <c r="C9053" s="13" t="n">
        <f aca="false">Sens!$C$9039/Sens!$C$9024</f>
        <v>0.0644314665661928</v>
      </c>
      <c r="D9053" s="13" t="n">
        <f aca="false">Sens!$D$9039/Sens!$D$9024</f>
        <v>0.0694784250712518</v>
      </c>
      <c r="E9053" s="13" t="n">
        <f aca="false">Sens!$E$9039/Sens!$E$9024</f>
        <v>0.0789306463326071</v>
      </c>
      <c r="F9053" s="13" t="n">
        <f aca="false">Sens!$F$9039/Sens!$F$9024</f>
        <v>0.0802526339438384</v>
      </c>
      <c r="G9053" s="13" t="n">
        <f aca="false">Sens!$G$9039/Sens!$G$9024</f>
        <v>0.0796341940538369</v>
      </c>
      <c r="H9053" s="13" t="n">
        <f aca="false">Sens!$H$9039/Sens!$H$9024</f>
        <v>0.0798254462645258</v>
      </c>
      <c r="I9053" s="13" t="n">
        <f aca="false">Sens!$I$9039/Sens!$I$9024</f>
        <v>0.0771454543672196</v>
      </c>
      <c r="J9053" s="13" t="n">
        <f aca="false">Sens!$J$9039/Sens!$J$9024</f>
        <v>0.0756147693819656</v>
      </c>
      <c r="K9053" s="13" t="n">
        <f aca="false">Sens!$K$9039/Sens!$K$9024</f>
        <v>0.0739025926520816</v>
      </c>
      <c r="L9053" s="13" t="n">
        <f aca="false">Sens!$L$9039/Sens!$L$9024</f>
        <v>0.0730809201558074</v>
      </c>
      <c r="M9053" s="13" t="n">
        <f aca="false">Sens!$M$9039/Sens!$M$9024</f>
        <v>0.0751707027775199</v>
      </c>
      <c r="N9053" s="13" t="n">
        <f aca="false">Sens!$N$9039/Sens!$N$9024</f>
        <v>0.069228576611127</v>
      </c>
      <c r="O9053" s="13" t="n">
        <f aca="false">Sens!$O$9039/Sens!$O$9024</f>
        <v>0.069685022498393</v>
      </c>
    </row>
    <row r="9054" customFormat="false" ht="17.15" hidden="false" customHeight="false" outlineLevel="0" collapsed="false">
      <c r="A9054" s="0" t="s">
        <v>750</v>
      </c>
      <c r="B9054" s="0" t="s">
        <v>52</v>
      </c>
      <c r="C9054" s="13" t="n">
        <f aca="false">Sens!$C$9044/Sens!$C$9025</f>
        <v>0.026534925055631</v>
      </c>
      <c r="D9054" s="13" t="n">
        <f aca="false">Sens!$D$9044/Sens!$D$9025</f>
        <v>0.0293401855535103</v>
      </c>
      <c r="E9054" s="13" t="n">
        <f aca="false">Sens!$E$9044/Sens!$E$9025</f>
        <v>0.03831141902276</v>
      </c>
      <c r="F9054" s="13" t="n">
        <f aca="false">Sens!$F$9044/Sens!$F$9025</f>
        <v>0.0282118989524726</v>
      </c>
      <c r="G9054" s="13" t="n">
        <f aca="false">Sens!$G$9044/Sens!$G$9025</f>
        <v>0.0328019468674976</v>
      </c>
      <c r="H9054" s="13" t="n">
        <f aca="false">Sens!$H$9044/Sens!$H$9025</f>
        <v>0.0309879507899839</v>
      </c>
      <c r="I9054" s="13" t="n">
        <f aca="false">Sens!$I$9044/Sens!$I$9025</f>
        <v>0.0262795332043765</v>
      </c>
      <c r="J9054" s="13" t="n">
        <f aca="false">Sens!$J$9044/Sens!$J$9025</f>
        <v>0.0226574435353346</v>
      </c>
      <c r="K9054" s="13" t="n">
        <f aca="false">Sens!$K$9044/Sens!$K$9025</f>
        <v>0.0187492205871101</v>
      </c>
      <c r="L9054" s="13" t="n">
        <f aca="false">Sens!$L$9044/Sens!$L$9025</f>
        <v>0.018273690180732</v>
      </c>
      <c r="M9054" s="13" t="n">
        <f aca="false">Sens!$M$9044/Sens!$M$9025</f>
        <v>0.0207176218272716</v>
      </c>
      <c r="N9054" s="13" t="n">
        <f aca="false">Sens!$N$9044/Sens!$N$9025</f>
        <v>0.0357315650169337</v>
      </c>
      <c r="O9054" s="13" t="n">
        <f aca="false">Sens!$O$9044/Sens!$O$9025</f>
        <v>0.0244378956559703</v>
      </c>
    </row>
    <row r="9055" customFormat="false" ht="17.15" hidden="false" customHeight="false" outlineLevel="0" collapsed="false">
      <c r="A9055" s="14" t="s">
        <v>751</v>
      </c>
      <c r="B9055" s="14" t="s">
        <v>52</v>
      </c>
      <c r="C9055" s="17" t="n">
        <f aca="false">Sens!$C$9047/Sens!$C$9026</f>
        <v>0.370355907620217</v>
      </c>
      <c r="D9055" s="17" t="n">
        <f aca="false">Sens!$D$9047/Sens!$D$9026</f>
        <v>0.35429015342785</v>
      </c>
      <c r="E9055" s="17" t="n">
        <f aca="false">Sens!$E$9047/Sens!$E$9026</f>
        <v>0.385647527531039</v>
      </c>
      <c r="F9055" s="17" t="n">
        <f aca="false">Sens!$F$9047/Sens!$F$9026</f>
        <v>0.385949613469105</v>
      </c>
      <c r="G9055" s="17" t="n">
        <f aca="false">Sens!$G$9047/Sens!$G$9026</f>
        <v>0.385804840448779</v>
      </c>
      <c r="H9055" s="17" t="n">
        <f aca="false">Sens!$H$9047/Sens!$H$9026</f>
        <v>0.369408675360557</v>
      </c>
      <c r="I9055" s="17" t="n">
        <f aca="false">Sens!$I$9047/Sens!$I$9026</f>
        <v>0.34117504540738</v>
      </c>
      <c r="J9055" s="17" t="n">
        <f aca="false">Sens!$J$9047/Sens!$J$9026</f>
        <v>0.330544285732563</v>
      </c>
      <c r="K9055" s="17" t="n">
        <f aca="false">Sens!$K$9047/Sens!$K$9026</f>
        <v>0.314033796990635</v>
      </c>
      <c r="L9055" s="17" t="n">
        <f aca="false">Sens!$L$9047/Sens!$L$9026</f>
        <v>0.303690371867633</v>
      </c>
      <c r="M9055" s="17" t="n">
        <f aca="false">Sens!$M$9047/Sens!$M$9026</f>
        <v>0.297287296590884</v>
      </c>
      <c r="N9055" s="17" t="n">
        <f aca="false">Sens!$N$9047/Sens!$N$9026</f>
        <v>0.360941137346192</v>
      </c>
      <c r="O9055" s="17" t="n">
        <f aca="false">Sens!$O$9047/Sens!$O$9026</f>
        <v>0.348458117664212</v>
      </c>
    </row>
    <row r="9056" customFormat="false" ht="17.15" hidden="false" customHeight="false" outlineLevel="0" collapsed="false">
      <c r="A9056" s="0" t="s">
        <v>752</v>
      </c>
      <c r="B9056" s="0" t="s">
        <v>52</v>
      </c>
      <c r="C9056" s="13" t="n">
        <f aca="false">Sens!$C$9045/Sens!$C$9027</f>
        <v>0.708390794789371</v>
      </c>
      <c r="D9056" s="13" t="n">
        <f aca="false">Sens!$D$9045/Sens!$D$9027</f>
        <v>0.619415573115729</v>
      </c>
      <c r="E9056" s="13" t="n">
        <f aca="false">Sens!$E$9045/Sens!$E$9027</f>
        <v>0.285171627189009</v>
      </c>
      <c r="F9056" s="13" t="n">
        <f aca="false">Sens!$F$9045/Sens!$F$9027</f>
        <v>0.502657732812366</v>
      </c>
      <c r="G9056" s="13" t="n">
        <f aca="false">Sens!$G$9045/Sens!$G$9027</f>
        <v>0.423808778611812</v>
      </c>
      <c r="H9056" s="13" t="n">
        <f aca="false">Sens!$H$9045/Sens!$H$9027</f>
        <v>0.390261631739809</v>
      </c>
      <c r="I9056" s="13" t="n">
        <f aca="false">Sens!$I$9045/Sens!$I$9027</f>
        <v>0.305172864264572</v>
      </c>
      <c r="J9056" s="13" t="n">
        <f aca="false">Sens!$J$9045/Sens!$J$9027</f>
        <v>0.288011814789856</v>
      </c>
      <c r="K9056" s="13" t="n">
        <f aca="false">Sens!$K$9045/Sens!$K$9027</f>
        <v>0.25765427518774</v>
      </c>
      <c r="L9056" s="13" t="n">
        <f aca="false">Sens!$L$9045/Sens!$L$9027</f>
        <v>0.238118778012374</v>
      </c>
      <c r="M9056" s="13" t="n">
        <f aca="false">Sens!$M$9045/Sens!$M$9027</f>
        <v>0.222746255757109</v>
      </c>
      <c r="N9056" s="13" t="n">
        <f aca="false">Sens!$N$9045/Sens!$N$9027</f>
        <v>0.551227795793364</v>
      </c>
      <c r="O9056" s="13" t="n">
        <f aca="false">Sens!$O$9045/Sens!$O$9027</f>
        <v>0.656132068597002</v>
      </c>
    </row>
    <row r="9057" customFormat="false" ht="15" hidden="false" customHeight="false" outlineLevel="0" collapsed="false">
      <c r="A9057" s="5" t="s">
        <v>753</v>
      </c>
      <c r="B9057" s="0" t="s">
        <v>52</v>
      </c>
      <c r="C9057" s="13" t="n">
        <f aca="false">Sens!$C$9049/Sens!$C$9029</f>
        <v>0.107519448742004</v>
      </c>
      <c r="D9057" s="13" t="n">
        <f aca="false">Sens!$D$9049/Sens!$D$9029</f>
        <v>0.111552967957552</v>
      </c>
      <c r="E9057" s="13" t="n">
        <f aca="false">Sens!$E$9049/Sens!$E$9029</f>
        <v>0.13428328426562</v>
      </c>
      <c r="F9057" s="13" t="n">
        <f aca="false">Sens!$F$9049/Sens!$F$9029</f>
        <v>0.129343087287827</v>
      </c>
      <c r="G9057" s="13" t="n">
        <f aca="false">Sens!$G$9049/Sens!$G$9029</f>
        <v>0.131651143259596</v>
      </c>
      <c r="H9057" s="13" t="n">
        <f aca="false">Sens!$H$9049/Sens!$H$9029</f>
        <v>0.137449034763893</v>
      </c>
      <c r="I9057" s="13" t="n">
        <f aca="false">Sens!$I$9049/Sens!$I$9029</f>
        <v>0.13598895915033</v>
      </c>
      <c r="J9057" s="13" t="n">
        <f aca="false">Sens!$J$9049/Sens!$J$9029</f>
        <v>0.137709769017663</v>
      </c>
      <c r="K9057" s="13" t="n">
        <f aca="false">Sens!$K$9049/Sens!$K$9029</f>
        <v>0.135459809314784</v>
      </c>
      <c r="L9057" s="13" t="n">
        <f aca="false">Sens!$L$9049/Sens!$L$9029</f>
        <v>0.133669430082102</v>
      </c>
      <c r="M9057" s="13" t="n">
        <f aca="false">Sens!$M$9049/Sens!$M$9029</f>
        <v>0.133349766772341</v>
      </c>
      <c r="N9057" s="13" t="n">
        <f aca="false">Sens!$N$9049/Sens!$N$9029</f>
        <v>0.116201614873411</v>
      </c>
      <c r="O9057" s="13" t="n">
        <f aca="false">Sens!$O$9049/Sens!$O$9029</f>
        <v>0.107733353660861</v>
      </c>
    </row>
    <row r="9058" customFormat="false" ht="17.15" hidden="false" customHeight="false" outlineLevel="0" collapsed="false">
      <c r="A9058" s="1" t="s">
        <v>754</v>
      </c>
    </row>
    <row r="9059" customFormat="false" ht="17.15" hidden="false" customHeight="false" outlineLevel="0" collapsed="false">
      <c r="A9059" s="5" t="s">
        <v>755</v>
      </c>
      <c r="B9059" s="0" t="s">
        <v>52</v>
      </c>
      <c r="D9059" s="28" t="n">
        <f aca="false">(Q!$E$29+Q!$E$30-(1-ext_sh)*Sens!$D$8981)/Sens!$D$8932</f>
        <v>0.0341105596409988</v>
      </c>
    </row>
    <row r="9060" customFormat="false" ht="17.15" hidden="false" customHeight="false" outlineLevel="0" collapsed="false">
      <c r="A9060" s="0" t="s">
        <v>545</v>
      </c>
      <c r="B9060" s="0" t="s">
        <v>86</v>
      </c>
      <c r="C9060" s="38" t="n">
        <f aca="false">Q!$D$29</f>
        <v>14.285</v>
      </c>
      <c r="D9060" s="38" t="n">
        <f aca="false">Q!$E$29</f>
        <v>15.503</v>
      </c>
      <c r="E9060" s="38" t="n">
        <f aca="false">Q!$P$29</f>
        <v>8.78</v>
      </c>
      <c r="F9060" s="38" t="n">
        <f aca="false">(Sens!$D$9059*Sens!$F$8932+(1-ext_sh)*Sens!$F$8981)*Sens!$F$8933</f>
        <v>9.30317620449232</v>
      </c>
      <c r="G9060" s="38" t="n">
        <f aca="false">Sens!$E$9060+Sens!$F$9060</f>
        <v>18.0831762044923</v>
      </c>
      <c r="H9060" s="38" t="n">
        <f aca="false">(Sens!$D$9059*Sens!$H$8932+(1-ext_sh)*Sens!$H$8981)*Sens!$H$8933</f>
        <v>22.1297245338482</v>
      </c>
      <c r="I9060" s="38" t="n">
        <f aca="false">(Sens!$D$9059*Sens!$I$8932+(1-ext_sh)*Sens!$I$8981)*Sens!$I$8933</f>
        <v>28.409695984391</v>
      </c>
      <c r="J9060" s="38" t="n">
        <f aca="false">(Sens!$D$9059*Sens!$J$8932+(1-ext_sh)*Sens!$J$8981)*Sens!$J$8933</f>
        <v>34.1085606174579</v>
      </c>
      <c r="K9060" s="38" t="n">
        <f aca="false">(Sens!$D$9059*Sens!$K$8932+(1-ext_sh)*Sens!$K$8981)*Sens!$K$8933</f>
        <v>39.7218983009068</v>
      </c>
      <c r="L9060" s="38" t="n">
        <f aca="false">(Sens!$D$9059*Sens!$L$8932+(1-ext_sh)*Sens!$L$8981)*Sens!$L$8933</f>
        <v>44.1680279486684</v>
      </c>
      <c r="M9060" s="38" t="n">
        <f aca="false">(Sens!$D$9059*Sens!$M$8932+(1-ext_sh)*Sens!$M$8981)*Sens!$M$8933</f>
        <v>47.4413073313286</v>
      </c>
      <c r="N9060" s="38" t="n">
        <f aca="false">Q!$N$29</f>
        <v>7.272</v>
      </c>
      <c r="O9060" s="38" t="n">
        <f aca="false">Q!$O$29</f>
        <v>8.231</v>
      </c>
    </row>
    <row r="9061" customFormat="false" ht="17.15" hidden="false" customHeight="false" outlineLevel="0" collapsed="false">
      <c r="A9061" s="0" t="s">
        <v>547</v>
      </c>
      <c r="B9061" s="0" t="s">
        <v>86</v>
      </c>
      <c r="C9061" s="38" t="n">
        <f aca="false">Q!$D$30</f>
        <v>4.462</v>
      </c>
      <c r="D9061" s="38" t="n">
        <f aca="false">Q!$E$30</f>
        <v>4.907</v>
      </c>
      <c r="E9061" s="38" t="n">
        <f aca="false">Q!$P$30</f>
        <v>2.57</v>
      </c>
      <c r="F9061" s="38" t="n">
        <f aca="false">(Sens!$D$9059*Sens!$F$8932+(1-ext_sh)*Sens!$F$8981)*(1-Sens!$F$8933)</f>
        <v>3.6526976809753</v>
      </c>
      <c r="G9061" s="38" t="n">
        <f aca="false">Sens!$E$9061+Sens!$F$9061</f>
        <v>6.2226976809753</v>
      </c>
      <c r="H9061" s="38" t="n">
        <f aca="false">(Sens!$D$9059*Sens!$H$8932+(1-ext_sh)*Sens!$H$8981)*(1-Sens!$H$8933)</f>
        <v>8.4764774248495</v>
      </c>
      <c r="I9061" s="38" t="n">
        <f aca="false">(Sens!$D$9059*Sens!$I$8932+(1-ext_sh)*Sens!$I$8981)*(1-Sens!$I$8933)</f>
        <v>10.881931507561</v>
      </c>
      <c r="J9061" s="38" t="n">
        <f aca="false">(Sens!$D$9059*Sens!$J$8932+(1-ext_sh)*Sens!$J$8981)*(1-Sens!$J$8933)</f>
        <v>13.0648008575874</v>
      </c>
      <c r="K9061" s="38" t="n">
        <f aca="false">(Sens!$D$9059*Sens!$K$8932+(1-ext_sh)*Sens!$K$8981)*(1-Sens!$K$8933)</f>
        <v>15.2149103214008</v>
      </c>
      <c r="L9061" s="38" t="n">
        <f aca="false">(Sens!$D$9059*Sens!$L$8932+(1-ext_sh)*Sens!$L$8981)*(1-Sens!$L$8933)</f>
        <v>16.9179372854085</v>
      </c>
      <c r="M9061" s="38" t="n">
        <f aca="false">(Sens!$D$9059*Sens!$M$8932+(1-ext_sh)*Sens!$M$8981)*(1-Sens!$M$8933)</f>
        <v>18.1717205735785</v>
      </c>
      <c r="N9061" s="38" t="n">
        <f aca="false">Q!$N$30</f>
        <v>2.316</v>
      </c>
      <c r="O9061" s="38" t="n">
        <f aca="false">Q!$O$30</f>
        <v>2.591</v>
      </c>
    </row>
    <row r="9062" customFormat="false" ht="17.15" hidden="false" customHeight="false" outlineLevel="0" collapsed="false">
      <c r="A9062" s="0" t="s">
        <v>548</v>
      </c>
      <c r="B9062" s="0" t="s">
        <v>86</v>
      </c>
      <c r="C9062" s="38" t="n">
        <f aca="false">Sens!$C$8993</f>
        <v>13.32</v>
      </c>
      <c r="D9062" s="38" t="n">
        <f aca="false">Sens!$D$8993</f>
        <v>21.45</v>
      </c>
      <c r="E9062" s="38" t="n">
        <f aca="false">Sens!$E$8993</f>
        <v>15.353</v>
      </c>
      <c r="F9062" s="38" t="n">
        <f aca="false">Sens!$F$8993</f>
        <v>16.1969869840094</v>
      </c>
      <c r="G9062" s="38" t="n">
        <f aca="false">Sens!$G$8993</f>
        <v>31.5499869840094</v>
      </c>
      <c r="H9062" s="38" t="n">
        <f aca="false">Sens!$H$8993</f>
        <v>50.9556213609176</v>
      </c>
      <c r="I9062" s="38" t="n">
        <f aca="false">Sens!$I$8993</f>
        <v>79.464581248252</v>
      </c>
      <c r="J9062" s="38" t="n">
        <f aca="false">Sens!$J$8993</f>
        <v>105.296127931746</v>
      </c>
      <c r="K9062" s="38" t="n">
        <f aca="false">Sens!$K$8993</f>
        <v>131.454694001511</v>
      </c>
      <c r="L9062" s="38" t="n">
        <f aca="false">Sens!$L$8993</f>
        <v>150.840456981405</v>
      </c>
      <c r="M9062" s="38" t="n">
        <f aca="false">Sens!$M$8993</f>
        <v>163.399454192999</v>
      </c>
      <c r="N9062" s="38" t="n">
        <f aca="false">Sens!$N$8993</f>
        <v>9.234</v>
      </c>
      <c r="O9062" s="38" t="n">
        <f aca="false">Sens!$O$8993</f>
        <v>12.216</v>
      </c>
    </row>
    <row r="9063" customFormat="false" ht="17.15" hidden="false" customHeight="false" outlineLevel="0" collapsed="false">
      <c r="A9063" s="5" t="s">
        <v>756</v>
      </c>
      <c r="B9063" s="0" t="s">
        <v>86</v>
      </c>
      <c r="C9063" s="38" t="n">
        <f aca="false">Sens!$C$9060+Sens!$C$9061+Sens!$C$9062</f>
        <v>32.067</v>
      </c>
      <c r="D9063" s="38" t="n">
        <f aca="false">Sens!$D$9060+Sens!$D$9061+Sens!$D$9062</f>
        <v>41.86</v>
      </c>
      <c r="E9063" s="38" t="n">
        <f aca="false">Sens!$E$9060+Sens!$E$9061+Sens!$E$9062</f>
        <v>26.703</v>
      </c>
      <c r="F9063" s="38" t="n">
        <f aca="false">Sens!$F$9060+Sens!$F$9061+Sens!$F$9062</f>
        <v>29.152860869477</v>
      </c>
      <c r="G9063" s="38" t="n">
        <f aca="false">Sens!$G$9060+Sens!$G$9061+Sens!$G$9062</f>
        <v>55.855860869477</v>
      </c>
      <c r="H9063" s="38" t="n">
        <f aca="false">Sens!$H$9060+Sens!$H$9061+Sens!$H$9062</f>
        <v>81.5618233196153</v>
      </c>
      <c r="I9063" s="38" t="n">
        <f aca="false">Sens!$I$9060+Sens!$I$9061+Sens!$I$9062</f>
        <v>118.756208740204</v>
      </c>
      <c r="J9063" s="38" t="n">
        <f aca="false">Sens!$J$9060+Sens!$J$9061+Sens!$J$9062</f>
        <v>152.469489406791</v>
      </c>
      <c r="K9063" s="38" t="n">
        <f aca="false">Sens!$K$9060+Sens!$K$9061+Sens!$K$9062</f>
        <v>186.391502623819</v>
      </c>
      <c r="L9063" s="38" t="n">
        <f aca="false">Sens!$L$9060+Sens!$L$9061+Sens!$L$9062</f>
        <v>211.926422215482</v>
      </c>
      <c r="M9063" s="38" t="n">
        <f aca="false">Sens!$M$9060+Sens!$M$9061+Sens!$M$9062</f>
        <v>229.012482097906</v>
      </c>
      <c r="N9063" s="38" t="n">
        <f aca="false">Sens!$N$9060+Sens!$N$9061+Sens!$N$9062</f>
        <v>18.822</v>
      </c>
      <c r="O9063" s="38" t="n">
        <f aca="false">Sens!$O$9060+Sens!$O$9061+Sens!$O$9062</f>
        <v>23.038</v>
      </c>
    </row>
    <row r="9064" customFormat="false" ht="17.15" hidden="false" customHeight="false" outlineLevel="0" collapsed="false">
      <c r="A9064" s="0" t="s">
        <v>757</v>
      </c>
      <c r="B9064" s="0" t="s">
        <v>86</v>
      </c>
      <c r="C9064" s="38" t="n">
        <f aca="false">Sens!$C$9035+Sens!$C$9040</f>
        <v>28.107</v>
      </c>
      <c r="D9064" s="38" t="n">
        <f aca="false">Sens!$D$9035+Sens!$D$9040</f>
        <v>34.3175</v>
      </c>
      <c r="E9064" s="38" t="n">
        <f aca="false">Sens!$E$9035+Sens!$E$9040</f>
        <v>18.526</v>
      </c>
      <c r="F9064" s="38" t="n">
        <f aca="false">Sens!$F$9035+Sens!$F$9040</f>
        <v>23.0786109972074</v>
      </c>
      <c r="G9064" s="38" t="n">
        <f aca="false">Sens!$G$9035+Sens!$G$9040</f>
        <v>41.6046109972074</v>
      </c>
      <c r="H9064" s="38" t="n">
        <f aca="false">Sens!$H$9035+Sens!$H$9040</f>
        <v>49.9484611939488</v>
      </c>
      <c r="I9064" s="38" t="n">
        <f aca="false">Sens!$I$9035+Sens!$I$9040</f>
        <v>58.2915555477481</v>
      </c>
      <c r="J9064" s="38" t="n">
        <f aca="false">Sens!$J$9035+Sens!$J$9040</f>
        <v>66.0744709709759</v>
      </c>
      <c r="K9064" s="38" t="n">
        <f aca="false">Sens!$K$9035+Sens!$K$9040</f>
        <v>72.6819180680735</v>
      </c>
      <c r="L9064" s="38" t="n">
        <f aca="false">Sens!$L$9035+Sens!$L$9040</f>
        <v>79.9501098748808</v>
      </c>
      <c r="M9064" s="38" t="n">
        <f aca="false">Sens!$M$9035+Sens!$M$9040</f>
        <v>87.9451208623689</v>
      </c>
      <c r="N9064" s="38" t="n">
        <f aca="false">Sens!$N$9035+Sens!$N$9040</f>
        <v>14.8075</v>
      </c>
      <c r="O9064" s="38" t="n">
        <f aca="false">Sens!$O$9035+Sens!$O$9040</f>
        <v>19.51</v>
      </c>
    </row>
    <row r="9065" customFormat="false" ht="17.15" hidden="false" customHeight="false" outlineLevel="0" collapsed="false">
      <c r="A9065" s="0" t="s">
        <v>758</v>
      </c>
      <c r="B9065" s="0" t="s">
        <v>86</v>
      </c>
      <c r="C9065" s="38" t="n">
        <f aca="false">Sens!$C$9039+Sens!$C$9044+Sens!$C$9060+Sens!$C$9061-Sens!$C$9064</f>
        <v>19.399</v>
      </c>
      <c r="D9065" s="38" t="n">
        <f aca="false">Sens!$D$9039+Sens!$D$9044+Sens!$D$9060+Sens!$D$9061-Sens!$D$9064</f>
        <v>20.4615</v>
      </c>
      <c r="E9065" s="38" t="n">
        <f aca="false">Sens!$E$9039+Sens!$E$9044+Sens!$E$9060+Sens!$E$9061-Sens!$E$9064</f>
        <v>13.355</v>
      </c>
      <c r="F9065" s="38" t="n">
        <f aca="false">Sens!$F$9039+Sens!$F$9044+Sens!$F$9060+Sens!$F$9061-Sens!$F$9064</f>
        <v>12.7680546411015</v>
      </c>
      <c r="G9065" s="38" t="n">
        <f aca="false">Sens!$G$9039+Sens!$G$9044+Sens!$G$9060+Sens!$G$9061-Sens!$G$9064</f>
        <v>26.1230546411015</v>
      </c>
      <c r="H9065" s="38" t="n">
        <f aca="false">Sens!$H$9039+Sens!$H$9044+Sens!$H$9060+Sens!$H$9061-Sens!$H$9064</f>
        <v>28.4662904769959</v>
      </c>
      <c r="I9065" s="38" t="n">
        <f aca="false">Sens!$I$9039+Sens!$I$9044+Sens!$I$9060+Sens!$I$9061-Sens!$I$9064</f>
        <v>30.7231490427408</v>
      </c>
      <c r="J9065" s="38" t="n">
        <f aca="false">Sens!$J$9039+Sens!$J$9044+Sens!$J$9060+Sens!$J$9061-Sens!$J$9064</f>
        <v>32.9723159380642</v>
      </c>
      <c r="K9065" s="38" t="n">
        <f aca="false">Sens!$K$9039+Sens!$K$9044+Sens!$K$9060+Sens!$K$9061-Sens!$K$9064</f>
        <v>35.3819359626894</v>
      </c>
      <c r="L9065" s="38" t="n">
        <f aca="false">Sens!$L$9039+Sens!$L$9044+Sens!$L$9060+Sens!$L$9061-Sens!$L$9064</f>
        <v>37.0165770259405</v>
      </c>
      <c r="M9065" s="38" t="n">
        <f aca="false">Sens!$M$9039+Sens!$M$9044+Sens!$M$9060+Sens!$M$9061-Sens!$M$9064</f>
        <v>39.4490703930704</v>
      </c>
      <c r="N9065" s="38" t="n">
        <f aca="false">Sens!$N$9039+Sens!$N$9044+Sens!$N$9060+Sens!$N$9061-Sens!$N$9064</f>
        <v>10.6495</v>
      </c>
      <c r="O9065" s="38" t="n">
        <f aca="false">Sens!$O$9039+Sens!$O$9044+Sens!$O$9060+Sens!$O$9061-Sens!$O$9064</f>
        <v>9.81200000000001</v>
      </c>
    </row>
    <row r="9066" customFormat="false" ht="17.15" hidden="false" customHeight="false" outlineLevel="0" collapsed="false">
      <c r="A9066" s="0" t="s">
        <v>759</v>
      </c>
      <c r="B9066" s="0" t="s">
        <v>86</v>
      </c>
      <c r="C9066" s="38" t="n">
        <f aca="false">Sens!$C$9046+Sens!$C$9062-ext_sh*Sens!$C$8981</f>
        <v>51.3470500115664</v>
      </c>
      <c r="D9066" s="38" t="n">
        <f aca="false">Sens!$D$9046+Sens!$D$9062-ext_sh*Sens!$D$8981</f>
        <v>60.2799375433739</v>
      </c>
      <c r="E9066" s="38" t="n">
        <f aca="false">Sens!$E$9046+Sens!$E$9062-ext_sh*Sens!$E$8981</f>
        <v>39.5095167090767</v>
      </c>
      <c r="F9066" s="38" t="n">
        <f aca="false">Sens!$F$9046+Sens!$F$9062-ext_sh*Sens!$F$8981</f>
        <v>37.951394214027</v>
      </c>
      <c r="G9066" s="38" t="n">
        <f aca="false">Sens!$G$9046+Sens!$G$9062-ext_sh*Sens!$G$8981</f>
        <v>77.4609109231037</v>
      </c>
      <c r="H9066" s="38" t="n">
        <f aca="false">Sens!$H$9046+Sens!$H$9062-ext_sh*Sens!$H$8981</f>
        <v>85.1453558128916</v>
      </c>
      <c r="I9066" s="38" t="n">
        <f aca="false">Sens!$I$9046+Sens!$I$9062-ext_sh*Sens!$I$8981</f>
        <v>94.532921967974</v>
      </c>
      <c r="J9066" s="38" t="n">
        <f aca="false">Sens!$J$9046+Sens!$J$9062-ext_sh*Sens!$J$8981</f>
        <v>103.525527532583</v>
      </c>
      <c r="K9066" s="38" t="n">
        <f aca="false">Sens!$K$9046+Sens!$K$9062-ext_sh*Sens!$K$8981</f>
        <v>111.80756973519</v>
      </c>
      <c r="L9066" s="38" t="n">
        <f aca="false">Sens!$L$9046+Sens!$L$9062-ext_sh*Sens!$L$8981</f>
        <v>120.752175314005</v>
      </c>
      <c r="M9066" s="38" t="n">
        <f aca="false">Sens!$M$9046+Sens!$M$9062-ext_sh*Sens!$M$8981</f>
        <v>130.412349339125</v>
      </c>
      <c r="N9066" s="38" t="n">
        <f aca="false">Sens!$N$9046+Sens!$N$9062-ext_sh*Sens!$N$8981</f>
        <v>28.5693781401809</v>
      </c>
      <c r="O9066" s="38" t="n">
        <f aca="false">Sens!$O$9046+Sens!$O$9062-ext_sh*Sens!$O$8981</f>
        <v>31.7105594031931</v>
      </c>
    </row>
    <row r="9067" customFormat="false" ht="17.15" hidden="false" customHeight="false" outlineLevel="0" collapsed="false">
      <c r="A9067" s="0" t="s">
        <v>760</v>
      </c>
      <c r="B9067" s="0" t="s">
        <v>86</v>
      </c>
      <c r="C9067" s="38" t="n">
        <f aca="false">Sens!$C$8984</f>
        <v>1.80694998843362</v>
      </c>
      <c r="D9067" s="38" t="n">
        <f aca="false">Sens!$D$8984</f>
        <v>6.77606245662607</v>
      </c>
      <c r="E9067" s="38" t="n">
        <f aca="false">Sens!$E$8984</f>
        <v>6.62548329092326</v>
      </c>
      <c r="F9067" s="38" t="n">
        <f aca="false">Sens!$F$8984</f>
        <v>11.7200577158706</v>
      </c>
      <c r="G9067" s="38" t="n">
        <f aca="false">Sens!$G$8984</f>
        <v>18.3455410067939</v>
      </c>
      <c r="H9067" s="38" t="n">
        <f aca="false">Sens!$H$8984</f>
        <v>47.5171727060453</v>
      </c>
      <c r="I9067" s="38" t="n">
        <f aca="false">Sens!$I$8984</f>
        <v>80.5539692643667</v>
      </c>
      <c r="J9067" s="38" t="n">
        <f aca="false">Sens!$J$8984</f>
        <v>113.759316834883</v>
      </c>
      <c r="K9067" s="38" t="n">
        <f aca="false">Sens!$K$8984</f>
        <v>142.084411492169</v>
      </c>
      <c r="L9067" s="38" t="n">
        <f aca="false">Sens!$L$8984</f>
        <v>160.69964615804</v>
      </c>
      <c r="M9067" s="38" t="n">
        <f aca="false">Sens!$M$8984</f>
        <v>169.577607141793</v>
      </c>
      <c r="N9067" s="38" t="n">
        <f aca="false">Sens!$N$8984</f>
        <v>2.37162185981912</v>
      </c>
      <c r="O9067" s="38" t="n">
        <f aca="false">Sens!$O$8984</f>
        <v>4.40444059680694</v>
      </c>
    </row>
    <row r="9068" customFormat="false" ht="17.15" hidden="false" customHeight="false" outlineLevel="0" collapsed="false">
      <c r="A9068" s="0" t="s">
        <v>761</v>
      </c>
      <c r="B9068" s="0" t="s">
        <v>86</v>
      </c>
      <c r="C9068" s="38" t="n">
        <f aca="false">Sens!$C$9049+Sens!$C$9063</f>
        <v>100.66</v>
      </c>
      <c r="D9068" s="38" t="n">
        <f aca="false">Sens!$D$9049+Sens!$D$9063</f>
        <v>121.835</v>
      </c>
      <c r="E9068" s="38" t="n">
        <f aca="false">Sens!$E$9049+Sens!$E$9063</f>
        <v>78.016</v>
      </c>
      <c r="F9068" s="38" t="n">
        <f aca="false">Sens!$F$9049+Sens!$F$9063</f>
        <v>85.5181175682064</v>
      </c>
      <c r="G9068" s="38" t="n">
        <f aca="false">Sens!$G$9049+Sens!$G$9063</f>
        <v>163.534117568206</v>
      </c>
      <c r="H9068" s="38" t="n">
        <f aca="false">Sens!$H$9049+Sens!$H$9063</f>
        <v>211.077280189882</v>
      </c>
      <c r="I9068" s="38" t="n">
        <f aca="false">Sens!$I$9049+Sens!$I$9063</f>
        <v>264.10159582283</v>
      </c>
      <c r="J9068" s="38" t="n">
        <f aca="false">Sens!$J$9049+Sens!$J$9063</f>
        <v>316.331631276507</v>
      </c>
      <c r="K9068" s="38" t="n">
        <f aca="false">Sens!$K$9049+Sens!$K$9063</f>
        <v>361.955835258122</v>
      </c>
      <c r="L9068" s="38" t="n">
        <f aca="false">Sens!$L$9049+Sens!$L$9063</f>
        <v>398.418508372866</v>
      </c>
      <c r="M9068" s="38" t="n">
        <f aca="false">Sens!$M$9049+Sens!$M$9063</f>
        <v>427.384147736358</v>
      </c>
      <c r="N9068" s="38" t="n">
        <f aca="false">Sens!$N$9049+Sens!$N$9063</f>
        <v>56.398</v>
      </c>
      <c r="O9068" s="38" t="n">
        <f aca="false">Sens!$O$9049+Sens!$O$9063</f>
        <v>65.437</v>
      </c>
    </row>
    <row r="9069" customFormat="false" ht="17.15" hidden="false" customHeight="false" outlineLevel="0" collapsed="false">
      <c r="A9069" s="1" t="s">
        <v>762</v>
      </c>
    </row>
    <row r="9070" customFormat="false" ht="15" hidden="false" customHeight="false" outlineLevel="0" collapsed="false">
      <c r="A9070" s="5" t="s">
        <v>551</v>
      </c>
      <c r="B9070" s="0" t="s">
        <v>86</v>
      </c>
      <c r="C9070" s="38" t="n">
        <f aca="false">Q!$D$34</f>
        <v>2.406</v>
      </c>
      <c r="D9070" s="38" t="n">
        <f aca="false">Q!$E$34</f>
        <v>2.274</v>
      </c>
      <c r="E9070" s="38" t="n">
        <f aca="false">Q!$P$34</f>
        <v>2.114</v>
      </c>
      <c r="F9070" s="38" t="n">
        <f aca="false">Sens!$F$9108</f>
        <v>3.24888962733561</v>
      </c>
      <c r="G9070" s="38" t="n">
        <f aca="false">Sens!$E$9070+Sens!$F$9070</f>
        <v>5.36288962733561</v>
      </c>
      <c r="H9070" s="38" t="n">
        <f aca="false">Sens!$H$9108</f>
        <v>7.42354172302123</v>
      </c>
      <c r="I9070" s="38" t="n">
        <f aca="false">Sens!$I$9108</f>
        <v>7.84418947693382</v>
      </c>
      <c r="J9070" s="38" t="n">
        <f aca="false">Sens!$J$9108</f>
        <v>8.79561318891235</v>
      </c>
      <c r="K9070" s="38" t="n">
        <f aca="false">Sens!$K$9108</f>
        <v>8.79561318891235</v>
      </c>
      <c r="L9070" s="38" t="n">
        <f aca="false">Sens!$L$9108</f>
        <v>8.79561318891235</v>
      </c>
      <c r="M9070" s="38" t="n">
        <f aca="false">Sens!$M$9108</f>
        <v>8.79561318891235</v>
      </c>
      <c r="N9070" s="38" t="n">
        <f aca="false">Q!$N$34</f>
        <v>1.057</v>
      </c>
      <c r="O9070" s="38" t="n">
        <f aca="false">Q!$O$34</f>
        <v>1.217</v>
      </c>
    </row>
    <row r="9071" customFormat="false" ht="15" hidden="false" customHeight="false" outlineLevel="0" collapsed="false">
      <c r="A9071" s="5" t="s">
        <v>763</v>
      </c>
      <c r="B9071" s="0" t="s">
        <v>86</v>
      </c>
      <c r="F9071" s="38" t="n">
        <f aca="false">Sens!$F$9109</f>
        <v>2.59</v>
      </c>
      <c r="H9071" s="38" t="n">
        <f aca="false">Sens!$H$9109</f>
        <v>4.1153774832261</v>
      </c>
      <c r="I9071" s="38" t="n">
        <f aca="false">Sens!$I$9109</f>
        <v>2.10589651022864</v>
      </c>
      <c r="J9071" s="38" t="n">
        <f aca="false">Sens!$J$9109</f>
        <v>2.10589651022864</v>
      </c>
      <c r="K9071" s="38" t="n">
        <f aca="false">Sens!$K$9109</f>
        <v>3.172800358404</v>
      </c>
      <c r="L9071" s="38" t="n">
        <f aca="false">Sens!$L$9109</f>
        <v>8.31037272592208</v>
      </c>
      <c r="M9071" s="38" t="n">
        <f aca="false">Sens!$M$9109</f>
        <v>15.9256588704093</v>
      </c>
    </row>
    <row r="9072" customFormat="false" ht="17.15" hidden="false" customHeight="false" outlineLevel="0" collapsed="false">
      <c r="A9072" s="5" t="s">
        <v>764</v>
      </c>
      <c r="B9072" s="0" t="s">
        <v>86</v>
      </c>
      <c r="C9072" s="38" t="n">
        <f aca="false">Q!$D$39</f>
        <v>2.427</v>
      </c>
      <c r="D9072" s="38" t="n">
        <f aca="false">Q!$E$39</f>
        <v>19.61</v>
      </c>
      <c r="E9072" s="38" t="n">
        <f aca="false">Q!$P$39</f>
        <v>71.492</v>
      </c>
      <c r="F9072" s="39" t="n">
        <v>0</v>
      </c>
      <c r="G9072" s="38" t="n">
        <f aca="false">Sens!$E$9072+Sens!$F$9072</f>
        <v>71.492</v>
      </c>
      <c r="H9072" s="39" t="n">
        <v>0</v>
      </c>
      <c r="I9072" s="39" t="n">
        <v>0</v>
      </c>
      <c r="J9072" s="39" t="n">
        <v>0</v>
      </c>
      <c r="K9072" s="39" t="n">
        <v>0</v>
      </c>
      <c r="L9072" s="39" t="n">
        <v>0</v>
      </c>
      <c r="M9072" s="39" t="n">
        <v>0</v>
      </c>
      <c r="N9072" s="38" t="n">
        <f aca="false">Q!$N$39</f>
        <v>6.017</v>
      </c>
      <c r="O9072" s="38" t="n">
        <f aca="false">Q!$O$39</f>
        <v>13.593</v>
      </c>
      <c r="P9072" s="5" t="s">
        <v>765</v>
      </c>
    </row>
    <row r="9073" customFormat="false" ht="15" hidden="false" customHeight="false" outlineLevel="0" collapsed="false">
      <c r="A9073" s="5" t="s">
        <v>554</v>
      </c>
      <c r="B9073" s="0" t="s">
        <v>86</v>
      </c>
      <c r="C9073" s="38" t="n">
        <f aca="false">Q!$D$36</f>
        <v>68.614</v>
      </c>
      <c r="D9073" s="38" t="n">
        <f aca="false">Q!$E$36</f>
        <v>97.311</v>
      </c>
      <c r="E9073" s="38" t="n">
        <f aca="false">Q!$P$36</f>
        <v>120.691</v>
      </c>
      <c r="F9073" s="38" t="n">
        <f aca="false">Sens!$F$9049-Sens!$F$9070+Sens!$F$9071+Sens!$F$9072</f>
        <v>55.7063670713938</v>
      </c>
      <c r="G9073" s="38" t="n">
        <f aca="false">Sens!$E$9073+Sens!$F$9073</f>
        <v>176.397367071394</v>
      </c>
      <c r="H9073" s="38" t="n">
        <f aca="false">Sens!$H$9049-Sens!$H$9070+Sens!$H$9071+Sens!$H$9072</f>
        <v>126.207292630471</v>
      </c>
      <c r="I9073" s="38" t="n">
        <f aca="false">Sens!$I$9049-Sens!$I$9070+Sens!$I$9071+Sens!$I$9072</f>
        <v>139.60709411592</v>
      </c>
      <c r="J9073" s="38" t="n">
        <f aca="false">Sens!$J$9049-Sens!$J$9070+Sens!$J$9071+Sens!$J$9072</f>
        <v>157.172425191032</v>
      </c>
      <c r="K9073" s="38" t="n">
        <f aca="false">Sens!$K$9049-Sens!$K$9070+Sens!$K$9071+Sens!$K$9072</f>
        <v>169.941519803795</v>
      </c>
      <c r="L9073" s="38" t="n">
        <f aca="false">Sens!$L$9049-Sens!$L$9070+Sens!$L$9071+Sens!$L$9072</f>
        <v>186.006845694394</v>
      </c>
      <c r="M9073" s="38" t="n">
        <f aca="false">Sens!$M$9049-Sens!$M$9070+Sens!$M$9071+Sens!$M$9072</f>
        <v>205.501711319949</v>
      </c>
      <c r="N9073" s="38" t="n">
        <f aca="false">Q!$N$36</f>
        <v>42.536</v>
      </c>
      <c r="O9073" s="38" t="n">
        <f aca="false">Q!$O$36</f>
        <v>54.775</v>
      </c>
    </row>
    <row r="9074" customFormat="false" ht="15" hidden="false" customHeight="false" outlineLevel="0" collapsed="false">
      <c r="A9074" s="5" t="s">
        <v>555</v>
      </c>
      <c r="B9074" s="0" t="s">
        <v>86</v>
      </c>
      <c r="C9074" s="38" t="n">
        <f aca="false">Q!$D$37</f>
        <v>9.265</v>
      </c>
      <c r="D9074" s="38" t="n">
        <f aca="false">Q!$E$37</f>
        <v>19.087</v>
      </c>
      <c r="E9074" s="38" t="n">
        <f aca="false">Q!$P$37</f>
        <v>27.759</v>
      </c>
      <c r="F9074" s="38" t="n">
        <f aca="false">Sens!$F$9073*tax</f>
        <v>9.669763357865</v>
      </c>
      <c r="G9074" s="38" t="n">
        <f aca="false">Sens!$E$9074+Sens!$F$9074</f>
        <v>37.428763357865</v>
      </c>
      <c r="H9074" s="38" t="n">
        <f aca="false">Sens!$H$9073*tax</f>
        <v>21.9076331473816</v>
      </c>
      <c r="I9074" s="38" t="n">
        <f aca="false">Sens!$I$9073*tax</f>
        <v>24.2336313450491</v>
      </c>
      <c r="J9074" s="38" t="n">
        <f aca="false">Sens!$J$9073*tax</f>
        <v>27.2827010246639</v>
      </c>
      <c r="K9074" s="38" t="n">
        <f aca="false">Sens!$K$9073*tax</f>
        <v>29.4992182683994</v>
      </c>
      <c r="L9074" s="38" t="n">
        <f aca="false">Sens!$L$9073*tax</f>
        <v>32.2879102581316</v>
      </c>
      <c r="M9074" s="38" t="n">
        <f aca="false">Sens!$M$9073*tax</f>
        <v>35.671917279284</v>
      </c>
      <c r="N9074" s="38" t="n">
        <f aca="false">Q!$N$37</f>
        <v>7.231</v>
      </c>
      <c r="O9074" s="38" t="n">
        <f aca="false">Q!$O$37</f>
        <v>11.856</v>
      </c>
    </row>
    <row r="9075" customFormat="false" ht="15" hidden="false" customHeight="false" outlineLevel="0" collapsed="false">
      <c r="A9075" s="3" t="s">
        <v>556</v>
      </c>
      <c r="B9075" s="8" t="s">
        <v>86</v>
      </c>
      <c r="C9075" s="38" t="n">
        <f aca="false">Q!$D$38</f>
        <v>59.248</v>
      </c>
      <c r="D9075" s="38" t="n">
        <f aca="false">Q!$E$38</f>
        <v>77.67</v>
      </c>
      <c r="E9075" s="38" t="n">
        <f aca="false">Q!$P$38</f>
        <v>92.902</v>
      </c>
      <c r="F9075" s="38" t="n">
        <f aca="false">Sens!$F$9073-Sens!$F$9074</f>
        <v>46.0366037135288</v>
      </c>
      <c r="G9075" s="38" t="n">
        <f aca="false">Sens!$E$9075+Sens!$F$9075</f>
        <v>138.938603713529</v>
      </c>
      <c r="H9075" s="38" t="n">
        <f aca="false">Sens!$H$9073-Sens!$H$9074</f>
        <v>104.29965948309</v>
      </c>
      <c r="I9075" s="38" t="n">
        <f aca="false">Sens!$I$9073-Sens!$I$9074</f>
        <v>115.373462770871</v>
      </c>
      <c r="J9075" s="38" t="n">
        <f aca="false">Sens!$J$9073-Sens!$J$9074</f>
        <v>129.889724166368</v>
      </c>
      <c r="K9075" s="38" t="n">
        <f aca="false">Sens!$K$9073-Sens!$K$9074</f>
        <v>140.442301535395</v>
      </c>
      <c r="L9075" s="38" t="n">
        <f aca="false">Sens!$L$9073-Sens!$L$9074</f>
        <v>153.718935436262</v>
      </c>
      <c r="M9075" s="38" t="n">
        <f aca="false">Sens!$M$9073-Sens!$M$9074</f>
        <v>169.829794040665</v>
      </c>
      <c r="N9075" s="38" t="n">
        <f aca="false">Q!$N$38</f>
        <v>35.291</v>
      </c>
      <c r="O9075" s="38" t="n">
        <f aca="false">Q!$O$38</f>
        <v>42.379</v>
      </c>
    </row>
    <row r="9076" customFormat="false" ht="17.15" hidden="false" customHeight="false" outlineLevel="0" collapsed="false">
      <c r="A9076" s="5" t="s">
        <v>559</v>
      </c>
      <c r="B9076" s="5" t="s">
        <v>33</v>
      </c>
      <c r="C9076" s="22" t="n">
        <f aca="false">Q!$D$41</f>
        <v>10.721</v>
      </c>
      <c r="D9076" s="22" t="n">
        <f aca="false">Q!$E$41</f>
        <v>10.827</v>
      </c>
      <c r="E9076" s="22" t="n">
        <f aca="false">(Q!$L$41+Q!$M$41)/2</f>
        <v>10.8885</v>
      </c>
      <c r="F9076" s="22" t="n">
        <f aca="false">Sens!$G$9076</f>
        <v>10.924806</v>
      </c>
      <c r="G9076" s="22" t="n">
        <f aca="false">Q!$M$41*(1+sh_g*0.25)</f>
        <v>10.924806</v>
      </c>
      <c r="H9076" s="22" t="n">
        <f aca="false">Sens!$G$9076*(1+sh_g)</f>
        <v>11.012204448</v>
      </c>
      <c r="I9076" s="22" t="n">
        <f aca="false">Sens!$H$9076*(1+sh_g)</f>
        <v>11.100302083584</v>
      </c>
      <c r="J9076" s="22" t="n">
        <f aca="false">Sens!$I$9076*(1+sh_g)</f>
        <v>11.1891045002527</v>
      </c>
      <c r="K9076" s="22" t="n">
        <f aca="false">Sens!$J$9076*(1+sh_g)</f>
        <v>11.2786173362547</v>
      </c>
      <c r="L9076" s="22" t="n">
        <f aca="false">Sens!$K$9076*(1+sh_g)</f>
        <v>11.3688462749447</v>
      </c>
      <c r="M9076" s="22" t="n">
        <f aca="false">Sens!$L$9076*(1+sh_g)</f>
        <v>11.4597970451443</v>
      </c>
      <c r="P9076" s="5" t="s">
        <v>766</v>
      </c>
    </row>
    <row r="9077" customFormat="false" ht="17.15" hidden="false" customHeight="false" outlineLevel="0" collapsed="false">
      <c r="A9077" s="5" t="s">
        <v>767</v>
      </c>
      <c r="B9077" s="0" t="s">
        <v>86</v>
      </c>
      <c r="C9077" s="38" t="n">
        <f aca="false">Sens!$C$9075+Sens!$C$9051*(1-tax)</f>
        <v>59.248</v>
      </c>
      <c r="D9077" s="38" t="n">
        <f aca="false">Sens!$D$9075+Sens!$D$9051*(1-tax)</f>
        <v>77.67</v>
      </c>
      <c r="E9077" s="38" t="n">
        <f aca="false">Sens!$E$9075+Sens!$E$9051*(1-tax)</f>
        <v>92.902</v>
      </c>
      <c r="F9077" s="38" t="n">
        <f aca="false">Sens!$F$9075+Sens!$F$9051*(1-tax)</f>
        <v>49.1531986731775</v>
      </c>
      <c r="G9077" s="38" t="n">
        <f aca="false">Sens!$G$9075+Sens!$G$9051*(1-tax)</f>
        <v>142.055198673178</v>
      </c>
      <c r="H9077" s="38" t="n">
        <f aca="false">Sens!$H$9075+Sens!$H$9051*(1-tax)</f>
        <v>116.831055438434</v>
      </c>
      <c r="I9077" s="38" t="n">
        <f aca="false">Sens!$I$9075+Sens!$I$9051*(1-tax)</f>
        <v>136.514727845811</v>
      </c>
      <c r="J9077" s="38" t="n">
        <f aca="false">Sens!$J$9075+Sens!$J$9051*(1-tax)</f>
        <v>159.679161110652</v>
      </c>
      <c r="K9077" s="38" t="n">
        <f aca="false">Sens!$K$9075+Sens!$K$9051*(1-tax)</f>
        <v>177.609607232054</v>
      </c>
      <c r="L9077" s="38" t="n">
        <f aca="false">Sens!$L$9075+Sens!$L$9051*(1-tax)</f>
        <v>195.735012776818</v>
      </c>
      <c r="M9077" s="38" t="n">
        <f aca="false">Sens!$M$9075+Sens!$M$9051*(1-tax)</f>
        <v>214.159316231505</v>
      </c>
      <c r="N9077" s="38" t="n">
        <f aca="false">Sens!$N$9075+Sens!$N$9051*(1-tax)</f>
        <v>35.291</v>
      </c>
      <c r="O9077" s="38" t="n">
        <f aca="false">Sens!$O$9075+Sens!$O$9051*(1-tax)</f>
        <v>42.379</v>
      </c>
    </row>
    <row r="9078" customFormat="false" ht="17.15" hidden="false" customHeight="false" outlineLevel="0" collapsed="false">
      <c r="A9078" s="43" t="s">
        <v>768</v>
      </c>
      <c r="B9078" s="14" t="s">
        <v>27</v>
      </c>
      <c r="C9078" s="44" t="n">
        <f aca="false">Sens!$C$9077/Sens!$C$9076</f>
        <v>5.52635015390355</v>
      </c>
      <c r="D9078" s="44" t="n">
        <f aca="false">Sens!$D$9077/Sens!$D$9076</f>
        <v>7.1737323358271</v>
      </c>
      <c r="E9078" s="44" t="n">
        <f aca="false">Sens!$E$9077/Sens!$E$9076</f>
        <v>8.53212104513937</v>
      </c>
      <c r="F9078" s="14"/>
      <c r="G9078" s="44" t="n">
        <f aca="false">Sens!$G$9077/Sens!$G$9076</f>
        <v>13.0029950804781</v>
      </c>
      <c r="H9078" s="44" t="n">
        <f aca="false">Sens!$H$9077/Sens!$H$9076</f>
        <v>10.6092341447268</v>
      </c>
      <c r="I9078" s="44" t="n">
        <f aca="false">Sens!$I$9077/Sens!$I$9076</f>
        <v>12.298289435537</v>
      </c>
      <c r="J9078" s="44" t="n">
        <f aca="false">Sens!$J$9077/Sens!$J$9076</f>
        <v>14.2709509154236</v>
      </c>
      <c r="K9078" s="44" t="n">
        <f aca="false">Sens!$K$9077/Sens!$K$9076</f>
        <v>15.7474628260624</v>
      </c>
      <c r="L9078" s="44" t="n">
        <f aca="false">Sens!$L$9077/Sens!$L$9076</f>
        <v>17.2167877059072</v>
      </c>
      <c r="M9078" s="44" t="n">
        <f aca="false">Sens!$M$9077/Sens!$M$9076</f>
        <v>18.6878803688978</v>
      </c>
      <c r="N9078" s="14"/>
      <c r="O9078" s="14"/>
    </row>
    <row r="9079" customFormat="false" ht="17.15" hidden="false" customHeight="false" outlineLevel="0" collapsed="false">
      <c r="A9079" s="0" t="s">
        <v>769</v>
      </c>
      <c r="B9079" s="0" t="s">
        <v>27</v>
      </c>
      <c r="C9079" s="30" t="n">
        <f aca="false">Sens!$C$9075/Sens!$C$9076</f>
        <v>5.52635015390355</v>
      </c>
      <c r="D9079" s="30" t="n">
        <f aca="false">Sens!$D$9075/Sens!$D$9076</f>
        <v>7.1737323358271</v>
      </c>
      <c r="E9079" s="30" t="n">
        <f aca="false">Sens!$E$9075/Sens!$E$9076</f>
        <v>8.53212104513937</v>
      </c>
      <c r="G9079" s="30" t="n">
        <f aca="false">Sens!$G$9075/Sens!$G$9076</f>
        <v>12.7177181648378</v>
      </c>
      <c r="H9079" s="30" t="n">
        <f aca="false">Sens!$H$9075/Sens!$H$9076</f>
        <v>9.47127888658407</v>
      </c>
      <c r="I9079" s="30" t="n">
        <f aca="false">Sens!$I$9075/Sens!$I$9076</f>
        <v>10.3937227925981</v>
      </c>
      <c r="J9079" s="30" t="n">
        <f aca="false">Sens!$J$9075/Sens!$J$9076</f>
        <v>11.6085897815536</v>
      </c>
      <c r="K9079" s="30" t="n">
        <f aca="false">Sens!$K$9075/Sens!$K$9076</f>
        <v>12.4520849806606</v>
      </c>
      <c r="L9079" s="30" t="n">
        <f aca="false">Sens!$L$9075/Sens!$L$9076</f>
        <v>13.5210672849924</v>
      </c>
      <c r="M9079" s="30" t="n">
        <f aca="false">Sens!$M$9075/Sens!$M$9076</f>
        <v>14.8196162088773</v>
      </c>
    </row>
    <row r="9080" customFormat="false" ht="17.15" hidden="false" customHeight="false" outlineLevel="0" collapsed="false">
      <c r="A9080" s="0" t="s">
        <v>770</v>
      </c>
      <c r="B9080" s="0" t="s">
        <v>27</v>
      </c>
      <c r="C9080" s="30" t="n">
        <f aca="false">(Sens!$C$9075-Sens!$C$9072*(1-tax))/Sens!$C$9076</f>
        <v>5.33926775917445</v>
      </c>
      <c r="D9080" s="30" t="n">
        <f aca="false">(Sens!$D$9075-Sens!$D$9072*(1-tax))/Sens!$D$9076</f>
        <v>5.67691812755503</v>
      </c>
      <c r="E9080" s="30" t="n">
        <f aca="false">(Sens!$E$9075-Sens!$E$9072*(1-tax))/Sens!$E$9076</f>
        <v>3.10602057006846</v>
      </c>
      <c r="G9080" s="30" t="n">
        <f aca="false">(Sens!$G$9075-Sens!$G$9072*(1-tax))/Sens!$G$9076</f>
        <v>7.30965004694081</v>
      </c>
      <c r="H9080" s="30" t="n">
        <f aca="false">(Sens!$H$9075-Sens!$H$9072*(1-tax))/Sens!$H$9076</f>
        <v>9.47127888658407</v>
      </c>
      <c r="I9080" s="30" t="n">
        <f aca="false">(Sens!$I$9075-Sens!$I$9072*(1-tax))/Sens!$I$9076</f>
        <v>10.3937227925981</v>
      </c>
      <c r="J9080" s="30" t="n">
        <f aca="false">(Sens!$J$9075-Sens!$J$9072*(1-tax))/Sens!$J$9076</f>
        <v>11.6085897815536</v>
      </c>
      <c r="K9080" s="30" t="n">
        <f aca="false">(Sens!$K$9075-Sens!$K$9072*(1-tax))/Sens!$K$9076</f>
        <v>12.4520849806606</v>
      </c>
      <c r="L9080" s="30" t="n">
        <f aca="false">(Sens!$L$9075-Sens!$L$9072*(1-tax))/Sens!$L$9076</f>
        <v>13.5210672849924</v>
      </c>
      <c r="M9080" s="30" t="n">
        <f aca="false">(Sens!$M$9075-Sens!$M$9072*(1-tax))/Sens!$M$9076</f>
        <v>14.8196162088773</v>
      </c>
      <c r="P9080" s="5" t="s">
        <v>771</v>
      </c>
    </row>
    <row r="9081" customFormat="false" ht="17.15" hidden="false" customHeight="false" outlineLevel="0" collapsed="false">
      <c r="A9081" s="0" t="s">
        <v>772</v>
      </c>
      <c r="B9081" s="0" t="s">
        <v>52</v>
      </c>
      <c r="H9081" s="13" t="n">
        <f aca="false">Sens!$H$9078/Sens!$G$9078-1</f>
        <v>-0.184093043251635</v>
      </c>
      <c r="I9081" s="13" t="n">
        <f aca="false">Sens!$I$9078/Sens!$H$9078-1</f>
        <v>0.159206147000695</v>
      </c>
      <c r="J9081" s="13" t="n">
        <f aca="false">Sens!$J$9078/Sens!$I$9078-1</f>
        <v>0.160401289157047</v>
      </c>
      <c r="K9081" s="13" t="n">
        <f aca="false">Sens!$K$9078/Sens!$J$9078-1</f>
        <v>0.103462755873053</v>
      </c>
      <c r="L9081" s="13" t="n">
        <f aca="false">Sens!$L$9078/Sens!$K$9078-1</f>
        <v>0.093305499182575</v>
      </c>
      <c r="M9081" s="13" t="n">
        <f aca="false">Sens!$M$9078/Sens!$L$9078-1</f>
        <v>0.0854452461236912</v>
      </c>
    </row>
    <row r="9084" customFormat="false" ht="19.4" hidden="false" customHeight="false" outlineLevel="0" collapsed="false">
      <c r="A9084" s="31" t="s">
        <v>1335</v>
      </c>
    </row>
    <row r="9085" customFormat="false" ht="17.15" hidden="false" customHeight="false" outlineLevel="0" collapsed="false">
      <c r="A9085" s="6" t="s">
        <v>16</v>
      </c>
      <c r="B9085" s="6" t="s">
        <v>17</v>
      </c>
      <c r="C9085" s="20" t="s">
        <v>504</v>
      </c>
      <c r="D9085" s="20" t="s">
        <v>505</v>
      </c>
      <c r="E9085" s="20" t="s">
        <v>587</v>
      </c>
      <c r="F9085" s="20" t="s">
        <v>588</v>
      </c>
      <c r="G9085" s="20" t="s">
        <v>589</v>
      </c>
      <c r="H9085" s="20" t="s">
        <v>590</v>
      </c>
      <c r="I9085" s="20" t="s">
        <v>591</v>
      </c>
      <c r="J9085" s="20" t="s">
        <v>592</v>
      </c>
      <c r="K9085" s="20" t="s">
        <v>593</v>
      </c>
      <c r="L9085" s="20" t="s">
        <v>594</v>
      </c>
      <c r="M9085" s="20" t="s">
        <v>595</v>
      </c>
      <c r="N9085" s="20" t="s">
        <v>596</v>
      </c>
      <c r="O9085" s="20" t="s">
        <v>597</v>
      </c>
      <c r="P9085" s="6" t="s">
        <v>23</v>
      </c>
      <c r="R9085" s="20" t="n">
        <v>2023</v>
      </c>
      <c r="S9085" s="20" t="n">
        <v>2024</v>
      </c>
      <c r="T9085" s="20" t="n">
        <v>2025</v>
      </c>
      <c r="U9085" s="20" t="n">
        <v>2026</v>
      </c>
      <c r="V9085" s="20" t="n">
        <v>2027</v>
      </c>
      <c r="W9085" s="20" t="n">
        <v>2028</v>
      </c>
      <c r="X9085" s="20" t="n">
        <v>2029</v>
      </c>
      <c r="Y9085" s="20" t="n">
        <v>2030</v>
      </c>
      <c r="Z9085" s="20" t="n">
        <v>2031</v>
      </c>
      <c r="AA9085" s="20" t="n">
        <v>2032</v>
      </c>
    </row>
    <row r="9086" customFormat="false" ht="15" hidden="false" customHeight="false" outlineLevel="0" collapsed="false">
      <c r="A9086" s="5" t="s">
        <v>556</v>
      </c>
      <c r="B9086" s="0" t="s">
        <v>86</v>
      </c>
      <c r="C9086" s="38" t="n">
        <f aca="false">Sens!$C$9075</f>
        <v>59.248</v>
      </c>
      <c r="D9086" s="38" t="n">
        <f aca="false">Sens!$D$9075</f>
        <v>77.67</v>
      </c>
      <c r="E9086" s="38" t="n">
        <f aca="false">Sens!$E$9075</f>
        <v>92.902</v>
      </c>
      <c r="F9086" s="38" t="n">
        <f aca="false">Sens!$F$9075</f>
        <v>46.0366037135288</v>
      </c>
      <c r="G9086" s="38" t="n">
        <f aca="false">Sens!$G$9075</f>
        <v>138.938603713529</v>
      </c>
      <c r="H9086" s="38" t="n">
        <f aca="false">Sens!$H$9075</f>
        <v>104.29965948309</v>
      </c>
      <c r="I9086" s="38" t="n">
        <f aca="false">Sens!$I$9075</f>
        <v>115.373462770871</v>
      </c>
      <c r="J9086" s="38" t="n">
        <f aca="false">Sens!$J$9075</f>
        <v>129.889724166368</v>
      </c>
      <c r="K9086" s="38" t="n">
        <f aca="false">Sens!$K$9075</f>
        <v>140.442301535395</v>
      </c>
      <c r="L9086" s="38" t="n">
        <f aca="false">Sens!$L$9075</f>
        <v>153.718935436262</v>
      </c>
      <c r="M9086" s="38" t="n">
        <f aca="false">Sens!$M$9075</f>
        <v>169.829794040665</v>
      </c>
    </row>
    <row r="9087" customFormat="false" ht="17.15" hidden="false" customHeight="false" outlineLevel="0" collapsed="false">
      <c r="A9087" s="5" t="s">
        <v>795</v>
      </c>
      <c r="B9087" s="0" t="s">
        <v>86</v>
      </c>
      <c r="C9087" s="38" t="n">
        <f aca="false">Sens!$C$9063</f>
        <v>32.067</v>
      </c>
      <c r="D9087" s="38" t="n">
        <f aca="false">Sens!$D$9063</f>
        <v>41.86</v>
      </c>
      <c r="E9087" s="38" t="n">
        <f aca="false">Sens!$E$9063</f>
        <v>26.703</v>
      </c>
      <c r="F9087" s="38" t="n">
        <f aca="false">Sens!$F$9063</f>
        <v>29.152860869477</v>
      </c>
      <c r="G9087" s="38" t="n">
        <f aca="false">Sens!$G$9063</f>
        <v>55.855860869477</v>
      </c>
      <c r="H9087" s="38" t="n">
        <f aca="false">Sens!$H$9063</f>
        <v>81.5618233196153</v>
      </c>
      <c r="I9087" s="38" t="n">
        <f aca="false">Sens!$I$9063</f>
        <v>118.756208740204</v>
      </c>
      <c r="J9087" s="38" t="n">
        <f aca="false">Sens!$J$9063</f>
        <v>152.469489406791</v>
      </c>
      <c r="K9087" s="38" t="n">
        <f aca="false">Sens!$K$9063</f>
        <v>186.391502623819</v>
      </c>
      <c r="L9087" s="38" t="n">
        <f aca="false">Sens!$L$9063</f>
        <v>211.926422215482</v>
      </c>
      <c r="M9087" s="38" t="n">
        <f aca="false">Sens!$M$9063</f>
        <v>229.012482097906</v>
      </c>
    </row>
    <row r="9088" customFormat="false" ht="15" hidden="false" customHeight="false" outlineLevel="0" collapsed="false">
      <c r="A9088" s="5" t="s">
        <v>796</v>
      </c>
      <c r="B9088" s="0" t="s">
        <v>86</v>
      </c>
      <c r="C9088" s="38" t="n">
        <f aca="false">Q!$D$48</f>
        <v>22.011</v>
      </c>
      <c r="D9088" s="38" t="n">
        <f aca="false">Q!$E$48</f>
        <v>19.467</v>
      </c>
      <c r="E9088" s="38" t="n">
        <f aca="false">Q!$P$48</f>
        <v>10.07</v>
      </c>
      <c r="F9088" s="38" t="n">
        <f aca="false">sbc_r*Sens!$F$9005</f>
        <v>10.8507035798037</v>
      </c>
      <c r="G9088" s="38" t="n">
        <f aca="false">Sens!$E$9088+Sens!$F$9088</f>
        <v>20.9207035798037</v>
      </c>
      <c r="H9088" s="38" t="n">
        <f aca="false">sbc_r*Sens!$H$9005</f>
        <v>23.46224366345</v>
      </c>
      <c r="I9088" s="38" t="n">
        <f aca="false">sbc_r*Sens!$I$9005</f>
        <v>26.6125957111676</v>
      </c>
      <c r="J9088" s="38" t="n">
        <f aca="false">sbc_r*Sens!$J$9005</f>
        <v>29.6280801413323</v>
      </c>
      <c r="K9088" s="38" t="n">
        <f aca="false">sbc_r*Sens!$K$9005</f>
        <v>32.2712258901105</v>
      </c>
      <c r="L9088" s="38" t="n">
        <f aca="false">sbc_r*Sens!$L$9005</f>
        <v>34.7390505016737</v>
      </c>
      <c r="M9088" s="38" t="n">
        <f aca="false">sbc_r*Sens!$M$9005</f>
        <v>37.0405146906692</v>
      </c>
    </row>
    <row r="9089" customFormat="false" ht="17.15" hidden="false" customHeight="false" outlineLevel="0" collapsed="false">
      <c r="A9089" s="5" t="s">
        <v>797</v>
      </c>
      <c r="B9089" s="0" t="s">
        <v>86</v>
      </c>
      <c r="C9089" s="38" t="n">
        <f aca="false">Q!$D$44-Sens!$C$9086-Sens!$C$9087-Sens!$C$9088</f>
        <v>2.551</v>
      </c>
      <c r="D9089" s="38" t="n">
        <f aca="false">Q!$E$44-Sens!$D$9086-Sens!$D$9087-Sens!$D$9088</f>
        <v>0.51700000000001</v>
      </c>
      <c r="E9089" s="38" t="n">
        <f aca="false">Q!$P$44-Sens!$E$9086-Sens!$E$9087-Sens!$E$9088</f>
        <v>-58.256</v>
      </c>
      <c r="F9089" s="38" t="n">
        <f aca="false">oth_r*Sens!$F$9005</f>
        <v>5.22265251035878</v>
      </c>
      <c r="G9089" s="38" t="n">
        <f aca="false">Sens!$E$9089+Sens!$F$9089</f>
        <v>-53.0333474896412</v>
      </c>
      <c r="H9089" s="38" t="n">
        <f aca="false">oth_r*Sens!$H$9005</f>
        <v>11.2928295263397</v>
      </c>
      <c r="I9089" s="38" t="n">
        <f aca="false">oth_r*Sens!$I$9005</f>
        <v>12.8091546115766</v>
      </c>
      <c r="J9089" s="38" t="n">
        <f aca="false">oth_r*Sens!$J$9005</f>
        <v>14.2605653162668</v>
      </c>
      <c r="K9089" s="38" t="n">
        <f aca="false">oth_r*Sens!$K$9005</f>
        <v>15.5327622460396</v>
      </c>
      <c r="L9089" s="38" t="n">
        <f aca="false">oth_r*Sens!$L$9005</f>
        <v>16.720573737517</v>
      </c>
      <c r="M9089" s="38" t="n">
        <f aca="false">oth_r*Sens!$M$9005</f>
        <v>17.8283127551536</v>
      </c>
      <c r="P9089" s="8" t="s">
        <v>798</v>
      </c>
    </row>
    <row r="9090" customFormat="false" ht="15" hidden="false" customHeight="false" outlineLevel="0" collapsed="false">
      <c r="A9090" s="3" t="s">
        <v>562</v>
      </c>
      <c r="B9090" s="8" t="s">
        <v>86</v>
      </c>
      <c r="C9090" s="38" t="n">
        <f aca="false">Q!$D$44</f>
        <v>115.877</v>
      </c>
      <c r="D9090" s="38" t="n">
        <f aca="false">Q!$E$44</f>
        <v>139.514</v>
      </c>
      <c r="E9090" s="38" t="n">
        <f aca="false">Q!$P$44</f>
        <v>71.419</v>
      </c>
      <c r="F9090" s="38" t="n">
        <f aca="false">Sens!$F$9086+Sens!$F$9087+Sens!$F$9088+Sens!$F$9089</f>
        <v>91.2628206731683</v>
      </c>
      <c r="G9090" s="38" t="n">
        <f aca="false">Sens!$E$9090+Sens!$F$9090</f>
        <v>162.681820673168</v>
      </c>
      <c r="H9090" s="38" t="n">
        <f aca="false">Sens!$H$9086+Sens!$H$9087+Sens!$H$9088+Sens!$H$9089</f>
        <v>220.616555992495</v>
      </c>
      <c r="I9090" s="38" t="n">
        <f aca="false">Sens!$I$9086+Sens!$I$9087+Sens!$I$9088+Sens!$I$9089</f>
        <v>273.55142183382</v>
      </c>
      <c r="J9090" s="38" t="n">
        <f aca="false">Sens!$J$9086+Sens!$J$9087+Sens!$J$9088+Sens!$J$9089</f>
        <v>326.247859030758</v>
      </c>
      <c r="K9090" s="38" t="n">
        <f aca="false">Sens!$K$9086+Sens!$K$9087+Sens!$K$9088+Sens!$K$9089</f>
        <v>374.637792295364</v>
      </c>
      <c r="L9090" s="38" t="n">
        <f aca="false">Sens!$L$9086+Sens!$L$9087+Sens!$L$9088+Sens!$L$9089</f>
        <v>417.104981890935</v>
      </c>
      <c r="M9090" s="38" t="n">
        <f aca="false">Sens!$M$9086+Sens!$M$9087+Sens!$M$9088+Sens!$M$9089</f>
        <v>453.711103584394</v>
      </c>
    </row>
    <row r="9091" customFormat="false" ht="17.15" hidden="false" customHeight="false" outlineLevel="0" collapsed="false">
      <c r="A9091" s="5" t="s">
        <v>799</v>
      </c>
      <c r="B9091" s="0" t="s">
        <v>86</v>
      </c>
      <c r="C9091" s="38" t="n">
        <f aca="false">Sens!$C$8969</f>
        <v>25.2781053077374</v>
      </c>
      <c r="D9091" s="38" t="n">
        <f aca="false">Sens!$D$8969</f>
        <v>69.5686316310026</v>
      </c>
      <c r="E9091" s="38" t="n">
        <f aca="false">Sens!$E$8969</f>
        <v>64.1899206485108</v>
      </c>
      <c r="F9091" s="38" t="n">
        <f aca="false">Sens!$F$8969</f>
        <v>88.7165504612134</v>
      </c>
      <c r="G9091" s="38" t="n">
        <f aca="false">Sens!$G$8969</f>
        <v>152.906471109724</v>
      </c>
      <c r="H9091" s="38" t="n">
        <f aca="false">Sens!$H$8969</f>
        <v>198.57136494475</v>
      </c>
      <c r="I9091" s="38" t="n">
        <f aca="false">Sens!$I$8969</f>
        <v>204.6464699105</v>
      </c>
      <c r="J9091" s="38" t="n">
        <f aca="false">Sens!$J$8969</f>
        <v>209.8832381105</v>
      </c>
      <c r="K9091" s="38" t="n">
        <f aca="false">Sens!$K$8969</f>
        <v>155.238385275201</v>
      </c>
      <c r="L9091" s="38" t="n">
        <f aca="false">Sens!$L$8969</f>
        <v>132.014141639902</v>
      </c>
      <c r="M9091" s="38" t="n">
        <f aca="false">Sens!$M$8969</f>
        <v>132.230981659852</v>
      </c>
    </row>
    <row r="9092" customFormat="false" ht="17.15" hidden="false" customHeight="false" outlineLevel="0" collapsed="false">
      <c r="A9092" s="5" t="s">
        <v>800</v>
      </c>
      <c r="B9092" s="0" t="s">
        <v>86</v>
      </c>
      <c r="C9092" s="38" t="n">
        <f aca="false">cx_awso*Sens!$C$9003</f>
        <v>21.0469989286053</v>
      </c>
      <c r="D9092" s="38" t="n">
        <f aca="false">cx_awso*Sens!$D$9003</f>
        <v>24.0042459822698</v>
      </c>
      <c r="E9092" s="38" t="n">
        <f aca="false">cx_awso*Sens!$E$9003</f>
        <v>14.261729404886</v>
      </c>
      <c r="F9092" s="38" t="n">
        <f aca="false">cx_awso*Sens!$F$9003</f>
        <v>14.3538599588493</v>
      </c>
      <c r="G9092" s="38" t="n">
        <f aca="false">Sens!$E$9092+Sens!$F$9092</f>
        <v>28.6155893637353</v>
      </c>
      <c r="H9092" s="38" t="n">
        <f aca="false">cx_awso*Sens!$H$9003</f>
        <v>32.2034154158406</v>
      </c>
      <c r="I9092" s="38" t="n">
        <f aca="false">cx_awso*Sens!$I$9003</f>
        <v>35.7539519042915</v>
      </c>
      <c r="J9092" s="38" t="n">
        <f aca="false">cx_awso*Sens!$J$9003</f>
        <v>39.1551076091815</v>
      </c>
      <c r="K9092" s="38" t="n">
        <f aca="false">cx_awso*Sens!$K$9003</f>
        <v>42.287516217916</v>
      </c>
      <c r="L9092" s="38" t="n">
        <f aca="false">cx_awso*Sens!$L$9003</f>
        <v>45.6705175153492</v>
      </c>
      <c r="M9092" s="38" t="n">
        <f aca="false">cx_awso*Sens!$M$9003</f>
        <v>49.3241589165772</v>
      </c>
    </row>
    <row r="9093" customFormat="false" ht="17.15" hidden="false" customHeight="false" outlineLevel="0" collapsed="false">
      <c r="A9093" s="5" t="s">
        <v>801</v>
      </c>
      <c r="B9093" s="0" t="s">
        <v>86</v>
      </c>
      <c r="C9093" s="38" t="n">
        <f aca="false">Q!$D$46-Sens!$C$9091-Sens!$C$9092</f>
        <v>31.3328957636573</v>
      </c>
      <c r="D9093" s="38" t="n">
        <f aca="false">Q!$E$46-Sens!$D$9091-Sens!$D$9092</f>
        <v>34.7471223867276</v>
      </c>
      <c r="E9093" s="38" t="n">
        <f aca="false">Q!$P$46-Sens!$E$9091-Sens!$E$9092</f>
        <v>17.8583499466032</v>
      </c>
      <c r="F9093" s="38" t="n">
        <f aca="false">cx_rt*Sens!$F$8932</f>
        <v>20.6195895799373</v>
      </c>
      <c r="G9093" s="38" t="n">
        <f aca="false">Sens!$E$9093+Sens!$F$9093</f>
        <v>38.4779395265405</v>
      </c>
      <c r="H9093" s="38" t="n">
        <f aca="false">cx_rt*Sens!$H$8932</f>
        <v>42.5978994743075</v>
      </c>
      <c r="I9093" s="38" t="n">
        <f aca="false">cx_rt*Sens!$I$8932</f>
        <v>46.5813904136335</v>
      </c>
      <c r="J9093" s="38" t="n">
        <f aca="false">cx_rt*Sens!$J$8932</f>
        <v>50.2781676586844</v>
      </c>
      <c r="K9093" s="38" t="n">
        <f aca="false">cx_rt*Sens!$K$8932</f>
        <v>53.5312440191755</v>
      </c>
      <c r="L9093" s="38" t="n">
        <f aca="false">cx_rt*Sens!$L$8932</f>
        <v>57.0116717051447</v>
      </c>
      <c r="M9093" s="38" t="n">
        <f aca="false">cx_rt*Sens!$M$8932</f>
        <v>60.7365554669226</v>
      </c>
    </row>
    <row r="9094" customFormat="false" ht="15" hidden="false" customHeight="false" outlineLevel="0" collapsed="false">
      <c r="A9094" s="3" t="s">
        <v>802</v>
      </c>
      <c r="B9094" s="8" t="s">
        <v>86</v>
      </c>
      <c r="C9094" s="38" t="n">
        <f aca="false">Q!$D$46</f>
        <v>77.658</v>
      </c>
      <c r="D9094" s="38" t="n">
        <f aca="false">Q!$E$46</f>
        <v>128.32</v>
      </c>
      <c r="E9094" s="38" t="n">
        <f aca="false">Q!$P$46</f>
        <v>96.31</v>
      </c>
      <c r="F9094" s="38" t="n">
        <f aca="false">Sens!$F$9091+Sens!$F$9092+Sens!$F$9093</f>
        <v>123.69</v>
      </c>
      <c r="G9094" s="38" t="n">
        <f aca="false">Sens!$E$9094+Sens!$F$9094</f>
        <v>220</v>
      </c>
      <c r="H9094" s="38" t="n">
        <f aca="false">Sens!$H$9091+Sens!$H$9092+Sens!$H$9093</f>
        <v>273.372679834898</v>
      </c>
      <c r="I9094" s="38" t="n">
        <f aca="false">Sens!$I$9091+Sens!$I$9092+Sens!$I$9093</f>
        <v>286.981812228425</v>
      </c>
      <c r="J9094" s="38" t="n">
        <f aca="false">Sens!$J$9091+Sens!$J$9092+Sens!$J$9093</f>
        <v>299.316513378366</v>
      </c>
      <c r="K9094" s="38" t="n">
        <f aca="false">Sens!$K$9091+Sens!$K$9092+Sens!$K$9093</f>
        <v>251.057145512292</v>
      </c>
      <c r="L9094" s="38" t="n">
        <f aca="false">Sens!$L$9091+Sens!$L$9092+Sens!$L$9093</f>
        <v>234.696330860396</v>
      </c>
      <c r="M9094" s="38" t="n">
        <f aca="false">Sens!$M$9091+Sens!$M$9092+Sens!$M$9093</f>
        <v>242.291696043352</v>
      </c>
    </row>
    <row r="9095" customFormat="false" ht="17.15" hidden="false" customHeight="false" outlineLevel="0" collapsed="false">
      <c r="A9095" s="5" t="s">
        <v>570</v>
      </c>
      <c r="B9095" s="0" t="s">
        <v>86</v>
      </c>
      <c r="C9095" s="38" t="n">
        <f aca="false">Q!$D$50</f>
        <v>2.043</v>
      </c>
      <c r="D9095" s="38" t="n">
        <f aca="false">Q!$E$50</f>
        <v>1.557</v>
      </c>
      <c r="E9095" s="38" t="n">
        <f aca="false">lease_pr/2</f>
        <v>0.8</v>
      </c>
      <c r="F9095" s="38" t="n">
        <f aca="false">lease_pr/2</f>
        <v>0.8</v>
      </c>
      <c r="G9095" s="38" t="n">
        <f aca="false">Sens!$E$9095+Sens!$F$9095</f>
        <v>1.6</v>
      </c>
      <c r="H9095" s="38" t="n">
        <f aca="false">lease_pr</f>
        <v>1.6</v>
      </c>
      <c r="I9095" s="38" t="n">
        <f aca="false">lease_pr</f>
        <v>1.6</v>
      </c>
      <c r="J9095" s="38" t="n">
        <f aca="false">lease_pr</f>
        <v>1.6</v>
      </c>
      <c r="K9095" s="38" t="n">
        <f aca="false">lease_pr</f>
        <v>1.6</v>
      </c>
      <c r="L9095" s="38" t="n">
        <f aca="false">lease_pr</f>
        <v>1.6</v>
      </c>
      <c r="M9095" s="38" t="n">
        <f aca="false">lease_pr</f>
        <v>1.6</v>
      </c>
      <c r="P9095" s="8" t="s">
        <v>803</v>
      </c>
    </row>
    <row r="9096" customFormat="false" ht="15" hidden="false" customHeight="false" outlineLevel="0" collapsed="false">
      <c r="A9096" s="47" t="s">
        <v>804</v>
      </c>
      <c r="B9096" s="14" t="s">
        <v>86</v>
      </c>
      <c r="C9096" s="48" t="n">
        <f aca="false">Sens!$C$9090-Sens!$C$9094-Sens!$C$9095</f>
        <v>36.176</v>
      </c>
      <c r="D9096" s="48" t="n">
        <f aca="false">Sens!$D$9090-Sens!$D$9094-Sens!$D$9095</f>
        <v>9.63700000000002</v>
      </c>
      <c r="E9096" s="48" t="n">
        <f aca="false">Sens!$E$9090-Sens!$E$9094-Sens!$E$9095</f>
        <v>-25.691</v>
      </c>
      <c r="F9096" s="48" t="n">
        <f aca="false">Sens!$F$9090-Sens!$F$9094-Sens!$F$9095</f>
        <v>-33.2271793268317</v>
      </c>
      <c r="G9096" s="48" t="n">
        <f aca="false">Sens!$G$9090-Sens!$G$9094-Sens!$G$9095</f>
        <v>-58.9181793268317</v>
      </c>
      <c r="H9096" s="48" t="n">
        <f aca="false">Sens!$H$9090-Sens!$H$9094-Sens!$H$9095</f>
        <v>-54.3561238424036</v>
      </c>
      <c r="I9096" s="48" t="n">
        <f aca="false">Sens!$I$9090-Sens!$I$9094-Sens!$I$9095</f>
        <v>-15.0303903946055</v>
      </c>
      <c r="J9096" s="48" t="n">
        <f aca="false">Sens!$J$9090-Sens!$J$9094-Sens!$J$9095</f>
        <v>25.3313456523922</v>
      </c>
      <c r="K9096" s="48" t="n">
        <f aca="false">Sens!$K$9090-Sens!$K$9094-Sens!$K$9095</f>
        <v>121.980646783072</v>
      </c>
      <c r="L9096" s="48" t="n">
        <f aca="false">Sens!$L$9090-Sens!$L$9094-Sens!$L$9095</f>
        <v>180.80865103054</v>
      </c>
      <c r="M9096" s="48" t="n">
        <f aca="false">Sens!$M$9090-Sens!$M$9094-Sens!$M$9095</f>
        <v>209.819407541041</v>
      </c>
      <c r="N9096" s="14"/>
      <c r="O9096" s="14"/>
    </row>
    <row r="9097" customFormat="false" ht="17.15" hidden="false" customHeight="false" outlineLevel="0" collapsed="false">
      <c r="A9097" s="5" t="s">
        <v>805</v>
      </c>
      <c r="B9097" s="0" t="s">
        <v>86</v>
      </c>
      <c r="C9097" s="38" t="n">
        <f aca="false">dps*Sens!$C$9076</f>
        <v>0</v>
      </c>
      <c r="D9097" s="38" t="n">
        <f aca="false">dps*Sens!$D$9076</f>
        <v>0</v>
      </c>
      <c r="E9097" s="38" t="n">
        <f aca="false">dps*Sens!$E$9076</f>
        <v>0</v>
      </c>
      <c r="F9097" s="38" t="n">
        <f aca="false">0</f>
        <v>0</v>
      </c>
      <c r="G9097" s="38" t="n">
        <f aca="false">dps*Sens!$G$9076</f>
        <v>0</v>
      </c>
      <c r="H9097" s="38" t="n">
        <f aca="false">dps*Sens!$H$9076</f>
        <v>0</v>
      </c>
      <c r="I9097" s="38" t="n">
        <f aca="false">dps*Sens!$I$9076</f>
        <v>0</v>
      </c>
      <c r="J9097" s="38" t="n">
        <f aca="false">dps*Sens!$J$9076</f>
        <v>0</v>
      </c>
      <c r="K9097" s="38" t="n">
        <f aca="false">dps*Sens!$K$9076</f>
        <v>0</v>
      </c>
      <c r="L9097" s="38" t="n">
        <f aca="false">dps*Sens!$L$9076</f>
        <v>0</v>
      </c>
      <c r="M9097" s="38" t="n">
        <f aca="false">dps*Sens!$M$9076</f>
        <v>0</v>
      </c>
      <c r="P9097" s="8" t="s">
        <v>806</v>
      </c>
    </row>
    <row r="9098" customFormat="false" ht="17.15" hidden="false" customHeight="false" outlineLevel="0" collapsed="false">
      <c r="A9098" s="5" t="s">
        <v>807</v>
      </c>
      <c r="B9098" s="0" t="s">
        <v>86</v>
      </c>
      <c r="C9098" s="38" t="n">
        <f aca="false">0</f>
        <v>0</v>
      </c>
      <c r="D9098" s="38" t="n">
        <f aca="false">0</f>
        <v>0</v>
      </c>
      <c r="E9098" s="38" t="n">
        <f aca="false">0</f>
        <v>0</v>
      </c>
      <c r="F9098" s="38" t="n">
        <f aca="false">0</f>
        <v>0</v>
      </c>
      <c r="G9098" s="38" t="n">
        <f aca="false">0</f>
        <v>0</v>
      </c>
      <c r="H9098" s="38" t="n">
        <f aca="false">0</f>
        <v>0</v>
      </c>
      <c r="I9098" s="38" t="n">
        <f aca="false">0</f>
        <v>0</v>
      </c>
      <c r="J9098" s="38" t="n">
        <f aca="false">0</f>
        <v>0</v>
      </c>
      <c r="K9098" s="38" t="n">
        <f aca="false">0</f>
        <v>0</v>
      </c>
      <c r="L9098" s="38" t="n">
        <f aca="false">0</f>
        <v>0</v>
      </c>
      <c r="M9098" s="38" t="n">
        <f aca="false">0</f>
        <v>0</v>
      </c>
      <c r="P9098" s="8" t="s">
        <v>808</v>
      </c>
    </row>
    <row r="9099" customFormat="false" ht="15" hidden="false" customHeight="false" outlineLevel="0" collapsed="false">
      <c r="A9099" s="3" t="s">
        <v>809</v>
      </c>
      <c r="B9099" s="8" t="s">
        <v>86</v>
      </c>
      <c r="C9099" s="38" t="n">
        <f aca="false">Sens!$C$9096-Sens!$C$9097</f>
        <v>36.176</v>
      </c>
      <c r="D9099" s="38" t="n">
        <f aca="false">Sens!$D$9096-Sens!$D$9097</f>
        <v>9.63700000000002</v>
      </c>
      <c r="E9099" s="38" t="n">
        <f aca="false">Sens!$E$9096-Sens!$E$9097</f>
        <v>-25.691</v>
      </c>
      <c r="F9099" s="38" t="n">
        <f aca="false">Sens!$F$9096-Sens!$F$9097</f>
        <v>-33.2271793268317</v>
      </c>
      <c r="G9099" s="38" t="n">
        <f aca="false">Sens!$G$9096-Sens!$G$9097</f>
        <v>-58.9181793268317</v>
      </c>
      <c r="H9099" s="38" t="n">
        <f aca="false">Sens!$H$9096-Sens!$H$9097</f>
        <v>-54.3561238424036</v>
      </c>
      <c r="I9099" s="38" t="n">
        <f aca="false">Sens!$I$9096-Sens!$I$9097</f>
        <v>-15.0303903946055</v>
      </c>
      <c r="J9099" s="38" t="n">
        <f aca="false">Sens!$J$9096-Sens!$J$9097</f>
        <v>25.3313456523922</v>
      </c>
      <c r="K9099" s="38" t="n">
        <f aca="false">Sens!$K$9096-Sens!$K$9097</f>
        <v>121.980646783072</v>
      </c>
      <c r="L9099" s="38" t="n">
        <f aca="false">Sens!$L$9096-Sens!$L$9097</f>
        <v>180.80865103054</v>
      </c>
      <c r="M9099" s="38" t="n">
        <f aca="false">Sens!$M$9096-Sens!$M$9097</f>
        <v>209.819407541041</v>
      </c>
    </row>
    <row r="9100" customFormat="false" ht="17.15" hidden="false" customHeight="false" outlineLevel="0" collapsed="false">
      <c r="A9100" s="5" t="s">
        <v>810</v>
      </c>
      <c r="B9100" s="0" t="s">
        <v>86</v>
      </c>
      <c r="E9100" s="38" t="n">
        <f aca="false">Q!$P$53</f>
        <v>39.767</v>
      </c>
      <c r="F9100" s="38" t="n">
        <f aca="false">inv_2h26</f>
        <v>21.3</v>
      </c>
      <c r="G9100" s="38" t="n">
        <f aca="false">Sens!$E$9100+Sens!$F$9100</f>
        <v>61.067</v>
      </c>
      <c r="H9100" s="39" t="n">
        <v>0</v>
      </c>
      <c r="I9100" s="39" t="n">
        <v>0</v>
      </c>
      <c r="J9100" s="39" t="n">
        <v>0</v>
      </c>
      <c r="K9100" s="39" t="n">
        <v>0</v>
      </c>
      <c r="L9100" s="39" t="n">
        <v>0</v>
      </c>
      <c r="M9100" s="39" t="n">
        <v>0</v>
      </c>
    </row>
    <row r="9101" customFormat="false" ht="17.15" hidden="false" customHeight="false" outlineLevel="0" collapsed="false">
      <c r="A9101" s="5" t="s">
        <v>811</v>
      </c>
      <c r="B9101" s="0" t="s">
        <v>86</v>
      </c>
      <c r="F9101" s="38" t="n">
        <f aca="false">iss_2h26</f>
        <v>29.249999</v>
      </c>
      <c r="G9101" s="38" t="n">
        <f aca="false">Sens!$F$9101</f>
        <v>29.249999</v>
      </c>
      <c r="H9101" s="39" t="n">
        <v>0</v>
      </c>
      <c r="I9101" s="39" t="n">
        <v>0</v>
      </c>
      <c r="J9101" s="39" t="n">
        <v>0</v>
      </c>
      <c r="K9101" s="39" t="n">
        <v>0</v>
      </c>
      <c r="L9101" s="39" t="n">
        <v>0</v>
      </c>
      <c r="M9101" s="39" t="n">
        <v>0</v>
      </c>
    </row>
    <row r="9102" customFormat="false" ht="17.15" hidden="false" customHeight="false" outlineLevel="0" collapsed="false">
      <c r="A9102" s="5" t="s">
        <v>812</v>
      </c>
      <c r="B9102" s="0" t="s">
        <v>86</v>
      </c>
      <c r="F9102" s="38" t="n">
        <f aca="false">cash_q2</f>
        <v>122.988</v>
      </c>
      <c r="G9102" s="38" t="n">
        <f aca="false">cash_q2</f>
        <v>122.988</v>
      </c>
      <c r="H9102" s="38" t="n">
        <f aca="false">Sens!$G$9105</f>
        <v>97.7108196731683</v>
      </c>
      <c r="I9102" s="38" t="n">
        <f aca="false">Sens!$H$9105</f>
        <v>50</v>
      </c>
      <c r="J9102" s="38" t="n">
        <f aca="false">Sens!$I$9105</f>
        <v>50</v>
      </c>
      <c r="K9102" s="38" t="n">
        <f aca="false">Sens!$J$9105</f>
        <v>75.3313456523922</v>
      </c>
      <c r="L9102" s="38" t="n">
        <f aca="false">Sens!$K$9105</f>
        <v>197.311992435464</v>
      </c>
      <c r="M9102" s="38" t="n">
        <f aca="false">Sens!$L$9105</f>
        <v>378.120643466004</v>
      </c>
    </row>
    <row r="9103" customFormat="false" ht="15" hidden="false" customHeight="false" outlineLevel="0" collapsed="false">
      <c r="A9103" s="5" t="s">
        <v>813</v>
      </c>
      <c r="B9103" s="0" t="s">
        <v>86</v>
      </c>
      <c r="F9103" s="38" t="n">
        <f aca="false">Sens!$F$9102+Sens!$F$9099-Sens!$F$9098-Sens!$F$9100+Sens!$F$9101</f>
        <v>97.7108196731683</v>
      </c>
      <c r="H9103" s="38" t="n">
        <f aca="false">Sens!$H$9102+Sens!$H$9099-Sens!$H$9098-Sens!$H$9100+Sens!$H$9101</f>
        <v>43.3546958307647</v>
      </c>
      <c r="I9103" s="38" t="n">
        <f aca="false">Sens!$I$9102+Sens!$I$9099-Sens!$I$9098-Sens!$I$9100+Sens!$I$9101</f>
        <v>34.9696096053945</v>
      </c>
      <c r="J9103" s="38" t="n">
        <f aca="false">Sens!$J$9102+Sens!$J$9099-Sens!$J$9098-Sens!$J$9100+Sens!$J$9101</f>
        <v>75.3313456523922</v>
      </c>
      <c r="K9103" s="38" t="n">
        <f aca="false">Sens!$K$9102+Sens!$K$9099-Sens!$K$9098-Sens!$K$9100+Sens!$K$9101</f>
        <v>197.311992435464</v>
      </c>
      <c r="L9103" s="38" t="n">
        <f aca="false">Sens!$L$9102+Sens!$L$9099-Sens!$L$9098-Sens!$L$9100+Sens!$L$9101</f>
        <v>378.120643466004</v>
      </c>
      <c r="M9103" s="38" t="n">
        <f aca="false">Sens!$M$9102+Sens!$M$9099-Sens!$M$9098-Sens!$M$9100+Sens!$M$9101</f>
        <v>587.940051007045</v>
      </c>
    </row>
    <row r="9104" customFormat="false" ht="17.15" hidden="false" customHeight="false" outlineLevel="0" collapsed="false">
      <c r="A9104" s="5" t="s">
        <v>814</v>
      </c>
      <c r="B9104" s="0" t="s">
        <v>86</v>
      </c>
      <c r="F9104" s="38" t="n">
        <f aca="false">MAX(0,min_cash-Sens!$F$9103)</f>
        <v>0</v>
      </c>
      <c r="G9104" s="38" t="n">
        <f aca="false">Sens!$F$9104</f>
        <v>0</v>
      </c>
      <c r="H9104" s="38" t="n">
        <f aca="false">MAX(0,min_cash-Sens!$H$9103)</f>
        <v>6.64530416923528</v>
      </c>
      <c r="I9104" s="38" t="n">
        <f aca="false">MAX(0,min_cash-Sens!$I$9103)</f>
        <v>15.0303903946055</v>
      </c>
      <c r="J9104" s="38" t="n">
        <f aca="false">MAX(0,min_cash-Sens!$J$9103)</f>
        <v>0</v>
      </c>
      <c r="K9104" s="38" t="n">
        <f aca="false">MAX(0,min_cash-Sens!$K$9103)</f>
        <v>0</v>
      </c>
      <c r="L9104" s="38" t="n">
        <f aca="false">MAX(0,min_cash-Sens!$L$9103)</f>
        <v>0</v>
      </c>
      <c r="M9104" s="38" t="n">
        <f aca="false">MAX(0,min_cash-Sens!$M$9103)</f>
        <v>0</v>
      </c>
      <c r="P9104" s="5" t="s">
        <v>815</v>
      </c>
    </row>
    <row r="9105" customFormat="false" ht="15" hidden="false" customHeight="false" outlineLevel="0" collapsed="false">
      <c r="A9105" s="5" t="s">
        <v>816</v>
      </c>
      <c r="B9105" s="0" t="s">
        <v>86</v>
      </c>
      <c r="D9105" s="38" t="n">
        <f aca="false">Q!$E$61</f>
        <v>123.029</v>
      </c>
      <c r="E9105" s="38" t="n">
        <f aca="false">Q!$M$61</f>
        <v>122.988</v>
      </c>
      <c r="F9105" s="38" t="n">
        <f aca="false">Sens!$F$9103+Sens!$F$9104</f>
        <v>97.7108196731683</v>
      </c>
      <c r="G9105" s="38" t="n">
        <f aca="false">Sens!$F$9105</f>
        <v>97.7108196731683</v>
      </c>
      <c r="H9105" s="38" t="n">
        <f aca="false">Sens!$H$9103+Sens!$H$9104</f>
        <v>50</v>
      </c>
      <c r="I9105" s="38" t="n">
        <f aca="false">Sens!$I$9103+Sens!$I$9104</f>
        <v>50</v>
      </c>
      <c r="J9105" s="38" t="n">
        <f aca="false">Sens!$J$9103+Sens!$J$9104</f>
        <v>75.3313456523922</v>
      </c>
      <c r="K9105" s="38" t="n">
        <f aca="false">Sens!$K$9103+Sens!$K$9104</f>
        <v>197.311992435464</v>
      </c>
      <c r="L9105" s="38" t="n">
        <f aca="false">Sens!$L$9103+Sens!$L$9104</f>
        <v>378.120643466004</v>
      </c>
      <c r="M9105" s="38" t="n">
        <f aca="false">Sens!$M$9103+Sens!$M$9104</f>
        <v>587.940051007045</v>
      </c>
    </row>
    <row r="9106" customFormat="false" ht="15" hidden="false" customHeight="false" outlineLevel="0" collapsed="false">
      <c r="A9106" s="5" t="s">
        <v>817</v>
      </c>
      <c r="B9106" s="0" t="s">
        <v>86</v>
      </c>
      <c r="D9106" s="38" t="n">
        <f aca="false">Q!$E$62</f>
        <v>68.836</v>
      </c>
      <c r="E9106" s="38" t="n">
        <f aca="false">Q!$M$62</f>
        <v>132.995</v>
      </c>
      <c r="F9106" s="38" t="n">
        <f aca="false">debt_q2+Sens!$F$9101+Sens!$F$9104</f>
        <v>162.244999</v>
      </c>
      <c r="G9106" s="38" t="n">
        <f aca="false">Sens!$F$9106</f>
        <v>162.244999</v>
      </c>
      <c r="H9106" s="38" t="n">
        <f aca="false">Sens!$G$9106+Sens!$H$9104</f>
        <v>168.890303169235</v>
      </c>
      <c r="I9106" s="38" t="n">
        <f aca="false">Sens!$H$9106+Sens!$I$9104</f>
        <v>183.920693563841</v>
      </c>
      <c r="J9106" s="38" t="n">
        <f aca="false">Sens!$I$9106+Sens!$J$9104</f>
        <v>183.920693563841</v>
      </c>
      <c r="K9106" s="38" t="n">
        <f aca="false">Sens!$J$9106+Sens!$K$9104</f>
        <v>183.920693563841</v>
      </c>
      <c r="L9106" s="38" t="n">
        <f aca="false">Sens!$K$9106+Sens!$L$9104</f>
        <v>183.920693563841</v>
      </c>
      <c r="M9106" s="38" t="n">
        <f aca="false">Sens!$L$9106+Sens!$M$9104</f>
        <v>183.920693563841</v>
      </c>
    </row>
    <row r="9107" customFormat="false" ht="15" hidden="false" customHeight="false" outlineLevel="0" collapsed="false">
      <c r="A9107" s="5" t="s">
        <v>818</v>
      </c>
      <c r="B9107" s="0" t="s">
        <v>86</v>
      </c>
      <c r="D9107" s="38" t="n">
        <f aca="false">Sens!$D$9106-Sens!$D$9105</f>
        <v>-54.193</v>
      </c>
      <c r="E9107" s="38" t="n">
        <f aca="false">Sens!$E$9106-Sens!$E$9105</f>
        <v>10.007</v>
      </c>
      <c r="F9107" s="38" t="n">
        <f aca="false">Sens!$F$9106-Sens!$F$9105</f>
        <v>64.5341793268317</v>
      </c>
      <c r="G9107" s="38" t="n">
        <f aca="false">Sens!$G$9106-Sens!$G$9105</f>
        <v>64.5341793268317</v>
      </c>
      <c r="H9107" s="38" t="n">
        <f aca="false">Sens!$H$9106-Sens!$H$9105</f>
        <v>118.890303169235</v>
      </c>
      <c r="I9107" s="38" t="n">
        <f aca="false">Sens!$I$9106-Sens!$I$9105</f>
        <v>133.920693563841</v>
      </c>
      <c r="J9107" s="38" t="n">
        <f aca="false">Sens!$J$9106-Sens!$J$9105</f>
        <v>108.589347911449</v>
      </c>
      <c r="K9107" s="38" t="n">
        <f aca="false">Sens!$K$9106-Sens!$K$9105</f>
        <v>-13.3912988716235</v>
      </c>
      <c r="L9107" s="38" t="n">
        <f aca="false">Sens!$L$9106-Sens!$L$9105</f>
        <v>-194.199949902163</v>
      </c>
      <c r="M9107" s="38" t="n">
        <f aca="false">Sens!$M$9106-Sens!$M$9105</f>
        <v>-404.019357443204</v>
      </c>
    </row>
    <row r="9108" customFormat="false" ht="17.15" hidden="false" customHeight="false" outlineLevel="0" collapsed="false">
      <c r="A9108" s="5" t="s">
        <v>819</v>
      </c>
      <c r="B9108" s="0" t="s">
        <v>86</v>
      </c>
      <c r="F9108" s="38" t="n">
        <f aca="false">debt_q2*kd_book*0.5+iss_2h26*kd_new*iss_t</f>
        <v>3.24888962733561</v>
      </c>
      <c r="H9108" s="38" t="n">
        <f aca="false">debt_q2*kd_book+(Sens!$G$9106-debt_q2)*kd_new</f>
        <v>7.42354172302123</v>
      </c>
      <c r="I9108" s="38" t="n">
        <f aca="false">debt_q2*kd_book+(Sens!$H$9106-debt_q2)*kd_new</f>
        <v>7.84418947693382</v>
      </c>
      <c r="J9108" s="38" t="n">
        <f aca="false">debt_q2*kd_book+(Sens!$I$9106-debt_q2)*kd_new</f>
        <v>8.79561318891235</v>
      </c>
      <c r="K9108" s="38" t="n">
        <f aca="false">debt_q2*kd_book+(Sens!$J$9106-debt_q2)*kd_new</f>
        <v>8.79561318891235</v>
      </c>
      <c r="L9108" s="38" t="n">
        <f aca="false">debt_q2*kd_book+(Sens!$K$9106-debt_q2)*kd_new</f>
        <v>8.79561318891235</v>
      </c>
      <c r="M9108" s="38" t="n">
        <f aca="false">debt_q2*kd_book+(Sens!$L$9106-debt_q2)*kd_new</f>
        <v>8.79561318891235</v>
      </c>
    </row>
    <row r="9109" customFormat="false" ht="17.15" hidden="false" customHeight="false" outlineLevel="0" collapsed="false">
      <c r="A9109" s="5" t="s">
        <v>820</v>
      </c>
      <c r="B9109" s="0" t="s">
        <v>86</v>
      </c>
      <c r="F9109" s="38" t="n">
        <f aca="false">cash_q2*y_cash*0.5</f>
        <v>2.59</v>
      </c>
      <c r="H9109" s="38" t="n">
        <f aca="false">Sens!$G$9105*y_cash</f>
        <v>4.1153774832261</v>
      </c>
      <c r="I9109" s="38" t="n">
        <f aca="false">Sens!$H$9105*y_cash</f>
        <v>2.10589651022864</v>
      </c>
      <c r="J9109" s="38" t="n">
        <f aca="false">Sens!$I$9105*y_cash</f>
        <v>2.10589651022864</v>
      </c>
      <c r="K9109" s="38" t="n">
        <f aca="false">Sens!$J$9105*y_cash</f>
        <v>3.172800358404</v>
      </c>
      <c r="L9109" s="38" t="n">
        <f aca="false">Sens!$K$9105*y_cash</f>
        <v>8.31037272592208</v>
      </c>
      <c r="M9109" s="38" t="n">
        <f aca="false">Sens!$L$9105*y_cash</f>
        <v>15.9256588704093</v>
      </c>
    </row>
    <row r="9110" customFormat="false" ht="17.15" hidden="false" customHeight="false" outlineLevel="0" collapsed="false">
      <c r="A9110" s="47" t="s">
        <v>821</v>
      </c>
      <c r="B9110" s="14" t="s">
        <v>86</v>
      </c>
      <c r="C9110" s="14"/>
      <c r="D9110" s="14"/>
      <c r="E9110" s="14"/>
      <c r="F9110" s="14"/>
      <c r="G9110" s="48" t="n">
        <f aca="false">SUM(Sens!$G$9099:$K$9099)</f>
        <v>19.0072988716234</v>
      </c>
      <c r="H9110" s="14"/>
      <c r="I9110" s="14"/>
      <c r="J9110" s="14"/>
      <c r="K9110" s="14"/>
      <c r="L9110" s="14"/>
      <c r="M9110" s="14"/>
      <c r="N9110" s="14"/>
      <c r="O9110" s="14"/>
    </row>
    <row r="9111" customFormat="false" ht="17.15" hidden="false" customHeight="false" outlineLevel="0" collapsed="false">
      <c r="A9111" s="0" t="s">
        <v>787</v>
      </c>
      <c r="B9111" s="0" t="s">
        <v>86</v>
      </c>
      <c r="G9111" s="38" t="n">
        <f aca="false">SUM(Sens!$G$9104:$K$9104)</f>
        <v>21.6756945638408</v>
      </c>
    </row>
    <row r="9112" customFormat="false" ht="17.15" hidden="false" customHeight="false" outlineLevel="0" collapsed="false">
      <c r="A9112" s="24" t="s">
        <v>824</v>
      </c>
      <c r="B9112" s="25" t="s">
        <v>86</v>
      </c>
      <c r="C9112" s="25"/>
      <c r="D9112" s="25"/>
      <c r="E9112" s="25"/>
      <c r="F9112" s="25"/>
      <c r="G9112" s="41" t="n">
        <f aca="false">Sens!$G$9110-(Sens!$G$9099+Sens!$H$9099+Sens!$I$9099+Sens!$J$9099+Sens!$K$9099)</f>
        <v>0</v>
      </c>
      <c r="H9112" s="25"/>
      <c r="I9112" s="25"/>
      <c r="J9112" s="25"/>
      <c r="K9112" s="25"/>
      <c r="L9112" s="25"/>
      <c r="M9112" s="25"/>
      <c r="N9112" s="25"/>
      <c r="O9112" s="25"/>
    </row>
    <row r="9115" customFormat="false" ht="19.4" hidden="false" customHeight="false" outlineLevel="0" collapsed="false">
      <c r="A9115" s="31" t="s">
        <v>1336</v>
      </c>
    </row>
    <row r="9116" customFormat="false" ht="17.15" hidden="false" customHeight="false" outlineLevel="0" collapsed="false">
      <c r="A9116" s="6" t="s">
        <v>16</v>
      </c>
      <c r="B9116" s="6" t="s">
        <v>17</v>
      </c>
      <c r="C9116" s="20" t="s">
        <v>504</v>
      </c>
      <c r="D9116" s="20" t="s">
        <v>505</v>
      </c>
      <c r="E9116" s="20" t="s">
        <v>587</v>
      </c>
      <c r="F9116" s="20" t="s">
        <v>588</v>
      </c>
      <c r="G9116" s="20" t="s">
        <v>589</v>
      </c>
      <c r="H9116" s="20" t="s">
        <v>590</v>
      </c>
      <c r="I9116" s="20" t="s">
        <v>591</v>
      </c>
      <c r="J9116" s="20" t="s">
        <v>592</v>
      </c>
      <c r="K9116" s="20" t="s">
        <v>593</v>
      </c>
      <c r="L9116" s="20" t="s">
        <v>594</v>
      </c>
      <c r="M9116" s="20" t="s">
        <v>595</v>
      </c>
      <c r="N9116" s="20" t="s">
        <v>596</v>
      </c>
      <c r="O9116" s="20" t="s">
        <v>597</v>
      </c>
      <c r="P9116" s="6" t="s">
        <v>23</v>
      </c>
      <c r="R9116" s="20" t="n">
        <v>2023</v>
      </c>
      <c r="S9116" s="20" t="n">
        <v>2024</v>
      </c>
      <c r="T9116" s="20" t="n">
        <v>2025</v>
      </c>
      <c r="U9116" s="20" t="n">
        <v>2026</v>
      </c>
      <c r="V9116" s="20" t="n">
        <v>2027</v>
      </c>
      <c r="W9116" s="20" t="n">
        <v>2028</v>
      </c>
      <c r="X9116" s="20" t="n">
        <v>2029</v>
      </c>
      <c r="Y9116" s="20" t="n">
        <v>2030</v>
      </c>
      <c r="Z9116" s="20" t="n">
        <v>2031</v>
      </c>
      <c r="AA9116" s="20" t="n">
        <v>2032</v>
      </c>
    </row>
    <row r="9117" customFormat="false" ht="17.15" hidden="false" customHeight="false" outlineLevel="0" collapsed="false">
      <c r="A9117" s="1" t="s">
        <v>926</v>
      </c>
    </row>
    <row r="9118" customFormat="false" ht="17.15" hidden="false" customHeight="false" outlineLevel="0" collapsed="false">
      <c r="A9118" s="0" t="s">
        <v>927</v>
      </c>
      <c r="B9118" s="0" t="s">
        <v>86</v>
      </c>
      <c r="H9118" s="38" t="n">
        <f aca="false">Sens!$H$9052*(1-tax)</f>
        <v>119.56497355468</v>
      </c>
      <c r="I9118" s="38" t="n">
        <f aca="false">Sens!$I$9052*(1-tax)</f>
        <v>141.256941944278</v>
      </c>
      <c r="J9118" s="38" t="n">
        <f aca="false">Sens!$J$9052*(1-tax)</f>
        <v>165.207646486437</v>
      </c>
      <c r="K9118" s="38" t="n">
        <f aca="false">Sens!$K$9052*(1-tax)</f>
        <v>182.2563867591</v>
      </c>
      <c r="L9118" s="38" t="n">
        <f aca="false">Sens!$L$9052*(1-tax)</f>
        <v>196.136023003742</v>
      </c>
      <c r="M9118" s="38" t="n">
        <f aca="false">Sens!$M$9052*(1-tax)</f>
        <v>208.266936154417</v>
      </c>
    </row>
    <row r="9119" customFormat="false" ht="15" hidden="false" customHeight="false" outlineLevel="0" collapsed="false">
      <c r="A9119" s="5" t="s">
        <v>928</v>
      </c>
      <c r="B9119" s="0" t="s">
        <v>86</v>
      </c>
      <c r="H9119" s="38" t="n">
        <f aca="false">Sens!$H$9063</f>
        <v>81.5618233196153</v>
      </c>
      <c r="I9119" s="38" t="n">
        <f aca="false">Sens!$I$9063</f>
        <v>118.756208740204</v>
      </c>
      <c r="J9119" s="38" t="n">
        <f aca="false">Sens!$J$9063</f>
        <v>152.469489406791</v>
      </c>
      <c r="K9119" s="38" t="n">
        <f aca="false">Sens!$K$9063</f>
        <v>186.391502623819</v>
      </c>
      <c r="L9119" s="38" t="n">
        <f aca="false">Sens!$L$9063</f>
        <v>211.926422215482</v>
      </c>
      <c r="M9119" s="38" t="n">
        <f aca="false">Sens!$M$9063</f>
        <v>229.012482097906</v>
      </c>
    </row>
    <row r="9120" customFormat="false" ht="15" hidden="false" customHeight="false" outlineLevel="0" collapsed="false">
      <c r="A9120" s="5" t="s">
        <v>929</v>
      </c>
      <c r="B9120" s="0" t="s">
        <v>86</v>
      </c>
      <c r="H9120" s="38" t="n">
        <f aca="false">Sens!$H$9094</f>
        <v>273.372679834898</v>
      </c>
      <c r="I9120" s="38" t="n">
        <f aca="false">Sens!$I$9094</f>
        <v>286.981812228425</v>
      </c>
      <c r="J9120" s="38" t="n">
        <f aca="false">Sens!$J$9094</f>
        <v>299.316513378366</v>
      </c>
      <c r="K9120" s="38" t="n">
        <f aca="false">Sens!$K$9094</f>
        <v>251.057145512292</v>
      </c>
      <c r="L9120" s="38" t="n">
        <f aca="false">Sens!$L$9094</f>
        <v>234.696330860396</v>
      </c>
      <c r="M9120" s="38" t="n">
        <f aca="false">Sens!$M$9094</f>
        <v>242.291696043352</v>
      </c>
    </row>
    <row r="9121" customFormat="false" ht="15" hidden="false" customHeight="false" outlineLevel="0" collapsed="false">
      <c r="A9121" s="5" t="s">
        <v>930</v>
      </c>
      <c r="B9121" s="0" t="s">
        <v>86</v>
      </c>
      <c r="H9121" s="38" t="n">
        <f aca="false">Sens!$H$9095</f>
        <v>1.6</v>
      </c>
      <c r="I9121" s="38" t="n">
        <f aca="false">Sens!$I$9095</f>
        <v>1.6</v>
      </c>
      <c r="J9121" s="38" t="n">
        <f aca="false">Sens!$J$9095</f>
        <v>1.6</v>
      </c>
      <c r="K9121" s="38" t="n">
        <f aca="false">Sens!$K$9095</f>
        <v>1.6</v>
      </c>
      <c r="L9121" s="38" t="n">
        <f aca="false">Sens!$L$9095</f>
        <v>1.6</v>
      </c>
      <c r="M9121" s="38" t="n">
        <f aca="false">Sens!$M$9095</f>
        <v>1.6</v>
      </c>
    </row>
    <row r="9122" customFormat="false" ht="15" hidden="false" customHeight="false" outlineLevel="0" collapsed="false">
      <c r="A9122" s="5" t="s">
        <v>931</v>
      </c>
      <c r="B9122" s="0" t="s">
        <v>86</v>
      </c>
      <c r="H9122" s="38" t="n">
        <f aca="false">Sens!$H$9089</f>
        <v>11.2928295263397</v>
      </c>
      <c r="I9122" s="38" t="n">
        <f aca="false">Sens!$I$9089</f>
        <v>12.8091546115766</v>
      </c>
      <c r="J9122" s="38" t="n">
        <f aca="false">Sens!$J$9089</f>
        <v>14.2605653162668</v>
      </c>
      <c r="K9122" s="38" t="n">
        <f aca="false">Sens!$K$9089</f>
        <v>15.5327622460396</v>
      </c>
      <c r="L9122" s="38" t="n">
        <f aca="false">Sens!$L$9089</f>
        <v>16.720573737517</v>
      </c>
      <c r="M9122" s="38" t="n">
        <f aca="false">Sens!$M$9089</f>
        <v>17.8283127551536</v>
      </c>
    </row>
    <row r="9123" customFormat="false" ht="17.15" hidden="false" customHeight="false" outlineLevel="0" collapsed="false">
      <c r="A9123" s="1" t="s">
        <v>932</v>
      </c>
      <c r="B9123" s="8" t="s">
        <v>86</v>
      </c>
      <c r="H9123" s="38" t="n">
        <f aca="false">Sens!$H$9118+Sens!$H$9119-Sens!$H$9120-Sens!$H$9121+Sens!$H$9122</f>
        <v>-62.5530534342631</v>
      </c>
      <c r="I9123" s="38" t="n">
        <f aca="false">Sens!$I$9118+Sens!$I$9119-Sens!$I$9120-Sens!$I$9121+Sens!$I$9122</f>
        <v>-15.7595069323669</v>
      </c>
      <c r="J9123" s="38" t="n">
        <f aca="false">Sens!$J$9118+Sens!$J$9119-Sens!$J$9120-Sens!$J$9121+Sens!$J$9122</f>
        <v>31.0211878311291</v>
      </c>
      <c r="K9123" s="38" t="n">
        <f aca="false">Sens!$K$9118+Sens!$K$9119-Sens!$K$9120-Sens!$K$9121+Sens!$K$9122</f>
        <v>131.523506116666</v>
      </c>
      <c r="L9123" s="38" t="n">
        <f aca="false">Sens!$L$9118+Sens!$L$9119-Sens!$L$9120-Sens!$L$9121+Sens!$L$9122</f>
        <v>188.486688096346</v>
      </c>
      <c r="M9123" s="38" t="n">
        <f aca="false">Sens!$M$9118+Sens!$M$9119-Sens!$M$9120-Sens!$M$9121+Sens!$M$9122</f>
        <v>211.216034964125</v>
      </c>
    </row>
    <row r="9124" customFormat="false" ht="15" hidden="false" customHeight="false" outlineLevel="0" collapsed="false">
      <c r="A9124" s="5" t="s">
        <v>933</v>
      </c>
      <c r="B9124" s="0" t="s">
        <v>57</v>
      </c>
      <c r="H9124" s="40" t="n">
        <f aca="false">1/(1+(wacc-0.01))^(2027-2026-0.5)</f>
        <v>0.952036717208703</v>
      </c>
      <c r="I9124" s="40" t="n">
        <f aca="false">1/(1+(wacc-0.01))^(2028-2026-0.5)</f>
        <v>0.862901242709724</v>
      </c>
      <c r="J9124" s="40" t="n">
        <f aca="false">1/(1+(wacc-0.01))^(2029-2026-0.5)</f>
        <v>0.782111174086951</v>
      </c>
      <c r="K9124" s="40" t="n">
        <f aca="false">1/(1+(wacc-0.01))^(2030-2026-0.5)</f>
        <v>0.708885163626357</v>
      </c>
      <c r="L9124" s="40" t="n">
        <f aca="false">1/(1+(wacc-0.01))^(2031-2026-0.5)</f>
        <v>0.642515018144594</v>
      </c>
      <c r="M9124" s="40" t="n">
        <f aca="false">1/(1+(wacc-0.01))^(2032-2026-0.5)</f>
        <v>0.582358849816389</v>
      </c>
    </row>
    <row r="9125" customFormat="false" ht="15" hidden="false" customHeight="false" outlineLevel="0" collapsed="false">
      <c r="A9125" s="5" t="s">
        <v>934</v>
      </c>
      <c r="B9125" s="0" t="s">
        <v>86</v>
      </c>
      <c r="H9125" s="38" t="n">
        <f aca="false">Sens!$H$9123*Sens!$H$9124</f>
        <v>-59.5528036429364</v>
      </c>
      <c r="I9125" s="38" t="n">
        <f aca="false">Sens!$I$9123*Sens!$I$9124</f>
        <v>-13.5988981164319</v>
      </c>
      <c r="J9125" s="38" t="n">
        <f aca="false">Sens!$J$9123*Sens!$J$9124</f>
        <v>24.2620176361763</v>
      </c>
      <c r="K9125" s="38" t="n">
        <f aca="false">Sens!$K$9123*Sens!$K$9124</f>
        <v>93.2350621542252</v>
      </c>
      <c r="L9125" s="38" t="n">
        <f aca="false">Sens!$L$9123*Sens!$L$9124</f>
        <v>121.105527822238</v>
      </c>
      <c r="M9125" s="38" t="n">
        <f aca="false">Sens!$M$9123*Sens!$M$9124</f>
        <v>123.003527184486</v>
      </c>
    </row>
    <row r="9126" customFormat="false" ht="15" hidden="false" customHeight="false" outlineLevel="0" collapsed="false">
      <c r="A9126" s="5" t="s">
        <v>935</v>
      </c>
      <c r="B9126" s="0" t="s">
        <v>86</v>
      </c>
      <c r="C9126" s="38" t="n">
        <f aca="false">SUM(Sens!$H$9125:$M$9125)</f>
        <v>288.454433037757</v>
      </c>
    </row>
    <row r="9127" customFormat="false" ht="17.15" hidden="false" customHeight="false" outlineLevel="0" collapsed="false">
      <c r="A9127" s="5" t="s">
        <v>936</v>
      </c>
      <c r="B9127" s="0" t="s">
        <v>86</v>
      </c>
      <c r="C9127" s="38" t="n">
        <f aca="false">Sens!$M$9118*(1+tg)*(1-tg/ronic)/((wacc-0.01)-tg)</f>
        <v>2151.6933704072</v>
      </c>
    </row>
    <row r="9128" customFormat="false" ht="15" hidden="false" customHeight="false" outlineLevel="0" collapsed="false">
      <c r="A9128" s="5" t="s">
        <v>937</v>
      </c>
      <c r="B9128" s="0" t="s">
        <v>86</v>
      </c>
      <c r="C9128" s="38" t="n">
        <f aca="false">Sens!$C$9127/(1+(wacc-0.01))^6</f>
        <v>1192.95691666341</v>
      </c>
    </row>
    <row r="9129" customFormat="false" ht="17.15" hidden="false" customHeight="false" outlineLevel="0" collapsed="false">
      <c r="A9129" s="5" t="s">
        <v>938</v>
      </c>
      <c r="B9129" s="0" t="s">
        <v>86</v>
      </c>
      <c r="C9129" s="38" t="n">
        <f aca="false">Sens!$C$9126+Sens!$C$9128</f>
        <v>1481.41134970117</v>
      </c>
    </row>
    <row r="9130" customFormat="false" ht="17.15" hidden="false" customHeight="false" outlineLevel="0" collapsed="false">
      <c r="A9130" s="5" t="s">
        <v>939</v>
      </c>
      <c r="B9130" s="0" t="s">
        <v>52</v>
      </c>
      <c r="C9130" s="13" t="n">
        <f aca="false">Sens!$C$9128/Sens!$C$9129</f>
        <v>0.805284040050088</v>
      </c>
    </row>
    <row r="9131" customFormat="false" ht="17.15" hidden="false" customHeight="false" outlineLevel="0" collapsed="false">
      <c r="A9131" s="5" t="s">
        <v>940</v>
      </c>
      <c r="B9131" s="0" t="s">
        <v>86</v>
      </c>
      <c r="C9131" s="38" t="n">
        <f aca="false">Sens!$G$9107+fin_debt</f>
        <v>89.0551793268317</v>
      </c>
    </row>
    <row r="9132" customFormat="false" ht="17.15" hidden="false" customHeight="false" outlineLevel="0" collapsed="false">
      <c r="A9132" s="5" t="s">
        <v>941</v>
      </c>
      <c r="B9132" s="0" t="s">
        <v>86</v>
      </c>
      <c r="C9132" s="38" t="n">
        <f aca="false">(ant_val*ant_sh+oai_val*oai_sh)*(1-liq_disc)</f>
        <v>178.944</v>
      </c>
    </row>
    <row r="9133" customFormat="false" ht="15" hidden="false" customHeight="false" outlineLevel="0" collapsed="false">
      <c r="A9133" s="5" t="s">
        <v>942</v>
      </c>
      <c r="B9133" s="0" t="s">
        <v>86</v>
      </c>
      <c r="C9133" s="38" t="n">
        <f aca="false">Sens!$C$9129-Sens!$C$9131+Sens!$C$9132</f>
        <v>1571.30017037433</v>
      </c>
    </row>
    <row r="9134" customFormat="false" ht="17.15" hidden="false" customHeight="false" outlineLevel="0" collapsed="false">
      <c r="A9134" s="5" t="s">
        <v>943</v>
      </c>
      <c r="B9134" s="0" t="s">
        <v>27</v>
      </c>
      <c r="C9134" s="30" t="n">
        <f aca="false">Sens!$C$9133/sh_out</f>
        <v>145.675359569018</v>
      </c>
    </row>
    <row r="9135" customFormat="false" ht="17.15" hidden="false" customHeight="false" outlineLevel="0" collapsed="false">
      <c r="A9135" s="1" t="s">
        <v>944</v>
      </c>
      <c r="B9135" s="8" t="s">
        <v>27</v>
      </c>
      <c r="C9135" s="30" t="n">
        <f aca="false">Sens!$C$9134*(1+ke)^tp_yf-dps*tp_yf</f>
        <v>159.568250570893</v>
      </c>
    </row>
    <row r="9136" customFormat="false" ht="17.15" hidden="false" customHeight="false" outlineLevel="0" collapsed="false">
      <c r="A9136" s="3" t="s">
        <v>945</v>
      </c>
    </row>
    <row r="9137" customFormat="false" ht="17.15" hidden="false" customHeight="false" outlineLevel="0" collapsed="false">
      <c r="A9137" s="5" t="s">
        <v>946</v>
      </c>
      <c r="B9137" s="0" t="s">
        <v>86</v>
      </c>
      <c r="C9137" s="38" t="n">
        <f aca="false">(1-tp_yf)*(Sens!$H$9064+sbc_ab*Sens!$H$9088*Sens!$H$8925/Sens!$H$9005)+tp_yf*(Sens!$I$9064+sbc_ab*Sens!$I$9088*Sens!$I$8925/Sens!$I$9005)</f>
        <v>59.634664536349</v>
      </c>
    </row>
    <row r="9138" customFormat="false" ht="15" hidden="false" customHeight="false" outlineLevel="0" collapsed="false">
      <c r="A9138" s="5" t="s">
        <v>947</v>
      </c>
      <c r="B9138" s="0" t="s">
        <v>57</v>
      </c>
      <c r="C9138" s="30" t="n">
        <f aca="false">m_ads*m_x</f>
        <v>9.11</v>
      </c>
    </row>
    <row r="9139" customFormat="false" ht="17.15" hidden="false" customHeight="false" outlineLevel="0" collapsed="false">
      <c r="A9139" s="5" t="s">
        <v>948</v>
      </c>
      <c r="B9139" s="0" t="s">
        <v>86</v>
      </c>
      <c r="C9139" s="38" t="n">
        <f aca="false">Sens!$C$9137*Sens!$C$9138</f>
        <v>543.271793926139</v>
      </c>
    </row>
    <row r="9140" customFormat="false" ht="17.15" hidden="false" customHeight="false" outlineLevel="0" collapsed="false">
      <c r="A9140" s="5" t="s">
        <v>949</v>
      </c>
      <c r="B9140" s="0" t="s">
        <v>86</v>
      </c>
      <c r="C9140" s="38" t="n">
        <f aca="false">(1-tp_yf)*(Sens!$H$9065+sbc_ab*Sens!$H$9088*(Sens!$H$8932-Sens!$H$8925)/Sens!$H$9005+IF(internal_ai_reading=2,1,0)*(1-ext_sh)*Sens!$H$8962)+tp_yf*(Sens!$I$9065+sbc_ab*Sens!$I$9088*(Sens!$I$8932-Sens!$I$8925)/Sens!$I$9005+IF(internal_ai_reading=2,1,0)*(1-ext_sh)*Sens!$I$8962)</f>
        <v>51.6951811103438</v>
      </c>
    </row>
    <row r="9141" customFormat="false" ht="17.15" hidden="false" customHeight="false" outlineLevel="0" collapsed="false">
      <c r="A9141" s="5" t="s">
        <v>950</v>
      </c>
      <c r="B9141" s="0" t="s">
        <v>57</v>
      </c>
      <c r="C9141" s="30" t="n">
        <f aca="false">m_retail*m_x</f>
        <v>17.72</v>
      </c>
    </row>
    <row r="9142" customFormat="false" ht="17.15" hidden="false" customHeight="false" outlineLevel="0" collapsed="false">
      <c r="A9142" s="5" t="s">
        <v>951</v>
      </c>
      <c r="B9142" s="0" t="s">
        <v>86</v>
      </c>
      <c r="C9142" s="38" t="n">
        <f aca="false">Sens!$C$9140*Sens!$C$9141</f>
        <v>916.038609275292</v>
      </c>
    </row>
    <row r="9143" customFormat="false" ht="17.15" hidden="false" customHeight="false" outlineLevel="0" collapsed="false">
      <c r="A9143" s="0" t="s">
        <v>952</v>
      </c>
      <c r="B9143" s="0" t="s">
        <v>86</v>
      </c>
      <c r="C9143" s="38" t="n">
        <f aca="false">(1-tp_yf)*(Sens!$H$9066+sbc_ab*Sens!$H$9088*Sens!$H$9003/Sens!$H$9005)+tp_yf*(Sens!$I$9066+sbc_ab*Sens!$I$9088*Sens!$I$9003/Sens!$I$9005)</f>
        <v>97.2337130506861</v>
      </c>
    </row>
    <row r="9144" customFormat="false" ht="17.15" hidden="false" customHeight="false" outlineLevel="0" collapsed="false">
      <c r="A9144" s="0" t="s">
        <v>953</v>
      </c>
      <c r="B9144" s="0" t="s">
        <v>57</v>
      </c>
      <c r="C9144" s="30" t="n">
        <f aca="false">m_cloud*m_x</f>
        <v>13.82</v>
      </c>
    </row>
    <row r="9145" customFormat="false" ht="17.15" hidden="false" customHeight="false" outlineLevel="0" collapsed="false">
      <c r="A9145" s="0" t="s">
        <v>954</v>
      </c>
      <c r="B9145" s="0" t="s">
        <v>86</v>
      </c>
      <c r="C9145" s="38" t="n">
        <f aca="false">Sens!$C$9143*Sens!$C$9144</f>
        <v>1343.76991436048</v>
      </c>
    </row>
    <row r="9146" customFormat="false" ht="17.15" hidden="false" customHeight="false" outlineLevel="0" collapsed="false">
      <c r="A9146" s="0" t="s">
        <v>955</v>
      </c>
      <c r="B9146" s="0" t="s">
        <v>86</v>
      </c>
      <c r="H9146" s="38" t="n">
        <f aca="false">Sens!$H$8984-tax*Sens!$H$8985-ext_sh*Sens!$H$8969</f>
        <v>-115.41576008619</v>
      </c>
      <c r="I9146" s="38" t="n">
        <f aca="false">Sens!$I$8984-tax*Sens!$I$8985-ext_sh*Sens!$I$8969</f>
        <v>-88.5401912683161</v>
      </c>
      <c r="J9146" s="38" t="n">
        <f aca="false">Sens!$J$8984-tax*Sens!$J$8985-ext_sh*Sens!$J$8969</f>
        <v>-61.2977422866746</v>
      </c>
      <c r="K9146" s="38" t="n">
        <f aca="false">Sens!$K$8984-tax*Sens!$K$8985-ext_sh*Sens!$K$8969</f>
        <v>9.91264760007891</v>
      </c>
      <c r="L9146" s="38" t="n">
        <f aca="false">Sens!$L$8984-tax*Sens!$L$8985-ext_sh*Sens!$L$8969</f>
        <v>46.750156871371</v>
      </c>
      <c r="M9146" s="38" t="n">
        <f aca="false">Sens!$M$8984-tax*Sens!$M$8985-ext_sh*Sens!$M$8969</f>
        <v>55.5634749071557</v>
      </c>
    </row>
    <row r="9147" customFormat="false" ht="17.15" hidden="false" customHeight="false" outlineLevel="0" collapsed="false">
      <c r="A9147" s="5" t="s">
        <v>956</v>
      </c>
      <c r="B9147" s="0" t="s">
        <v>86</v>
      </c>
      <c r="H9147" s="38" t="n">
        <f aca="false">Sens!$H$9146*Sens!$H$9124</f>
        <v>-109.880041346603</v>
      </c>
      <c r="I9147" s="38" t="n">
        <f aca="false">Sens!$I$9146*Sens!$I$9124</f>
        <v>-76.4014410751866</v>
      </c>
      <c r="J9147" s="38" t="n">
        <f aca="false">Sens!$J$9146*Sens!$J$9124</f>
        <v>-47.9416491887104</v>
      </c>
      <c r="K9147" s="38" t="n">
        <f aca="false">Sens!$K$9146*Sens!$K$9124</f>
        <v>7.02692881595236</v>
      </c>
      <c r="L9147" s="38" t="n">
        <f aca="false">Sens!$L$9146*Sens!$L$9124</f>
        <v>30.0376778904715</v>
      </c>
      <c r="M9147" s="38" t="n">
        <f aca="false">Sens!$M$9146*Sens!$M$9124</f>
        <v>32.357881338733</v>
      </c>
    </row>
    <row r="9148" customFormat="false" ht="17.15" hidden="false" customHeight="false" outlineLevel="0" collapsed="false">
      <c r="A9148" s="5" t="s">
        <v>957</v>
      </c>
      <c r="B9148" s="0" t="s">
        <v>86</v>
      </c>
      <c r="C9148" s="38" t="n">
        <f aca="false">Sens!$M$8985*(1-tax)*(1+tg)*(1-tg/ronic)/((wacc-0.01)-tg)</f>
        <v>404.774229390926</v>
      </c>
    </row>
    <row r="9149" customFormat="false" ht="17.15" hidden="false" customHeight="false" outlineLevel="0" collapsed="false">
      <c r="A9149" s="0" t="s">
        <v>958</v>
      </c>
      <c r="B9149" s="0" t="s">
        <v>86</v>
      </c>
      <c r="C9149" s="38" t="n">
        <f aca="false">(SUM(Sens!$I$9147:$M$9147)+Sens!$C$9148/(1+(wacc-0.01))^6)*(1+(wacc-0.01))^tp_yf</f>
        <v>183.760533727188</v>
      </c>
    </row>
    <row r="9150" customFormat="false" ht="17.15" hidden="false" customHeight="false" outlineLevel="0" collapsed="false">
      <c r="A9150" s="5" t="s">
        <v>959</v>
      </c>
      <c r="B9150" s="0" t="s">
        <v>86</v>
      </c>
      <c r="C9150" s="38" t="n">
        <f aca="false">(1-tp_yf)*(Sens!$H$9067)+tp_yf*(Sens!$I$9067)</f>
        <v>74.6707041238437</v>
      </c>
    </row>
    <row r="9151" customFormat="false" ht="17.15" hidden="false" customHeight="false" outlineLevel="0" collapsed="false">
      <c r="A9151" s="5" t="s">
        <v>960</v>
      </c>
      <c r="B9151" s="0" t="s">
        <v>86</v>
      </c>
      <c r="C9151" s="38" t="n">
        <f aca="false">Sens!$C$9150*m_ai</f>
        <v>448.024224743062</v>
      </c>
    </row>
    <row r="9152" customFormat="false" ht="17.15" hidden="false" customHeight="false" outlineLevel="0" collapsed="false">
      <c r="A9152" s="0" t="s">
        <v>961</v>
      </c>
      <c r="B9152" s="0" t="s">
        <v>86</v>
      </c>
      <c r="C9152" s="38" t="n">
        <f aca="false">IF(ai_leg=1,Sens!$C$9149,Sens!$C$9151)</f>
        <v>183.760533727188</v>
      </c>
    </row>
    <row r="9153" customFormat="false" ht="17.15" hidden="false" customHeight="false" outlineLevel="0" collapsed="false">
      <c r="A9153" s="5" t="s">
        <v>962</v>
      </c>
      <c r="B9153" s="0" t="s">
        <v>86</v>
      </c>
      <c r="C9153" s="38" t="n">
        <f aca="false">Sens!$C$9139+Sens!$C$9142+Sens!$C$9145+Sens!$C$9152</f>
        <v>2986.8408512891</v>
      </c>
    </row>
    <row r="9154" customFormat="false" ht="17.15" hidden="false" customHeight="false" outlineLevel="0" collapsed="false">
      <c r="A9154" s="5" t="s">
        <v>963</v>
      </c>
      <c r="B9154" s="0" t="s">
        <v>86</v>
      </c>
      <c r="C9154" s="38" t="n">
        <f aca="false">Sens!$H$9107+fin_debt</f>
        <v>143.411303169235</v>
      </c>
    </row>
    <row r="9155" customFormat="false" ht="15" hidden="false" customHeight="false" outlineLevel="0" collapsed="false">
      <c r="A9155" s="5" t="s">
        <v>964</v>
      </c>
      <c r="B9155" s="0" t="s">
        <v>86</v>
      </c>
      <c r="C9155" s="38" t="n">
        <f aca="false">Sens!$C$9153-Sens!$C$9154+Sens!$C$9132</f>
        <v>3022.37354811987</v>
      </c>
    </row>
    <row r="9156" customFormat="false" ht="15" hidden="false" customHeight="false" outlineLevel="0" collapsed="false">
      <c r="A9156" s="3" t="s">
        <v>965</v>
      </c>
      <c r="B9156" s="8" t="s">
        <v>27</v>
      </c>
      <c r="C9156" s="30" t="n">
        <f aca="false">Sens!$C$9155/sh_val</f>
        <v>274.006120598187</v>
      </c>
    </row>
    <row r="9157" customFormat="false" ht="17.15" hidden="false" customHeight="false" outlineLevel="0" collapsed="false">
      <c r="A9157" s="47" t="s">
        <v>966</v>
      </c>
      <c r="B9157" s="14" t="s">
        <v>27</v>
      </c>
      <c r="C9157" s="44" t="n">
        <f aca="false">w_dcf*Sens!$C$9135+(1-w_dcf)*Sens!$C$9156</f>
        <v>216.78718558454</v>
      </c>
      <c r="D9157" s="14"/>
      <c r="E9157" s="14"/>
      <c r="F9157" s="14"/>
      <c r="G9157" s="14"/>
      <c r="H9157" s="14"/>
      <c r="I9157" s="14"/>
      <c r="J9157" s="14"/>
      <c r="K9157" s="14"/>
      <c r="L9157" s="14"/>
      <c r="M9157" s="14"/>
      <c r="N9157" s="14"/>
      <c r="O9157" s="14"/>
    </row>
    <row r="9158" customFormat="false" ht="17.15" hidden="false" customHeight="false" outlineLevel="0" collapsed="false">
      <c r="A9158" s="5" t="s">
        <v>967</v>
      </c>
      <c r="B9158" s="0" t="s">
        <v>27</v>
      </c>
      <c r="C9158" s="30" t="n">
        <f aca="false">v022_wdcf*Sens!$C$9135+(1-v022_wdcf)*Sens!$C$9156</f>
        <v>222.509079085904</v>
      </c>
    </row>
    <row r="9159" customFormat="false" ht="17.15" hidden="false" customHeight="false" outlineLevel="0" collapsed="false">
      <c r="A9159" s="5" t="s">
        <v>968</v>
      </c>
      <c r="B9159" s="0" t="s">
        <v>27</v>
      </c>
      <c r="C9159" s="30" t="n">
        <f aca="false">(Sens!$C$9155-Sens!$C$9152+Sens!$C$9151)/sh_val</f>
        <v>297.964068759578</v>
      </c>
    </row>
    <row r="9162" customFormat="false" ht="19.4" hidden="false" customHeight="false" outlineLevel="0" collapsed="false">
      <c r="A9162" s="31" t="s">
        <v>1337</v>
      </c>
    </row>
    <row r="9163" customFormat="false" ht="17.15" hidden="false" customHeight="false" outlineLevel="0" collapsed="false">
      <c r="A9163" s="6" t="s">
        <v>16</v>
      </c>
      <c r="B9163" s="6" t="s">
        <v>17</v>
      </c>
      <c r="C9163" s="20" t="s">
        <v>504</v>
      </c>
      <c r="D9163" s="20" t="s">
        <v>505</v>
      </c>
      <c r="E9163" s="20" t="s">
        <v>587</v>
      </c>
      <c r="F9163" s="20" t="s">
        <v>588</v>
      </c>
      <c r="G9163" s="20" t="s">
        <v>589</v>
      </c>
      <c r="H9163" s="20" t="s">
        <v>590</v>
      </c>
      <c r="I9163" s="20" t="s">
        <v>591</v>
      </c>
      <c r="J9163" s="20" t="s">
        <v>592</v>
      </c>
      <c r="K9163" s="20" t="s">
        <v>593</v>
      </c>
      <c r="L9163" s="20" t="s">
        <v>594</v>
      </c>
      <c r="M9163" s="20" t="s">
        <v>595</v>
      </c>
      <c r="N9163" s="20" t="s">
        <v>596</v>
      </c>
      <c r="O9163" s="20" t="s">
        <v>597</v>
      </c>
      <c r="P9163" s="6" t="s">
        <v>23</v>
      </c>
      <c r="R9163" s="20" t="n">
        <v>2023</v>
      </c>
      <c r="S9163" s="20" t="n">
        <v>2024</v>
      </c>
      <c r="T9163" s="20" t="n">
        <v>2025</v>
      </c>
      <c r="U9163" s="20" t="n">
        <v>2026</v>
      </c>
      <c r="V9163" s="20" t="n">
        <v>2027</v>
      </c>
      <c r="W9163" s="20" t="n">
        <v>2028</v>
      </c>
      <c r="X9163" s="20" t="n">
        <v>2029</v>
      </c>
      <c r="Y9163" s="20" t="n">
        <v>2030</v>
      </c>
      <c r="Z9163" s="20" t="n">
        <v>2031</v>
      </c>
      <c r="AA9163" s="20" t="n">
        <v>2032</v>
      </c>
    </row>
    <row r="9164" customFormat="false" ht="17.15" hidden="false" customHeight="false" outlineLevel="0" collapsed="false">
      <c r="A9164" s="1" t="s">
        <v>677</v>
      </c>
    </row>
    <row r="9165" customFormat="false" ht="17.15" hidden="false" customHeight="false" outlineLevel="0" collapsed="false">
      <c r="A9165" s="0" t="s">
        <v>526</v>
      </c>
      <c r="B9165" s="0" t="s">
        <v>86</v>
      </c>
      <c r="C9165" s="38" t="n">
        <f aca="false">Q!$D$10</f>
        <v>247.029</v>
      </c>
      <c r="D9165" s="38" t="n">
        <f aca="false">Q!$E$10</f>
        <v>269.287</v>
      </c>
      <c r="E9165" s="38" t="n">
        <f aca="false">Q!$P$10</f>
        <v>134.686</v>
      </c>
      <c r="F9165" s="38" t="n">
        <f aca="false">Sens!$O$9165*(1+Sens!$F$9166)*Sens!$F$9177</f>
        <v>158.293876822267</v>
      </c>
      <c r="G9165" s="38" t="n">
        <f aca="false">Sens!$E$9165+Sens!$F$9165</f>
        <v>292.979876822267</v>
      </c>
      <c r="H9165" s="38" t="n">
        <f aca="false">Sens!$G$9165*(1+Sens!$H$9166)</f>
        <v>318.184543087396</v>
      </c>
      <c r="I9165" s="38" t="n">
        <f aca="false">Sens!$H$9165*(1+Sens!$I$9166)</f>
        <v>341.736278761793</v>
      </c>
      <c r="J9165" s="38" t="n">
        <f aca="false">Sens!$I$9165*(1+Sens!$J$9166)</f>
        <v>362.927192787048</v>
      </c>
      <c r="K9165" s="38" t="n">
        <f aca="false">Sens!$J$9165*(1+Sens!$K$9166)</f>
        <v>381.0735524264</v>
      </c>
      <c r="L9165" s="38" t="n">
        <f aca="false">Sens!$K$9165*(1+Sens!$L$9166)</f>
        <v>400.12723004772</v>
      </c>
      <c r="M9165" s="38" t="n">
        <f aca="false">Sens!$L$9165*(1+Sens!$M$9166)</f>
        <v>420.133591550106</v>
      </c>
      <c r="N9165" s="38" t="n">
        <f aca="false">Q!$N$10</f>
        <v>118.892</v>
      </c>
      <c r="O9165" s="38" t="n">
        <f aca="false">Q!$O$10</f>
        <v>150.395</v>
      </c>
      <c r="P9165" s="8" t="s">
        <v>678</v>
      </c>
    </row>
    <row r="9166" customFormat="false" ht="17.15" hidden="false" customHeight="false" outlineLevel="0" collapsed="false">
      <c r="A9166" s="0" t="s">
        <v>679</v>
      </c>
      <c r="B9166" s="0" t="s">
        <v>52</v>
      </c>
      <c r="E9166" s="13" t="n">
        <f aca="false">Sens!$E$9165/Sens!$N$9165-1</f>
        <v>0.132843252699929</v>
      </c>
      <c r="F9166" s="13" t="n">
        <f aca="false">Sens!$O$9165/(Q!$F$10+Q!$G$10)-1</f>
        <v>0.0980382135842941</v>
      </c>
      <c r="G9166" s="13" t="n">
        <f aca="false">Sens!$G$9165/Sens!$D$9165-1</f>
        <v>0.0879837378791657</v>
      </c>
      <c r="H9166" s="13" t="n">
        <f aca="false">Sens!$F$9166+(g_os-Sens!$F$9166)*1/4</f>
        <v>0.0860286601882206</v>
      </c>
      <c r="I9166" s="13" t="n">
        <f aca="false">Sens!$F$9166+(g_os-Sens!$F$9166)*2/4</f>
        <v>0.074019106792147</v>
      </c>
      <c r="J9166" s="13" t="n">
        <f aca="false">Sens!$F$9166+(g_os-Sens!$F$9166)*3/4</f>
        <v>0.0620095533960735</v>
      </c>
      <c r="K9166" s="13" t="n">
        <f aca="false">Sens!$F$9166+(g_os-Sens!$F$9166)*4/4</f>
        <v>0.05</v>
      </c>
      <c r="L9166" s="13" t="n">
        <f aca="false">g_os</f>
        <v>0.05</v>
      </c>
      <c r="M9166" s="13" t="n">
        <f aca="false">g_os</f>
        <v>0.05</v>
      </c>
      <c r="P9166" s="8" t="s">
        <v>680</v>
      </c>
    </row>
    <row r="9167" customFormat="false" ht="17.15" hidden="false" customHeight="false" outlineLevel="0" collapsed="false">
      <c r="A9167" s="0" t="s">
        <v>527</v>
      </c>
      <c r="B9167" s="0" t="s">
        <v>86</v>
      </c>
      <c r="C9167" s="38" t="n">
        <f aca="false">Q!$D$11</f>
        <v>21.215</v>
      </c>
      <c r="D9167" s="38" t="n">
        <f aca="false">Q!$E$11</f>
        <v>22.561</v>
      </c>
      <c r="E9167" s="38" t="n">
        <f aca="false">Q!$P$11</f>
        <v>11.579</v>
      </c>
      <c r="F9167" s="38" t="n">
        <f aca="false">Sens!$O$9167*(1+Sens!$F$9168)*Sens!$F$9177</f>
        <v>11.5938724610325</v>
      </c>
      <c r="G9167" s="38" t="n">
        <f aca="false">Sens!$E$9167+Sens!$F$9167</f>
        <v>23.1728724610325</v>
      </c>
      <c r="H9167" s="38" t="n">
        <f aca="false">Sens!$G$9167*(1+Sens!$H$9168)</f>
        <v>24.353392759506</v>
      </c>
      <c r="I9167" s="38" t="n">
        <f aca="false">Sens!$H$9167*(1+Sens!$I$9168)</f>
        <v>25.4240338872015</v>
      </c>
      <c r="J9167" s="38" t="n">
        <f aca="false">Sens!$I$9167*(1+Sens!$J$9168)</f>
        <v>26.3642491017174</v>
      </c>
      <c r="K9167" s="38" t="n">
        <f aca="false">Sens!$J$9167*(1+Sens!$K$9168)</f>
        <v>27.155176574769</v>
      </c>
      <c r="L9167" s="38" t="n">
        <f aca="false">Sens!$K$9167*(1+Sens!$L$9168)</f>
        <v>27.969831872012</v>
      </c>
      <c r="M9167" s="38" t="n">
        <f aca="false">Sens!$L$9167*(1+Sens!$M$9168)</f>
        <v>28.8089268281724</v>
      </c>
      <c r="N9167" s="38" t="n">
        <f aca="false">Q!$N$11</f>
        <v>11.128</v>
      </c>
      <c r="O9167" s="38" t="n">
        <f aca="false">Q!$O$11</f>
        <v>11.433</v>
      </c>
      <c r="P9167" s="8" t="s">
        <v>678</v>
      </c>
    </row>
    <row r="9168" customFormat="false" ht="17.15" hidden="false" customHeight="false" outlineLevel="0" collapsed="false">
      <c r="A9168" s="0" t="s">
        <v>681</v>
      </c>
      <c r="B9168" s="0" t="s">
        <v>52</v>
      </c>
      <c r="E9168" s="13" t="n">
        <f aca="false">Sens!$E$9167/Sens!$N$9167-1</f>
        <v>0.0405283968368082</v>
      </c>
      <c r="F9168" s="13" t="n">
        <f aca="false">Sens!$O$9167/(Q!$F$11+Q!$G$11)-1</f>
        <v>0.0579254187100955</v>
      </c>
      <c r="G9168" s="13" t="n">
        <f aca="false">Sens!$G$9167/Sens!$D$9167-1</f>
        <v>0.0271208040881397</v>
      </c>
      <c r="H9168" s="13" t="n">
        <f aca="false">Sens!$F$9168+(g_ps-Sens!$F$9168)*1/4</f>
        <v>0.0509440640325716</v>
      </c>
      <c r="I9168" s="13" t="n">
        <f aca="false">Sens!$F$9168+(g_ps-Sens!$F$9168)*2/4</f>
        <v>0.0439627093550477</v>
      </c>
      <c r="J9168" s="13" t="n">
        <f aca="false">Sens!$F$9168+(g_ps-Sens!$F$9168)*3/4</f>
        <v>0.0369813546775239</v>
      </c>
      <c r="K9168" s="13" t="n">
        <f aca="false">Sens!$F$9168+(g_ps-Sens!$F$9168)*4/4</f>
        <v>0.03</v>
      </c>
      <c r="L9168" s="13" t="n">
        <f aca="false">g_ps</f>
        <v>0.03</v>
      </c>
      <c r="M9168" s="13" t="n">
        <f aca="false">g_ps</f>
        <v>0.03</v>
      </c>
      <c r="P9168" s="8" t="s">
        <v>682</v>
      </c>
    </row>
    <row r="9169" customFormat="false" ht="17.15" hidden="false" customHeight="false" outlineLevel="0" collapsed="false">
      <c r="A9169" s="0" t="s">
        <v>528</v>
      </c>
      <c r="B9169" s="0" t="s">
        <v>86</v>
      </c>
      <c r="C9169" s="38" t="n">
        <f aca="false">Q!$D$12</f>
        <v>156.146</v>
      </c>
      <c r="D9169" s="38" t="n">
        <f aca="false">Q!$E$12</f>
        <v>172.162</v>
      </c>
      <c r="E9169" s="38" t="n">
        <f aca="false">Q!$P$12</f>
        <v>88.358</v>
      </c>
      <c r="F9169" s="38" t="n">
        <f aca="false">Sens!$O$9169*(1+Sens!$F$9170)*Sens!$F$9177</f>
        <v>102.004388260171</v>
      </c>
      <c r="G9169" s="38" t="n">
        <f aca="false">Sens!$E$9169+Sens!$F$9169</f>
        <v>190.362388260171</v>
      </c>
      <c r="H9169" s="38" t="n">
        <f aca="false">Sens!$G$9169*(1+Sens!$H$9170)</f>
        <v>210.343106588311</v>
      </c>
      <c r="I9169" s="38" t="n">
        <f aca="false">Sens!$H$9169*(1+Sens!$I$9170)</f>
        <v>229.969728494648</v>
      </c>
      <c r="J9169" s="38" t="n">
        <f aca="false">Sens!$I$9169*(1+Sens!$J$9170)</f>
        <v>248.747636972598</v>
      </c>
      <c r="K9169" s="38" t="n">
        <f aca="false">Sens!$J$9169*(1+Sens!$K$9170)</f>
        <v>266.15997156068</v>
      </c>
      <c r="L9169" s="38" t="n">
        <f aca="false">Sens!$K$9169*(1+Sens!$L$9170)</f>
        <v>284.791169569927</v>
      </c>
      <c r="M9169" s="38" t="n">
        <f aca="false">Sens!$L$9169*(1+Sens!$M$9170)</f>
        <v>304.726551439822</v>
      </c>
      <c r="N9169" s="38" t="n">
        <f aca="false">Q!$N$12</f>
        <v>76.86</v>
      </c>
      <c r="O9169" s="38" t="n">
        <f aca="false">Q!$O$12</f>
        <v>95.302</v>
      </c>
      <c r="P9169" s="8" t="s">
        <v>678</v>
      </c>
    </row>
    <row r="9170" customFormat="false" ht="17.15" hidden="false" customHeight="false" outlineLevel="0" collapsed="false">
      <c r="A9170" s="0" t="s">
        <v>683</v>
      </c>
      <c r="B9170" s="0" t="s">
        <v>52</v>
      </c>
      <c r="E9170" s="13" t="n">
        <f aca="false">Sens!$E$9169/Sens!$N$9169-1</f>
        <v>0.1495966692688</v>
      </c>
      <c r="F9170" s="13" t="n">
        <f aca="false">Sens!$O$9169/(Q!$F$12+Q!$G$12)-1</f>
        <v>0.11661530890813</v>
      </c>
      <c r="G9170" s="13" t="n">
        <f aca="false">Sens!$G$9169/Sens!$D$9169-1</f>
        <v>0.105716640490767</v>
      </c>
      <c r="H9170" s="13" t="n">
        <f aca="false">Sens!$F$9170+(g_sp-Sens!$F$9170)*1/4</f>
        <v>0.104961481681098</v>
      </c>
      <c r="I9170" s="13" t="n">
        <f aca="false">Sens!$F$9170+(g_sp-Sens!$F$9170)*2/4</f>
        <v>0.0933076544540651</v>
      </c>
      <c r="J9170" s="13" t="n">
        <f aca="false">Sens!$F$9170+(g_sp-Sens!$F$9170)*3/4</f>
        <v>0.0816538272270325</v>
      </c>
      <c r="K9170" s="13" t="n">
        <f aca="false">Sens!$F$9170+(g_sp-Sens!$F$9170)*4/4</f>
        <v>0.07</v>
      </c>
      <c r="L9170" s="13" t="n">
        <f aca="false">g_sp</f>
        <v>0.07</v>
      </c>
      <c r="M9170" s="13" t="n">
        <f aca="false">g_sp</f>
        <v>0.07</v>
      </c>
      <c r="P9170" s="8" t="s">
        <v>684</v>
      </c>
    </row>
    <row r="9171" customFormat="false" ht="17.15" hidden="false" customHeight="false" outlineLevel="0" collapsed="false">
      <c r="A9171" s="0" t="s">
        <v>529</v>
      </c>
      <c r="B9171" s="0" t="s">
        <v>86</v>
      </c>
      <c r="C9171" s="38" t="n">
        <f aca="false">Q!$D$13</f>
        <v>56.214</v>
      </c>
      <c r="D9171" s="38" t="n">
        <f aca="false">Q!$E$13</f>
        <v>68.635</v>
      </c>
      <c r="E9171" s="38" t="n">
        <f aca="false">Q!$P$13</f>
        <v>37.052</v>
      </c>
      <c r="F9171" s="38" t="n">
        <f aca="false">Sens!$O$9171*(1+Sens!$F$9172)*Sens!$F$9177</f>
        <v>46.1572219944148</v>
      </c>
      <c r="G9171" s="38" t="n">
        <f aca="false">Sens!$E$9171+Sens!$F$9171</f>
        <v>83.2092219944148</v>
      </c>
      <c r="H9171" s="38" t="n">
        <f aca="false">Sens!$G$9171*(1+Sens!$H$9172)</f>
        <v>99.8969223878976</v>
      </c>
      <c r="I9171" s="38" t="n">
        <f aca="false">Sens!$H$9171*(1+Sens!$I$9172)</f>
        <v>116.583111095496</v>
      </c>
      <c r="J9171" s="38" t="n">
        <f aca="false">Sens!$I$9171*(1+Sens!$J$9172)</f>
        <v>132.148941941952</v>
      </c>
      <c r="K9171" s="38" t="n">
        <f aca="false">Sens!$J$9171*(1+Sens!$K$9172)</f>
        <v>145.363836136147</v>
      </c>
      <c r="L9171" s="38" t="n">
        <f aca="false">Sens!$K$9171*(1+Sens!$L$9172)</f>
        <v>159.900219749762</v>
      </c>
      <c r="M9171" s="38" t="n">
        <f aca="false">Sens!$L$9171*(1+Sens!$M$9172)</f>
        <v>175.890241724738</v>
      </c>
      <c r="N9171" s="38" t="n">
        <f aca="false">Q!$N$13</f>
        <v>29.615</v>
      </c>
      <c r="O9171" s="38" t="n">
        <f aca="false">Q!$O$13</f>
        <v>39.02</v>
      </c>
      <c r="P9171" s="8" t="s">
        <v>678</v>
      </c>
    </row>
    <row r="9172" customFormat="false" ht="17.15" hidden="false" customHeight="false" outlineLevel="0" collapsed="false">
      <c r="A9172" s="0" t="s">
        <v>685</v>
      </c>
      <c r="B9172" s="0" t="s">
        <v>52</v>
      </c>
      <c r="E9172" s="13" t="n">
        <f aca="false">Sens!$E$9171/Sens!$N$9171-1</f>
        <v>0.25112274185379</v>
      </c>
      <c r="F9172" s="13" t="n">
        <f aca="false">Sens!$O$9171/(Q!$F$13+Q!$G$13)-1</f>
        <v>0.234068123596572</v>
      </c>
      <c r="G9172" s="13" t="n">
        <f aca="false">Sens!$G$9171/Sens!$D$9171-1</f>
        <v>0.212343876949294</v>
      </c>
      <c r="H9172" s="13" t="n">
        <f aca="false">Sens!$F$9172+(g_ad-Sens!$F$9172)*1/4</f>
        <v>0.200551092697429</v>
      </c>
      <c r="I9172" s="13" t="n">
        <f aca="false">Sens!$F$9172+(g_ad-Sens!$F$9172)*2/4</f>
        <v>0.167034061798286</v>
      </c>
      <c r="J9172" s="13" t="n">
        <f aca="false">Sens!$F$9172+(g_ad-Sens!$F$9172)*3/4</f>
        <v>0.133517030899143</v>
      </c>
      <c r="K9172" s="13" t="n">
        <f aca="false">Sens!$F$9172+(g_ad-Sens!$F$9172)*4/4</f>
        <v>0.1</v>
      </c>
      <c r="L9172" s="13" t="n">
        <f aca="false">g_ad</f>
        <v>0.1</v>
      </c>
      <c r="M9172" s="13" t="n">
        <f aca="false">g_ad</f>
        <v>0.1</v>
      </c>
      <c r="P9172" s="8" t="s">
        <v>686</v>
      </c>
    </row>
    <row r="9173" customFormat="false" ht="17.15" hidden="false" customHeight="false" outlineLevel="0" collapsed="false">
      <c r="A9173" s="0" t="s">
        <v>530</v>
      </c>
      <c r="B9173" s="0" t="s">
        <v>86</v>
      </c>
      <c r="C9173" s="38" t="n">
        <f aca="false">Q!$D$14</f>
        <v>44.374</v>
      </c>
      <c r="D9173" s="38" t="n">
        <f aca="false">Q!$E$14</f>
        <v>49.619</v>
      </c>
      <c r="E9173" s="38" t="n">
        <f aca="false">Q!$P$14</f>
        <v>27.157</v>
      </c>
      <c r="F9173" s="38" t="n">
        <f aca="false">Sens!$O$9173*(1+Sens!$F$9174)*Sens!$F$9177</f>
        <v>27.7764165988154</v>
      </c>
      <c r="G9173" s="38" t="n">
        <f aca="false">Sens!$E$9173+Sens!$F$9173</f>
        <v>54.9334165988154</v>
      </c>
      <c r="H9173" s="38" t="n">
        <f aca="false">Sens!$G$9173*(1+Sens!$H$9174)</f>
        <v>61.1564112561829</v>
      </c>
      <c r="I9173" s="38" t="n">
        <f aca="false">Sens!$H$9173*(1+Sens!$I$9174)</f>
        <v>67.2020282103945</v>
      </c>
      <c r="J9173" s="38" t="n">
        <f aca="false">Sens!$I$9173*(1+Sens!$J$9174)</f>
        <v>72.8757274028885</v>
      </c>
      <c r="K9173" s="38" t="n">
        <f aca="false">Sens!$J$9173*(1+Sens!$K$9174)</f>
        <v>77.9770283210907</v>
      </c>
      <c r="L9173" s="38" t="n">
        <f aca="false">Sens!$K$9173*(1+Sens!$L$9174)</f>
        <v>83.4354203035671</v>
      </c>
      <c r="M9173" s="38" t="n">
        <f aca="false">Sens!$L$9173*(1+Sens!$M$9174)</f>
        <v>89.2758997248168</v>
      </c>
      <c r="N9173" s="38" t="n">
        <f aca="false">Q!$N$14</f>
        <v>23.923</v>
      </c>
      <c r="O9173" s="38" t="n">
        <f aca="false">Q!$O$14</f>
        <v>25.696</v>
      </c>
      <c r="P9173" s="8" t="s">
        <v>678</v>
      </c>
    </row>
    <row r="9174" customFormat="false" ht="17.15" hidden="false" customHeight="false" outlineLevel="0" collapsed="false">
      <c r="A9174" s="0" t="s">
        <v>687</v>
      </c>
      <c r="B9174" s="0" t="s">
        <v>52</v>
      </c>
      <c r="E9174" s="13" t="n">
        <f aca="false">Sens!$E$9173/Sens!$N$9173-1</f>
        <v>0.135183714417088</v>
      </c>
      <c r="F9174" s="13" t="n">
        <f aca="false">Sens!$O$9173/(Q!$F$14+Q!$G$14)-1</f>
        <v>0.127709997366804</v>
      </c>
      <c r="G9174" s="13" t="n">
        <f aca="false">Sens!$G$9173/Sens!$D$9173-1</f>
        <v>0.107104468022641</v>
      </c>
      <c r="H9174" s="13" t="n">
        <f aca="false">Sens!$F$9174+(g_sub-Sens!$F$9174)*1/4</f>
        <v>0.113282498025103</v>
      </c>
      <c r="I9174" s="13" t="n">
        <f aca="false">Sens!$F$9174+(g_sub-Sens!$F$9174)*2/4</f>
        <v>0.0988549986834021</v>
      </c>
      <c r="J9174" s="13" t="n">
        <f aca="false">Sens!$F$9174+(g_sub-Sens!$F$9174)*3/4</f>
        <v>0.084427499341701</v>
      </c>
      <c r="K9174" s="13" t="n">
        <f aca="false">Sens!$F$9174+(g_sub-Sens!$F$9174)*4/4</f>
        <v>0.07</v>
      </c>
      <c r="L9174" s="13" t="n">
        <f aca="false">g_sub</f>
        <v>0.07</v>
      </c>
      <c r="M9174" s="13" t="n">
        <f aca="false">g_sub</f>
        <v>0.07</v>
      </c>
      <c r="P9174" s="8" t="s">
        <v>688</v>
      </c>
    </row>
    <row r="9175" customFormat="false" ht="17.15" hidden="false" customHeight="false" outlineLevel="0" collapsed="false">
      <c r="A9175" s="0" t="s">
        <v>531</v>
      </c>
      <c r="B9175" s="0" t="s">
        <v>86</v>
      </c>
      <c r="C9175" s="38" t="n">
        <f aca="false">Q!$D$15</f>
        <v>5.425</v>
      </c>
      <c r="D9175" s="38" t="n">
        <f aca="false">Q!$E$15</f>
        <v>5.935</v>
      </c>
      <c r="E9175" s="38" t="n">
        <f aca="false">Q!$P$15</f>
        <v>3.474</v>
      </c>
      <c r="F9175" s="38" t="n">
        <f aca="false">Sens!$O$9175*(1+Sens!$F$9176)*Sens!$F$9177</f>
        <v>3.22246550883619</v>
      </c>
      <c r="G9175" s="38" t="n">
        <f aca="false">Sens!$E$9175+Sens!$F$9175</f>
        <v>6.69646550883619</v>
      </c>
      <c r="H9175" s="38" t="n">
        <f aca="false">Sens!$G$9175*(1+Sens!$H$9176)</f>
        <v>7.16251344209196</v>
      </c>
      <c r="I9175" s="38" t="n">
        <f aca="false">Sens!$H$9175*(1+Sens!$I$9176)</f>
        <v>7.61421070299826</v>
      </c>
      <c r="J9175" s="38" t="n">
        <f aca="false">Sens!$I$9175*(1+Sens!$J$9176)</f>
        <v>8.04465753523932</v>
      </c>
      <c r="K9175" s="38" t="n">
        <f aca="false">Sens!$J$9175*(1+Sens!$K$9176)</f>
        <v>8.44689041200128</v>
      </c>
      <c r="L9175" s="38" t="n">
        <f aca="false">Sens!$K$9175*(1+Sens!$L$9176)</f>
        <v>8.86923493260135</v>
      </c>
      <c r="M9175" s="38" t="n">
        <f aca="false">Sens!$L$9175*(1+Sens!$M$9176)</f>
        <v>9.31269667923142</v>
      </c>
      <c r="N9175" s="38" t="n">
        <f aca="false">Q!$N$15</f>
        <v>2.811</v>
      </c>
      <c r="O9175" s="38" t="n">
        <f aca="false">Q!$O$15</f>
        <v>3.124</v>
      </c>
      <c r="P9175" s="8" t="s">
        <v>678</v>
      </c>
    </row>
    <row r="9176" customFormat="false" ht="17.15" hidden="false" customHeight="false" outlineLevel="0" collapsed="false">
      <c r="A9176" s="0" t="s">
        <v>689</v>
      </c>
      <c r="B9176" s="0" t="s">
        <v>52</v>
      </c>
      <c r="E9176" s="13" t="n">
        <f aca="false">Sens!$E$9175/Sens!$N$9175-1</f>
        <v>0.235859124866596</v>
      </c>
      <c r="F9176" s="13" t="n">
        <f aca="false">Sens!$O$9175/(Q!$F$15+Q!$G$15)-1</f>
        <v>0.0761281433000345</v>
      </c>
      <c r="G9176" s="13" t="n">
        <f aca="false">Sens!$G$9175/Sens!$D$9175-1</f>
        <v>0.128300843948811</v>
      </c>
      <c r="H9176" s="13" t="n">
        <f aca="false">Sens!$F$9176+(g_ot-Sens!$F$9176)*1/4</f>
        <v>0.0695961074750259</v>
      </c>
      <c r="I9176" s="13" t="n">
        <f aca="false">Sens!$F$9176+(g_ot-Sens!$F$9176)*2/4</f>
        <v>0.0630640716500172</v>
      </c>
      <c r="J9176" s="13" t="n">
        <f aca="false">Sens!$F$9176+(g_ot-Sens!$F$9176)*3/4</f>
        <v>0.0565320358250086</v>
      </c>
      <c r="K9176" s="13" t="n">
        <f aca="false">Sens!$F$9176+(g_ot-Sens!$F$9176)*4/4</f>
        <v>0.05</v>
      </c>
      <c r="L9176" s="13" t="n">
        <f aca="false">g_ot</f>
        <v>0.05</v>
      </c>
      <c r="M9176" s="13" t="n">
        <f aca="false">g_ot</f>
        <v>0.05</v>
      </c>
      <c r="P9176" s="8" t="s">
        <v>690</v>
      </c>
    </row>
    <row r="9177" customFormat="false" ht="17.15" hidden="false" customHeight="false" outlineLevel="0" collapsed="false">
      <c r="A9177" s="0" t="s">
        <v>691</v>
      </c>
      <c r="B9177" s="0" t="s">
        <v>57</v>
      </c>
      <c r="F9177" s="40" t="n">
        <f aca="false">(g26q3_mid*Q!$O$8/Q!$J$8-Thesis!$F$89-Thesis!$F$93)/(Sens!$O$9165*(1+Sens!$F$9166)+Sens!$O$9167*(1+Sens!$F$9168)+Sens!$O$9169*(1+Sens!$F$9170)+Sens!$O$9171*(1+Sens!$F$9172)+Sens!$O$9173*(1+Sens!$F$9174)+Sens!$O$9175*(1+Sens!$F$9176))</f>
        <v>0.958546670622329</v>
      </c>
      <c r="P9177" s="8" t="s">
        <v>692</v>
      </c>
    </row>
    <row r="9178" customFormat="false" ht="17.15" hidden="false" customHeight="false" outlineLevel="0" collapsed="false">
      <c r="A9178" s="3" t="s">
        <v>693</v>
      </c>
      <c r="B9178" s="8" t="s">
        <v>86</v>
      </c>
      <c r="C9178" s="38" t="n">
        <f aca="false">Sens!$C$9165+Sens!$C$9167+Sens!$C$9169+Sens!$C$9171+Sens!$C$9173+Sens!$C$9175</f>
        <v>530.403</v>
      </c>
      <c r="D9178" s="38" t="n">
        <f aca="false">Sens!$D$9165+Sens!$D$9167+Sens!$D$9169+Sens!$D$9171+Sens!$D$9173+Sens!$D$9175</f>
        <v>588.199</v>
      </c>
      <c r="E9178" s="38" t="n">
        <f aca="false">Sens!$E$9165+Sens!$E$9167+Sens!$E$9169+Sens!$E$9171+Sens!$E$9173+Sens!$E$9175</f>
        <v>302.306</v>
      </c>
      <c r="F9178" s="38" t="n">
        <f aca="false">Sens!$F$9165+Sens!$F$9167+Sens!$F$9169+Sens!$F$9171+Sens!$F$9173+Sens!$F$9175</f>
        <v>349.048241645537</v>
      </c>
      <c r="G9178" s="38" t="n">
        <f aca="false">Sens!$G$9165+Sens!$G$9167+Sens!$G$9169+Sens!$G$9171+Sens!$G$9173+Sens!$G$9175</f>
        <v>651.354241645537</v>
      </c>
      <c r="H9178" s="38" t="n">
        <f aca="false">Sens!$H$9165+Sens!$H$9167+Sens!$H$9169+Sens!$H$9171+Sens!$H$9173+Sens!$H$9175</f>
        <v>721.096889521386</v>
      </c>
      <c r="I9178" s="38" t="n">
        <f aca="false">Sens!$I$9165+Sens!$I$9167+Sens!$I$9169+Sens!$I$9171+Sens!$I$9173+Sens!$I$9175</f>
        <v>788.529391152531</v>
      </c>
      <c r="J9178" s="38" t="n">
        <f aca="false">Sens!$J$9165+Sens!$J$9167+Sens!$J$9169+Sens!$J$9171+Sens!$J$9173+Sens!$J$9175</f>
        <v>851.108405741443</v>
      </c>
      <c r="K9178" s="38" t="n">
        <f aca="false">Sens!$K$9165+Sens!$K$9167+Sens!$K$9169+Sens!$K$9171+Sens!$K$9173+Sens!$K$9175</f>
        <v>906.176455431088</v>
      </c>
      <c r="L9178" s="38" t="n">
        <f aca="false">Sens!$L$9165+Sens!$L$9167+Sens!$L$9169+Sens!$L$9171+Sens!$L$9173+Sens!$L$9175</f>
        <v>965.093106475589</v>
      </c>
      <c r="M9178" s="38" t="n">
        <f aca="false">Sens!$M$9165+Sens!$M$9167+Sens!$M$9169+Sens!$M$9171+Sens!$M$9173+Sens!$M$9175</f>
        <v>1028.14790794689</v>
      </c>
      <c r="N9178" s="38" t="n">
        <f aca="false">Sens!$N$9165+Sens!$N$9167+Sens!$N$9169+Sens!$N$9171+Sens!$N$9173+Sens!$N$9175</f>
        <v>263.229</v>
      </c>
      <c r="O9178" s="38" t="n">
        <f aca="false">Sens!$O$9165+Sens!$O$9167+Sens!$O$9169+Sens!$O$9171+Sens!$O$9173+Sens!$O$9175</f>
        <v>324.97</v>
      </c>
    </row>
    <row r="9179" customFormat="false" ht="17.15" hidden="false" customHeight="false" outlineLevel="0" collapsed="false">
      <c r="A9179" s="5" t="s">
        <v>694</v>
      </c>
      <c r="B9179" s="0" t="s">
        <v>52</v>
      </c>
      <c r="C9179" s="13" t="n">
        <f aca="false">Q!$D$5/(Q!$D$5+Q!$D$6)</f>
        <v>0.730570905519011</v>
      </c>
      <c r="D9179" s="13" t="n">
        <f aca="false">Q!$E$5/(Q!$E$5+Q!$E$6)</f>
        <v>0.724763217890544</v>
      </c>
      <c r="E9179" s="13" t="n">
        <f aca="false">Q!$P$5/(Q!$P$5+Q!$P$6)</f>
        <v>0.728797972914861</v>
      </c>
      <c r="F9179" s="13" t="n">
        <f aca="false">Sens!$O$9179</f>
        <v>0.718066283041511</v>
      </c>
      <c r="G9179" s="13" t="n">
        <f aca="false">Sens!$G$9180/Sens!$G$9178</f>
        <v>0.723047066202847</v>
      </c>
      <c r="H9179" s="13" t="n">
        <f aca="false">Sens!$G$9179</f>
        <v>0.723047066202847</v>
      </c>
      <c r="I9179" s="13" t="n">
        <f aca="false">Sens!$G$9179</f>
        <v>0.723047066202847</v>
      </c>
      <c r="J9179" s="13" t="n">
        <f aca="false">Sens!$G$9179</f>
        <v>0.723047066202847</v>
      </c>
      <c r="K9179" s="13" t="n">
        <f aca="false">Sens!$G$9179</f>
        <v>0.723047066202847</v>
      </c>
      <c r="L9179" s="13" t="n">
        <f aca="false">Sens!$G$9179</f>
        <v>0.723047066202847</v>
      </c>
      <c r="M9179" s="13" t="n">
        <f aca="false">Sens!$G$9179</f>
        <v>0.723047066202847</v>
      </c>
      <c r="N9179" s="13" t="n">
        <f aca="false">Q!$N$5/(Q!$N$5+Q!$N$6)</f>
        <v>0.733030935041352</v>
      </c>
      <c r="O9179" s="13" t="n">
        <f aca="false">Q!$O$5/(Q!$O$5+Q!$O$6)</f>
        <v>0.718066283041511</v>
      </c>
      <c r="P9179" s="8" t="s">
        <v>695</v>
      </c>
    </row>
    <row r="9180" customFormat="false" ht="17.15" hidden="false" customHeight="false" outlineLevel="0" collapsed="false">
      <c r="A9180" s="1" t="s">
        <v>519</v>
      </c>
      <c r="B9180" s="8" t="s">
        <v>86</v>
      </c>
      <c r="C9180" s="38" t="n">
        <f aca="false">Q!$D$5</f>
        <v>387.497</v>
      </c>
      <c r="D9180" s="38" t="n">
        <f aca="false">Q!$E$5</f>
        <v>426.305</v>
      </c>
      <c r="E9180" s="38" t="n">
        <f aca="false">Q!$P$5</f>
        <v>220.32</v>
      </c>
      <c r="F9180" s="38" t="n">
        <f aca="false">Sens!$F$9178*Sens!$F$9179</f>
        <v>250.639773480586</v>
      </c>
      <c r="G9180" s="38" t="n">
        <f aca="false">Sens!$E$9180+Sens!$F$9180</f>
        <v>470.959773480586</v>
      </c>
      <c r="H9180" s="38" t="n">
        <f aca="false">Sens!$H$9178*Sens!$H$9179</f>
        <v>521.386990416437</v>
      </c>
      <c r="I9180" s="38" t="n">
        <f aca="false">Sens!$I$9178*Sens!$I$9179</f>
        <v>570.143862887555</v>
      </c>
      <c r="J9180" s="38" t="n">
        <f aca="false">Sens!$J$9178*Sens!$J$9179</f>
        <v>615.391435791933</v>
      </c>
      <c r="K9180" s="38" t="n">
        <f aca="false">Sens!$K$9178*Sens!$K$9179</f>
        <v>655.208227561543</v>
      </c>
      <c r="L9180" s="38" t="n">
        <f aca="false">Sens!$L$9178*Sens!$L$9179</f>
        <v>697.807739249767</v>
      </c>
      <c r="M9180" s="38" t="n">
        <f aca="false">Sens!$M$9178*Sens!$M$9179</f>
        <v>743.399328463592</v>
      </c>
      <c r="N9180" s="38" t="n">
        <f aca="false">Q!$N$5</f>
        <v>192.955</v>
      </c>
      <c r="O9180" s="38" t="n">
        <f aca="false">Q!$O$5</f>
        <v>233.35</v>
      </c>
      <c r="P9180" s="5" t="s">
        <v>696</v>
      </c>
    </row>
    <row r="9181" customFormat="false" ht="17.15" hidden="false" customHeight="false" outlineLevel="0" collapsed="false">
      <c r="A9181" s="1" t="s">
        <v>522</v>
      </c>
      <c r="B9181" s="8" t="s">
        <v>86</v>
      </c>
      <c r="C9181" s="38" t="n">
        <f aca="false">Q!$D$6</f>
        <v>142.906</v>
      </c>
      <c r="D9181" s="38" t="n">
        <f aca="false">Q!$E$6</f>
        <v>161.894</v>
      </c>
      <c r="E9181" s="38" t="n">
        <f aca="false">Q!$P$6</f>
        <v>81.986</v>
      </c>
      <c r="F9181" s="38" t="n">
        <f aca="false">Sens!$F$9178*(1-Sens!$F$9179)</f>
        <v>98.408468164951</v>
      </c>
      <c r="G9181" s="38" t="n">
        <f aca="false">Sens!$E$9181+Sens!$F$9181</f>
        <v>180.394468164951</v>
      </c>
      <c r="H9181" s="38" t="n">
        <f aca="false">Sens!$H$9178*(1-Sens!$H$9179)</f>
        <v>199.709899104949</v>
      </c>
      <c r="I9181" s="38" t="n">
        <f aca="false">Sens!$I$9178*(1-Sens!$I$9179)</f>
        <v>218.385528264976</v>
      </c>
      <c r="J9181" s="38" t="n">
        <f aca="false">Sens!$J$9178*(1-Sens!$J$9179)</f>
        <v>235.71696994951</v>
      </c>
      <c r="K9181" s="38" t="n">
        <f aca="false">Sens!$K$9178*(1-Sens!$K$9179)</f>
        <v>250.968227869545</v>
      </c>
      <c r="L9181" s="38" t="n">
        <f aca="false">Sens!$L$9178*(1-Sens!$L$9179)</f>
        <v>267.285367225822</v>
      </c>
      <c r="M9181" s="38" t="n">
        <f aca="false">Sens!$M$9178*(1-Sens!$M$9179)</f>
        <v>284.748579483295</v>
      </c>
      <c r="N9181" s="38" t="n">
        <f aca="false">Q!$N$6</f>
        <v>70.274</v>
      </c>
      <c r="O9181" s="38" t="n">
        <f aca="false">Q!$O$6</f>
        <v>91.62</v>
      </c>
      <c r="P9181" s="5" t="s">
        <v>697</v>
      </c>
    </row>
    <row r="9182" customFormat="false" ht="17.15" hidden="false" customHeight="false" outlineLevel="0" collapsed="false">
      <c r="A9182" s="5" t="s">
        <v>698</v>
      </c>
      <c r="B9182" s="0" t="s">
        <v>86</v>
      </c>
      <c r="C9182" s="38" t="n">
        <f aca="false">Sens!$C$9171*Sens!$C$9179</f>
        <v>41.0683128828457</v>
      </c>
      <c r="D9182" s="38" t="n">
        <f aca="false">Sens!$D$9171*Sens!$D$9179</f>
        <v>49.7441234599175</v>
      </c>
      <c r="E9182" s="38" t="n">
        <f aca="false">Sens!$E$9171*Sens!$E$9179</f>
        <v>27.0034224924414</v>
      </c>
      <c r="F9182" s="38" t="n">
        <f aca="false">Sens!$F$9171*Sens!$F$9179</f>
        <v>33.1439448330513</v>
      </c>
      <c r="G9182" s="38" t="n">
        <f aca="false">Sens!$G$9171*Sens!$G$9179</f>
        <v>60.164183844083</v>
      </c>
      <c r="H9182" s="38" t="n">
        <f aca="false">Sens!$H$9171*Sens!$H$9179</f>
        <v>72.2301766552629</v>
      </c>
      <c r="I9182" s="38" t="n">
        <f aca="false">Sens!$I$9171*Sens!$I$9179</f>
        <v>84.2950764463991</v>
      </c>
      <c r="J9182" s="38" t="n">
        <f aca="false">Sens!$J$9171*Sens!$J$9179</f>
        <v>95.5499047729386</v>
      </c>
      <c r="K9182" s="38" t="n">
        <f aca="false">Sens!$K$9171*Sens!$K$9179</f>
        <v>105.104895250232</v>
      </c>
      <c r="L9182" s="38" t="n">
        <f aca="false">Sens!$L$9171*Sens!$L$9179</f>
        <v>115.615384775256</v>
      </c>
      <c r="M9182" s="38" t="n">
        <f aca="false">Sens!$M$9171*Sens!$M$9179</f>
        <v>127.176923252781</v>
      </c>
      <c r="N9182" s="38" t="n">
        <f aca="false">Sens!$N$9171*Sens!$N$9179</f>
        <v>21.7087111412496</v>
      </c>
      <c r="O9182" s="38" t="n">
        <f aca="false">Sens!$O$9171*Sens!$O$9179</f>
        <v>28.0189463642798</v>
      </c>
      <c r="P9182" s="5" t="s">
        <v>699</v>
      </c>
    </row>
    <row r="9183" customFormat="false" ht="15" hidden="false" customHeight="false" outlineLevel="0" collapsed="false">
      <c r="A9183" s="5" t="s">
        <v>700</v>
      </c>
      <c r="B9183" s="0" t="s">
        <v>86</v>
      </c>
      <c r="C9183" s="38" t="n">
        <f aca="false">Sens!$C$9171-Sens!$C$9182</f>
        <v>15.1456871171543</v>
      </c>
      <c r="D9183" s="38" t="n">
        <f aca="false">Sens!$D$9171-Sens!$D$9182</f>
        <v>18.8908765400825</v>
      </c>
      <c r="E9183" s="38" t="n">
        <f aca="false">Sens!$E$9171-Sens!$E$9182</f>
        <v>10.0485775075586</v>
      </c>
      <c r="F9183" s="38" t="n">
        <f aca="false">Sens!$F$9171-Sens!$F$9182</f>
        <v>13.0132771613635</v>
      </c>
      <c r="G9183" s="38" t="n">
        <f aca="false">Sens!$G$9171-Sens!$G$9182</f>
        <v>23.0450381503318</v>
      </c>
      <c r="H9183" s="38" t="n">
        <f aca="false">Sens!$H$9171-Sens!$H$9182</f>
        <v>27.6667457326347</v>
      </c>
      <c r="I9183" s="38" t="n">
        <f aca="false">Sens!$I$9171-Sens!$I$9182</f>
        <v>32.2880346490971</v>
      </c>
      <c r="J9183" s="38" t="n">
        <f aca="false">Sens!$J$9171-Sens!$J$9182</f>
        <v>36.5990371690132</v>
      </c>
      <c r="K9183" s="38" t="n">
        <f aca="false">Sens!$K$9171-Sens!$K$9182</f>
        <v>40.2589408859145</v>
      </c>
      <c r="L9183" s="38" t="n">
        <f aca="false">Sens!$L$9171-Sens!$L$9182</f>
        <v>44.2848349745059</v>
      </c>
      <c r="M9183" s="38" t="n">
        <f aca="false">Sens!$M$9171-Sens!$M$9182</f>
        <v>48.7133184719565</v>
      </c>
      <c r="N9183" s="38" t="n">
        <f aca="false">Sens!$N$9171-Sens!$N$9182</f>
        <v>7.90628885875037</v>
      </c>
      <c r="O9183" s="38" t="n">
        <f aca="false">Sens!$O$9171-Sens!$O$9182</f>
        <v>11.0010536357202</v>
      </c>
    </row>
    <row r="9184" customFormat="false" ht="19.4" hidden="false" customHeight="false" outlineLevel="0" collapsed="false">
      <c r="A9184" s="31" t="s">
        <v>1338</v>
      </c>
    </row>
    <row r="9185" customFormat="false" ht="17.15" hidden="false" customHeight="false" outlineLevel="0" collapsed="false">
      <c r="A9185" s="6" t="s">
        <v>16</v>
      </c>
      <c r="B9185" s="6" t="s">
        <v>17</v>
      </c>
      <c r="C9185" s="20" t="s">
        <v>504</v>
      </c>
      <c r="D9185" s="20" t="s">
        <v>505</v>
      </c>
      <c r="E9185" s="20" t="s">
        <v>587</v>
      </c>
      <c r="F9185" s="20" t="s">
        <v>588</v>
      </c>
      <c r="G9185" s="20" t="s">
        <v>589</v>
      </c>
      <c r="H9185" s="20" t="s">
        <v>590</v>
      </c>
      <c r="I9185" s="20" t="s">
        <v>591</v>
      </c>
      <c r="J9185" s="20" t="s">
        <v>592</v>
      </c>
      <c r="K9185" s="20" t="s">
        <v>593</v>
      </c>
      <c r="L9185" s="20" t="s">
        <v>594</v>
      </c>
      <c r="M9185" s="20" t="s">
        <v>595</v>
      </c>
      <c r="N9185" s="20" t="s">
        <v>596</v>
      </c>
      <c r="O9185" s="20" t="s">
        <v>597</v>
      </c>
      <c r="P9185" s="6" t="s">
        <v>23</v>
      </c>
      <c r="R9185" s="20" t="n">
        <v>2023</v>
      </c>
      <c r="S9185" s="20" t="n">
        <v>2024</v>
      </c>
      <c r="T9185" s="20" t="n">
        <v>2025</v>
      </c>
      <c r="U9185" s="20" t="n">
        <v>2026</v>
      </c>
      <c r="V9185" s="20" t="n">
        <v>2027</v>
      </c>
      <c r="W9185" s="20" t="n">
        <v>2028</v>
      </c>
      <c r="X9185" s="20" t="n">
        <v>2029</v>
      </c>
      <c r="Y9185" s="20" t="n">
        <v>2030</v>
      </c>
      <c r="Z9185" s="20" t="n">
        <v>2031</v>
      </c>
      <c r="AA9185" s="20" t="n">
        <v>2032</v>
      </c>
    </row>
    <row r="9186" customFormat="false" ht="17.15" hidden="false" customHeight="false" outlineLevel="0" collapsed="false">
      <c r="A9186" s="1" t="s">
        <v>598</v>
      </c>
    </row>
    <row r="9187" customFormat="false" ht="17.15" hidden="false" customHeight="false" outlineLevel="0" collapsed="false">
      <c r="A9187" s="5" t="s">
        <v>599</v>
      </c>
      <c r="B9187" s="0" t="s">
        <v>144</v>
      </c>
      <c r="H9187" s="32" t="n">
        <f aca="false">pace_B</f>
        <v>3634.3</v>
      </c>
      <c r="I9187" s="32" t="n">
        <f aca="false">pace_B</f>
        <v>3634.3</v>
      </c>
      <c r="J9187" s="32" t="n">
        <f aca="false">pace_B</f>
        <v>3634.3</v>
      </c>
      <c r="K9187" s="32" t="n">
        <f aca="false">pace_B+(Sens!$J$9188*tg_hi-pace_B)*1/3</f>
        <v>2620.20066666667</v>
      </c>
      <c r="L9187" s="32" t="n">
        <f aca="false">pace_B+(Sens!$J$9188*tg_hi-pace_B)*2/3</f>
        <v>1606.10133333333</v>
      </c>
      <c r="M9187" s="32" t="n">
        <f aca="false">pace_B+(Sens!$J$9188*tg_hi-pace_B)*3/3</f>
        <v>592.002</v>
      </c>
      <c r="P9187" s="5" t="s">
        <v>600</v>
      </c>
    </row>
    <row r="9188" customFormat="false" ht="17.15" hidden="false" customHeight="false" outlineLevel="0" collapsed="false">
      <c r="A9188" s="15" t="s">
        <v>601</v>
      </c>
      <c r="B9188" s="14" t="s">
        <v>129</v>
      </c>
      <c r="C9188" s="33" t="n">
        <f aca="false">mw_ye24</f>
        <v>360</v>
      </c>
      <c r="D9188" s="33" t="n">
        <f aca="false">mw_ye25</f>
        <v>1440</v>
      </c>
      <c r="E9188" s="33" t="n">
        <f aca="false">mw_open</f>
        <v>2080</v>
      </c>
      <c r="F9188" s="33" t="n">
        <f aca="false">Sens!$E$9188+pace_B*0.5</f>
        <v>3897.15</v>
      </c>
      <c r="G9188" s="33" t="n">
        <f aca="false">Sens!$F$9188</f>
        <v>3897.15</v>
      </c>
      <c r="H9188" s="33" t="n">
        <f aca="false">Sens!$G$9188+Sens!$H$9187</f>
        <v>7531.45</v>
      </c>
      <c r="I9188" s="33" t="n">
        <f aca="false">Sens!$H$9188+Sens!$I$9187</f>
        <v>11165.75</v>
      </c>
      <c r="J9188" s="33" t="n">
        <f aca="false">Sens!$I$9188+Sens!$J$9187</f>
        <v>14800.05</v>
      </c>
      <c r="K9188" s="33" t="n">
        <f aca="false">Sens!$J$9188+Sens!$K$9187</f>
        <v>17420.2506666667</v>
      </c>
      <c r="L9188" s="33" t="n">
        <f aca="false">Sens!$K$9188+Sens!$L$9187</f>
        <v>19026.352</v>
      </c>
      <c r="M9188" s="33" t="n">
        <f aca="false">Sens!$L$9188+Sens!$M$9187</f>
        <v>19618.354</v>
      </c>
      <c r="N9188" s="33" t="n">
        <f aca="false">(mw_ye24+mw_ye25)/2</f>
        <v>900</v>
      </c>
      <c r="O9188" s="33" t="n">
        <f aca="false">mw_ye25</f>
        <v>1440</v>
      </c>
      <c r="P9188" s="5" t="s">
        <v>602</v>
      </c>
    </row>
    <row r="9189" customFormat="false" ht="17.15" hidden="false" customHeight="false" outlineLevel="0" collapsed="false">
      <c r="A9189" s="5" t="s">
        <v>603</v>
      </c>
      <c r="B9189" s="0" t="s">
        <v>129</v>
      </c>
      <c r="C9189" s="32" t="n">
        <f aca="false">(mw_ye23+mw_ye24)/2</f>
        <v>240</v>
      </c>
      <c r="D9189" s="32" t="n">
        <f aca="false">(Sens!$C$9188+Sens!$D$9188)/2</f>
        <v>900</v>
      </c>
      <c r="E9189" s="32" t="n">
        <f aca="false">(Sens!$D$9188+Sens!$E$9188)/2</f>
        <v>1760</v>
      </c>
      <c r="F9189" s="32" t="n">
        <f aca="false">(Sens!$E$9188+Sens!$F$9188)/2</f>
        <v>2988.575</v>
      </c>
      <c r="G9189" s="32" t="n">
        <f aca="false">(Sens!$E$9189+Sens!$F$9189)/2</f>
        <v>2374.2875</v>
      </c>
      <c r="H9189" s="32" t="n">
        <f aca="false">(Sens!$G$9188+Sens!$H$9188)/2</f>
        <v>5714.3</v>
      </c>
      <c r="I9189" s="32" t="n">
        <f aca="false">(Sens!$H$9188+Sens!$I$9188)/2</f>
        <v>9348.6</v>
      </c>
      <c r="J9189" s="32" t="n">
        <f aca="false">(Sens!$I$9188+Sens!$J$9188)/2</f>
        <v>12982.9</v>
      </c>
      <c r="K9189" s="32" t="n">
        <f aca="false">(Sens!$J$9188+Sens!$K$9188)/2</f>
        <v>16110.1503333333</v>
      </c>
      <c r="L9189" s="32" t="n">
        <f aca="false">(Sens!$K$9188+Sens!$L$9188)/2</f>
        <v>18223.3013333333</v>
      </c>
      <c r="M9189" s="32" t="n">
        <f aca="false">(Sens!$L$9188+Sens!$M$9188)/2</f>
        <v>19322.353</v>
      </c>
      <c r="N9189" s="32" t="n">
        <f aca="false">(Sens!$C$9188+Sens!$N$9188)/2</f>
        <v>630</v>
      </c>
      <c r="O9189" s="32" t="n">
        <f aca="false">(Sens!$N$9188+Sens!$O$9188)/2</f>
        <v>1170</v>
      </c>
    </row>
    <row r="9190" customFormat="false" ht="15" hidden="false" customHeight="false" outlineLevel="0" collapsed="false">
      <c r="A9190" s="5" t="s">
        <v>604</v>
      </c>
      <c r="B9190" s="5" t="s">
        <v>123</v>
      </c>
      <c r="C9190" s="34" t="n">
        <v>1</v>
      </c>
      <c r="D9190" s="34" t="n">
        <v>1</v>
      </c>
      <c r="E9190" s="34" t="n">
        <v>0.5</v>
      </c>
      <c r="F9190" s="34" t="n">
        <v>0.5</v>
      </c>
      <c r="G9190" s="34" t="n">
        <v>1</v>
      </c>
      <c r="H9190" s="34" t="n">
        <v>1</v>
      </c>
      <c r="I9190" s="34" t="n">
        <v>1</v>
      </c>
      <c r="J9190" s="34" t="n">
        <v>1</v>
      </c>
      <c r="K9190" s="34" t="n">
        <v>1</v>
      </c>
      <c r="L9190" s="34" t="n">
        <v>1</v>
      </c>
      <c r="M9190" s="34" t="n">
        <v>1</v>
      </c>
      <c r="N9190" s="34" t="n">
        <v>0.5</v>
      </c>
      <c r="O9190" s="34" t="n">
        <v>0.5</v>
      </c>
    </row>
    <row r="9191" customFormat="false" ht="17.15" hidden="false" customHeight="false" outlineLevel="0" collapsed="false">
      <c r="A9191" s="5" t="s">
        <v>605</v>
      </c>
      <c r="B9191" s="0" t="s">
        <v>129</v>
      </c>
      <c r="C9191" s="32" t="n">
        <f aca="false">Sens!$C$9188-mw_ye23</f>
        <v>240</v>
      </c>
      <c r="D9191" s="32" t="n">
        <f aca="false">Sens!$D$9188-Sens!$C$9188</f>
        <v>1080</v>
      </c>
      <c r="E9191" s="32" t="n">
        <f aca="false">Sens!$E$9188-Sens!$D$9188</f>
        <v>640</v>
      </c>
      <c r="F9191" s="32" t="n">
        <f aca="false">Sens!$F$9188-Sens!$E$9188</f>
        <v>1817.15</v>
      </c>
      <c r="G9191" s="32" t="n">
        <f aca="false">Sens!$E$9191+Sens!$F$9191</f>
        <v>2457.15</v>
      </c>
      <c r="H9191" s="32" t="n">
        <f aca="false">Sens!$H$9188-Sens!$G$9188</f>
        <v>3634.3</v>
      </c>
      <c r="I9191" s="32" t="n">
        <f aca="false">Sens!$I$9188-Sens!$H$9188</f>
        <v>3634.3</v>
      </c>
      <c r="J9191" s="32" t="n">
        <f aca="false">Sens!$J$9188-Sens!$I$9188</f>
        <v>3634.3</v>
      </c>
      <c r="K9191" s="32" t="n">
        <f aca="false">Sens!$K$9188-Sens!$J$9188</f>
        <v>2620.20066666667</v>
      </c>
      <c r="L9191" s="32" t="n">
        <f aca="false">Sens!$L$9188-Sens!$K$9188</f>
        <v>1606.10133333333</v>
      </c>
      <c r="M9191" s="32" t="n">
        <f aca="false">Sens!$M$9188-Sens!$L$9188</f>
        <v>592.002</v>
      </c>
      <c r="N9191" s="32" t="n">
        <f aca="false">Sens!$N$9188-Sens!$C$9188</f>
        <v>540</v>
      </c>
      <c r="O9191" s="32" t="n">
        <f aca="false">Sens!$O$9188-Sens!$N$9188</f>
        <v>540</v>
      </c>
    </row>
    <row r="9192" customFormat="false" ht="17.15" hidden="false" customHeight="false" outlineLevel="0" collapsed="false">
      <c r="A9192" s="5" t="s">
        <v>606</v>
      </c>
      <c r="B9192" s="0" t="s">
        <v>129</v>
      </c>
      <c r="C9192" s="32" t="n">
        <f aca="false">Sens!$C$9191/ext_sh</f>
        <v>300</v>
      </c>
      <c r="D9192" s="32" t="n">
        <f aca="false">Sens!$D$9191/ext_sh</f>
        <v>1350</v>
      </c>
      <c r="E9192" s="32" t="n">
        <f aca="false">Sens!$E$9191/ext_sh</f>
        <v>800</v>
      </c>
      <c r="F9192" s="32" t="n">
        <f aca="false">Sens!$F$9191/ext_sh</f>
        <v>2271.4375</v>
      </c>
      <c r="G9192" s="32" t="n">
        <f aca="false">Sens!$G$9191/ext_sh</f>
        <v>3071.4375</v>
      </c>
      <c r="H9192" s="32" t="n">
        <f aca="false">Sens!$H$9191/ext_sh</f>
        <v>4542.875</v>
      </c>
      <c r="I9192" s="32" t="n">
        <f aca="false">Sens!$I$9191/ext_sh</f>
        <v>4542.875</v>
      </c>
      <c r="J9192" s="32" t="n">
        <f aca="false">Sens!$J$9191/ext_sh</f>
        <v>4542.875</v>
      </c>
      <c r="K9192" s="32" t="n">
        <f aca="false">Sens!$K$9191/ext_sh</f>
        <v>3275.25083333333</v>
      </c>
      <c r="L9192" s="32" t="n">
        <f aca="false">Sens!$L$9191/ext_sh</f>
        <v>2007.62666666667</v>
      </c>
      <c r="M9192" s="32" t="n">
        <f aca="false">Sens!$M$9191/ext_sh</f>
        <v>740.002500000001</v>
      </c>
      <c r="N9192" s="32" t="n">
        <f aca="false">Sens!$N$9191/ext_sh</f>
        <v>675</v>
      </c>
      <c r="O9192" s="32" t="n">
        <f aca="false">Sens!$O$9191/ext_sh</f>
        <v>675</v>
      </c>
      <c r="P9192" s="8" t="s">
        <v>607</v>
      </c>
      <c r="R9192" s="32" t="n">
        <f aca="false">mw_ye23/ext_sh</f>
        <v>150</v>
      </c>
      <c r="S9192" s="32" t="n">
        <f aca="false">Sens!$C$9192</f>
        <v>300</v>
      </c>
      <c r="T9192" s="32" t="n">
        <f aca="false">Sens!$D$9192</f>
        <v>1350</v>
      </c>
      <c r="U9192" s="32" t="n">
        <f aca="false">Sens!$G$9192</f>
        <v>3071.4375</v>
      </c>
      <c r="V9192" s="32" t="n">
        <f aca="false">Sens!$H$9192</f>
        <v>4542.875</v>
      </c>
      <c r="W9192" s="32" t="n">
        <f aca="false">Sens!$I$9192</f>
        <v>4542.875</v>
      </c>
      <c r="X9192" s="32" t="n">
        <f aca="false">Sens!$J$9192</f>
        <v>4542.875</v>
      </c>
      <c r="Y9192" s="32" t="n">
        <f aca="false">Sens!$K$9192</f>
        <v>3275.25083333333</v>
      </c>
      <c r="Z9192" s="32" t="n">
        <f aca="false">Sens!$L$9192</f>
        <v>2007.62666666667</v>
      </c>
      <c r="AA9192" s="32" t="n">
        <f aca="false">Sens!$M$9192</f>
        <v>740.002500000001</v>
      </c>
    </row>
    <row r="9193" customFormat="false" ht="17.15" hidden="false" customHeight="false" outlineLevel="0" collapsed="false">
      <c r="A9193" s="1" t="s">
        <v>608</v>
      </c>
    </row>
    <row r="9194" customFormat="false" ht="17.15" hidden="false" customHeight="false" outlineLevel="0" collapsed="false">
      <c r="A9194" s="0" t="s">
        <v>609</v>
      </c>
      <c r="B9194" s="0" t="s">
        <v>52</v>
      </c>
      <c r="F9194" s="35" t="n">
        <f aca="false">na_vr26</f>
        <v>0</v>
      </c>
      <c r="G9194" s="35" t="n">
        <f aca="false">na_vr26</f>
        <v>0</v>
      </c>
      <c r="H9194" s="35" t="n">
        <f aca="false">na_vr27</f>
        <v>0.5</v>
      </c>
      <c r="I9194" s="35" t="n">
        <f aca="false">na_vr28</f>
        <v>1</v>
      </c>
      <c r="J9194" s="35" t="n">
        <f aca="false">na_vr28</f>
        <v>1</v>
      </c>
      <c r="K9194" s="35" t="n">
        <f aca="false">na_vr28</f>
        <v>1</v>
      </c>
      <c r="L9194" s="35" t="n">
        <f aca="false">na_vr28</f>
        <v>1</v>
      </c>
      <c r="M9194" s="35" t="n">
        <f aca="false">na_vr28</f>
        <v>1</v>
      </c>
    </row>
    <row r="9195" customFormat="false" ht="17.15" hidden="false" customHeight="false" outlineLevel="0" collapsed="false">
      <c r="A9195" s="5" t="s">
        <v>610</v>
      </c>
      <c r="B9195" s="0" t="s">
        <v>173</v>
      </c>
      <c r="F9195" s="36" t="n">
        <f aca="false">cust_sh*tk_he_gb300*cf_chip+(1-cust_sh)*((1-Sens!$F$9194)*tk_he_gb300+Sens!$F$9194*tk_he_vr200)</f>
        <v>10.8864110021101</v>
      </c>
      <c r="G9195" s="36" t="n">
        <f aca="false">cust_sh*tk_he_gb300*cf_chip+(1-cust_sh)*((1-Sens!$G$9194)*tk_he_gb300+Sens!$G$9194*tk_he_vr200)</f>
        <v>10.8864110021101</v>
      </c>
      <c r="H9195" s="36" t="n">
        <f aca="false">cust_sh*tk_he_gb300*cf_chip+(1-cust_sh)*((1-Sens!$H$9194)*tk_he_gb300+Sens!$H$9194*tk_he_vr200)</f>
        <v>11.2211760027286</v>
      </c>
      <c r="I9195" s="36" t="n">
        <f aca="false">cust_sh*tk_he_gb300*cf_chip+(1-cust_sh)*((1-Sens!$I$9194)*tk_he_gb300+Sens!$I$9194*tk_he_vr200)</f>
        <v>11.5559410033471</v>
      </c>
      <c r="J9195" s="36" t="n">
        <f aca="false">cust_sh*tk_he_gb300*cf_chip+(1-cust_sh)*((1-Sens!$J$9194)*tk_he_gb300+Sens!$J$9194*tk_he_vr200)</f>
        <v>11.5559410033471</v>
      </c>
      <c r="K9195" s="36" t="n">
        <f aca="false">cust_sh*tk_he_gb300*cf_chip+(1-cust_sh)*((1-Sens!$K$9194)*tk_he_gb300+Sens!$K$9194*tk_he_vr200)</f>
        <v>11.5559410033471</v>
      </c>
      <c r="L9195" s="36" t="n">
        <f aca="false">cust_sh*tk_he_gb300*cf_chip+(1-cust_sh)*((1-Sens!$L$9194)*tk_he_gb300+Sens!$L$9194*tk_he_vr200)</f>
        <v>11.5559410033471</v>
      </c>
      <c r="M9195" s="36" t="n">
        <f aca="false">cust_sh*tk_he_gb300*cf_chip+(1-cust_sh)*((1-Sens!$M$9194)*tk_he_gb300+Sens!$M$9194*tk_he_vr200)</f>
        <v>11.5559410033471</v>
      </c>
    </row>
    <row r="9196" customFormat="false" ht="17.15" hidden="false" customHeight="false" outlineLevel="0" collapsed="false">
      <c r="A9196" s="5" t="s">
        <v>611</v>
      </c>
      <c r="B9196" s="0" t="s">
        <v>173</v>
      </c>
      <c r="F9196" s="36" t="n">
        <f aca="false">cust_sh*tk_ox_gb300+(1-cust_sh)*((1-Sens!$F$9194)*tk_ox_gb300+Sens!$F$9194*tk_ox_vr200)</f>
        <v>1.98263481314457</v>
      </c>
      <c r="G9196" s="36" t="n">
        <f aca="false">cust_sh*tk_ox_gb300+(1-cust_sh)*((1-Sens!$G$9194)*tk_ox_gb300+Sens!$G$9194*tk_ox_vr200)</f>
        <v>1.98263481314457</v>
      </c>
      <c r="H9196" s="36" t="n">
        <f aca="false">cust_sh*tk_ox_gb300+(1-cust_sh)*((1-Sens!$H$9194)*tk_ox_gb300+Sens!$H$9194*tk_ox_vr200)</f>
        <v>2.01034999693694</v>
      </c>
      <c r="I9196" s="36" t="n">
        <f aca="false">cust_sh*tk_ox_gb300+(1-cust_sh)*((1-Sens!$I$9194)*tk_ox_gb300+Sens!$I$9194*tk_ox_vr200)</f>
        <v>2.0380651807293</v>
      </c>
      <c r="J9196" s="36" t="n">
        <f aca="false">cust_sh*tk_ox_gb300+(1-cust_sh)*((1-Sens!$J$9194)*tk_ox_gb300+Sens!$J$9194*tk_ox_vr200)</f>
        <v>2.0380651807293</v>
      </c>
      <c r="K9196" s="36" t="n">
        <f aca="false">cust_sh*tk_ox_gb300+(1-cust_sh)*((1-Sens!$K$9194)*tk_ox_gb300+Sens!$K$9194*tk_ox_vr200)</f>
        <v>2.0380651807293</v>
      </c>
      <c r="L9196" s="36" t="n">
        <f aca="false">cust_sh*tk_ox_gb300+(1-cust_sh)*((1-Sens!$L$9194)*tk_ox_gb300+Sens!$L$9194*tk_ox_vr200)</f>
        <v>2.0380651807293</v>
      </c>
      <c r="M9196" s="36" t="n">
        <f aca="false">cust_sh*tk_ox_gb300+(1-cust_sh)*((1-Sens!$M$9194)*tk_ox_gb300+Sens!$M$9194*tk_ox_vr200)</f>
        <v>2.0380651807293</v>
      </c>
    </row>
    <row r="9197" customFormat="false" ht="17.15" hidden="false" customHeight="false" outlineLevel="0" collapsed="false">
      <c r="A9197" s="5" t="s">
        <v>612</v>
      </c>
      <c r="B9197" s="0" t="s">
        <v>192</v>
      </c>
      <c r="F9197" s="36" t="n">
        <f aca="false">cust_sh*tk_cx_gb300*cf_cx+(1-cust_sh)*((1-Sens!$F$9194)*tk_cx_gb300+Sens!$F$9194*tk_cx_vr200)</f>
        <v>32.237224</v>
      </c>
      <c r="G9197" s="36" t="n">
        <f aca="false">cust_sh*tk_cx_gb300*cf_cx+(1-cust_sh)*((1-Sens!$G$9194)*tk_cx_gb300+Sens!$G$9194*tk_cx_vr200)</f>
        <v>32.237224</v>
      </c>
      <c r="H9197" s="36" t="n">
        <f aca="false">cust_sh*tk_cx_gb300*cf_cx+(1-cust_sh)*((1-Sens!$H$9194)*tk_cx_gb300+Sens!$H$9194*tk_cx_vr200)</f>
        <v>33.574506</v>
      </c>
      <c r="I9197" s="36" t="n">
        <f aca="false">cust_sh*tk_cx_gb300*cf_cx+(1-cust_sh)*((1-Sens!$I$9194)*tk_cx_gb300+Sens!$I$9194*tk_cx_vr200)</f>
        <v>34.911788</v>
      </c>
      <c r="J9197" s="36" t="n">
        <f aca="false">cust_sh*tk_cx_gb300*cf_cx+(1-cust_sh)*((1-Sens!$J$9194)*tk_cx_gb300+Sens!$J$9194*tk_cx_vr200)</f>
        <v>34.911788</v>
      </c>
      <c r="K9197" s="36" t="n">
        <f aca="false">cust_sh*tk_cx_gb300*cf_cx+(1-cust_sh)*((1-Sens!$K$9194)*tk_cx_gb300+Sens!$K$9194*tk_cx_vr200)</f>
        <v>34.911788</v>
      </c>
      <c r="L9197" s="36" t="n">
        <f aca="false">cust_sh*tk_cx_gb300*cf_cx+(1-cust_sh)*((1-Sens!$L$9194)*tk_cx_gb300+Sens!$L$9194*tk_cx_vr200)</f>
        <v>34.911788</v>
      </c>
      <c r="M9197" s="36" t="n">
        <f aca="false">cust_sh*tk_cx_gb300*cf_cx+(1-cust_sh)*((1-Sens!$M$9194)*tk_cx_gb300+Sens!$M$9194*tk_cx_vr200)</f>
        <v>34.911788</v>
      </c>
    </row>
    <row r="9198" customFormat="false" ht="17.15" hidden="false" customHeight="false" outlineLevel="0" collapsed="false">
      <c r="A9198" s="5" t="s">
        <v>613</v>
      </c>
      <c r="B9198" s="0" t="s">
        <v>129</v>
      </c>
      <c r="F9198" s="32" t="n">
        <f aca="false">Sens!$F$9188-mw_open</f>
        <v>1817.15</v>
      </c>
      <c r="G9198" s="32" t="n">
        <f aca="false">Sens!$F$9198</f>
        <v>1817.15</v>
      </c>
      <c r="H9198" s="32" t="n">
        <f aca="false">Sens!$H$9188-mw_open</f>
        <v>5451.45</v>
      </c>
      <c r="I9198" s="32" t="n">
        <f aca="false">Sens!$I$9188-mw_open</f>
        <v>9085.75</v>
      </c>
      <c r="J9198" s="32" t="n">
        <f aca="false">Sens!$J$9188-mw_open</f>
        <v>12720.05</v>
      </c>
      <c r="K9198" s="32" t="n">
        <f aca="false">Sens!$K$9188-mw_open</f>
        <v>15340.2506666667</v>
      </c>
      <c r="L9198" s="32" t="n">
        <f aca="false">Sens!$L$9188-mw_open</f>
        <v>16946.352</v>
      </c>
      <c r="M9198" s="32" t="n">
        <f aca="false">Sens!$M$9188-mw_open</f>
        <v>17538.354</v>
      </c>
    </row>
    <row r="9199" customFormat="false" ht="17.15" hidden="false" customHeight="false" outlineLevel="0" collapsed="false">
      <c r="A9199" s="0" t="s">
        <v>614</v>
      </c>
      <c r="B9199" s="0" t="s">
        <v>615</v>
      </c>
      <c r="F9199" s="32" t="n">
        <f aca="false">Sens!$F$9191*Sens!$F$9195</f>
        <v>19782.2417524844</v>
      </c>
      <c r="G9199" s="32" t="n">
        <f aca="false">Sens!$F$9199</f>
        <v>19782.2417524844</v>
      </c>
      <c r="H9199" s="32" t="n">
        <f aca="false">Sens!$G$9199+Sens!$H$9191*Sens!$H$9195</f>
        <v>60563.3616992009</v>
      </c>
      <c r="I9199" s="32" t="n">
        <f aca="false">Sens!$H$9199+Sens!$I$9191*Sens!$I$9195</f>
        <v>102561.118087665</v>
      </c>
      <c r="J9199" s="32" t="n">
        <f aca="false">Sens!$I$9199+Sens!$J$9191*Sens!$J$9195</f>
        <v>144558.87447613</v>
      </c>
      <c r="K9199" s="32" t="n">
        <f aca="false">Sens!$J$9199+Sens!$K$9191*Sens!$K$9195</f>
        <v>174837.75879706</v>
      </c>
      <c r="L9199" s="32" t="n">
        <f aca="false">Sens!$K$9199+Sens!$L$9191*Sens!$L$9195</f>
        <v>193397.771050458</v>
      </c>
      <c r="M9199" s="32" t="n">
        <f aca="false">Sens!$L$9199+Sens!$M$9191*Sens!$M$9195</f>
        <v>200238.911236321</v>
      </c>
    </row>
    <row r="9200" customFormat="false" ht="17.15" hidden="false" customHeight="false" outlineLevel="0" collapsed="false">
      <c r="A9200" s="0" t="s">
        <v>616</v>
      </c>
      <c r="B9200" s="0" t="s">
        <v>615</v>
      </c>
      <c r="F9200" s="32" t="n">
        <f aca="false">Sens!$F$9191*Sens!$F$9196</f>
        <v>3602.74485070566</v>
      </c>
      <c r="G9200" s="32" t="n">
        <f aca="false">Sens!$F$9200</f>
        <v>3602.74485070566</v>
      </c>
      <c r="H9200" s="32" t="n">
        <f aca="false">Sens!$G$9200+Sens!$H$9191*Sens!$H$9196</f>
        <v>10908.9598445736</v>
      </c>
      <c r="I9200" s="32" t="n">
        <f aca="false">Sens!$H$9200+Sens!$I$9191*Sens!$I$9196</f>
        <v>18315.9001308981</v>
      </c>
      <c r="J9200" s="32" t="n">
        <f aca="false">Sens!$I$9200+Sens!$J$9191*Sens!$J$9196</f>
        <v>25722.8404172225</v>
      </c>
      <c r="K9200" s="32" t="n">
        <f aca="false">Sens!$J$9200+Sens!$K$9191*Sens!$K$9196</f>
        <v>31062.9801624796</v>
      </c>
      <c r="L9200" s="32" t="n">
        <f aca="false">Sens!$K$9200+Sens!$L$9191*Sens!$L$9196</f>
        <v>34336.3193666691</v>
      </c>
      <c r="M9200" s="32" t="n">
        <f aca="false">Sens!$L$9200+Sens!$M$9191*Sens!$M$9196</f>
        <v>35542.8580297913</v>
      </c>
    </row>
    <row r="9201" customFormat="false" ht="17.15" hidden="false" customHeight="false" outlineLevel="0" collapsed="false">
      <c r="A9201" s="5" t="s">
        <v>617</v>
      </c>
      <c r="B9201" s="0" t="s">
        <v>173</v>
      </c>
      <c r="F9201" s="36" t="n">
        <f aca="false">IF(Sens!$F$9198&gt;0,Sens!$F$9199/Sens!$F$9198,Sens!$F$9195)</f>
        <v>10.8864110021101</v>
      </c>
      <c r="G9201" s="36" t="n">
        <f aca="false">IF(Sens!$G$9198&gt;0,Sens!$G$9199/Sens!$G$9198,Sens!$G$9195)</f>
        <v>10.8864110021101</v>
      </c>
      <c r="H9201" s="36" t="n">
        <f aca="false">IF(Sens!$H$9198&gt;0,Sens!$H$9199/Sens!$H$9198,Sens!$H$9195)</f>
        <v>11.1095876691891</v>
      </c>
      <c r="I9201" s="36" t="n">
        <f aca="false">IF(Sens!$I$9198&gt;0,Sens!$I$9199/Sens!$I$9198,Sens!$I$9195)</f>
        <v>11.2881290028523</v>
      </c>
      <c r="J9201" s="36" t="n">
        <f aca="false">IF(Sens!$J$9198&gt;0,Sens!$J$9199/Sens!$J$9198,Sens!$J$9195)</f>
        <v>11.3646467172794</v>
      </c>
      <c r="K9201" s="36" t="n">
        <f aca="false">IF(Sens!$K$9198&gt;0,Sens!$K$9199/Sens!$K$9198,Sens!$K$9195)</f>
        <v>11.3973208519318</v>
      </c>
      <c r="L9201" s="36" t="n">
        <f aca="false">IF(Sens!$L$9198&gt;0,Sens!$L$9199/Sens!$L$9198,Sens!$L$9195)</f>
        <v>11.4123541780825</v>
      </c>
      <c r="M9201" s="36" t="n">
        <f aca="false">IF(Sens!$M$9198&gt;0,Sens!$M$9199/Sens!$M$9198,Sens!$M$9195)</f>
        <v>11.4172009092941</v>
      </c>
    </row>
    <row r="9202" customFormat="false" ht="17.15" hidden="false" customHeight="false" outlineLevel="0" collapsed="false">
      <c r="A9202" s="5" t="s">
        <v>618</v>
      </c>
      <c r="B9202" s="0" t="s">
        <v>173</v>
      </c>
      <c r="F9202" s="36" t="n">
        <f aca="false">IF(Sens!$F$9198&gt;0,Sens!$F$9200/Sens!$F$9198,Sens!$F$9196)</f>
        <v>1.98263481314457</v>
      </c>
      <c r="G9202" s="36" t="n">
        <f aca="false">IF(Sens!$G$9198&gt;0,Sens!$G$9200/Sens!$G$9198,Sens!$G$9196)</f>
        <v>1.98263481314457</v>
      </c>
      <c r="H9202" s="36" t="n">
        <f aca="false">IF(Sens!$H$9198&gt;0,Sens!$H$9200/Sens!$H$9198,Sens!$H$9196)</f>
        <v>2.00111160233948</v>
      </c>
      <c r="I9202" s="36" t="n">
        <f aca="false">IF(Sens!$I$9198&gt;0,Sens!$I$9200/Sens!$I$9198,Sens!$I$9196)</f>
        <v>2.01589303369541</v>
      </c>
      <c r="J9202" s="36" t="n">
        <f aca="false">IF(Sens!$J$9198&gt;0,Sens!$J$9200/Sens!$J$9198,Sens!$J$9196)</f>
        <v>2.02222793284795</v>
      </c>
      <c r="K9202" s="36" t="n">
        <f aca="false">IF(Sens!$K$9198&gt;0,Sens!$K$9200/Sens!$K$9198,Sens!$K$9196)</f>
        <v>2.02493302342036</v>
      </c>
      <c r="L9202" s="36" t="n">
        <f aca="false">IF(Sens!$L$9198&gt;0,Sens!$L$9200/Sens!$L$9198,Sens!$L$9196)</f>
        <v>2.02617763201597</v>
      </c>
      <c r="M9202" s="36" t="n">
        <f aca="false">IF(Sens!$M$9198&gt;0,Sens!$M$9200/Sens!$M$9198,Sens!$M$9196)</f>
        <v>2.02657889273938</v>
      </c>
    </row>
    <row r="9203" customFormat="false" ht="17.15" hidden="false" customHeight="false" outlineLevel="0" collapsed="false">
      <c r="A9203" s="15" t="s">
        <v>619</v>
      </c>
      <c r="B9203" s="14" t="s">
        <v>173</v>
      </c>
      <c r="C9203" s="14"/>
      <c r="D9203" s="14"/>
      <c r="E9203" s="14"/>
      <c r="F9203" s="37" t="n">
        <f aca="false">Sens!$F$9201*k_B</f>
        <v>10.7987645808025</v>
      </c>
      <c r="G9203" s="37" t="n">
        <f aca="false">Sens!$G$9201*k_B</f>
        <v>10.7987645808025</v>
      </c>
      <c r="H9203" s="37" t="n">
        <f aca="false">Sens!$H$9201*k_B</f>
        <v>11.0201444540452</v>
      </c>
      <c r="I9203" s="37" t="n">
        <f aca="false">Sens!$I$9201*k_B</f>
        <v>11.1972483526393</v>
      </c>
      <c r="J9203" s="37" t="n">
        <f aca="false">Sens!$J$9201*k_B</f>
        <v>11.2731500234653</v>
      </c>
      <c r="K9203" s="37" t="n">
        <f aca="false">Sens!$K$9201*k_B</f>
        <v>11.3055610988807</v>
      </c>
      <c r="L9203" s="37" t="n">
        <f aca="false">Sens!$L$9201*k_B</f>
        <v>11.3204733918244</v>
      </c>
      <c r="M9203" s="37" t="n">
        <f aca="false">Sens!$M$9201*k_B</f>
        <v>11.3252811020357</v>
      </c>
      <c r="N9203" s="14"/>
      <c r="O9203" s="14"/>
      <c r="P9203" s="5" t="s">
        <v>620</v>
      </c>
    </row>
    <row r="9204" customFormat="false" ht="17.15" hidden="false" customHeight="false" outlineLevel="0" collapsed="false">
      <c r="A9204" s="5" t="s">
        <v>621</v>
      </c>
      <c r="B9204" s="0" t="s">
        <v>129</v>
      </c>
      <c r="F9204" s="32" t="n">
        <f aca="false">Sens!$F$9198/2</f>
        <v>908.575</v>
      </c>
      <c r="H9204" s="32" t="n">
        <f aca="false">(Sens!$G$9198+Sens!$H$9198)/2</f>
        <v>3634.3</v>
      </c>
      <c r="I9204" s="32" t="n">
        <f aca="false">(Sens!$H$9198+Sens!$I$9198)/2</f>
        <v>7268.6</v>
      </c>
      <c r="J9204" s="32" t="n">
        <f aca="false">(Sens!$I$9198+Sens!$J$9198)/2</f>
        <v>10902.9</v>
      </c>
      <c r="K9204" s="32" t="n">
        <f aca="false">(Sens!$J$9198+Sens!$K$9198)/2</f>
        <v>14030.1503333333</v>
      </c>
      <c r="L9204" s="32" t="n">
        <f aca="false">(Sens!$K$9198+Sens!$L$9198)/2</f>
        <v>16143.3013333333</v>
      </c>
      <c r="M9204" s="32" t="n">
        <f aca="false">(Sens!$L$9198+Sens!$M$9198)/2</f>
        <v>17242.353</v>
      </c>
    </row>
    <row r="9205" customFormat="false" ht="17.15" hidden="false" customHeight="false" outlineLevel="0" collapsed="false">
      <c r="A9205" s="1" t="s">
        <v>622</v>
      </c>
    </row>
    <row r="9206" customFormat="false" ht="17.15" hidden="false" customHeight="false" outlineLevel="0" collapsed="false">
      <c r="A9206" s="1" t="s">
        <v>623</v>
      </c>
      <c r="B9206" s="8" t="s">
        <v>86</v>
      </c>
      <c r="C9206" s="38" t="n">
        <f aca="false">Sens!$C$9189*rpm_open*Sens!$C$9190/1000</f>
        <v>2.32100535697364</v>
      </c>
      <c r="D9206" s="38" t="n">
        <f aca="false">Sens!$D$9189*rpm_open*Sens!$D$9190/1000</f>
        <v>8.70377008865116</v>
      </c>
      <c r="E9206" s="38" t="n">
        <f aca="false">Sens!$E$9189*rpm_open*Sens!$E$9190/1000</f>
        <v>8.51035297557002</v>
      </c>
      <c r="F9206" s="38" t="n">
        <f aca="false">(mw_open*rpm_open+Sens!$F$9204*Sens!$F$9203)*Sens!$F$9190/1000</f>
        <v>14.9634336447205</v>
      </c>
      <c r="G9206" s="38" t="n">
        <f aca="false">Sens!$E$9206+Sens!$F$9206</f>
        <v>23.4737866202905</v>
      </c>
      <c r="H9206" s="38" t="n">
        <f aca="false">(mw_open*rpm_open+Sens!$H$9204*Sens!$H$9203)/1000</f>
        <v>60.1658907497746</v>
      </c>
      <c r="I9206" s="38" t="n">
        <f aca="false">(mw_open*rpm_open+Sens!$I$9204*Sens!$I$9203)/1000</f>
        <v>101.503699136432</v>
      </c>
      <c r="J9206" s="38" t="n">
        <f aca="false">(mw_open*rpm_open+Sens!$J$9204*Sens!$J$9203)/1000</f>
        <v>143.025407151278</v>
      </c>
      <c r="K9206" s="38" t="n">
        <f aca="false">(mw_open*rpm_open+Sens!$K$9204*Sens!$K$9203)/1000</f>
        <v>178.73410158042</v>
      </c>
      <c r="L9206" s="38" t="n">
        <f aca="false">(mw_open*rpm_open+Sens!$L$9204*Sens!$L$9203)/1000</f>
        <v>202.865192960641</v>
      </c>
      <c r="M9206" s="38" t="n">
        <f aca="false">(mw_open*rpm_open+Sens!$M$9204*Sens!$M$9203)/1000</f>
        <v>215.389874345967</v>
      </c>
      <c r="N9206" s="38" t="n">
        <f aca="false">Sens!$N$9189*rpm_open*Sens!$N$9190/1000</f>
        <v>3.04631953102791</v>
      </c>
      <c r="O9206" s="38" t="n">
        <f aca="false">Sens!$O$9189*rpm_open*Sens!$O$9190/1000</f>
        <v>5.65745055762326</v>
      </c>
      <c r="P9206" s="5" t="s">
        <v>624</v>
      </c>
    </row>
    <row r="9207" customFormat="false" ht="17.15" hidden="false" customHeight="false" outlineLevel="0" collapsed="false">
      <c r="A9207" s="5" t="s">
        <v>625</v>
      </c>
      <c r="B9207" s="0" t="s">
        <v>173</v>
      </c>
      <c r="C9207" s="36" t="n">
        <f aca="false">Sens!$C$9206*1000/(Sens!$C$9189*Sens!$C$9190)</f>
        <v>9.67085565405685</v>
      </c>
      <c r="D9207" s="36" t="n">
        <f aca="false">Sens!$D$9206*1000/(Sens!$D$9189*Sens!$D$9190)</f>
        <v>9.67085565405685</v>
      </c>
      <c r="E9207" s="36" t="n">
        <f aca="false">Sens!$E$9206*1000/(Sens!$E$9189*Sens!$E$9190)</f>
        <v>9.67085565405685</v>
      </c>
      <c r="F9207" s="36" t="n">
        <f aca="false">Sens!$F$9206*1000/(Sens!$F$9189*Sens!$F$9190)</f>
        <v>10.0137581588017</v>
      </c>
      <c r="G9207" s="36" t="n">
        <f aca="false">Sens!$G$9206*1000/(Sens!$G$9189*Sens!$G$9190)</f>
        <v>9.88666562928478</v>
      </c>
      <c r="H9207" s="36" t="n">
        <f aca="false">Sens!$H$9206*1000/(Sens!$H$9189*Sens!$H$9190)</f>
        <v>10.5290045586992</v>
      </c>
      <c r="I9207" s="36" t="n">
        <f aca="false">Sens!$I$9206*1000/(Sens!$I$9189*Sens!$I$9190)</f>
        <v>10.8576363451674</v>
      </c>
      <c r="J9207" s="36" t="n">
        <f aca="false">Sens!$J$9206*1000/(Sens!$J$9189*Sens!$J$9190)</f>
        <v>11.0164452588619</v>
      </c>
      <c r="K9207" s="36" t="n">
        <f aca="false">Sens!$K$9206*1000/(Sens!$K$9189*Sens!$K$9190)</f>
        <v>11.0945024026625</v>
      </c>
      <c r="L9207" s="36" t="n">
        <f aca="false">Sens!$L$9206*1000/(Sens!$L$9189*Sens!$L$9190)</f>
        <v>11.1321867124904</v>
      </c>
      <c r="M9207" s="36" t="n">
        <f aca="false">Sens!$M$9206*1000/(Sens!$M$9189*Sens!$M$9190)</f>
        <v>11.1471865950263</v>
      </c>
      <c r="N9207" s="36" t="n">
        <f aca="false">Sens!$N$9206*1000/(Sens!$N$9189*Sens!$N$9190)</f>
        <v>9.67085565405685</v>
      </c>
      <c r="O9207" s="36" t="n">
        <f aca="false">Sens!$O$9206*1000/(Sens!$O$9189*Sens!$O$9190)</f>
        <v>9.67085565405685</v>
      </c>
    </row>
    <row r="9208" customFormat="false" ht="17.15" hidden="false" customHeight="false" outlineLevel="0" collapsed="false">
      <c r="A9208" s="0" t="s">
        <v>626</v>
      </c>
      <c r="B9208" s="0" t="s">
        <v>86</v>
      </c>
      <c r="C9208" s="38" t="n">
        <f aca="false">Sens!$C$9189/ext_sh*(ox_open+rent_mw)*Sens!$C$9190/1000</f>
        <v>0.642569210675032</v>
      </c>
      <c r="D9208" s="38" t="n">
        <f aca="false">Sens!$D$9189/ext_sh*(ox_open+rent_mw)*Sens!$D$9190/1000</f>
        <v>2.40963454003137</v>
      </c>
      <c r="E9208" s="38" t="n">
        <f aca="false">Sens!$E$9189/ext_sh*(ox_open+rent_mw)*Sens!$E$9190/1000</f>
        <v>2.35608710580845</v>
      </c>
      <c r="F9208" s="38" t="n">
        <f aca="false">((mw_open*ox_open+Sens!$F$9204*Sens!$F$9202)/ext_sh+Sens!$F$9189/ext_sh*rent_mw)*Sens!$F$9190/1000</f>
        <v>4.05421991106232</v>
      </c>
      <c r="G9208" s="38" t="n">
        <f aca="false">Sens!$E$9208+Sens!$F$9208</f>
        <v>6.41030701687077</v>
      </c>
      <c r="H9208" s="38" t="n">
        <f aca="false">((mw_open*ox_open+Sens!$H$9204*Sens!$H$9202)/ext_sh+Sens!$H$9189/ext_sh*rent_mw)*Sens!$H$9190/1000</f>
        <v>15.8108975546616</v>
      </c>
      <c r="I9208" s="38" t="n">
        <f aca="false">((mw_open*ox_open+Sens!$I$9204*Sens!$I$9202)/ext_sh+Sens!$I$9189/ext_sh*rent_mw)*Sens!$I$9190/1000</f>
        <v>26.1871623400817</v>
      </c>
      <c r="J9208" s="38" t="n">
        <f aca="false">((mw_open*ox_open+Sens!$J$9204*Sens!$J$9202)/ext_sh+Sens!$J$9189/ext_sh*rent_mw)*Sens!$J$9190/1000</f>
        <v>36.5826128954935</v>
      </c>
      <c r="K9208" s="38" t="n">
        <f aca="false">((mw_open*ox_open+Sens!$K$9204*Sens!$K$9202)/ext_sh+Sens!$K$9189/ext_sh*rent_mw)*Sens!$K$9190/1000</f>
        <v>45.5256266941655</v>
      </c>
      <c r="L9208" s="38" t="n">
        <f aca="false">((mw_open*ox_open+Sens!$L$9204*Sens!$L$9202)/ext_sh+Sens!$L$9189/ext_sh*rent_mw)*Sens!$L$9190/1000</f>
        <v>51.568818942134</v>
      </c>
      <c r="M9208" s="38" t="n">
        <f aca="false">((mw_open*ox_open+Sens!$M$9204*Sens!$M$9202)/ext_sh+Sens!$M$9189/ext_sh*rent_mw)*Sens!$M$9190/1000</f>
        <v>54.7091842856355</v>
      </c>
      <c r="N9208" s="38" t="n">
        <f aca="false">Sens!$N$9189/ext_sh*(ox_open+rent_mw)*Sens!$N$9190/1000</f>
        <v>0.84337208901098</v>
      </c>
      <c r="O9208" s="38" t="n">
        <f aca="false">Sens!$O$9189/ext_sh*(ox_open+rent_mw)*Sens!$O$9190/1000</f>
        <v>1.56626245102039</v>
      </c>
    </row>
    <row r="9209" customFormat="false" ht="17.15" hidden="false" customHeight="false" outlineLevel="0" collapsed="false">
      <c r="A9209" s="0" t="s">
        <v>627</v>
      </c>
      <c r="B9209" s="0" t="s">
        <v>86</v>
      </c>
      <c r="C9209" s="38" t="n">
        <f aca="false">Q!$D$7</f>
        <v>107.556</v>
      </c>
      <c r="D9209" s="38" t="n">
        <f aca="false">Q!$E$7</f>
        <v>128.725</v>
      </c>
      <c r="E9209" s="38" t="n">
        <f aca="false">Q!$P$7</f>
        <v>79.819</v>
      </c>
      <c r="N9209" s="38" t="n">
        <f aca="false">Q!$N$7</f>
        <v>60.14</v>
      </c>
      <c r="O9209" s="38" t="n">
        <f aca="false">Q!$O$7</f>
        <v>68.585</v>
      </c>
    </row>
    <row r="9210" customFormat="false" ht="17.15" hidden="false" customHeight="false" outlineLevel="0" collapsed="false">
      <c r="A9210" s="1" t="s">
        <v>628</v>
      </c>
      <c r="B9210" s="8" t="s">
        <v>86</v>
      </c>
      <c r="C9210" s="38" t="n">
        <f aca="false">Sens!$C$9209-Sens!$C$9206</f>
        <v>105.234994643026</v>
      </c>
      <c r="D9210" s="38" t="n">
        <f aca="false">Sens!$D$9209-Sens!$D$9206</f>
        <v>120.021229911349</v>
      </c>
      <c r="E9210" s="38" t="n">
        <f aca="false">Sens!$E$9209-Sens!$E$9206</f>
        <v>71.30864702443</v>
      </c>
      <c r="F9210" s="38" t="n">
        <f aca="false">Sens!$O$9210*(1+Sens!$F$9211)</f>
        <v>71.7692997942464</v>
      </c>
      <c r="G9210" s="38" t="n">
        <f aca="false">Sens!$E$9210+Sens!$F$9210</f>
        <v>143.077946818676</v>
      </c>
      <c r="H9210" s="38" t="n">
        <f aca="false">Sens!$G$9210*(1+Sens!$H$9211)</f>
        <v>161.017077079203</v>
      </c>
      <c r="I9210" s="38" t="n">
        <f aca="false">Sens!$H$9210*(1+Sens!$I$9211)</f>
        <v>178.769759521457</v>
      </c>
      <c r="J9210" s="38" t="n">
        <f aca="false">Sens!$I$9210*(1+Sens!$J$9211)</f>
        <v>195.775538045907</v>
      </c>
      <c r="K9210" s="38" t="n">
        <f aca="false">Sens!$J$9210*(1+Sens!$K$9211)</f>
        <v>211.43758108958</v>
      </c>
      <c r="L9210" s="38" t="n">
        <f aca="false">Sens!$K$9210*(1+Sens!$L$9211)</f>
        <v>228.352587576746</v>
      </c>
      <c r="M9210" s="38" t="n">
        <f aca="false">Sens!$L$9210*(1+Sens!$M$9211)</f>
        <v>246.620794582886</v>
      </c>
      <c r="N9210" s="38" t="n">
        <f aca="false">Sens!$N$9209-Sens!$N$9206</f>
        <v>57.0936804689721</v>
      </c>
      <c r="O9210" s="38" t="n">
        <f aca="false">Sens!$O$9209-Sens!$O$9206</f>
        <v>62.9275494423768</v>
      </c>
      <c r="P9210" s="5" t="s">
        <v>629</v>
      </c>
    </row>
    <row r="9211" customFormat="false" ht="17.15" hidden="false" customHeight="false" outlineLevel="0" collapsed="false">
      <c r="A9211" s="0" t="s">
        <v>630</v>
      </c>
      <c r="B9211" s="0" t="s">
        <v>52</v>
      </c>
      <c r="D9211" s="13" t="n">
        <f aca="false">Sens!$D$9210/Sens!$C$9210-1</f>
        <v>0.140506827776062</v>
      </c>
      <c r="E9211" s="13" t="n">
        <f aca="false">Sens!$E$9210/Sens!$N$9210-1</f>
        <v>0.248976181579029</v>
      </c>
      <c r="F9211" s="13" t="n">
        <f aca="false">Sens!$D$9211</f>
        <v>0.140506827776062</v>
      </c>
      <c r="G9211" s="13" t="n">
        <f aca="false">Sens!$G$9210/Sens!$D$9210-1</f>
        <v>0.19210532106993</v>
      </c>
      <c r="H9211" s="13" t="n">
        <f aca="false">Sens!$F$9211+(g_awso_lt-Sens!$F$9211)*1/4</f>
        <v>0.125380120832046</v>
      </c>
      <c r="I9211" s="13" t="n">
        <f aca="false">Sens!$F$9211+(g_awso_lt-Sens!$F$9211)*2/4</f>
        <v>0.110253413888031</v>
      </c>
      <c r="J9211" s="13" t="n">
        <f aca="false">Sens!$F$9211+(g_awso_lt-Sens!$F$9211)*3/4</f>
        <v>0.0951267069440154</v>
      </c>
      <c r="K9211" s="13" t="n">
        <f aca="false">Sens!$F$9211+(g_awso_lt-Sens!$F$9211)*4/4</f>
        <v>0.08</v>
      </c>
      <c r="L9211" s="13" t="n">
        <f aca="false">g_awso_lt</f>
        <v>0.08</v>
      </c>
      <c r="M9211" s="13" t="n">
        <f aca="false">g_awso_lt</f>
        <v>0.08</v>
      </c>
      <c r="P9211" s="5" t="s">
        <v>631</v>
      </c>
    </row>
    <row r="9212" customFormat="false" ht="17.15" hidden="false" customHeight="false" outlineLevel="0" collapsed="false">
      <c r="A9212" s="1" t="s">
        <v>632</v>
      </c>
    </row>
    <row r="9213" customFormat="false" ht="17.15" hidden="false" customHeight="false" outlineLevel="0" collapsed="false">
      <c r="A9213" s="0" t="s">
        <v>633</v>
      </c>
      <c r="B9213" s="0" t="s">
        <v>86</v>
      </c>
      <c r="F9213" s="38" t="n">
        <f aca="false">cx_rt*Sens!$F$9178+cx_awso*Sens!$F$9210</f>
        <v>34.9734495387866</v>
      </c>
    </row>
    <row r="9214" customFormat="false" ht="17.15" hidden="false" customHeight="false" outlineLevel="0" collapsed="false">
      <c r="A9214" s="0" t="s">
        <v>634</v>
      </c>
      <c r="B9214" s="0" t="s">
        <v>52</v>
      </c>
      <c r="C9214" s="13" t="n">
        <f aca="false">tk_cx_h100/(tk_cx_h100+tk_fac*(1-colo_sh))</f>
        <v>0.730756458006641</v>
      </c>
      <c r="D9214" s="13" t="n">
        <f aca="false">tk_cx_h100/(tk_cx_h100+tk_fac*(1-colo_sh))</f>
        <v>0.730756458006641</v>
      </c>
      <c r="E9214" s="13" t="n">
        <f aca="false">Sens!$F$9214</f>
        <v>0.760792334328868</v>
      </c>
      <c r="F9214" s="13" t="n">
        <f aca="false">Sens!$F$9197/(Sens!$F$9197+tk_fac*(1-colo_sh))</f>
        <v>0.760792334328868</v>
      </c>
      <c r="G9214" s="13" t="n">
        <f aca="false">Sens!$G$9197/(Sens!$G$9197+tk_fac*(1-colo_sh))</f>
        <v>0.760792334328868</v>
      </c>
      <c r="H9214" s="13" t="n">
        <f aca="false">Sens!$H$9197/(Sens!$H$9197+tk_fac*(1-colo_sh))</f>
        <v>0.768110668862996</v>
      </c>
      <c r="I9214" s="13" t="n">
        <f aca="false">Sens!$I$9197/(Sens!$I$9197+tk_fac*(1-colo_sh))</f>
        <v>0.77499450139483</v>
      </c>
      <c r="J9214" s="13" t="n">
        <f aca="false">Sens!$J$9197/(Sens!$J$9197+tk_fac*(1-colo_sh))</f>
        <v>0.77499450139483</v>
      </c>
      <c r="K9214" s="13" t="n">
        <f aca="false">Sens!$K$9197/(Sens!$K$9197+tk_fac*(1-colo_sh))</f>
        <v>0.77499450139483</v>
      </c>
      <c r="L9214" s="13" t="n">
        <f aca="false">Sens!$L$9197/(Sens!$L$9197+tk_fac*(1-colo_sh))</f>
        <v>0.77499450139483</v>
      </c>
      <c r="M9214" s="13" t="n">
        <f aca="false">Sens!$M$9197/(Sens!$M$9197+tk_fac*(1-colo_sh))</f>
        <v>0.77499450139483</v>
      </c>
    </row>
    <row r="9215" customFormat="false" ht="17.15" hidden="false" customHeight="false" outlineLevel="0" collapsed="false">
      <c r="A9215" s="1" t="s">
        <v>635</v>
      </c>
      <c r="B9215" s="8" t="s">
        <v>86</v>
      </c>
      <c r="C9215" s="38" t="n">
        <f aca="false">Q!$D$46-cx_rt*Q!$D$16-cx_awso*Sens!$C$9210</f>
        <v>25.2781053077374</v>
      </c>
      <c r="D9215" s="38" t="n">
        <f aca="false">Q!$E$46-cx_rt*Q!$E$16-cx_awso*Sens!$D$9210</f>
        <v>69.5686316310026</v>
      </c>
      <c r="E9215" s="38" t="n">
        <f aca="false">Q!$P$46-cx_rt*Q!$P$16-cx_awso*Sens!$E$9210</f>
        <v>64.1899206485108</v>
      </c>
      <c r="F9215" s="38" t="n">
        <f aca="false">capex_g26-Q!$P$46-Sens!$F$9213</f>
        <v>88.7165504612134</v>
      </c>
      <c r="G9215" s="38" t="n">
        <f aca="false">Sens!$E$9215+Sens!$F$9215</f>
        <v>152.906471109724</v>
      </c>
      <c r="H9215" s="38" t="n">
        <f aca="false">Sens!$H$9192*(Sens!$H$9197+tk_fac*(1-colo_sh))/1000+Sens!$H$9216</f>
        <v>198.57136494475</v>
      </c>
      <c r="I9215" s="38" t="n">
        <f aca="false">Sens!$I$9192*(Sens!$I$9197+tk_fac*(1-colo_sh))/1000+Sens!$I$9216</f>
        <v>204.6464699105</v>
      </c>
      <c r="J9215" s="38" t="n">
        <f aca="false">Sens!$J$9192*(Sens!$J$9197+tk_fac*(1-colo_sh))/1000+Sens!$J$9216</f>
        <v>209.8832381105</v>
      </c>
      <c r="K9215" s="38" t="n">
        <f aca="false">Sens!$K$9192*(Sens!$K$9197+tk_fac*(1-colo_sh))/1000+Sens!$K$9216</f>
        <v>158.016341586823</v>
      </c>
      <c r="L9215" s="38" t="n">
        <f aca="false">Sens!$L$9192*(Sens!$L$9197+tk_fac*(1-colo_sh))/1000+Sens!$L$9216</f>
        <v>137.570054263147</v>
      </c>
      <c r="M9215" s="38" t="n">
        <f aca="false">Sens!$M$9192*(Sens!$M$9197+tk_fac*(1-colo_sh))/1000+Sens!$M$9216</f>
        <v>140.56485059472</v>
      </c>
      <c r="P9215" s="5" t="s">
        <v>636</v>
      </c>
      <c r="R9215" s="38" t="n">
        <f aca="false">Q!$C$46-cx_rt*Q!$C$16-cx_awso*(Q!$C$7-mw_ye23/2*rpm_open/1000)</f>
        <v>1.50429979529945</v>
      </c>
      <c r="S9215" s="38" t="n">
        <f aca="false">Sens!$C$9215</f>
        <v>25.2781053077374</v>
      </c>
      <c r="T9215" s="38" t="n">
        <f aca="false">Sens!$D$9215</f>
        <v>69.5686316310026</v>
      </c>
      <c r="U9215" s="38" t="n">
        <f aca="false">Sens!$G$9215</f>
        <v>152.906471109724</v>
      </c>
      <c r="V9215" s="38" t="n">
        <f aca="false">Sens!$H$9215</f>
        <v>198.57136494475</v>
      </c>
      <c r="W9215" s="38" t="n">
        <f aca="false">Sens!$I$9215</f>
        <v>204.6464699105</v>
      </c>
      <c r="X9215" s="38" t="n">
        <f aca="false">Sens!$J$9215</f>
        <v>209.8832381105</v>
      </c>
      <c r="Y9215" s="38" t="n">
        <f aca="false">Sens!$K$9215</f>
        <v>158.016341586823</v>
      </c>
      <c r="Z9215" s="38" t="n">
        <f aca="false">Sens!$L$9215</f>
        <v>137.570054263147</v>
      </c>
      <c r="AA9215" s="38" t="n">
        <f aca="false">Sens!$M$9215</f>
        <v>140.56485059472</v>
      </c>
    </row>
    <row r="9216" customFormat="false" ht="17.15" hidden="false" customHeight="false" outlineLevel="0" collapsed="false">
      <c r="A9216" s="0" t="s">
        <v>637</v>
      </c>
      <c r="B9216" s="0" t="s">
        <v>86</v>
      </c>
      <c r="H9216" s="38" t="n">
        <f aca="false">SUMPRODUCT(--(Sens!$R$9185:$AA$9185=2027-tk_life),Sens!$R$9192:$AA$9192)*Sens!$H$9197/1000</f>
        <v>0</v>
      </c>
      <c r="I9216" s="38" t="n">
        <f aca="false">SUMPRODUCT(--(Sens!$R$9185:$AA$9185=2028-tk_life),Sens!$R$9192:$AA$9192)*Sens!$I$9197/1000</f>
        <v>0</v>
      </c>
      <c r="J9216" s="38" t="n">
        <f aca="false">SUMPRODUCT(--(Sens!$R$9185:$AA$9185=2029-tk_life),Sens!$R$9192:$AA$9192)*Sens!$J$9197/1000</f>
        <v>5.2367682</v>
      </c>
      <c r="K9216" s="38" t="n">
        <f aca="false">SUMPRODUCT(--(Sens!$R$9185:$AA$9185=2030-tk_life),Sens!$R$9192:$AA$9192)*Sens!$K$9197/1000</f>
        <v>10.4735364</v>
      </c>
      <c r="L9216" s="38" t="n">
        <f aca="false">SUMPRODUCT(--(Sens!$R$9185:$AA$9185=2031-tk_life),Sens!$R$9192:$AA$9192)*Sens!$L$9197/1000</f>
        <v>47.1309138</v>
      </c>
      <c r="M9216" s="38" t="n">
        <f aca="false">SUMPRODUCT(--(Sens!$R$9185:$AA$9185=2032-tk_life),Sens!$R$9192:$AA$9192)*Sens!$M$9197/1000</f>
        <v>107.22937485525</v>
      </c>
    </row>
    <row r="9217" customFormat="false" ht="17.15" hidden="false" customHeight="false" outlineLevel="0" collapsed="false">
      <c r="A9217" s="0" t="s">
        <v>638</v>
      </c>
      <c r="B9217" s="0" t="s">
        <v>86</v>
      </c>
      <c r="C9217" s="38" t="n">
        <f aca="false">MIN(Sens!$C$9215,Sens!$C$9192*(tk_cx_h100+tk_fac*(1-colo_sh))/1000)</f>
        <v>11.2938642</v>
      </c>
      <c r="D9217" s="38" t="n">
        <f aca="false">MIN(Sens!$D$9215,Sens!$D$9192*(tk_cx_h100+tk_fac*(1-colo_sh))/1000)</f>
        <v>50.8223889</v>
      </c>
      <c r="E9217" s="38" t="n">
        <f aca="false">MIN(Sens!$E$9215,Sens!$E$9192*(Sens!$F$9197+tk_fac*(1-colo_sh))/1000)</f>
        <v>33.8985792</v>
      </c>
      <c r="F9217" s="38" t="n">
        <f aca="false">Sens!$F$9215</f>
        <v>88.7165504612134</v>
      </c>
      <c r="G9217" s="38" t="n">
        <f aca="false">Sens!$E$9217+Sens!$F$9217</f>
        <v>122.615129661213</v>
      </c>
      <c r="H9217" s="38" t="n">
        <f aca="false">Sens!$H$9215</f>
        <v>198.57136494475</v>
      </c>
      <c r="I9217" s="38" t="n">
        <f aca="false">Sens!$I$9215</f>
        <v>204.6464699105</v>
      </c>
      <c r="J9217" s="38" t="n">
        <f aca="false">Sens!$J$9215</f>
        <v>209.8832381105</v>
      </c>
      <c r="K9217" s="38" t="n">
        <f aca="false">Sens!$K$9215</f>
        <v>158.016341586823</v>
      </c>
      <c r="L9217" s="38" t="n">
        <f aca="false">Sens!$L$9215</f>
        <v>137.570054263147</v>
      </c>
      <c r="M9217" s="38" t="n">
        <f aca="false">Sens!$M$9215</f>
        <v>140.56485059472</v>
      </c>
      <c r="P9217" s="5" t="s">
        <v>639</v>
      </c>
      <c r="R9217" s="38" t="n">
        <f aca="false">MIN(Sens!$R$9215,Sens!$R$9192*(tk_cx_h100+tk_fac*(1-colo_sh))/1000)</f>
        <v>1.50429979529945</v>
      </c>
      <c r="S9217" s="38" t="n">
        <f aca="false">Sens!$C$9217</f>
        <v>11.2938642</v>
      </c>
      <c r="T9217" s="38" t="n">
        <f aca="false">Sens!$D$9217</f>
        <v>50.8223889</v>
      </c>
      <c r="U9217" s="38" t="n">
        <f aca="false">Sens!$G$9217</f>
        <v>122.615129661213</v>
      </c>
      <c r="V9217" s="38" t="n">
        <f aca="false">Sens!$H$9217</f>
        <v>198.57136494475</v>
      </c>
      <c r="W9217" s="38" t="n">
        <f aca="false">Sens!$I$9217</f>
        <v>204.6464699105</v>
      </c>
      <c r="X9217" s="38" t="n">
        <f aca="false">Sens!$J$9217</f>
        <v>209.8832381105</v>
      </c>
      <c r="Y9217" s="38" t="n">
        <f aca="false">Sens!$K$9217</f>
        <v>158.016341586823</v>
      </c>
      <c r="Z9217" s="38" t="n">
        <f aca="false">Sens!$L$9217</f>
        <v>137.570054263147</v>
      </c>
      <c r="AA9217" s="38" t="n">
        <f aca="false">Sens!$M$9217</f>
        <v>140.56485059472</v>
      </c>
    </row>
    <row r="9218" customFormat="false" ht="17.15" hidden="false" customHeight="false" outlineLevel="0" collapsed="false">
      <c r="A9218" s="5" t="s">
        <v>640</v>
      </c>
      <c r="B9218" s="0" t="s">
        <v>86</v>
      </c>
      <c r="C9218" s="38" t="n">
        <f aca="false">Sens!$C$9215-Sens!$C$9217</f>
        <v>13.9842411077374</v>
      </c>
      <c r="D9218" s="38" t="n">
        <f aca="false">Sens!$D$9215-Sens!$D$9217</f>
        <v>18.7462427310026</v>
      </c>
      <c r="E9218" s="38" t="n">
        <f aca="false">Sens!$E$9215-Sens!$E$9217</f>
        <v>30.2913414485108</v>
      </c>
      <c r="F9218" s="38" t="n">
        <f aca="false">Sens!$F$9215-Sens!$F$9217</f>
        <v>0</v>
      </c>
      <c r="G9218" s="38" t="n">
        <f aca="false">Sens!$G$9215-Sens!$G$9217</f>
        <v>30.2913414485108</v>
      </c>
      <c r="H9218" s="38" t="n">
        <f aca="false">Sens!$H$9215-Sens!$H$9217</f>
        <v>0</v>
      </c>
      <c r="I9218" s="38" t="n">
        <f aca="false">Sens!$I$9215-Sens!$I$9217</f>
        <v>0</v>
      </c>
      <c r="J9218" s="38" t="n">
        <f aca="false">Sens!$J$9215-Sens!$J$9217</f>
        <v>0</v>
      </c>
      <c r="K9218" s="38" t="n">
        <f aca="false">Sens!$K$9215-Sens!$K$9217</f>
        <v>0</v>
      </c>
      <c r="L9218" s="38" t="n">
        <f aca="false">Sens!$L$9215-Sens!$L$9217</f>
        <v>0</v>
      </c>
      <c r="M9218" s="38" t="n">
        <f aca="false">Sens!$M$9215-Sens!$M$9217</f>
        <v>0</v>
      </c>
      <c r="P9218" s="5" t="s">
        <v>641</v>
      </c>
      <c r="R9218" s="38" t="n">
        <f aca="false">Sens!$R$9215-Sens!$R$9217</f>
        <v>0</v>
      </c>
      <c r="S9218" s="38" t="n">
        <f aca="false">Sens!$S$9215-Sens!$S$9217</f>
        <v>13.9842411077374</v>
      </c>
      <c r="T9218" s="38" t="n">
        <f aca="false">Sens!$T$9215-Sens!$T$9217</f>
        <v>18.7462427310026</v>
      </c>
      <c r="U9218" s="38" t="n">
        <f aca="false">Sens!$U$9215-Sens!$U$9217</f>
        <v>30.2913414485108</v>
      </c>
      <c r="V9218" s="38" t="n">
        <f aca="false">Sens!$V$9215-Sens!$V$9217</f>
        <v>0</v>
      </c>
      <c r="W9218" s="38" t="n">
        <f aca="false">Sens!$W$9215-Sens!$W$9217</f>
        <v>0</v>
      </c>
      <c r="X9218" s="38" t="n">
        <f aca="false">Sens!$X$9215-Sens!$X$9217</f>
        <v>0</v>
      </c>
      <c r="Y9218" s="38" t="n">
        <f aca="false">Sens!$Y$9215-Sens!$Y$9217</f>
        <v>0</v>
      </c>
      <c r="Z9218" s="38" t="n">
        <f aca="false">Sens!$Z$9215-Sens!$Z$9217</f>
        <v>0</v>
      </c>
      <c r="AA9218" s="38" t="n">
        <f aca="false">Sens!$AA$9215-Sens!$AA$9217</f>
        <v>0</v>
      </c>
    </row>
    <row r="9219" customFormat="false" ht="17.15" hidden="false" customHeight="false" outlineLevel="0" collapsed="false">
      <c r="A9219" s="5" t="s">
        <v>642</v>
      </c>
      <c r="B9219" s="0" t="s">
        <v>86</v>
      </c>
      <c r="R9219" s="38" t="n">
        <f aca="false">Sens!$R$9218*Sens!$C$9214</f>
        <v>0</v>
      </c>
      <c r="S9219" s="38" t="n">
        <f aca="false">Sens!$S$9218*Sens!$C$9214</f>
        <v>10.219074499801</v>
      </c>
      <c r="T9219" s="38" t="n">
        <f aca="false">Sens!$T$9218*Sens!$C$9214</f>
        <v>13.6989379390402</v>
      </c>
      <c r="U9219" s="38" t="n">
        <f aca="false">Sens!$U$9218*Sens!$E$9214</f>
        <v>23.0454203705653</v>
      </c>
      <c r="V9219" s="38" t="n">
        <f aca="false">Sens!$V$9218*Sens!$E$9214</f>
        <v>0</v>
      </c>
      <c r="W9219" s="38" t="n">
        <f aca="false">Sens!$W$9218*Sens!$E$9214</f>
        <v>0</v>
      </c>
      <c r="X9219" s="38" t="n">
        <f aca="false">Sens!$X$9218*Sens!$E$9214</f>
        <v>0</v>
      </c>
      <c r="Y9219" s="38" t="n">
        <f aca="false">Sens!$Y$9218*Sens!$E$9214</f>
        <v>0</v>
      </c>
      <c r="Z9219" s="38" t="n">
        <f aca="false">Sens!$Z$9218*Sens!$E$9214</f>
        <v>0</v>
      </c>
      <c r="AA9219" s="38" t="n">
        <f aca="false">Sens!$AA$9218*Sens!$E$9214</f>
        <v>0</v>
      </c>
    </row>
    <row r="9220" customFormat="false" ht="17.15" hidden="false" customHeight="false" outlineLevel="0" collapsed="false">
      <c r="A9220" s="5" t="s">
        <v>643</v>
      </c>
      <c r="B9220" s="0" t="s">
        <v>86</v>
      </c>
      <c r="R9220" s="38" t="n">
        <f aca="false">SUMPRODUCT(--(Sens!$R$9185:$AA$9185=2023-cip_lag),Sens!$R$9219:$AA$9219)</f>
        <v>0</v>
      </c>
      <c r="S9220" s="38" t="n">
        <f aca="false">SUMPRODUCT(--(Sens!$R$9185:$AA$9185=2024-cip_lag),Sens!$R$9219:$AA$9219)</f>
        <v>0</v>
      </c>
      <c r="T9220" s="38" t="n">
        <f aca="false">SUMPRODUCT(--(Sens!$R$9185:$AA$9185=2025-cip_lag),Sens!$R$9219:$AA$9219)</f>
        <v>10.219074499801</v>
      </c>
      <c r="U9220" s="38" t="n">
        <f aca="false">SUMPRODUCT(--(Sens!$R$9185:$AA$9185=2026-cip_lag),Sens!$R$9219:$AA$9219)</f>
        <v>13.6989379390402</v>
      </c>
      <c r="V9220" s="38" t="n">
        <f aca="false">SUMPRODUCT(--(Sens!$R$9185:$AA$9185=2027-cip_lag),Sens!$R$9219:$AA$9219)</f>
        <v>23.0454203705653</v>
      </c>
      <c r="W9220" s="38" t="n">
        <f aca="false">SUMPRODUCT(--(Sens!$R$9185:$AA$9185=2028-cip_lag),Sens!$R$9219:$AA$9219)</f>
        <v>0</v>
      </c>
      <c r="X9220" s="38" t="n">
        <f aca="false">SUMPRODUCT(--(Sens!$R$9185:$AA$9185=2029-cip_lag),Sens!$R$9219:$AA$9219)</f>
        <v>0</v>
      </c>
      <c r="Y9220" s="38" t="n">
        <f aca="false">SUMPRODUCT(--(Sens!$R$9185:$AA$9185=2030-cip_lag),Sens!$R$9219:$AA$9219)</f>
        <v>0</v>
      </c>
      <c r="Z9220" s="38" t="n">
        <f aca="false">SUMPRODUCT(--(Sens!$R$9185:$AA$9185=2031-cip_lag),Sens!$R$9219:$AA$9219)</f>
        <v>0</v>
      </c>
      <c r="AA9220" s="38" t="n">
        <f aca="false">SUMPRODUCT(--(Sens!$R$9185:$AA$9185=2032-cip_lag),Sens!$R$9219:$AA$9219)</f>
        <v>0</v>
      </c>
    </row>
    <row r="9221" customFormat="false" ht="15" hidden="false" customHeight="false" outlineLevel="0" collapsed="false">
      <c r="A9221" s="5" t="s">
        <v>644</v>
      </c>
      <c r="B9221" s="0" t="s">
        <v>86</v>
      </c>
      <c r="R9221" s="38" t="n">
        <f aca="false">SUMPRODUCT(--(Sens!$R$9185:$AA$9185=2023-cip_lag),Sens!$R$9218:$AA$9218)-Sens!$R$9220</f>
        <v>0</v>
      </c>
      <c r="S9221" s="38" t="n">
        <f aca="false">SUMPRODUCT(--(Sens!$R$9185:$AA$9185=2024-cip_lag),Sens!$R$9218:$AA$9218)-Sens!$S$9220</f>
        <v>0</v>
      </c>
      <c r="T9221" s="38" t="n">
        <f aca="false">SUMPRODUCT(--(Sens!$R$9185:$AA$9185=2025-cip_lag),Sens!$R$9218:$AA$9218)-Sens!$T$9220</f>
        <v>3.76516660793636</v>
      </c>
      <c r="U9221" s="38" t="n">
        <f aca="false">SUMPRODUCT(--(Sens!$R$9185:$AA$9185=2026-cip_lag),Sens!$R$9218:$AA$9218)-Sens!$U$9220</f>
        <v>5.04730479196242</v>
      </c>
      <c r="V9221" s="38" t="n">
        <f aca="false">SUMPRODUCT(--(Sens!$R$9185:$AA$9185=2027-cip_lag),Sens!$R$9218:$AA$9218)-Sens!$V$9220</f>
        <v>7.24592107794548</v>
      </c>
      <c r="W9221" s="38" t="n">
        <f aca="false">SUMPRODUCT(--(Sens!$R$9185:$AA$9185=2028-cip_lag),Sens!$R$9218:$AA$9218)-Sens!$W$9220</f>
        <v>0</v>
      </c>
      <c r="X9221" s="38" t="n">
        <f aca="false">SUMPRODUCT(--(Sens!$R$9185:$AA$9185=2029-cip_lag),Sens!$R$9218:$AA$9218)-Sens!$X$9220</f>
        <v>0</v>
      </c>
      <c r="Y9221" s="38" t="n">
        <f aca="false">SUMPRODUCT(--(Sens!$R$9185:$AA$9185=2030-cip_lag),Sens!$R$9218:$AA$9218)-Sens!$Y$9220</f>
        <v>0</v>
      </c>
      <c r="Z9221" s="38" t="n">
        <f aca="false">SUMPRODUCT(--(Sens!$R$9185:$AA$9185=2031-cip_lag),Sens!$R$9218:$AA$9218)-Sens!$Z$9220</f>
        <v>0</v>
      </c>
      <c r="AA9221" s="38" t="n">
        <f aca="false">SUMPRODUCT(--(Sens!$R$9185:$AA$9185=2032-cip_lag),Sens!$R$9218:$AA$9218)-Sens!$AA$9220</f>
        <v>0</v>
      </c>
    </row>
    <row r="9222" customFormat="false" ht="17.15" hidden="false" customHeight="false" outlineLevel="0" collapsed="false">
      <c r="A9222" s="5" t="s">
        <v>645</v>
      </c>
      <c r="B9222" s="0" t="s">
        <v>86</v>
      </c>
      <c r="C9222" s="38" t="n">
        <f aca="false">Sens!$C$9217*Sens!$C$9214</f>
        <v>8.2530642</v>
      </c>
      <c r="D9222" s="38" t="n">
        <f aca="false">Sens!$D$9217*Sens!$D$9214</f>
        <v>37.1387889</v>
      </c>
      <c r="E9222" s="38" t="n">
        <f aca="false">Sens!$E$9217*Sens!$E$9214</f>
        <v>25.7897792</v>
      </c>
      <c r="F9222" s="38" t="n">
        <f aca="false">Sens!$F$9217*Sens!$F$9214</f>
        <v>67.4948715189913</v>
      </c>
      <c r="G9222" s="38" t="n">
        <f aca="false">Sens!$E$9222+Sens!$F$9222</f>
        <v>93.2846507189913</v>
      </c>
      <c r="H9222" s="38" t="n">
        <f aca="false">(Sens!$H$9217-Sens!$H$9216)*Sens!$H$9214+Sens!$H$9216</f>
        <v>152.52478394475</v>
      </c>
      <c r="I9222" s="38" t="n">
        <f aca="false">(Sens!$I$9217-Sens!$I$9216)*Sens!$I$9214+Sens!$I$9216</f>
        <v>158.5998889105</v>
      </c>
      <c r="J9222" s="38" t="n">
        <f aca="false">(Sens!$J$9217-Sens!$J$9216)*Sens!$J$9214+Sens!$J$9216</f>
        <v>163.8366571105</v>
      </c>
      <c r="K9222" s="38" t="n">
        <f aca="false">(Sens!$K$9217-Sens!$K$9216)*Sens!$K$9214+Sens!$K$9216</f>
        <v>124.818399140157</v>
      </c>
      <c r="L9222" s="38" t="n">
        <f aca="false">(Sens!$L$9217-Sens!$L$9216)*Sens!$L$9214+Sens!$L$9216</f>
        <v>117.220750369813</v>
      </c>
      <c r="M9222" s="38" t="n">
        <f aca="false">(Sens!$M$9217-Sens!$M$9216)*Sens!$M$9214+Sens!$M$9216</f>
        <v>133.06418525472</v>
      </c>
      <c r="R9222" s="38" t="n">
        <f aca="false">Sens!$R$9217*Sens!$C$9214</f>
        <v>1.09927679019314</v>
      </c>
      <c r="S9222" s="38" t="n">
        <f aca="false">Sens!$C$9222</f>
        <v>8.2530642</v>
      </c>
      <c r="T9222" s="38" t="n">
        <f aca="false">Sens!$D$9222</f>
        <v>37.1387889</v>
      </c>
      <c r="U9222" s="38" t="n">
        <f aca="false">Sens!$G$9222</f>
        <v>93.2846507189913</v>
      </c>
      <c r="V9222" s="38" t="n">
        <f aca="false">Sens!$H$9222</f>
        <v>152.52478394475</v>
      </c>
      <c r="W9222" s="38" t="n">
        <f aca="false">Sens!$I$9222</f>
        <v>158.5998889105</v>
      </c>
      <c r="X9222" s="38" t="n">
        <f aca="false">Sens!$J$9222</f>
        <v>163.8366571105</v>
      </c>
      <c r="Y9222" s="38" t="n">
        <f aca="false">Sens!$K$9222</f>
        <v>124.818399140157</v>
      </c>
      <c r="Z9222" s="38" t="n">
        <f aca="false">Sens!$L$9222</f>
        <v>117.220750369813</v>
      </c>
      <c r="AA9222" s="38" t="n">
        <f aca="false">Sens!$M$9222</f>
        <v>133.06418525472</v>
      </c>
    </row>
    <row r="9223" customFormat="false" ht="15" hidden="false" customHeight="false" outlineLevel="0" collapsed="false">
      <c r="A9223" s="5" t="s">
        <v>646</v>
      </c>
      <c r="B9223" s="0" t="s">
        <v>86</v>
      </c>
      <c r="C9223" s="38" t="n">
        <f aca="false">Sens!$C$9217-Sens!$C$9222</f>
        <v>3.0408</v>
      </c>
      <c r="D9223" s="38" t="n">
        <f aca="false">Sens!$D$9217-Sens!$D$9222</f>
        <v>13.6836</v>
      </c>
      <c r="E9223" s="38" t="n">
        <f aca="false">Sens!$E$9217-Sens!$E$9222</f>
        <v>8.1088</v>
      </c>
      <c r="F9223" s="38" t="n">
        <f aca="false">Sens!$F$9217-Sens!$F$9222</f>
        <v>21.2216789422221</v>
      </c>
      <c r="G9223" s="38" t="n">
        <f aca="false">Sens!$G$9217-Sens!$G$9222</f>
        <v>29.3304789422221</v>
      </c>
      <c r="H9223" s="38" t="n">
        <f aca="false">Sens!$H$9217-Sens!$H$9222</f>
        <v>46.046581</v>
      </c>
      <c r="I9223" s="38" t="n">
        <f aca="false">Sens!$I$9217-Sens!$I$9222</f>
        <v>46.046581</v>
      </c>
      <c r="J9223" s="38" t="n">
        <f aca="false">Sens!$J$9217-Sens!$J$9222</f>
        <v>46.046581</v>
      </c>
      <c r="K9223" s="38" t="n">
        <f aca="false">Sens!$K$9217-Sens!$K$9222</f>
        <v>33.1979424466667</v>
      </c>
      <c r="L9223" s="38" t="n">
        <f aca="false">Sens!$L$9217-Sens!$L$9222</f>
        <v>20.3493038933333</v>
      </c>
      <c r="M9223" s="38" t="n">
        <f aca="false">Sens!$M$9217-Sens!$M$9222</f>
        <v>7.50066534000001</v>
      </c>
      <c r="R9223" s="38" t="n">
        <f aca="false">Sens!$R$9217-Sens!$R$9222</f>
        <v>0.405023005106309</v>
      </c>
      <c r="S9223" s="38" t="n">
        <f aca="false">Sens!$S$9217-Sens!$S$9222</f>
        <v>3.0408</v>
      </c>
      <c r="T9223" s="38" t="n">
        <f aca="false">Sens!$T$9217-Sens!$T$9222</f>
        <v>13.6836</v>
      </c>
      <c r="U9223" s="38" t="n">
        <f aca="false">Sens!$U$9217-Sens!$U$9222</f>
        <v>29.3304789422221</v>
      </c>
      <c r="V9223" s="38" t="n">
        <f aca="false">Sens!$V$9217-Sens!$V$9222</f>
        <v>46.046581</v>
      </c>
      <c r="W9223" s="38" t="n">
        <f aca="false">Sens!$W$9217-Sens!$W$9222</f>
        <v>46.046581</v>
      </c>
      <c r="X9223" s="38" t="n">
        <f aca="false">Sens!$X$9217-Sens!$X$9222</f>
        <v>46.046581</v>
      </c>
      <c r="Y9223" s="38" t="n">
        <f aca="false">Sens!$Y$9217-Sens!$Y$9222</f>
        <v>33.1979424466667</v>
      </c>
      <c r="Z9223" s="38" t="n">
        <f aca="false">Sens!$Z$9217-Sens!$Z$9222</f>
        <v>20.3493038933333</v>
      </c>
      <c r="AA9223" s="38" t="n">
        <f aca="false">Sens!$AA$9217-Sens!$AA$9222</f>
        <v>7.50066534000001</v>
      </c>
    </row>
    <row r="9224" customFormat="false" ht="17.15" hidden="false" customHeight="false" outlineLevel="0" collapsed="false">
      <c r="A9224" s="0" t="s">
        <v>647</v>
      </c>
      <c r="B9224" s="0" t="s">
        <v>52</v>
      </c>
      <c r="C9224" s="13" t="n">
        <f aca="false">Sens!$C$9215/Sens!$C$9340</f>
        <v>0.325505489553393</v>
      </c>
      <c r="D9224" s="13" t="n">
        <f aca="false">Sens!$D$9215/Sens!$D$9340</f>
        <v>0.54214956071542</v>
      </c>
      <c r="E9224" s="13" t="n">
        <f aca="false">Sens!$E$9215/Sens!$E$9340</f>
        <v>0.666492790452817</v>
      </c>
      <c r="F9224" s="13" t="n">
        <f aca="false">Sens!$F$9215/Sens!$F$9340</f>
        <v>0.71724917504417</v>
      </c>
      <c r="G9224" s="13" t="n">
        <f aca="false">Sens!$G$9215/Sens!$G$9340</f>
        <v>0.69502941413511</v>
      </c>
      <c r="H9224" s="13" t="n">
        <f aca="false">Sens!$H$9215/Sens!$H$9340</f>
        <v>0.726376041178204</v>
      </c>
      <c r="I9224" s="13" t="n">
        <f aca="false">Sens!$I$9215/Sens!$I$9340</f>
        <v>0.713099092661699</v>
      </c>
      <c r="J9224" s="13" t="n">
        <f aca="false">Sens!$J$9215/Sens!$J$9340</f>
        <v>0.701208348786245</v>
      </c>
      <c r="K9224" s="13" t="n">
        <f aca="false">Sens!$K$9215/Sens!$K$9340</f>
        <v>0.622515721629545</v>
      </c>
      <c r="L9224" s="13" t="n">
        <f aca="false">Sens!$L$9215/Sens!$L$9340</f>
        <v>0.572606741433048</v>
      </c>
      <c r="M9224" s="13" t="n">
        <f aca="false">Sens!$M$9215/Sens!$M$9340</f>
        <v>0.560855994905929</v>
      </c>
    </row>
    <row r="9225" customFormat="false" ht="17.15" hidden="false" customHeight="false" outlineLevel="0" collapsed="false">
      <c r="A9225" s="0" t="s">
        <v>648</v>
      </c>
      <c r="B9225" s="0" t="s">
        <v>86</v>
      </c>
      <c r="C9225" s="38" t="n">
        <f aca="false">Sens!$S$9225</f>
        <v>0.183212798365523</v>
      </c>
      <c r="D9225" s="38" t="n">
        <f aca="false">Sens!$T$9225</f>
        <v>1.55872349836552</v>
      </c>
      <c r="E9225" s="38" t="n">
        <f aca="false">Sens!$G$9225/2</f>
        <v>4.72585036583285</v>
      </c>
      <c r="F9225" s="38" t="n">
        <f aca="false">Sens!$G$9225/2</f>
        <v>4.72585036583285</v>
      </c>
      <c r="G9225" s="38" t="n">
        <f aca="false">Sens!$U$9225</f>
        <v>9.4517007316657</v>
      </c>
      <c r="H9225" s="38" t="n">
        <f aca="false">Sens!$V$9225</f>
        <v>27.2822988413376</v>
      </c>
      <c r="I9225" s="38" t="n">
        <f aca="false">Sens!$W$9225</f>
        <v>56.5439995605568</v>
      </c>
      <c r="J9225" s="38" t="n">
        <f aca="false">Sens!$X$9225</f>
        <v>82.9773143789735</v>
      </c>
      <c r="K9225" s="38" t="n">
        <f aca="false">Sens!$Y$9225</f>
        <v>110.100211099025</v>
      </c>
      <c r="L9225" s="38" t="n">
        <f aca="false">Sens!$Z$9225</f>
        <v>129.527766922384</v>
      </c>
      <c r="M9225" s="38" t="n">
        <f aca="false">Sens!$AA$9225</f>
        <v>141.171581417386</v>
      </c>
      <c r="N9225" s="38" t="n">
        <f aca="false">Sens!$D$9225/2</f>
        <v>0.779361749182762</v>
      </c>
      <c r="O9225" s="38" t="n">
        <f aca="false">Sens!$D$9225/2</f>
        <v>0.779361749182762</v>
      </c>
      <c r="R9225" s="38" t="n">
        <f aca="false">(SUMPRODUCT(--(Sens!$R$9185:$AA$9185&lt;Sens!R$9185),--(Sens!$R$9185:$AA$9185&gt;=Sens!R$9185-tk_life),Sens!$R$9222:$AA$9222)+SUMPRODUCT(--(Sens!$R$9185:$AA$9185&lt;Sens!R$9185),--(Sens!$R$9185:$AA$9185&gt;=Sens!R$9185-tk_life),Sens!$R$9220:$AA$9220))/tk_life</f>
        <v>0</v>
      </c>
      <c r="S9225" s="38" t="n">
        <f aca="false">(SUMPRODUCT(--(Sens!$R$9185:$AA$9185&lt;Sens!S$9185),--(Sens!$R$9185:$AA$9185&gt;=Sens!S$9185-tk_life),Sens!$R$9222:$AA$9222)+SUMPRODUCT(--(Sens!$R$9185:$AA$9185&lt;Sens!S$9185),--(Sens!$R$9185:$AA$9185&gt;=Sens!S$9185-tk_life),Sens!$R$9220:$AA$9220))/tk_life</f>
        <v>0.183212798365523</v>
      </c>
      <c r="T9225" s="38" t="n">
        <f aca="false">(SUMPRODUCT(--(Sens!$R$9185:$AA$9185&lt;Sens!T$9185),--(Sens!$R$9185:$AA$9185&gt;=Sens!T$9185-tk_life),Sens!$R$9222:$AA$9222)+SUMPRODUCT(--(Sens!$R$9185:$AA$9185&lt;Sens!T$9185),--(Sens!$R$9185:$AA$9185&gt;=Sens!T$9185-tk_life),Sens!$R$9220:$AA$9220))/tk_life</f>
        <v>1.55872349836552</v>
      </c>
      <c r="U9225" s="38" t="n">
        <f aca="false">(SUMPRODUCT(--(Sens!$R$9185:$AA$9185&lt;Sens!U$9185),--(Sens!$R$9185:$AA$9185&gt;=Sens!U$9185-tk_life),Sens!$R$9222:$AA$9222)+SUMPRODUCT(--(Sens!$R$9185:$AA$9185&lt;Sens!U$9185),--(Sens!$R$9185:$AA$9185&gt;=Sens!U$9185-tk_life),Sens!$R$9220:$AA$9220))/tk_life</f>
        <v>9.4517007316657</v>
      </c>
      <c r="V9225" s="38" t="n">
        <f aca="false">(SUMPRODUCT(--(Sens!$R$9185:$AA$9185&lt;Sens!V$9185),--(Sens!$R$9185:$AA$9185&gt;=Sens!V$9185-tk_life),Sens!$R$9222:$AA$9222)+SUMPRODUCT(--(Sens!$R$9185:$AA$9185&lt;Sens!V$9185),--(Sens!$R$9185:$AA$9185&gt;=Sens!V$9185-tk_life),Sens!$R$9220:$AA$9220))/tk_life</f>
        <v>27.2822988413376</v>
      </c>
      <c r="W9225" s="38" t="n">
        <f aca="false">(SUMPRODUCT(--(Sens!$R$9185:$AA$9185&lt;Sens!W$9185),--(Sens!$R$9185:$AA$9185&gt;=Sens!W$9185-tk_life),Sens!$R$9222:$AA$9222)+SUMPRODUCT(--(Sens!$R$9185:$AA$9185&lt;Sens!W$9185),--(Sens!$R$9185:$AA$9185&gt;=Sens!W$9185-tk_life),Sens!$R$9220:$AA$9220))/tk_life</f>
        <v>56.5439995605568</v>
      </c>
      <c r="X9225" s="38" t="n">
        <f aca="false">(SUMPRODUCT(--(Sens!$R$9185:$AA$9185&lt;Sens!X$9185),--(Sens!$R$9185:$AA$9185&gt;=Sens!X$9185-tk_life),Sens!$R$9222:$AA$9222)+SUMPRODUCT(--(Sens!$R$9185:$AA$9185&lt;Sens!X$9185),--(Sens!$R$9185:$AA$9185&gt;=Sens!X$9185-tk_life),Sens!$R$9220:$AA$9220))/tk_life</f>
        <v>82.9773143789735</v>
      </c>
      <c r="Y9225" s="38" t="n">
        <f aca="false">(SUMPRODUCT(--(Sens!$R$9185:$AA$9185&lt;Sens!Y$9185),--(Sens!$R$9185:$AA$9185&gt;=Sens!Y$9185-tk_life),Sens!$R$9222:$AA$9222)+SUMPRODUCT(--(Sens!$R$9185:$AA$9185&lt;Sens!Y$9185),--(Sens!$R$9185:$AA$9185&gt;=Sens!Y$9185-tk_life),Sens!$R$9220:$AA$9220))/tk_life</f>
        <v>110.100211099025</v>
      </c>
      <c r="Z9225" s="38" t="n">
        <f aca="false">(SUMPRODUCT(--(Sens!$R$9185:$AA$9185&lt;Sens!Z$9185),--(Sens!$R$9185:$AA$9185&gt;=Sens!Z$9185-tk_life),Sens!$R$9222:$AA$9222)+SUMPRODUCT(--(Sens!$R$9185:$AA$9185&lt;Sens!Z$9185),--(Sens!$R$9185:$AA$9185&gt;=Sens!Z$9185-tk_life),Sens!$R$9220:$AA$9220))/tk_life</f>
        <v>129.527766922384</v>
      </c>
      <c r="AA9225" s="38" t="n">
        <f aca="false">(SUMPRODUCT(--(Sens!$R$9185:$AA$9185&lt;Sens!AA$9185),--(Sens!$R$9185:$AA$9185&gt;=Sens!AA$9185-tk_life),Sens!$R$9222:$AA$9222)+SUMPRODUCT(--(Sens!$R$9185:$AA$9185&lt;Sens!AA$9185),--(Sens!$R$9185:$AA$9185&gt;=Sens!AA$9185-tk_life),Sens!$R$9220:$AA$9220))/tk_life</f>
        <v>141.171581417386</v>
      </c>
    </row>
    <row r="9226" customFormat="false" ht="17.15" hidden="false" customHeight="false" outlineLevel="0" collapsed="false">
      <c r="A9226" s="0" t="s">
        <v>649</v>
      </c>
      <c r="B9226" s="0" t="s">
        <v>86</v>
      </c>
      <c r="C9226" s="38" t="n">
        <f aca="false">Sens!$S$9226</f>
        <v>0.0202511502553155</v>
      </c>
      <c r="D9226" s="38" t="n">
        <f aca="false">Sens!$T$9226</f>
        <v>0.172291150255315</v>
      </c>
      <c r="E9226" s="38" t="n">
        <f aca="false">Sens!$G$9226/2</f>
        <v>0.522364740326067</v>
      </c>
      <c r="F9226" s="38" t="n">
        <f aca="false">Sens!$G$9226/2</f>
        <v>0.522364740326067</v>
      </c>
      <c r="G9226" s="38" t="n">
        <f aca="false">Sens!$U$9226</f>
        <v>1.04472948065213</v>
      </c>
      <c r="H9226" s="38" t="n">
        <f aca="false">Sens!$V$9226</f>
        <v>2.76361866736136</v>
      </c>
      <c r="I9226" s="38" t="n">
        <f aca="false">Sens!$W$9226</f>
        <v>5.42824377125863</v>
      </c>
      <c r="J9226" s="38" t="n">
        <f aca="false">Sens!$X$9226</f>
        <v>7.73057282125864</v>
      </c>
      <c r="K9226" s="38" t="n">
        <f aca="false">Sens!$Y$9226</f>
        <v>10.0329018712586</v>
      </c>
      <c r="L9226" s="38" t="n">
        <f aca="false">Sens!$Z$9226</f>
        <v>11.692798993592</v>
      </c>
      <c r="M9226" s="38" t="n">
        <f aca="false">Sens!$AA$9226</f>
        <v>12.7102641882586</v>
      </c>
      <c r="N9226" s="38" t="n">
        <f aca="false">Sens!$D$9226/2</f>
        <v>0.0861455751276577</v>
      </c>
      <c r="O9226" s="38" t="n">
        <f aca="false">Sens!$D$9226/2</f>
        <v>0.0861455751276577</v>
      </c>
      <c r="R9226" s="38" t="n">
        <f aca="false">(SUMPRODUCT(--(Sens!$R$9185:$AA$9185&lt;Sens!R$9185),Sens!$R$9223:$AA$9223)+SUMPRODUCT(--(Sens!$R$9185:$AA$9185&lt;Sens!R$9185),Sens!$R$9221:$AA$9221))/fac_life</f>
        <v>0</v>
      </c>
      <c r="S9226" s="38" t="n">
        <f aca="false">(SUMPRODUCT(--(Sens!$R$9185:$AA$9185&lt;Sens!S$9185),Sens!$R$9223:$AA$9223)+SUMPRODUCT(--(Sens!$R$9185:$AA$9185&lt;Sens!S$9185),Sens!$R$9221:$AA$9221))/fac_life</f>
        <v>0.0202511502553155</v>
      </c>
      <c r="T9226" s="38" t="n">
        <f aca="false">(SUMPRODUCT(--(Sens!$R$9185:$AA$9185&lt;Sens!T$9185),Sens!$R$9223:$AA$9223)+SUMPRODUCT(--(Sens!$R$9185:$AA$9185&lt;Sens!T$9185),Sens!$R$9221:$AA$9221))/fac_life</f>
        <v>0.172291150255315</v>
      </c>
      <c r="U9226" s="38" t="n">
        <f aca="false">(SUMPRODUCT(--(Sens!$R$9185:$AA$9185&lt;Sens!U$9185),Sens!$R$9223:$AA$9223)+SUMPRODUCT(--(Sens!$R$9185:$AA$9185&lt;Sens!U$9185),Sens!$R$9221:$AA$9221))/fac_life</f>
        <v>1.04472948065213</v>
      </c>
      <c r="V9226" s="38" t="n">
        <f aca="false">(SUMPRODUCT(--(Sens!$R$9185:$AA$9185&lt;Sens!V$9185),Sens!$R$9223:$AA$9223)+SUMPRODUCT(--(Sens!$R$9185:$AA$9185&lt;Sens!V$9185),Sens!$R$9221:$AA$9221))/fac_life</f>
        <v>2.76361866736136</v>
      </c>
      <c r="W9226" s="38" t="n">
        <f aca="false">(SUMPRODUCT(--(Sens!$R$9185:$AA$9185&lt;Sens!W$9185),Sens!$R$9223:$AA$9223)+SUMPRODUCT(--(Sens!$R$9185:$AA$9185&lt;Sens!W$9185),Sens!$R$9221:$AA$9221))/fac_life</f>
        <v>5.42824377125863</v>
      </c>
      <c r="X9226" s="38" t="n">
        <f aca="false">(SUMPRODUCT(--(Sens!$R$9185:$AA$9185&lt;Sens!X$9185),Sens!$R$9223:$AA$9223)+SUMPRODUCT(--(Sens!$R$9185:$AA$9185&lt;Sens!X$9185),Sens!$R$9221:$AA$9221))/fac_life</f>
        <v>7.73057282125864</v>
      </c>
      <c r="Y9226" s="38" t="n">
        <f aca="false">(SUMPRODUCT(--(Sens!$R$9185:$AA$9185&lt;Sens!Y$9185),Sens!$R$9223:$AA$9223)+SUMPRODUCT(--(Sens!$R$9185:$AA$9185&lt;Sens!Y$9185),Sens!$R$9221:$AA$9221))/fac_life</f>
        <v>10.0329018712586</v>
      </c>
      <c r="Z9226" s="38" t="n">
        <f aca="false">(SUMPRODUCT(--(Sens!$R$9185:$AA$9185&lt;Sens!Z$9185),Sens!$R$9223:$AA$9223)+SUMPRODUCT(--(Sens!$R$9185:$AA$9185&lt;Sens!Z$9185),Sens!$R$9221:$AA$9221))/fac_life</f>
        <v>11.692798993592</v>
      </c>
      <c r="AA9226" s="38" t="n">
        <f aca="false">(SUMPRODUCT(--(Sens!$R$9185:$AA$9185&lt;Sens!AA$9185),Sens!$R$9223:$AA$9223)+SUMPRODUCT(--(Sens!$R$9185:$AA$9185&lt;Sens!AA$9185),Sens!$R$9221:$AA$9221))/fac_life</f>
        <v>12.7102641882586</v>
      </c>
    </row>
    <row r="9227" customFormat="false" ht="17.15" hidden="false" customHeight="false" outlineLevel="0" collapsed="false">
      <c r="A9227" s="1" t="s">
        <v>650</v>
      </c>
      <c r="B9227" s="8" t="s">
        <v>86</v>
      </c>
      <c r="C9227" s="38" t="n">
        <f aca="false">Sens!$C$9225+Sens!$C$9226</f>
        <v>0.203463948620839</v>
      </c>
      <c r="D9227" s="38" t="n">
        <f aca="false">Sens!$D$9225+Sens!$D$9226</f>
        <v>1.73101464862084</v>
      </c>
      <c r="E9227" s="38" t="n">
        <f aca="false">Sens!$E$9225+Sens!$E$9226</f>
        <v>5.24821510615892</v>
      </c>
      <c r="F9227" s="38" t="n">
        <f aca="false">Sens!$F$9225+Sens!$F$9226</f>
        <v>5.24821510615892</v>
      </c>
      <c r="G9227" s="38" t="n">
        <f aca="false">Sens!$G$9225+Sens!$G$9226</f>
        <v>10.4964302123178</v>
      </c>
      <c r="H9227" s="38" t="n">
        <f aca="false">Sens!$H$9225+Sens!$H$9226</f>
        <v>30.045917508699</v>
      </c>
      <c r="I9227" s="38" t="n">
        <f aca="false">Sens!$I$9225+Sens!$I$9226</f>
        <v>61.9722433318155</v>
      </c>
      <c r="J9227" s="38" t="n">
        <f aca="false">Sens!$J$9225+Sens!$J$9226</f>
        <v>90.7078872002321</v>
      </c>
      <c r="K9227" s="38" t="n">
        <f aca="false">Sens!$K$9225+Sens!$K$9226</f>
        <v>120.133112970283</v>
      </c>
      <c r="L9227" s="38" t="n">
        <f aca="false">Sens!$L$9225+Sens!$L$9226</f>
        <v>141.220565915976</v>
      </c>
      <c r="M9227" s="38" t="n">
        <f aca="false">Sens!$M$9225+Sens!$M$9226</f>
        <v>153.881845605645</v>
      </c>
      <c r="N9227" s="38" t="n">
        <f aca="false">Sens!$N$9225+Sens!$N$9226</f>
        <v>0.865507324310419</v>
      </c>
      <c r="O9227" s="38" t="n">
        <f aca="false">Sens!$O$9225+Sens!$O$9226</f>
        <v>0.865507324310419</v>
      </c>
      <c r="R9227" s="38" t="n">
        <f aca="false">Sens!$R$9225+Sens!$R$9226</f>
        <v>0</v>
      </c>
      <c r="S9227" s="38" t="n">
        <f aca="false">Sens!$S$9225+Sens!$S$9226</f>
        <v>0.203463948620839</v>
      </c>
      <c r="T9227" s="38" t="n">
        <f aca="false">Sens!$T$9225+Sens!$T$9226</f>
        <v>1.73101464862084</v>
      </c>
      <c r="U9227" s="38" t="n">
        <f aca="false">Sens!$U$9225+Sens!$U$9226</f>
        <v>10.4964302123178</v>
      </c>
      <c r="V9227" s="38" t="n">
        <f aca="false">Sens!$V$9225+Sens!$V$9226</f>
        <v>30.045917508699</v>
      </c>
      <c r="W9227" s="38" t="n">
        <f aca="false">Sens!$W$9225+Sens!$W$9226</f>
        <v>61.9722433318155</v>
      </c>
      <c r="X9227" s="38" t="n">
        <f aca="false">Sens!$X$9225+Sens!$X$9226</f>
        <v>90.7078872002321</v>
      </c>
      <c r="Y9227" s="38" t="n">
        <f aca="false">Sens!$Y$9225+Sens!$Y$9226</f>
        <v>120.133112970283</v>
      </c>
      <c r="Z9227" s="38" t="n">
        <f aca="false">Sens!$Z$9225+Sens!$Z$9226</f>
        <v>141.220565915976</v>
      </c>
      <c r="AA9227" s="38" t="n">
        <f aca="false">Sens!$AA$9225+Sens!$AA$9226</f>
        <v>153.881845605645</v>
      </c>
    </row>
    <row r="9228" customFormat="false" ht="17.15" hidden="false" customHeight="false" outlineLevel="0" collapsed="false">
      <c r="A9228" s="0" t="s">
        <v>651</v>
      </c>
      <c r="B9228" s="0" t="s">
        <v>86</v>
      </c>
      <c r="C9228" s="38" t="n">
        <f aca="false">Sens!$S$9228</f>
        <v>26.578941154416</v>
      </c>
      <c r="D9228" s="38" t="n">
        <f aca="false">Sens!$T$9228</f>
        <v>94.4165581367978</v>
      </c>
      <c r="G9228" s="38" t="n">
        <f aca="false">Sens!$U$9228</f>
        <v>236.826599034204</v>
      </c>
      <c r="H9228" s="38" t="n">
        <f aca="false">Sens!$V$9228</f>
        <v>405.352046470255</v>
      </c>
      <c r="I9228" s="38" t="n">
        <f aca="false">Sens!$W$9228</f>
        <v>548.02627304894</v>
      </c>
      <c r="J9228" s="38" t="n">
        <f aca="false">Sens!$X$9228</f>
        <v>667.201623959208</v>
      </c>
      <c r="K9228" s="38" t="n">
        <f aca="false">Sens!$Y$9228</f>
        <v>705.084852575748</v>
      </c>
      <c r="L9228" s="38" t="n">
        <f aca="false">Sens!$Z$9228</f>
        <v>701.434340922918</v>
      </c>
      <c r="M9228" s="38" t="n">
        <f aca="false">Sens!$AA$9228</f>
        <v>688.117345911993</v>
      </c>
      <c r="R9228" s="38" t="n">
        <f aca="false">SUM(Sens!$R$9215:$R$9215)-SUM(Sens!$R$9227:$R$9227)</f>
        <v>1.50429979529945</v>
      </c>
      <c r="S9228" s="38" t="n">
        <f aca="false">SUM(Sens!$R$9215:$S$9215)-SUM(Sens!$R$9227:$S$9227)</f>
        <v>26.578941154416</v>
      </c>
      <c r="T9228" s="38" t="n">
        <f aca="false">SUM(Sens!$R$9215:$T$9215)-SUM(Sens!$R$9227:$T$9227)</f>
        <v>94.4165581367978</v>
      </c>
      <c r="U9228" s="38" t="n">
        <f aca="false">SUM(Sens!$R$9215:$U$9215)-SUM(Sens!$R$9227:$U$9227)</f>
        <v>236.826599034204</v>
      </c>
      <c r="V9228" s="38" t="n">
        <f aca="false">SUM(Sens!$R$9215:$V$9215)-SUM(Sens!$R$9227:$V$9227)</f>
        <v>405.352046470255</v>
      </c>
      <c r="W9228" s="38" t="n">
        <f aca="false">SUM(Sens!$R$9215:$W$9215)-SUM(Sens!$R$9227:$W$9227)</f>
        <v>548.02627304894</v>
      </c>
      <c r="X9228" s="38" t="n">
        <f aca="false">SUM(Sens!$R$9215:$X$9215)-SUM(Sens!$R$9227:$X$9227)</f>
        <v>667.201623959208</v>
      </c>
      <c r="Y9228" s="38" t="n">
        <f aca="false">SUM(Sens!$R$9215:$Y$9215)-SUM(Sens!$R$9227:$Y$9227)</f>
        <v>705.084852575748</v>
      </c>
      <c r="Z9228" s="38" t="n">
        <f aca="false">SUM(Sens!$R$9215:$Z$9215)-SUM(Sens!$R$9227:$Z$9227)</f>
        <v>701.434340922918</v>
      </c>
      <c r="AA9228" s="38" t="n">
        <f aca="false">SUM(Sens!$R$9215:$AA$9215)-SUM(Sens!$R$9227:$AA$9227)</f>
        <v>688.117345911993</v>
      </c>
    </row>
    <row r="9229" customFormat="false" ht="17.15" hidden="false" customHeight="false" outlineLevel="0" collapsed="false">
      <c r="A9229" s="1" t="s">
        <v>652</v>
      </c>
    </row>
    <row r="9230" customFormat="false" ht="17.15" hidden="false" customHeight="false" outlineLevel="0" collapsed="false">
      <c r="A9230" s="0" t="s">
        <v>653</v>
      </c>
      <c r="B9230" s="0" t="s">
        <v>86</v>
      </c>
      <c r="C9230" s="38" t="n">
        <f aca="false">Sens!$C$9206-ext_sh*Sens!$C$9208</f>
        <v>1.80694998843362</v>
      </c>
      <c r="D9230" s="38" t="n">
        <f aca="false">Sens!$D$9206-ext_sh*Sens!$D$9208</f>
        <v>6.77606245662607</v>
      </c>
      <c r="E9230" s="38" t="n">
        <f aca="false">Sens!$E$9206-ext_sh*Sens!$E$9208</f>
        <v>6.62548329092326</v>
      </c>
      <c r="F9230" s="38" t="n">
        <f aca="false">Sens!$F$9206-ext_sh*Sens!$F$9208</f>
        <v>11.7200577158706</v>
      </c>
      <c r="G9230" s="38" t="n">
        <f aca="false">Sens!$G$9206-ext_sh*Sens!$G$9208</f>
        <v>18.3455410067939</v>
      </c>
      <c r="H9230" s="38" t="n">
        <f aca="false">Sens!$H$9206-ext_sh*Sens!$H$9208</f>
        <v>47.5171727060453</v>
      </c>
      <c r="I9230" s="38" t="n">
        <f aca="false">Sens!$I$9206-ext_sh*Sens!$I$9208</f>
        <v>80.5539692643667</v>
      </c>
      <c r="J9230" s="38" t="n">
        <f aca="false">Sens!$J$9206-ext_sh*Sens!$J$9208</f>
        <v>113.759316834883</v>
      </c>
      <c r="K9230" s="38" t="n">
        <f aca="false">Sens!$K$9206-ext_sh*Sens!$K$9208</f>
        <v>142.313600225088</v>
      </c>
      <c r="L9230" s="38" t="n">
        <f aca="false">Sens!$L$9206-ext_sh*Sens!$L$9208</f>
        <v>161.610137806934</v>
      </c>
      <c r="M9230" s="38" t="n">
        <f aca="false">Sens!$M$9206-ext_sh*Sens!$M$9208</f>
        <v>171.622526917459</v>
      </c>
      <c r="N9230" s="38" t="n">
        <f aca="false">Sens!$N$9206-ext_sh*Sens!$N$9208</f>
        <v>2.37162185981912</v>
      </c>
      <c r="O9230" s="38" t="n">
        <f aca="false">Sens!$O$9206-ext_sh*Sens!$O$9208</f>
        <v>4.40444059680694</v>
      </c>
    </row>
    <row r="9231" customFormat="false" ht="17.15" hidden="false" customHeight="false" outlineLevel="0" collapsed="false">
      <c r="A9231" s="1" t="s">
        <v>654</v>
      </c>
      <c r="B9231" s="8" t="s">
        <v>86</v>
      </c>
      <c r="C9231" s="38" t="n">
        <f aca="false">Sens!$C$9230-ext_sh*Sens!$C$9227</f>
        <v>1.64417882953695</v>
      </c>
      <c r="D9231" s="38" t="n">
        <f aca="false">Sens!$D$9230-ext_sh*Sens!$D$9227</f>
        <v>5.39125073772939</v>
      </c>
      <c r="E9231" s="38" t="n">
        <f aca="false">Sens!$E$9230-ext_sh*Sens!$E$9227</f>
        <v>2.42691120599613</v>
      </c>
      <c r="F9231" s="38" t="n">
        <f aca="false">Sens!$F$9230-ext_sh*Sens!$F$9227</f>
        <v>7.52148563094346</v>
      </c>
      <c r="G9231" s="38" t="n">
        <f aca="false">Sens!$G$9230-ext_sh*Sens!$G$9227</f>
        <v>9.94839683693959</v>
      </c>
      <c r="H9231" s="38" t="n">
        <f aca="false">Sens!$H$9230-ext_sh*Sens!$H$9227</f>
        <v>23.4804386990861</v>
      </c>
      <c r="I9231" s="38" t="n">
        <f aca="false">Sens!$I$9230-ext_sh*Sens!$I$9227</f>
        <v>30.9761745989143</v>
      </c>
      <c r="J9231" s="38" t="n">
        <f aca="false">Sens!$J$9230-ext_sh*Sens!$J$9227</f>
        <v>41.1930070746977</v>
      </c>
      <c r="K9231" s="38" t="n">
        <f aca="false">Sens!$K$9230-ext_sh*Sens!$K$9227</f>
        <v>46.207109848861</v>
      </c>
      <c r="L9231" s="38" t="n">
        <f aca="false">Sens!$L$9230-ext_sh*Sens!$L$9227</f>
        <v>48.6336850741534</v>
      </c>
      <c r="M9231" s="38" t="n">
        <f aca="false">Sens!$M$9230-ext_sh*Sens!$M$9227</f>
        <v>48.5170504329428</v>
      </c>
      <c r="N9231" s="38" t="n">
        <f aca="false">Sens!$N$9230-ext_sh*Sens!$N$9227</f>
        <v>1.67921600037079</v>
      </c>
      <c r="O9231" s="38" t="n">
        <f aca="false">Sens!$O$9230-ext_sh*Sens!$O$9227</f>
        <v>3.71203473735861</v>
      </c>
    </row>
    <row r="9232" customFormat="false" ht="17.15" hidden="false" customHeight="false" outlineLevel="0" collapsed="false">
      <c r="A9232" s="0" t="s">
        <v>655</v>
      </c>
      <c r="B9232" s="0" t="s">
        <v>52</v>
      </c>
      <c r="C9232" s="13" t="n">
        <f aca="false">Sens!$C$9231/Sens!$C$9206</f>
        <v>0.708390794789371</v>
      </c>
      <c r="D9232" s="13" t="n">
        <f aca="false">Sens!$D$9231/Sens!$D$9206</f>
        <v>0.619415573115729</v>
      </c>
      <c r="E9232" s="13" t="n">
        <f aca="false">Sens!$E$9231/Sens!$E$9206</f>
        <v>0.285171627189009</v>
      </c>
      <c r="F9232" s="13" t="n">
        <f aca="false">Sens!$F$9231/Sens!$F$9206</f>
        <v>0.502657732812366</v>
      </c>
      <c r="G9232" s="13" t="n">
        <f aca="false">Sens!$G$9231/Sens!$G$9206</f>
        <v>0.423808778611812</v>
      </c>
      <c r="H9232" s="13" t="n">
        <f aca="false">Sens!$H$9231/Sens!$H$9206</f>
        <v>0.390261631739809</v>
      </c>
      <c r="I9232" s="13" t="n">
        <f aca="false">Sens!$I$9231/Sens!$I$9206</f>
        <v>0.305172864264572</v>
      </c>
      <c r="J9232" s="13" t="n">
        <f aca="false">Sens!$J$9231/Sens!$J$9206</f>
        <v>0.288011814789856</v>
      </c>
      <c r="K9232" s="13" t="n">
        <f aca="false">Sens!$K$9231/Sens!$K$9206</f>
        <v>0.258524307562373</v>
      </c>
      <c r="L9232" s="13" t="n">
        <f aca="false">Sens!$L$9231/Sens!$L$9206</f>
        <v>0.23973400446073</v>
      </c>
      <c r="M9232" s="13" t="n">
        <f aca="false">Sens!$M$9231/Sens!$M$9206</f>
        <v>0.225252234257832</v>
      </c>
      <c r="N9232" s="13" t="n">
        <f aca="false">Sens!$N$9231/Sens!$N$9206</f>
        <v>0.551227795793364</v>
      </c>
      <c r="O9232" s="13" t="n">
        <f aca="false">Sens!$O$9231/Sens!$O$9206</f>
        <v>0.656132068597002</v>
      </c>
    </row>
    <row r="9233" customFormat="false" ht="17.15" hidden="false" customHeight="false" outlineLevel="0" collapsed="false">
      <c r="A9233" s="5" t="s">
        <v>656</v>
      </c>
      <c r="B9233" s="0" t="s">
        <v>86</v>
      </c>
      <c r="C9233" s="39" t="n">
        <v>0</v>
      </c>
      <c r="D9233" s="39" t="n">
        <v>0</v>
      </c>
      <c r="E9233" s="39" t="n">
        <v>0</v>
      </c>
      <c r="F9233" s="38" t="n">
        <f aca="false">IF(internal_ai_reading=2,1,0)*(1-ext_sh)/ext_sh*(mw_open*he_open+Sens!$F$9204*Sens!$F$9201)*Sens!$F$9190/1000</f>
        <v>3.77122048175818</v>
      </c>
      <c r="G9233" s="38" t="n">
        <f aca="false">Sens!$E$9233+Sens!$F$9233</f>
        <v>3.77122048175818</v>
      </c>
      <c r="H9233" s="38" t="n">
        <f aca="false">IF(internal_ai_reading=2,1,0)*(1-ext_sh)/ext_sh*(mw_open*he_open+Sens!$H$9204*Sens!$H$9201)*Sens!$H$9190/1000</f>
        <v>15.1635543609893</v>
      </c>
      <c r="I9233" s="38" t="n">
        <f aca="false">IF(internal_ai_reading=2,1,0)*(1-ext_sh)/ext_sh*(mw_open*he_open+Sens!$I$9204*Sens!$I$9201)*Sens!$I$9190/1000</f>
        <v>25.5818843619889</v>
      </c>
      <c r="J9233" s="38" t="n">
        <f aca="false">IF(internal_ai_reading=2,1,0)*(1-ext_sh)/ext_sh*(mw_open*he_open+Sens!$J$9204*Sens!$J$9201)*Sens!$J$9190/1000</f>
        <v>36.0465624179122</v>
      </c>
      <c r="K9233" s="38" t="n">
        <f aca="false">IF(internal_ai_reading=2,1,0)*(1-ext_sh)/ext_sh*(mw_open*he_open+Sens!$K$9204*Sens!$K$9201)*Sens!$K$9190/1000</f>
        <v>45.0461919819152</v>
      </c>
      <c r="L9233" s="38" t="n">
        <f aca="false">IF(internal_ai_reading=2,1,0)*(1-ext_sh)/ext_sh*(mw_open*he_open+Sens!$L$9204*Sens!$L$9201)*Sens!$L$9190/1000</f>
        <v>51.1279288493339</v>
      </c>
      <c r="M9233" s="38" t="n">
        <f aca="false">IF(internal_ai_reading=2,1,0)*(1-ext_sh)/ext_sh*(mw_open*he_open+Sens!$M$9204*Sens!$M$9201)*Sens!$M$9190/1000</f>
        <v>54.2845128319481</v>
      </c>
      <c r="N9233" s="39" t="n">
        <v>0</v>
      </c>
      <c r="O9233" s="39" t="n">
        <v>0</v>
      </c>
      <c r="P9233" s="8" t="s">
        <v>657</v>
      </c>
    </row>
    <row r="9234" customFormat="false" ht="17.15" hidden="false" customHeight="false" outlineLevel="0" collapsed="false">
      <c r="A9234" s="5" t="s">
        <v>658</v>
      </c>
      <c r="B9234" s="0" t="s">
        <v>86</v>
      </c>
      <c r="C9234" s="38" t="n">
        <f aca="false">(1-ext_sh)*(Sens!$C$9208+Sens!$C$9227)</f>
        <v>0.169206631859174</v>
      </c>
      <c r="D9234" s="38" t="n">
        <f aca="false">(1-ext_sh)*(Sens!$D$9208+Sens!$D$9227)</f>
        <v>0.828129837730442</v>
      </c>
      <c r="E9234" s="38" t="n">
        <f aca="false">(1-ext_sh)*(Sens!$E$9208+Sens!$E$9227)</f>
        <v>1.52086044239347</v>
      </c>
      <c r="F9234" s="38" t="n">
        <f aca="false">(1-ext_sh)*(Sens!$F$9208+Sens!$F$9227)</f>
        <v>1.86048700344425</v>
      </c>
      <c r="G9234" s="38" t="n">
        <f aca="false">(1-ext_sh)*(Sens!$G$9208+Sens!$G$9227)</f>
        <v>3.38134744583772</v>
      </c>
      <c r="H9234" s="38" t="n">
        <f aca="false">(1-ext_sh)*(Sens!$H$9208+Sens!$H$9227)</f>
        <v>9.17136301267211</v>
      </c>
      <c r="I9234" s="38" t="n">
        <f aca="false">(1-ext_sh)*(Sens!$I$9208+Sens!$I$9227)</f>
        <v>17.6318811343794</v>
      </c>
      <c r="J9234" s="38" t="n">
        <f aca="false">(1-ext_sh)*(Sens!$J$9208+Sens!$J$9227)</f>
        <v>25.4581000191451</v>
      </c>
      <c r="K9234" s="38" t="n">
        <f aca="false">(1-ext_sh)*(Sens!$K$9208+Sens!$K$9227)</f>
        <v>33.1317479328898</v>
      </c>
      <c r="L9234" s="38" t="n">
        <f aca="false">(1-ext_sh)*(Sens!$L$9208+Sens!$L$9227)</f>
        <v>38.557876971622</v>
      </c>
      <c r="M9234" s="38" t="n">
        <f aca="false">(1-ext_sh)*(Sens!$M$9208+Sens!$M$9227)</f>
        <v>41.718205978256</v>
      </c>
      <c r="N9234" s="38" t="n">
        <f aca="false">(1-ext_sh)*(Sens!$N$9208+Sens!$N$9227)</f>
        <v>0.34177588266428</v>
      </c>
      <c r="O9234" s="38" t="n">
        <f aca="false">(1-ext_sh)*(Sens!$O$9208+Sens!$O$9227)</f>
        <v>0.486353955066162</v>
      </c>
    </row>
    <row r="9235" customFormat="false" ht="17.15" hidden="false" customHeight="false" outlineLevel="0" collapsed="false">
      <c r="A9235" s="0" t="s">
        <v>659</v>
      </c>
      <c r="B9235" s="0" t="s">
        <v>86</v>
      </c>
      <c r="C9235" s="38" t="n">
        <f aca="false">Q!$D$24</f>
        <v>39.834</v>
      </c>
      <c r="D9235" s="38" t="n">
        <f aca="false">Q!$E$24</f>
        <v>45.606</v>
      </c>
      <c r="E9235" s="38" t="n">
        <f aca="false">Q!$P$24</f>
        <v>30.782</v>
      </c>
      <c r="N9235" s="38" t="n">
        <f aca="false">Q!$N$24</f>
        <v>21.707</v>
      </c>
      <c r="O9235" s="38" t="n">
        <f aca="false">Q!$O$24</f>
        <v>23.899</v>
      </c>
    </row>
    <row r="9236" customFormat="false" ht="17.15" hidden="false" customHeight="false" outlineLevel="0" collapsed="false">
      <c r="A9236" s="0" t="s">
        <v>660</v>
      </c>
      <c r="B9236" s="0" t="s">
        <v>86</v>
      </c>
      <c r="C9236" s="38" t="n">
        <f aca="false">Sens!$C$9235-Sens!$C$9231</f>
        <v>38.1898211704631</v>
      </c>
      <c r="D9236" s="38" t="n">
        <f aca="false">Sens!$D$9235-Sens!$D$9231</f>
        <v>40.2147492622706</v>
      </c>
      <c r="E9236" s="38" t="n">
        <f aca="false">Sens!$E$9235-Sens!$E$9231</f>
        <v>28.3550887940039</v>
      </c>
      <c r="F9236" s="38" t="n">
        <f aca="false">Sens!$F$9210*Sens!$F$9237</f>
        <v>25.9529793149447</v>
      </c>
      <c r="G9236" s="38" t="n">
        <f aca="false">Sens!$E$9236+Sens!$F$9236</f>
        <v>54.3080681089486</v>
      </c>
      <c r="H9236" s="38" t="n">
        <f aca="false">Sens!$H$9210*Sens!$H$9237</f>
        <v>58.2264684589333</v>
      </c>
      <c r="I9236" s="38" t="n">
        <f aca="false">Sens!$I$9210*Sens!$I$9237</f>
        <v>64.6461353851744</v>
      </c>
      <c r="J9236" s="38" t="n">
        <f aca="false">Sens!$J$9210*Sens!$J$9237</f>
        <v>70.7957093610231</v>
      </c>
      <c r="K9236" s="38" t="n">
        <f aca="false">Sens!$K$9210*Sens!$K$9237</f>
        <v>76.4593661099049</v>
      </c>
      <c r="L9236" s="38" t="n">
        <f aca="false">Sens!$L$9210*Sens!$L$9237</f>
        <v>82.5761153986973</v>
      </c>
      <c r="M9236" s="38" t="n">
        <f aca="false">Sens!$M$9210*Sens!$M$9237</f>
        <v>89.1822046305931</v>
      </c>
      <c r="N9236" s="38" t="n">
        <f aca="false">Sens!$N$9235-Sens!$N$9231</f>
        <v>20.0277839996292</v>
      </c>
      <c r="O9236" s="38" t="n">
        <f aca="false">Sens!$O$9235-Sens!$O$9231</f>
        <v>20.1869652626414</v>
      </c>
      <c r="P9236" s="5" t="s">
        <v>661</v>
      </c>
    </row>
    <row r="9237" customFormat="false" ht="17.15" hidden="false" customHeight="false" outlineLevel="0" collapsed="false">
      <c r="A9237" s="0" t="s">
        <v>662</v>
      </c>
      <c r="B9237" s="0" t="s">
        <v>52</v>
      </c>
      <c r="C9237" s="13" t="n">
        <f aca="false">Sens!$C$9236/Sens!$C$9210</f>
        <v>0.362900395443635</v>
      </c>
      <c r="D9237" s="13" t="n">
        <f aca="false">Sens!$D$9236/Sens!$D$9210</f>
        <v>0.335063632425483</v>
      </c>
      <c r="E9237" s="13" t="n">
        <f aca="false">Sens!$E$9236/Sens!$E$9210</f>
        <v>0.397638855555478</v>
      </c>
      <c r="F9237" s="13" t="n">
        <f aca="false">(Sens!$O$9236+Sens!$E$9236)/(Sens!$O$9210+Sens!$E$9210)</f>
        <v>0.361616727338133</v>
      </c>
      <c r="G9237" s="13" t="n">
        <f aca="false">Sens!$G$9236/Sens!$G$9210</f>
        <v>0.379569803149143</v>
      </c>
      <c r="H9237" s="13" t="n">
        <f aca="false">Sens!$F$9237</f>
        <v>0.361616727338133</v>
      </c>
      <c r="I9237" s="13" t="n">
        <f aca="false">Sens!$F$9237</f>
        <v>0.361616727338133</v>
      </c>
      <c r="J9237" s="13" t="n">
        <f aca="false">Sens!$F$9237</f>
        <v>0.361616727338133</v>
      </c>
      <c r="K9237" s="13" t="n">
        <f aca="false">Sens!$F$9237</f>
        <v>0.361616727338133</v>
      </c>
      <c r="L9237" s="13" t="n">
        <f aca="false">Sens!$F$9237</f>
        <v>0.361616727338133</v>
      </c>
      <c r="M9237" s="13" t="n">
        <f aca="false">Sens!$F$9237</f>
        <v>0.361616727338133</v>
      </c>
      <c r="N9237" s="13" t="n">
        <f aca="false">Sens!$N$9236/Sens!$N$9210</f>
        <v>0.35078810535806</v>
      </c>
      <c r="O9237" s="13" t="n">
        <f aca="false">Sens!$O$9236/Sens!$O$9210</f>
        <v>0.320796939361619</v>
      </c>
      <c r="P9237" s="8" t="s">
        <v>663</v>
      </c>
    </row>
    <row r="9238" customFormat="false" ht="17.15" hidden="false" customHeight="false" outlineLevel="0" collapsed="false">
      <c r="A9238" s="0" t="s">
        <v>664</v>
      </c>
      <c r="B9238" s="0" t="s">
        <v>52</v>
      </c>
      <c r="D9238" s="13" t="n">
        <f aca="false">(Q!$E$31-ext_sh*Sens!$D$9227)/Sens!$D$9210</f>
        <v>0.167180325480118</v>
      </c>
    </row>
    <row r="9239" customFormat="false" ht="17.15" hidden="false" customHeight="false" outlineLevel="0" collapsed="false">
      <c r="A9239" s="0" t="s">
        <v>665</v>
      </c>
      <c r="B9239" s="0" t="s">
        <v>86</v>
      </c>
      <c r="C9239" s="38" t="n">
        <f aca="false">Q!$D$31</f>
        <v>13.32</v>
      </c>
      <c r="D9239" s="38" t="n">
        <f aca="false">Q!$E$31</f>
        <v>21.45</v>
      </c>
      <c r="E9239" s="38" t="n">
        <f aca="false">Q!$P$31</f>
        <v>15.353</v>
      </c>
      <c r="F9239" s="38" t="n">
        <f aca="false">ext_sh*Sens!$F$9227+Sens!$D$9238*Sens!$F$9210</f>
        <v>16.1969869840094</v>
      </c>
      <c r="G9239" s="38" t="n">
        <f aca="false">Sens!$E$9239+Sens!$F$9239</f>
        <v>31.5499869840094</v>
      </c>
      <c r="H9239" s="38" t="n">
        <f aca="false">ext_sh*Sens!$H$9227+Sens!$D$9238*Sens!$H$9210</f>
        <v>50.9556213609176</v>
      </c>
      <c r="I9239" s="38" t="n">
        <f aca="false">ext_sh*Sens!$I$9227+Sens!$D$9238*Sens!$I$9210</f>
        <v>79.464581248252</v>
      </c>
      <c r="J9239" s="38" t="n">
        <f aca="false">ext_sh*Sens!$J$9227+Sens!$D$9238*Sens!$J$9210</f>
        <v>105.296127931746</v>
      </c>
      <c r="K9239" s="38" t="n">
        <f aca="false">ext_sh*Sens!$K$9227+Sens!$D$9238*Sens!$K$9210</f>
        <v>131.454694001511</v>
      </c>
      <c r="L9239" s="38" t="n">
        <f aca="false">ext_sh*Sens!$L$9227+Sens!$D$9238*Sens!$L$9210</f>
        <v>151.152512648088</v>
      </c>
      <c r="M9239" s="38" t="n">
        <f aca="false">ext_sh*Sens!$M$9227+Sens!$D$9238*Sens!$M$9210</f>
        <v>164.335621193048</v>
      </c>
      <c r="N9239" s="38" t="n">
        <f aca="false">Q!$N$31</f>
        <v>9.234</v>
      </c>
      <c r="O9239" s="38" t="n">
        <f aca="false">Q!$O$31</f>
        <v>12.216</v>
      </c>
    </row>
    <row r="9240" customFormat="false" ht="17.15" hidden="false" customHeight="false" outlineLevel="0" collapsed="false">
      <c r="A9240" s="1" t="s">
        <v>666</v>
      </c>
    </row>
    <row r="9241" customFormat="false" ht="17.15" hidden="false" customHeight="false" outlineLevel="0" collapsed="false">
      <c r="A9241" s="15" t="s">
        <v>667</v>
      </c>
      <c r="B9241" s="14" t="s">
        <v>52</v>
      </c>
      <c r="C9241" s="14"/>
      <c r="D9241" s="14"/>
      <c r="E9241" s="14"/>
      <c r="F9241" s="14"/>
      <c r="G9241" s="17" t="n">
        <f aca="false">Sens!$G$9231*(1-tax)/(ext_sh*(Sens!$D$9228+Sens!$G$9228)/2)</f>
        <v>0.0620504069546486</v>
      </c>
      <c r="H9241" s="17" t="n">
        <f aca="false">Sens!$H$9231*(1-tax)/(ext_sh*(Sens!$G$9228+Sens!$H$9228)/2)</f>
        <v>0.0755420551527686</v>
      </c>
      <c r="I9241" s="17" t="n">
        <f aca="false">Sens!$I$9231*(1-tax)/(ext_sh*(Sens!$H$9228+Sens!$I$9228)/2)</f>
        <v>0.067127575356291</v>
      </c>
      <c r="J9241" s="17" t="n">
        <f aca="false">Sens!$J$9231*(1-tax)/(ext_sh*(Sens!$I$9228+Sens!$J$9228)/2)</f>
        <v>0.0700332392906535</v>
      </c>
      <c r="K9241" s="17" t="n">
        <f aca="false">Sens!$K$9231*(1-tax)/(ext_sh*(Sens!$J$9228+Sens!$K$9228)/2)</f>
        <v>0.0695668710800853</v>
      </c>
      <c r="L9241" s="17" t="n">
        <f aca="false">Sens!$L$9231*(1-tax)/(ext_sh*(Sens!$K$9228+Sens!$L$9228)/2)</f>
        <v>0.0714381112936418</v>
      </c>
      <c r="M9241" s="17" t="n">
        <f aca="false">Sens!$M$9231*(1-tax)/(ext_sh*(Sens!$L$9228+Sens!$M$9228)/2)</f>
        <v>0.0721370093325208</v>
      </c>
      <c r="N9241" s="14"/>
      <c r="O9241" s="14"/>
      <c r="P9241" s="8" t="s">
        <v>668</v>
      </c>
    </row>
    <row r="9242" customFormat="false" ht="17.15" hidden="false" customHeight="false" outlineLevel="0" collapsed="false">
      <c r="A9242" s="5" t="s">
        <v>669</v>
      </c>
      <c r="B9242" s="0" t="s">
        <v>57</v>
      </c>
      <c r="H9242" s="36" t="n">
        <f aca="false">Sens!$H$9206*1000/(mw_open*he_open+Sens!$H$9204*Sens!$H$9201)</f>
        <v>0.991949006767191</v>
      </c>
      <c r="I9242" s="36" t="n">
        <f aca="false">Sens!$I$9206*1000/(mw_open*he_open+Sens!$I$9204*Sens!$I$9201)</f>
        <v>0.991949006767191</v>
      </c>
      <c r="J9242" s="36" t="n">
        <f aca="false">Sens!$J$9206*1000/(mw_open*he_open+Sens!$J$9204*Sens!$J$9201)</f>
        <v>0.991949006767191</v>
      </c>
      <c r="K9242" s="36" t="n">
        <f aca="false">Sens!$K$9206*1000/(mw_open*he_open+Sens!$K$9204*Sens!$K$9201)</f>
        <v>0.991949006767191</v>
      </c>
      <c r="L9242" s="36" t="n">
        <f aca="false">Sens!$L$9206*1000/(mw_open*he_open+Sens!$L$9204*Sens!$L$9201)</f>
        <v>0.991949006767191</v>
      </c>
      <c r="M9242" s="36" t="n">
        <f aca="false">Sens!$M$9206*1000/(mw_open*he_open+Sens!$M$9204*Sens!$M$9201)</f>
        <v>0.991949006767191</v>
      </c>
    </row>
    <row r="9243" customFormat="false" ht="17.15" hidden="false" customHeight="false" outlineLevel="0" collapsed="false">
      <c r="A9243" s="5" t="s">
        <v>670</v>
      </c>
      <c r="B9243" s="0" t="s">
        <v>57</v>
      </c>
      <c r="H9243" s="36" t="n">
        <f aca="false">Sens!$H$9242*(Sens!$H$9206+(wacc-0.01)*ext_sh*(Sens!$G$9228+Sens!$H$9228)/2/(1-tax)-Sens!$H$9231)/Sens!$H$9206</f>
        <v>1.13418299619523</v>
      </c>
      <c r="I9243" s="36" t="n">
        <f aca="false">Sens!$I$9242*(Sens!$I$9206+(wacc-0.01)*ext_sh*(Sens!$H$9228+Sens!$I$9228)/2/(1-tax)-Sens!$I$9231)/Sens!$I$9206</f>
        <v>1.15505915295125</v>
      </c>
      <c r="J9243" s="36" t="n">
        <f aca="false">Sens!$J$9242*(Sens!$J$9206+(wacc-0.01)*ext_sh*(Sens!$I$9228+Sens!$J$9228)/2/(1-tax)-Sens!$J$9231)/Sens!$J$9206</f>
        <v>1.12764664966637</v>
      </c>
      <c r="K9243" s="36" t="n">
        <f aca="false">Sens!$K$9242*(Sens!$K$9206+(wacc-0.01)*ext_sh*(Sens!$J$9228+Sens!$K$9228)/2/(1-tax)-Sens!$K$9231)/Sens!$K$9206</f>
        <v>1.11628924777408</v>
      </c>
      <c r="L9243" s="36" t="n">
        <f aca="false">Sens!$L$9242*(Sens!$L$9206+(wacc-0.01)*ext_sh*(Sens!$K$9228+Sens!$L$9228)/2/(1-tax)-Sens!$L$9231)/Sens!$L$9206</f>
        <v>1.09800260521512</v>
      </c>
      <c r="M9243" s="36" t="n">
        <f aca="false">Sens!$M$9242*(Sens!$M$9206+(wacc-0.01)*ext_sh*(Sens!$L$9228+Sens!$M$9228)/2/(1-tax)-Sens!$M$9231)/Sens!$M$9206</f>
        <v>1.08846594413748</v>
      </c>
    </row>
    <row r="9244" customFormat="false" ht="17.15" hidden="false" customHeight="false" outlineLevel="0" collapsed="false">
      <c r="A9244" s="5" t="s">
        <v>671</v>
      </c>
      <c r="B9244" s="0" t="s">
        <v>52</v>
      </c>
      <c r="C9244" s="13" t="n">
        <f aca="false">Sens!$C$9207/tk_pq</f>
        <v>0.195316432429398</v>
      </c>
      <c r="D9244" s="13" t="n">
        <f aca="false">Sens!$D$9207/tk_pq</f>
        <v>0.195316432429398</v>
      </c>
      <c r="E9244" s="13" t="n">
        <f aca="false">Sens!$E$9207/tk_pq</f>
        <v>0.195316432429398</v>
      </c>
      <c r="F9244" s="13" t="n">
        <f aca="false">Sens!$F$9207/tk_pq</f>
        <v>0.202241827274866</v>
      </c>
      <c r="G9244" s="13" t="n">
        <f aca="false">Sens!$G$9207/tk_pq</f>
        <v>0.199675016194063</v>
      </c>
      <c r="H9244" s="13" t="n">
        <f aca="false">Sens!$H$9207/tk_pq</f>
        <v>0.212647947710325</v>
      </c>
      <c r="I9244" s="13" t="n">
        <f aca="false">Sens!$I$9207/tk_pq</f>
        <v>0.219285125475351</v>
      </c>
      <c r="J9244" s="13" t="n">
        <f aca="false">Sens!$J$9207/tk_pq</f>
        <v>0.222492493217189</v>
      </c>
      <c r="K9244" s="13" t="n">
        <f aca="false">Sens!$K$9207/tk_pq</f>
        <v>0.224068966220005</v>
      </c>
      <c r="L9244" s="13" t="n">
        <f aca="false">Sens!$L$9207/tk_pq</f>
        <v>0.224830053471997</v>
      </c>
      <c r="M9244" s="13" t="n">
        <f aca="false">Sens!$M$9207/tk_pq</f>
        <v>0.22513299704272</v>
      </c>
      <c r="N9244" s="13" t="n">
        <f aca="false">Sens!$N$9207/tk_pq</f>
        <v>0.195316432429398</v>
      </c>
      <c r="O9244" s="13" t="n">
        <f aca="false">Sens!$O$9207/tk_pq</f>
        <v>0.195316432429398</v>
      </c>
      <c r="P9244" s="5" t="s">
        <v>672</v>
      </c>
    </row>
    <row r="9247" customFormat="false" ht="17.15" hidden="false" customHeight="false" outlineLevel="0" collapsed="false">
      <c r="A9247" s="1" t="s">
        <v>701</v>
      </c>
    </row>
    <row r="9248" customFormat="false" ht="17.15" hidden="false" customHeight="false" outlineLevel="0" collapsed="false">
      <c r="A9248" s="0" t="s">
        <v>702</v>
      </c>
      <c r="B9248" s="0" t="s">
        <v>86</v>
      </c>
      <c r="C9248" s="38" t="n">
        <f aca="false">Sens!$C$9206</f>
        <v>2.32100535697364</v>
      </c>
      <c r="D9248" s="38" t="n">
        <f aca="false">Sens!$D$9206</f>
        <v>8.70377008865116</v>
      </c>
      <c r="E9248" s="38" t="n">
        <f aca="false">Sens!$E$9206</f>
        <v>8.51035297557002</v>
      </c>
      <c r="F9248" s="38" t="n">
        <f aca="false">Sens!$F$9206</f>
        <v>14.9634336447205</v>
      </c>
      <c r="G9248" s="38" t="n">
        <f aca="false">Sens!$G$9206</f>
        <v>23.4737866202905</v>
      </c>
      <c r="H9248" s="38" t="n">
        <f aca="false">Sens!$H$9206</f>
        <v>60.1658907497746</v>
      </c>
      <c r="I9248" s="38" t="n">
        <f aca="false">Sens!$I$9206</f>
        <v>101.503699136432</v>
      </c>
      <c r="J9248" s="38" t="n">
        <f aca="false">Sens!$J$9206</f>
        <v>143.025407151278</v>
      </c>
      <c r="K9248" s="38" t="n">
        <f aca="false">Sens!$K$9206</f>
        <v>178.73410158042</v>
      </c>
      <c r="L9248" s="38" t="n">
        <f aca="false">Sens!$L$9206</f>
        <v>202.865192960641</v>
      </c>
      <c r="M9248" s="38" t="n">
        <f aca="false">Sens!$M$9206</f>
        <v>215.389874345967</v>
      </c>
      <c r="N9248" s="38" t="n">
        <f aca="false">Sens!$N$9206</f>
        <v>3.04631953102791</v>
      </c>
      <c r="O9248" s="38" t="n">
        <f aca="false">Sens!$O$9206</f>
        <v>5.65745055762326</v>
      </c>
      <c r="P9248" s="8" t="s">
        <v>703</v>
      </c>
    </row>
    <row r="9249" customFormat="false" ht="17.15" hidden="false" customHeight="false" outlineLevel="0" collapsed="false">
      <c r="A9249" s="0" t="s">
        <v>704</v>
      </c>
      <c r="B9249" s="0" t="s">
        <v>86</v>
      </c>
      <c r="C9249" s="38" t="n">
        <f aca="false">Sens!$C$9210</f>
        <v>105.234994643026</v>
      </c>
      <c r="D9249" s="38" t="n">
        <f aca="false">Sens!$D$9210</f>
        <v>120.021229911349</v>
      </c>
      <c r="E9249" s="38" t="n">
        <f aca="false">Sens!$E$9210</f>
        <v>71.30864702443</v>
      </c>
      <c r="F9249" s="38" t="n">
        <f aca="false">Sens!$F$9210</f>
        <v>71.7692997942464</v>
      </c>
      <c r="G9249" s="38" t="n">
        <f aca="false">Sens!$G$9210</f>
        <v>143.077946818676</v>
      </c>
      <c r="H9249" s="38" t="n">
        <f aca="false">Sens!$H$9210</f>
        <v>161.017077079203</v>
      </c>
      <c r="I9249" s="38" t="n">
        <f aca="false">Sens!$I$9210</f>
        <v>178.769759521457</v>
      </c>
      <c r="J9249" s="38" t="n">
        <f aca="false">Sens!$J$9210</f>
        <v>195.775538045907</v>
      </c>
      <c r="K9249" s="38" t="n">
        <f aca="false">Sens!$K$9210</f>
        <v>211.43758108958</v>
      </c>
      <c r="L9249" s="38" t="n">
        <f aca="false">Sens!$L$9210</f>
        <v>228.352587576746</v>
      </c>
      <c r="M9249" s="38" t="n">
        <f aca="false">Sens!$M$9210</f>
        <v>246.620794582886</v>
      </c>
      <c r="N9249" s="38" t="n">
        <f aca="false">Sens!$N$9210</f>
        <v>57.0936804689721</v>
      </c>
      <c r="O9249" s="38" t="n">
        <f aca="false">Sens!$O$9210</f>
        <v>62.9275494423768</v>
      </c>
      <c r="P9249" s="8" t="s">
        <v>703</v>
      </c>
    </row>
    <row r="9250" customFormat="false" ht="17.15" hidden="false" customHeight="false" outlineLevel="0" collapsed="false">
      <c r="A9250" s="1" t="s">
        <v>523</v>
      </c>
      <c r="B9250" s="8" t="s">
        <v>86</v>
      </c>
      <c r="C9250" s="38" t="n">
        <f aca="false">Q!$D$7</f>
        <v>107.556</v>
      </c>
      <c r="D9250" s="38" t="n">
        <f aca="false">Q!$E$7</f>
        <v>128.725</v>
      </c>
      <c r="E9250" s="38" t="n">
        <f aca="false">Q!$P$7</f>
        <v>79.819</v>
      </c>
      <c r="F9250" s="38" t="n">
        <f aca="false">Sens!$F$9248+Sens!$F$9249</f>
        <v>86.7327334389669</v>
      </c>
      <c r="G9250" s="38" t="n">
        <f aca="false">Sens!$G$9248+Sens!$G$9249</f>
        <v>166.551733438967</v>
      </c>
      <c r="H9250" s="38" t="n">
        <f aca="false">Sens!$H$9248+Sens!$H$9249</f>
        <v>221.182967828978</v>
      </c>
      <c r="I9250" s="38" t="n">
        <f aca="false">Sens!$I$9248+Sens!$I$9249</f>
        <v>280.27345865789</v>
      </c>
      <c r="J9250" s="38" t="n">
        <f aca="false">Sens!$J$9248+Sens!$J$9249</f>
        <v>338.800945197185</v>
      </c>
      <c r="K9250" s="38" t="n">
        <f aca="false">Sens!$K$9248+Sens!$K$9249</f>
        <v>390.17168267</v>
      </c>
      <c r="L9250" s="38" t="n">
        <f aca="false">Sens!$L$9248+Sens!$L$9249</f>
        <v>431.217780537388</v>
      </c>
      <c r="M9250" s="38" t="n">
        <f aca="false">Sens!$M$9248+Sens!$M$9249</f>
        <v>462.010668928853</v>
      </c>
      <c r="N9250" s="38" t="n">
        <f aca="false">Q!$N$7</f>
        <v>60.14</v>
      </c>
      <c r="O9250" s="38" t="n">
        <f aca="false">Q!$O$7</f>
        <v>68.585</v>
      </c>
      <c r="P9250" s="5" t="s">
        <v>705</v>
      </c>
    </row>
    <row r="9251" customFormat="false" ht="15" hidden="false" customHeight="false" outlineLevel="0" collapsed="false">
      <c r="A9251" s="3" t="s">
        <v>706</v>
      </c>
      <c r="B9251" s="8" t="s">
        <v>86</v>
      </c>
      <c r="C9251" s="38" t="n">
        <f aca="false">Q!$D$8</f>
        <v>637.959</v>
      </c>
      <c r="D9251" s="38" t="n">
        <f aca="false">Q!$E$8</f>
        <v>716.924</v>
      </c>
      <c r="E9251" s="38" t="n">
        <f aca="false">Q!$P$8</f>
        <v>382.125</v>
      </c>
      <c r="F9251" s="38" t="n">
        <f aca="false">Sens!$F$9178+Sens!$F$9250</f>
        <v>435.780975084504</v>
      </c>
      <c r="G9251" s="38" t="n">
        <f aca="false">Sens!$G$9178+Sens!$G$9250</f>
        <v>817.905975084504</v>
      </c>
      <c r="H9251" s="38" t="n">
        <f aca="false">Sens!$H$9178+Sens!$H$9250</f>
        <v>942.279857350364</v>
      </c>
      <c r="I9251" s="38" t="n">
        <f aca="false">Sens!$I$9178+Sens!$I$9250</f>
        <v>1068.80284981042</v>
      </c>
      <c r="J9251" s="38" t="n">
        <f aca="false">Sens!$J$9178+Sens!$J$9250</f>
        <v>1189.90935093863</v>
      </c>
      <c r="K9251" s="38" t="n">
        <f aca="false">Sens!$K$9178+Sens!$K$9250</f>
        <v>1296.34813810109</v>
      </c>
      <c r="L9251" s="38" t="n">
        <f aca="false">Sens!$L$9178+Sens!$L$9250</f>
        <v>1396.31088701298</v>
      </c>
      <c r="M9251" s="38" t="n">
        <f aca="false">Sens!$M$9178+Sens!$M$9250</f>
        <v>1490.15857687574</v>
      </c>
      <c r="N9251" s="38" t="n">
        <f aca="false">Q!$N$8</f>
        <v>323.369</v>
      </c>
      <c r="O9251" s="38" t="n">
        <f aca="false">Q!$O$8</f>
        <v>393.555</v>
      </c>
    </row>
    <row r="9252" customFormat="false" ht="17.15" hidden="false" customHeight="false" outlineLevel="0" collapsed="false">
      <c r="A9252" s="24" t="s">
        <v>714</v>
      </c>
      <c r="B9252" s="25" t="s">
        <v>86</v>
      </c>
      <c r="C9252" s="41" t="n">
        <f aca="false">Sens!$C$9178-(Sens!$C$9180+Sens!$C$9181)</f>
        <v>0</v>
      </c>
      <c r="D9252" s="41" t="n">
        <f aca="false">Sens!$D$9178-(Sens!$D$9180+Sens!$D$9181)</f>
        <v>0</v>
      </c>
      <c r="E9252" s="41" t="n">
        <f aca="false">Sens!$E$9178-(Sens!$E$9180+Sens!$E$9181)</f>
        <v>0</v>
      </c>
      <c r="F9252" s="41" t="n">
        <f aca="false">Sens!$F$9178-(Sens!$F$9180+Sens!$F$9181)</f>
        <v>0</v>
      </c>
      <c r="G9252" s="41" t="n">
        <f aca="false">Sens!$G$9178-(Sens!$G$9180+Sens!$G$9181)</f>
        <v>0</v>
      </c>
      <c r="H9252" s="41" t="n">
        <f aca="false">Sens!$H$9178-(Sens!$H$9180+Sens!$H$9181)</f>
        <v>0</v>
      </c>
      <c r="I9252" s="41" t="n">
        <f aca="false">Sens!$I$9178-(Sens!$I$9180+Sens!$I$9181)</f>
        <v>0</v>
      </c>
      <c r="J9252" s="41" t="n">
        <f aca="false">Sens!$J$9178-(Sens!$J$9180+Sens!$J$9181)</f>
        <v>0</v>
      </c>
      <c r="K9252" s="41" t="n">
        <f aca="false">Sens!$K$9178-(Sens!$K$9180+Sens!$K$9181)</f>
        <v>0</v>
      </c>
      <c r="L9252" s="41" t="n">
        <f aca="false">Sens!$L$9178-(Sens!$L$9180+Sens!$L$9181)</f>
        <v>0</v>
      </c>
      <c r="M9252" s="41" t="n">
        <f aca="false">Sens!$M$9178-(Sens!$M$9180+Sens!$M$9181)</f>
        <v>0</v>
      </c>
      <c r="N9252" s="41" t="n">
        <f aca="false">Sens!$N$9178-(Sens!$N$9180+Sens!$N$9181)</f>
        <v>0</v>
      </c>
      <c r="O9252" s="41" t="n">
        <f aca="false">Sens!$O$9178-(Sens!$O$9180+Sens!$O$9181)</f>
        <v>0</v>
      </c>
    </row>
    <row r="9253" customFormat="false" ht="17.15" hidden="false" customHeight="false" outlineLevel="0" collapsed="false">
      <c r="A9253" s="24" t="s">
        <v>715</v>
      </c>
      <c r="B9253" s="25" t="s">
        <v>86</v>
      </c>
      <c r="C9253" s="41" t="n">
        <f aca="false">Sens!$C$9248+Sens!$C$9249-Sens!$C$9250</f>
        <v>0</v>
      </c>
      <c r="D9253" s="41" t="n">
        <f aca="false">Sens!$D$9248+Sens!$D$9249-Sens!$D$9250</f>
        <v>0</v>
      </c>
      <c r="E9253" s="41" t="n">
        <f aca="false">Sens!$E$9248+Sens!$E$9249-Sens!$E$9250</f>
        <v>0</v>
      </c>
      <c r="F9253" s="41" t="n">
        <f aca="false">Sens!$F$9248+Sens!$F$9249-Sens!$F$9250</f>
        <v>0</v>
      </c>
      <c r="G9253" s="41" t="n">
        <f aca="false">Sens!$G$9248+Sens!$G$9249-Sens!$G$9250</f>
        <v>0</v>
      </c>
      <c r="H9253" s="41" t="n">
        <f aca="false">Sens!$H$9248+Sens!$H$9249-Sens!$H$9250</f>
        <v>0</v>
      </c>
      <c r="I9253" s="41" t="n">
        <f aca="false">Sens!$I$9248+Sens!$I$9249-Sens!$I$9250</f>
        <v>0</v>
      </c>
      <c r="J9253" s="41" t="n">
        <f aca="false">Sens!$J$9248+Sens!$J$9249-Sens!$J$9250</f>
        <v>0</v>
      </c>
      <c r="K9253" s="41" t="n">
        <f aca="false">Sens!$K$9248+Sens!$K$9249-Sens!$K$9250</f>
        <v>0</v>
      </c>
      <c r="L9253" s="41" t="n">
        <f aca="false">Sens!$L$9248+Sens!$L$9249-Sens!$L$9250</f>
        <v>0</v>
      </c>
      <c r="M9253" s="41" t="n">
        <f aca="false">Sens!$M$9248+Sens!$M$9249-Sens!$M$9250</f>
        <v>0</v>
      </c>
      <c r="N9253" s="41" t="n">
        <f aca="false">Sens!$N$9248+Sens!$N$9249-Sens!$N$9250</f>
        <v>0</v>
      </c>
      <c r="O9253" s="41" t="n">
        <f aca="false">Sens!$O$9248+Sens!$O$9249-Sens!$O$9250</f>
        <v>0</v>
      </c>
    </row>
    <row r="9254" customFormat="false" ht="17.15" hidden="false" customHeight="false" outlineLevel="0" collapsed="false">
      <c r="A9254" s="24" t="s">
        <v>716</v>
      </c>
      <c r="B9254" s="25" t="s">
        <v>86</v>
      </c>
      <c r="C9254" s="41" t="n">
        <f aca="false">Sens!$C$9180+Sens!$C$9181+Sens!$C$9250-Sens!$C$9251</f>
        <v>0</v>
      </c>
      <c r="D9254" s="41" t="n">
        <f aca="false">Sens!$D$9180+Sens!$D$9181+Sens!$D$9250-Sens!$D$9251</f>
        <v>0</v>
      </c>
      <c r="E9254" s="41" t="n">
        <f aca="false">Sens!$E$9180+Sens!$E$9181+Sens!$E$9250-Sens!$E$9251</f>
        <v>0</v>
      </c>
      <c r="F9254" s="41" t="n">
        <f aca="false">Sens!$F$9180+Sens!$F$9181+Sens!$F$9250-Sens!$F$9251</f>
        <v>0</v>
      </c>
      <c r="G9254" s="41" t="n">
        <f aca="false">Sens!$G$9180+Sens!$G$9181+Sens!$G$9250-Sens!$G$9251</f>
        <v>0</v>
      </c>
      <c r="H9254" s="41" t="n">
        <f aca="false">Sens!$H$9180+Sens!$H$9181+Sens!$H$9250-Sens!$H$9251</f>
        <v>0</v>
      </c>
      <c r="I9254" s="41" t="n">
        <f aca="false">Sens!$I$9180+Sens!$I$9181+Sens!$I$9250-Sens!$I$9251</f>
        <v>0</v>
      </c>
      <c r="J9254" s="41" t="n">
        <f aca="false">Sens!$J$9180+Sens!$J$9181+Sens!$J$9250-Sens!$J$9251</f>
        <v>0</v>
      </c>
      <c r="K9254" s="41" t="n">
        <f aca="false">Sens!$K$9180+Sens!$K$9181+Sens!$K$9250-Sens!$K$9251</f>
        <v>0</v>
      </c>
      <c r="L9254" s="41" t="n">
        <f aca="false">Sens!$L$9180+Sens!$L$9181+Sens!$L$9250-Sens!$L$9251</f>
        <v>0</v>
      </c>
      <c r="M9254" s="41" t="n">
        <f aca="false">Sens!$M$9180+Sens!$M$9181+Sens!$M$9250-Sens!$M$9251</f>
        <v>0</v>
      </c>
      <c r="N9254" s="41" t="n">
        <f aca="false">Sens!$N$9180+Sens!$N$9181+Sens!$N$9250-Sens!$N$9251</f>
        <v>0</v>
      </c>
      <c r="O9254" s="41" t="n">
        <f aca="false">Sens!$O$9180+Sens!$O$9181+Sens!$O$9250-Sens!$O$9251</f>
        <v>0</v>
      </c>
    </row>
    <row r="9255" customFormat="false" ht="15" hidden="false" customHeight="false" outlineLevel="0" collapsed="false">
      <c r="A9255" s="5" t="s">
        <v>710</v>
      </c>
      <c r="B9255" s="0" t="s">
        <v>52</v>
      </c>
      <c r="G9255" s="13" t="n">
        <f aca="false">Sens!$G$9251/Sens!$D$9251-1</f>
        <v>0.140854504918937</v>
      </c>
      <c r="H9255" s="13" t="n">
        <f aca="false">Sens!$H$9251/Sens!$G$9251-1</f>
        <v>0.152063789793209</v>
      </c>
      <c r="I9255" s="13" t="n">
        <f aca="false">Sens!$I$9251/Sens!$H$9251-1</f>
        <v>0.134273264437417</v>
      </c>
      <c r="J9255" s="13" t="n">
        <f aca="false">Sens!$J$9251/Sens!$I$9251-1</f>
        <v>0.113310421234083</v>
      </c>
      <c r="K9255" s="13" t="n">
        <f aca="false">Sens!$K$9251/Sens!$J$9251-1</f>
        <v>0.0894511729641407</v>
      </c>
      <c r="L9255" s="13" t="n">
        <f aca="false">Sens!$L$9251/Sens!$K$9251-1</f>
        <v>0.077111036745358</v>
      </c>
      <c r="M9255" s="13" t="n">
        <f aca="false">Sens!$M$9251/Sens!$L$9251-1</f>
        <v>0.067211171047677</v>
      </c>
    </row>
    <row r="9256" customFormat="false" ht="17.15" hidden="false" customHeight="false" outlineLevel="0" collapsed="false">
      <c r="A9256" s="0" t="s">
        <v>711</v>
      </c>
      <c r="B9256" s="0" t="s">
        <v>52</v>
      </c>
      <c r="C9256" s="13" t="n">
        <f aca="false">Sens!$C$9250/Sens!$C$9251</f>
        <v>0.168593906504964</v>
      </c>
      <c r="D9256" s="13" t="n">
        <f aca="false">Sens!$D$9250/Sens!$D$9251</f>
        <v>0.179551807444025</v>
      </c>
      <c r="E9256" s="13" t="n">
        <f aca="false">Sens!$E$9250/Sens!$E$9251</f>
        <v>0.208881910369643</v>
      </c>
      <c r="F9256" s="13" t="n">
        <f aca="false">Sens!$F$9250/Sens!$F$9251</f>
        <v>0.199028269699356</v>
      </c>
      <c r="G9256" s="13" t="n">
        <f aca="false">Sens!$G$9250/Sens!$G$9251</f>
        <v>0.203631882529968</v>
      </c>
      <c r="H9256" s="13" t="n">
        <f aca="false">Sens!$H$9250/Sens!$H$9251</f>
        <v>0.234731715958496</v>
      </c>
      <c r="I9256" s="13" t="n">
        <f aca="false">Sens!$I$9250/Sens!$I$9251</f>
        <v>0.262231204480418</v>
      </c>
      <c r="J9256" s="13" t="n">
        <f aca="false">Sens!$J$9250/Sens!$J$9251</f>
        <v>0.284728366013706</v>
      </c>
      <c r="K9256" s="13" t="n">
        <f aca="false">Sens!$K$9250/Sens!$K$9251</f>
        <v>0.300977547004873</v>
      </c>
      <c r="L9256" s="13" t="n">
        <f aca="false">Sens!$L$9250/Sens!$L$9251</f>
        <v>0.308826483090639</v>
      </c>
      <c r="M9256" s="13" t="n">
        <f aca="false">Sens!$M$9250/Sens!$M$9251</f>
        <v>0.310041277551482</v>
      </c>
      <c r="N9256" s="13" t="n">
        <f aca="false">Sens!$N$9250/Sens!$N$9251</f>
        <v>0.185979484737251</v>
      </c>
      <c r="O9256" s="13" t="n">
        <f aca="false">Sens!$O$9250/Sens!$O$9251</f>
        <v>0.174270432341096</v>
      </c>
    </row>
    <row r="9257" customFormat="false" ht="17.15" hidden="false" customHeight="false" outlineLevel="0" collapsed="false">
      <c r="A9257" s="0" t="s">
        <v>712</v>
      </c>
      <c r="B9257" s="0" t="s">
        <v>52</v>
      </c>
      <c r="C9257" s="13" t="n">
        <f aca="false">Sens!$C$9248/Sens!$C$9250</f>
        <v>0.0215795060896058</v>
      </c>
      <c r="D9257" s="13" t="n">
        <f aca="false">Sens!$D$9248/Sens!$D$9250</f>
        <v>0.0676152269462122</v>
      </c>
      <c r="E9257" s="13" t="n">
        <f aca="false">Sens!$E$9248/Sens!$E$9250</f>
        <v>0.106620641395783</v>
      </c>
      <c r="F9257" s="13" t="n">
        <f aca="false">Sens!$F$9248/Sens!$F$9250</f>
        <v>0.172523487401099</v>
      </c>
      <c r="G9257" s="13" t="n">
        <f aca="false">Sens!$G$9248/Sens!$G$9250</f>
        <v>0.140939911795589</v>
      </c>
      <c r="H9257" s="13" t="n">
        <f aca="false">Sens!$H$9248/Sens!$H$9250</f>
        <v>0.272018642937714</v>
      </c>
      <c r="I9257" s="13" t="n">
        <f aca="false">Sens!$I$9248/Sens!$I$9250</f>
        <v>0.362159512436497</v>
      </c>
      <c r="J9257" s="13" t="n">
        <f aca="false">Sens!$J$9248/Sens!$J$9250</f>
        <v>0.422151735934609</v>
      </c>
      <c r="K9257" s="13" t="n">
        <f aca="false">Sens!$K$9248/Sens!$K$9250</f>
        <v>0.458090911050534</v>
      </c>
      <c r="L9257" s="13" t="n">
        <f aca="false">Sens!$L$9248/Sens!$L$9250</f>
        <v>0.470447189602963</v>
      </c>
      <c r="M9257" s="13" t="n">
        <f aca="false">Sens!$M$9248/Sens!$M$9250</f>
        <v>0.466201083289563</v>
      </c>
      <c r="N9257" s="13" t="n">
        <f aca="false">Sens!$N$9248/Sens!$N$9250</f>
        <v>0.0506537999838362</v>
      </c>
      <c r="O9257" s="13" t="n">
        <f aca="false">Sens!$O$9248/Sens!$O$9250</f>
        <v>0.0824881615167056</v>
      </c>
    </row>
    <row r="9260" customFormat="false" ht="19.4" hidden="false" customHeight="false" outlineLevel="0" collapsed="false">
      <c r="A9260" s="31" t="s">
        <v>1339</v>
      </c>
    </row>
    <row r="9261" customFormat="false" ht="17.15" hidden="false" customHeight="false" outlineLevel="0" collapsed="false">
      <c r="A9261" s="6" t="s">
        <v>16</v>
      </c>
      <c r="B9261" s="6" t="s">
        <v>17</v>
      </c>
      <c r="C9261" s="20" t="s">
        <v>504</v>
      </c>
      <c r="D9261" s="20" t="s">
        <v>505</v>
      </c>
      <c r="E9261" s="20" t="s">
        <v>587</v>
      </c>
      <c r="F9261" s="20" t="s">
        <v>588</v>
      </c>
      <c r="G9261" s="20" t="s">
        <v>589</v>
      </c>
      <c r="H9261" s="20" t="s">
        <v>590</v>
      </c>
      <c r="I9261" s="20" t="s">
        <v>591</v>
      </c>
      <c r="J9261" s="20" t="s">
        <v>592</v>
      </c>
      <c r="K9261" s="20" t="s">
        <v>593</v>
      </c>
      <c r="L9261" s="20" t="s">
        <v>594</v>
      </c>
      <c r="M9261" s="20" t="s">
        <v>595</v>
      </c>
      <c r="N9261" s="20" t="s">
        <v>596</v>
      </c>
      <c r="O9261" s="20" t="s">
        <v>597</v>
      </c>
      <c r="P9261" s="6" t="s">
        <v>23</v>
      </c>
      <c r="R9261" s="20" t="n">
        <v>2023</v>
      </c>
      <c r="S9261" s="20" t="n">
        <v>2024</v>
      </c>
      <c r="T9261" s="20" t="n">
        <v>2025</v>
      </c>
      <c r="U9261" s="20" t="n">
        <v>2026</v>
      </c>
      <c r="V9261" s="20" t="n">
        <v>2027</v>
      </c>
      <c r="W9261" s="20" t="n">
        <v>2028</v>
      </c>
      <c r="X9261" s="20" t="n">
        <v>2029</v>
      </c>
      <c r="Y9261" s="20" t="n">
        <v>2030</v>
      </c>
      <c r="Z9261" s="20" t="n">
        <v>2031</v>
      </c>
      <c r="AA9261" s="20" t="n">
        <v>2032</v>
      </c>
    </row>
    <row r="9262" customFormat="false" ht="17.15" hidden="false" customHeight="false" outlineLevel="0" collapsed="false">
      <c r="A9262" s="1" t="s">
        <v>727</v>
      </c>
    </row>
    <row r="9263" customFormat="false" ht="15" hidden="false" customHeight="false" outlineLevel="0" collapsed="false">
      <c r="A9263" s="0" t="s">
        <v>526</v>
      </c>
      <c r="B9263" s="0" t="s">
        <v>86</v>
      </c>
      <c r="C9263" s="38" t="n">
        <f aca="false">Sens!$C$9165</f>
        <v>247.029</v>
      </c>
      <c r="D9263" s="38" t="n">
        <f aca="false">Sens!$D$9165</f>
        <v>269.287</v>
      </c>
      <c r="E9263" s="38" t="n">
        <f aca="false">Sens!$E$9165</f>
        <v>134.686</v>
      </c>
      <c r="F9263" s="38" t="n">
        <f aca="false">Sens!$F$9165</f>
        <v>158.293876822267</v>
      </c>
      <c r="G9263" s="38" t="n">
        <f aca="false">Sens!$G$9165</f>
        <v>292.979876822267</v>
      </c>
      <c r="H9263" s="38" t="n">
        <f aca="false">Sens!$H$9165</f>
        <v>318.184543087396</v>
      </c>
      <c r="I9263" s="38" t="n">
        <f aca="false">Sens!$I$9165</f>
        <v>341.736278761793</v>
      </c>
      <c r="J9263" s="38" t="n">
        <f aca="false">Sens!$J$9165</f>
        <v>362.927192787048</v>
      </c>
      <c r="K9263" s="38" t="n">
        <f aca="false">Sens!$K$9165</f>
        <v>381.0735524264</v>
      </c>
      <c r="L9263" s="38" t="n">
        <f aca="false">Sens!$L$9165</f>
        <v>400.12723004772</v>
      </c>
      <c r="M9263" s="38" t="n">
        <f aca="false">Sens!$M$9165</f>
        <v>420.133591550106</v>
      </c>
      <c r="N9263" s="38" t="n">
        <f aca="false">Sens!$N$9165</f>
        <v>118.892</v>
      </c>
      <c r="O9263" s="38" t="n">
        <f aca="false">Sens!$O$9165</f>
        <v>150.395</v>
      </c>
    </row>
    <row r="9264" customFormat="false" ht="15" hidden="false" customHeight="false" outlineLevel="0" collapsed="false">
      <c r="A9264" s="0" t="s">
        <v>527</v>
      </c>
      <c r="B9264" s="0" t="s">
        <v>86</v>
      </c>
      <c r="C9264" s="38" t="n">
        <f aca="false">Sens!$C$9167</f>
        <v>21.215</v>
      </c>
      <c r="D9264" s="38" t="n">
        <f aca="false">Sens!$D$9167</f>
        <v>22.561</v>
      </c>
      <c r="E9264" s="38" t="n">
        <f aca="false">Sens!$E$9167</f>
        <v>11.579</v>
      </c>
      <c r="F9264" s="38" t="n">
        <f aca="false">Sens!$F$9167</f>
        <v>11.5938724610325</v>
      </c>
      <c r="G9264" s="38" t="n">
        <f aca="false">Sens!$G$9167</f>
        <v>23.1728724610325</v>
      </c>
      <c r="H9264" s="38" t="n">
        <f aca="false">Sens!$H$9167</f>
        <v>24.353392759506</v>
      </c>
      <c r="I9264" s="38" t="n">
        <f aca="false">Sens!$I$9167</f>
        <v>25.4240338872015</v>
      </c>
      <c r="J9264" s="38" t="n">
        <f aca="false">Sens!$J$9167</f>
        <v>26.3642491017174</v>
      </c>
      <c r="K9264" s="38" t="n">
        <f aca="false">Sens!$K$9167</f>
        <v>27.155176574769</v>
      </c>
      <c r="L9264" s="38" t="n">
        <f aca="false">Sens!$L$9167</f>
        <v>27.969831872012</v>
      </c>
      <c r="M9264" s="38" t="n">
        <f aca="false">Sens!$M$9167</f>
        <v>28.8089268281724</v>
      </c>
      <c r="N9264" s="38" t="n">
        <f aca="false">Sens!$N$9167</f>
        <v>11.128</v>
      </c>
      <c r="O9264" s="38" t="n">
        <f aca="false">Sens!$O$9167</f>
        <v>11.433</v>
      </c>
    </row>
    <row r="9265" customFormat="false" ht="15" hidden="false" customHeight="false" outlineLevel="0" collapsed="false">
      <c r="A9265" s="0" t="s">
        <v>528</v>
      </c>
      <c r="B9265" s="0" t="s">
        <v>86</v>
      </c>
      <c r="C9265" s="38" t="n">
        <f aca="false">Sens!$C$9169</f>
        <v>156.146</v>
      </c>
      <c r="D9265" s="38" t="n">
        <f aca="false">Sens!$D$9169</f>
        <v>172.162</v>
      </c>
      <c r="E9265" s="38" t="n">
        <f aca="false">Sens!$E$9169</f>
        <v>88.358</v>
      </c>
      <c r="F9265" s="38" t="n">
        <f aca="false">Sens!$F$9169</f>
        <v>102.004388260171</v>
      </c>
      <c r="G9265" s="38" t="n">
        <f aca="false">Sens!$G$9169</f>
        <v>190.362388260171</v>
      </c>
      <c r="H9265" s="38" t="n">
        <f aca="false">Sens!$H$9169</f>
        <v>210.343106588311</v>
      </c>
      <c r="I9265" s="38" t="n">
        <f aca="false">Sens!$I$9169</f>
        <v>229.969728494648</v>
      </c>
      <c r="J9265" s="38" t="n">
        <f aca="false">Sens!$J$9169</f>
        <v>248.747636972598</v>
      </c>
      <c r="K9265" s="38" t="n">
        <f aca="false">Sens!$K$9169</f>
        <v>266.15997156068</v>
      </c>
      <c r="L9265" s="38" t="n">
        <f aca="false">Sens!$L$9169</f>
        <v>284.791169569927</v>
      </c>
      <c r="M9265" s="38" t="n">
        <f aca="false">Sens!$M$9169</f>
        <v>304.726551439822</v>
      </c>
      <c r="N9265" s="38" t="n">
        <f aca="false">Sens!$N$9169</f>
        <v>76.86</v>
      </c>
      <c r="O9265" s="38" t="n">
        <f aca="false">Sens!$O$9169</f>
        <v>95.302</v>
      </c>
    </row>
    <row r="9266" customFormat="false" ht="15" hidden="false" customHeight="false" outlineLevel="0" collapsed="false">
      <c r="A9266" s="0" t="s">
        <v>529</v>
      </c>
      <c r="B9266" s="0" t="s">
        <v>86</v>
      </c>
      <c r="C9266" s="38" t="n">
        <f aca="false">Sens!$C$9171</f>
        <v>56.214</v>
      </c>
      <c r="D9266" s="38" t="n">
        <f aca="false">Sens!$D$9171</f>
        <v>68.635</v>
      </c>
      <c r="E9266" s="38" t="n">
        <f aca="false">Sens!$E$9171</f>
        <v>37.052</v>
      </c>
      <c r="F9266" s="38" t="n">
        <f aca="false">Sens!$F$9171</f>
        <v>46.1572219944148</v>
      </c>
      <c r="G9266" s="38" t="n">
        <f aca="false">Sens!$G$9171</f>
        <v>83.2092219944148</v>
      </c>
      <c r="H9266" s="38" t="n">
        <f aca="false">Sens!$H$9171</f>
        <v>99.8969223878976</v>
      </c>
      <c r="I9266" s="38" t="n">
        <f aca="false">Sens!$I$9171</f>
        <v>116.583111095496</v>
      </c>
      <c r="J9266" s="38" t="n">
        <f aca="false">Sens!$J$9171</f>
        <v>132.148941941952</v>
      </c>
      <c r="K9266" s="38" t="n">
        <f aca="false">Sens!$K$9171</f>
        <v>145.363836136147</v>
      </c>
      <c r="L9266" s="38" t="n">
        <f aca="false">Sens!$L$9171</f>
        <v>159.900219749762</v>
      </c>
      <c r="M9266" s="38" t="n">
        <f aca="false">Sens!$M$9171</f>
        <v>175.890241724738</v>
      </c>
      <c r="N9266" s="38" t="n">
        <f aca="false">Sens!$N$9171</f>
        <v>29.615</v>
      </c>
      <c r="O9266" s="38" t="n">
        <f aca="false">Sens!$O$9171</f>
        <v>39.02</v>
      </c>
    </row>
    <row r="9267" customFormat="false" ht="15" hidden="false" customHeight="false" outlineLevel="0" collapsed="false">
      <c r="A9267" s="0" t="s">
        <v>530</v>
      </c>
      <c r="B9267" s="0" t="s">
        <v>86</v>
      </c>
      <c r="C9267" s="38" t="n">
        <f aca="false">Sens!$C$9173</f>
        <v>44.374</v>
      </c>
      <c r="D9267" s="38" t="n">
        <f aca="false">Sens!$D$9173</f>
        <v>49.619</v>
      </c>
      <c r="E9267" s="38" t="n">
        <f aca="false">Sens!$E$9173</f>
        <v>27.157</v>
      </c>
      <c r="F9267" s="38" t="n">
        <f aca="false">Sens!$F$9173</f>
        <v>27.7764165988154</v>
      </c>
      <c r="G9267" s="38" t="n">
        <f aca="false">Sens!$G$9173</f>
        <v>54.9334165988154</v>
      </c>
      <c r="H9267" s="38" t="n">
        <f aca="false">Sens!$H$9173</f>
        <v>61.1564112561829</v>
      </c>
      <c r="I9267" s="38" t="n">
        <f aca="false">Sens!$I$9173</f>
        <v>67.2020282103945</v>
      </c>
      <c r="J9267" s="38" t="n">
        <f aca="false">Sens!$J$9173</f>
        <v>72.8757274028885</v>
      </c>
      <c r="K9267" s="38" t="n">
        <f aca="false">Sens!$K$9173</f>
        <v>77.9770283210907</v>
      </c>
      <c r="L9267" s="38" t="n">
        <f aca="false">Sens!$L$9173</f>
        <v>83.4354203035671</v>
      </c>
      <c r="M9267" s="38" t="n">
        <f aca="false">Sens!$M$9173</f>
        <v>89.2758997248168</v>
      </c>
      <c r="N9267" s="38" t="n">
        <f aca="false">Sens!$N$9173</f>
        <v>23.923</v>
      </c>
      <c r="O9267" s="38" t="n">
        <f aca="false">Sens!$O$9173</f>
        <v>25.696</v>
      </c>
    </row>
    <row r="9268" customFormat="false" ht="15" hidden="false" customHeight="false" outlineLevel="0" collapsed="false">
      <c r="A9268" s="0" t="s">
        <v>531</v>
      </c>
      <c r="B9268" s="0" t="s">
        <v>86</v>
      </c>
      <c r="C9268" s="38" t="n">
        <f aca="false">Sens!$C$9175</f>
        <v>5.425</v>
      </c>
      <c r="D9268" s="38" t="n">
        <f aca="false">Sens!$D$9175</f>
        <v>5.935</v>
      </c>
      <c r="E9268" s="38" t="n">
        <f aca="false">Sens!$E$9175</f>
        <v>3.474</v>
      </c>
      <c r="F9268" s="38" t="n">
        <f aca="false">Sens!$F$9175</f>
        <v>3.22246550883619</v>
      </c>
      <c r="G9268" s="38" t="n">
        <f aca="false">Sens!$G$9175</f>
        <v>6.69646550883619</v>
      </c>
      <c r="H9268" s="38" t="n">
        <f aca="false">Sens!$H$9175</f>
        <v>7.16251344209196</v>
      </c>
      <c r="I9268" s="38" t="n">
        <f aca="false">Sens!$I$9175</f>
        <v>7.61421070299826</v>
      </c>
      <c r="J9268" s="38" t="n">
        <f aca="false">Sens!$J$9175</f>
        <v>8.04465753523932</v>
      </c>
      <c r="K9268" s="38" t="n">
        <f aca="false">Sens!$K$9175</f>
        <v>8.44689041200128</v>
      </c>
      <c r="L9268" s="38" t="n">
        <f aca="false">Sens!$L$9175</f>
        <v>8.86923493260135</v>
      </c>
      <c r="M9268" s="38" t="n">
        <f aca="false">Sens!$M$9175</f>
        <v>9.31269667923142</v>
      </c>
      <c r="N9268" s="38" t="n">
        <f aca="false">Sens!$N$9175</f>
        <v>2.811</v>
      </c>
      <c r="O9268" s="38" t="n">
        <f aca="false">Sens!$O$9175</f>
        <v>3.124</v>
      </c>
    </row>
    <row r="9269" customFormat="false" ht="17.15" hidden="false" customHeight="false" outlineLevel="0" collapsed="false">
      <c r="A9269" s="0" t="s">
        <v>728</v>
      </c>
      <c r="B9269" s="0" t="s">
        <v>86</v>
      </c>
      <c r="C9269" s="38" t="n">
        <f aca="false">Sens!$C$9250</f>
        <v>107.556</v>
      </c>
      <c r="D9269" s="38" t="n">
        <f aca="false">Sens!$D$9250</f>
        <v>128.725</v>
      </c>
      <c r="E9269" s="38" t="n">
        <f aca="false">Sens!$E$9250</f>
        <v>79.819</v>
      </c>
      <c r="F9269" s="38" t="n">
        <f aca="false">Sens!$F$9250</f>
        <v>86.7327334389669</v>
      </c>
      <c r="G9269" s="38" t="n">
        <f aca="false">Sens!$G$9250</f>
        <v>166.551733438967</v>
      </c>
      <c r="H9269" s="38" t="n">
        <f aca="false">Sens!$H$9250</f>
        <v>221.182967828978</v>
      </c>
      <c r="I9269" s="38" t="n">
        <f aca="false">Sens!$I$9250</f>
        <v>280.27345865789</v>
      </c>
      <c r="J9269" s="38" t="n">
        <f aca="false">Sens!$J$9250</f>
        <v>338.800945197185</v>
      </c>
      <c r="K9269" s="38" t="n">
        <f aca="false">Sens!$K$9250</f>
        <v>390.17168267</v>
      </c>
      <c r="L9269" s="38" t="n">
        <f aca="false">Sens!$L$9250</f>
        <v>431.217780537388</v>
      </c>
      <c r="M9269" s="38" t="n">
        <f aca="false">Sens!$M$9250</f>
        <v>462.010668928853</v>
      </c>
      <c r="N9269" s="38" t="n">
        <f aca="false">Sens!$N$9250</f>
        <v>60.14</v>
      </c>
      <c r="O9269" s="38" t="n">
        <f aca="false">Sens!$O$9250</f>
        <v>68.585</v>
      </c>
    </row>
    <row r="9270" customFormat="false" ht="15" hidden="false" customHeight="false" outlineLevel="0" collapsed="false">
      <c r="A9270" s="1" t="s">
        <v>519</v>
      </c>
      <c r="B9270" s="8" t="s">
        <v>86</v>
      </c>
      <c r="C9270" s="38" t="n">
        <f aca="false">Sens!$C$9180</f>
        <v>387.497</v>
      </c>
      <c r="D9270" s="38" t="n">
        <f aca="false">Sens!$D$9180</f>
        <v>426.305</v>
      </c>
      <c r="E9270" s="38" t="n">
        <f aca="false">Sens!$E$9180</f>
        <v>220.32</v>
      </c>
      <c r="F9270" s="38" t="n">
        <f aca="false">Sens!$F$9180</f>
        <v>250.639773480586</v>
      </c>
      <c r="G9270" s="38" t="n">
        <f aca="false">Sens!$G$9180</f>
        <v>470.959773480586</v>
      </c>
      <c r="H9270" s="38" t="n">
        <f aca="false">Sens!$H$9180</f>
        <v>521.386990416437</v>
      </c>
      <c r="I9270" s="38" t="n">
        <f aca="false">Sens!$I$9180</f>
        <v>570.143862887555</v>
      </c>
      <c r="J9270" s="38" t="n">
        <f aca="false">Sens!$J$9180</f>
        <v>615.391435791933</v>
      </c>
      <c r="K9270" s="38" t="n">
        <f aca="false">Sens!$K$9180</f>
        <v>655.208227561543</v>
      </c>
      <c r="L9270" s="38" t="n">
        <f aca="false">Sens!$L$9180</f>
        <v>697.807739249767</v>
      </c>
      <c r="M9270" s="38" t="n">
        <f aca="false">Sens!$M$9180</f>
        <v>743.399328463592</v>
      </c>
      <c r="N9270" s="38" t="n">
        <f aca="false">Sens!$N$9180</f>
        <v>192.955</v>
      </c>
      <c r="O9270" s="38" t="n">
        <f aca="false">Sens!$O$9180</f>
        <v>233.35</v>
      </c>
    </row>
    <row r="9271" customFormat="false" ht="15" hidden="false" customHeight="false" outlineLevel="0" collapsed="false">
      <c r="A9271" s="1" t="s">
        <v>522</v>
      </c>
      <c r="B9271" s="8" t="s">
        <v>86</v>
      </c>
      <c r="C9271" s="38" t="n">
        <f aca="false">Sens!$C$9181</f>
        <v>142.906</v>
      </c>
      <c r="D9271" s="38" t="n">
        <f aca="false">Sens!$D$9181</f>
        <v>161.894</v>
      </c>
      <c r="E9271" s="38" t="n">
        <f aca="false">Sens!$E$9181</f>
        <v>81.986</v>
      </c>
      <c r="F9271" s="38" t="n">
        <f aca="false">Sens!$F$9181</f>
        <v>98.408468164951</v>
      </c>
      <c r="G9271" s="38" t="n">
        <f aca="false">Sens!$G$9181</f>
        <v>180.394468164951</v>
      </c>
      <c r="H9271" s="38" t="n">
        <f aca="false">Sens!$H$9181</f>
        <v>199.709899104949</v>
      </c>
      <c r="I9271" s="38" t="n">
        <f aca="false">Sens!$I$9181</f>
        <v>218.385528264976</v>
      </c>
      <c r="J9271" s="38" t="n">
        <f aca="false">Sens!$J$9181</f>
        <v>235.71696994951</v>
      </c>
      <c r="K9271" s="38" t="n">
        <f aca="false">Sens!$K$9181</f>
        <v>250.968227869545</v>
      </c>
      <c r="L9271" s="38" t="n">
        <f aca="false">Sens!$L$9181</f>
        <v>267.285367225822</v>
      </c>
      <c r="M9271" s="38" t="n">
        <f aca="false">Sens!$M$9181</f>
        <v>284.748579483295</v>
      </c>
      <c r="N9271" s="38" t="n">
        <f aca="false">Sens!$N$9181</f>
        <v>70.274</v>
      </c>
      <c r="O9271" s="38" t="n">
        <f aca="false">Sens!$O$9181</f>
        <v>91.62</v>
      </c>
    </row>
    <row r="9272" customFormat="false" ht="15" hidden="false" customHeight="false" outlineLevel="0" collapsed="false">
      <c r="A9272" s="1" t="s">
        <v>523</v>
      </c>
      <c r="B9272" s="8" t="s">
        <v>86</v>
      </c>
      <c r="C9272" s="38" t="n">
        <f aca="false">Sens!$C$9250</f>
        <v>107.556</v>
      </c>
      <c r="D9272" s="38" t="n">
        <f aca="false">Sens!$D$9250</f>
        <v>128.725</v>
      </c>
      <c r="E9272" s="38" t="n">
        <f aca="false">Sens!$E$9250</f>
        <v>79.819</v>
      </c>
      <c r="F9272" s="38" t="n">
        <f aca="false">Sens!$F$9250</f>
        <v>86.7327334389669</v>
      </c>
      <c r="G9272" s="38" t="n">
        <f aca="false">Sens!$G$9250</f>
        <v>166.551733438967</v>
      </c>
      <c r="H9272" s="38" t="n">
        <f aca="false">Sens!$H$9250</f>
        <v>221.182967828978</v>
      </c>
      <c r="I9272" s="38" t="n">
        <f aca="false">Sens!$I$9250</f>
        <v>280.27345865789</v>
      </c>
      <c r="J9272" s="38" t="n">
        <f aca="false">Sens!$J$9250</f>
        <v>338.800945197185</v>
      </c>
      <c r="K9272" s="38" t="n">
        <f aca="false">Sens!$K$9250</f>
        <v>390.17168267</v>
      </c>
      <c r="L9272" s="38" t="n">
        <f aca="false">Sens!$L$9250</f>
        <v>431.217780537388</v>
      </c>
      <c r="M9272" s="38" t="n">
        <f aca="false">Sens!$M$9250</f>
        <v>462.010668928853</v>
      </c>
      <c r="N9272" s="38" t="n">
        <f aca="false">Sens!$N$9250</f>
        <v>60.14</v>
      </c>
      <c r="O9272" s="38" t="n">
        <f aca="false">Sens!$O$9250</f>
        <v>68.585</v>
      </c>
    </row>
    <row r="9273" customFormat="false" ht="17.15" hidden="false" customHeight="false" outlineLevel="0" collapsed="false">
      <c r="A9273" s="0" t="s">
        <v>702</v>
      </c>
      <c r="B9273" s="0" t="s">
        <v>86</v>
      </c>
      <c r="C9273" s="38" t="n">
        <f aca="false">Sens!$C$9248</f>
        <v>2.32100535697364</v>
      </c>
      <c r="D9273" s="38" t="n">
        <f aca="false">Sens!$D$9248</f>
        <v>8.70377008865116</v>
      </c>
      <c r="E9273" s="38" t="n">
        <f aca="false">Sens!$E$9248</f>
        <v>8.51035297557002</v>
      </c>
      <c r="F9273" s="38" t="n">
        <f aca="false">Sens!$F$9248</f>
        <v>14.9634336447205</v>
      </c>
      <c r="G9273" s="38" t="n">
        <f aca="false">Sens!$G$9248</f>
        <v>23.4737866202905</v>
      </c>
      <c r="H9273" s="38" t="n">
        <f aca="false">Sens!$H$9248</f>
        <v>60.1658907497746</v>
      </c>
      <c r="I9273" s="38" t="n">
        <f aca="false">Sens!$I$9248</f>
        <v>101.503699136432</v>
      </c>
      <c r="J9273" s="38" t="n">
        <f aca="false">Sens!$J$9248</f>
        <v>143.025407151278</v>
      </c>
      <c r="K9273" s="38" t="n">
        <f aca="false">Sens!$K$9248</f>
        <v>178.73410158042</v>
      </c>
      <c r="L9273" s="38" t="n">
        <f aca="false">Sens!$L$9248</f>
        <v>202.865192960641</v>
      </c>
      <c r="M9273" s="38" t="n">
        <f aca="false">Sens!$M$9248</f>
        <v>215.389874345967</v>
      </c>
      <c r="N9273" s="38" t="n">
        <f aca="false">Sens!$N$9248</f>
        <v>3.04631953102791</v>
      </c>
      <c r="O9273" s="38" t="n">
        <f aca="false">Sens!$O$9248</f>
        <v>5.65745055762326</v>
      </c>
    </row>
    <row r="9274" customFormat="false" ht="17.15" hidden="false" customHeight="false" outlineLevel="0" collapsed="false">
      <c r="A9274" s="0" t="s">
        <v>704</v>
      </c>
      <c r="B9274" s="0" t="s">
        <v>86</v>
      </c>
      <c r="C9274" s="38" t="n">
        <f aca="false">Sens!$C$9249</f>
        <v>105.234994643026</v>
      </c>
      <c r="D9274" s="38" t="n">
        <f aca="false">Sens!$D$9249</f>
        <v>120.021229911349</v>
      </c>
      <c r="E9274" s="38" t="n">
        <f aca="false">Sens!$E$9249</f>
        <v>71.30864702443</v>
      </c>
      <c r="F9274" s="38" t="n">
        <f aca="false">Sens!$F$9249</f>
        <v>71.7692997942464</v>
      </c>
      <c r="G9274" s="38" t="n">
        <f aca="false">Sens!$G$9249</f>
        <v>143.077946818676</v>
      </c>
      <c r="H9274" s="38" t="n">
        <f aca="false">Sens!$H$9249</f>
        <v>161.017077079203</v>
      </c>
      <c r="I9274" s="38" t="n">
        <f aca="false">Sens!$I$9249</f>
        <v>178.769759521457</v>
      </c>
      <c r="J9274" s="38" t="n">
        <f aca="false">Sens!$J$9249</f>
        <v>195.775538045907</v>
      </c>
      <c r="K9274" s="38" t="n">
        <f aca="false">Sens!$K$9249</f>
        <v>211.43758108958</v>
      </c>
      <c r="L9274" s="38" t="n">
        <f aca="false">Sens!$L$9249</f>
        <v>228.352587576746</v>
      </c>
      <c r="M9274" s="38" t="n">
        <f aca="false">Sens!$M$9249</f>
        <v>246.620794582886</v>
      </c>
      <c r="N9274" s="38" t="n">
        <f aca="false">Sens!$N$9249</f>
        <v>57.0936804689721</v>
      </c>
      <c r="O9274" s="38" t="n">
        <f aca="false">Sens!$O$9249</f>
        <v>62.9275494423768</v>
      </c>
    </row>
    <row r="9275" customFormat="false" ht="15" hidden="false" customHeight="false" outlineLevel="0" collapsed="false">
      <c r="A9275" s="3" t="s">
        <v>524</v>
      </c>
      <c r="B9275" s="8" t="s">
        <v>86</v>
      </c>
      <c r="C9275" s="38" t="n">
        <f aca="false">Sens!$C$9251</f>
        <v>637.959</v>
      </c>
      <c r="D9275" s="38" t="n">
        <f aca="false">Sens!$D$9251</f>
        <v>716.924</v>
      </c>
      <c r="E9275" s="38" t="n">
        <f aca="false">Sens!$E$9251</f>
        <v>382.125</v>
      </c>
      <c r="F9275" s="38" t="n">
        <f aca="false">Sens!$F$9251</f>
        <v>435.780975084504</v>
      </c>
      <c r="G9275" s="38" t="n">
        <f aca="false">Sens!$G$9251</f>
        <v>817.905975084504</v>
      </c>
      <c r="H9275" s="38" t="n">
        <f aca="false">Sens!$H$9251</f>
        <v>942.279857350364</v>
      </c>
      <c r="I9275" s="38" t="n">
        <f aca="false">Sens!$I$9251</f>
        <v>1068.80284981042</v>
      </c>
      <c r="J9275" s="38" t="n">
        <f aca="false">Sens!$J$9251</f>
        <v>1189.90935093863</v>
      </c>
      <c r="K9275" s="38" t="n">
        <f aca="false">Sens!$K$9251</f>
        <v>1296.34813810109</v>
      </c>
      <c r="L9275" s="38" t="n">
        <f aca="false">Sens!$L$9251</f>
        <v>1396.31088701298</v>
      </c>
      <c r="M9275" s="38" t="n">
        <f aca="false">Sens!$M$9251</f>
        <v>1490.15857687574</v>
      </c>
      <c r="N9275" s="38" t="n">
        <f aca="false">Sens!$N$9251</f>
        <v>323.369</v>
      </c>
      <c r="O9275" s="38" t="n">
        <f aca="false">Sens!$O$9251</f>
        <v>393.555</v>
      </c>
    </row>
    <row r="9276" customFormat="false" ht="17.15" hidden="false" customHeight="false" outlineLevel="0" collapsed="false">
      <c r="A9276" s="24" t="s">
        <v>714</v>
      </c>
      <c r="B9276" s="25" t="s">
        <v>86</v>
      </c>
      <c r="C9276" s="41" t="n">
        <f aca="false">Sens!$C$9263+Sens!$C$9264+Sens!$C$9265+Sens!$C$9266+Sens!$C$9267+Sens!$C$9268-(Sens!$C$9270+Sens!$C$9271)</f>
        <v>0</v>
      </c>
      <c r="D9276" s="41" t="n">
        <f aca="false">Sens!$D$9263+Sens!$D$9264+Sens!$D$9265+Sens!$D$9266+Sens!$D$9267+Sens!$D$9268-(Sens!$D$9270+Sens!$D$9271)</f>
        <v>0</v>
      </c>
      <c r="E9276" s="41" t="n">
        <f aca="false">Sens!$E$9263+Sens!$E$9264+Sens!$E$9265+Sens!$E$9266+Sens!$E$9267+Sens!$E$9268-(Sens!$E$9270+Sens!$E$9271)</f>
        <v>0</v>
      </c>
      <c r="F9276" s="41" t="n">
        <f aca="false">Sens!$F$9263+Sens!$F$9264+Sens!$F$9265+Sens!$F$9266+Sens!$F$9267+Sens!$F$9268-(Sens!$F$9270+Sens!$F$9271)</f>
        <v>0</v>
      </c>
      <c r="G9276" s="41" t="n">
        <f aca="false">Sens!$G$9263+Sens!$G$9264+Sens!$G$9265+Sens!$G$9266+Sens!$G$9267+Sens!$G$9268-(Sens!$G$9270+Sens!$G$9271)</f>
        <v>0</v>
      </c>
      <c r="H9276" s="41" t="n">
        <f aca="false">Sens!$H$9263+Sens!$H$9264+Sens!$H$9265+Sens!$H$9266+Sens!$H$9267+Sens!$H$9268-(Sens!$H$9270+Sens!$H$9271)</f>
        <v>0</v>
      </c>
      <c r="I9276" s="41" t="n">
        <f aca="false">Sens!$I$9263+Sens!$I$9264+Sens!$I$9265+Sens!$I$9266+Sens!$I$9267+Sens!$I$9268-(Sens!$I$9270+Sens!$I$9271)</f>
        <v>0</v>
      </c>
      <c r="J9276" s="41" t="n">
        <f aca="false">Sens!$J$9263+Sens!$J$9264+Sens!$J$9265+Sens!$J$9266+Sens!$J$9267+Sens!$J$9268-(Sens!$J$9270+Sens!$J$9271)</f>
        <v>0</v>
      </c>
      <c r="K9276" s="41" t="n">
        <f aca="false">Sens!$K$9263+Sens!$K$9264+Sens!$K$9265+Sens!$K$9266+Sens!$K$9267+Sens!$K$9268-(Sens!$K$9270+Sens!$K$9271)</f>
        <v>0</v>
      </c>
      <c r="L9276" s="41" t="n">
        <f aca="false">Sens!$L$9263+Sens!$L$9264+Sens!$L$9265+Sens!$L$9266+Sens!$L$9267+Sens!$L$9268-(Sens!$L$9270+Sens!$L$9271)</f>
        <v>0</v>
      </c>
      <c r="M9276" s="41" t="n">
        <f aca="false">Sens!$M$9263+Sens!$M$9264+Sens!$M$9265+Sens!$M$9266+Sens!$M$9267+Sens!$M$9268-(Sens!$M$9270+Sens!$M$9271)</f>
        <v>0</v>
      </c>
      <c r="N9276" s="41" t="n">
        <f aca="false">Sens!$N$9263+Sens!$N$9264+Sens!$N$9265+Sens!$N$9266+Sens!$N$9267+Sens!$N$9268-(Sens!$N$9270+Sens!$N$9271)</f>
        <v>0</v>
      </c>
      <c r="O9276" s="41" t="n">
        <f aca="false">Sens!$O$9263+Sens!$O$9264+Sens!$O$9265+Sens!$O$9266+Sens!$O$9267+Sens!$O$9268-(Sens!$O$9270+Sens!$O$9271)</f>
        <v>0</v>
      </c>
    </row>
    <row r="9277" customFormat="false" ht="17.15" hidden="false" customHeight="false" outlineLevel="0" collapsed="false">
      <c r="A9277" s="24" t="s">
        <v>715</v>
      </c>
      <c r="B9277" s="25" t="s">
        <v>86</v>
      </c>
      <c r="C9277" s="41" t="n">
        <f aca="false">Sens!$C$9273+Sens!$C$9274-Sens!$C$9272</f>
        <v>0</v>
      </c>
      <c r="D9277" s="41" t="n">
        <f aca="false">Sens!$D$9273+Sens!$D$9274-Sens!$D$9272</f>
        <v>0</v>
      </c>
      <c r="E9277" s="41" t="n">
        <f aca="false">Sens!$E$9273+Sens!$E$9274-Sens!$E$9272</f>
        <v>0</v>
      </c>
      <c r="F9277" s="41" t="n">
        <f aca="false">Sens!$F$9273+Sens!$F$9274-Sens!$F$9272</f>
        <v>0</v>
      </c>
      <c r="G9277" s="41" t="n">
        <f aca="false">Sens!$G$9273+Sens!$G$9274-Sens!$G$9272</f>
        <v>0</v>
      </c>
      <c r="H9277" s="41" t="n">
        <f aca="false">Sens!$H$9273+Sens!$H$9274-Sens!$H$9272</f>
        <v>0</v>
      </c>
      <c r="I9277" s="41" t="n">
        <f aca="false">Sens!$I$9273+Sens!$I$9274-Sens!$I$9272</f>
        <v>0</v>
      </c>
      <c r="J9277" s="41" t="n">
        <f aca="false">Sens!$J$9273+Sens!$J$9274-Sens!$J$9272</f>
        <v>0</v>
      </c>
      <c r="K9277" s="41" t="n">
        <f aca="false">Sens!$K$9273+Sens!$K$9274-Sens!$K$9272</f>
        <v>0</v>
      </c>
      <c r="L9277" s="41" t="n">
        <f aca="false">Sens!$L$9273+Sens!$L$9274-Sens!$L$9272</f>
        <v>0</v>
      </c>
      <c r="M9277" s="41" t="n">
        <f aca="false">Sens!$M$9273+Sens!$M$9274-Sens!$M$9272</f>
        <v>0</v>
      </c>
      <c r="N9277" s="41" t="n">
        <f aca="false">Sens!$N$9273+Sens!$N$9274-Sens!$N$9272</f>
        <v>0</v>
      </c>
      <c r="O9277" s="41" t="n">
        <f aca="false">Sens!$O$9273+Sens!$O$9274-Sens!$O$9272</f>
        <v>0</v>
      </c>
    </row>
    <row r="9278" customFormat="false" ht="17.15" hidden="false" customHeight="false" outlineLevel="0" collapsed="false">
      <c r="A9278" s="24" t="s">
        <v>774</v>
      </c>
      <c r="B9278" s="25" t="s">
        <v>86</v>
      </c>
      <c r="C9278" s="41" t="n">
        <f aca="false">Sens!$C$9263+Sens!$C$9264+Sens!$C$9265+Sens!$C$9266+Sens!$C$9267+Sens!$C$9268+Sens!$C$9269-Sens!$C$9275</f>
        <v>0</v>
      </c>
      <c r="D9278" s="41" t="n">
        <f aca="false">Sens!$D$9263+Sens!$D$9264+Sens!$D$9265+Sens!$D$9266+Sens!$D$9267+Sens!$D$9268+Sens!$D$9269-Sens!$D$9275</f>
        <v>0</v>
      </c>
      <c r="E9278" s="41" t="n">
        <f aca="false">Sens!$E$9263+Sens!$E$9264+Sens!$E$9265+Sens!$E$9266+Sens!$E$9267+Sens!$E$9268+Sens!$E$9269-Sens!$E$9275</f>
        <v>0</v>
      </c>
      <c r="F9278" s="41" t="n">
        <f aca="false">Sens!$F$9263+Sens!$F$9264+Sens!$F$9265+Sens!$F$9266+Sens!$F$9267+Sens!$F$9268+Sens!$F$9269-Sens!$F$9275</f>
        <v>0</v>
      </c>
      <c r="G9278" s="41" t="n">
        <f aca="false">Sens!$G$9263+Sens!$G$9264+Sens!$G$9265+Sens!$G$9266+Sens!$G$9267+Sens!$G$9268+Sens!$G$9269-Sens!$G$9275</f>
        <v>0</v>
      </c>
      <c r="H9278" s="41" t="n">
        <f aca="false">Sens!$H$9263+Sens!$H$9264+Sens!$H$9265+Sens!$H$9266+Sens!$H$9267+Sens!$H$9268+Sens!$H$9269-Sens!$H$9275</f>
        <v>0</v>
      </c>
      <c r="I9278" s="41" t="n">
        <f aca="false">Sens!$I$9263+Sens!$I$9264+Sens!$I$9265+Sens!$I$9266+Sens!$I$9267+Sens!$I$9268+Sens!$I$9269-Sens!$I$9275</f>
        <v>0</v>
      </c>
      <c r="J9278" s="41" t="n">
        <f aca="false">Sens!$J$9263+Sens!$J$9264+Sens!$J$9265+Sens!$J$9266+Sens!$J$9267+Sens!$J$9268+Sens!$J$9269-Sens!$J$9275</f>
        <v>0</v>
      </c>
      <c r="K9278" s="41" t="n">
        <f aca="false">Sens!$K$9263+Sens!$K$9264+Sens!$K$9265+Sens!$K$9266+Sens!$K$9267+Sens!$K$9268+Sens!$K$9269-Sens!$K$9275</f>
        <v>0</v>
      </c>
      <c r="L9278" s="41" t="n">
        <f aca="false">Sens!$L$9263+Sens!$L$9264+Sens!$L$9265+Sens!$L$9266+Sens!$L$9267+Sens!$L$9268+Sens!$L$9269-Sens!$L$9275</f>
        <v>0</v>
      </c>
      <c r="M9278" s="41" t="n">
        <f aca="false">Sens!$M$9263+Sens!$M$9264+Sens!$M$9265+Sens!$M$9266+Sens!$M$9267+Sens!$M$9268+Sens!$M$9269-Sens!$M$9275</f>
        <v>0</v>
      </c>
      <c r="N9278" s="41" t="n">
        <f aca="false">Sens!$N$9263+Sens!$N$9264+Sens!$N$9265+Sens!$N$9266+Sens!$N$9267+Sens!$N$9268+Sens!$N$9269-Sens!$N$9275</f>
        <v>0</v>
      </c>
      <c r="O9278" s="41" t="n">
        <f aca="false">Sens!$O$9263+Sens!$O$9264+Sens!$O$9265+Sens!$O$9266+Sens!$O$9267+Sens!$O$9268+Sens!$O$9269-Sens!$O$9275</f>
        <v>0</v>
      </c>
    </row>
    <row r="9279" customFormat="false" ht="17.15" hidden="false" customHeight="false" outlineLevel="0" collapsed="false">
      <c r="A9279" s="24" t="s">
        <v>716</v>
      </c>
      <c r="B9279" s="25" t="s">
        <v>86</v>
      </c>
      <c r="C9279" s="41" t="n">
        <f aca="false">Sens!$C$9270+Sens!$C$9271+Sens!$C$9272-Sens!$C$9275</f>
        <v>0</v>
      </c>
      <c r="D9279" s="41" t="n">
        <f aca="false">Sens!$D$9270+Sens!$D$9271+Sens!$D$9272-Sens!$D$9275</f>
        <v>0</v>
      </c>
      <c r="E9279" s="41" t="n">
        <f aca="false">Sens!$E$9270+Sens!$E$9271+Sens!$E$9272-Sens!$E$9275</f>
        <v>0</v>
      </c>
      <c r="F9279" s="41" t="n">
        <f aca="false">Sens!$F$9270+Sens!$F$9271+Sens!$F$9272-Sens!$F$9275</f>
        <v>0</v>
      </c>
      <c r="G9279" s="41" t="n">
        <f aca="false">Sens!$G$9270+Sens!$G$9271+Sens!$G$9272-Sens!$G$9275</f>
        <v>0</v>
      </c>
      <c r="H9279" s="41" t="n">
        <f aca="false">Sens!$H$9270+Sens!$H$9271+Sens!$H$9272-Sens!$H$9275</f>
        <v>0</v>
      </c>
      <c r="I9279" s="41" t="n">
        <f aca="false">Sens!$I$9270+Sens!$I$9271+Sens!$I$9272-Sens!$I$9275</f>
        <v>0</v>
      </c>
      <c r="J9279" s="41" t="n">
        <f aca="false">Sens!$J$9270+Sens!$J$9271+Sens!$J$9272-Sens!$J$9275</f>
        <v>0</v>
      </c>
      <c r="K9279" s="41" t="n">
        <f aca="false">Sens!$K$9270+Sens!$K$9271+Sens!$K$9272-Sens!$K$9275</f>
        <v>0</v>
      </c>
      <c r="L9279" s="41" t="n">
        <f aca="false">Sens!$L$9270+Sens!$L$9271+Sens!$L$9272-Sens!$L$9275</f>
        <v>0</v>
      </c>
      <c r="M9279" s="41" t="n">
        <f aca="false">Sens!$M$9270+Sens!$M$9271+Sens!$M$9272-Sens!$M$9275</f>
        <v>0</v>
      </c>
      <c r="N9279" s="41" t="n">
        <f aca="false">Sens!$N$9270+Sens!$N$9271+Sens!$N$9272-Sens!$N$9275</f>
        <v>0</v>
      </c>
      <c r="O9279" s="41" t="n">
        <f aca="false">Sens!$O$9270+Sens!$O$9271+Sens!$O$9272-Sens!$O$9275</f>
        <v>0</v>
      </c>
    </row>
    <row r="9280" customFormat="false" ht="17.15" hidden="false" customHeight="false" outlineLevel="0" collapsed="false">
      <c r="A9280" s="1" t="s">
        <v>730</v>
      </c>
    </row>
    <row r="9281" customFormat="false" ht="17.15" hidden="false" customHeight="false" outlineLevel="0" collapsed="false">
      <c r="A9281" s="0" t="s">
        <v>731</v>
      </c>
      <c r="B9281" s="0" t="s">
        <v>86</v>
      </c>
      <c r="C9281" s="38" t="n">
        <f aca="false">Sens!$C$9182*m_ad</f>
        <v>20.5341564414228</v>
      </c>
      <c r="D9281" s="38" t="n">
        <f aca="false">Sens!$D$9182*m_ad</f>
        <v>24.8720617299587</v>
      </c>
      <c r="E9281" s="38" t="n">
        <f aca="false">Sens!$E$9182*m_ad</f>
        <v>13.5017112462207</v>
      </c>
      <c r="F9281" s="38" t="n">
        <f aca="false">Sens!$F$9182*m_ad</f>
        <v>16.5719724165257</v>
      </c>
      <c r="G9281" s="38" t="n">
        <f aca="false">Sens!$G$9182*m_ad</f>
        <v>30.0820919220415</v>
      </c>
      <c r="H9281" s="38" t="n">
        <f aca="false">Sens!$H$9182*m_ad</f>
        <v>36.1150883276314</v>
      </c>
      <c r="I9281" s="38" t="n">
        <f aca="false">Sens!$I$9182*m_ad</f>
        <v>42.1475382231996</v>
      </c>
      <c r="J9281" s="38" t="n">
        <f aca="false">Sens!$J$9182*m_ad</f>
        <v>47.7749523864693</v>
      </c>
      <c r="K9281" s="38" t="n">
        <f aca="false">Sens!$K$9182*m_ad</f>
        <v>52.5524476251162</v>
      </c>
      <c r="L9281" s="38" t="n">
        <f aca="false">Sens!$L$9182*m_ad</f>
        <v>57.8076923876279</v>
      </c>
      <c r="M9281" s="38" t="n">
        <f aca="false">Sens!$M$9182*m_ad</f>
        <v>63.5884616263907</v>
      </c>
      <c r="N9281" s="38" t="n">
        <f aca="false">Sens!$N$9182*m_ad</f>
        <v>10.8543555706248</v>
      </c>
      <c r="O9281" s="38" t="n">
        <f aca="false">Sens!$O$9182*m_ad</f>
        <v>14.0094731821399</v>
      </c>
    </row>
    <row r="9282" customFormat="false" ht="17.15" hidden="false" customHeight="false" outlineLevel="0" collapsed="false">
      <c r="A9282" s="0" t="s">
        <v>732</v>
      </c>
      <c r="B9282" s="0" t="s">
        <v>86</v>
      </c>
      <c r="C9282" s="38" t="n">
        <f aca="false">Sens!$C$9180-Sens!$C$9182</f>
        <v>346.428687117154</v>
      </c>
      <c r="D9282" s="38" t="n">
        <f aca="false">Sens!$D$9180-Sens!$D$9182</f>
        <v>376.560876540083</v>
      </c>
      <c r="E9282" s="38" t="n">
        <f aca="false">Sens!$E$9180-Sens!$E$9182</f>
        <v>193.316577507559</v>
      </c>
      <c r="F9282" s="38" t="n">
        <f aca="false">Sens!$F$9180-Sens!$F$9182</f>
        <v>217.495828647535</v>
      </c>
      <c r="G9282" s="38" t="n">
        <f aca="false">Sens!$G$9180-Sens!$G$9182</f>
        <v>410.795589636503</v>
      </c>
      <c r="H9282" s="38" t="n">
        <f aca="false">Sens!$H$9180-Sens!$H$9182</f>
        <v>449.156813761174</v>
      </c>
      <c r="I9282" s="38" t="n">
        <f aca="false">Sens!$I$9180-Sens!$I$9182</f>
        <v>485.848786441156</v>
      </c>
      <c r="J9282" s="38" t="n">
        <f aca="false">Sens!$J$9180-Sens!$J$9182</f>
        <v>519.841531018994</v>
      </c>
      <c r="K9282" s="38" t="n">
        <f aca="false">Sens!$K$9180-Sens!$K$9182</f>
        <v>550.103332311311</v>
      </c>
      <c r="L9282" s="38" t="n">
        <f aca="false">Sens!$L$9180-Sens!$L$9182</f>
        <v>582.192354474511</v>
      </c>
      <c r="M9282" s="38" t="n">
        <f aca="false">Sens!$M$9180-Sens!$M$9182</f>
        <v>616.22240521081</v>
      </c>
      <c r="N9282" s="38" t="n">
        <f aca="false">Sens!$N$9180-Sens!$N$9182</f>
        <v>171.24628885875</v>
      </c>
      <c r="O9282" s="38" t="n">
        <f aca="false">Sens!$O$9180-Sens!$O$9182</f>
        <v>205.33105363572</v>
      </c>
    </row>
    <row r="9283" customFormat="false" ht="17.15" hidden="false" customHeight="false" outlineLevel="0" collapsed="false">
      <c r="A9283" s="0" t="s">
        <v>733</v>
      </c>
      <c r="B9283" s="0" t="s">
        <v>86</v>
      </c>
      <c r="C9283" s="38" t="n">
        <f aca="false">Sens!$C$9234*Sens!$C$9179</f>
        <v>0.123617442257179</v>
      </c>
      <c r="D9283" s="38" t="n">
        <f aca="false">Sens!$D$9234*Sens!$D$9179</f>
        <v>0.600198046024689</v>
      </c>
      <c r="E9283" s="38" t="n">
        <f aca="false">Sens!$E$9234*Sens!$E$9179</f>
        <v>1.10840000750276</v>
      </c>
      <c r="F9283" s="38" t="n">
        <f aca="false">Sens!$F$9234*Sens!$F$9179</f>
        <v>1.33595298721025</v>
      </c>
      <c r="G9283" s="38" t="n">
        <f aca="false">Sens!$G$9234*Sens!$G$9179</f>
        <v>2.44487335052545</v>
      </c>
      <c r="H9283" s="38" t="n">
        <f aca="false">Sens!$H$9234*Sens!$H$9179</f>
        <v>6.63132711939388</v>
      </c>
      <c r="I9283" s="38" t="n">
        <f aca="false">Sens!$I$9234*Sens!$I$9179</f>
        <v>12.7486799258504</v>
      </c>
      <c r="J9283" s="38" t="n">
        <f aca="false">Sens!$J$9234*Sens!$J$9179</f>
        <v>18.4074045299415</v>
      </c>
      <c r="K9283" s="38" t="n">
        <f aca="false">Sens!$K$9234*Sens!$K$9179</f>
        <v>23.9558131410482</v>
      </c>
      <c r="L9283" s="38" t="n">
        <f aca="false">Sens!$L$9234*Sens!$L$9179</f>
        <v>27.8791598233416</v>
      </c>
      <c r="M9283" s="38" t="n">
        <f aca="false">Sens!$M$9234*Sens!$M$9179</f>
        <v>30.1642264398241</v>
      </c>
      <c r="N9283" s="38" t="n">
        <f aca="false">Sens!$N$9234*Sens!$N$9179</f>
        <v>0.25053229484398</v>
      </c>
      <c r="O9283" s="38" t="n">
        <f aca="false">Sens!$O$9234*Sens!$O$9179</f>
        <v>0.349234376756897</v>
      </c>
    </row>
    <row r="9284" customFormat="false" ht="17.15" hidden="false" customHeight="false" outlineLevel="0" collapsed="false">
      <c r="A9284" s="0" t="s">
        <v>734</v>
      </c>
      <c r="B9284" s="0" t="s">
        <v>52</v>
      </c>
      <c r="C9284" s="28" t="n">
        <f aca="false">(Sens!$C$9285-Sens!$C$9281+Sens!$C$9283)/Sens!$C$9282</f>
        <v>0.0131526665379575</v>
      </c>
      <c r="D9284" s="28" t="n">
        <f aca="false">(Sens!$D$9285-Sens!$D$9281+Sens!$D$9283)/Sens!$D$9282</f>
        <v>0.0141999252954702</v>
      </c>
      <c r="E9284" s="28" t="n">
        <f aca="false">(Sens!$E$9285-Sens!$E$9281+Sens!$E$9283)/Sens!$E$9282</f>
        <v>0.0258471819939326</v>
      </c>
      <c r="F9284" s="28" t="n">
        <f aca="false">Sens!$O$9284+(Sens!$E$9284-Sens!$N$9284)</f>
        <v>0.0224302350712874</v>
      </c>
      <c r="G9284" s="28" t="n">
        <f aca="false">(Sens!$G$9285-Sens!$G$9281+Sens!$G$9283)/Sens!$G$9282</f>
        <v>0.0240199351461372</v>
      </c>
      <c r="H9284" s="28" t="n">
        <f aca="false">Sens!$G$9284+step_na</f>
        <v>0.0270199351461372</v>
      </c>
      <c r="I9284" s="28" t="n">
        <f aca="false">Sens!$H$9284+step_na</f>
        <v>0.0300199351461372</v>
      </c>
      <c r="J9284" s="28" t="n">
        <f aca="false">Sens!$I$9284+step_na</f>
        <v>0.0330199351461372</v>
      </c>
      <c r="K9284" s="28" t="n">
        <f aca="false">Sens!$J$9284+step_na</f>
        <v>0.0360199351461372</v>
      </c>
      <c r="L9284" s="28" t="n">
        <f aca="false">Sens!$K$9284</f>
        <v>0.0360199351461372</v>
      </c>
      <c r="M9284" s="28" t="n">
        <f aca="false">Sens!$L$9284</f>
        <v>0.0360199351461372</v>
      </c>
      <c r="N9284" s="28" t="n">
        <f aca="false">(Sens!$N$9285-Sens!$N$9281+Sens!$N$9283)/Sens!$N$9282</f>
        <v>0.0160831323269779</v>
      </c>
      <c r="O9284" s="28" t="n">
        <f aca="false">(Sens!$O$9285-Sens!$O$9281+Sens!$O$9283)/Sens!$O$9282</f>
        <v>0.0126661854043327</v>
      </c>
      <c r="P9284" s="8" t="s">
        <v>735</v>
      </c>
    </row>
    <row r="9285" customFormat="false" ht="17.15" hidden="false" customHeight="false" outlineLevel="0" collapsed="false">
      <c r="A9285" s="1" t="s">
        <v>736</v>
      </c>
      <c r="B9285" s="8" t="s">
        <v>86</v>
      </c>
      <c r="C9285" s="38" t="n">
        <f aca="false">Q!$D$22</f>
        <v>24.967</v>
      </c>
      <c r="D9285" s="38" t="n">
        <f aca="false">Q!$E$22</f>
        <v>29.619</v>
      </c>
      <c r="E9285" s="38" t="n">
        <f aca="false">Q!$P$22</f>
        <v>17.39</v>
      </c>
      <c r="F9285" s="38" t="n">
        <f aca="false">Sens!$F$9281+Sens!$F$9282*Sens!$F$9284-Sens!$F$9283</f>
        <v>20.1145019929041</v>
      </c>
      <c r="G9285" s="38" t="n">
        <f aca="false">Sens!$E$9285+Sens!$F$9285</f>
        <v>37.5045019929041</v>
      </c>
      <c r="H9285" s="38" t="n">
        <f aca="false">Sens!$H$9281+Sens!$H$9282*Sens!$H$9284-Sens!$H$9283</f>
        <v>41.6199491865101</v>
      </c>
      <c r="I9285" s="38" t="n">
        <f aca="false">Sens!$I$9281+Sens!$I$9282*Sens!$I$9284-Sens!$I$9283</f>
        <v>43.9840073571422</v>
      </c>
      <c r="J9285" s="38" t="n">
        <f aca="false">Sens!$J$9281+Sens!$J$9282*Sens!$J$9284-Sens!$J$9283</f>
        <v>46.5326814970436</v>
      </c>
      <c r="K9285" s="38" t="n">
        <f aca="false">Sens!$K$9281+Sens!$K$9282*Sens!$K$9284-Sens!$K$9283</f>
        <v>48.4113208375954</v>
      </c>
      <c r="L9285" s="38" t="n">
        <f aca="false">Sens!$L$9281+Sens!$L$9282*Sens!$L$9284-Sens!$L$9283</f>
        <v>50.8990634150351</v>
      </c>
      <c r="M9285" s="38" t="n">
        <f aca="false">Sens!$M$9281+Sens!$M$9282*Sens!$M$9284-Sens!$M$9283</f>
        <v>55.6205262578566</v>
      </c>
      <c r="N9285" s="38" t="n">
        <f aca="false">Q!$N$22</f>
        <v>13.358</v>
      </c>
      <c r="O9285" s="38" t="n">
        <f aca="false">Q!$O$22</f>
        <v>16.261</v>
      </c>
    </row>
    <row r="9286" customFormat="false" ht="17.15" hidden="false" customHeight="false" outlineLevel="0" collapsed="false">
      <c r="A9286" s="0" t="s">
        <v>737</v>
      </c>
      <c r="B9286" s="0" t="s">
        <v>86</v>
      </c>
      <c r="C9286" s="38" t="n">
        <f aca="false">Sens!$C$9183*m_ad</f>
        <v>7.57284355857716</v>
      </c>
      <c r="D9286" s="38" t="n">
        <f aca="false">Sens!$D$9183*m_ad</f>
        <v>9.44543827004127</v>
      </c>
      <c r="E9286" s="38" t="n">
        <f aca="false">Sens!$E$9183*m_ad</f>
        <v>5.02428875377928</v>
      </c>
      <c r="F9286" s="38" t="n">
        <f aca="false">Sens!$F$9183*m_ad</f>
        <v>6.50663858068173</v>
      </c>
      <c r="G9286" s="38" t="n">
        <f aca="false">Sens!$G$9183*m_ad</f>
        <v>11.5225190751659</v>
      </c>
      <c r="H9286" s="38" t="n">
        <f aca="false">Sens!$H$9183*m_ad</f>
        <v>13.8333728663174</v>
      </c>
      <c r="I9286" s="38" t="n">
        <f aca="false">Sens!$I$9183*m_ad</f>
        <v>16.1440173245485</v>
      </c>
      <c r="J9286" s="38" t="n">
        <f aca="false">Sens!$J$9183*m_ad</f>
        <v>18.2995185845066</v>
      </c>
      <c r="K9286" s="38" t="n">
        <f aca="false">Sens!$K$9183*m_ad</f>
        <v>20.1294704429572</v>
      </c>
      <c r="L9286" s="38" t="n">
        <f aca="false">Sens!$L$9183*m_ad</f>
        <v>22.142417487253</v>
      </c>
      <c r="M9286" s="38" t="n">
        <f aca="false">Sens!$M$9183*m_ad</f>
        <v>24.3566592359783</v>
      </c>
      <c r="N9286" s="38" t="n">
        <f aca="false">Sens!$N$9183*m_ad</f>
        <v>3.95314442937518</v>
      </c>
      <c r="O9286" s="38" t="n">
        <f aca="false">Sens!$O$9183*m_ad</f>
        <v>5.50052681786011</v>
      </c>
    </row>
    <row r="9287" customFormat="false" ht="17.15" hidden="false" customHeight="false" outlineLevel="0" collapsed="false">
      <c r="A9287" s="0" t="s">
        <v>738</v>
      </c>
      <c r="B9287" s="0" t="s">
        <v>86</v>
      </c>
      <c r="C9287" s="38" t="n">
        <f aca="false">Sens!$C$9181-Sens!$C$9183</f>
        <v>127.760312882846</v>
      </c>
      <c r="D9287" s="38" t="n">
        <f aca="false">Sens!$D$9181-Sens!$D$9183</f>
        <v>143.003123459917</v>
      </c>
      <c r="E9287" s="38" t="n">
        <f aca="false">Sens!$E$9181-Sens!$E$9183</f>
        <v>71.9374224924414</v>
      </c>
      <c r="F9287" s="38" t="n">
        <f aca="false">Sens!$F$9181-Sens!$F$9183</f>
        <v>85.3951910035875</v>
      </c>
      <c r="G9287" s="38" t="n">
        <f aca="false">Sens!$G$9181-Sens!$G$9183</f>
        <v>157.349430014619</v>
      </c>
      <c r="H9287" s="38" t="n">
        <f aca="false">Sens!$H$9181-Sens!$H$9183</f>
        <v>172.043153372315</v>
      </c>
      <c r="I9287" s="38" t="n">
        <f aca="false">Sens!$I$9181-Sens!$I$9183</f>
        <v>186.097493615879</v>
      </c>
      <c r="J9287" s="38" t="n">
        <f aca="false">Sens!$J$9181-Sens!$J$9183</f>
        <v>199.117932780497</v>
      </c>
      <c r="K9287" s="38" t="n">
        <f aca="false">Sens!$K$9181-Sens!$K$9183</f>
        <v>210.70928698363</v>
      </c>
      <c r="L9287" s="38" t="n">
        <f aca="false">Sens!$L$9181-Sens!$L$9183</f>
        <v>223.000532251316</v>
      </c>
      <c r="M9287" s="38" t="n">
        <f aca="false">Sens!$M$9181-Sens!$M$9183</f>
        <v>236.035261011339</v>
      </c>
      <c r="N9287" s="38" t="n">
        <f aca="false">Sens!$N$9181-Sens!$N$9183</f>
        <v>62.3677111412496</v>
      </c>
      <c r="O9287" s="38" t="n">
        <f aca="false">Sens!$O$9181-Sens!$O$9183</f>
        <v>80.6189463642798</v>
      </c>
    </row>
    <row r="9288" customFormat="false" ht="17.15" hidden="false" customHeight="false" outlineLevel="0" collapsed="false">
      <c r="A9288" s="0" t="s">
        <v>739</v>
      </c>
      <c r="B9288" s="0" t="s">
        <v>86</v>
      </c>
      <c r="C9288" s="38" t="n">
        <f aca="false">Sens!$C$9234*(1-Sens!$C$9179)</f>
        <v>0.0455891896019953</v>
      </c>
      <c r="D9288" s="38" t="n">
        <f aca="false">Sens!$D$9234*(1-Sens!$D$9179)</f>
        <v>0.227931791705753</v>
      </c>
      <c r="E9288" s="38" t="n">
        <f aca="false">Sens!$E$9234*(1-Sens!$E$9179)</f>
        <v>0.412460434890711</v>
      </c>
      <c r="F9288" s="38" t="n">
        <f aca="false">Sens!$F$9234*(1-Sens!$F$9179)</f>
        <v>0.524534016233997</v>
      </c>
      <c r="G9288" s="38" t="n">
        <f aca="false">Sens!$G$9234*(1-Sens!$G$9179)</f>
        <v>0.936474095312266</v>
      </c>
      <c r="H9288" s="38" t="n">
        <f aca="false">Sens!$H$9234*(1-Sens!$H$9179)</f>
        <v>2.54003589327823</v>
      </c>
      <c r="I9288" s="38" t="n">
        <f aca="false">Sens!$I$9234*(1-Sens!$I$9179)</f>
        <v>4.88320120852905</v>
      </c>
      <c r="J9288" s="38" t="n">
        <f aca="false">Sens!$J$9234*(1-Sens!$J$9179)</f>
        <v>7.05069548920359</v>
      </c>
      <c r="K9288" s="38" t="n">
        <f aca="false">Sens!$K$9234*(1-Sens!$K$9179)</f>
        <v>9.17593479184157</v>
      </c>
      <c r="L9288" s="38" t="n">
        <f aca="false">Sens!$L$9234*(1-Sens!$L$9179)</f>
        <v>10.6787171482804</v>
      </c>
      <c r="M9288" s="38" t="n">
        <f aca="false">Sens!$M$9234*(1-Sens!$M$9179)</f>
        <v>11.5539795384319</v>
      </c>
      <c r="N9288" s="38" t="n">
        <f aca="false">Sens!$N$9234*(1-Sens!$N$9179)</f>
        <v>0.0912435878202994</v>
      </c>
      <c r="O9288" s="38" t="n">
        <f aca="false">Sens!$O$9234*(1-Sens!$O$9179)</f>
        <v>0.137119578309265</v>
      </c>
    </row>
    <row r="9289" customFormat="false" ht="17.15" hidden="false" customHeight="false" outlineLevel="0" collapsed="false">
      <c r="A9289" s="0" t="s">
        <v>740</v>
      </c>
      <c r="B9289" s="0" t="s">
        <v>52</v>
      </c>
      <c r="C9289" s="28" t="n">
        <f aca="false">(Sens!$C$9290-Sens!$C$9286+Sens!$C$9288)/Sens!$C$9287</f>
        <v>-0.0292364215826579</v>
      </c>
      <c r="D9289" s="28" t="n">
        <f aca="false">(Sens!$D$9290-Sens!$D$9286+Sens!$D$9288)/Sens!$D$9287</f>
        <v>-0.0312406216748665</v>
      </c>
      <c r="E9289" s="28" t="n">
        <f aca="false">(Sens!$E$9290-Sens!$E$9286+Sens!$E$9288)/Sens!$E$9287</f>
        <v>-0.0204459413185552</v>
      </c>
      <c r="F9289" s="28" t="n">
        <f aca="false">Sens!$O$9289+(Sens!$E$9289-Sens!$N$9289)</f>
        <v>-0.0375409290246314</v>
      </c>
      <c r="G9289" s="28" t="n">
        <f aca="false">(Sens!$G$9290-Sens!$G$9286+Sens!$G$9288)/Sens!$G$9287</f>
        <v>-0.0296712560031684</v>
      </c>
      <c r="H9289" s="28" t="n">
        <f aca="false">Sens!$G$9289+step_in</f>
        <v>-0.0296712560031684</v>
      </c>
      <c r="I9289" s="28" t="n">
        <f aca="false">Sens!$H$9289+step_in</f>
        <v>-0.0296712560031684</v>
      </c>
      <c r="J9289" s="28" t="n">
        <f aca="false">Sens!$I$9289+step_in</f>
        <v>-0.0296712560031684</v>
      </c>
      <c r="K9289" s="28" t="n">
        <f aca="false">Sens!$J$9289+step_in</f>
        <v>-0.0296712560031684</v>
      </c>
      <c r="L9289" s="28" t="n">
        <f aca="false">Sens!$K$9289</f>
        <v>-0.0296712560031684</v>
      </c>
      <c r="M9289" s="28" t="n">
        <f aca="false">Sens!$L$9289</f>
        <v>-0.0296712560031684</v>
      </c>
      <c r="N9289" s="28" t="n">
        <f aca="false">(Sens!$N$9290-Sens!$N$9286+Sens!$N$9288)/Sens!$N$9287</f>
        <v>-0.0216602600421776</v>
      </c>
      <c r="O9289" s="28" t="n">
        <f aca="false">(Sens!$O$9290-Sens!$O$9286+Sens!$O$9288)/Sens!$O$9287</f>
        <v>-0.0387552477482538</v>
      </c>
      <c r="P9289" s="8" t="s">
        <v>735</v>
      </c>
    </row>
    <row r="9290" customFormat="false" ht="17.15" hidden="false" customHeight="false" outlineLevel="0" collapsed="false">
      <c r="A9290" s="1" t="s">
        <v>741</v>
      </c>
      <c r="B9290" s="8" t="s">
        <v>86</v>
      </c>
      <c r="C9290" s="38" t="n">
        <f aca="false">Q!$D$23</f>
        <v>3.792</v>
      </c>
      <c r="D9290" s="38" t="n">
        <f aca="false">Q!$E$23</f>
        <v>4.75</v>
      </c>
      <c r="E9290" s="38" t="n">
        <f aca="false">Q!$P$23</f>
        <v>3.141</v>
      </c>
      <c r="F9290" s="38" t="n">
        <f aca="false">Sens!$F$9286+Sens!$F$9287*Sens!$F$9289-Sens!$F$9288</f>
        <v>2.77628975993721</v>
      </c>
      <c r="G9290" s="38" t="n">
        <f aca="false">Sens!$E$9290+Sens!$F$9290</f>
        <v>5.91728975993721</v>
      </c>
      <c r="H9290" s="38" t="n">
        <f aca="false">Sens!$H$9286+Sens!$H$9287*Sens!$H$9289-Sens!$H$9288</f>
        <v>6.18860052573681</v>
      </c>
      <c r="I9290" s="38" t="n">
        <f aca="false">Sens!$I$9286+Sens!$I$9287*Sens!$I$9289-Sens!$I$9288</f>
        <v>5.73906974139474</v>
      </c>
      <c r="J9290" s="38" t="n">
        <f aca="false">Sens!$J$9286+Sens!$J$9287*Sens!$J$9289-Sens!$J$9288</f>
        <v>5.34074393695119</v>
      </c>
      <c r="K9290" s="38" t="n">
        <f aca="false">Sens!$K$9286+Sens!$K$9287*Sens!$K$9289-Sens!$K$9288</f>
        <v>4.7015264547793</v>
      </c>
      <c r="L9290" s="38" t="n">
        <f aca="false">Sens!$L$9286+Sens!$L$9287*Sens!$L$9289-Sens!$L$9288</f>
        <v>4.84699445770095</v>
      </c>
      <c r="M9290" s="38" t="n">
        <f aca="false">Sens!$M$9286+Sens!$M$9287*Sens!$M$9289-Sens!$M$9288</f>
        <v>5.79921704230423</v>
      </c>
      <c r="N9290" s="38" t="n">
        <f aca="false">Q!$N$23</f>
        <v>2.511</v>
      </c>
      <c r="O9290" s="38" t="n">
        <f aca="false">Q!$O$23</f>
        <v>2.239</v>
      </c>
    </row>
    <row r="9291" customFormat="false" ht="17.15" hidden="false" customHeight="false" outlineLevel="0" collapsed="false">
      <c r="A9291" s="0" t="s">
        <v>742</v>
      </c>
      <c r="B9291" s="0" t="s">
        <v>86</v>
      </c>
      <c r="C9291" s="38" t="n">
        <f aca="false">Sens!$C$9231</f>
        <v>1.64417882953695</v>
      </c>
      <c r="D9291" s="38" t="n">
        <f aca="false">Sens!$D$9231</f>
        <v>5.39125073772939</v>
      </c>
      <c r="E9291" s="38" t="n">
        <f aca="false">Sens!$E$9231</f>
        <v>2.42691120599613</v>
      </c>
      <c r="F9291" s="38" t="n">
        <f aca="false">Sens!$F$9231</f>
        <v>7.52148563094346</v>
      </c>
      <c r="G9291" s="38" t="n">
        <f aca="false">Sens!$G$9231</f>
        <v>9.94839683693959</v>
      </c>
      <c r="H9291" s="38" t="n">
        <f aca="false">Sens!$H$9231</f>
        <v>23.4804386990861</v>
      </c>
      <c r="I9291" s="38" t="n">
        <f aca="false">Sens!$I$9231</f>
        <v>30.9761745989143</v>
      </c>
      <c r="J9291" s="38" t="n">
        <f aca="false">Sens!$J$9231</f>
        <v>41.1930070746977</v>
      </c>
      <c r="K9291" s="38" t="n">
        <f aca="false">Sens!$K$9231</f>
        <v>46.207109848861</v>
      </c>
      <c r="L9291" s="38" t="n">
        <f aca="false">Sens!$L$9231</f>
        <v>48.6336850741534</v>
      </c>
      <c r="M9291" s="38" t="n">
        <f aca="false">Sens!$M$9231</f>
        <v>48.5170504329428</v>
      </c>
      <c r="N9291" s="38" t="n">
        <f aca="false">Sens!$N$9231</f>
        <v>1.67921600037079</v>
      </c>
      <c r="O9291" s="38" t="n">
        <f aca="false">Sens!$O$9231</f>
        <v>3.71203473735861</v>
      </c>
    </row>
    <row r="9292" customFormat="false" ht="17.15" hidden="false" customHeight="false" outlineLevel="0" collapsed="false">
      <c r="A9292" s="0" t="s">
        <v>660</v>
      </c>
      <c r="B9292" s="0" t="s">
        <v>86</v>
      </c>
      <c r="C9292" s="38" t="n">
        <f aca="false">Sens!$C$9236</f>
        <v>38.1898211704631</v>
      </c>
      <c r="D9292" s="38" t="n">
        <f aca="false">Sens!$D$9236</f>
        <v>40.2147492622706</v>
      </c>
      <c r="E9292" s="38" t="n">
        <f aca="false">Sens!$E$9236</f>
        <v>28.3550887940039</v>
      </c>
      <c r="F9292" s="38" t="n">
        <f aca="false">Sens!$F$9236</f>
        <v>25.9529793149447</v>
      </c>
      <c r="G9292" s="38" t="n">
        <f aca="false">Sens!$G$9236</f>
        <v>54.3080681089486</v>
      </c>
      <c r="H9292" s="38" t="n">
        <f aca="false">Sens!$H$9236</f>
        <v>58.2264684589333</v>
      </c>
      <c r="I9292" s="38" t="n">
        <f aca="false">Sens!$I$9236</f>
        <v>64.6461353851744</v>
      </c>
      <c r="J9292" s="38" t="n">
        <f aca="false">Sens!$J$9236</f>
        <v>70.7957093610231</v>
      </c>
      <c r="K9292" s="38" t="n">
        <f aca="false">Sens!$K$9236</f>
        <v>76.4593661099049</v>
      </c>
      <c r="L9292" s="38" t="n">
        <f aca="false">Sens!$L$9236</f>
        <v>82.5761153986973</v>
      </c>
      <c r="M9292" s="38" t="n">
        <f aca="false">Sens!$M$9236</f>
        <v>89.1822046305931</v>
      </c>
      <c r="N9292" s="38" t="n">
        <f aca="false">Sens!$N$9236</f>
        <v>20.0277839996292</v>
      </c>
      <c r="O9292" s="38" t="n">
        <f aca="false">Sens!$O$9236</f>
        <v>20.1869652626414</v>
      </c>
    </row>
    <row r="9293" customFormat="false" ht="17.15" hidden="false" customHeight="false" outlineLevel="0" collapsed="false">
      <c r="A9293" s="1" t="s">
        <v>743</v>
      </c>
      <c r="B9293" s="8" t="s">
        <v>86</v>
      </c>
      <c r="C9293" s="38" t="n">
        <f aca="false">Q!$D$24</f>
        <v>39.834</v>
      </c>
      <c r="D9293" s="38" t="n">
        <f aca="false">Q!$E$24</f>
        <v>45.606</v>
      </c>
      <c r="E9293" s="38" t="n">
        <f aca="false">Q!$P$24</f>
        <v>30.782</v>
      </c>
      <c r="F9293" s="38" t="n">
        <f aca="false">Sens!$F$9291+Sens!$F$9292</f>
        <v>33.4744649458882</v>
      </c>
      <c r="G9293" s="38" t="n">
        <f aca="false">Sens!$G$9291+Sens!$G$9292</f>
        <v>64.2564649458882</v>
      </c>
      <c r="H9293" s="38" t="n">
        <f aca="false">Sens!$H$9291+Sens!$H$9292</f>
        <v>81.7069071580194</v>
      </c>
      <c r="I9293" s="38" t="n">
        <f aca="false">Sens!$I$9291+Sens!$I$9292</f>
        <v>95.6223099840887</v>
      </c>
      <c r="J9293" s="38" t="n">
        <f aca="false">Sens!$J$9291+Sens!$J$9292</f>
        <v>111.988716435721</v>
      </c>
      <c r="K9293" s="38" t="n">
        <f aca="false">Sens!$K$9291+Sens!$K$9292</f>
        <v>122.666475958766</v>
      </c>
      <c r="L9293" s="38" t="n">
        <f aca="false">Sens!$L$9291+Sens!$L$9292</f>
        <v>131.209800472851</v>
      </c>
      <c r="M9293" s="38" t="n">
        <f aca="false">Sens!$M$9291+Sens!$M$9292</f>
        <v>137.699255063536</v>
      </c>
      <c r="N9293" s="38" t="n">
        <f aca="false">Q!$N$24</f>
        <v>21.707</v>
      </c>
      <c r="O9293" s="38" t="n">
        <f aca="false">Q!$O$24</f>
        <v>23.899</v>
      </c>
    </row>
    <row r="9294" customFormat="false" ht="17.15" hidden="false" customHeight="false" outlineLevel="0" collapsed="false">
      <c r="A9294" s="5" t="s">
        <v>744</v>
      </c>
      <c r="B9294" s="0" t="s">
        <v>86</v>
      </c>
      <c r="C9294" s="38" t="n">
        <f aca="false">Q!$D$26</f>
        <v>0</v>
      </c>
      <c r="D9294" s="38" t="n">
        <f aca="false">Q!$E$26</f>
        <v>0</v>
      </c>
      <c r="E9294" s="38" t="n">
        <f aca="false">Q!$P$26</f>
        <v>0</v>
      </c>
      <c r="F9294" s="39" t="n">
        <v>0</v>
      </c>
      <c r="G9294" s="38" t="n">
        <f aca="false">Sens!$E$9294+Sens!$F$9294</f>
        <v>0</v>
      </c>
      <c r="H9294" s="39" t="n">
        <v>0</v>
      </c>
      <c r="I9294" s="39" t="n">
        <v>0</v>
      </c>
      <c r="J9294" s="39" t="n">
        <v>0</v>
      </c>
      <c r="K9294" s="39" t="n">
        <v>0</v>
      </c>
      <c r="L9294" s="39" t="n">
        <v>0</v>
      </c>
      <c r="M9294" s="39" t="n">
        <v>0</v>
      </c>
      <c r="N9294" s="38" t="n">
        <f aca="false">Q!$N$26</f>
        <v>0</v>
      </c>
      <c r="O9294" s="38" t="n">
        <f aca="false">Q!$O$26</f>
        <v>0</v>
      </c>
    </row>
    <row r="9295" customFormat="false" ht="15" hidden="false" customHeight="false" outlineLevel="0" collapsed="false">
      <c r="A9295" s="3" t="s">
        <v>541</v>
      </c>
      <c r="B9295" s="8" t="s">
        <v>86</v>
      </c>
      <c r="C9295" s="38" t="n">
        <f aca="false">Q!$D$25</f>
        <v>68.593</v>
      </c>
      <c r="D9295" s="38" t="n">
        <f aca="false">Q!$E$25</f>
        <v>79.975</v>
      </c>
      <c r="E9295" s="38" t="n">
        <f aca="false">Q!$P$25</f>
        <v>51.313</v>
      </c>
      <c r="F9295" s="38" t="n">
        <f aca="false">Sens!$F$9285+Sens!$F$9290+Sens!$F$9293+Sens!$F$9294</f>
        <v>56.3652566987294</v>
      </c>
      <c r="G9295" s="38" t="n">
        <f aca="false">Sens!$G$9285+Sens!$G$9290+Sens!$G$9293+Sens!$G$9294</f>
        <v>107.678256698729</v>
      </c>
      <c r="H9295" s="38" t="n">
        <f aca="false">Sens!$H$9285+Sens!$H$9290+Sens!$H$9293+Sens!$H$9294</f>
        <v>129.515456870266</v>
      </c>
      <c r="I9295" s="38" t="n">
        <f aca="false">Sens!$I$9285+Sens!$I$9290+Sens!$I$9293+Sens!$I$9294</f>
        <v>145.345387082626</v>
      </c>
      <c r="J9295" s="38" t="n">
        <f aca="false">Sens!$J$9285+Sens!$J$9290+Sens!$J$9293+Sens!$J$9294</f>
        <v>163.862141869716</v>
      </c>
      <c r="K9295" s="38" t="n">
        <f aca="false">Sens!$K$9285+Sens!$K$9290+Sens!$K$9293+Sens!$K$9294</f>
        <v>175.779323251141</v>
      </c>
      <c r="L9295" s="38" t="n">
        <f aca="false">Sens!$L$9285+Sens!$L$9290+Sens!$L$9293+Sens!$L$9294</f>
        <v>186.955858345587</v>
      </c>
      <c r="M9295" s="38" t="n">
        <f aca="false">Sens!$M$9285+Sens!$M$9290+Sens!$M$9293+Sens!$M$9294</f>
        <v>199.118998363697</v>
      </c>
      <c r="N9295" s="38" t="n">
        <f aca="false">Q!$N$25</f>
        <v>37.576</v>
      </c>
      <c r="O9295" s="38" t="n">
        <f aca="false">Q!$O$25</f>
        <v>42.399</v>
      </c>
    </row>
    <row r="9296" customFormat="false" ht="17.15" hidden="false" customHeight="false" outlineLevel="0" collapsed="false">
      <c r="A9296" s="24" t="s">
        <v>775</v>
      </c>
      <c r="B9296" s="25" t="s">
        <v>86</v>
      </c>
      <c r="C9296" s="41" t="n">
        <f aca="false">Sens!$C$9285+Sens!$C$9290+Sens!$C$9293+Sens!$C$9294-Sens!$C$9295</f>
        <v>0</v>
      </c>
      <c r="D9296" s="41" t="n">
        <f aca="false">Sens!$D$9285+Sens!$D$9290+Sens!$D$9293+Sens!$D$9294-Sens!$D$9295</f>
        <v>0</v>
      </c>
      <c r="E9296" s="41" t="n">
        <f aca="false">Sens!$E$9285+Sens!$E$9290+Sens!$E$9293+Sens!$E$9294-Sens!$E$9295</f>
        <v>0</v>
      </c>
      <c r="F9296" s="41" t="n">
        <f aca="false">Sens!$F$9285+Sens!$F$9290+Sens!$F$9293+Sens!$F$9294-Sens!$F$9295</f>
        <v>0</v>
      </c>
      <c r="G9296" s="41" t="n">
        <f aca="false">Sens!$G$9285+Sens!$G$9290+Sens!$G$9293+Sens!$G$9294-Sens!$G$9295</f>
        <v>0</v>
      </c>
      <c r="H9296" s="41" t="n">
        <f aca="false">Sens!$H$9285+Sens!$H$9290+Sens!$H$9293+Sens!$H$9294-Sens!$H$9295</f>
        <v>0</v>
      </c>
      <c r="I9296" s="41" t="n">
        <f aca="false">Sens!$I$9285+Sens!$I$9290+Sens!$I$9293+Sens!$I$9294-Sens!$I$9295</f>
        <v>0</v>
      </c>
      <c r="J9296" s="41" t="n">
        <f aca="false">Sens!$J$9285+Sens!$J$9290+Sens!$J$9293+Sens!$J$9294-Sens!$J$9295</f>
        <v>0</v>
      </c>
      <c r="K9296" s="41" t="n">
        <f aca="false">Sens!$K$9285+Sens!$K$9290+Sens!$K$9293+Sens!$K$9294-Sens!$K$9295</f>
        <v>0</v>
      </c>
      <c r="L9296" s="41" t="n">
        <f aca="false">Sens!$L$9285+Sens!$L$9290+Sens!$L$9293+Sens!$L$9294-Sens!$L$9295</f>
        <v>0</v>
      </c>
      <c r="M9296" s="41" t="n">
        <f aca="false">Sens!$M$9285+Sens!$M$9290+Sens!$M$9293+Sens!$M$9294-Sens!$M$9295</f>
        <v>0</v>
      </c>
      <c r="N9296" s="41" t="n">
        <f aca="false">Sens!$N$9285+Sens!$N$9290+Sens!$N$9293+Sens!$N$9294-Sens!$N$9295</f>
        <v>0</v>
      </c>
      <c r="O9296" s="41" t="n">
        <f aca="false">Sens!$O$9285+Sens!$O$9290+Sens!$O$9293+Sens!$O$9294-Sens!$O$9295</f>
        <v>0</v>
      </c>
    </row>
    <row r="9297" customFormat="false" ht="17.15" hidden="false" customHeight="false" outlineLevel="0" collapsed="false">
      <c r="A9297" s="5" t="s">
        <v>746</v>
      </c>
      <c r="B9297" s="0" t="s">
        <v>86</v>
      </c>
      <c r="C9297" s="38" t="n">
        <f aca="false">Sens!$C$9233</f>
        <v>0</v>
      </c>
      <c r="D9297" s="38" t="n">
        <f aca="false">Sens!$D$9233</f>
        <v>0</v>
      </c>
      <c r="E9297" s="38" t="n">
        <f aca="false">Sens!$E$9233</f>
        <v>0</v>
      </c>
      <c r="F9297" s="38" t="n">
        <f aca="false">Sens!$F$9233</f>
        <v>3.77122048175818</v>
      </c>
      <c r="G9297" s="38" t="n">
        <f aca="false">Sens!$G$9233</f>
        <v>3.77122048175818</v>
      </c>
      <c r="H9297" s="38" t="n">
        <f aca="false">Sens!$H$9233</f>
        <v>15.1635543609893</v>
      </c>
      <c r="I9297" s="38" t="n">
        <f aca="false">Sens!$I$9233</f>
        <v>25.5818843619889</v>
      </c>
      <c r="J9297" s="38" t="n">
        <f aca="false">Sens!$J$9233</f>
        <v>36.0465624179122</v>
      </c>
      <c r="K9297" s="38" t="n">
        <f aca="false">Sens!$K$9233</f>
        <v>45.0461919819152</v>
      </c>
      <c r="L9297" s="38" t="n">
        <f aca="false">Sens!$L$9233</f>
        <v>51.1279288493339</v>
      </c>
      <c r="M9297" s="38" t="n">
        <f aca="false">Sens!$M$9233</f>
        <v>54.2845128319481</v>
      </c>
      <c r="N9297" s="38" t="n">
        <f aca="false">Sens!$N$9233</f>
        <v>0</v>
      </c>
      <c r="O9297" s="38" t="n">
        <f aca="false">Sens!$O$9233</f>
        <v>0</v>
      </c>
      <c r="P9297" s="5" t="s">
        <v>747</v>
      </c>
    </row>
    <row r="9298" customFormat="false" ht="17.15" hidden="false" customHeight="false" outlineLevel="0" collapsed="false">
      <c r="A9298" s="5" t="s">
        <v>748</v>
      </c>
      <c r="B9298" s="0" t="s">
        <v>86</v>
      </c>
      <c r="C9298" s="38" t="n">
        <f aca="false">Sens!$C$9295+Sens!$C$9297</f>
        <v>68.593</v>
      </c>
      <c r="D9298" s="38" t="n">
        <f aca="false">Sens!$D$9295+Sens!$D$9297</f>
        <v>79.975</v>
      </c>
      <c r="E9298" s="38" t="n">
        <f aca="false">Sens!$E$9295+Sens!$E$9297</f>
        <v>51.313</v>
      </c>
      <c r="F9298" s="38" t="n">
        <f aca="false">Sens!$F$9295+Sens!$F$9297</f>
        <v>60.1364771804876</v>
      </c>
      <c r="G9298" s="38" t="n">
        <f aca="false">Sens!$G$9295+Sens!$G$9297</f>
        <v>111.449477180488</v>
      </c>
      <c r="H9298" s="38" t="n">
        <f aca="false">Sens!$H$9295+Sens!$H$9297</f>
        <v>144.679011231256</v>
      </c>
      <c r="I9298" s="38" t="n">
        <f aca="false">Sens!$I$9295+Sens!$I$9297</f>
        <v>170.927271444615</v>
      </c>
      <c r="J9298" s="38" t="n">
        <f aca="false">Sens!$J$9295+Sens!$J$9297</f>
        <v>199.908704287628</v>
      </c>
      <c r="K9298" s="38" t="n">
        <f aca="false">Sens!$K$9295+Sens!$K$9297</f>
        <v>220.825515233056</v>
      </c>
      <c r="L9298" s="38" t="n">
        <f aca="false">Sens!$L$9295+Sens!$L$9297</f>
        <v>238.083787194921</v>
      </c>
      <c r="M9298" s="38" t="n">
        <f aca="false">Sens!$M$9295+Sens!$M$9297</f>
        <v>253.403511195645</v>
      </c>
      <c r="N9298" s="38" t="n">
        <f aca="false">Sens!$N$9295+Sens!$N$9297</f>
        <v>37.576</v>
      </c>
      <c r="O9298" s="38" t="n">
        <f aca="false">Sens!$O$9295+Sens!$O$9297</f>
        <v>42.399</v>
      </c>
    </row>
    <row r="9299" customFormat="false" ht="17.15" hidden="false" customHeight="false" outlineLevel="0" collapsed="false">
      <c r="A9299" s="0" t="s">
        <v>749</v>
      </c>
      <c r="B9299" s="0" t="s">
        <v>52</v>
      </c>
      <c r="C9299" s="13" t="n">
        <f aca="false">Sens!$C$9285/Sens!$C$9270</f>
        <v>0.0644314665661928</v>
      </c>
      <c r="D9299" s="13" t="n">
        <f aca="false">Sens!$D$9285/Sens!$D$9270</f>
        <v>0.0694784250712518</v>
      </c>
      <c r="E9299" s="13" t="n">
        <f aca="false">Sens!$E$9285/Sens!$E$9270</f>
        <v>0.0789306463326071</v>
      </c>
      <c r="F9299" s="13" t="n">
        <f aca="false">Sens!$F$9285/Sens!$F$9270</f>
        <v>0.0802526339438384</v>
      </c>
      <c r="G9299" s="13" t="n">
        <f aca="false">Sens!$G$9285/Sens!$G$9270</f>
        <v>0.0796341940538369</v>
      </c>
      <c r="H9299" s="13" t="n">
        <f aca="false">Sens!$H$9285/Sens!$H$9270</f>
        <v>0.0798254462645258</v>
      </c>
      <c r="I9299" s="13" t="n">
        <f aca="false">Sens!$I$9285/Sens!$I$9270</f>
        <v>0.0771454543672196</v>
      </c>
      <c r="J9299" s="13" t="n">
        <f aca="false">Sens!$J$9285/Sens!$J$9270</f>
        <v>0.0756147693819656</v>
      </c>
      <c r="K9299" s="13" t="n">
        <f aca="false">Sens!$K$9285/Sens!$K$9270</f>
        <v>0.0738869244938598</v>
      </c>
      <c r="L9299" s="13" t="n">
        <f aca="false">Sens!$L$9285/Sens!$L$9270</f>
        <v>0.0729413856455048</v>
      </c>
      <c r="M9299" s="13" t="n">
        <f aca="false">Sens!$M$9285/Sens!$M$9270</f>
        <v>0.0748191774302641</v>
      </c>
      <c r="N9299" s="13" t="n">
        <f aca="false">Sens!$N$9285/Sens!$N$9270</f>
        <v>0.069228576611127</v>
      </c>
      <c r="O9299" s="13" t="n">
        <f aca="false">Sens!$O$9285/Sens!$O$9270</f>
        <v>0.069685022498393</v>
      </c>
    </row>
    <row r="9300" customFormat="false" ht="17.15" hidden="false" customHeight="false" outlineLevel="0" collapsed="false">
      <c r="A9300" s="0" t="s">
        <v>750</v>
      </c>
      <c r="B9300" s="0" t="s">
        <v>52</v>
      </c>
      <c r="C9300" s="13" t="n">
        <f aca="false">Sens!$C$9290/Sens!$C$9271</f>
        <v>0.026534925055631</v>
      </c>
      <c r="D9300" s="13" t="n">
        <f aca="false">Sens!$D$9290/Sens!$D$9271</f>
        <v>0.0293401855535103</v>
      </c>
      <c r="E9300" s="13" t="n">
        <f aca="false">Sens!$E$9290/Sens!$E$9271</f>
        <v>0.03831141902276</v>
      </c>
      <c r="F9300" s="13" t="n">
        <f aca="false">Sens!$F$9290/Sens!$F$9271</f>
        <v>0.0282118989524726</v>
      </c>
      <c r="G9300" s="13" t="n">
        <f aca="false">Sens!$G$9290/Sens!$G$9271</f>
        <v>0.0328019468674976</v>
      </c>
      <c r="H9300" s="13" t="n">
        <f aca="false">Sens!$H$9290/Sens!$H$9271</f>
        <v>0.0309879507899839</v>
      </c>
      <c r="I9300" s="13" t="n">
        <f aca="false">Sens!$I$9290/Sens!$I$9271</f>
        <v>0.0262795332043765</v>
      </c>
      <c r="J9300" s="13" t="n">
        <f aca="false">Sens!$J$9290/Sens!$J$9271</f>
        <v>0.0226574435353346</v>
      </c>
      <c r="K9300" s="13" t="n">
        <f aca="false">Sens!$K$9290/Sens!$K$9271</f>
        <v>0.0187335524288883</v>
      </c>
      <c r="L9300" s="13" t="n">
        <f aca="false">Sens!$L$9290/Sens!$L$9271</f>
        <v>0.0181341556704294</v>
      </c>
      <c r="M9300" s="13" t="n">
        <f aca="false">Sens!$M$9290/Sens!$M$9271</f>
        <v>0.0203660964800158</v>
      </c>
      <c r="N9300" s="13" t="n">
        <f aca="false">Sens!$N$9290/Sens!$N$9271</f>
        <v>0.0357315650169337</v>
      </c>
      <c r="O9300" s="13" t="n">
        <f aca="false">Sens!$O$9290/Sens!$O$9271</f>
        <v>0.0244378956559703</v>
      </c>
    </row>
    <row r="9301" customFormat="false" ht="17.15" hidden="false" customHeight="false" outlineLevel="0" collapsed="false">
      <c r="A9301" s="14" t="s">
        <v>751</v>
      </c>
      <c r="B9301" s="14" t="s">
        <v>52</v>
      </c>
      <c r="C9301" s="17" t="n">
        <f aca="false">Sens!$C$9293/Sens!$C$9272</f>
        <v>0.370355907620217</v>
      </c>
      <c r="D9301" s="17" t="n">
        <f aca="false">Sens!$D$9293/Sens!$D$9272</f>
        <v>0.35429015342785</v>
      </c>
      <c r="E9301" s="17" t="n">
        <f aca="false">Sens!$E$9293/Sens!$E$9272</f>
        <v>0.385647527531039</v>
      </c>
      <c r="F9301" s="17" t="n">
        <f aca="false">Sens!$F$9293/Sens!$F$9272</f>
        <v>0.385949613469105</v>
      </c>
      <c r="G9301" s="17" t="n">
        <f aca="false">Sens!$G$9293/Sens!$G$9272</f>
        <v>0.385804840448779</v>
      </c>
      <c r="H9301" s="17" t="n">
        <f aca="false">Sens!$H$9293/Sens!$H$9272</f>
        <v>0.369408675360557</v>
      </c>
      <c r="I9301" s="17" t="n">
        <f aca="false">Sens!$I$9293/Sens!$I$9272</f>
        <v>0.34117504540738</v>
      </c>
      <c r="J9301" s="17" t="n">
        <f aca="false">Sens!$J$9293/Sens!$J$9272</f>
        <v>0.330544285732563</v>
      </c>
      <c r="K9301" s="17" t="n">
        <f aca="false">Sens!$K$9293/Sens!$K$9272</f>
        <v>0.314391026840651</v>
      </c>
      <c r="L9301" s="17" t="n">
        <f aca="false">Sens!$L$9293/Sens!$L$9272</f>
        <v>0.304277342899302</v>
      </c>
      <c r="M9301" s="17" t="n">
        <f aca="false">Sens!$M$9293/Sens!$M$9272</f>
        <v>0.298043452941865</v>
      </c>
      <c r="N9301" s="17" t="n">
        <f aca="false">Sens!$N$9293/Sens!$N$9272</f>
        <v>0.360941137346192</v>
      </c>
      <c r="O9301" s="17" t="n">
        <f aca="false">Sens!$O$9293/Sens!$O$9272</f>
        <v>0.348458117664212</v>
      </c>
    </row>
    <row r="9302" customFormat="false" ht="17.15" hidden="false" customHeight="false" outlineLevel="0" collapsed="false">
      <c r="A9302" s="0" t="s">
        <v>752</v>
      </c>
      <c r="B9302" s="0" t="s">
        <v>52</v>
      </c>
      <c r="C9302" s="13" t="n">
        <f aca="false">Sens!$C$9291/Sens!$C$9273</f>
        <v>0.708390794789371</v>
      </c>
      <c r="D9302" s="13" t="n">
        <f aca="false">Sens!$D$9291/Sens!$D$9273</f>
        <v>0.619415573115729</v>
      </c>
      <c r="E9302" s="13" t="n">
        <f aca="false">Sens!$E$9291/Sens!$E$9273</f>
        <v>0.285171627189009</v>
      </c>
      <c r="F9302" s="13" t="n">
        <f aca="false">Sens!$F$9291/Sens!$F$9273</f>
        <v>0.502657732812366</v>
      </c>
      <c r="G9302" s="13" t="n">
        <f aca="false">Sens!$G$9291/Sens!$G$9273</f>
        <v>0.423808778611812</v>
      </c>
      <c r="H9302" s="13" t="n">
        <f aca="false">Sens!$H$9291/Sens!$H$9273</f>
        <v>0.390261631739809</v>
      </c>
      <c r="I9302" s="13" t="n">
        <f aca="false">Sens!$I$9291/Sens!$I$9273</f>
        <v>0.305172864264572</v>
      </c>
      <c r="J9302" s="13" t="n">
        <f aca="false">Sens!$J$9291/Sens!$J$9273</f>
        <v>0.288011814789856</v>
      </c>
      <c r="K9302" s="13" t="n">
        <f aca="false">Sens!$K$9291/Sens!$K$9273</f>
        <v>0.258524307562373</v>
      </c>
      <c r="L9302" s="13" t="n">
        <f aca="false">Sens!$L$9291/Sens!$L$9273</f>
        <v>0.23973400446073</v>
      </c>
      <c r="M9302" s="13" t="n">
        <f aca="false">Sens!$M$9291/Sens!$M$9273</f>
        <v>0.225252234257832</v>
      </c>
      <c r="N9302" s="13" t="n">
        <f aca="false">Sens!$N$9291/Sens!$N$9273</f>
        <v>0.551227795793364</v>
      </c>
      <c r="O9302" s="13" t="n">
        <f aca="false">Sens!$O$9291/Sens!$O$9273</f>
        <v>0.656132068597002</v>
      </c>
    </row>
    <row r="9303" customFormat="false" ht="15" hidden="false" customHeight="false" outlineLevel="0" collapsed="false">
      <c r="A9303" s="5" t="s">
        <v>753</v>
      </c>
      <c r="B9303" s="0" t="s">
        <v>52</v>
      </c>
      <c r="C9303" s="13" t="n">
        <f aca="false">Sens!$C$9295/Sens!$C$9275</f>
        <v>0.107519448742004</v>
      </c>
      <c r="D9303" s="13" t="n">
        <f aca="false">Sens!$D$9295/Sens!$D$9275</f>
        <v>0.111552967957552</v>
      </c>
      <c r="E9303" s="13" t="n">
        <f aca="false">Sens!$E$9295/Sens!$E$9275</f>
        <v>0.13428328426562</v>
      </c>
      <c r="F9303" s="13" t="n">
        <f aca="false">Sens!$F$9295/Sens!$F$9275</f>
        <v>0.129343087287827</v>
      </c>
      <c r="G9303" s="13" t="n">
        <f aca="false">Sens!$G$9295/Sens!$G$9275</f>
        <v>0.131651143259596</v>
      </c>
      <c r="H9303" s="13" t="n">
        <f aca="false">Sens!$H$9295/Sens!$H$9275</f>
        <v>0.137449034763893</v>
      </c>
      <c r="I9303" s="13" t="n">
        <f aca="false">Sens!$I$9295/Sens!$I$9275</f>
        <v>0.13598895915033</v>
      </c>
      <c r="J9303" s="13" t="n">
        <f aca="false">Sens!$J$9295/Sens!$J$9275</f>
        <v>0.137709769017663</v>
      </c>
      <c r="K9303" s="13" t="n">
        <f aca="false">Sens!$K$9295/Sens!$K$9275</f>
        <v>0.135595769442478</v>
      </c>
      <c r="L9303" s="13" t="n">
        <f aca="false">Sens!$L$9295/Sens!$L$9275</f>
        <v>0.133892716933209</v>
      </c>
      <c r="M9303" s="13" t="n">
        <f aca="false">Sens!$M$9295/Sens!$M$9275</f>
        <v>0.133622690533493</v>
      </c>
      <c r="N9303" s="13" t="n">
        <f aca="false">Sens!$N$9295/Sens!$N$9275</f>
        <v>0.116201614873411</v>
      </c>
      <c r="O9303" s="13" t="n">
        <f aca="false">Sens!$O$9295/Sens!$O$9275</f>
        <v>0.107733353660861</v>
      </c>
    </row>
    <row r="9304" customFormat="false" ht="17.15" hidden="false" customHeight="false" outlineLevel="0" collapsed="false">
      <c r="A9304" s="1" t="s">
        <v>754</v>
      </c>
    </row>
    <row r="9305" customFormat="false" ht="17.15" hidden="false" customHeight="false" outlineLevel="0" collapsed="false">
      <c r="A9305" s="5" t="s">
        <v>755</v>
      </c>
      <c r="B9305" s="0" t="s">
        <v>52</v>
      </c>
      <c r="D9305" s="28" t="n">
        <f aca="false">(Q!$E$29+Q!$E$30-(1-ext_sh)*Sens!$D$9227)/Sens!$D$9178</f>
        <v>0.0341105596409988</v>
      </c>
    </row>
    <row r="9306" customFormat="false" ht="17.15" hidden="false" customHeight="false" outlineLevel="0" collapsed="false">
      <c r="A9306" s="0" t="s">
        <v>545</v>
      </c>
      <c r="B9306" s="0" t="s">
        <v>86</v>
      </c>
      <c r="C9306" s="38" t="n">
        <f aca="false">Q!$D$29</f>
        <v>14.285</v>
      </c>
      <c r="D9306" s="38" t="n">
        <f aca="false">Q!$E$29</f>
        <v>15.503</v>
      </c>
      <c r="E9306" s="38" t="n">
        <f aca="false">Q!$P$29</f>
        <v>8.78</v>
      </c>
      <c r="F9306" s="38" t="n">
        <f aca="false">(Sens!$D$9305*Sens!$F$9178+(1-ext_sh)*Sens!$F$9227)*Sens!$F$9179</f>
        <v>9.30317620449232</v>
      </c>
      <c r="G9306" s="38" t="n">
        <f aca="false">Sens!$E$9306+Sens!$F$9306</f>
        <v>18.0831762044923</v>
      </c>
      <c r="H9306" s="38" t="n">
        <f aca="false">(Sens!$D$9305*Sens!$H$9178+(1-ext_sh)*Sens!$H$9227)*Sens!$H$9179</f>
        <v>22.1297245338482</v>
      </c>
      <c r="I9306" s="38" t="n">
        <f aca="false">(Sens!$D$9305*Sens!$I$9178+(1-ext_sh)*Sens!$I$9227)*Sens!$I$9179</f>
        <v>28.409695984391</v>
      </c>
      <c r="J9306" s="38" t="n">
        <f aca="false">(Sens!$D$9305*Sens!$J$9178+(1-ext_sh)*Sens!$J$9227)*Sens!$J$9179</f>
        <v>34.1085606174579</v>
      </c>
      <c r="K9306" s="38" t="n">
        <f aca="false">(Sens!$D$9305*Sens!$K$9178+(1-ext_sh)*Sens!$K$9227)*Sens!$K$9179</f>
        <v>39.7218983009068</v>
      </c>
      <c r="L9306" s="38" t="n">
        <f aca="false">(Sens!$D$9305*Sens!$L$9178+(1-ext_sh)*Sens!$L$9227)*Sens!$L$9179</f>
        <v>44.2244356822401</v>
      </c>
      <c r="M9306" s="38" t="n">
        <f aca="false">(Sens!$D$9305*Sens!$M$9178+(1-ext_sh)*Sens!$M$9227)*Sens!$M$9179</f>
        <v>47.610530532044</v>
      </c>
      <c r="N9306" s="38" t="n">
        <f aca="false">Q!$N$29</f>
        <v>7.272</v>
      </c>
      <c r="O9306" s="38" t="n">
        <f aca="false">Q!$O$29</f>
        <v>8.231</v>
      </c>
    </row>
    <row r="9307" customFormat="false" ht="17.15" hidden="false" customHeight="false" outlineLevel="0" collapsed="false">
      <c r="A9307" s="0" t="s">
        <v>547</v>
      </c>
      <c r="B9307" s="0" t="s">
        <v>86</v>
      </c>
      <c r="C9307" s="38" t="n">
        <f aca="false">Q!$D$30</f>
        <v>4.462</v>
      </c>
      <c r="D9307" s="38" t="n">
        <f aca="false">Q!$E$30</f>
        <v>4.907</v>
      </c>
      <c r="E9307" s="38" t="n">
        <f aca="false">Q!$P$30</f>
        <v>2.57</v>
      </c>
      <c r="F9307" s="38" t="n">
        <f aca="false">(Sens!$D$9305*Sens!$F$9178+(1-ext_sh)*Sens!$F$9227)*(1-Sens!$F$9179)</f>
        <v>3.6526976809753</v>
      </c>
      <c r="G9307" s="38" t="n">
        <f aca="false">Sens!$E$9307+Sens!$F$9307</f>
        <v>6.2226976809753</v>
      </c>
      <c r="H9307" s="38" t="n">
        <f aca="false">(Sens!$D$9305*Sens!$H$9178+(1-ext_sh)*Sens!$H$9227)*(1-Sens!$H$9179)</f>
        <v>8.4764774248495</v>
      </c>
      <c r="I9307" s="38" t="n">
        <f aca="false">(Sens!$D$9305*Sens!$I$9178+(1-ext_sh)*Sens!$I$9227)*(1-Sens!$I$9179)</f>
        <v>10.881931507561</v>
      </c>
      <c r="J9307" s="38" t="n">
        <f aca="false">(Sens!$D$9305*Sens!$J$9178+(1-ext_sh)*Sens!$J$9227)*(1-Sens!$J$9179)</f>
        <v>13.0648008575874</v>
      </c>
      <c r="K9307" s="38" t="n">
        <f aca="false">(Sens!$D$9305*Sens!$K$9178+(1-ext_sh)*Sens!$K$9227)*(1-Sens!$K$9179)</f>
        <v>15.2149103214008</v>
      </c>
      <c r="L9307" s="38" t="n">
        <f aca="false">(Sens!$D$9305*Sens!$L$9178+(1-ext_sh)*Sens!$L$9227)*(1-Sens!$L$9179)</f>
        <v>16.9395434685074</v>
      </c>
      <c r="M9307" s="38" t="n">
        <f aca="false">(Sens!$D$9305*Sens!$M$9178+(1-ext_sh)*Sens!$M$9227)*(1-Sens!$M$9179)</f>
        <v>18.2365391228754</v>
      </c>
      <c r="N9307" s="38" t="n">
        <f aca="false">Q!$N$30</f>
        <v>2.316</v>
      </c>
      <c r="O9307" s="38" t="n">
        <f aca="false">Q!$O$30</f>
        <v>2.591</v>
      </c>
    </row>
    <row r="9308" customFormat="false" ht="17.15" hidden="false" customHeight="false" outlineLevel="0" collapsed="false">
      <c r="A9308" s="0" t="s">
        <v>548</v>
      </c>
      <c r="B9308" s="0" t="s">
        <v>86</v>
      </c>
      <c r="C9308" s="38" t="n">
        <f aca="false">Sens!$C$9239</f>
        <v>13.32</v>
      </c>
      <c r="D9308" s="38" t="n">
        <f aca="false">Sens!$D$9239</f>
        <v>21.45</v>
      </c>
      <c r="E9308" s="38" t="n">
        <f aca="false">Sens!$E$9239</f>
        <v>15.353</v>
      </c>
      <c r="F9308" s="38" t="n">
        <f aca="false">Sens!$F$9239</f>
        <v>16.1969869840094</v>
      </c>
      <c r="G9308" s="38" t="n">
        <f aca="false">Sens!$G$9239</f>
        <v>31.5499869840094</v>
      </c>
      <c r="H9308" s="38" t="n">
        <f aca="false">Sens!$H$9239</f>
        <v>50.9556213609176</v>
      </c>
      <c r="I9308" s="38" t="n">
        <f aca="false">Sens!$I$9239</f>
        <v>79.464581248252</v>
      </c>
      <c r="J9308" s="38" t="n">
        <f aca="false">Sens!$J$9239</f>
        <v>105.296127931746</v>
      </c>
      <c r="K9308" s="38" t="n">
        <f aca="false">Sens!$K$9239</f>
        <v>131.454694001511</v>
      </c>
      <c r="L9308" s="38" t="n">
        <f aca="false">Sens!$L$9239</f>
        <v>151.152512648088</v>
      </c>
      <c r="M9308" s="38" t="n">
        <f aca="false">Sens!$M$9239</f>
        <v>164.335621193048</v>
      </c>
      <c r="N9308" s="38" t="n">
        <f aca="false">Sens!$N$9239</f>
        <v>9.234</v>
      </c>
      <c r="O9308" s="38" t="n">
        <f aca="false">Sens!$O$9239</f>
        <v>12.216</v>
      </c>
    </row>
    <row r="9309" customFormat="false" ht="17.15" hidden="false" customHeight="false" outlineLevel="0" collapsed="false">
      <c r="A9309" s="5" t="s">
        <v>756</v>
      </c>
      <c r="B9309" s="0" t="s">
        <v>86</v>
      </c>
      <c r="C9309" s="38" t="n">
        <f aca="false">Sens!$C$9306+Sens!$C$9307+Sens!$C$9308</f>
        <v>32.067</v>
      </c>
      <c r="D9309" s="38" t="n">
        <f aca="false">Sens!$D$9306+Sens!$D$9307+Sens!$D$9308</f>
        <v>41.86</v>
      </c>
      <c r="E9309" s="38" t="n">
        <f aca="false">Sens!$E$9306+Sens!$E$9307+Sens!$E$9308</f>
        <v>26.703</v>
      </c>
      <c r="F9309" s="38" t="n">
        <f aca="false">Sens!$F$9306+Sens!$F$9307+Sens!$F$9308</f>
        <v>29.152860869477</v>
      </c>
      <c r="G9309" s="38" t="n">
        <f aca="false">Sens!$G$9306+Sens!$G$9307+Sens!$G$9308</f>
        <v>55.855860869477</v>
      </c>
      <c r="H9309" s="38" t="n">
        <f aca="false">Sens!$H$9306+Sens!$H$9307+Sens!$H$9308</f>
        <v>81.5618233196153</v>
      </c>
      <c r="I9309" s="38" t="n">
        <f aca="false">Sens!$I$9306+Sens!$I$9307+Sens!$I$9308</f>
        <v>118.756208740204</v>
      </c>
      <c r="J9309" s="38" t="n">
        <f aca="false">Sens!$J$9306+Sens!$J$9307+Sens!$J$9308</f>
        <v>152.469489406791</v>
      </c>
      <c r="K9309" s="38" t="n">
        <f aca="false">Sens!$K$9306+Sens!$K$9307+Sens!$K$9308</f>
        <v>186.391502623819</v>
      </c>
      <c r="L9309" s="38" t="n">
        <f aca="false">Sens!$L$9306+Sens!$L$9307+Sens!$L$9308</f>
        <v>212.316491798836</v>
      </c>
      <c r="M9309" s="38" t="n">
        <f aca="false">Sens!$M$9306+Sens!$M$9307+Sens!$M$9308</f>
        <v>230.182690847967</v>
      </c>
      <c r="N9309" s="38" t="n">
        <f aca="false">Sens!$N$9306+Sens!$N$9307+Sens!$N$9308</f>
        <v>18.822</v>
      </c>
      <c r="O9309" s="38" t="n">
        <f aca="false">Sens!$O$9306+Sens!$O$9307+Sens!$O$9308</f>
        <v>23.038</v>
      </c>
    </row>
    <row r="9310" customFormat="false" ht="17.15" hidden="false" customHeight="false" outlineLevel="0" collapsed="false">
      <c r="A9310" s="0" t="s">
        <v>757</v>
      </c>
      <c r="B9310" s="0" t="s">
        <v>86</v>
      </c>
      <c r="C9310" s="38" t="n">
        <f aca="false">Sens!$C$9281+Sens!$C$9286</f>
        <v>28.107</v>
      </c>
      <c r="D9310" s="38" t="n">
        <f aca="false">Sens!$D$9281+Sens!$D$9286</f>
        <v>34.3175</v>
      </c>
      <c r="E9310" s="38" t="n">
        <f aca="false">Sens!$E$9281+Sens!$E$9286</f>
        <v>18.526</v>
      </c>
      <c r="F9310" s="38" t="n">
        <f aca="false">Sens!$F$9281+Sens!$F$9286</f>
        <v>23.0786109972074</v>
      </c>
      <c r="G9310" s="38" t="n">
        <f aca="false">Sens!$G$9281+Sens!$G$9286</f>
        <v>41.6046109972074</v>
      </c>
      <c r="H9310" s="38" t="n">
        <f aca="false">Sens!$H$9281+Sens!$H$9286</f>
        <v>49.9484611939488</v>
      </c>
      <c r="I9310" s="38" t="n">
        <f aca="false">Sens!$I$9281+Sens!$I$9286</f>
        <v>58.2915555477481</v>
      </c>
      <c r="J9310" s="38" t="n">
        <f aca="false">Sens!$J$9281+Sens!$J$9286</f>
        <v>66.0744709709759</v>
      </c>
      <c r="K9310" s="38" t="n">
        <f aca="false">Sens!$K$9281+Sens!$K$9286</f>
        <v>72.6819180680735</v>
      </c>
      <c r="L9310" s="38" t="n">
        <f aca="false">Sens!$L$9281+Sens!$L$9286</f>
        <v>79.9501098748808</v>
      </c>
      <c r="M9310" s="38" t="n">
        <f aca="false">Sens!$M$9281+Sens!$M$9286</f>
        <v>87.9451208623689</v>
      </c>
      <c r="N9310" s="38" t="n">
        <f aca="false">Sens!$N$9281+Sens!$N$9286</f>
        <v>14.8075</v>
      </c>
      <c r="O9310" s="38" t="n">
        <f aca="false">Sens!$O$9281+Sens!$O$9286</f>
        <v>19.51</v>
      </c>
    </row>
    <row r="9311" customFormat="false" ht="17.15" hidden="false" customHeight="false" outlineLevel="0" collapsed="false">
      <c r="A9311" s="0" t="s">
        <v>758</v>
      </c>
      <c r="B9311" s="0" t="s">
        <v>86</v>
      </c>
      <c r="C9311" s="38" t="n">
        <f aca="false">Sens!$C$9285+Sens!$C$9290+Sens!$C$9306+Sens!$C$9307-Sens!$C$9310</f>
        <v>19.399</v>
      </c>
      <c r="D9311" s="38" t="n">
        <f aca="false">Sens!$D$9285+Sens!$D$9290+Sens!$D$9306+Sens!$D$9307-Sens!$D$9310</f>
        <v>20.4615</v>
      </c>
      <c r="E9311" s="38" t="n">
        <f aca="false">Sens!$E$9285+Sens!$E$9290+Sens!$E$9306+Sens!$E$9307-Sens!$E$9310</f>
        <v>13.355</v>
      </c>
      <c r="F9311" s="38" t="n">
        <f aca="false">Sens!$F$9285+Sens!$F$9290+Sens!$F$9306+Sens!$F$9307-Sens!$F$9310</f>
        <v>12.7680546411015</v>
      </c>
      <c r="G9311" s="38" t="n">
        <f aca="false">Sens!$G$9285+Sens!$G$9290+Sens!$G$9306+Sens!$G$9307-Sens!$G$9310</f>
        <v>26.1230546411015</v>
      </c>
      <c r="H9311" s="38" t="n">
        <f aca="false">Sens!$H$9285+Sens!$H$9290+Sens!$H$9306+Sens!$H$9307-Sens!$H$9310</f>
        <v>28.4662904769959</v>
      </c>
      <c r="I9311" s="38" t="n">
        <f aca="false">Sens!$I$9285+Sens!$I$9290+Sens!$I$9306+Sens!$I$9307-Sens!$I$9310</f>
        <v>30.7231490427408</v>
      </c>
      <c r="J9311" s="38" t="n">
        <f aca="false">Sens!$J$9285+Sens!$J$9290+Sens!$J$9306+Sens!$J$9307-Sens!$J$9310</f>
        <v>32.9723159380642</v>
      </c>
      <c r="K9311" s="38" t="n">
        <f aca="false">Sens!$K$9285+Sens!$K$9290+Sens!$K$9306+Sens!$K$9307-Sens!$K$9310</f>
        <v>35.3677378466089</v>
      </c>
      <c r="L9311" s="38" t="n">
        <f aca="false">Sens!$L$9285+Sens!$L$9290+Sens!$L$9306+Sens!$L$9307-Sens!$L$9310</f>
        <v>36.9599271486027</v>
      </c>
      <c r="M9311" s="38" t="n">
        <f aca="false">Sens!$M$9285+Sens!$M$9290+Sens!$M$9306+Sens!$M$9307-Sens!$M$9310</f>
        <v>39.3216920927112</v>
      </c>
      <c r="N9311" s="38" t="n">
        <f aca="false">Sens!$N$9285+Sens!$N$9290+Sens!$N$9306+Sens!$N$9307-Sens!$N$9310</f>
        <v>10.6495</v>
      </c>
      <c r="O9311" s="38" t="n">
        <f aca="false">Sens!$O$9285+Sens!$O$9290+Sens!$O$9306+Sens!$O$9307-Sens!$O$9310</f>
        <v>9.81200000000001</v>
      </c>
    </row>
    <row r="9312" customFormat="false" ht="17.15" hidden="false" customHeight="false" outlineLevel="0" collapsed="false">
      <c r="A9312" s="0" t="s">
        <v>759</v>
      </c>
      <c r="B9312" s="0" t="s">
        <v>86</v>
      </c>
      <c r="C9312" s="38" t="n">
        <f aca="false">Sens!$C$9292+Sens!$C$9308-ext_sh*Sens!$C$9227</f>
        <v>51.3470500115664</v>
      </c>
      <c r="D9312" s="38" t="n">
        <f aca="false">Sens!$D$9292+Sens!$D$9308-ext_sh*Sens!$D$9227</f>
        <v>60.2799375433739</v>
      </c>
      <c r="E9312" s="38" t="n">
        <f aca="false">Sens!$E$9292+Sens!$E$9308-ext_sh*Sens!$E$9227</f>
        <v>39.5095167090767</v>
      </c>
      <c r="F9312" s="38" t="n">
        <f aca="false">Sens!$F$9292+Sens!$F$9308-ext_sh*Sens!$F$9227</f>
        <v>37.951394214027</v>
      </c>
      <c r="G9312" s="38" t="n">
        <f aca="false">Sens!$G$9292+Sens!$G$9308-ext_sh*Sens!$G$9227</f>
        <v>77.4609109231037</v>
      </c>
      <c r="H9312" s="38" t="n">
        <f aca="false">Sens!$H$9292+Sens!$H$9308-ext_sh*Sens!$H$9227</f>
        <v>85.1453558128916</v>
      </c>
      <c r="I9312" s="38" t="n">
        <f aca="false">Sens!$I$9292+Sens!$I$9308-ext_sh*Sens!$I$9227</f>
        <v>94.532921967974</v>
      </c>
      <c r="J9312" s="38" t="n">
        <f aca="false">Sens!$J$9292+Sens!$J$9308-ext_sh*Sens!$J$9227</f>
        <v>103.525527532583</v>
      </c>
      <c r="K9312" s="38" t="n">
        <f aca="false">Sens!$K$9292+Sens!$K$9308-ext_sh*Sens!$K$9227</f>
        <v>111.80756973519</v>
      </c>
      <c r="L9312" s="38" t="n">
        <f aca="false">Sens!$L$9292+Sens!$L$9308-ext_sh*Sens!$L$9227</f>
        <v>120.752175314005</v>
      </c>
      <c r="M9312" s="38" t="n">
        <f aca="false">Sens!$M$9292+Sens!$M$9308-ext_sh*Sens!$M$9227</f>
        <v>130.412349339125</v>
      </c>
      <c r="N9312" s="38" t="n">
        <f aca="false">Sens!$N$9292+Sens!$N$9308-ext_sh*Sens!$N$9227</f>
        <v>28.5693781401809</v>
      </c>
      <c r="O9312" s="38" t="n">
        <f aca="false">Sens!$O$9292+Sens!$O$9308-ext_sh*Sens!$O$9227</f>
        <v>31.7105594031931</v>
      </c>
    </row>
    <row r="9313" customFormat="false" ht="17.15" hidden="false" customHeight="false" outlineLevel="0" collapsed="false">
      <c r="A9313" s="0" t="s">
        <v>760</v>
      </c>
      <c r="B9313" s="0" t="s">
        <v>86</v>
      </c>
      <c r="C9313" s="38" t="n">
        <f aca="false">Sens!$C$9230</f>
        <v>1.80694998843362</v>
      </c>
      <c r="D9313" s="38" t="n">
        <f aca="false">Sens!$D$9230</f>
        <v>6.77606245662607</v>
      </c>
      <c r="E9313" s="38" t="n">
        <f aca="false">Sens!$E$9230</f>
        <v>6.62548329092326</v>
      </c>
      <c r="F9313" s="38" t="n">
        <f aca="false">Sens!$F$9230</f>
        <v>11.7200577158706</v>
      </c>
      <c r="G9313" s="38" t="n">
        <f aca="false">Sens!$G$9230</f>
        <v>18.3455410067939</v>
      </c>
      <c r="H9313" s="38" t="n">
        <f aca="false">Sens!$H$9230</f>
        <v>47.5171727060453</v>
      </c>
      <c r="I9313" s="38" t="n">
        <f aca="false">Sens!$I$9230</f>
        <v>80.5539692643667</v>
      </c>
      <c r="J9313" s="38" t="n">
        <f aca="false">Sens!$J$9230</f>
        <v>113.759316834883</v>
      </c>
      <c r="K9313" s="38" t="n">
        <f aca="false">Sens!$K$9230</f>
        <v>142.313600225088</v>
      </c>
      <c r="L9313" s="38" t="n">
        <f aca="false">Sens!$L$9230</f>
        <v>161.610137806934</v>
      </c>
      <c r="M9313" s="38" t="n">
        <f aca="false">Sens!$M$9230</f>
        <v>171.622526917459</v>
      </c>
      <c r="N9313" s="38" t="n">
        <f aca="false">Sens!$N$9230</f>
        <v>2.37162185981912</v>
      </c>
      <c r="O9313" s="38" t="n">
        <f aca="false">Sens!$O$9230</f>
        <v>4.40444059680694</v>
      </c>
    </row>
    <row r="9314" customFormat="false" ht="17.15" hidden="false" customHeight="false" outlineLevel="0" collapsed="false">
      <c r="A9314" s="0" t="s">
        <v>761</v>
      </c>
      <c r="B9314" s="0" t="s">
        <v>86</v>
      </c>
      <c r="C9314" s="38" t="n">
        <f aca="false">Sens!$C$9295+Sens!$C$9309</f>
        <v>100.66</v>
      </c>
      <c r="D9314" s="38" t="n">
        <f aca="false">Sens!$D$9295+Sens!$D$9309</f>
        <v>121.835</v>
      </c>
      <c r="E9314" s="38" t="n">
        <f aca="false">Sens!$E$9295+Sens!$E$9309</f>
        <v>78.016</v>
      </c>
      <c r="F9314" s="38" t="n">
        <f aca="false">Sens!$F$9295+Sens!$F$9309</f>
        <v>85.5181175682064</v>
      </c>
      <c r="G9314" s="38" t="n">
        <f aca="false">Sens!$G$9295+Sens!$G$9309</f>
        <v>163.534117568206</v>
      </c>
      <c r="H9314" s="38" t="n">
        <f aca="false">Sens!$H$9295+Sens!$H$9309</f>
        <v>211.077280189882</v>
      </c>
      <c r="I9314" s="38" t="n">
        <f aca="false">Sens!$I$9295+Sens!$I$9309</f>
        <v>264.10159582283</v>
      </c>
      <c r="J9314" s="38" t="n">
        <f aca="false">Sens!$J$9295+Sens!$J$9309</f>
        <v>316.331631276507</v>
      </c>
      <c r="K9314" s="38" t="n">
        <f aca="false">Sens!$K$9295+Sens!$K$9309</f>
        <v>362.17082587496</v>
      </c>
      <c r="L9314" s="38" t="n">
        <f aca="false">Sens!$L$9295+Sens!$L$9309</f>
        <v>399.272350144423</v>
      </c>
      <c r="M9314" s="38" t="n">
        <f aca="false">Sens!$M$9295+Sens!$M$9309</f>
        <v>429.301689211664</v>
      </c>
      <c r="N9314" s="38" t="n">
        <f aca="false">Sens!$N$9295+Sens!$N$9309</f>
        <v>56.398</v>
      </c>
      <c r="O9314" s="38" t="n">
        <f aca="false">Sens!$O$9295+Sens!$O$9309</f>
        <v>65.437</v>
      </c>
    </row>
    <row r="9315" customFormat="false" ht="17.15" hidden="false" customHeight="false" outlineLevel="0" collapsed="false">
      <c r="A9315" s="1" t="s">
        <v>762</v>
      </c>
    </row>
    <row r="9316" customFormat="false" ht="15" hidden="false" customHeight="false" outlineLevel="0" collapsed="false">
      <c r="A9316" s="5" t="s">
        <v>551</v>
      </c>
      <c r="B9316" s="0" t="s">
        <v>86</v>
      </c>
      <c r="C9316" s="38" t="n">
        <f aca="false">Q!$D$34</f>
        <v>2.406</v>
      </c>
      <c r="D9316" s="38" t="n">
        <f aca="false">Q!$E$34</f>
        <v>2.274</v>
      </c>
      <c r="E9316" s="38" t="n">
        <f aca="false">Q!$P$34</f>
        <v>2.114</v>
      </c>
      <c r="F9316" s="38" t="n">
        <f aca="false">Sens!$F$9354</f>
        <v>3.24888962733561</v>
      </c>
      <c r="G9316" s="38" t="n">
        <f aca="false">Sens!$E$9316+Sens!$F$9316</f>
        <v>5.36288962733561</v>
      </c>
      <c r="H9316" s="38" t="n">
        <f aca="false">Sens!$H$9354</f>
        <v>7.42354172302123</v>
      </c>
      <c r="I9316" s="38" t="n">
        <f aca="false">Sens!$I$9354</f>
        <v>7.84418947693382</v>
      </c>
      <c r="J9316" s="38" t="n">
        <f aca="false">Sens!$J$9354</f>
        <v>8.79561318891235</v>
      </c>
      <c r="K9316" s="38" t="n">
        <f aca="false">Sens!$K$9354</f>
        <v>8.79561318891235</v>
      </c>
      <c r="L9316" s="38" t="n">
        <f aca="false">Sens!$L$9354</f>
        <v>8.79561318891235</v>
      </c>
      <c r="M9316" s="38" t="n">
        <f aca="false">Sens!$M$9354</f>
        <v>8.79561318891235</v>
      </c>
      <c r="N9316" s="38" t="n">
        <f aca="false">Q!$N$34</f>
        <v>1.057</v>
      </c>
      <c r="O9316" s="38" t="n">
        <f aca="false">Q!$O$34</f>
        <v>1.217</v>
      </c>
    </row>
    <row r="9317" customFormat="false" ht="15" hidden="false" customHeight="false" outlineLevel="0" collapsed="false">
      <c r="A9317" s="5" t="s">
        <v>763</v>
      </c>
      <c r="B9317" s="0" t="s">
        <v>86</v>
      </c>
      <c r="F9317" s="38" t="n">
        <f aca="false">Sens!$F$9355</f>
        <v>2.59</v>
      </c>
      <c r="H9317" s="38" t="n">
        <f aca="false">Sens!$H$9355</f>
        <v>4.1153774832261</v>
      </c>
      <c r="I9317" s="38" t="n">
        <f aca="false">Sens!$I$9355</f>
        <v>2.10589651022864</v>
      </c>
      <c r="J9317" s="38" t="n">
        <f aca="false">Sens!$J$9355</f>
        <v>2.10589651022864</v>
      </c>
      <c r="K9317" s="38" t="n">
        <f aca="false">Sens!$K$9355</f>
        <v>3.172800358404</v>
      </c>
      <c r="L9317" s="38" t="n">
        <f aca="false">Sens!$L$9355</f>
        <v>8.20129838047933</v>
      </c>
      <c r="M9317" s="38" t="n">
        <f aca="false">Sens!$M$9355</f>
        <v>15.6131222909464</v>
      </c>
    </row>
    <row r="9318" customFormat="false" ht="17.15" hidden="false" customHeight="false" outlineLevel="0" collapsed="false">
      <c r="A9318" s="5" t="s">
        <v>764</v>
      </c>
      <c r="B9318" s="0" t="s">
        <v>86</v>
      </c>
      <c r="C9318" s="38" t="n">
        <f aca="false">Q!$D$39</f>
        <v>2.427</v>
      </c>
      <c r="D9318" s="38" t="n">
        <f aca="false">Q!$E$39</f>
        <v>19.61</v>
      </c>
      <c r="E9318" s="38" t="n">
        <f aca="false">Q!$P$39</f>
        <v>71.492</v>
      </c>
      <c r="F9318" s="39" t="n">
        <v>0</v>
      </c>
      <c r="G9318" s="38" t="n">
        <f aca="false">Sens!$E$9318+Sens!$F$9318</f>
        <v>71.492</v>
      </c>
      <c r="H9318" s="39" t="n">
        <v>0</v>
      </c>
      <c r="I9318" s="39" t="n">
        <v>0</v>
      </c>
      <c r="J9318" s="39" t="n">
        <v>0</v>
      </c>
      <c r="K9318" s="39" t="n">
        <v>0</v>
      </c>
      <c r="L9318" s="39" t="n">
        <v>0</v>
      </c>
      <c r="M9318" s="39" t="n">
        <v>0</v>
      </c>
      <c r="N9318" s="38" t="n">
        <f aca="false">Q!$N$39</f>
        <v>6.017</v>
      </c>
      <c r="O9318" s="38" t="n">
        <f aca="false">Q!$O$39</f>
        <v>13.593</v>
      </c>
      <c r="P9318" s="5" t="s">
        <v>765</v>
      </c>
    </row>
    <row r="9319" customFormat="false" ht="15" hidden="false" customHeight="false" outlineLevel="0" collapsed="false">
      <c r="A9319" s="5" t="s">
        <v>554</v>
      </c>
      <c r="B9319" s="0" t="s">
        <v>86</v>
      </c>
      <c r="C9319" s="38" t="n">
        <f aca="false">Q!$D$36</f>
        <v>68.614</v>
      </c>
      <c r="D9319" s="38" t="n">
        <f aca="false">Q!$E$36</f>
        <v>97.311</v>
      </c>
      <c r="E9319" s="38" t="n">
        <f aca="false">Q!$P$36</f>
        <v>120.691</v>
      </c>
      <c r="F9319" s="38" t="n">
        <f aca="false">Sens!$F$9295-Sens!$F$9316+Sens!$F$9317+Sens!$F$9318</f>
        <v>55.7063670713938</v>
      </c>
      <c r="G9319" s="38" t="n">
        <f aca="false">Sens!$E$9319+Sens!$F$9319</f>
        <v>176.397367071394</v>
      </c>
      <c r="H9319" s="38" t="n">
        <f aca="false">Sens!$H$9295-Sens!$H$9316+Sens!$H$9317+Sens!$H$9318</f>
        <v>126.207292630471</v>
      </c>
      <c r="I9319" s="38" t="n">
        <f aca="false">Sens!$I$9295-Sens!$I$9316+Sens!$I$9317+Sens!$I$9318</f>
        <v>139.60709411592</v>
      </c>
      <c r="J9319" s="38" t="n">
        <f aca="false">Sens!$J$9295-Sens!$J$9316+Sens!$J$9317+Sens!$J$9318</f>
        <v>157.172425191032</v>
      </c>
      <c r="K9319" s="38" t="n">
        <f aca="false">Sens!$K$9295-Sens!$K$9316+Sens!$K$9317+Sens!$K$9318</f>
        <v>170.156510420632</v>
      </c>
      <c r="L9319" s="38" t="n">
        <f aca="false">Sens!$L$9295-Sens!$L$9316+Sens!$L$9317+Sens!$L$9318</f>
        <v>186.361543537154</v>
      </c>
      <c r="M9319" s="38" t="n">
        <f aca="false">Sens!$M$9295-Sens!$M$9316+Sens!$M$9317+Sens!$M$9318</f>
        <v>205.936507465731</v>
      </c>
      <c r="N9319" s="38" t="n">
        <f aca="false">Q!$N$36</f>
        <v>42.536</v>
      </c>
      <c r="O9319" s="38" t="n">
        <f aca="false">Q!$O$36</f>
        <v>54.775</v>
      </c>
    </row>
    <row r="9320" customFormat="false" ht="15" hidden="false" customHeight="false" outlineLevel="0" collapsed="false">
      <c r="A9320" s="5" t="s">
        <v>555</v>
      </c>
      <c r="B9320" s="0" t="s">
        <v>86</v>
      </c>
      <c r="C9320" s="38" t="n">
        <f aca="false">Q!$D$37</f>
        <v>9.265</v>
      </c>
      <c r="D9320" s="38" t="n">
        <f aca="false">Q!$E$37</f>
        <v>19.087</v>
      </c>
      <c r="E9320" s="38" t="n">
        <f aca="false">Q!$P$37</f>
        <v>27.759</v>
      </c>
      <c r="F9320" s="38" t="n">
        <f aca="false">Sens!$F$9319*tax</f>
        <v>9.669763357865</v>
      </c>
      <c r="G9320" s="38" t="n">
        <f aca="false">Sens!$E$9320+Sens!$F$9320</f>
        <v>37.428763357865</v>
      </c>
      <c r="H9320" s="38" t="n">
        <f aca="false">Sens!$H$9319*tax</f>
        <v>21.9076331473816</v>
      </c>
      <c r="I9320" s="38" t="n">
        <f aca="false">Sens!$I$9319*tax</f>
        <v>24.2336313450491</v>
      </c>
      <c r="J9320" s="38" t="n">
        <f aca="false">Sens!$J$9319*tax</f>
        <v>27.2827010246639</v>
      </c>
      <c r="K9320" s="38" t="n">
        <f aca="false">Sens!$K$9319*tax</f>
        <v>29.5365373128511</v>
      </c>
      <c r="L9320" s="38" t="n">
        <f aca="false">Sens!$L$9319*tax</f>
        <v>32.3494803152605</v>
      </c>
      <c r="M9320" s="38" t="n">
        <f aca="false">Sens!$M$9319*tax</f>
        <v>35.7473911624262</v>
      </c>
      <c r="N9320" s="38" t="n">
        <f aca="false">Q!$N$37</f>
        <v>7.231</v>
      </c>
      <c r="O9320" s="38" t="n">
        <f aca="false">Q!$O$37</f>
        <v>11.856</v>
      </c>
    </row>
    <row r="9321" customFormat="false" ht="15" hidden="false" customHeight="false" outlineLevel="0" collapsed="false">
      <c r="A9321" s="3" t="s">
        <v>556</v>
      </c>
      <c r="B9321" s="8" t="s">
        <v>86</v>
      </c>
      <c r="C9321" s="38" t="n">
        <f aca="false">Q!$D$38</f>
        <v>59.248</v>
      </c>
      <c r="D9321" s="38" t="n">
        <f aca="false">Q!$E$38</f>
        <v>77.67</v>
      </c>
      <c r="E9321" s="38" t="n">
        <f aca="false">Q!$P$38</f>
        <v>92.902</v>
      </c>
      <c r="F9321" s="38" t="n">
        <f aca="false">Sens!$F$9319-Sens!$F$9320</f>
        <v>46.0366037135288</v>
      </c>
      <c r="G9321" s="38" t="n">
        <f aca="false">Sens!$E$9321+Sens!$F$9321</f>
        <v>138.938603713529</v>
      </c>
      <c r="H9321" s="38" t="n">
        <f aca="false">Sens!$H$9319-Sens!$H$9320</f>
        <v>104.29965948309</v>
      </c>
      <c r="I9321" s="38" t="n">
        <f aca="false">Sens!$I$9319-Sens!$I$9320</f>
        <v>115.373462770871</v>
      </c>
      <c r="J9321" s="38" t="n">
        <f aca="false">Sens!$J$9319-Sens!$J$9320</f>
        <v>129.889724166368</v>
      </c>
      <c r="K9321" s="38" t="n">
        <f aca="false">Sens!$K$9319-Sens!$K$9320</f>
        <v>140.619973107781</v>
      </c>
      <c r="L9321" s="38" t="n">
        <f aca="false">Sens!$L$9319-Sens!$L$9320</f>
        <v>154.012063221893</v>
      </c>
      <c r="M9321" s="38" t="n">
        <f aca="false">Sens!$M$9319-Sens!$M$9320</f>
        <v>170.189116303305</v>
      </c>
      <c r="N9321" s="38" t="n">
        <f aca="false">Q!$N$38</f>
        <v>35.291</v>
      </c>
      <c r="O9321" s="38" t="n">
        <f aca="false">Q!$O$38</f>
        <v>42.379</v>
      </c>
    </row>
    <row r="9322" customFormat="false" ht="17.15" hidden="false" customHeight="false" outlineLevel="0" collapsed="false">
      <c r="A9322" s="5" t="s">
        <v>559</v>
      </c>
      <c r="B9322" s="5" t="s">
        <v>33</v>
      </c>
      <c r="C9322" s="22" t="n">
        <f aca="false">Q!$D$41</f>
        <v>10.721</v>
      </c>
      <c r="D9322" s="22" t="n">
        <f aca="false">Q!$E$41</f>
        <v>10.827</v>
      </c>
      <c r="E9322" s="22" t="n">
        <f aca="false">(Q!$L$41+Q!$M$41)/2</f>
        <v>10.8885</v>
      </c>
      <c r="F9322" s="22" t="n">
        <f aca="false">Sens!$G$9322</f>
        <v>10.924806</v>
      </c>
      <c r="G9322" s="22" t="n">
        <f aca="false">Q!$M$41*(1+sh_g*0.25)</f>
        <v>10.924806</v>
      </c>
      <c r="H9322" s="22" t="n">
        <f aca="false">Sens!$G$9322*(1+sh_g)</f>
        <v>11.012204448</v>
      </c>
      <c r="I9322" s="22" t="n">
        <f aca="false">Sens!$H$9322*(1+sh_g)</f>
        <v>11.100302083584</v>
      </c>
      <c r="J9322" s="22" t="n">
        <f aca="false">Sens!$I$9322*(1+sh_g)</f>
        <v>11.1891045002527</v>
      </c>
      <c r="K9322" s="22" t="n">
        <f aca="false">Sens!$J$9322*(1+sh_g)</f>
        <v>11.2786173362547</v>
      </c>
      <c r="L9322" s="22" t="n">
        <f aca="false">Sens!$K$9322*(1+sh_g)</f>
        <v>11.3688462749447</v>
      </c>
      <c r="M9322" s="22" t="n">
        <f aca="false">Sens!$L$9322*(1+sh_g)</f>
        <v>11.4597970451443</v>
      </c>
      <c r="P9322" s="5" t="s">
        <v>766</v>
      </c>
    </row>
    <row r="9323" customFormat="false" ht="17.15" hidden="false" customHeight="false" outlineLevel="0" collapsed="false">
      <c r="A9323" s="5" t="s">
        <v>767</v>
      </c>
      <c r="B9323" s="0" t="s">
        <v>86</v>
      </c>
      <c r="C9323" s="38" t="n">
        <f aca="false">Sens!$C$9321+Sens!$C$9297*(1-tax)</f>
        <v>59.248</v>
      </c>
      <c r="D9323" s="38" t="n">
        <f aca="false">Sens!$D$9321+Sens!$D$9297*(1-tax)</f>
        <v>77.67</v>
      </c>
      <c r="E9323" s="38" t="n">
        <f aca="false">Sens!$E$9321+Sens!$E$9297*(1-tax)</f>
        <v>92.902</v>
      </c>
      <c r="F9323" s="38" t="n">
        <f aca="false">Sens!$F$9321+Sens!$F$9297*(1-tax)</f>
        <v>49.1531986731775</v>
      </c>
      <c r="G9323" s="38" t="n">
        <f aca="false">Sens!$G$9321+Sens!$G$9297*(1-tax)</f>
        <v>142.055198673178</v>
      </c>
      <c r="H9323" s="38" t="n">
        <f aca="false">Sens!$H$9321+Sens!$H$9297*(1-tax)</f>
        <v>116.831055438434</v>
      </c>
      <c r="I9323" s="38" t="n">
        <f aca="false">Sens!$I$9321+Sens!$I$9297*(1-tax)</f>
        <v>136.514727845811</v>
      </c>
      <c r="J9323" s="38" t="n">
        <f aca="false">Sens!$J$9321+Sens!$J$9297*(1-tax)</f>
        <v>159.679161110652</v>
      </c>
      <c r="K9323" s="38" t="n">
        <f aca="false">Sens!$K$9321+Sens!$K$9297*(1-tax)</f>
        <v>177.846843178436</v>
      </c>
      <c r="L9323" s="38" t="n">
        <f aca="false">Sens!$L$9321+Sens!$L$9297*(1-tax)</f>
        <v>196.264974744802</v>
      </c>
      <c r="M9323" s="38" t="n">
        <f aca="false">Sens!$M$9321+Sens!$M$9297*(1-tax)</f>
        <v>215.050677672466</v>
      </c>
      <c r="N9323" s="38" t="n">
        <f aca="false">Sens!$N$9321+Sens!$N$9297*(1-tax)</f>
        <v>35.291</v>
      </c>
      <c r="O9323" s="38" t="n">
        <f aca="false">Sens!$O$9321+Sens!$O$9297*(1-tax)</f>
        <v>42.379</v>
      </c>
    </row>
    <row r="9324" customFormat="false" ht="17.15" hidden="false" customHeight="false" outlineLevel="0" collapsed="false">
      <c r="A9324" s="43" t="s">
        <v>768</v>
      </c>
      <c r="B9324" s="14" t="s">
        <v>27</v>
      </c>
      <c r="C9324" s="44" t="n">
        <f aca="false">Sens!$C$9323/Sens!$C$9322</f>
        <v>5.52635015390355</v>
      </c>
      <c r="D9324" s="44" t="n">
        <f aca="false">Sens!$D$9323/Sens!$D$9322</f>
        <v>7.1737323358271</v>
      </c>
      <c r="E9324" s="44" t="n">
        <f aca="false">Sens!$E$9323/Sens!$E$9322</f>
        <v>8.53212104513937</v>
      </c>
      <c r="F9324" s="14"/>
      <c r="G9324" s="44" t="n">
        <f aca="false">Sens!$G$9323/Sens!$G$9322</f>
        <v>13.0029950804781</v>
      </c>
      <c r="H9324" s="44" t="n">
        <f aca="false">Sens!$H$9323/Sens!$H$9322</f>
        <v>10.6092341447268</v>
      </c>
      <c r="I9324" s="44" t="n">
        <f aca="false">Sens!$I$9323/Sens!$I$9322</f>
        <v>12.298289435537</v>
      </c>
      <c r="J9324" s="44" t="n">
        <f aca="false">Sens!$J$9323/Sens!$J$9322</f>
        <v>14.2709509154236</v>
      </c>
      <c r="K9324" s="44" t="n">
        <f aca="false">Sens!$K$9323/Sens!$K$9322</f>
        <v>15.7684969598848</v>
      </c>
      <c r="L9324" s="44" t="n">
        <f aca="false">Sens!$L$9323/Sens!$L$9322</f>
        <v>17.2634029872795</v>
      </c>
      <c r="M9324" s="44" t="n">
        <f aca="false">Sens!$M$9323/Sens!$M$9322</f>
        <v>18.7656619768486</v>
      </c>
      <c r="N9324" s="14"/>
      <c r="O9324" s="14"/>
    </row>
    <row r="9325" customFormat="false" ht="17.15" hidden="false" customHeight="false" outlineLevel="0" collapsed="false">
      <c r="A9325" s="0" t="s">
        <v>769</v>
      </c>
      <c r="B9325" s="0" t="s">
        <v>27</v>
      </c>
      <c r="C9325" s="30" t="n">
        <f aca="false">Sens!$C$9321/Sens!$C$9322</f>
        <v>5.52635015390355</v>
      </c>
      <c r="D9325" s="30" t="n">
        <f aca="false">Sens!$D$9321/Sens!$D$9322</f>
        <v>7.1737323358271</v>
      </c>
      <c r="E9325" s="30" t="n">
        <f aca="false">Sens!$E$9321/Sens!$E$9322</f>
        <v>8.53212104513937</v>
      </c>
      <c r="G9325" s="30" t="n">
        <f aca="false">Sens!$G$9321/Sens!$G$9322</f>
        <v>12.7177181648378</v>
      </c>
      <c r="H9325" s="30" t="n">
        <f aca="false">Sens!$H$9321/Sens!$H$9322</f>
        <v>9.47127888658407</v>
      </c>
      <c r="I9325" s="30" t="n">
        <f aca="false">Sens!$I$9321/Sens!$I$9322</f>
        <v>10.3937227925981</v>
      </c>
      <c r="J9325" s="30" t="n">
        <f aca="false">Sens!$J$9321/Sens!$J$9322</f>
        <v>11.6085897815536</v>
      </c>
      <c r="K9325" s="30" t="n">
        <f aca="false">Sens!$K$9321/Sens!$K$9322</f>
        <v>12.4678379375248</v>
      </c>
      <c r="L9325" s="30" t="n">
        <f aca="false">Sens!$L$9321/Sens!$L$9322</f>
        <v>13.5468507091448</v>
      </c>
      <c r="M9325" s="30" t="n">
        <f aca="false">Sens!$M$9321/Sens!$M$9322</f>
        <v>14.8509712373498</v>
      </c>
    </row>
    <row r="9326" customFormat="false" ht="17.15" hidden="false" customHeight="false" outlineLevel="0" collapsed="false">
      <c r="A9326" s="0" t="s">
        <v>770</v>
      </c>
      <c r="B9326" s="0" t="s">
        <v>27</v>
      </c>
      <c r="C9326" s="30" t="n">
        <f aca="false">(Sens!$C$9321-Sens!$C$9318*(1-tax))/Sens!$C$9322</f>
        <v>5.33926775917445</v>
      </c>
      <c r="D9326" s="30" t="n">
        <f aca="false">(Sens!$D$9321-Sens!$D$9318*(1-tax))/Sens!$D$9322</f>
        <v>5.67691812755503</v>
      </c>
      <c r="E9326" s="30" t="n">
        <f aca="false">(Sens!$E$9321-Sens!$E$9318*(1-tax))/Sens!$E$9322</f>
        <v>3.10602057006846</v>
      </c>
      <c r="G9326" s="30" t="n">
        <f aca="false">(Sens!$G$9321-Sens!$G$9318*(1-tax))/Sens!$G$9322</f>
        <v>7.30965004694081</v>
      </c>
      <c r="H9326" s="30" t="n">
        <f aca="false">(Sens!$H$9321-Sens!$H$9318*(1-tax))/Sens!$H$9322</f>
        <v>9.47127888658407</v>
      </c>
      <c r="I9326" s="30" t="n">
        <f aca="false">(Sens!$I$9321-Sens!$I$9318*(1-tax))/Sens!$I$9322</f>
        <v>10.3937227925981</v>
      </c>
      <c r="J9326" s="30" t="n">
        <f aca="false">(Sens!$J$9321-Sens!$J$9318*(1-tax))/Sens!$J$9322</f>
        <v>11.6085897815536</v>
      </c>
      <c r="K9326" s="30" t="n">
        <f aca="false">(Sens!$K$9321-Sens!$K$9318*(1-tax))/Sens!$K$9322</f>
        <v>12.4678379375248</v>
      </c>
      <c r="L9326" s="30" t="n">
        <f aca="false">(Sens!$L$9321-Sens!$L$9318*(1-tax))/Sens!$L$9322</f>
        <v>13.5468507091448</v>
      </c>
      <c r="M9326" s="30" t="n">
        <f aca="false">(Sens!$M$9321-Sens!$M$9318*(1-tax))/Sens!$M$9322</f>
        <v>14.8509712373498</v>
      </c>
      <c r="P9326" s="5" t="s">
        <v>771</v>
      </c>
    </row>
    <row r="9327" customFormat="false" ht="17.15" hidden="false" customHeight="false" outlineLevel="0" collapsed="false">
      <c r="A9327" s="0" t="s">
        <v>772</v>
      </c>
      <c r="B9327" s="0" t="s">
        <v>52</v>
      </c>
      <c r="H9327" s="13" t="n">
        <f aca="false">Sens!$H$9324/Sens!$G$9324-1</f>
        <v>-0.184093043251635</v>
      </c>
      <c r="I9327" s="13" t="n">
        <f aca="false">Sens!$I$9324/Sens!$H$9324-1</f>
        <v>0.159206147000695</v>
      </c>
      <c r="J9327" s="13" t="n">
        <f aca="false">Sens!$J$9324/Sens!$I$9324-1</f>
        <v>0.160401289157047</v>
      </c>
      <c r="K9327" s="13" t="n">
        <f aca="false">Sens!$K$9324/Sens!$J$9324-1</f>
        <v>0.104936668434801</v>
      </c>
      <c r="L9327" s="13" t="n">
        <f aca="false">Sens!$L$9324/Sens!$K$9324-1</f>
        <v>0.0948033304123883</v>
      </c>
      <c r="M9327" s="13" t="n">
        <f aca="false">Sens!$M$9324/Sens!$L$9324-1</f>
        <v>0.0870198645467559</v>
      </c>
    </row>
    <row r="9330" customFormat="false" ht="19.4" hidden="false" customHeight="false" outlineLevel="0" collapsed="false">
      <c r="A9330" s="31" t="s">
        <v>1340</v>
      </c>
    </row>
    <row r="9331" customFormat="false" ht="17.15" hidden="false" customHeight="false" outlineLevel="0" collapsed="false">
      <c r="A9331" s="6" t="s">
        <v>16</v>
      </c>
      <c r="B9331" s="6" t="s">
        <v>17</v>
      </c>
      <c r="C9331" s="20" t="s">
        <v>504</v>
      </c>
      <c r="D9331" s="20" t="s">
        <v>505</v>
      </c>
      <c r="E9331" s="20" t="s">
        <v>587</v>
      </c>
      <c r="F9331" s="20" t="s">
        <v>588</v>
      </c>
      <c r="G9331" s="20" t="s">
        <v>589</v>
      </c>
      <c r="H9331" s="20" t="s">
        <v>590</v>
      </c>
      <c r="I9331" s="20" t="s">
        <v>591</v>
      </c>
      <c r="J9331" s="20" t="s">
        <v>592</v>
      </c>
      <c r="K9331" s="20" t="s">
        <v>593</v>
      </c>
      <c r="L9331" s="20" t="s">
        <v>594</v>
      </c>
      <c r="M9331" s="20" t="s">
        <v>595</v>
      </c>
      <c r="N9331" s="20" t="s">
        <v>596</v>
      </c>
      <c r="O9331" s="20" t="s">
        <v>597</v>
      </c>
      <c r="P9331" s="6" t="s">
        <v>23</v>
      </c>
      <c r="R9331" s="20" t="n">
        <v>2023</v>
      </c>
      <c r="S9331" s="20" t="n">
        <v>2024</v>
      </c>
      <c r="T9331" s="20" t="n">
        <v>2025</v>
      </c>
      <c r="U9331" s="20" t="n">
        <v>2026</v>
      </c>
      <c r="V9331" s="20" t="n">
        <v>2027</v>
      </c>
      <c r="W9331" s="20" t="n">
        <v>2028</v>
      </c>
      <c r="X9331" s="20" t="n">
        <v>2029</v>
      </c>
      <c r="Y9331" s="20" t="n">
        <v>2030</v>
      </c>
      <c r="Z9331" s="20" t="n">
        <v>2031</v>
      </c>
      <c r="AA9331" s="20" t="n">
        <v>2032</v>
      </c>
    </row>
    <row r="9332" customFormat="false" ht="15" hidden="false" customHeight="false" outlineLevel="0" collapsed="false">
      <c r="A9332" s="5" t="s">
        <v>556</v>
      </c>
      <c r="B9332" s="0" t="s">
        <v>86</v>
      </c>
      <c r="C9332" s="38" t="n">
        <f aca="false">Sens!$C$9321</f>
        <v>59.248</v>
      </c>
      <c r="D9332" s="38" t="n">
        <f aca="false">Sens!$D$9321</f>
        <v>77.67</v>
      </c>
      <c r="E9332" s="38" t="n">
        <f aca="false">Sens!$E$9321</f>
        <v>92.902</v>
      </c>
      <c r="F9332" s="38" t="n">
        <f aca="false">Sens!$F$9321</f>
        <v>46.0366037135288</v>
      </c>
      <c r="G9332" s="38" t="n">
        <f aca="false">Sens!$G$9321</f>
        <v>138.938603713529</v>
      </c>
      <c r="H9332" s="38" t="n">
        <f aca="false">Sens!$H$9321</f>
        <v>104.29965948309</v>
      </c>
      <c r="I9332" s="38" t="n">
        <f aca="false">Sens!$I$9321</f>
        <v>115.373462770871</v>
      </c>
      <c r="J9332" s="38" t="n">
        <f aca="false">Sens!$J$9321</f>
        <v>129.889724166368</v>
      </c>
      <c r="K9332" s="38" t="n">
        <f aca="false">Sens!$K$9321</f>
        <v>140.619973107781</v>
      </c>
      <c r="L9332" s="38" t="n">
        <f aca="false">Sens!$L$9321</f>
        <v>154.012063221893</v>
      </c>
      <c r="M9332" s="38" t="n">
        <f aca="false">Sens!$M$9321</f>
        <v>170.189116303305</v>
      </c>
    </row>
    <row r="9333" customFormat="false" ht="17.15" hidden="false" customHeight="false" outlineLevel="0" collapsed="false">
      <c r="A9333" s="5" t="s">
        <v>795</v>
      </c>
      <c r="B9333" s="0" t="s">
        <v>86</v>
      </c>
      <c r="C9333" s="38" t="n">
        <f aca="false">Sens!$C$9309</f>
        <v>32.067</v>
      </c>
      <c r="D9333" s="38" t="n">
        <f aca="false">Sens!$D$9309</f>
        <v>41.86</v>
      </c>
      <c r="E9333" s="38" t="n">
        <f aca="false">Sens!$E$9309</f>
        <v>26.703</v>
      </c>
      <c r="F9333" s="38" t="n">
        <f aca="false">Sens!$F$9309</f>
        <v>29.152860869477</v>
      </c>
      <c r="G9333" s="38" t="n">
        <f aca="false">Sens!$G$9309</f>
        <v>55.855860869477</v>
      </c>
      <c r="H9333" s="38" t="n">
        <f aca="false">Sens!$H$9309</f>
        <v>81.5618233196153</v>
      </c>
      <c r="I9333" s="38" t="n">
        <f aca="false">Sens!$I$9309</f>
        <v>118.756208740204</v>
      </c>
      <c r="J9333" s="38" t="n">
        <f aca="false">Sens!$J$9309</f>
        <v>152.469489406791</v>
      </c>
      <c r="K9333" s="38" t="n">
        <f aca="false">Sens!$K$9309</f>
        <v>186.391502623819</v>
      </c>
      <c r="L9333" s="38" t="n">
        <f aca="false">Sens!$L$9309</f>
        <v>212.316491798836</v>
      </c>
      <c r="M9333" s="38" t="n">
        <f aca="false">Sens!$M$9309</f>
        <v>230.182690847967</v>
      </c>
    </row>
    <row r="9334" customFormat="false" ht="15" hidden="false" customHeight="false" outlineLevel="0" collapsed="false">
      <c r="A9334" s="5" t="s">
        <v>796</v>
      </c>
      <c r="B9334" s="0" t="s">
        <v>86</v>
      </c>
      <c r="C9334" s="38" t="n">
        <f aca="false">Q!$D$48</f>
        <v>22.011</v>
      </c>
      <c r="D9334" s="38" t="n">
        <f aca="false">Q!$E$48</f>
        <v>19.467</v>
      </c>
      <c r="E9334" s="38" t="n">
        <f aca="false">Q!$P$48</f>
        <v>10.07</v>
      </c>
      <c r="F9334" s="38" t="n">
        <f aca="false">sbc_r*Sens!$F$9251</f>
        <v>10.8507035798037</v>
      </c>
      <c r="G9334" s="38" t="n">
        <f aca="false">Sens!$E$9334+Sens!$F$9334</f>
        <v>20.9207035798037</v>
      </c>
      <c r="H9334" s="38" t="n">
        <f aca="false">sbc_r*Sens!$H$9251</f>
        <v>23.46224366345</v>
      </c>
      <c r="I9334" s="38" t="n">
        <f aca="false">sbc_r*Sens!$I$9251</f>
        <v>26.6125957111676</v>
      </c>
      <c r="J9334" s="38" t="n">
        <f aca="false">sbc_r*Sens!$J$9251</f>
        <v>29.6280801413323</v>
      </c>
      <c r="K9334" s="38" t="n">
        <f aca="false">sbc_r*Sens!$K$9251</f>
        <v>32.2783466626501</v>
      </c>
      <c r="L9334" s="38" t="n">
        <f aca="false">sbc_r*Sens!$L$9251</f>
        <v>34.7673634382331</v>
      </c>
      <c r="M9334" s="38" t="n">
        <f aca="false">sbc_r*Sens!$M$9251</f>
        <v>37.1041186491569</v>
      </c>
    </row>
    <row r="9335" customFormat="false" ht="17.15" hidden="false" customHeight="false" outlineLevel="0" collapsed="false">
      <c r="A9335" s="5" t="s">
        <v>797</v>
      </c>
      <c r="B9335" s="0" t="s">
        <v>86</v>
      </c>
      <c r="C9335" s="38" t="n">
        <f aca="false">Q!$D$44-Sens!$C$9332-Sens!$C$9333-Sens!$C$9334</f>
        <v>2.551</v>
      </c>
      <c r="D9335" s="38" t="n">
        <f aca="false">Q!$E$44-Sens!$D$9332-Sens!$D$9333-Sens!$D$9334</f>
        <v>0.51700000000001</v>
      </c>
      <c r="E9335" s="38" t="n">
        <f aca="false">Q!$P$44-Sens!$E$9332-Sens!$E$9333-Sens!$E$9334</f>
        <v>-58.256</v>
      </c>
      <c r="F9335" s="38" t="n">
        <f aca="false">oth_r*Sens!$F$9251</f>
        <v>5.22265251035878</v>
      </c>
      <c r="G9335" s="38" t="n">
        <f aca="false">Sens!$E$9335+Sens!$F$9335</f>
        <v>-53.0333474896412</v>
      </c>
      <c r="H9335" s="38" t="n">
        <f aca="false">oth_r*Sens!$H$9251</f>
        <v>11.2928295263397</v>
      </c>
      <c r="I9335" s="38" t="n">
        <f aca="false">oth_r*Sens!$I$9251</f>
        <v>12.8091546115766</v>
      </c>
      <c r="J9335" s="38" t="n">
        <f aca="false">oth_r*Sens!$J$9251</f>
        <v>14.2605653162668</v>
      </c>
      <c r="K9335" s="38" t="n">
        <f aca="false">oth_r*Sens!$K$9251</f>
        <v>15.5361896109386</v>
      </c>
      <c r="L9335" s="38" t="n">
        <f aca="false">oth_r*Sens!$L$9251</f>
        <v>16.7342012989106</v>
      </c>
      <c r="M9335" s="38" t="n">
        <f aca="false">oth_r*Sens!$M$9251</f>
        <v>17.8589265647579</v>
      </c>
      <c r="P9335" s="8" t="s">
        <v>798</v>
      </c>
    </row>
    <row r="9336" customFormat="false" ht="15" hidden="false" customHeight="false" outlineLevel="0" collapsed="false">
      <c r="A9336" s="3" t="s">
        <v>562</v>
      </c>
      <c r="B9336" s="8" t="s">
        <v>86</v>
      </c>
      <c r="C9336" s="38" t="n">
        <f aca="false">Q!$D$44</f>
        <v>115.877</v>
      </c>
      <c r="D9336" s="38" t="n">
        <f aca="false">Q!$E$44</f>
        <v>139.514</v>
      </c>
      <c r="E9336" s="38" t="n">
        <f aca="false">Q!$P$44</f>
        <v>71.419</v>
      </c>
      <c r="F9336" s="38" t="n">
        <f aca="false">Sens!$F$9332+Sens!$F$9333+Sens!$F$9334+Sens!$F$9335</f>
        <v>91.2628206731683</v>
      </c>
      <c r="G9336" s="38" t="n">
        <f aca="false">Sens!$E$9336+Sens!$F$9336</f>
        <v>162.681820673168</v>
      </c>
      <c r="H9336" s="38" t="n">
        <f aca="false">Sens!$H$9332+Sens!$H$9333+Sens!$H$9334+Sens!$H$9335</f>
        <v>220.616555992495</v>
      </c>
      <c r="I9336" s="38" t="n">
        <f aca="false">Sens!$I$9332+Sens!$I$9333+Sens!$I$9334+Sens!$I$9335</f>
        <v>273.55142183382</v>
      </c>
      <c r="J9336" s="38" t="n">
        <f aca="false">Sens!$J$9332+Sens!$J$9333+Sens!$J$9334+Sens!$J$9335</f>
        <v>326.247859030758</v>
      </c>
      <c r="K9336" s="38" t="n">
        <f aca="false">Sens!$K$9332+Sens!$K$9333+Sens!$K$9334+Sens!$K$9335</f>
        <v>374.826012005189</v>
      </c>
      <c r="L9336" s="38" t="n">
        <f aca="false">Sens!$L$9332+Sens!$L$9333+Sens!$L$9334+Sens!$L$9335</f>
        <v>417.830119757873</v>
      </c>
      <c r="M9336" s="38" t="n">
        <f aca="false">Sens!$M$9332+Sens!$M$9333+Sens!$M$9334+Sens!$M$9335</f>
        <v>455.334852365187</v>
      </c>
    </row>
    <row r="9337" customFormat="false" ht="17.15" hidden="false" customHeight="false" outlineLevel="0" collapsed="false">
      <c r="A9337" s="5" t="s">
        <v>799</v>
      </c>
      <c r="B9337" s="0" t="s">
        <v>86</v>
      </c>
      <c r="C9337" s="38" t="n">
        <f aca="false">Sens!$C$9215</f>
        <v>25.2781053077374</v>
      </c>
      <c r="D9337" s="38" t="n">
        <f aca="false">Sens!$D$9215</f>
        <v>69.5686316310026</v>
      </c>
      <c r="E9337" s="38" t="n">
        <f aca="false">Sens!$E$9215</f>
        <v>64.1899206485108</v>
      </c>
      <c r="F9337" s="38" t="n">
        <f aca="false">Sens!$F$9215</f>
        <v>88.7165504612134</v>
      </c>
      <c r="G9337" s="38" t="n">
        <f aca="false">Sens!$G$9215</f>
        <v>152.906471109724</v>
      </c>
      <c r="H9337" s="38" t="n">
        <f aca="false">Sens!$H$9215</f>
        <v>198.57136494475</v>
      </c>
      <c r="I9337" s="38" t="n">
        <f aca="false">Sens!$I$9215</f>
        <v>204.6464699105</v>
      </c>
      <c r="J9337" s="38" t="n">
        <f aca="false">Sens!$J$9215</f>
        <v>209.8832381105</v>
      </c>
      <c r="K9337" s="38" t="n">
        <f aca="false">Sens!$K$9215</f>
        <v>158.016341586823</v>
      </c>
      <c r="L9337" s="38" t="n">
        <f aca="false">Sens!$L$9215</f>
        <v>137.570054263147</v>
      </c>
      <c r="M9337" s="38" t="n">
        <f aca="false">Sens!$M$9215</f>
        <v>140.56485059472</v>
      </c>
    </row>
    <row r="9338" customFormat="false" ht="17.15" hidden="false" customHeight="false" outlineLevel="0" collapsed="false">
      <c r="A9338" s="5" t="s">
        <v>800</v>
      </c>
      <c r="B9338" s="0" t="s">
        <v>86</v>
      </c>
      <c r="C9338" s="38" t="n">
        <f aca="false">cx_awso*Sens!$C$9249</f>
        <v>21.0469989286053</v>
      </c>
      <c r="D9338" s="38" t="n">
        <f aca="false">cx_awso*Sens!$D$9249</f>
        <v>24.0042459822698</v>
      </c>
      <c r="E9338" s="38" t="n">
        <f aca="false">cx_awso*Sens!$E$9249</f>
        <v>14.261729404886</v>
      </c>
      <c r="F9338" s="38" t="n">
        <f aca="false">cx_awso*Sens!$F$9249</f>
        <v>14.3538599588493</v>
      </c>
      <c r="G9338" s="38" t="n">
        <f aca="false">Sens!$E$9338+Sens!$F$9338</f>
        <v>28.6155893637353</v>
      </c>
      <c r="H9338" s="38" t="n">
        <f aca="false">cx_awso*Sens!$H$9249</f>
        <v>32.2034154158406</v>
      </c>
      <c r="I9338" s="38" t="n">
        <f aca="false">cx_awso*Sens!$I$9249</f>
        <v>35.7539519042915</v>
      </c>
      <c r="J9338" s="38" t="n">
        <f aca="false">cx_awso*Sens!$J$9249</f>
        <v>39.1551076091815</v>
      </c>
      <c r="K9338" s="38" t="n">
        <f aca="false">cx_awso*Sens!$K$9249</f>
        <v>42.287516217916</v>
      </c>
      <c r="L9338" s="38" t="n">
        <f aca="false">cx_awso*Sens!$L$9249</f>
        <v>45.6705175153492</v>
      </c>
      <c r="M9338" s="38" t="n">
        <f aca="false">cx_awso*Sens!$M$9249</f>
        <v>49.3241589165772</v>
      </c>
    </row>
    <row r="9339" customFormat="false" ht="17.15" hidden="false" customHeight="false" outlineLevel="0" collapsed="false">
      <c r="A9339" s="5" t="s">
        <v>801</v>
      </c>
      <c r="B9339" s="0" t="s">
        <v>86</v>
      </c>
      <c r="C9339" s="38" t="n">
        <f aca="false">Q!$D$46-Sens!$C$9337-Sens!$C$9338</f>
        <v>31.3328957636573</v>
      </c>
      <c r="D9339" s="38" t="n">
        <f aca="false">Q!$E$46-Sens!$D$9337-Sens!$D$9338</f>
        <v>34.7471223867276</v>
      </c>
      <c r="E9339" s="38" t="n">
        <f aca="false">Q!$P$46-Sens!$E$9337-Sens!$E$9338</f>
        <v>17.8583499466032</v>
      </c>
      <c r="F9339" s="38" t="n">
        <f aca="false">cx_rt*Sens!$F$9178</f>
        <v>20.6195895799373</v>
      </c>
      <c r="G9339" s="38" t="n">
        <f aca="false">Sens!$E$9339+Sens!$F$9339</f>
        <v>38.4779395265405</v>
      </c>
      <c r="H9339" s="38" t="n">
        <f aca="false">cx_rt*Sens!$H$9178</f>
        <v>42.5978994743075</v>
      </c>
      <c r="I9339" s="38" t="n">
        <f aca="false">cx_rt*Sens!$I$9178</f>
        <v>46.5813904136335</v>
      </c>
      <c r="J9339" s="38" t="n">
        <f aca="false">cx_rt*Sens!$J$9178</f>
        <v>50.2781676586844</v>
      </c>
      <c r="K9339" s="38" t="n">
        <f aca="false">cx_rt*Sens!$K$9178</f>
        <v>53.5312440191755</v>
      </c>
      <c r="L9339" s="38" t="n">
        <f aca="false">cx_rt*Sens!$L$9178</f>
        <v>57.0116717051447</v>
      </c>
      <c r="M9339" s="38" t="n">
        <f aca="false">cx_rt*Sens!$M$9178</f>
        <v>60.7365554669226</v>
      </c>
    </row>
    <row r="9340" customFormat="false" ht="15" hidden="false" customHeight="false" outlineLevel="0" collapsed="false">
      <c r="A9340" s="3" t="s">
        <v>802</v>
      </c>
      <c r="B9340" s="8" t="s">
        <v>86</v>
      </c>
      <c r="C9340" s="38" t="n">
        <f aca="false">Q!$D$46</f>
        <v>77.658</v>
      </c>
      <c r="D9340" s="38" t="n">
        <f aca="false">Q!$E$46</f>
        <v>128.32</v>
      </c>
      <c r="E9340" s="38" t="n">
        <f aca="false">Q!$P$46</f>
        <v>96.31</v>
      </c>
      <c r="F9340" s="38" t="n">
        <f aca="false">Sens!$F$9337+Sens!$F$9338+Sens!$F$9339</f>
        <v>123.69</v>
      </c>
      <c r="G9340" s="38" t="n">
        <f aca="false">Sens!$E$9340+Sens!$F$9340</f>
        <v>220</v>
      </c>
      <c r="H9340" s="38" t="n">
        <f aca="false">Sens!$H$9337+Sens!$H$9338+Sens!$H$9339</f>
        <v>273.372679834898</v>
      </c>
      <c r="I9340" s="38" t="n">
        <f aca="false">Sens!$I$9337+Sens!$I$9338+Sens!$I$9339</f>
        <v>286.981812228425</v>
      </c>
      <c r="J9340" s="38" t="n">
        <f aca="false">Sens!$J$9337+Sens!$J$9338+Sens!$J$9339</f>
        <v>299.316513378366</v>
      </c>
      <c r="K9340" s="38" t="n">
        <f aca="false">Sens!$K$9337+Sens!$K$9338+Sens!$K$9339</f>
        <v>253.835101823915</v>
      </c>
      <c r="L9340" s="38" t="n">
        <f aca="false">Sens!$L$9337+Sens!$L$9338+Sens!$L$9339</f>
        <v>240.252243483641</v>
      </c>
      <c r="M9340" s="38" t="n">
        <f aca="false">Sens!$M$9337+Sens!$M$9338+Sens!$M$9339</f>
        <v>250.62556497822</v>
      </c>
    </row>
    <row r="9341" customFormat="false" ht="17.15" hidden="false" customHeight="false" outlineLevel="0" collapsed="false">
      <c r="A9341" s="5" t="s">
        <v>570</v>
      </c>
      <c r="B9341" s="0" t="s">
        <v>86</v>
      </c>
      <c r="C9341" s="38" t="n">
        <f aca="false">Q!$D$50</f>
        <v>2.043</v>
      </c>
      <c r="D9341" s="38" t="n">
        <f aca="false">Q!$E$50</f>
        <v>1.557</v>
      </c>
      <c r="E9341" s="38" t="n">
        <f aca="false">lease_pr/2</f>
        <v>0.8</v>
      </c>
      <c r="F9341" s="38" t="n">
        <f aca="false">lease_pr/2</f>
        <v>0.8</v>
      </c>
      <c r="G9341" s="38" t="n">
        <f aca="false">Sens!$E$9341+Sens!$F$9341</f>
        <v>1.6</v>
      </c>
      <c r="H9341" s="38" t="n">
        <f aca="false">lease_pr</f>
        <v>1.6</v>
      </c>
      <c r="I9341" s="38" t="n">
        <f aca="false">lease_pr</f>
        <v>1.6</v>
      </c>
      <c r="J9341" s="38" t="n">
        <f aca="false">lease_pr</f>
        <v>1.6</v>
      </c>
      <c r="K9341" s="38" t="n">
        <f aca="false">lease_pr</f>
        <v>1.6</v>
      </c>
      <c r="L9341" s="38" t="n">
        <f aca="false">lease_pr</f>
        <v>1.6</v>
      </c>
      <c r="M9341" s="38" t="n">
        <f aca="false">lease_pr</f>
        <v>1.6</v>
      </c>
      <c r="P9341" s="8" t="s">
        <v>803</v>
      </c>
    </row>
    <row r="9342" customFormat="false" ht="15" hidden="false" customHeight="false" outlineLevel="0" collapsed="false">
      <c r="A9342" s="47" t="s">
        <v>804</v>
      </c>
      <c r="B9342" s="14" t="s">
        <v>86</v>
      </c>
      <c r="C9342" s="48" t="n">
        <f aca="false">Sens!$C$9336-Sens!$C$9340-Sens!$C$9341</f>
        <v>36.176</v>
      </c>
      <c r="D9342" s="48" t="n">
        <f aca="false">Sens!$D$9336-Sens!$D$9340-Sens!$D$9341</f>
        <v>9.63700000000002</v>
      </c>
      <c r="E9342" s="48" t="n">
        <f aca="false">Sens!$E$9336-Sens!$E$9340-Sens!$E$9341</f>
        <v>-25.691</v>
      </c>
      <c r="F9342" s="48" t="n">
        <f aca="false">Sens!$F$9336-Sens!$F$9340-Sens!$F$9341</f>
        <v>-33.2271793268317</v>
      </c>
      <c r="G9342" s="48" t="n">
        <f aca="false">Sens!$G$9336-Sens!$G$9340-Sens!$G$9341</f>
        <v>-58.9181793268317</v>
      </c>
      <c r="H9342" s="48" t="n">
        <f aca="false">Sens!$H$9336-Sens!$H$9340-Sens!$H$9341</f>
        <v>-54.3561238424036</v>
      </c>
      <c r="I9342" s="48" t="n">
        <f aca="false">Sens!$I$9336-Sens!$I$9340-Sens!$I$9341</f>
        <v>-15.0303903946055</v>
      </c>
      <c r="J9342" s="48" t="n">
        <f aca="false">Sens!$J$9336-Sens!$J$9340-Sens!$J$9341</f>
        <v>25.3313456523922</v>
      </c>
      <c r="K9342" s="48" t="n">
        <f aca="false">Sens!$K$9336-Sens!$K$9340-Sens!$K$9341</f>
        <v>119.390910181274</v>
      </c>
      <c r="L9342" s="48" t="n">
        <f aca="false">Sens!$L$9336-Sens!$L$9340-Sens!$L$9341</f>
        <v>175.977876274232</v>
      </c>
      <c r="M9342" s="48" t="n">
        <f aca="false">Sens!$M$9336-Sens!$M$9340-Sens!$M$9341</f>
        <v>203.109287386967</v>
      </c>
      <c r="N9342" s="14"/>
      <c r="O9342" s="14"/>
    </row>
    <row r="9343" customFormat="false" ht="17.15" hidden="false" customHeight="false" outlineLevel="0" collapsed="false">
      <c r="A9343" s="5" t="s">
        <v>805</v>
      </c>
      <c r="B9343" s="0" t="s">
        <v>86</v>
      </c>
      <c r="C9343" s="38" t="n">
        <f aca="false">dps*Sens!$C$9322</f>
        <v>0</v>
      </c>
      <c r="D9343" s="38" t="n">
        <f aca="false">dps*Sens!$D$9322</f>
        <v>0</v>
      </c>
      <c r="E9343" s="38" t="n">
        <f aca="false">dps*Sens!$E$9322</f>
        <v>0</v>
      </c>
      <c r="F9343" s="38" t="n">
        <f aca="false">0</f>
        <v>0</v>
      </c>
      <c r="G9343" s="38" t="n">
        <f aca="false">dps*Sens!$G$9322</f>
        <v>0</v>
      </c>
      <c r="H9343" s="38" t="n">
        <f aca="false">dps*Sens!$H$9322</f>
        <v>0</v>
      </c>
      <c r="I9343" s="38" t="n">
        <f aca="false">dps*Sens!$I$9322</f>
        <v>0</v>
      </c>
      <c r="J9343" s="38" t="n">
        <f aca="false">dps*Sens!$J$9322</f>
        <v>0</v>
      </c>
      <c r="K9343" s="38" t="n">
        <f aca="false">dps*Sens!$K$9322</f>
        <v>0</v>
      </c>
      <c r="L9343" s="38" t="n">
        <f aca="false">dps*Sens!$L$9322</f>
        <v>0</v>
      </c>
      <c r="M9343" s="38" t="n">
        <f aca="false">dps*Sens!$M$9322</f>
        <v>0</v>
      </c>
      <c r="P9343" s="8" t="s">
        <v>806</v>
      </c>
    </row>
    <row r="9344" customFormat="false" ht="17.15" hidden="false" customHeight="false" outlineLevel="0" collapsed="false">
      <c r="A9344" s="5" t="s">
        <v>807</v>
      </c>
      <c r="B9344" s="0" t="s">
        <v>86</v>
      </c>
      <c r="C9344" s="38" t="n">
        <f aca="false">0</f>
        <v>0</v>
      </c>
      <c r="D9344" s="38" t="n">
        <f aca="false">0</f>
        <v>0</v>
      </c>
      <c r="E9344" s="38" t="n">
        <f aca="false">0</f>
        <v>0</v>
      </c>
      <c r="F9344" s="38" t="n">
        <f aca="false">0</f>
        <v>0</v>
      </c>
      <c r="G9344" s="38" t="n">
        <f aca="false">0</f>
        <v>0</v>
      </c>
      <c r="H9344" s="38" t="n">
        <f aca="false">0</f>
        <v>0</v>
      </c>
      <c r="I9344" s="38" t="n">
        <f aca="false">0</f>
        <v>0</v>
      </c>
      <c r="J9344" s="38" t="n">
        <f aca="false">0</f>
        <v>0</v>
      </c>
      <c r="K9344" s="38" t="n">
        <f aca="false">0</f>
        <v>0</v>
      </c>
      <c r="L9344" s="38" t="n">
        <f aca="false">0</f>
        <v>0</v>
      </c>
      <c r="M9344" s="38" t="n">
        <f aca="false">0</f>
        <v>0</v>
      </c>
      <c r="P9344" s="8" t="s">
        <v>808</v>
      </c>
    </row>
    <row r="9345" customFormat="false" ht="15" hidden="false" customHeight="false" outlineLevel="0" collapsed="false">
      <c r="A9345" s="3" t="s">
        <v>809</v>
      </c>
      <c r="B9345" s="8" t="s">
        <v>86</v>
      </c>
      <c r="C9345" s="38" t="n">
        <f aca="false">Sens!$C$9342-Sens!$C$9343</f>
        <v>36.176</v>
      </c>
      <c r="D9345" s="38" t="n">
        <f aca="false">Sens!$D$9342-Sens!$D$9343</f>
        <v>9.63700000000002</v>
      </c>
      <c r="E9345" s="38" t="n">
        <f aca="false">Sens!$E$9342-Sens!$E$9343</f>
        <v>-25.691</v>
      </c>
      <c r="F9345" s="38" t="n">
        <f aca="false">Sens!$F$9342-Sens!$F$9343</f>
        <v>-33.2271793268317</v>
      </c>
      <c r="G9345" s="38" t="n">
        <f aca="false">Sens!$G$9342-Sens!$G$9343</f>
        <v>-58.9181793268317</v>
      </c>
      <c r="H9345" s="38" t="n">
        <f aca="false">Sens!$H$9342-Sens!$H$9343</f>
        <v>-54.3561238424036</v>
      </c>
      <c r="I9345" s="38" t="n">
        <f aca="false">Sens!$I$9342-Sens!$I$9343</f>
        <v>-15.0303903946055</v>
      </c>
      <c r="J9345" s="38" t="n">
        <f aca="false">Sens!$J$9342-Sens!$J$9343</f>
        <v>25.3313456523922</v>
      </c>
      <c r="K9345" s="38" t="n">
        <f aca="false">Sens!$K$9342-Sens!$K$9343</f>
        <v>119.390910181274</v>
      </c>
      <c r="L9345" s="38" t="n">
        <f aca="false">Sens!$L$9342-Sens!$L$9343</f>
        <v>175.977876274232</v>
      </c>
      <c r="M9345" s="38" t="n">
        <f aca="false">Sens!$M$9342-Sens!$M$9343</f>
        <v>203.109287386967</v>
      </c>
    </row>
    <row r="9346" customFormat="false" ht="17.15" hidden="false" customHeight="false" outlineLevel="0" collapsed="false">
      <c r="A9346" s="5" t="s">
        <v>810</v>
      </c>
      <c r="B9346" s="0" t="s">
        <v>86</v>
      </c>
      <c r="E9346" s="38" t="n">
        <f aca="false">Q!$P$53</f>
        <v>39.767</v>
      </c>
      <c r="F9346" s="38" t="n">
        <f aca="false">inv_2h26</f>
        <v>21.3</v>
      </c>
      <c r="G9346" s="38" t="n">
        <f aca="false">Sens!$E$9346+Sens!$F$9346</f>
        <v>61.067</v>
      </c>
      <c r="H9346" s="39" t="n">
        <v>0</v>
      </c>
      <c r="I9346" s="39" t="n">
        <v>0</v>
      </c>
      <c r="J9346" s="39" t="n">
        <v>0</v>
      </c>
      <c r="K9346" s="39" t="n">
        <v>0</v>
      </c>
      <c r="L9346" s="39" t="n">
        <v>0</v>
      </c>
      <c r="M9346" s="39" t="n">
        <v>0</v>
      </c>
    </row>
    <row r="9347" customFormat="false" ht="17.15" hidden="false" customHeight="false" outlineLevel="0" collapsed="false">
      <c r="A9347" s="5" t="s">
        <v>811</v>
      </c>
      <c r="B9347" s="0" t="s">
        <v>86</v>
      </c>
      <c r="F9347" s="38" t="n">
        <f aca="false">iss_2h26</f>
        <v>29.249999</v>
      </c>
      <c r="G9347" s="38" t="n">
        <f aca="false">Sens!$F$9347</f>
        <v>29.249999</v>
      </c>
      <c r="H9347" s="39" t="n">
        <v>0</v>
      </c>
      <c r="I9347" s="39" t="n">
        <v>0</v>
      </c>
      <c r="J9347" s="39" t="n">
        <v>0</v>
      </c>
      <c r="K9347" s="39" t="n">
        <v>0</v>
      </c>
      <c r="L9347" s="39" t="n">
        <v>0</v>
      </c>
      <c r="M9347" s="39" t="n">
        <v>0</v>
      </c>
    </row>
    <row r="9348" customFormat="false" ht="17.15" hidden="false" customHeight="false" outlineLevel="0" collapsed="false">
      <c r="A9348" s="5" t="s">
        <v>812</v>
      </c>
      <c r="B9348" s="0" t="s">
        <v>86</v>
      </c>
      <c r="F9348" s="38" t="n">
        <f aca="false">cash_q2</f>
        <v>122.988</v>
      </c>
      <c r="G9348" s="38" t="n">
        <f aca="false">cash_q2</f>
        <v>122.988</v>
      </c>
      <c r="H9348" s="38" t="n">
        <f aca="false">Sens!$G$9351</f>
        <v>97.7108196731683</v>
      </c>
      <c r="I9348" s="38" t="n">
        <f aca="false">Sens!$H$9351</f>
        <v>50</v>
      </c>
      <c r="J9348" s="38" t="n">
        <f aca="false">Sens!$I$9351</f>
        <v>50</v>
      </c>
      <c r="K9348" s="38" t="n">
        <f aca="false">Sens!$J$9351</f>
        <v>75.3313456523922</v>
      </c>
      <c r="L9348" s="38" t="n">
        <f aca="false">Sens!$K$9351</f>
        <v>194.722255833666</v>
      </c>
      <c r="M9348" s="38" t="n">
        <f aca="false">Sens!$L$9351</f>
        <v>370.700132107898</v>
      </c>
    </row>
    <row r="9349" customFormat="false" ht="15" hidden="false" customHeight="false" outlineLevel="0" collapsed="false">
      <c r="A9349" s="5" t="s">
        <v>813</v>
      </c>
      <c r="B9349" s="0" t="s">
        <v>86</v>
      </c>
      <c r="F9349" s="38" t="n">
        <f aca="false">Sens!$F$9348+Sens!$F$9345-Sens!$F$9344-Sens!$F$9346+Sens!$F$9347</f>
        <v>97.7108196731683</v>
      </c>
      <c r="H9349" s="38" t="n">
        <f aca="false">Sens!$H$9348+Sens!$H$9345-Sens!$H$9344-Sens!$H$9346+Sens!$H$9347</f>
        <v>43.3546958307647</v>
      </c>
      <c r="I9349" s="38" t="n">
        <f aca="false">Sens!$I$9348+Sens!$I$9345-Sens!$I$9344-Sens!$I$9346+Sens!$I$9347</f>
        <v>34.9696096053945</v>
      </c>
      <c r="J9349" s="38" t="n">
        <f aca="false">Sens!$J$9348+Sens!$J$9345-Sens!$J$9344-Sens!$J$9346+Sens!$J$9347</f>
        <v>75.3313456523922</v>
      </c>
      <c r="K9349" s="38" t="n">
        <f aca="false">Sens!$K$9348+Sens!$K$9345-Sens!$K$9344-Sens!$K$9346+Sens!$K$9347</f>
        <v>194.722255833666</v>
      </c>
      <c r="L9349" s="38" t="n">
        <f aca="false">Sens!$L$9348+Sens!$L$9345-Sens!$L$9344-Sens!$L$9346+Sens!$L$9347</f>
        <v>370.700132107898</v>
      </c>
      <c r="M9349" s="38" t="n">
        <f aca="false">Sens!$M$9348+Sens!$M$9345-Sens!$M$9344-Sens!$M$9346+Sens!$M$9347</f>
        <v>573.809419494865</v>
      </c>
    </row>
    <row r="9350" customFormat="false" ht="17.15" hidden="false" customHeight="false" outlineLevel="0" collapsed="false">
      <c r="A9350" s="5" t="s">
        <v>814</v>
      </c>
      <c r="B9350" s="0" t="s">
        <v>86</v>
      </c>
      <c r="F9350" s="38" t="n">
        <f aca="false">MAX(0,min_cash-Sens!$F$9349)</f>
        <v>0</v>
      </c>
      <c r="G9350" s="38" t="n">
        <f aca="false">Sens!$F$9350</f>
        <v>0</v>
      </c>
      <c r="H9350" s="38" t="n">
        <f aca="false">MAX(0,min_cash-Sens!$H$9349)</f>
        <v>6.64530416923528</v>
      </c>
      <c r="I9350" s="38" t="n">
        <f aca="false">MAX(0,min_cash-Sens!$I$9349)</f>
        <v>15.0303903946055</v>
      </c>
      <c r="J9350" s="38" t="n">
        <f aca="false">MAX(0,min_cash-Sens!$J$9349)</f>
        <v>0</v>
      </c>
      <c r="K9350" s="38" t="n">
        <f aca="false">MAX(0,min_cash-Sens!$K$9349)</f>
        <v>0</v>
      </c>
      <c r="L9350" s="38" t="n">
        <f aca="false">MAX(0,min_cash-Sens!$L$9349)</f>
        <v>0</v>
      </c>
      <c r="M9350" s="38" t="n">
        <f aca="false">MAX(0,min_cash-Sens!$M$9349)</f>
        <v>0</v>
      </c>
      <c r="P9350" s="5" t="s">
        <v>815</v>
      </c>
    </row>
    <row r="9351" customFormat="false" ht="15" hidden="false" customHeight="false" outlineLevel="0" collapsed="false">
      <c r="A9351" s="5" t="s">
        <v>816</v>
      </c>
      <c r="B9351" s="0" t="s">
        <v>86</v>
      </c>
      <c r="D9351" s="38" t="n">
        <f aca="false">Q!$E$61</f>
        <v>123.029</v>
      </c>
      <c r="E9351" s="38" t="n">
        <f aca="false">Q!$M$61</f>
        <v>122.988</v>
      </c>
      <c r="F9351" s="38" t="n">
        <f aca="false">Sens!$F$9349+Sens!$F$9350</f>
        <v>97.7108196731683</v>
      </c>
      <c r="G9351" s="38" t="n">
        <f aca="false">Sens!$F$9351</f>
        <v>97.7108196731683</v>
      </c>
      <c r="H9351" s="38" t="n">
        <f aca="false">Sens!$H$9349+Sens!$H$9350</f>
        <v>50</v>
      </c>
      <c r="I9351" s="38" t="n">
        <f aca="false">Sens!$I$9349+Sens!$I$9350</f>
        <v>50</v>
      </c>
      <c r="J9351" s="38" t="n">
        <f aca="false">Sens!$J$9349+Sens!$J$9350</f>
        <v>75.3313456523922</v>
      </c>
      <c r="K9351" s="38" t="n">
        <f aca="false">Sens!$K$9349+Sens!$K$9350</f>
        <v>194.722255833666</v>
      </c>
      <c r="L9351" s="38" t="n">
        <f aca="false">Sens!$L$9349+Sens!$L$9350</f>
        <v>370.700132107898</v>
      </c>
      <c r="M9351" s="38" t="n">
        <f aca="false">Sens!$M$9349+Sens!$M$9350</f>
        <v>573.809419494865</v>
      </c>
    </row>
    <row r="9352" customFormat="false" ht="15" hidden="false" customHeight="false" outlineLevel="0" collapsed="false">
      <c r="A9352" s="5" t="s">
        <v>817</v>
      </c>
      <c r="B9352" s="0" t="s">
        <v>86</v>
      </c>
      <c r="D9352" s="38" t="n">
        <f aca="false">Q!$E$62</f>
        <v>68.836</v>
      </c>
      <c r="E9352" s="38" t="n">
        <f aca="false">Q!$M$62</f>
        <v>132.995</v>
      </c>
      <c r="F9352" s="38" t="n">
        <f aca="false">debt_q2+Sens!$F$9347+Sens!$F$9350</f>
        <v>162.244999</v>
      </c>
      <c r="G9352" s="38" t="n">
        <f aca="false">Sens!$F$9352</f>
        <v>162.244999</v>
      </c>
      <c r="H9352" s="38" t="n">
        <f aca="false">Sens!$G$9352+Sens!$H$9350</f>
        <v>168.890303169235</v>
      </c>
      <c r="I9352" s="38" t="n">
        <f aca="false">Sens!$H$9352+Sens!$I$9350</f>
        <v>183.920693563841</v>
      </c>
      <c r="J9352" s="38" t="n">
        <f aca="false">Sens!$I$9352+Sens!$J$9350</f>
        <v>183.920693563841</v>
      </c>
      <c r="K9352" s="38" t="n">
        <f aca="false">Sens!$J$9352+Sens!$K$9350</f>
        <v>183.920693563841</v>
      </c>
      <c r="L9352" s="38" t="n">
        <f aca="false">Sens!$K$9352+Sens!$L$9350</f>
        <v>183.920693563841</v>
      </c>
      <c r="M9352" s="38" t="n">
        <f aca="false">Sens!$L$9352+Sens!$M$9350</f>
        <v>183.920693563841</v>
      </c>
    </row>
    <row r="9353" customFormat="false" ht="15" hidden="false" customHeight="false" outlineLevel="0" collapsed="false">
      <c r="A9353" s="5" t="s">
        <v>818</v>
      </c>
      <c r="B9353" s="0" t="s">
        <v>86</v>
      </c>
      <c r="D9353" s="38" t="n">
        <f aca="false">Sens!$D$9352-Sens!$D$9351</f>
        <v>-54.193</v>
      </c>
      <c r="E9353" s="38" t="n">
        <f aca="false">Sens!$E$9352-Sens!$E$9351</f>
        <v>10.007</v>
      </c>
      <c r="F9353" s="38" t="n">
        <f aca="false">Sens!$F$9352-Sens!$F$9351</f>
        <v>64.5341793268317</v>
      </c>
      <c r="G9353" s="38" t="n">
        <f aca="false">Sens!$G$9352-Sens!$G$9351</f>
        <v>64.5341793268317</v>
      </c>
      <c r="H9353" s="38" t="n">
        <f aca="false">Sens!$H$9352-Sens!$H$9351</f>
        <v>118.890303169235</v>
      </c>
      <c r="I9353" s="38" t="n">
        <f aca="false">Sens!$I$9352-Sens!$I$9351</f>
        <v>133.920693563841</v>
      </c>
      <c r="J9353" s="38" t="n">
        <f aca="false">Sens!$J$9352-Sens!$J$9351</f>
        <v>108.589347911449</v>
      </c>
      <c r="K9353" s="38" t="n">
        <f aca="false">Sens!$K$9352-Sens!$K$9351</f>
        <v>-10.8015622698255</v>
      </c>
      <c r="L9353" s="38" t="n">
        <f aca="false">Sens!$L$9352-Sens!$L$9351</f>
        <v>-186.779438544058</v>
      </c>
      <c r="M9353" s="38" t="n">
        <f aca="false">Sens!$M$9352-Sens!$M$9351</f>
        <v>-389.888725931024</v>
      </c>
    </row>
    <row r="9354" customFormat="false" ht="17.15" hidden="false" customHeight="false" outlineLevel="0" collapsed="false">
      <c r="A9354" s="5" t="s">
        <v>819</v>
      </c>
      <c r="B9354" s="0" t="s">
        <v>86</v>
      </c>
      <c r="F9354" s="38" t="n">
        <f aca="false">debt_q2*kd_book*0.5+iss_2h26*kd_new*iss_t</f>
        <v>3.24888962733561</v>
      </c>
      <c r="H9354" s="38" t="n">
        <f aca="false">debt_q2*kd_book+(Sens!$G$9352-debt_q2)*kd_new</f>
        <v>7.42354172302123</v>
      </c>
      <c r="I9354" s="38" t="n">
        <f aca="false">debt_q2*kd_book+(Sens!$H$9352-debt_q2)*kd_new</f>
        <v>7.84418947693382</v>
      </c>
      <c r="J9354" s="38" t="n">
        <f aca="false">debt_q2*kd_book+(Sens!$I$9352-debt_q2)*kd_new</f>
        <v>8.79561318891235</v>
      </c>
      <c r="K9354" s="38" t="n">
        <f aca="false">debt_q2*kd_book+(Sens!$J$9352-debt_q2)*kd_new</f>
        <v>8.79561318891235</v>
      </c>
      <c r="L9354" s="38" t="n">
        <f aca="false">debt_q2*kd_book+(Sens!$K$9352-debt_q2)*kd_new</f>
        <v>8.79561318891235</v>
      </c>
      <c r="M9354" s="38" t="n">
        <f aca="false">debt_q2*kd_book+(Sens!$L$9352-debt_q2)*kd_new</f>
        <v>8.79561318891235</v>
      </c>
    </row>
    <row r="9355" customFormat="false" ht="17.15" hidden="false" customHeight="false" outlineLevel="0" collapsed="false">
      <c r="A9355" s="5" t="s">
        <v>820</v>
      </c>
      <c r="B9355" s="0" t="s">
        <v>86</v>
      </c>
      <c r="F9355" s="38" t="n">
        <f aca="false">cash_q2*y_cash*0.5</f>
        <v>2.59</v>
      </c>
      <c r="H9355" s="38" t="n">
        <f aca="false">Sens!$G$9351*y_cash</f>
        <v>4.1153774832261</v>
      </c>
      <c r="I9355" s="38" t="n">
        <f aca="false">Sens!$H$9351*y_cash</f>
        <v>2.10589651022864</v>
      </c>
      <c r="J9355" s="38" t="n">
        <f aca="false">Sens!$I$9351*y_cash</f>
        <v>2.10589651022864</v>
      </c>
      <c r="K9355" s="38" t="n">
        <f aca="false">Sens!$J$9351*y_cash</f>
        <v>3.172800358404</v>
      </c>
      <c r="L9355" s="38" t="n">
        <f aca="false">Sens!$K$9351*y_cash</f>
        <v>8.20129838047933</v>
      </c>
      <c r="M9355" s="38" t="n">
        <f aca="false">Sens!$L$9351*y_cash</f>
        <v>15.6131222909464</v>
      </c>
    </row>
    <row r="9356" customFormat="false" ht="17.15" hidden="false" customHeight="false" outlineLevel="0" collapsed="false">
      <c r="A9356" s="47" t="s">
        <v>821</v>
      </c>
      <c r="B9356" s="14" t="s">
        <v>86</v>
      </c>
      <c r="C9356" s="14"/>
      <c r="D9356" s="14"/>
      <c r="E9356" s="14"/>
      <c r="F9356" s="14"/>
      <c r="G9356" s="48" t="n">
        <f aca="false">SUM(Sens!$G$9345:$K$9345)</f>
        <v>16.4175622698255</v>
      </c>
      <c r="H9356" s="14"/>
      <c r="I9356" s="14"/>
      <c r="J9356" s="14"/>
      <c r="K9356" s="14"/>
      <c r="L9356" s="14"/>
      <c r="M9356" s="14"/>
      <c r="N9356" s="14"/>
      <c r="O9356" s="14"/>
    </row>
    <row r="9357" customFormat="false" ht="17.15" hidden="false" customHeight="false" outlineLevel="0" collapsed="false">
      <c r="A9357" s="0" t="s">
        <v>787</v>
      </c>
      <c r="B9357" s="0" t="s">
        <v>86</v>
      </c>
      <c r="G9357" s="38" t="n">
        <f aca="false">SUM(Sens!$G$9350:$K$9350)</f>
        <v>21.6756945638408</v>
      </c>
    </row>
    <row r="9358" customFormat="false" ht="17.15" hidden="false" customHeight="false" outlineLevel="0" collapsed="false">
      <c r="A9358" s="24" t="s">
        <v>824</v>
      </c>
      <c r="B9358" s="25" t="s">
        <v>86</v>
      </c>
      <c r="C9358" s="25"/>
      <c r="D9358" s="25"/>
      <c r="E9358" s="25"/>
      <c r="F9358" s="25"/>
      <c r="G9358" s="41" t="n">
        <f aca="false">Sens!$G$9356-(Sens!$G$9345+Sens!$H$9345+Sens!$I$9345+Sens!$J$9345+Sens!$K$9345)</f>
        <v>0</v>
      </c>
      <c r="H9358" s="25"/>
      <c r="I9358" s="25"/>
      <c r="J9358" s="25"/>
      <c r="K9358" s="25"/>
      <c r="L9358" s="25"/>
      <c r="M9358" s="25"/>
      <c r="N9358" s="25"/>
      <c r="O9358" s="25"/>
    </row>
    <row r="9361" customFormat="false" ht="19.4" hidden="false" customHeight="false" outlineLevel="0" collapsed="false">
      <c r="A9361" s="31" t="s">
        <v>1341</v>
      </c>
    </row>
    <row r="9362" customFormat="false" ht="17.15" hidden="false" customHeight="false" outlineLevel="0" collapsed="false">
      <c r="A9362" s="6" t="s">
        <v>16</v>
      </c>
      <c r="B9362" s="6" t="s">
        <v>17</v>
      </c>
      <c r="C9362" s="20" t="s">
        <v>504</v>
      </c>
      <c r="D9362" s="20" t="s">
        <v>505</v>
      </c>
      <c r="E9362" s="20" t="s">
        <v>587</v>
      </c>
      <c r="F9362" s="20" t="s">
        <v>588</v>
      </c>
      <c r="G9362" s="20" t="s">
        <v>589</v>
      </c>
      <c r="H9362" s="20" t="s">
        <v>590</v>
      </c>
      <c r="I9362" s="20" t="s">
        <v>591</v>
      </c>
      <c r="J9362" s="20" t="s">
        <v>592</v>
      </c>
      <c r="K9362" s="20" t="s">
        <v>593</v>
      </c>
      <c r="L9362" s="20" t="s">
        <v>594</v>
      </c>
      <c r="M9362" s="20" t="s">
        <v>595</v>
      </c>
      <c r="N9362" s="20" t="s">
        <v>596</v>
      </c>
      <c r="O9362" s="20" t="s">
        <v>597</v>
      </c>
      <c r="P9362" s="6" t="s">
        <v>23</v>
      </c>
      <c r="R9362" s="20" t="n">
        <v>2023</v>
      </c>
      <c r="S9362" s="20" t="n">
        <v>2024</v>
      </c>
      <c r="T9362" s="20" t="n">
        <v>2025</v>
      </c>
      <c r="U9362" s="20" t="n">
        <v>2026</v>
      </c>
      <c r="V9362" s="20" t="n">
        <v>2027</v>
      </c>
      <c r="W9362" s="20" t="n">
        <v>2028</v>
      </c>
      <c r="X9362" s="20" t="n">
        <v>2029</v>
      </c>
      <c r="Y9362" s="20" t="n">
        <v>2030</v>
      </c>
      <c r="Z9362" s="20" t="n">
        <v>2031</v>
      </c>
      <c r="AA9362" s="20" t="n">
        <v>2032</v>
      </c>
    </row>
    <row r="9363" customFormat="false" ht="17.15" hidden="false" customHeight="false" outlineLevel="0" collapsed="false">
      <c r="A9363" s="1" t="s">
        <v>926</v>
      </c>
    </row>
    <row r="9364" customFormat="false" ht="17.15" hidden="false" customHeight="false" outlineLevel="0" collapsed="false">
      <c r="A9364" s="0" t="s">
        <v>927</v>
      </c>
      <c r="B9364" s="0" t="s">
        <v>86</v>
      </c>
      <c r="H9364" s="38" t="n">
        <f aca="false">Sens!$H$9298*(1-tax)</f>
        <v>119.56497355468</v>
      </c>
      <c r="I9364" s="38" t="n">
        <f aca="false">Sens!$I$9298*(1-tax)</f>
        <v>141.256941944278</v>
      </c>
      <c r="J9364" s="38" t="n">
        <f aca="false">Sens!$J$9298*(1-tax)</f>
        <v>165.207646486437</v>
      </c>
      <c r="K9364" s="38" t="n">
        <f aca="false">Sens!$K$9298*(1-tax)</f>
        <v>182.493622705482</v>
      </c>
      <c r="L9364" s="38" t="n">
        <f aca="false">Sens!$L$9298*(1-tax)</f>
        <v>196.756125698549</v>
      </c>
      <c r="M9364" s="38" t="n">
        <f aca="false">Sens!$M$9298*(1-tax)</f>
        <v>209.416582660643</v>
      </c>
    </row>
    <row r="9365" customFormat="false" ht="15" hidden="false" customHeight="false" outlineLevel="0" collapsed="false">
      <c r="A9365" s="5" t="s">
        <v>928</v>
      </c>
      <c r="B9365" s="0" t="s">
        <v>86</v>
      </c>
      <c r="H9365" s="38" t="n">
        <f aca="false">Sens!$H$9309</f>
        <v>81.5618233196153</v>
      </c>
      <c r="I9365" s="38" t="n">
        <f aca="false">Sens!$I$9309</f>
        <v>118.756208740204</v>
      </c>
      <c r="J9365" s="38" t="n">
        <f aca="false">Sens!$J$9309</f>
        <v>152.469489406791</v>
      </c>
      <c r="K9365" s="38" t="n">
        <f aca="false">Sens!$K$9309</f>
        <v>186.391502623819</v>
      </c>
      <c r="L9365" s="38" t="n">
        <f aca="false">Sens!$L$9309</f>
        <v>212.316491798836</v>
      </c>
      <c r="M9365" s="38" t="n">
        <f aca="false">Sens!$M$9309</f>
        <v>230.182690847967</v>
      </c>
    </row>
    <row r="9366" customFormat="false" ht="15" hidden="false" customHeight="false" outlineLevel="0" collapsed="false">
      <c r="A9366" s="5" t="s">
        <v>929</v>
      </c>
      <c r="B9366" s="0" t="s">
        <v>86</v>
      </c>
      <c r="H9366" s="38" t="n">
        <f aca="false">Sens!$H$9340</f>
        <v>273.372679834898</v>
      </c>
      <c r="I9366" s="38" t="n">
        <f aca="false">Sens!$I$9340</f>
        <v>286.981812228425</v>
      </c>
      <c r="J9366" s="38" t="n">
        <f aca="false">Sens!$J$9340</f>
        <v>299.316513378366</v>
      </c>
      <c r="K9366" s="38" t="n">
        <f aca="false">Sens!$K$9340</f>
        <v>253.835101823915</v>
      </c>
      <c r="L9366" s="38" t="n">
        <f aca="false">Sens!$L$9340</f>
        <v>240.252243483641</v>
      </c>
      <c r="M9366" s="38" t="n">
        <f aca="false">Sens!$M$9340</f>
        <v>250.62556497822</v>
      </c>
    </row>
    <row r="9367" customFormat="false" ht="15" hidden="false" customHeight="false" outlineLevel="0" collapsed="false">
      <c r="A9367" s="5" t="s">
        <v>930</v>
      </c>
      <c r="B9367" s="0" t="s">
        <v>86</v>
      </c>
      <c r="H9367" s="38" t="n">
        <f aca="false">Sens!$H$9341</f>
        <v>1.6</v>
      </c>
      <c r="I9367" s="38" t="n">
        <f aca="false">Sens!$I$9341</f>
        <v>1.6</v>
      </c>
      <c r="J9367" s="38" t="n">
        <f aca="false">Sens!$J$9341</f>
        <v>1.6</v>
      </c>
      <c r="K9367" s="38" t="n">
        <f aca="false">Sens!$K$9341</f>
        <v>1.6</v>
      </c>
      <c r="L9367" s="38" t="n">
        <f aca="false">Sens!$L$9341</f>
        <v>1.6</v>
      </c>
      <c r="M9367" s="38" t="n">
        <f aca="false">Sens!$M$9341</f>
        <v>1.6</v>
      </c>
    </row>
    <row r="9368" customFormat="false" ht="15" hidden="false" customHeight="false" outlineLevel="0" collapsed="false">
      <c r="A9368" s="5" t="s">
        <v>931</v>
      </c>
      <c r="B9368" s="0" t="s">
        <v>86</v>
      </c>
      <c r="H9368" s="38" t="n">
        <f aca="false">Sens!$H$9335</f>
        <v>11.2928295263397</v>
      </c>
      <c r="I9368" s="38" t="n">
        <f aca="false">Sens!$I$9335</f>
        <v>12.8091546115766</v>
      </c>
      <c r="J9368" s="38" t="n">
        <f aca="false">Sens!$J$9335</f>
        <v>14.2605653162668</v>
      </c>
      <c r="K9368" s="38" t="n">
        <f aca="false">Sens!$K$9335</f>
        <v>15.5361896109386</v>
      </c>
      <c r="L9368" s="38" t="n">
        <f aca="false">Sens!$L$9335</f>
        <v>16.7342012989106</v>
      </c>
      <c r="M9368" s="38" t="n">
        <f aca="false">Sens!$M$9335</f>
        <v>17.8589265647579</v>
      </c>
    </row>
    <row r="9369" customFormat="false" ht="17.15" hidden="false" customHeight="false" outlineLevel="0" collapsed="false">
      <c r="A9369" s="1" t="s">
        <v>932</v>
      </c>
      <c r="B9369" s="8" t="s">
        <v>86</v>
      </c>
      <c r="H9369" s="38" t="n">
        <f aca="false">Sens!$H$9364+Sens!$H$9365-Sens!$H$9366-Sens!$H$9367+Sens!$H$9368</f>
        <v>-62.5530534342631</v>
      </c>
      <c r="I9369" s="38" t="n">
        <f aca="false">Sens!$I$9364+Sens!$I$9365-Sens!$I$9366-Sens!$I$9367+Sens!$I$9368</f>
        <v>-15.7595069323669</v>
      </c>
      <c r="J9369" s="38" t="n">
        <f aca="false">Sens!$J$9364+Sens!$J$9365-Sens!$J$9366-Sens!$J$9367+Sens!$J$9368</f>
        <v>31.0211878311291</v>
      </c>
      <c r="K9369" s="38" t="n">
        <f aca="false">Sens!$K$9364+Sens!$K$9365-Sens!$K$9366-Sens!$K$9367+Sens!$K$9368</f>
        <v>128.986213116324</v>
      </c>
      <c r="L9369" s="38" t="n">
        <f aca="false">Sens!$L$9364+Sens!$L$9365-Sens!$L$9366-Sens!$L$9367+Sens!$L$9368</f>
        <v>183.954575312655</v>
      </c>
      <c r="M9369" s="38" t="n">
        <f aca="false">Sens!$M$9364+Sens!$M$9365-Sens!$M$9366-Sens!$M$9367+Sens!$M$9368</f>
        <v>205.232635095148</v>
      </c>
    </row>
    <row r="9370" customFormat="false" ht="15" hidden="false" customHeight="false" outlineLevel="0" collapsed="false">
      <c r="A9370" s="5" t="s">
        <v>933</v>
      </c>
      <c r="B9370" s="0" t="s">
        <v>57</v>
      </c>
      <c r="H9370" s="40" t="n">
        <f aca="false">1/(1+(wacc-0.01))^(2027-2026-0.5)</f>
        <v>0.952036717208703</v>
      </c>
      <c r="I9370" s="40" t="n">
        <f aca="false">1/(1+(wacc-0.01))^(2028-2026-0.5)</f>
        <v>0.862901242709724</v>
      </c>
      <c r="J9370" s="40" t="n">
        <f aca="false">1/(1+(wacc-0.01))^(2029-2026-0.5)</f>
        <v>0.782111174086951</v>
      </c>
      <c r="K9370" s="40" t="n">
        <f aca="false">1/(1+(wacc-0.01))^(2030-2026-0.5)</f>
        <v>0.708885163626357</v>
      </c>
      <c r="L9370" s="40" t="n">
        <f aca="false">1/(1+(wacc-0.01))^(2031-2026-0.5)</f>
        <v>0.642515018144594</v>
      </c>
      <c r="M9370" s="40" t="n">
        <f aca="false">1/(1+(wacc-0.01))^(2032-2026-0.5)</f>
        <v>0.582358849816389</v>
      </c>
    </row>
    <row r="9371" customFormat="false" ht="15" hidden="false" customHeight="false" outlineLevel="0" collapsed="false">
      <c r="A9371" s="5" t="s">
        <v>934</v>
      </c>
      <c r="B9371" s="0" t="s">
        <v>86</v>
      </c>
      <c r="H9371" s="38" t="n">
        <f aca="false">Sens!$H$9369*Sens!$H$9370</f>
        <v>-59.5528036429364</v>
      </c>
      <c r="I9371" s="38" t="n">
        <f aca="false">Sens!$I$9369*Sens!$I$9370</f>
        <v>-13.5988981164319</v>
      </c>
      <c r="J9371" s="38" t="n">
        <f aca="false">Sens!$J$9369*Sens!$J$9370</f>
        <v>24.2620176361763</v>
      </c>
      <c r="K9371" s="38" t="n">
        <f aca="false">Sens!$K$9369*Sens!$K$9370</f>
        <v>91.4364127905099</v>
      </c>
      <c r="L9371" s="38" t="n">
        <f aca="false">Sens!$L$9369*Sens!$L$9370</f>
        <v>118.193577294792</v>
      </c>
      <c r="M9371" s="38" t="n">
        <f aca="false">Sens!$M$9369*Sens!$M$9370</f>
        <v>119.519041318797</v>
      </c>
    </row>
    <row r="9372" customFormat="false" ht="15" hidden="false" customHeight="false" outlineLevel="0" collapsed="false">
      <c r="A9372" s="5" t="s">
        <v>935</v>
      </c>
      <c r="B9372" s="0" t="s">
        <v>86</v>
      </c>
      <c r="C9372" s="38" t="n">
        <f aca="false">SUM(Sens!$H$9371:$M$9371)</f>
        <v>280.259347280907</v>
      </c>
    </row>
    <row r="9373" customFormat="false" ht="17.15" hidden="false" customHeight="false" outlineLevel="0" collapsed="false">
      <c r="A9373" s="5" t="s">
        <v>936</v>
      </c>
      <c r="B9373" s="0" t="s">
        <v>86</v>
      </c>
      <c r="C9373" s="38" t="n">
        <f aca="false">Sens!$M$9364*(1+tg_hi)*(1-tg_hi/ronic)/((wacc-0.01)-tg_hi)</f>
        <v>2226.00970598591</v>
      </c>
    </row>
    <row r="9374" customFormat="false" ht="15" hidden="false" customHeight="false" outlineLevel="0" collapsed="false">
      <c r="A9374" s="5" t="s">
        <v>937</v>
      </c>
      <c r="B9374" s="0" t="s">
        <v>86</v>
      </c>
      <c r="C9374" s="38" t="n">
        <f aca="false">Sens!$C$9373/(1+(wacc-0.01))^6</f>
        <v>1234.15990021535</v>
      </c>
    </row>
    <row r="9375" customFormat="false" ht="17.15" hidden="false" customHeight="false" outlineLevel="0" collapsed="false">
      <c r="A9375" s="5" t="s">
        <v>938</v>
      </c>
      <c r="B9375" s="0" t="s">
        <v>86</v>
      </c>
      <c r="C9375" s="38" t="n">
        <f aca="false">Sens!$C$9372+Sens!$C$9374</f>
        <v>1514.41924749625</v>
      </c>
    </row>
    <row r="9376" customFormat="false" ht="17.15" hidden="false" customHeight="false" outlineLevel="0" collapsed="false">
      <c r="A9376" s="5" t="s">
        <v>939</v>
      </c>
      <c r="B9376" s="0" t="s">
        <v>52</v>
      </c>
      <c r="C9376" s="13" t="n">
        <f aca="false">Sens!$C$9374/Sens!$C$9375</f>
        <v>0.814939391622068</v>
      </c>
    </row>
    <row r="9377" customFormat="false" ht="17.15" hidden="false" customHeight="false" outlineLevel="0" collapsed="false">
      <c r="A9377" s="5" t="s">
        <v>940</v>
      </c>
      <c r="B9377" s="0" t="s">
        <v>86</v>
      </c>
      <c r="C9377" s="38" t="n">
        <f aca="false">Sens!$G$9353+fin_debt</f>
        <v>89.0551793268317</v>
      </c>
    </row>
    <row r="9378" customFormat="false" ht="17.15" hidden="false" customHeight="false" outlineLevel="0" collapsed="false">
      <c r="A9378" s="5" t="s">
        <v>941</v>
      </c>
      <c r="B9378" s="0" t="s">
        <v>86</v>
      </c>
      <c r="C9378" s="38" t="n">
        <f aca="false">(ant_val*ant_sh+oai_val*oai_sh)*(1-liq_disc)</f>
        <v>178.944</v>
      </c>
    </row>
    <row r="9379" customFormat="false" ht="15" hidden="false" customHeight="false" outlineLevel="0" collapsed="false">
      <c r="A9379" s="5" t="s">
        <v>942</v>
      </c>
      <c r="B9379" s="0" t="s">
        <v>86</v>
      </c>
      <c r="C9379" s="38" t="n">
        <f aca="false">Sens!$C$9375-Sens!$C$9377+Sens!$C$9378</f>
        <v>1604.30806816942</v>
      </c>
    </row>
    <row r="9380" customFormat="false" ht="17.15" hidden="false" customHeight="false" outlineLevel="0" collapsed="false">
      <c r="A9380" s="5" t="s">
        <v>943</v>
      </c>
      <c r="B9380" s="0" t="s">
        <v>27</v>
      </c>
      <c r="C9380" s="30" t="n">
        <f aca="false">Sens!$C$9379/sh_out</f>
        <v>148.735524310661</v>
      </c>
    </row>
    <row r="9381" customFormat="false" ht="17.15" hidden="false" customHeight="false" outlineLevel="0" collapsed="false">
      <c r="A9381" s="1" t="s">
        <v>944</v>
      </c>
      <c r="B9381" s="8" t="s">
        <v>27</v>
      </c>
      <c r="C9381" s="30" t="n">
        <f aca="false">Sens!$C$9380*(1+ke)^tp_yf-dps*tp_yf</f>
        <v>162.920259693969</v>
      </c>
    </row>
    <row r="9382" customFormat="false" ht="17.15" hidden="false" customHeight="false" outlineLevel="0" collapsed="false">
      <c r="A9382" s="3" t="s">
        <v>945</v>
      </c>
    </row>
    <row r="9383" customFormat="false" ht="17.15" hidden="false" customHeight="false" outlineLevel="0" collapsed="false">
      <c r="A9383" s="5" t="s">
        <v>946</v>
      </c>
      <c r="B9383" s="0" t="s">
        <v>86</v>
      </c>
      <c r="C9383" s="38" t="n">
        <f aca="false">(1-tp_yf)*(Sens!$H$9310+sbc_ab*Sens!$H$9334*Sens!$H$9171/Sens!$H$9251)+tp_yf*(Sens!$I$9310+sbc_ab*Sens!$I$9334*Sens!$I$9171/Sens!$I$9251)</f>
        <v>59.634664536349</v>
      </c>
    </row>
    <row r="9384" customFormat="false" ht="15" hidden="false" customHeight="false" outlineLevel="0" collapsed="false">
      <c r="A9384" s="5" t="s">
        <v>947</v>
      </c>
      <c r="B9384" s="0" t="s">
        <v>57</v>
      </c>
      <c r="C9384" s="30" t="n">
        <f aca="false">m_ads*m_x</f>
        <v>9.11</v>
      </c>
    </row>
    <row r="9385" customFormat="false" ht="17.15" hidden="false" customHeight="false" outlineLevel="0" collapsed="false">
      <c r="A9385" s="5" t="s">
        <v>948</v>
      </c>
      <c r="B9385" s="0" t="s">
        <v>86</v>
      </c>
      <c r="C9385" s="38" t="n">
        <f aca="false">Sens!$C$9383*Sens!$C$9384</f>
        <v>543.271793926139</v>
      </c>
    </row>
    <row r="9386" customFormat="false" ht="17.15" hidden="false" customHeight="false" outlineLevel="0" collapsed="false">
      <c r="A9386" s="5" t="s">
        <v>949</v>
      </c>
      <c r="B9386" s="0" t="s">
        <v>86</v>
      </c>
      <c r="C9386" s="38" t="n">
        <f aca="false">(1-tp_yf)*(Sens!$H$9311+sbc_ab*Sens!$H$9334*(Sens!$H$9178-Sens!$H$9171)/Sens!$H$9251+IF(internal_ai_reading=2,1,0)*(1-ext_sh)*Sens!$H$9208)+tp_yf*(Sens!$I$9311+sbc_ab*Sens!$I$9334*(Sens!$I$9178-Sens!$I$9171)/Sens!$I$9251+IF(internal_ai_reading=2,1,0)*(1-ext_sh)*Sens!$I$9208)</f>
        <v>51.6951811103438</v>
      </c>
    </row>
    <row r="9387" customFormat="false" ht="17.15" hidden="false" customHeight="false" outlineLevel="0" collapsed="false">
      <c r="A9387" s="5" t="s">
        <v>950</v>
      </c>
      <c r="B9387" s="0" t="s">
        <v>57</v>
      </c>
      <c r="C9387" s="30" t="n">
        <f aca="false">m_retail*m_x</f>
        <v>17.72</v>
      </c>
    </row>
    <row r="9388" customFormat="false" ht="17.15" hidden="false" customHeight="false" outlineLevel="0" collapsed="false">
      <c r="A9388" s="5" t="s">
        <v>951</v>
      </c>
      <c r="B9388" s="0" t="s">
        <v>86</v>
      </c>
      <c r="C9388" s="38" t="n">
        <f aca="false">Sens!$C$9386*Sens!$C$9387</f>
        <v>916.038609275292</v>
      </c>
    </row>
    <row r="9389" customFormat="false" ht="17.15" hidden="false" customHeight="false" outlineLevel="0" collapsed="false">
      <c r="A9389" s="0" t="s">
        <v>952</v>
      </c>
      <c r="B9389" s="0" t="s">
        <v>86</v>
      </c>
      <c r="C9389" s="38" t="n">
        <f aca="false">(1-tp_yf)*(Sens!$H$9312+sbc_ab*Sens!$H$9334*Sens!$H$9249/Sens!$H$9251)+tp_yf*(Sens!$I$9312+sbc_ab*Sens!$I$9334*Sens!$I$9249/Sens!$I$9251)</f>
        <v>97.2337130506861</v>
      </c>
    </row>
    <row r="9390" customFormat="false" ht="17.15" hidden="false" customHeight="false" outlineLevel="0" collapsed="false">
      <c r="A9390" s="0" t="s">
        <v>953</v>
      </c>
      <c r="B9390" s="0" t="s">
        <v>57</v>
      </c>
      <c r="C9390" s="30" t="n">
        <f aca="false">m_cloud*m_x</f>
        <v>13.82</v>
      </c>
    </row>
    <row r="9391" customFormat="false" ht="17.15" hidden="false" customHeight="false" outlineLevel="0" collapsed="false">
      <c r="A9391" s="0" t="s">
        <v>954</v>
      </c>
      <c r="B9391" s="0" t="s">
        <v>86</v>
      </c>
      <c r="C9391" s="38" t="n">
        <f aca="false">Sens!$C$9389*Sens!$C$9390</f>
        <v>1343.76991436048</v>
      </c>
    </row>
    <row r="9392" customFormat="false" ht="17.15" hidden="false" customHeight="false" outlineLevel="0" collapsed="false">
      <c r="A9392" s="0" t="s">
        <v>955</v>
      </c>
      <c r="B9392" s="0" t="s">
        <v>86</v>
      </c>
      <c r="H9392" s="38" t="n">
        <f aca="false">Sens!$H$9230-tax*Sens!$H$9231-ext_sh*Sens!$H$9215</f>
        <v>-115.41576008619</v>
      </c>
      <c r="I9392" s="38" t="n">
        <f aca="false">Sens!$I$9230-tax*Sens!$I$9231-ext_sh*Sens!$I$9215</f>
        <v>-88.5401912683161</v>
      </c>
      <c r="J9392" s="38" t="n">
        <f aca="false">Sens!$J$9230-tax*Sens!$J$9231-ext_sh*Sens!$J$9215</f>
        <v>-61.2977422866746</v>
      </c>
      <c r="K9392" s="38" t="n">
        <f aca="false">Sens!$K$9230-tax*Sens!$K$9231-ext_sh*Sens!$K$9215</f>
        <v>7.87968766598863</v>
      </c>
      <c r="L9392" s="38" t="n">
        <f aca="false">Sens!$L$9230-tax*Sens!$L$9231-ext_sh*Sens!$L$9215</f>
        <v>43.1120391949839</v>
      </c>
      <c r="M9392" s="38" t="n">
        <f aca="false">Sens!$M$9230-tax*Sens!$M$9231-ext_sh*Sens!$M$9215</f>
        <v>50.7488372092318</v>
      </c>
    </row>
    <row r="9393" customFormat="false" ht="17.15" hidden="false" customHeight="false" outlineLevel="0" collapsed="false">
      <c r="A9393" s="5" t="s">
        <v>956</v>
      </c>
      <c r="B9393" s="0" t="s">
        <v>86</v>
      </c>
      <c r="H9393" s="38" t="n">
        <f aca="false">Sens!$H$9392*Sens!$H$9370</f>
        <v>-109.880041346603</v>
      </c>
      <c r="I9393" s="38" t="n">
        <f aca="false">Sens!$I$9392*Sens!$I$9370</f>
        <v>-76.4014410751866</v>
      </c>
      <c r="J9393" s="38" t="n">
        <f aca="false">Sens!$J$9392*Sens!$J$9370</f>
        <v>-47.9416491887104</v>
      </c>
      <c r="K9393" s="38" t="n">
        <f aca="false">Sens!$K$9392*Sens!$K$9370</f>
        <v>5.58579368042894</v>
      </c>
      <c r="L9393" s="38" t="n">
        <f aca="false">Sens!$L$9392*Sens!$L$9370</f>
        <v>27.7001326456156</v>
      </c>
      <c r="M9393" s="38" t="n">
        <f aca="false">Sens!$M$9392*Sens!$M$9370</f>
        <v>29.5540344666874</v>
      </c>
    </row>
    <row r="9394" customFormat="false" ht="17.15" hidden="false" customHeight="false" outlineLevel="0" collapsed="false">
      <c r="A9394" s="5" t="s">
        <v>957</v>
      </c>
      <c r="B9394" s="0" t="s">
        <v>86</v>
      </c>
      <c r="C9394" s="38" t="n">
        <f aca="false">Sens!$M$9231*(1-tax)*(1+tg_hi)*(1-tg_hi/ronic)/((wacc-0.01)-tg_hi)</f>
        <v>426.195456645255</v>
      </c>
    </row>
    <row r="9395" customFormat="false" ht="17.15" hidden="false" customHeight="false" outlineLevel="0" collapsed="false">
      <c r="A9395" s="0" t="s">
        <v>958</v>
      </c>
      <c r="B9395" s="0" t="s">
        <v>86</v>
      </c>
      <c r="C9395" s="38" t="n">
        <f aca="false">(SUM(Sens!$I$9393:$M$9393)+Sens!$C$9394/(1+(wacc-0.01))^6)*(1+(wacc-0.01))^tp_yf</f>
        <v>189.50000756722</v>
      </c>
    </row>
    <row r="9396" customFormat="false" ht="17.15" hidden="false" customHeight="false" outlineLevel="0" collapsed="false">
      <c r="A9396" s="5" t="s">
        <v>959</v>
      </c>
      <c r="B9396" s="0" t="s">
        <v>86</v>
      </c>
      <c r="C9396" s="38" t="n">
        <f aca="false">(1-tp_yf)*(Sens!$H$9313)+tp_yf*(Sens!$I$9313)</f>
        <v>74.6707041238437</v>
      </c>
    </row>
    <row r="9397" customFormat="false" ht="17.15" hidden="false" customHeight="false" outlineLevel="0" collapsed="false">
      <c r="A9397" s="5" t="s">
        <v>960</v>
      </c>
      <c r="B9397" s="0" t="s">
        <v>86</v>
      </c>
      <c r="C9397" s="38" t="n">
        <f aca="false">Sens!$C$9396*m_ai</f>
        <v>448.024224743062</v>
      </c>
    </row>
    <row r="9398" customFormat="false" ht="17.15" hidden="false" customHeight="false" outlineLevel="0" collapsed="false">
      <c r="A9398" s="0" t="s">
        <v>961</v>
      </c>
      <c r="B9398" s="0" t="s">
        <v>86</v>
      </c>
      <c r="C9398" s="38" t="n">
        <f aca="false">IF(ai_leg=1,Sens!$C$9395,Sens!$C$9397)</f>
        <v>189.50000756722</v>
      </c>
    </row>
    <row r="9399" customFormat="false" ht="17.15" hidden="false" customHeight="false" outlineLevel="0" collapsed="false">
      <c r="A9399" s="5" t="s">
        <v>962</v>
      </c>
      <c r="B9399" s="0" t="s">
        <v>86</v>
      </c>
      <c r="C9399" s="38" t="n">
        <f aca="false">Sens!$C$9385+Sens!$C$9388+Sens!$C$9391+Sens!$C$9398</f>
        <v>2992.58032512913</v>
      </c>
    </row>
    <row r="9400" customFormat="false" ht="17.15" hidden="false" customHeight="false" outlineLevel="0" collapsed="false">
      <c r="A9400" s="5" t="s">
        <v>963</v>
      </c>
      <c r="B9400" s="0" t="s">
        <v>86</v>
      </c>
      <c r="C9400" s="38" t="n">
        <f aca="false">Sens!$H$9353+fin_debt</f>
        <v>143.411303169235</v>
      </c>
    </row>
    <row r="9401" customFormat="false" ht="15" hidden="false" customHeight="false" outlineLevel="0" collapsed="false">
      <c r="A9401" s="5" t="s">
        <v>964</v>
      </c>
      <c r="B9401" s="0" t="s">
        <v>86</v>
      </c>
      <c r="C9401" s="38" t="n">
        <f aca="false">Sens!$C$9399-Sens!$C$9400+Sens!$C$9378</f>
        <v>3028.1130219599</v>
      </c>
    </row>
    <row r="9402" customFormat="false" ht="15" hidden="false" customHeight="false" outlineLevel="0" collapsed="false">
      <c r="A9402" s="3" t="s">
        <v>965</v>
      </c>
      <c r="B9402" s="8" t="s">
        <v>27</v>
      </c>
      <c r="C9402" s="30" t="n">
        <f aca="false">Sens!$C$9401/sh_val</f>
        <v>274.526456994778</v>
      </c>
    </row>
    <row r="9403" customFormat="false" ht="17.15" hidden="false" customHeight="false" outlineLevel="0" collapsed="false">
      <c r="A9403" s="47" t="s">
        <v>966</v>
      </c>
      <c r="B9403" s="14" t="s">
        <v>27</v>
      </c>
      <c r="C9403" s="44" t="n">
        <f aca="false">w_dcf*Sens!$C$9381+(1-w_dcf)*Sens!$C$9402</f>
        <v>218.723358344373</v>
      </c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4"/>
    </row>
    <row r="9404" customFormat="false" ht="17.15" hidden="false" customHeight="false" outlineLevel="0" collapsed="false">
      <c r="A9404" s="5" t="s">
        <v>967</v>
      </c>
      <c r="B9404" s="0" t="s">
        <v>27</v>
      </c>
      <c r="C9404" s="30" t="n">
        <f aca="false">v022_wdcf*Sens!$C$9381+(1-v022_wdcf)*Sens!$C$9402</f>
        <v>224.303668209414</v>
      </c>
    </row>
    <row r="9405" customFormat="false" ht="17.15" hidden="false" customHeight="false" outlineLevel="0" collapsed="false">
      <c r="A9405" s="5" t="s">
        <v>968</v>
      </c>
      <c r="B9405" s="0" t="s">
        <v>27</v>
      </c>
      <c r="C9405" s="30" t="n">
        <f aca="false">(Sens!$C$9401-Sens!$C$9398+Sens!$C$9397)/sh_val</f>
        <v>297.964068759578</v>
      </c>
    </row>
    <row r="9408" customFormat="false" ht="19.4" hidden="false" customHeight="false" outlineLevel="0" collapsed="false">
      <c r="A9408" s="31" t="s">
        <v>1342</v>
      </c>
    </row>
    <row r="9409" customFormat="false" ht="17.15" hidden="false" customHeight="false" outlineLevel="0" collapsed="false">
      <c r="A9409" s="6" t="s">
        <v>16</v>
      </c>
      <c r="B9409" s="6" t="s">
        <v>17</v>
      </c>
      <c r="C9409" s="20" t="s">
        <v>504</v>
      </c>
      <c r="D9409" s="20" t="s">
        <v>505</v>
      </c>
      <c r="E9409" s="20" t="s">
        <v>587</v>
      </c>
      <c r="F9409" s="20" t="s">
        <v>588</v>
      </c>
      <c r="G9409" s="20" t="s">
        <v>589</v>
      </c>
      <c r="H9409" s="20" t="s">
        <v>590</v>
      </c>
      <c r="I9409" s="20" t="s">
        <v>591</v>
      </c>
      <c r="J9409" s="20" t="s">
        <v>592</v>
      </c>
      <c r="K9409" s="20" t="s">
        <v>593</v>
      </c>
      <c r="L9409" s="20" t="s">
        <v>594</v>
      </c>
      <c r="M9409" s="20" t="s">
        <v>595</v>
      </c>
      <c r="N9409" s="20" t="s">
        <v>596</v>
      </c>
      <c r="O9409" s="20" t="s">
        <v>597</v>
      </c>
      <c r="P9409" s="6" t="s">
        <v>23</v>
      </c>
      <c r="R9409" s="20" t="n">
        <v>2023</v>
      </c>
      <c r="S9409" s="20" t="n">
        <v>2024</v>
      </c>
      <c r="T9409" s="20" t="n">
        <v>2025</v>
      </c>
      <c r="U9409" s="20" t="n">
        <v>2026</v>
      </c>
      <c r="V9409" s="20" t="n">
        <v>2027</v>
      </c>
      <c r="W9409" s="20" t="n">
        <v>2028</v>
      </c>
      <c r="X9409" s="20" t="n">
        <v>2029</v>
      </c>
      <c r="Y9409" s="20" t="n">
        <v>2030</v>
      </c>
      <c r="Z9409" s="20" t="n">
        <v>2031</v>
      </c>
      <c r="AA9409" s="20" t="n">
        <v>2032</v>
      </c>
    </row>
    <row r="9410" customFormat="false" ht="17.15" hidden="false" customHeight="false" outlineLevel="0" collapsed="false">
      <c r="A9410" s="1" t="s">
        <v>677</v>
      </c>
    </row>
    <row r="9411" customFormat="false" ht="17.15" hidden="false" customHeight="false" outlineLevel="0" collapsed="false">
      <c r="A9411" s="0" t="s">
        <v>526</v>
      </c>
      <c r="B9411" s="0" t="s">
        <v>86</v>
      </c>
      <c r="C9411" s="38" t="n">
        <f aca="false">Q!$D$10</f>
        <v>247.029</v>
      </c>
      <c r="D9411" s="38" t="n">
        <f aca="false">Q!$E$10</f>
        <v>269.287</v>
      </c>
      <c r="E9411" s="38" t="n">
        <f aca="false">Q!$P$10</f>
        <v>134.686</v>
      </c>
      <c r="F9411" s="38" t="n">
        <f aca="false">Sens!$O$9411*(1+Sens!$F$9412)*Sens!$F$9423</f>
        <v>158.293876822267</v>
      </c>
      <c r="G9411" s="38" t="n">
        <f aca="false">Sens!$E$9411+Sens!$F$9411</f>
        <v>292.979876822267</v>
      </c>
      <c r="H9411" s="38" t="n">
        <f aca="false">Sens!$G$9411*(1+Sens!$H$9412)</f>
        <v>318.184543087396</v>
      </c>
      <c r="I9411" s="38" t="n">
        <f aca="false">Sens!$H$9411*(1+Sens!$I$9412)</f>
        <v>341.736278761793</v>
      </c>
      <c r="J9411" s="38" t="n">
        <f aca="false">Sens!$I$9411*(1+Sens!$J$9412)</f>
        <v>362.927192787048</v>
      </c>
      <c r="K9411" s="38" t="n">
        <f aca="false">Sens!$J$9411*(1+Sens!$K$9412)</f>
        <v>381.0735524264</v>
      </c>
      <c r="L9411" s="38" t="n">
        <f aca="false">Sens!$K$9411*(1+Sens!$L$9412)</f>
        <v>400.12723004772</v>
      </c>
      <c r="M9411" s="38" t="n">
        <f aca="false">Sens!$L$9411*(1+Sens!$M$9412)</f>
        <v>420.133591550106</v>
      </c>
      <c r="N9411" s="38" t="n">
        <f aca="false">Q!$N$10</f>
        <v>118.892</v>
      </c>
      <c r="O9411" s="38" t="n">
        <f aca="false">Q!$O$10</f>
        <v>150.395</v>
      </c>
      <c r="P9411" s="8" t="s">
        <v>678</v>
      </c>
    </row>
    <row r="9412" customFormat="false" ht="17.15" hidden="false" customHeight="false" outlineLevel="0" collapsed="false">
      <c r="A9412" s="0" t="s">
        <v>679</v>
      </c>
      <c r="B9412" s="0" t="s">
        <v>52</v>
      </c>
      <c r="E9412" s="13" t="n">
        <f aca="false">Sens!$E$9411/Sens!$N$9411-1</f>
        <v>0.132843252699929</v>
      </c>
      <c r="F9412" s="13" t="n">
        <f aca="false">Sens!$O$9411/(Q!$F$10+Q!$G$10)-1</f>
        <v>0.0980382135842941</v>
      </c>
      <c r="G9412" s="13" t="n">
        <f aca="false">Sens!$G$9411/Sens!$D$9411-1</f>
        <v>0.0879837378791657</v>
      </c>
      <c r="H9412" s="13" t="n">
        <f aca="false">Sens!$F$9412+(g_os-Sens!$F$9412)*1/4</f>
        <v>0.0860286601882206</v>
      </c>
      <c r="I9412" s="13" t="n">
        <f aca="false">Sens!$F$9412+(g_os-Sens!$F$9412)*2/4</f>
        <v>0.074019106792147</v>
      </c>
      <c r="J9412" s="13" t="n">
        <f aca="false">Sens!$F$9412+(g_os-Sens!$F$9412)*3/4</f>
        <v>0.0620095533960735</v>
      </c>
      <c r="K9412" s="13" t="n">
        <f aca="false">Sens!$F$9412+(g_os-Sens!$F$9412)*4/4</f>
        <v>0.05</v>
      </c>
      <c r="L9412" s="13" t="n">
        <f aca="false">g_os</f>
        <v>0.05</v>
      </c>
      <c r="M9412" s="13" t="n">
        <f aca="false">g_os</f>
        <v>0.05</v>
      </c>
      <c r="P9412" s="8" t="s">
        <v>680</v>
      </c>
    </row>
    <row r="9413" customFormat="false" ht="17.15" hidden="false" customHeight="false" outlineLevel="0" collapsed="false">
      <c r="A9413" s="0" t="s">
        <v>527</v>
      </c>
      <c r="B9413" s="0" t="s">
        <v>86</v>
      </c>
      <c r="C9413" s="38" t="n">
        <f aca="false">Q!$D$11</f>
        <v>21.215</v>
      </c>
      <c r="D9413" s="38" t="n">
        <f aca="false">Q!$E$11</f>
        <v>22.561</v>
      </c>
      <c r="E9413" s="38" t="n">
        <f aca="false">Q!$P$11</f>
        <v>11.579</v>
      </c>
      <c r="F9413" s="38" t="n">
        <f aca="false">Sens!$O$9413*(1+Sens!$F$9414)*Sens!$F$9423</f>
        <v>11.5938724610325</v>
      </c>
      <c r="G9413" s="38" t="n">
        <f aca="false">Sens!$E$9413+Sens!$F$9413</f>
        <v>23.1728724610325</v>
      </c>
      <c r="H9413" s="38" t="n">
        <f aca="false">Sens!$G$9413*(1+Sens!$H$9414)</f>
        <v>24.353392759506</v>
      </c>
      <c r="I9413" s="38" t="n">
        <f aca="false">Sens!$H$9413*(1+Sens!$I$9414)</f>
        <v>25.4240338872015</v>
      </c>
      <c r="J9413" s="38" t="n">
        <f aca="false">Sens!$I$9413*(1+Sens!$J$9414)</f>
        <v>26.3642491017174</v>
      </c>
      <c r="K9413" s="38" t="n">
        <f aca="false">Sens!$J$9413*(1+Sens!$K$9414)</f>
        <v>27.155176574769</v>
      </c>
      <c r="L9413" s="38" t="n">
        <f aca="false">Sens!$K$9413*(1+Sens!$L$9414)</f>
        <v>27.969831872012</v>
      </c>
      <c r="M9413" s="38" t="n">
        <f aca="false">Sens!$L$9413*(1+Sens!$M$9414)</f>
        <v>28.8089268281724</v>
      </c>
      <c r="N9413" s="38" t="n">
        <f aca="false">Q!$N$11</f>
        <v>11.128</v>
      </c>
      <c r="O9413" s="38" t="n">
        <f aca="false">Q!$O$11</f>
        <v>11.433</v>
      </c>
      <c r="P9413" s="8" t="s">
        <v>678</v>
      </c>
    </row>
    <row r="9414" customFormat="false" ht="17.15" hidden="false" customHeight="false" outlineLevel="0" collapsed="false">
      <c r="A9414" s="0" t="s">
        <v>681</v>
      </c>
      <c r="B9414" s="0" t="s">
        <v>52</v>
      </c>
      <c r="E9414" s="13" t="n">
        <f aca="false">Sens!$E$9413/Sens!$N$9413-1</f>
        <v>0.0405283968368082</v>
      </c>
      <c r="F9414" s="13" t="n">
        <f aca="false">Sens!$O$9413/(Q!$F$11+Q!$G$11)-1</f>
        <v>0.0579254187100955</v>
      </c>
      <c r="G9414" s="13" t="n">
        <f aca="false">Sens!$G$9413/Sens!$D$9413-1</f>
        <v>0.0271208040881397</v>
      </c>
      <c r="H9414" s="13" t="n">
        <f aca="false">Sens!$F$9414+(g_ps-Sens!$F$9414)*1/4</f>
        <v>0.0509440640325716</v>
      </c>
      <c r="I9414" s="13" t="n">
        <f aca="false">Sens!$F$9414+(g_ps-Sens!$F$9414)*2/4</f>
        <v>0.0439627093550477</v>
      </c>
      <c r="J9414" s="13" t="n">
        <f aca="false">Sens!$F$9414+(g_ps-Sens!$F$9414)*3/4</f>
        <v>0.0369813546775239</v>
      </c>
      <c r="K9414" s="13" t="n">
        <f aca="false">Sens!$F$9414+(g_ps-Sens!$F$9414)*4/4</f>
        <v>0.03</v>
      </c>
      <c r="L9414" s="13" t="n">
        <f aca="false">g_ps</f>
        <v>0.03</v>
      </c>
      <c r="M9414" s="13" t="n">
        <f aca="false">g_ps</f>
        <v>0.03</v>
      </c>
      <c r="P9414" s="8" t="s">
        <v>682</v>
      </c>
    </row>
    <row r="9415" customFormat="false" ht="17.15" hidden="false" customHeight="false" outlineLevel="0" collapsed="false">
      <c r="A9415" s="0" t="s">
        <v>528</v>
      </c>
      <c r="B9415" s="0" t="s">
        <v>86</v>
      </c>
      <c r="C9415" s="38" t="n">
        <f aca="false">Q!$D$12</f>
        <v>156.146</v>
      </c>
      <c r="D9415" s="38" t="n">
        <f aca="false">Q!$E$12</f>
        <v>172.162</v>
      </c>
      <c r="E9415" s="38" t="n">
        <f aca="false">Q!$P$12</f>
        <v>88.358</v>
      </c>
      <c r="F9415" s="38" t="n">
        <f aca="false">Sens!$O$9415*(1+Sens!$F$9416)*Sens!$F$9423</f>
        <v>102.004388260171</v>
      </c>
      <c r="G9415" s="38" t="n">
        <f aca="false">Sens!$E$9415+Sens!$F$9415</f>
        <v>190.362388260171</v>
      </c>
      <c r="H9415" s="38" t="n">
        <f aca="false">Sens!$G$9415*(1+Sens!$H$9416)</f>
        <v>210.343106588311</v>
      </c>
      <c r="I9415" s="38" t="n">
        <f aca="false">Sens!$H$9415*(1+Sens!$I$9416)</f>
        <v>229.969728494648</v>
      </c>
      <c r="J9415" s="38" t="n">
        <f aca="false">Sens!$I$9415*(1+Sens!$J$9416)</f>
        <v>248.747636972598</v>
      </c>
      <c r="K9415" s="38" t="n">
        <f aca="false">Sens!$J$9415*(1+Sens!$K$9416)</f>
        <v>266.15997156068</v>
      </c>
      <c r="L9415" s="38" t="n">
        <f aca="false">Sens!$K$9415*(1+Sens!$L$9416)</f>
        <v>284.791169569927</v>
      </c>
      <c r="M9415" s="38" t="n">
        <f aca="false">Sens!$L$9415*(1+Sens!$M$9416)</f>
        <v>304.726551439822</v>
      </c>
      <c r="N9415" s="38" t="n">
        <f aca="false">Q!$N$12</f>
        <v>76.86</v>
      </c>
      <c r="O9415" s="38" t="n">
        <f aca="false">Q!$O$12</f>
        <v>95.302</v>
      </c>
      <c r="P9415" s="8" t="s">
        <v>678</v>
      </c>
    </row>
    <row r="9416" customFormat="false" ht="17.15" hidden="false" customHeight="false" outlineLevel="0" collapsed="false">
      <c r="A9416" s="0" t="s">
        <v>683</v>
      </c>
      <c r="B9416" s="0" t="s">
        <v>52</v>
      </c>
      <c r="E9416" s="13" t="n">
        <f aca="false">Sens!$E$9415/Sens!$N$9415-1</f>
        <v>0.1495966692688</v>
      </c>
      <c r="F9416" s="13" t="n">
        <f aca="false">Sens!$O$9415/(Q!$F$12+Q!$G$12)-1</f>
        <v>0.11661530890813</v>
      </c>
      <c r="G9416" s="13" t="n">
        <f aca="false">Sens!$G$9415/Sens!$D$9415-1</f>
        <v>0.105716640490767</v>
      </c>
      <c r="H9416" s="13" t="n">
        <f aca="false">Sens!$F$9416+(g_sp-Sens!$F$9416)*1/4</f>
        <v>0.104961481681098</v>
      </c>
      <c r="I9416" s="13" t="n">
        <f aca="false">Sens!$F$9416+(g_sp-Sens!$F$9416)*2/4</f>
        <v>0.0933076544540651</v>
      </c>
      <c r="J9416" s="13" t="n">
        <f aca="false">Sens!$F$9416+(g_sp-Sens!$F$9416)*3/4</f>
        <v>0.0816538272270325</v>
      </c>
      <c r="K9416" s="13" t="n">
        <f aca="false">Sens!$F$9416+(g_sp-Sens!$F$9416)*4/4</f>
        <v>0.07</v>
      </c>
      <c r="L9416" s="13" t="n">
        <f aca="false">g_sp</f>
        <v>0.07</v>
      </c>
      <c r="M9416" s="13" t="n">
        <f aca="false">g_sp</f>
        <v>0.07</v>
      </c>
      <c r="P9416" s="8" t="s">
        <v>684</v>
      </c>
    </row>
    <row r="9417" customFormat="false" ht="17.15" hidden="false" customHeight="false" outlineLevel="0" collapsed="false">
      <c r="A9417" s="0" t="s">
        <v>529</v>
      </c>
      <c r="B9417" s="0" t="s">
        <v>86</v>
      </c>
      <c r="C9417" s="38" t="n">
        <f aca="false">Q!$D$13</f>
        <v>56.214</v>
      </c>
      <c r="D9417" s="38" t="n">
        <f aca="false">Q!$E$13</f>
        <v>68.635</v>
      </c>
      <c r="E9417" s="38" t="n">
        <f aca="false">Q!$P$13</f>
        <v>37.052</v>
      </c>
      <c r="F9417" s="38" t="n">
        <f aca="false">Sens!$O$9417*(1+Sens!$F$9418)*Sens!$F$9423</f>
        <v>46.1572219944148</v>
      </c>
      <c r="G9417" s="38" t="n">
        <f aca="false">Sens!$E$9417+Sens!$F$9417</f>
        <v>83.2092219944148</v>
      </c>
      <c r="H9417" s="38" t="n">
        <f aca="false">Sens!$G$9417*(1+Sens!$H$9418)</f>
        <v>99.8969223878976</v>
      </c>
      <c r="I9417" s="38" t="n">
        <f aca="false">Sens!$H$9417*(1+Sens!$I$9418)</f>
        <v>116.583111095496</v>
      </c>
      <c r="J9417" s="38" t="n">
        <f aca="false">Sens!$I$9417*(1+Sens!$J$9418)</f>
        <v>132.148941941952</v>
      </c>
      <c r="K9417" s="38" t="n">
        <f aca="false">Sens!$J$9417*(1+Sens!$K$9418)</f>
        <v>145.363836136147</v>
      </c>
      <c r="L9417" s="38" t="n">
        <f aca="false">Sens!$K$9417*(1+Sens!$L$9418)</f>
        <v>159.900219749762</v>
      </c>
      <c r="M9417" s="38" t="n">
        <f aca="false">Sens!$L$9417*(1+Sens!$M$9418)</f>
        <v>175.890241724738</v>
      </c>
      <c r="N9417" s="38" t="n">
        <f aca="false">Q!$N$13</f>
        <v>29.615</v>
      </c>
      <c r="O9417" s="38" t="n">
        <f aca="false">Q!$O$13</f>
        <v>39.02</v>
      </c>
      <c r="P9417" s="8" t="s">
        <v>678</v>
      </c>
    </row>
    <row r="9418" customFormat="false" ht="17.15" hidden="false" customHeight="false" outlineLevel="0" collapsed="false">
      <c r="A9418" s="0" t="s">
        <v>685</v>
      </c>
      <c r="B9418" s="0" t="s">
        <v>52</v>
      </c>
      <c r="E9418" s="13" t="n">
        <f aca="false">Sens!$E$9417/Sens!$N$9417-1</f>
        <v>0.25112274185379</v>
      </c>
      <c r="F9418" s="13" t="n">
        <f aca="false">Sens!$O$9417/(Q!$F$13+Q!$G$13)-1</f>
        <v>0.234068123596572</v>
      </c>
      <c r="G9418" s="13" t="n">
        <f aca="false">Sens!$G$9417/Sens!$D$9417-1</f>
        <v>0.212343876949294</v>
      </c>
      <c r="H9418" s="13" t="n">
        <f aca="false">Sens!$F$9418+(g_ad-Sens!$F$9418)*1/4</f>
        <v>0.200551092697429</v>
      </c>
      <c r="I9418" s="13" t="n">
        <f aca="false">Sens!$F$9418+(g_ad-Sens!$F$9418)*2/4</f>
        <v>0.167034061798286</v>
      </c>
      <c r="J9418" s="13" t="n">
        <f aca="false">Sens!$F$9418+(g_ad-Sens!$F$9418)*3/4</f>
        <v>0.133517030899143</v>
      </c>
      <c r="K9418" s="13" t="n">
        <f aca="false">Sens!$F$9418+(g_ad-Sens!$F$9418)*4/4</f>
        <v>0.1</v>
      </c>
      <c r="L9418" s="13" t="n">
        <f aca="false">g_ad</f>
        <v>0.1</v>
      </c>
      <c r="M9418" s="13" t="n">
        <f aca="false">g_ad</f>
        <v>0.1</v>
      </c>
      <c r="P9418" s="8" t="s">
        <v>686</v>
      </c>
    </row>
    <row r="9419" customFormat="false" ht="17.15" hidden="false" customHeight="false" outlineLevel="0" collapsed="false">
      <c r="A9419" s="0" t="s">
        <v>530</v>
      </c>
      <c r="B9419" s="0" t="s">
        <v>86</v>
      </c>
      <c r="C9419" s="38" t="n">
        <f aca="false">Q!$D$14</f>
        <v>44.374</v>
      </c>
      <c r="D9419" s="38" t="n">
        <f aca="false">Q!$E$14</f>
        <v>49.619</v>
      </c>
      <c r="E9419" s="38" t="n">
        <f aca="false">Q!$P$14</f>
        <v>27.157</v>
      </c>
      <c r="F9419" s="38" t="n">
        <f aca="false">Sens!$O$9419*(1+Sens!$F$9420)*Sens!$F$9423</f>
        <v>27.7764165988154</v>
      </c>
      <c r="G9419" s="38" t="n">
        <f aca="false">Sens!$E$9419+Sens!$F$9419</f>
        <v>54.9334165988154</v>
      </c>
      <c r="H9419" s="38" t="n">
        <f aca="false">Sens!$G$9419*(1+Sens!$H$9420)</f>
        <v>61.1564112561829</v>
      </c>
      <c r="I9419" s="38" t="n">
        <f aca="false">Sens!$H$9419*(1+Sens!$I$9420)</f>
        <v>67.2020282103945</v>
      </c>
      <c r="J9419" s="38" t="n">
        <f aca="false">Sens!$I$9419*(1+Sens!$J$9420)</f>
        <v>72.8757274028885</v>
      </c>
      <c r="K9419" s="38" t="n">
        <f aca="false">Sens!$J$9419*(1+Sens!$K$9420)</f>
        <v>77.9770283210907</v>
      </c>
      <c r="L9419" s="38" t="n">
        <f aca="false">Sens!$K$9419*(1+Sens!$L$9420)</f>
        <v>83.4354203035671</v>
      </c>
      <c r="M9419" s="38" t="n">
        <f aca="false">Sens!$L$9419*(1+Sens!$M$9420)</f>
        <v>89.2758997248168</v>
      </c>
      <c r="N9419" s="38" t="n">
        <f aca="false">Q!$N$14</f>
        <v>23.923</v>
      </c>
      <c r="O9419" s="38" t="n">
        <f aca="false">Q!$O$14</f>
        <v>25.696</v>
      </c>
      <c r="P9419" s="8" t="s">
        <v>678</v>
      </c>
    </row>
    <row r="9420" customFormat="false" ht="17.15" hidden="false" customHeight="false" outlineLevel="0" collapsed="false">
      <c r="A9420" s="0" t="s">
        <v>687</v>
      </c>
      <c r="B9420" s="0" t="s">
        <v>52</v>
      </c>
      <c r="E9420" s="13" t="n">
        <f aca="false">Sens!$E$9419/Sens!$N$9419-1</f>
        <v>0.135183714417088</v>
      </c>
      <c r="F9420" s="13" t="n">
        <f aca="false">Sens!$O$9419/(Q!$F$14+Q!$G$14)-1</f>
        <v>0.127709997366804</v>
      </c>
      <c r="G9420" s="13" t="n">
        <f aca="false">Sens!$G$9419/Sens!$D$9419-1</f>
        <v>0.107104468022641</v>
      </c>
      <c r="H9420" s="13" t="n">
        <f aca="false">Sens!$F$9420+(g_sub-Sens!$F$9420)*1/4</f>
        <v>0.113282498025103</v>
      </c>
      <c r="I9420" s="13" t="n">
        <f aca="false">Sens!$F$9420+(g_sub-Sens!$F$9420)*2/4</f>
        <v>0.0988549986834021</v>
      </c>
      <c r="J9420" s="13" t="n">
        <f aca="false">Sens!$F$9420+(g_sub-Sens!$F$9420)*3/4</f>
        <v>0.084427499341701</v>
      </c>
      <c r="K9420" s="13" t="n">
        <f aca="false">Sens!$F$9420+(g_sub-Sens!$F$9420)*4/4</f>
        <v>0.07</v>
      </c>
      <c r="L9420" s="13" t="n">
        <f aca="false">g_sub</f>
        <v>0.07</v>
      </c>
      <c r="M9420" s="13" t="n">
        <f aca="false">g_sub</f>
        <v>0.07</v>
      </c>
      <c r="P9420" s="8" t="s">
        <v>688</v>
      </c>
    </row>
    <row r="9421" customFormat="false" ht="17.15" hidden="false" customHeight="false" outlineLevel="0" collapsed="false">
      <c r="A9421" s="0" t="s">
        <v>531</v>
      </c>
      <c r="B9421" s="0" t="s">
        <v>86</v>
      </c>
      <c r="C9421" s="38" t="n">
        <f aca="false">Q!$D$15</f>
        <v>5.425</v>
      </c>
      <c r="D9421" s="38" t="n">
        <f aca="false">Q!$E$15</f>
        <v>5.935</v>
      </c>
      <c r="E9421" s="38" t="n">
        <f aca="false">Q!$P$15</f>
        <v>3.474</v>
      </c>
      <c r="F9421" s="38" t="n">
        <f aca="false">Sens!$O$9421*(1+Sens!$F$9422)*Sens!$F$9423</f>
        <v>3.22246550883619</v>
      </c>
      <c r="G9421" s="38" t="n">
        <f aca="false">Sens!$E$9421+Sens!$F$9421</f>
        <v>6.69646550883619</v>
      </c>
      <c r="H9421" s="38" t="n">
        <f aca="false">Sens!$G$9421*(1+Sens!$H$9422)</f>
        <v>7.16251344209196</v>
      </c>
      <c r="I9421" s="38" t="n">
        <f aca="false">Sens!$H$9421*(1+Sens!$I$9422)</f>
        <v>7.61421070299826</v>
      </c>
      <c r="J9421" s="38" t="n">
        <f aca="false">Sens!$I$9421*(1+Sens!$J$9422)</f>
        <v>8.04465753523932</v>
      </c>
      <c r="K9421" s="38" t="n">
        <f aca="false">Sens!$J$9421*(1+Sens!$K$9422)</f>
        <v>8.44689041200128</v>
      </c>
      <c r="L9421" s="38" t="n">
        <f aca="false">Sens!$K$9421*(1+Sens!$L$9422)</f>
        <v>8.86923493260135</v>
      </c>
      <c r="M9421" s="38" t="n">
        <f aca="false">Sens!$L$9421*(1+Sens!$M$9422)</f>
        <v>9.31269667923142</v>
      </c>
      <c r="N9421" s="38" t="n">
        <f aca="false">Q!$N$15</f>
        <v>2.811</v>
      </c>
      <c r="O9421" s="38" t="n">
        <f aca="false">Q!$O$15</f>
        <v>3.124</v>
      </c>
      <c r="P9421" s="8" t="s">
        <v>678</v>
      </c>
    </row>
    <row r="9422" customFormat="false" ht="17.15" hidden="false" customHeight="false" outlineLevel="0" collapsed="false">
      <c r="A9422" s="0" t="s">
        <v>689</v>
      </c>
      <c r="B9422" s="0" t="s">
        <v>52</v>
      </c>
      <c r="E9422" s="13" t="n">
        <f aca="false">Sens!$E$9421/Sens!$N$9421-1</f>
        <v>0.235859124866596</v>
      </c>
      <c r="F9422" s="13" t="n">
        <f aca="false">Sens!$O$9421/(Q!$F$15+Q!$G$15)-1</f>
        <v>0.0761281433000345</v>
      </c>
      <c r="G9422" s="13" t="n">
        <f aca="false">Sens!$G$9421/Sens!$D$9421-1</f>
        <v>0.128300843948811</v>
      </c>
      <c r="H9422" s="13" t="n">
        <f aca="false">Sens!$F$9422+(g_ot-Sens!$F$9422)*1/4</f>
        <v>0.0695961074750259</v>
      </c>
      <c r="I9422" s="13" t="n">
        <f aca="false">Sens!$F$9422+(g_ot-Sens!$F$9422)*2/4</f>
        <v>0.0630640716500172</v>
      </c>
      <c r="J9422" s="13" t="n">
        <f aca="false">Sens!$F$9422+(g_ot-Sens!$F$9422)*3/4</f>
        <v>0.0565320358250086</v>
      </c>
      <c r="K9422" s="13" t="n">
        <f aca="false">Sens!$F$9422+(g_ot-Sens!$F$9422)*4/4</f>
        <v>0.05</v>
      </c>
      <c r="L9422" s="13" t="n">
        <f aca="false">g_ot</f>
        <v>0.05</v>
      </c>
      <c r="M9422" s="13" t="n">
        <f aca="false">g_ot</f>
        <v>0.05</v>
      </c>
      <c r="P9422" s="8" t="s">
        <v>690</v>
      </c>
    </row>
    <row r="9423" customFormat="false" ht="17.15" hidden="false" customHeight="false" outlineLevel="0" collapsed="false">
      <c r="A9423" s="0" t="s">
        <v>691</v>
      </c>
      <c r="B9423" s="0" t="s">
        <v>57</v>
      </c>
      <c r="F9423" s="40" t="n">
        <f aca="false">(g26q3_mid*Q!$O$8/Q!$J$8-Thesis!$F$89-Thesis!$F$93)/(Sens!$O$9411*(1+Sens!$F$9412)+Sens!$O$9413*(1+Sens!$F$9414)+Sens!$O$9415*(1+Sens!$F$9416)+Sens!$O$9417*(1+Sens!$F$9418)+Sens!$O$9419*(1+Sens!$F$9420)+Sens!$O$9421*(1+Sens!$F$9422))</f>
        <v>0.958546670622329</v>
      </c>
      <c r="P9423" s="8" t="s">
        <v>692</v>
      </c>
    </row>
    <row r="9424" customFormat="false" ht="17.15" hidden="false" customHeight="false" outlineLevel="0" collapsed="false">
      <c r="A9424" s="3" t="s">
        <v>693</v>
      </c>
      <c r="B9424" s="8" t="s">
        <v>86</v>
      </c>
      <c r="C9424" s="38" t="n">
        <f aca="false">Sens!$C$9411+Sens!$C$9413+Sens!$C$9415+Sens!$C$9417+Sens!$C$9419+Sens!$C$9421</f>
        <v>530.403</v>
      </c>
      <c r="D9424" s="38" t="n">
        <f aca="false">Sens!$D$9411+Sens!$D$9413+Sens!$D$9415+Sens!$D$9417+Sens!$D$9419+Sens!$D$9421</f>
        <v>588.199</v>
      </c>
      <c r="E9424" s="38" t="n">
        <f aca="false">Sens!$E$9411+Sens!$E$9413+Sens!$E$9415+Sens!$E$9417+Sens!$E$9419+Sens!$E$9421</f>
        <v>302.306</v>
      </c>
      <c r="F9424" s="38" t="n">
        <f aca="false">Sens!$F$9411+Sens!$F$9413+Sens!$F$9415+Sens!$F$9417+Sens!$F$9419+Sens!$F$9421</f>
        <v>349.048241645537</v>
      </c>
      <c r="G9424" s="38" t="n">
        <f aca="false">Sens!$G$9411+Sens!$G$9413+Sens!$G$9415+Sens!$G$9417+Sens!$G$9419+Sens!$G$9421</f>
        <v>651.354241645537</v>
      </c>
      <c r="H9424" s="38" t="n">
        <f aca="false">Sens!$H$9411+Sens!$H$9413+Sens!$H$9415+Sens!$H$9417+Sens!$H$9419+Sens!$H$9421</f>
        <v>721.096889521386</v>
      </c>
      <c r="I9424" s="38" t="n">
        <f aca="false">Sens!$I$9411+Sens!$I$9413+Sens!$I$9415+Sens!$I$9417+Sens!$I$9419+Sens!$I$9421</f>
        <v>788.529391152531</v>
      </c>
      <c r="J9424" s="38" t="n">
        <f aca="false">Sens!$J$9411+Sens!$J$9413+Sens!$J$9415+Sens!$J$9417+Sens!$J$9419+Sens!$J$9421</f>
        <v>851.108405741443</v>
      </c>
      <c r="K9424" s="38" t="n">
        <f aca="false">Sens!$K$9411+Sens!$K$9413+Sens!$K$9415+Sens!$K$9417+Sens!$K$9419+Sens!$K$9421</f>
        <v>906.176455431088</v>
      </c>
      <c r="L9424" s="38" t="n">
        <f aca="false">Sens!$L$9411+Sens!$L$9413+Sens!$L$9415+Sens!$L$9417+Sens!$L$9419+Sens!$L$9421</f>
        <v>965.093106475589</v>
      </c>
      <c r="M9424" s="38" t="n">
        <f aca="false">Sens!$M$9411+Sens!$M$9413+Sens!$M$9415+Sens!$M$9417+Sens!$M$9419+Sens!$M$9421</f>
        <v>1028.14790794689</v>
      </c>
      <c r="N9424" s="38" t="n">
        <f aca="false">Sens!$N$9411+Sens!$N$9413+Sens!$N$9415+Sens!$N$9417+Sens!$N$9419+Sens!$N$9421</f>
        <v>263.229</v>
      </c>
      <c r="O9424" s="38" t="n">
        <f aca="false">Sens!$O$9411+Sens!$O$9413+Sens!$O$9415+Sens!$O$9417+Sens!$O$9419+Sens!$O$9421</f>
        <v>324.97</v>
      </c>
    </row>
    <row r="9425" customFormat="false" ht="17.15" hidden="false" customHeight="false" outlineLevel="0" collapsed="false">
      <c r="A9425" s="5" t="s">
        <v>694</v>
      </c>
      <c r="B9425" s="0" t="s">
        <v>52</v>
      </c>
      <c r="C9425" s="13" t="n">
        <f aca="false">Q!$D$5/(Q!$D$5+Q!$D$6)</f>
        <v>0.730570905519011</v>
      </c>
      <c r="D9425" s="13" t="n">
        <f aca="false">Q!$E$5/(Q!$E$5+Q!$E$6)</f>
        <v>0.724763217890544</v>
      </c>
      <c r="E9425" s="13" t="n">
        <f aca="false">Q!$P$5/(Q!$P$5+Q!$P$6)</f>
        <v>0.728797972914861</v>
      </c>
      <c r="F9425" s="13" t="n">
        <f aca="false">Sens!$O$9425</f>
        <v>0.718066283041511</v>
      </c>
      <c r="G9425" s="13" t="n">
        <f aca="false">Sens!$G$9426/Sens!$G$9424</f>
        <v>0.723047066202847</v>
      </c>
      <c r="H9425" s="13" t="n">
        <f aca="false">Sens!$G$9425</f>
        <v>0.723047066202847</v>
      </c>
      <c r="I9425" s="13" t="n">
        <f aca="false">Sens!$G$9425</f>
        <v>0.723047066202847</v>
      </c>
      <c r="J9425" s="13" t="n">
        <f aca="false">Sens!$G$9425</f>
        <v>0.723047066202847</v>
      </c>
      <c r="K9425" s="13" t="n">
        <f aca="false">Sens!$G$9425</f>
        <v>0.723047066202847</v>
      </c>
      <c r="L9425" s="13" t="n">
        <f aca="false">Sens!$G$9425</f>
        <v>0.723047066202847</v>
      </c>
      <c r="M9425" s="13" t="n">
        <f aca="false">Sens!$G$9425</f>
        <v>0.723047066202847</v>
      </c>
      <c r="N9425" s="13" t="n">
        <f aca="false">Q!$N$5/(Q!$N$5+Q!$N$6)</f>
        <v>0.733030935041352</v>
      </c>
      <c r="O9425" s="13" t="n">
        <f aca="false">Q!$O$5/(Q!$O$5+Q!$O$6)</f>
        <v>0.718066283041511</v>
      </c>
      <c r="P9425" s="8" t="s">
        <v>695</v>
      </c>
    </row>
    <row r="9426" customFormat="false" ht="17.15" hidden="false" customHeight="false" outlineLevel="0" collapsed="false">
      <c r="A9426" s="1" t="s">
        <v>519</v>
      </c>
      <c r="B9426" s="8" t="s">
        <v>86</v>
      </c>
      <c r="C9426" s="38" t="n">
        <f aca="false">Q!$D$5</f>
        <v>387.497</v>
      </c>
      <c r="D9426" s="38" t="n">
        <f aca="false">Q!$E$5</f>
        <v>426.305</v>
      </c>
      <c r="E9426" s="38" t="n">
        <f aca="false">Q!$P$5</f>
        <v>220.32</v>
      </c>
      <c r="F9426" s="38" t="n">
        <f aca="false">Sens!$F$9424*Sens!$F$9425</f>
        <v>250.639773480586</v>
      </c>
      <c r="G9426" s="38" t="n">
        <f aca="false">Sens!$E$9426+Sens!$F$9426</f>
        <v>470.959773480586</v>
      </c>
      <c r="H9426" s="38" t="n">
        <f aca="false">Sens!$H$9424*Sens!$H$9425</f>
        <v>521.386990416437</v>
      </c>
      <c r="I9426" s="38" t="n">
        <f aca="false">Sens!$I$9424*Sens!$I$9425</f>
        <v>570.143862887555</v>
      </c>
      <c r="J9426" s="38" t="n">
        <f aca="false">Sens!$J$9424*Sens!$J$9425</f>
        <v>615.391435791933</v>
      </c>
      <c r="K9426" s="38" t="n">
        <f aca="false">Sens!$K$9424*Sens!$K$9425</f>
        <v>655.208227561543</v>
      </c>
      <c r="L9426" s="38" t="n">
        <f aca="false">Sens!$L$9424*Sens!$L$9425</f>
        <v>697.807739249767</v>
      </c>
      <c r="M9426" s="38" t="n">
        <f aca="false">Sens!$M$9424*Sens!$M$9425</f>
        <v>743.399328463592</v>
      </c>
      <c r="N9426" s="38" t="n">
        <f aca="false">Q!$N$5</f>
        <v>192.955</v>
      </c>
      <c r="O9426" s="38" t="n">
        <f aca="false">Q!$O$5</f>
        <v>233.35</v>
      </c>
      <c r="P9426" s="5" t="s">
        <v>696</v>
      </c>
    </row>
    <row r="9427" customFormat="false" ht="17.15" hidden="false" customHeight="false" outlineLevel="0" collapsed="false">
      <c r="A9427" s="1" t="s">
        <v>522</v>
      </c>
      <c r="B9427" s="8" t="s">
        <v>86</v>
      </c>
      <c r="C9427" s="38" t="n">
        <f aca="false">Q!$D$6</f>
        <v>142.906</v>
      </c>
      <c r="D9427" s="38" t="n">
        <f aca="false">Q!$E$6</f>
        <v>161.894</v>
      </c>
      <c r="E9427" s="38" t="n">
        <f aca="false">Q!$P$6</f>
        <v>81.986</v>
      </c>
      <c r="F9427" s="38" t="n">
        <f aca="false">Sens!$F$9424*(1-Sens!$F$9425)</f>
        <v>98.408468164951</v>
      </c>
      <c r="G9427" s="38" t="n">
        <f aca="false">Sens!$E$9427+Sens!$F$9427</f>
        <v>180.394468164951</v>
      </c>
      <c r="H9427" s="38" t="n">
        <f aca="false">Sens!$H$9424*(1-Sens!$H$9425)</f>
        <v>199.709899104949</v>
      </c>
      <c r="I9427" s="38" t="n">
        <f aca="false">Sens!$I$9424*(1-Sens!$I$9425)</f>
        <v>218.385528264976</v>
      </c>
      <c r="J9427" s="38" t="n">
        <f aca="false">Sens!$J$9424*(1-Sens!$J$9425)</f>
        <v>235.71696994951</v>
      </c>
      <c r="K9427" s="38" t="n">
        <f aca="false">Sens!$K$9424*(1-Sens!$K$9425)</f>
        <v>250.968227869545</v>
      </c>
      <c r="L9427" s="38" t="n">
        <f aca="false">Sens!$L$9424*(1-Sens!$L$9425)</f>
        <v>267.285367225822</v>
      </c>
      <c r="M9427" s="38" t="n">
        <f aca="false">Sens!$M$9424*(1-Sens!$M$9425)</f>
        <v>284.748579483295</v>
      </c>
      <c r="N9427" s="38" t="n">
        <f aca="false">Q!$N$6</f>
        <v>70.274</v>
      </c>
      <c r="O9427" s="38" t="n">
        <f aca="false">Q!$O$6</f>
        <v>91.62</v>
      </c>
      <c r="P9427" s="5" t="s">
        <v>697</v>
      </c>
    </row>
    <row r="9428" customFormat="false" ht="17.15" hidden="false" customHeight="false" outlineLevel="0" collapsed="false">
      <c r="A9428" s="5" t="s">
        <v>698</v>
      </c>
      <c r="B9428" s="0" t="s">
        <v>86</v>
      </c>
      <c r="C9428" s="38" t="n">
        <f aca="false">Sens!$C$9417*Sens!$C$9425</f>
        <v>41.0683128828457</v>
      </c>
      <c r="D9428" s="38" t="n">
        <f aca="false">Sens!$D$9417*Sens!$D$9425</f>
        <v>49.7441234599175</v>
      </c>
      <c r="E9428" s="38" t="n">
        <f aca="false">Sens!$E$9417*Sens!$E$9425</f>
        <v>27.0034224924414</v>
      </c>
      <c r="F9428" s="38" t="n">
        <f aca="false">Sens!$F$9417*Sens!$F$9425</f>
        <v>33.1439448330513</v>
      </c>
      <c r="G9428" s="38" t="n">
        <f aca="false">Sens!$G$9417*Sens!$G$9425</f>
        <v>60.164183844083</v>
      </c>
      <c r="H9428" s="38" t="n">
        <f aca="false">Sens!$H$9417*Sens!$H$9425</f>
        <v>72.2301766552629</v>
      </c>
      <c r="I9428" s="38" t="n">
        <f aca="false">Sens!$I$9417*Sens!$I$9425</f>
        <v>84.2950764463991</v>
      </c>
      <c r="J9428" s="38" t="n">
        <f aca="false">Sens!$J$9417*Sens!$J$9425</f>
        <v>95.5499047729386</v>
      </c>
      <c r="K9428" s="38" t="n">
        <f aca="false">Sens!$K$9417*Sens!$K$9425</f>
        <v>105.104895250232</v>
      </c>
      <c r="L9428" s="38" t="n">
        <f aca="false">Sens!$L$9417*Sens!$L$9425</f>
        <v>115.615384775256</v>
      </c>
      <c r="M9428" s="38" t="n">
        <f aca="false">Sens!$M$9417*Sens!$M$9425</f>
        <v>127.176923252781</v>
      </c>
      <c r="N9428" s="38" t="n">
        <f aca="false">Sens!$N$9417*Sens!$N$9425</f>
        <v>21.7087111412496</v>
      </c>
      <c r="O9428" s="38" t="n">
        <f aca="false">Sens!$O$9417*Sens!$O$9425</f>
        <v>28.0189463642798</v>
      </c>
      <c r="P9428" s="5" t="s">
        <v>699</v>
      </c>
    </row>
    <row r="9429" customFormat="false" ht="15" hidden="false" customHeight="false" outlineLevel="0" collapsed="false">
      <c r="A9429" s="5" t="s">
        <v>700</v>
      </c>
      <c r="B9429" s="0" t="s">
        <v>86</v>
      </c>
      <c r="C9429" s="38" t="n">
        <f aca="false">Sens!$C$9417-Sens!$C$9428</f>
        <v>15.1456871171543</v>
      </c>
      <c r="D9429" s="38" t="n">
        <f aca="false">Sens!$D$9417-Sens!$D$9428</f>
        <v>18.8908765400825</v>
      </c>
      <c r="E9429" s="38" t="n">
        <f aca="false">Sens!$E$9417-Sens!$E$9428</f>
        <v>10.0485775075586</v>
      </c>
      <c r="F9429" s="38" t="n">
        <f aca="false">Sens!$F$9417-Sens!$F$9428</f>
        <v>13.0132771613635</v>
      </c>
      <c r="G9429" s="38" t="n">
        <f aca="false">Sens!$G$9417-Sens!$G$9428</f>
        <v>23.0450381503318</v>
      </c>
      <c r="H9429" s="38" t="n">
        <f aca="false">Sens!$H$9417-Sens!$H$9428</f>
        <v>27.6667457326347</v>
      </c>
      <c r="I9429" s="38" t="n">
        <f aca="false">Sens!$I$9417-Sens!$I$9428</f>
        <v>32.2880346490971</v>
      </c>
      <c r="J9429" s="38" t="n">
        <f aca="false">Sens!$J$9417-Sens!$J$9428</f>
        <v>36.5990371690132</v>
      </c>
      <c r="K9429" s="38" t="n">
        <f aca="false">Sens!$K$9417-Sens!$K$9428</f>
        <v>40.2589408859145</v>
      </c>
      <c r="L9429" s="38" t="n">
        <f aca="false">Sens!$L$9417-Sens!$L$9428</f>
        <v>44.2848349745059</v>
      </c>
      <c r="M9429" s="38" t="n">
        <f aca="false">Sens!$M$9417-Sens!$M$9428</f>
        <v>48.7133184719565</v>
      </c>
      <c r="N9429" s="38" t="n">
        <f aca="false">Sens!$N$9417-Sens!$N$9428</f>
        <v>7.90628885875037</v>
      </c>
      <c r="O9429" s="38" t="n">
        <f aca="false">Sens!$O$9417-Sens!$O$9428</f>
        <v>11.0010536357202</v>
      </c>
    </row>
    <row r="9430" customFormat="false" ht="19.4" hidden="false" customHeight="false" outlineLevel="0" collapsed="false">
      <c r="A9430" s="31" t="s">
        <v>1343</v>
      </c>
    </row>
    <row r="9431" customFormat="false" ht="17.15" hidden="false" customHeight="false" outlineLevel="0" collapsed="false">
      <c r="A9431" s="6" t="s">
        <v>16</v>
      </c>
      <c r="B9431" s="6" t="s">
        <v>17</v>
      </c>
      <c r="C9431" s="20" t="s">
        <v>504</v>
      </c>
      <c r="D9431" s="20" t="s">
        <v>505</v>
      </c>
      <c r="E9431" s="20" t="s">
        <v>587</v>
      </c>
      <c r="F9431" s="20" t="s">
        <v>588</v>
      </c>
      <c r="G9431" s="20" t="s">
        <v>589</v>
      </c>
      <c r="H9431" s="20" t="s">
        <v>590</v>
      </c>
      <c r="I9431" s="20" t="s">
        <v>591</v>
      </c>
      <c r="J9431" s="20" t="s">
        <v>592</v>
      </c>
      <c r="K9431" s="20" t="s">
        <v>593</v>
      </c>
      <c r="L9431" s="20" t="s">
        <v>594</v>
      </c>
      <c r="M9431" s="20" t="s">
        <v>595</v>
      </c>
      <c r="N9431" s="20" t="s">
        <v>596</v>
      </c>
      <c r="O9431" s="20" t="s">
        <v>597</v>
      </c>
      <c r="P9431" s="6" t="s">
        <v>23</v>
      </c>
      <c r="R9431" s="20" t="n">
        <v>2023</v>
      </c>
      <c r="S9431" s="20" t="n">
        <v>2024</v>
      </c>
      <c r="T9431" s="20" t="n">
        <v>2025</v>
      </c>
      <c r="U9431" s="20" t="n">
        <v>2026</v>
      </c>
      <c r="V9431" s="20" t="n">
        <v>2027</v>
      </c>
      <c r="W9431" s="20" t="n">
        <v>2028</v>
      </c>
      <c r="X9431" s="20" t="n">
        <v>2029</v>
      </c>
      <c r="Y9431" s="20" t="n">
        <v>2030</v>
      </c>
      <c r="Z9431" s="20" t="n">
        <v>2031</v>
      </c>
      <c r="AA9431" s="20" t="n">
        <v>2032</v>
      </c>
    </row>
    <row r="9432" customFormat="false" ht="17.15" hidden="false" customHeight="false" outlineLevel="0" collapsed="false">
      <c r="A9432" s="1" t="s">
        <v>598</v>
      </c>
    </row>
    <row r="9433" customFormat="false" ht="17.15" hidden="false" customHeight="false" outlineLevel="0" collapsed="false">
      <c r="A9433" s="5" t="s">
        <v>599</v>
      </c>
      <c r="B9433" s="0" t="s">
        <v>144</v>
      </c>
      <c r="H9433" s="32" t="n">
        <f aca="false">pace_B</f>
        <v>3634.3</v>
      </c>
      <c r="I9433" s="32" t="n">
        <f aca="false">pace_B</f>
        <v>3634.3</v>
      </c>
      <c r="J9433" s="32" t="n">
        <f aca="false">pace_B</f>
        <v>3634.3</v>
      </c>
      <c r="K9433" s="32" t="n">
        <f aca="false">pace_B+(Sens!$J$9434*tg_lo-pace_B)*1/3</f>
        <v>2521.53366666667</v>
      </c>
      <c r="L9433" s="32" t="n">
        <f aca="false">pace_B+(Sens!$J$9434*tg_lo-pace_B)*2/3</f>
        <v>1408.76733333333</v>
      </c>
      <c r="M9433" s="32" t="n">
        <f aca="false">pace_B+(Sens!$J$9434*tg_lo-pace_B)*3/3</f>
        <v>296.001</v>
      </c>
      <c r="P9433" s="5" t="s">
        <v>600</v>
      </c>
    </row>
    <row r="9434" customFormat="false" ht="17.15" hidden="false" customHeight="false" outlineLevel="0" collapsed="false">
      <c r="A9434" s="15" t="s">
        <v>601</v>
      </c>
      <c r="B9434" s="14" t="s">
        <v>129</v>
      </c>
      <c r="C9434" s="33" t="n">
        <f aca="false">mw_ye24</f>
        <v>360</v>
      </c>
      <c r="D9434" s="33" t="n">
        <f aca="false">mw_ye25</f>
        <v>1440</v>
      </c>
      <c r="E9434" s="33" t="n">
        <f aca="false">mw_open</f>
        <v>2080</v>
      </c>
      <c r="F9434" s="33" t="n">
        <f aca="false">Sens!$E$9434+pace_B*0.5</f>
        <v>3897.15</v>
      </c>
      <c r="G9434" s="33" t="n">
        <f aca="false">Sens!$F$9434</f>
        <v>3897.15</v>
      </c>
      <c r="H9434" s="33" t="n">
        <f aca="false">Sens!$G$9434+Sens!$H$9433</f>
        <v>7531.45</v>
      </c>
      <c r="I9434" s="33" t="n">
        <f aca="false">Sens!$H$9434+Sens!$I$9433</f>
        <v>11165.75</v>
      </c>
      <c r="J9434" s="33" t="n">
        <f aca="false">Sens!$I$9434+Sens!$J$9433</f>
        <v>14800.05</v>
      </c>
      <c r="K9434" s="33" t="n">
        <f aca="false">Sens!$J$9434+Sens!$K$9433</f>
        <v>17321.5836666667</v>
      </c>
      <c r="L9434" s="33" t="n">
        <f aca="false">Sens!$K$9434+Sens!$L$9433</f>
        <v>18730.351</v>
      </c>
      <c r="M9434" s="33" t="n">
        <f aca="false">Sens!$L$9434+Sens!$M$9433</f>
        <v>19026.352</v>
      </c>
      <c r="N9434" s="33" t="n">
        <f aca="false">(mw_ye24+mw_ye25)/2</f>
        <v>900</v>
      </c>
      <c r="O9434" s="33" t="n">
        <f aca="false">mw_ye25</f>
        <v>1440</v>
      </c>
      <c r="P9434" s="5" t="s">
        <v>602</v>
      </c>
    </row>
    <row r="9435" customFormat="false" ht="17.15" hidden="false" customHeight="false" outlineLevel="0" collapsed="false">
      <c r="A9435" s="5" t="s">
        <v>603</v>
      </c>
      <c r="B9435" s="0" t="s">
        <v>129</v>
      </c>
      <c r="C9435" s="32" t="n">
        <f aca="false">(mw_ye23+mw_ye24)/2</f>
        <v>240</v>
      </c>
      <c r="D9435" s="32" t="n">
        <f aca="false">(Sens!$C$9434+Sens!$D$9434)/2</f>
        <v>900</v>
      </c>
      <c r="E9435" s="32" t="n">
        <f aca="false">(Sens!$D$9434+Sens!$E$9434)/2</f>
        <v>1760</v>
      </c>
      <c r="F9435" s="32" t="n">
        <f aca="false">(Sens!$E$9434+Sens!$F$9434)/2</f>
        <v>2988.575</v>
      </c>
      <c r="G9435" s="32" t="n">
        <f aca="false">(Sens!$E$9435+Sens!$F$9435)/2</f>
        <v>2374.2875</v>
      </c>
      <c r="H9435" s="32" t="n">
        <f aca="false">(Sens!$G$9434+Sens!$H$9434)/2</f>
        <v>5714.3</v>
      </c>
      <c r="I9435" s="32" t="n">
        <f aca="false">(Sens!$H$9434+Sens!$I$9434)/2</f>
        <v>9348.6</v>
      </c>
      <c r="J9435" s="32" t="n">
        <f aca="false">(Sens!$I$9434+Sens!$J$9434)/2</f>
        <v>12982.9</v>
      </c>
      <c r="K9435" s="32" t="n">
        <f aca="false">(Sens!$J$9434+Sens!$K$9434)/2</f>
        <v>16060.8168333333</v>
      </c>
      <c r="L9435" s="32" t="n">
        <f aca="false">(Sens!$K$9434+Sens!$L$9434)/2</f>
        <v>18025.9673333333</v>
      </c>
      <c r="M9435" s="32" t="n">
        <f aca="false">(Sens!$L$9434+Sens!$M$9434)/2</f>
        <v>18878.3515</v>
      </c>
      <c r="N9435" s="32" t="n">
        <f aca="false">(Sens!$C$9434+Sens!$N$9434)/2</f>
        <v>630</v>
      </c>
      <c r="O9435" s="32" t="n">
        <f aca="false">(Sens!$N$9434+Sens!$O$9434)/2</f>
        <v>1170</v>
      </c>
    </row>
    <row r="9436" customFormat="false" ht="15" hidden="false" customHeight="false" outlineLevel="0" collapsed="false">
      <c r="A9436" s="5" t="s">
        <v>604</v>
      </c>
      <c r="B9436" s="5" t="s">
        <v>123</v>
      </c>
      <c r="C9436" s="34" t="n">
        <v>1</v>
      </c>
      <c r="D9436" s="34" t="n">
        <v>1</v>
      </c>
      <c r="E9436" s="34" t="n">
        <v>0.5</v>
      </c>
      <c r="F9436" s="34" t="n">
        <v>0.5</v>
      </c>
      <c r="G9436" s="34" t="n">
        <v>1</v>
      </c>
      <c r="H9436" s="34" t="n">
        <v>1</v>
      </c>
      <c r="I9436" s="34" t="n">
        <v>1</v>
      </c>
      <c r="J9436" s="34" t="n">
        <v>1</v>
      </c>
      <c r="K9436" s="34" t="n">
        <v>1</v>
      </c>
      <c r="L9436" s="34" t="n">
        <v>1</v>
      </c>
      <c r="M9436" s="34" t="n">
        <v>1</v>
      </c>
      <c r="N9436" s="34" t="n">
        <v>0.5</v>
      </c>
      <c r="O9436" s="34" t="n">
        <v>0.5</v>
      </c>
    </row>
    <row r="9437" customFormat="false" ht="17.15" hidden="false" customHeight="false" outlineLevel="0" collapsed="false">
      <c r="A9437" s="5" t="s">
        <v>605</v>
      </c>
      <c r="B9437" s="0" t="s">
        <v>129</v>
      </c>
      <c r="C9437" s="32" t="n">
        <f aca="false">Sens!$C$9434-mw_ye23</f>
        <v>240</v>
      </c>
      <c r="D9437" s="32" t="n">
        <f aca="false">Sens!$D$9434-Sens!$C$9434</f>
        <v>1080</v>
      </c>
      <c r="E9437" s="32" t="n">
        <f aca="false">Sens!$E$9434-Sens!$D$9434</f>
        <v>640</v>
      </c>
      <c r="F9437" s="32" t="n">
        <f aca="false">Sens!$F$9434-Sens!$E$9434</f>
        <v>1817.15</v>
      </c>
      <c r="G9437" s="32" t="n">
        <f aca="false">Sens!$E$9437+Sens!$F$9437</f>
        <v>2457.15</v>
      </c>
      <c r="H9437" s="32" t="n">
        <f aca="false">Sens!$H$9434-Sens!$G$9434</f>
        <v>3634.3</v>
      </c>
      <c r="I9437" s="32" t="n">
        <f aca="false">Sens!$I$9434-Sens!$H$9434</f>
        <v>3634.3</v>
      </c>
      <c r="J9437" s="32" t="n">
        <f aca="false">Sens!$J$9434-Sens!$I$9434</f>
        <v>3634.3</v>
      </c>
      <c r="K9437" s="32" t="n">
        <f aca="false">Sens!$K$9434-Sens!$J$9434</f>
        <v>2521.53366666667</v>
      </c>
      <c r="L9437" s="32" t="n">
        <f aca="false">Sens!$L$9434-Sens!$K$9434</f>
        <v>1408.76733333333</v>
      </c>
      <c r="M9437" s="32" t="n">
        <f aca="false">Sens!$M$9434-Sens!$L$9434</f>
        <v>296.001</v>
      </c>
      <c r="N9437" s="32" t="n">
        <f aca="false">Sens!$N$9434-Sens!$C$9434</f>
        <v>540</v>
      </c>
      <c r="O9437" s="32" t="n">
        <f aca="false">Sens!$O$9434-Sens!$N$9434</f>
        <v>540</v>
      </c>
    </row>
    <row r="9438" customFormat="false" ht="17.15" hidden="false" customHeight="false" outlineLevel="0" collapsed="false">
      <c r="A9438" s="5" t="s">
        <v>606</v>
      </c>
      <c r="B9438" s="0" t="s">
        <v>129</v>
      </c>
      <c r="C9438" s="32" t="n">
        <f aca="false">Sens!$C$9437/ext_sh</f>
        <v>300</v>
      </c>
      <c r="D9438" s="32" t="n">
        <f aca="false">Sens!$D$9437/ext_sh</f>
        <v>1350</v>
      </c>
      <c r="E9438" s="32" t="n">
        <f aca="false">Sens!$E$9437/ext_sh</f>
        <v>800</v>
      </c>
      <c r="F9438" s="32" t="n">
        <f aca="false">Sens!$F$9437/ext_sh</f>
        <v>2271.4375</v>
      </c>
      <c r="G9438" s="32" t="n">
        <f aca="false">Sens!$G$9437/ext_sh</f>
        <v>3071.4375</v>
      </c>
      <c r="H9438" s="32" t="n">
        <f aca="false">Sens!$H$9437/ext_sh</f>
        <v>4542.875</v>
      </c>
      <c r="I9438" s="32" t="n">
        <f aca="false">Sens!$I$9437/ext_sh</f>
        <v>4542.875</v>
      </c>
      <c r="J9438" s="32" t="n">
        <f aca="false">Sens!$J$9437/ext_sh</f>
        <v>4542.875</v>
      </c>
      <c r="K9438" s="32" t="n">
        <f aca="false">Sens!$K$9437/ext_sh</f>
        <v>3151.91708333333</v>
      </c>
      <c r="L9438" s="32" t="n">
        <f aca="false">Sens!$L$9437/ext_sh</f>
        <v>1760.95916666667</v>
      </c>
      <c r="M9438" s="32" t="n">
        <f aca="false">Sens!$M$9437/ext_sh</f>
        <v>370.00125</v>
      </c>
      <c r="N9438" s="32" t="n">
        <f aca="false">Sens!$N$9437/ext_sh</f>
        <v>675</v>
      </c>
      <c r="O9438" s="32" t="n">
        <f aca="false">Sens!$O$9437/ext_sh</f>
        <v>675</v>
      </c>
      <c r="P9438" s="8" t="s">
        <v>607</v>
      </c>
      <c r="R9438" s="32" t="n">
        <f aca="false">mw_ye23/ext_sh</f>
        <v>150</v>
      </c>
      <c r="S9438" s="32" t="n">
        <f aca="false">Sens!$C$9438</f>
        <v>300</v>
      </c>
      <c r="T9438" s="32" t="n">
        <f aca="false">Sens!$D$9438</f>
        <v>1350</v>
      </c>
      <c r="U9438" s="32" t="n">
        <f aca="false">Sens!$G$9438</f>
        <v>3071.4375</v>
      </c>
      <c r="V9438" s="32" t="n">
        <f aca="false">Sens!$H$9438</f>
        <v>4542.875</v>
      </c>
      <c r="W9438" s="32" t="n">
        <f aca="false">Sens!$I$9438</f>
        <v>4542.875</v>
      </c>
      <c r="X9438" s="32" t="n">
        <f aca="false">Sens!$J$9438</f>
        <v>4542.875</v>
      </c>
      <c r="Y9438" s="32" t="n">
        <f aca="false">Sens!$K$9438</f>
        <v>3151.91708333333</v>
      </c>
      <c r="Z9438" s="32" t="n">
        <f aca="false">Sens!$L$9438</f>
        <v>1760.95916666667</v>
      </c>
      <c r="AA9438" s="32" t="n">
        <f aca="false">Sens!$M$9438</f>
        <v>370.00125</v>
      </c>
    </row>
    <row r="9439" customFormat="false" ht="17.15" hidden="false" customHeight="false" outlineLevel="0" collapsed="false">
      <c r="A9439" s="1" t="s">
        <v>608</v>
      </c>
    </row>
    <row r="9440" customFormat="false" ht="17.15" hidden="false" customHeight="false" outlineLevel="0" collapsed="false">
      <c r="A9440" s="0" t="s">
        <v>609</v>
      </c>
      <c r="B9440" s="0" t="s">
        <v>52</v>
      </c>
      <c r="F9440" s="35" t="n">
        <f aca="false">na_vr26</f>
        <v>0</v>
      </c>
      <c r="G9440" s="35" t="n">
        <f aca="false">na_vr26</f>
        <v>0</v>
      </c>
      <c r="H9440" s="35" t="n">
        <f aca="false">na_vr27</f>
        <v>0.5</v>
      </c>
      <c r="I9440" s="35" t="n">
        <f aca="false">na_vr28</f>
        <v>1</v>
      </c>
      <c r="J9440" s="35" t="n">
        <f aca="false">na_vr28</f>
        <v>1</v>
      </c>
      <c r="K9440" s="35" t="n">
        <f aca="false">na_vr28</f>
        <v>1</v>
      </c>
      <c r="L9440" s="35" t="n">
        <f aca="false">na_vr28</f>
        <v>1</v>
      </c>
      <c r="M9440" s="35" t="n">
        <f aca="false">na_vr28</f>
        <v>1</v>
      </c>
    </row>
    <row r="9441" customFormat="false" ht="17.15" hidden="false" customHeight="false" outlineLevel="0" collapsed="false">
      <c r="A9441" s="5" t="s">
        <v>610</v>
      </c>
      <c r="B9441" s="0" t="s">
        <v>173</v>
      </c>
      <c r="F9441" s="36" t="n">
        <f aca="false">cust_sh*tk_he_gb300*cf_chip+(1-cust_sh)*((1-Sens!$F$9440)*tk_he_gb300+Sens!$F$9440*tk_he_vr200)</f>
        <v>10.8864110021101</v>
      </c>
      <c r="G9441" s="36" t="n">
        <f aca="false">cust_sh*tk_he_gb300*cf_chip+(1-cust_sh)*((1-Sens!$G$9440)*tk_he_gb300+Sens!$G$9440*tk_he_vr200)</f>
        <v>10.8864110021101</v>
      </c>
      <c r="H9441" s="36" t="n">
        <f aca="false">cust_sh*tk_he_gb300*cf_chip+(1-cust_sh)*((1-Sens!$H$9440)*tk_he_gb300+Sens!$H$9440*tk_he_vr200)</f>
        <v>11.2211760027286</v>
      </c>
      <c r="I9441" s="36" t="n">
        <f aca="false">cust_sh*tk_he_gb300*cf_chip+(1-cust_sh)*((1-Sens!$I$9440)*tk_he_gb300+Sens!$I$9440*tk_he_vr200)</f>
        <v>11.5559410033471</v>
      </c>
      <c r="J9441" s="36" t="n">
        <f aca="false">cust_sh*tk_he_gb300*cf_chip+(1-cust_sh)*((1-Sens!$J$9440)*tk_he_gb300+Sens!$J$9440*tk_he_vr200)</f>
        <v>11.5559410033471</v>
      </c>
      <c r="K9441" s="36" t="n">
        <f aca="false">cust_sh*tk_he_gb300*cf_chip+(1-cust_sh)*((1-Sens!$K$9440)*tk_he_gb300+Sens!$K$9440*tk_he_vr200)</f>
        <v>11.5559410033471</v>
      </c>
      <c r="L9441" s="36" t="n">
        <f aca="false">cust_sh*tk_he_gb300*cf_chip+(1-cust_sh)*((1-Sens!$L$9440)*tk_he_gb300+Sens!$L$9440*tk_he_vr200)</f>
        <v>11.5559410033471</v>
      </c>
      <c r="M9441" s="36" t="n">
        <f aca="false">cust_sh*tk_he_gb300*cf_chip+(1-cust_sh)*((1-Sens!$M$9440)*tk_he_gb300+Sens!$M$9440*tk_he_vr200)</f>
        <v>11.5559410033471</v>
      </c>
    </row>
    <row r="9442" customFormat="false" ht="17.15" hidden="false" customHeight="false" outlineLevel="0" collapsed="false">
      <c r="A9442" s="5" t="s">
        <v>611</v>
      </c>
      <c r="B9442" s="0" t="s">
        <v>173</v>
      </c>
      <c r="F9442" s="36" t="n">
        <f aca="false">cust_sh*tk_ox_gb300+(1-cust_sh)*((1-Sens!$F$9440)*tk_ox_gb300+Sens!$F$9440*tk_ox_vr200)</f>
        <v>1.98263481314457</v>
      </c>
      <c r="G9442" s="36" t="n">
        <f aca="false">cust_sh*tk_ox_gb300+(1-cust_sh)*((1-Sens!$G$9440)*tk_ox_gb300+Sens!$G$9440*tk_ox_vr200)</f>
        <v>1.98263481314457</v>
      </c>
      <c r="H9442" s="36" t="n">
        <f aca="false">cust_sh*tk_ox_gb300+(1-cust_sh)*((1-Sens!$H$9440)*tk_ox_gb300+Sens!$H$9440*tk_ox_vr200)</f>
        <v>2.01034999693694</v>
      </c>
      <c r="I9442" s="36" t="n">
        <f aca="false">cust_sh*tk_ox_gb300+(1-cust_sh)*((1-Sens!$I$9440)*tk_ox_gb300+Sens!$I$9440*tk_ox_vr200)</f>
        <v>2.0380651807293</v>
      </c>
      <c r="J9442" s="36" t="n">
        <f aca="false">cust_sh*tk_ox_gb300+(1-cust_sh)*((1-Sens!$J$9440)*tk_ox_gb300+Sens!$J$9440*tk_ox_vr200)</f>
        <v>2.0380651807293</v>
      </c>
      <c r="K9442" s="36" t="n">
        <f aca="false">cust_sh*tk_ox_gb300+(1-cust_sh)*((1-Sens!$K$9440)*tk_ox_gb300+Sens!$K$9440*tk_ox_vr200)</f>
        <v>2.0380651807293</v>
      </c>
      <c r="L9442" s="36" t="n">
        <f aca="false">cust_sh*tk_ox_gb300+(1-cust_sh)*((1-Sens!$L$9440)*tk_ox_gb300+Sens!$L$9440*tk_ox_vr200)</f>
        <v>2.0380651807293</v>
      </c>
      <c r="M9442" s="36" t="n">
        <f aca="false">cust_sh*tk_ox_gb300+(1-cust_sh)*((1-Sens!$M$9440)*tk_ox_gb300+Sens!$M$9440*tk_ox_vr200)</f>
        <v>2.0380651807293</v>
      </c>
    </row>
    <row r="9443" customFormat="false" ht="17.15" hidden="false" customHeight="false" outlineLevel="0" collapsed="false">
      <c r="A9443" s="5" t="s">
        <v>612</v>
      </c>
      <c r="B9443" s="0" t="s">
        <v>192</v>
      </c>
      <c r="F9443" s="36" t="n">
        <f aca="false">cust_sh*tk_cx_gb300*cf_cx+(1-cust_sh)*((1-Sens!$F$9440)*tk_cx_gb300+Sens!$F$9440*tk_cx_vr200)</f>
        <v>32.237224</v>
      </c>
      <c r="G9443" s="36" t="n">
        <f aca="false">cust_sh*tk_cx_gb300*cf_cx+(1-cust_sh)*((1-Sens!$G$9440)*tk_cx_gb300+Sens!$G$9440*tk_cx_vr200)</f>
        <v>32.237224</v>
      </c>
      <c r="H9443" s="36" t="n">
        <f aca="false">cust_sh*tk_cx_gb300*cf_cx+(1-cust_sh)*((1-Sens!$H$9440)*tk_cx_gb300+Sens!$H$9440*tk_cx_vr200)</f>
        <v>33.574506</v>
      </c>
      <c r="I9443" s="36" t="n">
        <f aca="false">cust_sh*tk_cx_gb300*cf_cx+(1-cust_sh)*((1-Sens!$I$9440)*tk_cx_gb300+Sens!$I$9440*tk_cx_vr200)</f>
        <v>34.911788</v>
      </c>
      <c r="J9443" s="36" t="n">
        <f aca="false">cust_sh*tk_cx_gb300*cf_cx+(1-cust_sh)*((1-Sens!$J$9440)*tk_cx_gb300+Sens!$J$9440*tk_cx_vr200)</f>
        <v>34.911788</v>
      </c>
      <c r="K9443" s="36" t="n">
        <f aca="false">cust_sh*tk_cx_gb300*cf_cx+(1-cust_sh)*((1-Sens!$K$9440)*tk_cx_gb300+Sens!$K$9440*tk_cx_vr200)</f>
        <v>34.911788</v>
      </c>
      <c r="L9443" s="36" t="n">
        <f aca="false">cust_sh*tk_cx_gb300*cf_cx+(1-cust_sh)*((1-Sens!$L$9440)*tk_cx_gb300+Sens!$L$9440*tk_cx_vr200)</f>
        <v>34.911788</v>
      </c>
      <c r="M9443" s="36" t="n">
        <f aca="false">cust_sh*tk_cx_gb300*cf_cx+(1-cust_sh)*((1-Sens!$M$9440)*tk_cx_gb300+Sens!$M$9440*tk_cx_vr200)</f>
        <v>34.911788</v>
      </c>
    </row>
    <row r="9444" customFormat="false" ht="17.15" hidden="false" customHeight="false" outlineLevel="0" collapsed="false">
      <c r="A9444" s="5" t="s">
        <v>613</v>
      </c>
      <c r="B9444" s="0" t="s">
        <v>129</v>
      </c>
      <c r="F9444" s="32" t="n">
        <f aca="false">Sens!$F$9434-mw_open</f>
        <v>1817.15</v>
      </c>
      <c r="G9444" s="32" t="n">
        <f aca="false">Sens!$F$9444</f>
        <v>1817.15</v>
      </c>
      <c r="H9444" s="32" t="n">
        <f aca="false">Sens!$H$9434-mw_open</f>
        <v>5451.45</v>
      </c>
      <c r="I9444" s="32" t="n">
        <f aca="false">Sens!$I$9434-mw_open</f>
        <v>9085.75</v>
      </c>
      <c r="J9444" s="32" t="n">
        <f aca="false">Sens!$J$9434-mw_open</f>
        <v>12720.05</v>
      </c>
      <c r="K9444" s="32" t="n">
        <f aca="false">Sens!$K$9434-mw_open</f>
        <v>15241.5836666667</v>
      </c>
      <c r="L9444" s="32" t="n">
        <f aca="false">Sens!$L$9434-mw_open</f>
        <v>16650.351</v>
      </c>
      <c r="M9444" s="32" t="n">
        <f aca="false">Sens!$M$9434-mw_open</f>
        <v>16946.352</v>
      </c>
    </row>
    <row r="9445" customFormat="false" ht="17.15" hidden="false" customHeight="false" outlineLevel="0" collapsed="false">
      <c r="A9445" s="0" t="s">
        <v>614</v>
      </c>
      <c r="B9445" s="0" t="s">
        <v>615</v>
      </c>
      <c r="F9445" s="32" t="n">
        <f aca="false">Sens!$F$9437*Sens!$F$9441</f>
        <v>19782.2417524844</v>
      </c>
      <c r="G9445" s="32" t="n">
        <f aca="false">Sens!$F$9445</f>
        <v>19782.2417524844</v>
      </c>
      <c r="H9445" s="32" t="n">
        <f aca="false">Sens!$G$9445+Sens!$H$9437*Sens!$H$9441</f>
        <v>60563.3616992009</v>
      </c>
      <c r="I9445" s="32" t="n">
        <f aca="false">Sens!$H$9445+Sens!$I$9437*Sens!$I$9441</f>
        <v>102561.118087665</v>
      </c>
      <c r="J9445" s="32" t="n">
        <f aca="false">Sens!$I$9445+Sens!$J$9437*Sens!$J$9441</f>
        <v>144558.87447613</v>
      </c>
      <c r="K9445" s="32" t="n">
        <f aca="false">Sens!$J$9445+Sens!$K$9437*Sens!$K$9441</f>
        <v>173697.568766083</v>
      </c>
      <c r="L9445" s="32" t="n">
        <f aca="false">Sens!$K$9445+Sens!$L$9437*Sens!$L$9441</f>
        <v>189977.200957526</v>
      </c>
      <c r="M9445" s="32" t="n">
        <f aca="false">Sens!$L$9445+Sens!$M$9437*Sens!$M$9441</f>
        <v>193397.771050458</v>
      </c>
    </row>
    <row r="9446" customFormat="false" ht="17.15" hidden="false" customHeight="false" outlineLevel="0" collapsed="false">
      <c r="A9446" s="0" t="s">
        <v>616</v>
      </c>
      <c r="B9446" s="0" t="s">
        <v>615</v>
      </c>
      <c r="F9446" s="32" t="n">
        <f aca="false">Sens!$F$9437*Sens!$F$9442</f>
        <v>3602.74485070566</v>
      </c>
      <c r="G9446" s="32" t="n">
        <f aca="false">Sens!$F$9446</f>
        <v>3602.74485070566</v>
      </c>
      <c r="H9446" s="32" t="n">
        <f aca="false">Sens!$G$9446+Sens!$H$9437*Sens!$H$9442</f>
        <v>10908.9598445736</v>
      </c>
      <c r="I9446" s="32" t="n">
        <f aca="false">Sens!$H$9446+Sens!$I$9437*Sens!$I$9442</f>
        <v>18315.9001308981</v>
      </c>
      <c r="J9446" s="32" t="n">
        <f aca="false">Sens!$I$9446+Sens!$J$9437*Sens!$J$9442</f>
        <v>25722.8404172225</v>
      </c>
      <c r="K9446" s="32" t="n">
        <f aca="false">Sens!$J$9446+Sens!$K$9437*Sens!$K$9442</f>
        <v>30861.8903852926</v>
      </c>
      <c r="L9446" s="32" t="n">
        <f aca="false">Sens!$K$9446+Sens!$L$9437*Sens!$L$9442</f>
        <v>33733.0500351081</v>
      </c>
      <c r="M9446" s="32" t="n">
        <f aca="false">Sens!$L$9446+Sens!$M$9437*Sens!$M$9442</f>
        <v>34336.3193666691</v>
      </c>
    </row>
    <row r="9447" customFormat="false" ht="17.15" hidden="false" customHeight="false" outlineLevel="0" collapsed="false">
      <c r="A9447" s="5" t="s">
        <v>617</v>
      </c>
      <c r="B9447" s="0" t="s">
        <v>173</v>
      </c>
      <c r="F9447" s="36" t="n">
        <f aca="false">IF(Sens!$F$9444&gt;0,Sens!$F$9445/Sens!$F$9444,Sens!$F$9441)</f>
        <v>10.8864110021101</v>
      </c>
      <c r="G9447" s="36" t="n">
        <f aca="false">IF(Sens!$G$9444&gt;0,Sens!$G$9445/Sens!$G$9444,Sens!$G$9441)</f>
        <v>10.8864110021101</v>
      </c>
      <c r="H9447" s="36" t="n">
        <f aca="false">IF(Sens!$H$9444&gt;0,Sens!$H$9445/Sens!$H$9444,Sens!$H$9441)</f>
        <v>11.1095876691891</v>
      </c>
      <c r="I9447" s="36" t="n">
        <f aca="false">IF(Sens!$I$9444&gt;0,Sens!$I$9445/Sens!$I$9444,Sens!$I$9441)</f>
        <v>11.2881290028523</v>
      </c>
      <c r="J9447" s="36" t="n">
        <f aca="false">IF(Sens!$J$9444&gt;0,Sens!$J$9445/Sens!$J$9444,Sens!$J$9441)</f>
        <v>11.3646467172794</v>
      </c>
      <c r="K9447" s="36" t="n">
        <f aca="false">IF(Sens!$K$9444&gt;0,Sens!$K$9445/Sens!$K$9444,Sens!$K$9441)</f>
        <v>11.3962940180527</v>
      </c>
      <c r="L9447" s="36" t="n">
        <f aca="false">IF(Sens!$L$9444&gt;0,Sens!$L$9445/Sens!$L$9444,Sens!$L$9441)</f>
        <v>11.4098015685991</v>
      </c>
      <c r="M9447" s="36" t="n">
        <f aca="false">IF(Sens!$M$9444&gt;0,Sens!$M$9445/Sens!$M$9444,Sens!$M$9441)</f>
        <v>11.4123541780825</v>
      </c>
    </row>
    <row r="9448" customFormat="false" ht="17.15" hidden="false" customHeight="false" outlineLevel="0" collapsed="false">
      <c r="A9448" s="5" t="s">
        <v>618</v>
      </c>
      <c r="B9448" s="0" t="s">
        <v>173</v>
      </c>
      <c r="F9448" s="36" t="n">
        <f aca="false">IF(Sens!$F$9444&gt;0,Sens!$F$9446/Sens!$F$9444,Sens!$F$9442)</f>
        <v>1.98263481314457</v>
      </c>
      <c r="G9448" s="36" t="n">
        <f aca="false">IF(Sens!$G$9444&gt;0,Sens!$G$9446/Sens!$G$9444,Sens!$G$9442)</f>
        <v>1.98263481314457</v>
      </c>
      <c r="H9448" s="36" t="n">
        <f aca="false">IF(Sens!$H$9444&gt;0,Sens!$H$9446/Sens!$H$9444,Sens!$H$9442)</f>
        <v>2.00111160233948</v>
      </c>
      <c r="I9448" s="36" t="n">
        <f aca="false">IF(Sens!$I$9444&gt;0,Sens!$I$9446/Sens!$I$9444,Sens!$I$9442)</f>
        <v>2.01589303369541</v>
      </c>
      <c r="J9448" s="36" t="n">
        <f aca="false">IF(Sens!$J$9444&gt;0,Sens!$J$9446/Sens!$J$9444,Sens!$J$9442)</f>
        <v>2.02222793284795</v>
      </c>
      <c r="K9448" s="36" t="n">
        <f aca="false">IF(Sens!$K$9444&gt;0,Sens!$K$9446/Sens!$K$9444,Sens!$K$9442)</f>
        <v>2.02484801187606</v>
      </c>
      <c r="L9448" s="36" t="n">
        <f aca="false">IF(Sens!$L$9444&gt;0,Sens!$L$9446/Sens!$L$9444,Sens!$L$9442)</f>
        <v>2.02596630155773</v>
      </c>
      <c r="M9448" s="36" t="n">
        <f aca="false">IF(Sens!$M$9444&gt;0,Sens!$M$9446/Sens!$M$9444,Sens!$M$9442)</f>
        <v>2.02617763201597</v>
      </c>
    </row>
    <row r="9449" customFormat="false" ht="17.15" hidden="false" customHeight="false" outlineLevel="0" collapsed="false">
      <c r="A9449" s="15" t="s">
        <v>619</v>
      </c>
      <c r="B9449" s="14" t="s">
        <v>173</v>
      </c>
      <c r="C9449" s="14"/>
      <c r="D9449" s="14"/>
      <c r="E9449" s="14"/>
      <c r="F9449" s="37" t="n">
        <f aca="false">Sens!$F$9447*k_B</f>
        <v>10.7987645808025</v>
      </c>
      <c r="G9449" s="37" t="n">
        <f aca="false">Sens!$G$9447*k_B</f>
        <v>10.7987645808025</v>
      </c>
      <c r="H9449" s="37" t="n">
        <f aca="false">Sens!$H$9447*k_B</f>
        <v>11.0201444540452</v>
      </c>
      <c r="I9449" s="37" t="n">
        <f aca="false">Sens!$I$9447*k_B</f>
        <v>11.1972483526393</v>
      </c>
      <c r="J9449" s="37" t="n">
        <f aca="false">Sens!$J$9447*k_B</f>
        <v>11.2731500234653</v>
      </c>
      <c r="K9449" s="37" t="n">
        <f aca="false">Sens!$K$9447*k_B</f>
        <v>11.3045425320343</v>
      </c>
      <c r="L9449" s="37" t="n">
        <f aca="false">Sens!$L$9447*k_B</f>
        <v>11.3179413333826</v>
      </c>
      <c r="M9449" s="37" t="n">
        <f aca="false">Sens!$M$9447*k_B</f>
        <v>11.3204733918244</v>
      </c>
      <c r="N9449" s="14"/>
      <c r="O9449" s="14"/>
      <c r="P9449" s="5" t="s">
        <v>620</v>
      </c>
    </row>
    <row r="9450" customFormat="false" ht="17.15" hidden="false" customHeight="false" outlineLevel="0" collapsed="false">
      <c r="A9450" s="5" t="s">
        <v>621</v>
      </c>
      <c r="B9450" s="0" t="s">
        <v>129</v>
      </c>
      <c r="F9450" s="32" t="n">
        <f aca="false">Sens!$F$9444/2</f>
        <v>908.575</v>
      </c>
      <c r="H9450" s="32" t="n">
        <f aca="false">(Sens!$G$9444+Sens!$H$9444)/2</f>
        <v>3634.3</v>
      </c>
      <c r="I9450" s="32" t="n">
        <f aca="false">(Sens!$H$9444+Sens!$I$9444)/2</f>
        <v>7268.6</v>
      </c>
      <c r="J9450" s="32" t="n">
        <f aca="false">(Sens!$I$9444+Sens!$J$9444)/2</f>
        <v>10902.9</v>
      </c>
      <c r="K9450" s="32" t="n">
        <f aca="false">(Sens!$J$9444+Sens!$K$9444)/2</f>
        <v>13980.8168333333</v>
      </c>
      <c r="L9450" s="32" t="n">
        <f aca="false">(Sens!$K$9444+Sens!$L$9444)/2</f>
        <v>15945.9673333333</v>
      </c>
      <c r="M9450" s="32" t="n">
        <f aca="false">(Sens!$L$9444+Sens!$M$9444)/2</f>
        <v>16798.3515</v>
      </c>
    </row>
    <row r="9451" customFormat="false" ht="17.15" hidden="false" customHeight="false" outlineLevel="0" collapsed="false">
      <c r="A9451" s="1" t="s">
        <v>622</v>
      </c>
    </row>
    <row r="9452" customFormat="false" ht="17.15" hidden="false" customHeight="false" outlineLevel="0" collapsed="false">
      <c r="A9452" s="1" t="s">
        <v>623</v>
      </c>
      <c r="B9452" s="8" t="s">
        <v>86</v>
      </c>
      <c r="C9452" s="38" t="n">
        <f aca="false">Sens!$C$9435*rpm_open*Sens!$C$9436/1000</f>
        <v>2.32100535697364</v>
      </c>
      <c r="D9452" s="38" t="n">
        <f aca="false">Sens!$D$9435*rpm_open*Sens!$D$9436/1000</f>
        <v>8.70377008865116</v>
      </c>
      <c r="E9452" s="38" t="n">
        <f aca="false">Sens!$E$9435*rpm_open*Sens!$E$9436/1000</f>
        <v>8.51035297557002</v>
      </c>
      <c r="F9452" s="38" t="n">
        <f aca="false">(mw_open*rpm_open+Sens!$F$9450*Sens!$F$9449)*Sens!$F$9436/1000</f>
        <v>14.9634336447205</v>
      </c>
      <c r="G9452" s="38" t="n">
        <f aca="false">Sens!$E$9452+Sens!$F$9452</f>
        <v>23.4737866202905</v>
      </c>
      <c r="H9452" s="38" t="n">
        <f aca="false">(mw_open*rpm_open+Sens!$H$9450*Sens!$H$9449)/1000</f>
        <v>60.1658907497746</v>
      </c>
      <c r="I9452" s="38" t="n">
        <f aca="false">(mw_open*rpm_open+Sens!$I$9450*Sens!$I$9449)/1000</f>
        <v>101.503699136432</v>
      </c>
      <c r="J9452" s="38" t="n">
        <f aca="false">(mw_open*rpm_open+Sens!$J$9450*Sens!$J$9449)/1000</f>
        <v>143.025407151278</v>
      </c>
      <c r="K9452" s="38" t="n">
        <f aca="false">(mw_open*rpm_open+Sens!$K$9450*Sens!$K$9449)/1000</f>
        <v>178.162118285436</v>
      </c>
      <c r="L9452" s="38" t="n">
        <f aca="false">(mw_open*rpm_open+Sens!$L$9450*Sens!$L$9449)/1000</f>
        <v>200.590902543141</v>
      </c>
      <c r="M9452" s="38" t="n">
        <f aca="false">(mw_open*rpm_open+Sens!$M$9450*Sens!$M$9449)/1000</f>
        <v>210.280670942702</v>
      </c>
      <c r="N9452" s="38" t="n">
        <f aca="false">Sens!$N$9435*rpm_open*Sens!$N$9436/1000</f>
        <v>3.04631953102791</v>
      </c>
      <c r="O9452" s="38" t="n">
        <f aca="false">Sens!$O$9435*rpm_open*Sens!$O$9436/1000</f>
        <v>5.65745055762326</v>
      </c>
      <c r="P9452" s="5" t="s">
        <v>624</v>
      </c>
    </row>
    <row r="9453" customFormat="false" ht="17.15" hidden="false" customHeight="false" outlineLevel="0" collapsed="false">
      <c r="A9453" s="5" t="s">
        <v>625</v>
      </c>
      <c r="B9453" s="0" t="s">
        <v>173</v>
      </c>
      <c r="C9453" s="36" t="n">
        <f aca="false">Sens!$C$9452*1000/(Sens!$C$9435*Sens!$C$9436)</f>
        <v>9.67085565405685</v>
      </c>
      <c r="D9453" s="36" t="n">
        <f aca="false">Sens!$D$9452*1000/(Sens!$D$9435*Sens!$D$9436)</f>
        <v>9.67085565405685</v>
      </c>
      <c r="E9453" s="36" t="n">
        <f aca="false">Sens!$E$9452*1000/(Sens!$E$9435*Sens!$E$9436)</f>
        <v>9.67085565405685</v>
      </c>
      <c r="F9453" s="36" t="n">
        <f aca="false">Sens!$F$9452*1000/(Sens!$F$9435*Sens!$F$9436)</f>
        <v>10.0137581588017</v>
      </c>
      <c r="G9453" s="36" t="n">
        <f aca="false">Sens!$G$9452*1000/(Sens!$G$9435*Sens!$G$9436)</f>
        <v>9.88666562928478</v>
      </c>
      <c r="H9453" s="36" t="n">
        <f aca="false">Sens!$H$9452*1000/(Sens!$H$9435*Sens!$H$9436)</f>
        <v>10.5290045586992</v>
      </c>
      <c r="I9453" s="36" t="n">
        <f aca="false">Sens!$I$9452*1000/(Sens!$I$9435*Sens!$I$9436)</f>
        <v>10.8576363451674</v>
      </c>
      <c r="J9453" s="36" t="n">
        <f aca="false">Sens!$J$9452*1000/(Sens!$J$9435*Sens!$J$9436)</f>
        <v>11.0164452588619</v>
      </c>
      <c r="K9453" s="36" t="n">
        <f aca="false">Sens!$K$9452*1000/(Sens!$K$9435*Sens!$K$9436)</f>
        <v>11.0929674458194</v>
      </c>
      <c r="L9453" s="36" t="n">
        <f aca="false">Sens!$L$9452*1000/(Sens!$L$9435*Sens!$L$9436)</f>
        <v>11.1278856126745</v>
      </c>
      <c r="M9453" s="36" t="n">
        <f aca="false">Sens!$M$9452*1000/(Sens!$M$9435*Sens!$M$9436)</f>
        <v>11.1387199747129</v>
      </c>
      <c r="N9453" s="36" t="n">
        <f aca="false">Sens!$N$9452*1000/(Sens!$N$9435*Sens!$N$9436)</f>
        <v>9.67085565405685</v>
      </c>
      <c r="O9453" s="36" t="n">
        <f aca="false">Sens!$O$9452*1000/(Sens!$O$9435*Sens!$O$9436)</f>
        <v>9.67085565405685</v>
      </c>
    </row>
    <row r="9454" customFormat="false" ht="17.15" hidden="false" customHeight="false" outlineLevel="0" collapsed="false">
      <c r="A9454" s="0" t="s">
        <v>626</v>
      </c>
      <c r="B9454" s="0" t="s">
        <v>86</v>
      </c>
      <c r="C9454" s="38" t="n">
        <f aca="false">Sens!$C$9435/ext_sh*(ox_open+rent_mw)*Sens!$C$9436/1000</f>
        <v>0.642569210675032</v>
      </c>
      <c r="D9454" s="38" t="n">
        <f aca="false">Sens!$D$9435/ext_sh*(ox_open+rent_mw)*Sens!$D$9436/1000</f>
        <v>2.40963454003137</v>
      </c>
      <c r="E9454" s="38" t="n">
        <f aca="false">Sens!$E$9435/ext_sh*(ox_open+rent_mw)*Sens!$E$9436/1000</f>
        <v>2.35608710580845</v>
      </c>
      <c r="F9454" s="38" t="n">
        <f aca="false">((mw_open*ox_open+Sens!$F$9450*Sens!$F$9448)/ext_sh+Sens!$F$9435/ext_sh*rent_mw)*Sens!$F$9436/1000</f>
        <v>4.05421991106232</v>
      </c>
      <c r="G9454" s="38" t="n">
        <f aca="false">Sens!$E$9454+Sens!$F$9454</f>
        <v>6.41030701687077</v>
      </c>
      <c r="H9454" s="38" t="n">
        <f aca="false">((mw_open*ox_open+Sens!$H$9450*Sens!$H$9448)/ext_sh+Sens!$H$9435/ext_sh*rent_mw)*Sens!$H$9436/1000</f>
        <v>15.8108975546616</v>
      </c>
      <c r="I9454" s="38" t="n">
        <f aca="false">((mw_open*ox_open+Sens!$I$9450*Sens!$I$9448)/ext_sh+Sens!$I$9435/ext_sh*rent_mw)*Sens!$I$9436/1000</f>
        <v>26.1871623400817</v>
      </c>
      <c r="J9454" s="38" t="n">
        <f aca="false">((mw_open*ox_open+Sens!$J$9450*Sens!$J$9448)/ext_sh+Sens!$J$9435/ext_sh*rent_mw)*Sens!$J$9436/1000</f>
        <v>36.5826128954935</v>
      </c>
      <c r="K9454" s="38" t="n">
        <f aca="false">((mw_open*ox_open+Sens!$K$9450*Sens!$K$9448)/ext_sh+Sens!$K$9435/ext_sh*rent_mw)*Sens!$K$9436/1000</f>
        <v>45.3836433528648</v>
      </c>
      <c r="L9454" s="38" t="n">
        <f aca="false">((mw_open*ox_open+Sens!$L$9450*Sens!$L$9448)/ext_sh+Sens!$L$9435/ext_sh*rent_mw)*Sens!$L$9436/1000</f>
        <v>51.0023088908591</v>
      </c>
      <c r="M9454" s="38" t="n">
        <f aca="false">((mw_open*ox_open+Sens!$M$9450*Sens!$M$9448)/ext_sh+Sens!$M$9435/ext_sh*rent_mw)*Sens!$M$9436/1000</f>
        <v>53.4353660768611</v>
      </c>
      <c r="N9454" s="38" t="n">
        <f aca="false">Sens!$N$9435/ext_sh*(ox_open+rent_mw)*Sens!$N$9436/1000</f>
        <v>0.84337208901098</v>
      </c>
      <c r="O9454" s="38" t="n">
        <f aca="false">Sens!$O$9435/ext_sh*(ox_open+rent_mw)*Sens!$O$9436/1000</f>
        <v>1.56626245102039</v>
      </c>
    </row>
    <row r="9455" customFormat="false" ht="17.15" hidden="false" customHeight="false" outlineLevel="0" collapsed="false">
      <c r="A9455" s="0" t="s">
        <v>627</v>
      </c>
      <c r="B9455" s="0" t="s">
        <v>86</v>
      </c>
      <c r="C9455" s="38" t="n">
        <f aca="false">Q!$D$7</f>
        <v>107.556</v>
      </c>
      <c r="D9455" s="38" t="n">
        <f aca="false">Q!$E$7</f>
        <v>128.725</v>
      </c>
      <c r="E9455" s="38" t="n">
        <f aca="false">Q!$P$7</f>
        <v>79.819</v>
      </c>
      <c r="N9455" s="38" t="n">
        <f aca="false">Q!$N$7</f>
        <v>60.14</v>
      </c>
      <c r="O9455" s="38" t="n">
        <f aca="false">Q!$O$7</f>
        <v>68.585</v>
      </c>
    </row>
    <row r="9456" customFormat="false" ht="17.15" hidden="false" customHeight="false" outlineLevel="0" collapsed="false">
      <c r="A9456" s="1" t="s">
        <v>628</v>
      </c>
      <c r="B9456" s="8" t="s">
        <v>86</v>
      </c>
      <c r="C9456" s="38" t="n">
        <f aca="false">Sens!$C$9455-Sens!$C$9452</f>
        <v>105.234994643026</v>
      </c>
      <c r="D9456" s="38" t="n">
        <f aca="false">Sens!$D$9455-Sens!$D$9452</f>
        <v>120.021229911349</v>
      </c>
      <c r="E9456" s="38" t="n">
        <f aca="false">Sens!$E$9455-Sens!$E$9452</f>
        <v>71.30864702443</v>
      </c>
      <c r="F9456" s="38" t="n">
        <f aca="false">Sens!$O$9456*(1+Sens!$F$9457)</f>
        <v>71.7692997942464</v>
      </c>
      <c r="G9456" s="38" t="n">
        <f aca="false">Sens!$E$9456+Sens!$F$9456</f>
        <v>143.077946818676</v>
      </c>
      <c r="H9456" s="38" t="n">
        <f aca="false">Sens!$G$9456*(1+Sens!$H$9457)</f>
        <v>161.017077079203</v>
      </c>
      <c r="I9456" s="38" t="n">
        <f aca="false">Sens!$H$9456*(1+Sens!$I$9457)</f>
        <v>178.769759521457</v>
      </c>
      <c r="J9456" s="38" t="n">
        <f aca="false">Sens!$I$9456*(1+Sens!$J$9457)</f>
        <v>195.775538045907</v>
      </c>
      <c r="K9456" s="38" t="n">
        <f aca="false">Sens!$J$9456*(1+Sens!$K$9457)</f>
        <v>211.43758108958</v>
      </c>
      <c r="L9456" s="38" t="n">
        <f aca="false">Sens!$K$9456*(1+Sens!$L$9457)</f>
        <v>228.352587576746</v>
      </c>
      <c r="M9456" s="38" t="n">
        <f aca="false">Sens!$L$9456*(1+Sens!$M$9457)</f>
        <v>246.620794582886</v>
      </c>
      <c r="N9456" s="38" t="n">
        <f aca="false">Sens!$N$9455-Sens!$N$9452</f>
        <v>57.0936804689721</v>
      </c>
      <c r="O9456" s="38" t="n">
        <f aca="false">Sens!$O$9455-Sens!$O$9452</f>
        <v>62.9275494423768</v>
      </c>
      <c r="P9456" s="5" t="s">
        <v>629</v>
      </c>
    </row>
    <row r="9457" customFormat="false" ht="17.15" hidden="false" customHeight="false" outlineLevel="0" collapsed="false">
      <c r="A9457" s="0" t="s">
        <v>630</v>
      </c>
      <c r="B9457" s="0" t="s">
        <v>52</v>
      </c>
      <c r="D9457" s="13" t="n">
        <f aca="false">Sens!$D$9456/Sens!$C$9456-1</f>
        <v>0.140506827776062</v>
      </c>
      <c r="E9457" s="13" t="n">
        <f aca="false">Sens!$E$9456/Sens!$N$9456-1</f>
        <v>0.248976181579029</v>
      </c>
      <c r="F9457" s="13" t="n">
        <f aca="false">Sens!$D$9457</f>
        <v>0.140506827776062</v>
      </c>
      <c r="G9457" s="13" t="n">
        <f aca="false">Sens!$G$9456/Sens!$D$9456-1</f>
        <v>0.19210532106993</v>
      </c>
      <c r="H9457" s="13" t="n">
        <f aca="false">Sens!$F$9457+(g_awso_lt-Sens!$F$9457)*1/4</f>
        <v>0.125380120832046</v>
      </c>
      <c r="I9457" s="13" t="n">
        <f aca="false">Sens!$F$9457+(g_awso_lt-Sens!$F$9457)*2/4</f>
        <v>0.110253413888031</v>
      </c>
      <c r="J9457" s="13" t="n">
        <f aca="false">Sens!$F$9457+(g_awso_lt-Sens!$F$9457)*3/4</f>
        <v>0.0951267069440154</v>
      </c>
      <c r="K9457" s="13" t="n">
        <f aca="false">Sens!$F$9457+(g_awso_lt-Sens!$F$9457)*4/4</f>
        <v>0.08</v>
      </c>
      <c r="L9457" s="13" t="n">
        <f aca="false">g_awso_lt</f>
        <v>0.08</v>
      </c>
      <c r="M9457" s="13" t="n">
        <f aca="false">g_awso_lt</f>
        <v>0.08</v>
      </c>
      <c r="P9457" s="5" t="s">
        <v>631</v>
      </c>
    </row>
    <row r="9458" customFormat="false" ht="17.15" hidden="false" customHeight="false" outlineLevel="0" collapsed="false">
      <c r="A9458" s="1" t="s">
        <v>632</v>
      </c>
    </row>
    <row r="9459" customFormat="false" ht="17.15" hidden="false" customHeight="false" outlineLevel="0" collapsed="false">
      <c r="A9459" s="0" t="s">
        <v>633</v>
      </c>
      <c r="B9459" s="0" t="s">
        <v>86</v>
      </c>
      <c r="F9459" s="38" t="n">
        <f aca="false">cx_rt*Sens!$F$9424+cx_awso*Sens!$F$9456</f>
        <v>34.9734495387866</v>
      </c>
    </row>
    <row r="9460" customFormat="false" ht="17.15" hidden="false" customHeight="false" outlineLevel="0" collapsed="false">
      <c r="A9460" s="0" t="s">
        <v>634</v>
      </c>
      <c r="B9460" s="0" t="s">
        <v>52</v>
      </c>
      <c r="C9460" s="13" t="n">
        <f aca="false">tk_cx_h100/(tk_cx_h100+tk_fac*(1-colo_sh))</f>
        <v>0.730756458006641</v>
      </c>
      <c r="D9460" s="13" t="n">
        <f aca="false">tk_cx_h100/(tk_cx_h100+tk_fac*(1-colo_sh))</f>
        <v>0.730756458006641</v>
      </c>
      <c r="E9460" s="13" t="n">
        <f aca="false">Sens!$F$9460</f>
        <v>0.760792334328868</v>
      </c>
      <c r="F9460" s="13" t="n">
        <f aca="false">Sens!$F$9443/(Sens!$F$9443+tk_fac*(1-colo_sh))</f>
        <v>0.760792334328868</v>
      </c>
      <c r="G9460" s="13" t="n">
        <f aca="false">Sens!$G$9443/(Sens!$G$9443+tk_fac*(1-colo_sh))</f>
        <v>0.760792334328868</v>
      </c>
      <c r="H9460" s="13" t="n">
        <f aca="false">Sens!$H$9443/(Sens!$H$9443+tk_fac*(1-colo_sh))</f>
        <v>0.768110668862996</v>
      </c>
      <c r="I9460" s="13" t="n">
        <f aca="false">Sens!$I$9443/(Sens!$I$9443+tk_fac*(1-colo_sh))</f>
        <v>0.77499450139483</v>
      </c>
      <c r="J9460" s="13" t="n">
        <f aca="false">Sens!$J$9443/(Sens!$J$9443+tk_fac*(1-colo_sh))</f>
        <v>0.77499450139483</v>
      </c>
      <c r="K9460" s="13" t="n">
        <f aca="false">Sens!$K$9443/(Sens!$K$9443+tk_fac*(1-colo_sh))</f>
        <v>0.77499450139483</v>
      </c>
      <c r="L9460" s="13" t="n">
        <f aca="false">Sens!$L$9443/(Sens!$L$9443+tk_fac*(1-colo_sh))</f>
        <v>0.77499450139483</v>
      </c>
      <c r="M9460" s="13" t="n">
        <f aca="false">Sens!$M$9443/(Sens!$M$9443+tk_fac*(1-colo_sh))</f>
        <v>0.77499450139483</v>
      </c>
    </row>
    <row r="9461" customFormat="false" ht="17.15" hidden="false" customHeight="false" outlineLevel="0" collapsed="false">
      <c r="A9461" s="1" t="s">
        <v>635</v>
      </c>
      <c r="B9461" s="8" t="s">
        <v>86</v>
      </c>
      <c r="C9461" s="38" t="n">
        <f aca="false">Q!$D$46-cx_rt*Q!$D$16-cx_awso*Sens!$C$9456</f>
        <v>25.2781053077374</v>
      </c>
      <c r="D9461" s="38" t="n">
        <f aca="false">Q!$E$46-cx_rt*Q!$E$16-cx_awso*Sens!$D$9456</f>
        <v>69.5686316310026</v>
      </c>
      <c r="E9461" s="38" t="n">
        <f aca="false">Q!$P$46-cx_rt*Q!$P$16-cx_awso*Sens!$E$9456</f>
        <v>64.1899206485108</v>
      </c>
      <c r="F9461" s="38" t="n">
        <f aca="false">capex_g26-Q!$P$46-Sens!$F$9459</f>
        <v>88.7165504612134</v>
      </c>
      <c r="G9461" s="38" t="n">
        <f aca="false">Sens!$E$9461+Sens!$F$9461</f>
        <v>152.906471109724</v>
      </c>
      <c r="H9461" s="38" t="n">
        <f aca="false">Sens!$H$9438*(Sens!$H$9443+tk_fac*(1-colo_sh))/1000+Sens!$H$9462</f>
        <v>198.57136494475</v>
      </c>
      <c r="I9461" s="38" t="n">
        <f aca="false">Sens!$I$9438*(Sens!$I$9443+tk_fac*(1-colo_sh))/1000+Sens!$I$9462</f>
        <v>204.6464699105</v>
      </c>
      <c r="J9461" s="38" t="n">
        <f aca="false">Sens!$J$9438*(Sens!$J$9443+tk_fac*(1-colo_sh))/1000+Sens!$J$9462</f>
        <v>209.8832381105</v>
      </c>
      <c r="K9461" s="38" t="n">
        <f aca="false">Sens!$K$9438*(Sens!$K$9443+tk_fac*(1-colo_sh))/1000+Sens!$K$9462</f>
        <v>152.460428963578</v>
      </c>
      <c r="L9461" s="38" t="n">
        <f aca="false">Sens!$L$9438*(Sens!$L$9443+tk_fac*(1-colo_sh))/1000+Sens!$L$9462</f>
        <v>126.458229016657</v>
      </c>
      <c r="M9461" s="38" t="n">
        <f aca="false">Sens!$M$9438*(Sens!$M$9443+tk_fac*(1-colo_sh))/1000+Sens!$M$9462</f>
        <v>123.897112724985</v>
      </c>
      <c r="P9461" s="5" t="s">
        <v>636</v>
      </c>
      <c r="R9461" s="38" t="n">
        <f aca="false">Q!$C$46-cx_rt*Q!$C$16-cx_awso*(Q!$C$7-mw_ye23/2*rpm_open/1000)</f>
        <v>1.50429979529945</v>
      </c>
      <c r="S9461" s="38" t="n">
        <f aca="false">Sens!$C$9461</f>
        <v>25.2781053077374</v>
      </c>
      <c r="T9461" s="38" t="n">
        <f aca="false">Sens!$D$9461</f>
        <v>69.5686316310026</v>
      </c>
      <c r="U9461" s="38" t="n">
        <f aca="false">Sens!$G$9461</f>
        <v>152.906471109724</v>
      </c>
      <c r="V9461" s="38" t="n">
        <f aca="false">Sens!$H$9461</f>
        <v>198.57136494475</v>
      </c>
      <c r="W9461" s="38" t="n">
        <f aca="false">Sens!$I$9461</f>
        <v>204.6464699105</v>
      </c>
      <c r="X9461" s="38" t="n">
        <f aca="false">Sens!$J$9461</f>
        <v>209.8832381105</v>
      </c>
      <c r="Y9461" s="38" t="n">
        <f aca="false">Sens!$K$9461</f>
        <v>152.460428963578</v>
      </c>
      <c r="Z9461" s="38" t="n">
        <f aca="false">Sens!$L$9461</f>
        <v>126.458229016657</v>
      </c>
      <c r="AA9461" s="38" t="n">
        <f aca="false">Sens!$M$9461</f>
        <v>123.897112724985</v>
      </c>
    </row>
    <row r="9462" customFormat="false" ht="17.15" hidden="false" customHeight="false" outlineLevel="0" collapsed="false">
      <c r="A9462" s="0" t="s">
        <v>637</v>
      </c>
      <c r="B9462" s="0" t="s">
        <v>86</v>
      </c>
      <c r="H9462" s="38" t="n">
        <f aca="false">SUMPRODUCT(--(Sens!$R$9431:$AA$9431=2027-tk_life),Sens!$R$9438:$AA$9438)*Sens!$H$9443/1000</f>
        <v>0</v>
      </c>
      <c r="I9462" s="38" t="n">
        <f aca="false">SUMPRODUCT(--(Sens!$R$9431:$AA$9431=2028-tk_life),Sens!$R$9438:$AA$9438)*Sens!$I$9443/1000</f>
        <v>0</v>
      </c>
      <c r="J9462" s="38" t="n">
        <f aca="false">SUMPRODUCT(--(Sens!$R$9431:$AA$9431=2029-tk_life),Sens!$R$9438:$AA$9438)*Sens!$J$9443/1000</f>
        <v>5.2367682</v>
      </c>
      <c r="K9462" s="38" t="n">
        <f aca="false">SUMPRODUCT(--(Sens!$R$9431:$AA$9431=2030-tk_life),Sens!$R$9438:$AA$9438)*Sens!$K$9443/1000</f>
        <v>10.4735364</v>
      </c>
      <c r="L9462" s="38" t="n">
        <f aca="false">SUMPRODUCT(--(Sens!$R$9431:$AA$9431=2031-tk_life),Sens!$R$9438:$AA$9438)*Sens!$L$9443/1000</f>
        <v>47.1309138</v>
      </c>
      <c r="M9462" s="38" t="n">
        <f aca="false">SUMPRODUCT(--(Sens!$R$9431:$AA$9431=2032-tk_life),Sens!$R$9438:$AA$9438)*Sens!$M$9443/1000</f>
        <v>107.22937485525</v>
      </c>
    </row>
    <row r="9463" customFormat="false" ht="17.15" hidden="false" customHeight="false" outlineLevel="0" collapsed="false">
      <c r="A9463" s="0" t="s">
        <v>638</v>
      </c>
      <c r="B9463" s="0" t="s">
        <v>86</v>
      </c>
      <c r="C9463" s="38" t="n">
        <f aca="false">MIN(Sens!$C$9461,Sens!$C$9438*(tk_cx_h100+tk_fac*(1-colo_sh))/1000)</f>
        <v>11.2938642</v>
      </c>
      <c r="D9463" s="38" t="n">
        <f aca="false">MIN(Sens!$D$9461,Sens!$D$9438*(tk_cx_h100+tk_fac*(1-colo_sh))/1000)</f>
        <v>50.8223889</v>
      </c>
      <c r="E9463" s="38" t="n">
        <f aca="false">MIN(Sens!$E$9461,Sens!$E$9438*(Sens!$F$9443+tk_fac*(1-colo_sh))/1000)</f>
        <v>33.8985792</v>
      </c>
      <c r="F9463" s="38" t="n">
        <f aca="false">Sens!$F$9461</f>
        <v>88.7165504612134</v>
      </c>
      <c r="G9463" s="38" t="n">
        <f aca="false">Sens!$E$9463+Sens!$F$9463</f>
        <v>122.615129661213</v>
      </c>
      <c r="H9463" s="38" t="n">
        <f aca="false">Sens!$H$9461</f>
        <v>198.57136494475</v>
      </c>
      <c r="I9463" s="38" t="n">
        <f aca="false">Sens!$I$9461</f>
        <v>204.6464699105</v>
      </c>
      <c r="J9463" s="38" t="n">
        <f aca="false">Sens!$J$9461</f>
        <v>209.8832381105</v>
      </c>
      <c r="K9463" s="38" t="n">
        <f aca="false">Sens!$K$9461</f>
        <v>152.460428963578</v>
      </c>
      <c r="L9463" s="38" t="n">
        <f aca="false">Sens!$L$9461</f>
        <v>126.458229016657</v>
      </c>
      <c r="M9463" s="38" t="n">
        <f aca="false">Sens!$M$9461</f>
        <v>123.897112724985</v>
      </c>
      <c r="P9463" s="5" t="s">
        <v>639</v>
      </c>
      <c r="R9463" s="38" t="n">
        <f aca="false">MIN(Sens!$R$9461,Sens!$R$9438*(tk_cx_h100+tk_fac*(1-colo_sh))/1000)</f>
        <v>1.50429979529945</v>
      </c>
      <c r="S9463" s="38" t="n">
        <f aca="false">Sens!$C$9463</f>
        <v>11.2938642</v>
      </c>
      <c r="T9463" s="38" t="n">
        <f aca="false">Sens!$D$9463</f>
        <v>50.8223889</v>
      </c>
      <c r="U9463" s="38" t="n">
        <f aca="false">Sens!$G$9463</f>
        <v>122.615129661213</v>
      </c>
      <c r="V9463" s="38" t="n">
        <f aca="false">Sens!$H$9463</f>
        <v>198.57136494475</v>
      </c>
      <c r="W9463" s="38" t="n">
        <f aca="false">Sens!$I$9463</f>
        <v>204.6464699105</v>
      </c>
      <c r="X9463" s="38" t="n">
        <f aca="false">Sens!$J$9463</f>
        <v>209.8832381105</v>
      </c>
      <c r="Y9463" s="38" t="n">
        <f aca="false">Sens!$K$9463</f>
        <v>152.460428963578</v>
      </c>
      <c r="Z9463" s="38" t="n">
        <f aca="false">Sens!$L$9463</f>
        <v>126.458229016657</v>
      </c>
      <c r="AA9463" s="38" t="n">
        <f aca="false">Sens!$M$9463</f>
        <v>123.897112724985</v>
      </c>
    </row>
    <row r="9464" customFormat="false" ht="17.15" hidden="false" customHeight="false" outlineLevel="0" collapsed="false">
      <c r="A9464" s="5" t="s">
        <v>640</v>
      </c>
      <c r="B9464" s="0" t="s">
        <v>86</v>
      </c>
      <c r="C9464" s="38" t="n">
        <f aca="false">Sens!$C$9461-Sens!$C$9463</f>
        <v>13.9842411077374</v>
      </c>
      <c r="D9464" s="38" t="n">
        <f aca="false">Sens!$D$9461-Sens!$D$9463</f>
        <v>18.7462427310026</v>
      </c>
      <c r="E9464" s="38" t="n">
        <f aca="false">Sens!$E$9461-Sens!$E$9463</f>
        <v>30.2913414485108</v>
      </c>
      <c r="F9464" s="38" t="n">
        <f aca="false">Sens!$F$9461-Sens!$F$9463</f>
        <v>0</v>
      </c>
      <c r="G9464" s="38" t="n">
        <f aca="false">Sens!$G$9461-Sens!$G$9463</f>
        <v>30.2913414485108</v>
      </c>
      <c r="H9464" s="38" t="n">
        <f aca="false">Sens!$H$9461-Sens!$H$9463</f>
        <v>0</v>
      </c>
      <c r="I9464" s="38" t="n">
        <f aca="false">Sens!$I$9461-Sens!$I$9463</f>
        <v>0</v>
      </c>
      <c r="J9464" s="38" t="n">
        <f aca="false">Sens!$J$9461-Sens!$J$9463</f>
        <v>0</v>
      </c>
      <c r="K9464" s="38" t="n">
        <f aca="false">Sens!$K$9461-Sens!$K$9463</f>
        <v>0</v>
      </c>
      <c r="L9464" s="38" t="n">
        <f aca="false">Sens!$L$9461-Sens!$L$9463</f>
        <v>0</v>
      </c>
      <c r="M9464" s="38" t="n">
        <f aca="false">Sens!$M$9461-Sens!$M$9463</f>
        <v>0</v>
      </c>
      <c r="P9464" s="5" t="s">
        <v>641</v>
      </c>
      <c r="R9464" s="38" t="n">
        <f aca="false">Sens!$R$9461-Sens!$R$9463</f>
        <v>0</v>
      </c>
      <c r="S9464" s="38" t="n">
        <f aca="false">Sens!$S$9461-Sens!$S$9463</f>
        <v>13.9842411077374</v>
      </c>
      <c r="T9464" s="38" t="n">
        <f aca="false">Sens!$T$9461-Sens!$T$9463</f>
        <v>18.7462427310026</v>
      </c>
      <c r="U9464" s="38" t="n">
        <f aca="false">Sens!$U$9461-Sens!$U$9463</f>
        <v>30.2913414485108</v>
      </c>
      <c r="V9464" s="38" t="n">
        <f aca="false">Sens!$V$9461-Sens!$V$9463</f>
        <v>0</v>
      </c>
      <c r="W9464" s="38" t="n">
        <f aca="false">Sens!$W$9461-Sens!$W$9463</f>
        <v>0</v>
      </c>
      <c r="X9464" s="38" t="n">
        <f aca="false">Sens!$X$9461-Sens!$X$9463</f>
        <v>0</v>
      </c>
      <c r="Y9464" s="38" t="n">
        <f aca="false">Sens!$Y$9461-Sens!$Y$9463</f>
        <v>0</v>
      </c>
      <c r="Z9464" s="38" t="n">
        <f aca="false">Sens!$Z$9461-Sens!$Z$9463</f>
        <v>0</v>
      </c>
      <c r="AA9464" s="38" t="n">
        <f aca="false">Sens!$AA$9461-Sens!$AA$9463</f>
        <v>0</v>
      </c>
    </row>
    <row r="9465" customFormat="false" ht="17.15" hidden="false" customHeight="false" outlineLevel="0" collapsed="false">
      <c r="A9465" s="5" t="s">
        <v>642</v>
      </c>
      <c r="B9465" s="0" t="s">
        <v>86</v>
      </c>
      <c r="R9465" s="38" t="n">
        <f aca="false">Sens!$R$9464*Sens!$C$9460</f>
        <v>0</v>
      </c>
      <c r="S9465" s="38" t="n">
        <f aca="false">Sens!$S$9464*Sens!$C$9460</f>
        <v>10.219074499801</v>
      </c>
      <c r="T9465" s="38" t="n">
        <f aca="false">Sens!$T$9464*Sens!$C$9460</f>
        <v>13.6989379390402</v>
      </c>
      <c r="U9465" s="38" t="n">
        <f aca="false">Sens!$U$9464*Sens!$E$9460</f>
        <v>23.0454203705653</v>
      </c>
      <c r="V9465" s="38" t="n">
        <f aca="false">Sens!$V$9464*Sens!$E$9460</f>
        <v>0</v>
      </c>
      <c r="W9465" s="38" t="n">
        <f aca="false">Sens!$W$9464*Sens!$E$9460</f>
        <v>0</v>
      </c>
      <c r="X9465" s="38" t="n">
        <f aca="false">Sens!$X$9464*Sens!$E$9460</f>
        <v>0</v>
      </c>
      <c r="Y9465" s="38" t="n">
        <f aca="false">Sens!$Y$9464*Sens!$E$9460</f>
        <v>0</v>
      </c>
      <c r="Z9465" s="38" t="n">
        <f aca="false">Sens!$Z$9464*Sens!$E$9460</f>
        <v>0</v>
      </c>
      <c r="AA9465" s="38" t="n">
        <f aca="false">Sens!$AA$9464*Sens!$E$9460</f>
        <v>0</v>
      </c>
    </row>
    <row r="9466" customFormat="false" ht="17.15" hidden="false" customHeight="false" outlineLevel="0" collapsed="false">
      <c r="A9466" s="5" t="s">
        <v>643</v>
      </c>
      <c r="B9466" s="0" t="s">
        <v>86</v>
      </c>
      <c r="R9466" s="38" t="n">
        <f aca="false">SUMPRODUCT(--(Sens!$R$9431:$AA$9431=2023-cip_lag),Sens!$R$9465:$AA$9465)</f>
        <v>0</v>
      </c>
      <c r="S9466" s="38" t="n">
        <f aca="false">SUMPRODUCT(--(Sens!$R$9431:$AA$9431=2024-cip_lag),Sens!$R$9465:$AA$9465)</f>
        <v>0</v>
      </c>
      <c r="T9466" s="38" t="n">
        <f aca="false">SUMPRODUCT(--(Sens!$R$9431:$AA$9431=2025-cip_lag),Sens!$R$9465:$AA$9465)</f>
        <v>10.219074499801</v>
      </c>
      <c r="U9466" s="38" t="n">
        <f aca="false">SUMPRODUCT(--(Sens!$R$9431:$AA$9431=2026-cip_lag),Sens!$R$9465:$AA$9465)</f>
        <v>13.6989379390402</v>
      </c>
      <c r="V9466" s="38" t="n">
        <f aca="false">SUMPRODUCT(--(Sens!$R$9431:$AA$9431=2027-cip_lag),Sens!$R$9465:$AA$9465)</f>
        <v>23.0454203705653</v>
      </c>
      <c r="W9466" s="38" t="n">
        <f aca="false">SUMPRODUCT(--(Sens!$R$9431:$AA$9431=2028-cip_lag),Sens!$R$9465:$AA$9465)</f>
        <v>0</v>
      </c>
      <c r="X9466" s="38" t="n">
        <f aca="false">SUMPRODUCT(--(Sens!$R$9431:$AA$9431=2029-cip_lag),Sens!$R$9465:$AA$9465)</f>
        <v>0</v>
      </c>
      <c r="Y9466" s="38" t="n">
        <f aca="false">SUMPRODUCT(--(Sens!$R$9431:$AA$9431=2030-cip_lag),Sens!$R$9465:$AA$9465)</f>
        <v>0</v>
      </c>
      <c r="Z9466" s="38" t="n">
        <f aca="false">SUMPRODUCT(--(Sens!$R$9431:$AA$9431=2031-cip_lag),Sens!$R$9465:$AA$9465)</f>
        <v>0</v>
      </c>
      <c r="AA9466" s="38" t="n">
        <f aca="false">SUMPRODUCT(--(Sens!$R$9431:$AA$9431=2032-cip_lag),Sens!$R$9465:$AA$9465)</f>
        <v>0</v>
      </c>
    </row>
    <row r="9467" customFormat="false" ht="15" hidden="false" customHeight="false" outlineLevel="0" collapsed="false">
      <c r="A9467" s="5" t="s">
        <v>644</v>
      </c>
      <c r="B9467" s="0" t="s">
        <v>86</v>
      </c>
      <c r="R9467" s="38" t="n">
        <f aca="false">SUMPRODUCT(--(Sens!$R$9431:$AA$9431=2023-cip_lag),Sens!$R$9464:$AA$9464)-Sens!$R$9466</f>
        <v>0</v>
      </c>
      <c r="S9467" s="38" t="n">
        <f aca="false">SUMPRODUCT(--(Sens!$R$9431:$AA$9431=2024-cip_lag),Sens!$R$9464:$AA$9464)-Sens!$S$9466</f>
        <v>0</v>
      </c>
      <c r="T9467" s="38" t="n">
        <f aca="false">SUMPRODUCT(--(Sens!$R$9431:$AA$9431=2025-cip_lag),Sens!$R$9464:$AA$9464)-Sens!$T$9466</f>
        <v>3.76516660793636</v>
      </c>
      <c r="U9467" s="38" t="n">
        <f aca="false">SUMPRODUCT(--(Sens!$R$9431:$AA$9431=2026-cip_lag),Sens!$R$9464:$AA$9464)-Sens!$U$9466</f>
        <v>5.04730479196242</v>
      </c>
      <c r="V9467" s="38" t="n">
        <f aca="false">SUMPRODUCT(--(Sens!$R$9431:$AA$9431=2027-cip_lag),Sens!$R$9464:$AA$9464)-Sens!$V$9466</f>
        <v>7.24592107794548</v>
      </c>
      <c r="W9467" s="38" t="n">
        <f aca="false">SUMPRODUCT(--(Sens!$R$9431:$AA$9431=2028-cip_lag),Sens!$R$9464:$AA$9464)-Sens!$W$9466</f>
        <v>0</v>
      </c>
      <c r="X9467" s="38" t="n">
        <f aca="false">SUMPRODUCT(--(Sens!$R$9431:$AA$9431=2029-cip_lag),Sens!$R$9464:$AA$9464)-Sens!$X$9466</f>
        <v>0</v>
      </c>
      <c r="Y9467" s="38" t="n">
        <f aca="false">SUMPRODUCT(--(Sens!$R$9431:$AA$9431=2030-cip_lag),Sens!$R$9464:$AA$9464)-Sens!$Y$9466</f>
        <v>0</v>
      </c>
      <c r="Z9467" s="38" t="n">
        <f aca="false">SUMPRODUCT(--(Sens!$R$9431:$AA$9431=2031-cip_lag),Sens!$R$9464:$AA$9464)-Sens!$Z$9466</f>
        <v>0</v>
      </c>
      <c r="AA9467" s="38" t="n">
        <f aca="false">SUMPRODUCT(--(Sens!$R$9431:$AA$9431=2032-cip_lag),Sens!$R$9464:$AA$9464)-Sens!$AA$9466</f>
        <v>0</v>
      </c>
    </row>
    <row r="9468" customFormat="false" ht="17.15" hidden="false" customHeight="false" outlineLevel="0" collapsed="false">
      <c r="A9468" s="5" t="s">
        <v>645</v>
      </c>
      <c r="B9468" s="0" t="s">
        <v>86</v>
      </c>
      <c r="C9468" s="38" t="n">
        <f aca="false">Sens!$C$9463*Sens!$C$9460</f>
        <v>8.2530642</v>
      </c>
      <c r="D9468" s="38" t="n">
        <f aca="false">Sens!$D$9463*Sens!$D$9460</f>
        <v>37.1387889</v>
      </c>
      <c r="E9468" s="38" t="n">
        <f aca="false">Sens!$E$9463*Sens!$E$9460</f>
        <v>25.7897792</v>
      </c>
      <c r="F9468" s="38" t="n">
        <f aca="false">Sens!$F$9463*Sens!$F$9460</f>
        <v>67.4948715189913</v>
      </c>
      <c r="G9468" s="38" t="n">
        <f aca="false">Sens!$E$9468+Sens!$F$9468</f>
        <v>93.2846507189913</v>
      </c>
      <c r="H9468" s="38" t="n">
        <f aca="false">(Sens!$H$9463-Sens!$H$9462)*Sens!$H$9460+Sens!$H$9462</f>
        <v>152.52478394475</v>
      </c>
      <c r="I9468" s="38" t="n">
        <f aca="false">(Sens!$I$9463-Sens!$I$9462)*Sens!$I$9460+Sens!$I$9462</f>
        <v>158.5998889105</v>
      </c>
      <c r="J9468" s="38" t="n">
        <f aca="false">(Sens!$J$9463-Sens!$J$9462)*Sens!$J$9460+Sens!$J$9462</f>
        <v>163.8366571105</v>
      </c>
      <c r="K9468" s="38" t="n">
        <f aca="false">(Sens!$K$9463-Sens!$K$9462)*Sens!$K$9460+Sens!$K$9462</f>
        <v>120.512597406912</v>
      </c>
      <c r="L9468" s="38" t="n">
        <f aca="false">(Sens!$L$9463-Sens!$L$9462)*Sens!$L$9460+Sens!$L$9462</f>
        <v>108.609146903323</v>
      </c>
      <c r="M9468" s="38" t="n">
        <f aca="false">(Sens!$M$9463-Sens!$M$9462)*Sens!$M$9460+Sens!$M$9462</f>
        <v>120.146780054985</v>
      </c>
      <c r="R9468" s="38" t="n">
        <f aca="false">Sens!$R$9463*Sens!$C$9460</f>
        <v>1.09927679019314</v>
      </c>
      <c r="S9468" s="38" t="n">
        <f aca="false">Sens!$C$9468</f>
        <v>8.2530642</v>
      </c>
      <c r="T9468" s="38" t="n">
        <f aca="false">Sens!$D$9468</f>
        <v>37.1387889</v>
      </c>
      <c r="U9468" s="38" t="n">
        <f aca="false">Sens!$G$9468</f>
        <v>93.2846507189913</v>
      </c>
      <c r="V9468" s="38" t="n">
        <f aca="false">Sens!$H$9468</f>
        <v>152.52478394475</v>
      </c>
      <c r="W9468" s="38" t="n">
        <f aca="false">Sens!$I$9468</f>
        <v>158.5998889105</v>
      </c>
      <c r="X9468" s="38" t="n">
        <f aca="false">Sens!$J$9468</f>
        <v>163.8366571105</v>
      </c>
      <c r="Y9468" s="38" t="n">
        <f aca="false">Sens!$K$9468</f>
        <v>120.512597406912</v>
      </c>
      <c r="Z9468" s="38" t="n">
        <f aca="false">Sens!$L$9468</f>
        <v>108.609146903323</v>
      </c>
      <c r="AA9468" s="38" t="n">
        <f aca="false">Sens!$M$9468</f>
        <v>120.146780054985</v>
      </c>
    </row>
    <row r="9469" customFormat="false" ht="15" hidden="false" customHeight="false" outlineLevel="0" collapsed="false">
      <c r="A9469" s="5" t="s">
        <v>646</v>
      </c>
      <c r="B9469" s="0" t="s">
        <v>86</v>
      </c>
      <c r="C9469" s="38" t="n">
        <f aca="false">Sens!$C$9463-Sens!$C$9468</f>
        <v>3.0408</v>
      </c>
      <c r="D9469" s="38" t="n">
        <f aca="false">Sens!$D$9463-Sens!$D$9468</f>
        <v>13.6836</v>
      </c>
      <c r="E9469" s="38" t="n">
        <f aca="false">Sens!$E$9463-Sens!$E$9468</f>
        <v>8.1088</v>
      </c>
      <c r="F9469" s="38" t="n">
        <f aca="false">Sens!$F$9463-Sens!$F$9468</f>
        <v>21.2216789422221</v>
      </c>
      <c r="G9469" s="38" t="n">
        <f aca="false">Sens!$G$9463-Sens!$G$9468</f>
        <v>29.3304789422221</v>
      </c>
      <c r="H9469" s="38" t="n">
        <f aca="false">Sens!$H$9463-Sens!$H$9468</f>
        <v>46.046581</v>
      </c>
      <c r="I9469" s="38" t="n">
        <f aca="false">Sens!$I$9463-Sens!$I$9468</f>
        <v>46.046581</v>
      </c>
      <c r="J9469" s="38" t="n">
        <f aca="false">Sens!$J$9463-Sens!$J$9468</f>
        <v>46.046581</v>
      </c>
      <c r="K9469" s="38" t="n">
        <f aca="false">Sens!$K$9463-Sens!$K$9468</f>
        <v>31.9478315566667</v>
      </c>
      <c r="L9469" s="38" t="n">
        <f aca="false">Sens!$L$9463-Sens!$L$9468</f>
        <v>17.8490821133333</v>
      </c>
      <c r="M9469" s="38" t="n">
        <f aca="false">Sens!$M$9463-Sens!$M$9468</f>
        <v>3.75033267000001</v>
      </c>
      <c r="R9469" s="38" t="n">
        <f aca="false">Sens!$R$9463-Sens!$R$9468</f>
        <v>0.405023005106309</v>
      </c>
      <c r="S9469" s="38" t="n">
        <f aca="false">Sens!$S$9463-Sens!$S$9468</f>
        <v>3.0408</v>
      </c>
      <c r="T9469" s="38" t="n">
        <f aca="false">Sens!$T$9463-Sens!$T$9468</f>
        <v>13.6836</v>
      </c>
      <c r="U9469" s="38" t="n">
        <f aca="false">Sens!$U$9463-Sens!$U$9468</f>
        <v>29.3304789422221</v>
      </c>
      <c r="V9469" s="38" t="n">
        <f aca="false">Sens!$V$9463-Sens!$V$9468</f>
        <v>46.046581</v>
      </c>
      <c r="W9469" s="38" t="n">
        <f aca="false">Sens!$W$9463-Sens!$W$9468</f>
        <v>46.046581</v>
      </c>
      <c r="X9469" s="38" t="n">
        <f aca="false">Sens!$X$9463-Sens!$X$9468</f>
        <v>46.046581</v>
      </c>
      <c r="Y9469" s="38" t="n">
        <f aca="false">Sens!$Y$9463-Sens!$Y$9468</f>
        <v>31.9478315566667</v>
      </c>
      <c r="Z9469" s="38" t="n">
        <f aca="false">Sens!$Z$9463-Sens!$Z$9468</f>
        <v>17.8490821133333</v>
      </c>
      <c r="AA9469" s="38" t="n">
        <f aca="false">Sens!$AA$9463-Sens!$AA$9468</f>
        <v>3.75033267000001</v>
      </c>
    </row>
    <row r="9470" customFormat="false" ht="17.15" hidden="false" customHeight="false" outlineLevel="0" collapsed="false">
      <c r="A9470" s="0" t="s">
        <v>647</v>
      </c>
      <c r="B9470" s="0" t="s">
        <v>52</v>
      </c>
      <c r="C9470" s="13" t="n">
        <f aca="false">Sens!$C$9461/Sens!$C$9586</f>
        <v>0.325505489553393</v>
      </c>
      <c r="D9470" s="13" t="n">
        <f aca="false">Sens!$D$9461/Sens!$D$9586</f>
        <v>0.54214956071542</v>
      </c>
      <c r="E9470" s="13" t="n">
        <f aca="false">Sens!$E$9461/Sens!$E$9586</f>
        <v>0.666492790452817</v>
      </c>
      <c r="F9470" s="13" t="n">
        <f aca="false">Sens!$F$9461/Sens!$F$9586</f>
        <v>0.71724917504417</v>
      </c>
      <c r="G9470" s="13" t="n">
        <f aca="false">Sens!$G$9461/Sens!$G$9586</f>
        <v>0.69502941413511</v>
      </c>
      <c r="H9470" s="13" t="n">
        <f aca="false">Sens!$H$9461/Sens!$H$9586</f>
        <v>0.726376041178204</v>
      </c>
      <c r="I9470" s="13" t="n">
        <f aca="false">Sens!$I$9461/Sens!$I$9586</f>
        <v>0.713099092661699</v>
      </c>
      <c r="J9470" s="13" t="n">
        <f aca="false">Sens!$J$9461/Sens!$J$9586</f>
        <v>0.701208348786245</v>
      </c>
      <c r="K9470" s="13" t="n">
        <f aca="false">Sens!$K$9461/Sens!$K$9586</f>
        <v>0.614068498670476</v>
      </c>
      <c r="L9470" s="13" t="n">
        <f aca="false">Sens!$L$9461/Sens!$L$9586</f>
        <v>0.551880938289018</v>
      </c>
      <c r="M9470" s="13" t="n">
        <f aca="false">Sens!$M$9461/Sens!$M$9586</f>
        <v>0.529570283055906</v>
      </c>
    </row>
    <row r="9471" customFormat="false" ht="17.15" hidden="false" customHeight="false" outlineLevel="0" collapsed="false">
      <c r="A9471" s="0" t="s">
        <v>648</v>
      </c>
      <c r="B9471" s="0" t="s">
        <v>86</v>
      </c>
      <c r="C9471" s="38" t="n">
        <f aca="false">Sens!$S$9471</f>
        <v>0.183212798365523</v>
      </c>
      <c r="D9471" s="38" t="n">
        <f aca="false">Sens!$T$9471</f>
        <v>1.55872349836552</v>
      </c>
      <c r="E9471" s="38" t="n">
        <f aca="false">Sens!$G$9471/2</f>
        <v>4.72585036583285</v>
      </c>
      <c r="F9471" s="38" t="n">
        <f aca="false">Sens!$G$9471/2</f>
        <v>4.72585036583285</v>
      </c>
      <c r="G9471" s="38" t="n">
        <f aca="false">Sens!$U$9471</f>
        <v>9.4517007316657</v>
      </c>
      <c r="H9471" s="38" t="n">
        <f aca="false">Sens!$V$9471</f>
        <v>27.2822988413376</v>
      </c>
      <c r="I9471" s="38" t="n">
        <f aca="false">Sens!$W$9471</f>
        <v>56.5439995605568</v>
      </c>
      <c r="J9471" s="38" t="n">
        <f aca="false">Sens!$X$9471</f>
        <v>82.9773143789735</v>
      </c>
      <c r="K9471" s="38" t="n">
        <f aca="false">Sens!$Y$9471</f>
        <v>110.100211099025</v>
      </c>
      <c r="L9471" s="38" t="n">
        <f aca="false">Sens!$Z$9471</f>
        <v>128.810133300177</v>
      </c>
      <c r="M9471" s="38" t="n">
        <f aca="false">Sens!$AA$9471</f>
        <v>139.018680550764</v>
      </c>
      <c r="N9471" s="38" t="n">
        <f aca="false">Sens!$D$9471/2</f>
        <v>0.779361749182762</v>
      </c>
      <c r="O9471" s="38" t="n">
        <f aca="false">Sens!$D$9471/2</f>
        <v>0.779361749182762</v>
      </c>
      <c r="R9471" s="38" t="n">
        <f aca="false">(SUMPRODUCT(--(Sens!$R$9431:$AA$9431&lt;Sens!R$9431),--(Sens!$R$9431:$AA$9431&gt;=Sens!R$9431-tk_life),Sens!$R$9468:$AA$9468)+SUMPRODUCT(--(Sens!$R$9431:$AA$9431&lt;Sens!R$9431),--(Sens!$R$9431:$AA$9431&gt;=Sens!R$9431-tk_life),Sens!$R$9466:$AA$9466))/tk_life</f>
        <v>0</v>
      </c>
      <c r="S9471" s="38" t="n">
        <f aca="false">(SUMPRODUCT(--(Sens!$R$9431:$AA$9431&lt;Sens!S$9431),--(Sens!$R$9431:$AA$9431&gt;=Sens!S$9431-tk_life),Sens!$R$9468:$AA$9468)+SUMPRODUCT(--(Sens!$R$9431:$AA$9431&lt;Sens!S$9431),--(Sens!$R$9431:$AA$9431&gt;=Sens!S$9431-tk_life),Sens!$R$9466:$AA$9466))/tk_life</f>
        <v>0.183212798365523</v>
      </c>
      <c r="T9471" s="38" t="n">
        <f aca="false">(SUMPRODUCT(--(Sens!$R$9431:$AA$9431&lt;Sens!T$9431),--(Sens!$R$9431:$AA$9431&gt;=Sens!T$9431-tk_life),Sens!$R$9468:$AA$9468)+SUMPRODUCT(--(Sens!$R$9431:$AA$9431&lt;Sens!T$9431),--(Sens!$R$9431:$AA$9431&gt;=Sens!T$9431-tk_life),Sens!$R$9466:$AA$9466))/tk_life</f>
        <v>1.55872349836552</v>
      </c>
      <c r="U9471" s="38" t="n">
        <f aca="false">(SUMPRODUCT(--(Sens!$R$9431:$AA$9431&lt;Sens!U$9431),--(Sens!$R$9431:$AA$9431&gt;=Sens!U$9431-tk_life),Sens!$R$9468:$AA$9468)+SUMPRODUCT(--(Sens!$R$9431:$AA$9431&lt;Sens!U$9431),--(Sens!$R$9431:$AA$9431&gt;=Sens!U$9431-tk_life),Sens!$R$9466:$AA$9466))/tk_life</f>
        <v>9.4517007316657</v>
      </c>
      <c r="V9471" s="38" t="n">
        <f aca="false">(SUMPRODUCT(--(Sens!$R$9431:$AA$9431&lt;Sens!V$9431),--(Sens!$R$9431:$AA$9431&gt;=Sens!V$9431-tk_life),Sens!$R$9468:$AA$9468)+SUMPRODUCT(--(Sens!$R$9431:$AA$9431&lt;Sens!V$9431),--(Sens!$R$9431:$AA$9431&gt;=Sens!V$9431-tk_life),Sens!$R$9466:$AA$9466))/tk_life</f>
        <v>27.2822988413376</v>
      </c>
      <c r="W9471" s="38" t="n">
        <f aca="false">(SUMPRODUCT(--(Sens!$R$9431:$AA$9431&lt;Sens!W$9431),--(Sens!$R$9431:$AA$9431&gt;=Sens!W$9431-tk_life),Sens!$R$9468:$AA$9468)+SUMPRODUCT(--(Sens!$R$9431:$AA$9431&lt;Sens!W$9431),--(Sens!$R$9431:$AA$9431&gt;=Sens!W$9431-tk_life),Sens!$R$9466:$AA$9466))/tk_life</f>
        <v>56.5439995605568</v>
      </c>
      <c r="X9471" s="38" t="n">
        <f aca="false">(SUMPRODUCT(--(Sens!$R$9431:$AA$9431&lt;Sens!X$9431),--(Sens!$R$9431:$AA$9431&gt;=Sens!X$9431-tk_life),Sens!$R$9468:$AA$9468)+SUMPRODUCT(--(Sens!$R$9431:$AA$9431&lt;Sens!X$9431),--(Sens!$R$9431:$AA$9431&gt;=Sens!X$9431-tk_life),Sens!$R$9466:$AA$9466))/tk_life</f>
        <v>82.9773143789735</v>
      </c>
      <c r="Y9471" s="38" t="n">
        <f aca="false">(SUMPRODUCT(--(Sens!$R$9431:$AA$9431&lt;Sens!Y$9431),--(Sens!$R$9431:$AA$9431&gt;=Sens!Y$9431-tk_life),Sens!$R$9468:$AA$9468)+SUMPRODUCT(--(Sens!$R$9431:$AA$9431&lt;Sens!Y$9431),--(Sens!$R$9431:$AA$9431&gt;=Sens!Y$9431-tk_life),Sens!$R$9466:$AA$9466))/tk_life</f>
        <v>110.100211099025</v>
      </c>
      <c r="Z9471" s="38" t="n">
        <f aca="false">(SUMPRODUCT(--(Sens!$R$9431:$AA$9431&lt;Sens!Z$9431),--(Sens!$R$9431:$AA$9431&gt;=Sens!Z$9431-tk_life),Sens!$R$9468:$AA$9468)+SUMPRODUCT(--(Sens!$R$9431:$AA$9431&lt;Sens!Z$9431),--(Sens!$R$9431:$AA$9431&gt;=Sens!Z$9431-tk_life),Sens!$R$9466:$AA$9466))/tk_life</f>
        <v>128.810133300177</v>
      </c>
      <c r="AA9471" s="38" t="n">
        <f aca="false">(SUMPRODUCT(--(Sens!$R$9431:$AA$9431&lt;Sens!AA$9431),--(Sens!$R$9431:$AA$9431&gt;=Sens!AA$9431-tk_life),Sens!$R$9468:$AA$9468)+SUMPRODUCT(--(Sens!$R$9431:$AA$9431&lt;Sens!AA$9431),--(Sens!$R$9431:$AA$9431&gt;=Sens!AA$9431-tk_life),Sens!$R$9466:$AA$9466))/tk_life</f>
        <v>139.018680550764</v>
      </c>
    </row>
    <row r="9472" customFormat="false" ht="17.15" hidden="false" customHeight="false" outlineLevel="0" collapsed="false">
      <c r="A9472" s="0" t="s">
        <v>649</v>
      </c>
      <c r="B9472" s="0" t="s">
        <v>86</v>
      </c>
      <c r="C9472" s="38" t="n">
        <f aca="false">Sens!$S$9472</f>
        <v>0.0202511502553155</v>
      </c>
      <c r="D9472" s="38" t="n">
        <f aca="false">Sens!$T$9472</f>
        <v>0.172291150255315</v>
      </c>
      <c r="E9472" s="38" t="n">
        <f aca="false">Sens!$G$9472/2</f>
        <v>0.522364740326067</v>
      </c>
      <c r="F9472" s="38" t="n">
        <f aca="false">Sens!$G$9472/2</f>
        <v>0.522364740326067</v>
      </c>
      <c r="G9472" s="38" t="n">
        <f aca="false">Sens!$U$9472</f>
        <v>1.04472948065213</v>
      </c>
      <c r="H9472" s="38" t="n">
        <f aca="false">Sens!$V$9472</f>
        <v>2.76361866736136</v>
      </c>
      <c r="I9472" s="38" t="n">
        <f aca="false">Sens!$W$9472</f>
        <v>5.42824377125863</v>
      </c>
      <c r="J9472" s="38" t="n">
        <f aca="false">Sens!$X$9472</f>
        <v>7.73057282125864</v>
      </c>
      <c r="K9472" s="38" t="n">
        <f aca="false">Sens!$Y$9472</f>
        <v>10.0329018712586</v>
      </c>
      <c r="L9472" s="38" t="n">
        <f aca="false">Sens!$Z$9472</f>
        <v>11.630293449092</v>
      </c>
      <c r="M9472" s="38" t="n">
        <f aca="false">Sens!$AA$9472</f>
        <v>12.5227475547586</v>
      </c>
      <c r="N9472" s="38" t="n">
        <f aca="false">Sens!$D$9472/2</f>
        <v>0.0861455751276577</v>
      </c>
      <c r="O9472" s="38" t="n">
        <f aca="false">Sens!$D$9472/2</f>
        <v>0.0861455751276577</v>
      </c>
      <c r="R9472" s="38" t="n">
        <f aca="false">(SUMPRODUCT(--(Sens!$R$9431:$AA$9431&lt;Sens!R$9431),Sens!$R$9469:$AA$9469)+SUMPRODUCT(--(Sens!$R$9431:$AA$9431&lt;Sens!R$9431),Sens!$R$9467:$AA$9467))/fac_life</f>
        <v>0</v>
      </c>
      <c r="S9472" s="38" t="n">
        <f aca="false">(SUMPRODUCT(--(Sens!$R$9431:$AA$9431&lt;Sens!S$9431),Sens!$R$9469:$AA$9469)+SUMPRODUCT(--(Sens!$R$9431:$AA$9431&lt;Sens!S$9431),Sens!$R$9467:$AA$9467))/fac_life</f>
        <v>0.0202511502553155</v>
      </c>
      <c r="T9472" s="38" t="n">
        <f aca="false">(SUMPRODUCT(--(Sens!$R$9431:$AA$9431&lt;Sens!T$9431),Sens!$R$9469:$AA$9469)+SUMPRODUCT(--(Sens!$R$9431:$AA$9431&lt;Sens!T$9431),Sens!$R$9467:$AA$9467))/fac_life</f>
        <v>0.172291150255315</v>
      </c>
      <c r="U9472" s="38" t="n">
        <f aca="false">(SUMPRODUCT(--(Sens!$R$9431:$AA$9431&lt;Sens!U$9431),Sens!$R$9469:$AA$9469)+SUMPRODUCT(--(Sens!$R$9431:$AA$9431&lt;Sens!U$9431),Sens!$R$9467:$AA$9467))/fac_life</f>
        <v>1.04472948065213</v>
      </c>
      <c r="V9472" s="38" t="n">
        <f aca="false">(SUMPRODUCT(--(Sens!$R$9431:$AA$9431&lt;Sens!V$9431),Sens!$R$9469:$AA$9469)+SUMPRODUCT(--(Sens!$R$9431:$AA$9431&lt;Sens!V$9431),Sens!$R$9467:$AA$9467))/fac_life</f>
        <v>2.76361866736136</v>
      </c>
      <c r="W9472" s="38" t="n">
        <f aca="false">(SUMPRODUCT(--(Sens!$R$9431:$AA$9431&lt;Sens!W$9431),Sens!$R$9469:$AA$9469)+SUMPRODUCT(--(Sens!$R$9431:$AA$9431&lt;Sens!W$9431),Sens!$R$9467:$AA$9467))/fac_life</f>
        <v>5.42824377125863</v>
      </c>
      <c r="X9472" s="38" t="n">
        <f aca="false">(SUMPRODUCT(--(Sens!$R$9431:$AA$9431&lt;Sens!X$9431),Sens!$R$9469:$AA$9469)+SUMPRODUCT(--(Sens!$R$9431:$AA$9431&lt;Sens!X$9431),Sens!$R$9467:$AA$9467))/fac_life</f>
        <v>7.73057282125864</v>
      </c>
      <c r="Y9472" s="38" t="n">
        <f aca="false">(SUMPRODUCT(--(Sens!$R$9431:$AA$9431&lt;Sens!Y$9431),Sens!$R$9469:$AA$9469)+SUMPRODUCT(--(Sens!$R$9431:$AA$9431&lt;Sens!Y$9431),Sens!$R$9467:$AA$9467))/fac_life</f>
        <v>10.0329018712586</v>
      </c>
      <c r="Z9472" s="38" t="n">
        <f aca="false">(SUMPRODUCT(--(Sens!$R$9431:$AA$9431&lt;Sens!Z$9431),Sens!$R$9469:$AA$9469)+SUMPRODUCT(--(Sens!$R$9431:$AA$9431&lt;Sens!Z$9431),Sens!$R$9467:$AA$9467))/fac_life</f>
        <v>11.630293449092</v>
      </c>
      <c r="AA9472" s="38" t="n">
        <f aca="false">(SUMPRODUCT(--(Sens!$R$9431:$AA$9431&lt;Sens!AA$9431),Sens!$R$9469:$AA$9469)+SUMPRODUCT(--(Sens!$R$9431:$AA$9431&lt;Sens!AA$9431),Sens!$R$9467:$AA$9467))/fac_life</f>
        <v>12.5227475547586</v>
      </c>
    </row>
    <row r="9473" customFormat="false" ht="17.15" hidden="false" customHeight="false" outlineLevel="0" collapsed="false">
      <c r="A9473" s="1" t="s">
        <v>650</v>
      </c>
      <c r="B9473" s="8" t="s">
        <v>86</v>
      </c>
      <c r="C9473" s="38" t="n">
        <f aca="false">Sens!$C$9471+Sens!$C$9472</f>
        <v>0.203463948620839</v>
      </c>
      <c r="D9473" s="38" t="n">
        <f aca="false">Sens!$D$9471+Sens!$D$9472</f>
        <v>1.73101464862084</v>
      </c>
      <c r="E9473" s="38" t="n">
        <f aca="false">Sens!$E$9471+Sens!$E$9472</f>
        <v>5.24821510615892</v>
      </c>
      <c r="F9473" s="38" t="n">
        <f aca="false">Sens!$F$9471+Sens!$F$9472</f>
        <v>5.24821510615892</v>
      </c>
      <c r="G9473" s="38" t="n">
        <f aca="false">Sens!$G$9471+Sens!$G$9472</f>
        <v>10.4964302123178</v>
      </c>
      <c r="H9473" s="38" t="n">
        <f aca="false">Sens!$H$9471+Sens!$H$9472</f>
        <v>30.045917508699</v>
      </c>
      <c r="I9473" s="38" t="n">
        <f aca="false">Sens!$I$9471+Sens!$I$9472</f>
        <v>61.9722433318155</v>
      </c>
      <c r="J9473" s="38" t="n">
        <f aca="false">Sens!$J$9471+Sens!$J$9472</f>
        <v>90.7078872002321</v>
      </c>
      <c r="K9473" s="38" t="n">
        <f aca="false">Sens!$K$9471+Sens!$K$9472</f>
        <v>120.133112970283</v>
      </c>
      <c r="L9473" s="38" t="n">
        <f aca="false">Sens!$L$9471+Sens!$L$9472</f>
        <v>140.440426749269</v>
      </c>
      <c r="M9473" s="38" t="n">
        <f aca="false">Sens!$M$9471+Sens!$M$9472</f>
        <v>151.541428105522</v>
      </c>
      <c r="N9473" s="38" t="n">
        <f aca="false">Sens!$N$9471+Sens!$N$9472</f>
        <v>0.865507324310419</v>
      </c>
      <c r="O9473" s="38" t="n">
        <f aca="false">Sens!$O$9471+Sens!$O$9472</f>
        <v>0.865507324310419</v>
      </c>
      <c r="R9473" s="38" t="n">
        <f aca="false">Sens!$R$9471+Sens!$R$9472</f>
        <v>0</v>
      </c>
      <c r="S9473" s="38" t="n">
        <f aca="false">Sens!$S$9471+Sens!$S$9472</f>
        <v>0.203463948620839</v>
      </c>
      <c r="T9473" s="38" t="n">
        <f aca="false">Sens!$T$9471+Sens!$T$9472</f>
        <v>1.73101464862084</v>
      </c>
      <c r="U9473" s="38" t="n">
        <f aca="false">Sens!$U$9471+Sens!$U$9472</f>
        <v>10.4964302123178</v>
      </c>
      <c r="V9473" s="38" t="n">
        <f aca="false">Sens!$V$9471+Sens!$V$9472</f>
        <v>30.045917508699</v>
      </c>
      <c r="W9473" s="38" t="n">
        <f aca="false">Sens!$W$9471+Sens!$W$9472</f>
        <v>61.9722433318155</v>
      </c>
      <c r="X9473" s="38" t="n">
        <f aca="false">Sens!$X$9471+Sens!$X$9472</f>
        <v>90.7078872002321</v>
      </c>
      <c r="Y9473" s="38" t="n">
        <f aca="false">Sens!$Y$9471+Sens!$Y$9472</f>
        <v>120.133112970283</v>
      </c>
      <c r="Z9473" s="38" t="n">
        <f aca="false">Sens!$Z$9471+Sens!$Z$9472</f>
        <v>140.440426749269</v>
      </c>
      <c r="AA9473" s="38" t="n">
        <f aca="false">Sens!$AA$9471+Sens!$AA$9472</f>
        <v>151.541428105522</v>
      </c>
    </row>
    <row r="9474" customFormat="false" ht="17.15" hidden="false" customHeight="false" outlineLevel="0" collapsed="false">
      <c r="A9474" s="0" t="s">
        <v>651</v>
      </c>
      <c r="B9474" s="0" t="s">
        <v>86</v>
      </c>
      <c r="C9474" s="38" t="n">
        <f aca="false">Sens!$S$9474</f>
        <v>26.578941154416</v>
      </c>
      <c r="D9474" s="38" t="n">
        <f aca="false">Sens!$T$9474</f>
        <v>94.4165581367978</v>
      </c>
      <c r="G9474" s="38" t="n">
        <f aca="false">Sens!$U$9474</f>
        <v>236.826599034204</v>
      </c>
      <c r="H9474" s="38" t="n">
        <f aca="false">Sens!$V$9474</f>
        <v>405.352046470255</v>
      </c>
      <c r="I9474" s="38" t="n">
        <f aca="false">Sens!$W$9474</f>
        <v>548.02627304894</v>
      </c>
      <c r="J9474" s="38" t="n">
        <f aca="false">Sens!$X$9474</f>
        <v>667.201623959208</v>
      </c>
      <c r="K9474" s="38" t="n">
        <f aca="false">Sens!$Y$9474</f>
        <v>699.528939952503</v>
      </c>
      <c r="L9474" s="38" t="n">
        <f aca="false">Sens!$Z$9474</f>
        <v>685.546742219891</v>
      </c>
      <c r="M9474" s="38" t="n">
        <f aca="false">Sens!$AA$9474</f>
        <v>657.902426839353</v>
      </c>
      <c r="R9474" s="38" t="n">
        <f aca="false">SUM(Sens!$R$9461:$R$9461)-SUM(Sens!$R$9473:$R$9473)</f>
        <v>1.50429979529945</v>
      </c>
      <c r="S9474" s="38" t="n">
        <f aca="false">SUM(Sens!$R$9461:$S$9461)-SUM(Sens!$R$9473:$S$9473)</f>
        <v>26.578941154416</v>
      </c>
      <c r="T9474" s="38" t="n">
        <f aca="false">SUM(Sens!$R$9461:$T$9461)-SUM(Sens!$R$9473:$T$9473)</f>
        <v>94.4165581367978</v>
      </c>
      <c r="U9474" s="38" t="n">
        <f aca="false">SUM(Sens!$R$9461:$U$9461)-SUM(Sens!$R$9473:$U$9473)</f>
        <v>236.826599034204</v>
      </c>
      <c r="V9474" s="38" t="n">
        <f aca="false">SUM(Sens!$R$9461:$V$9461)-SUM(Sens!$R$9473:$V$9473)</f>
        <v>405.352046470255</v>
      </c>
      <c r="W9474" s="38" t="n">
        <f aca="false">SUM(Sens!$R$9461:$W$9461)-SUM(Sens!$R$9473:$W$9473)</f>
        <v>548.02627304894</v>
      </c>
      <c r="X9474" s="38" t="n">
        <f aca="false">SUM(Sens!$R$9461:$X$9461)-SUM(Sens!$R$9473:$X$9473)</f>
        <v>667.201623959208</v>
      </c>
      <c r="Y9474" s="38" t="n">
        <f aca="false">SUM(Sens!$R$9461:$Y$9461)-SUM(Sens!$R$9473:$Y$9473)</f>
        <v>699.528939952503</v>
      </c>
      <c r="Z9474" s="38" t="n">
        <f aca="false">SUM(Sens!$R$9461:$Z$9461)-SUM(Sens!$R$9473:$Z$9473)</f>
        <v>685.546742219891</v>
      </c>
      <c r="AA9474" s="38" t="n">
        <f aca="false">SUM(Sens!$R$9461:$AA$9461)-SUM(Sens!$R$9473:$AA$9473)</f>
        <v>657.902426839353</v>
      </c>
    </row>
    <row r="9475" customFormat="false" ht="17.15" hidden="false" customHeight="false" outlineLevel="0" collapsed="false">
      <c r="A9475" s="1" t="s">
        <v>652</v>
      </c>
    </row>
    <row r="9476" customFormat="false" ht="17.15" hidden="false" customHeight="false" outlineLevel="0" collapsed="false">
      <c r="A9476" s="0" t="s">
        <v>653</v>
      </c>
      <c r="B9476" s="0" t="s">
        <v>86</v>
      </c>
      <c r="C9476" s="38" t="n">
        <f aca="false">Sens!$C$9452-ext_sh*Sens!$C$9454</f>
        <v>1.80694998843362</v>
      </c>
      <c r="D9476" s="38" t="n">
        <f aca="false">Sens!$D$9452-ext_sh*Sens!$D$9454</f>
        <v>6.77606245662607</v>
      </c>
      <c r="E9476" s="38" t="n">
        <f aca="false">Sens!$E$9452-ext_sh*Sens!$E$9454</f>
        <v>6.62548329092326</v>
      </c>
      <c r="F9476" s="38" t="n">
        <f aca="false">Sens!$F$9452-ext_sh*Sens!$F$9454</f>
        <v>11.7200577158706</v>
      </c>
      <c r="G9476" s="38" t="n">
        <f aca="false">Sens!$G$9452-ext_sh*Sens!$G$9454</f>
        <v>18.3455410067939</v>
      </c>
      <c r="H9476" s="38" t="n">
        <f aca="false">Sens!$H$9452-ext_sh*Sens!$H$9454</f>
        <v>47.5171727060453</v>
      </c>
      <c r="I9476" s="38" t="n">
        <f aca="false">Sens!$I$9452-ext_sh*Sens!$I$9454</f>
        <v>80.5539692643667</v>
      </c>
      <c r="J9476" s="38" t="n">
        <f aca="false">Sens!$J$9452-ext_sh*Sens!$J$9454</f>
        <v>113.759316834883</v>
      </c>
      <c r="K9476" s="38" t="n">
        <f aca="false">Sens!$K$9452-ext_sh*Sens!$K$9454</f>
        <v>141.855203603144</v>
      </c>
      <c r="L9476" s="38" t="n">
        <f aca="false">Sens!$L$9452-ext_sh*Sens!$L$9454</f>
        <v>159.789055430453</v>
      </c>
      <c r="M9476" s="38" t="n">
        <f aca="false">Sens!$M$9452-ext_sh*Sens!$M$9454</f>
        <v>167.532378081213</v>
      </c>
      <c r="N9476" s="38" t="n">
        <f aca="false">Sens!$N$9452-ext_sh*Sens!$N$9454</f>
        <v>2.37162185981912</v>
      </c>
      <c r="O9476" s="38" t="n">
        <f aca="false">Sens!$O$9452-ext_sh*Sens!$O$9454</f>
        <v>4.40444059680694</v>
      </c>
    </row>
    <row r="9477" customFormat="false" ht="17.15" hidden="false" customHeight="false" outlineLevel="0" collapsed="false">
      <c r="A9477" s="1" t="s">
        <v>654</v>
      </c>
      <c r="B9477" s="8" t="s">
        <v>86</v>
      </c>
      <c r="C9477" s="38" t="n">
        <f aca="false">Sens!$C$9476-ext_sh*Sens!$C$9473</f>
        <v>1.64417882953695</v>
      </c>
      <c r="D9477" s="38" t="n">
        <f aca="false">Sens!$D$9476-ext_sh*Sens!$D$9473</f>
        <v>5.39125073772939</v>
      </c>
      <c r="E9477" s="38" t="n">
        <f aca="false">Sens!$E$9476-ext_sh*Sens!$E$9473</f>
        <v>2.42691120599613</v>
      </c>
      <c r="F9477" s="38" t="n">
        <f aca="false">Sens!$F$9476-ext_sh*Sens!$F$9473</f>
        <v>7.52148563094346</v>
      </c>
      <c r="G9477" s="38" t="n">
        <f aca="false">Sens!$G$9476-ext_sh*Sens!$G$9473</f>
        <v>9.94839683693959</v>
      </c>
      <c r="H9477" s="38" t="n">
        <f aca="false">Sens!$H$9476-ext_sh*Sens!$H$9473</f>
        <v>23.4804386990861</v>
      </c>
      <c r="I9477" s="38" t="n">
        <f aca="false">Sens!$I$9476-ext_sh*Sens!$I$9473</f>
        <v>30.9761745989143</v>
      </c>
      <c r="J9477" s="38" t="n">
        <f aca="false">Sens!$J$9476-ext_sh*Sens!$J$9473</f>
        <v>41.1930070746977</v>
      </c>
      <c r="K9477" s="38" t="n">
        <f aca="false">Sens!$K$9476-ext_sh*Sens!$K$9473</f>
        <v>45.7487132269171</v>
      </c>
      <c r="L9477" s="38" t="n">
        <f aca="false">Sens!$L$9476-ext_sh*Sens!$L$9473</f>
        <v>47.4367140310386</v>
      </c>
      <c r="M9477" s="38" t="n">
        <f aca="false">Sens!$M$9476-ext_sh*Sens!$M$9473</f>
        <v>46.2992355967948</v>
      </c>
      <c r="N9477" s="38" t="n">
        <f aca="false">Sens!$N$9476-ext_sh*Sens!$N$9473</f>
        <v>1.67921600037079</v>
      </c>
      <c r="O9477" s="38" t="n">
        <f aca="false">Sens!$O$9476-ext_sh*Sens!$O$9473</f>
        <v>3.71203473735861</v>
      </c>
    </row>
    <row r="9478" customFormat="false" ht="17.15" hidden="false" customHeight="false" outlineLevel="0" collapsed="false">
      <c r="A9478" s="0" t="s">
        <v>655</v>
      </c>
      <c r="B9478" s="0" t="s">
        <v>52</v>
      </c>
      <c r="C9478" s="13" t="n">
        <f aca="false">Sens!$C$9477/Sens!$C$9452</f>
        <v>0.708390794789371</v>
      </c>
      <c r="D9478" s="13" t="n">
        <f aca="false">Sens!$D$9477/Sens!$D$9452</f>
        <v>0.619415573115729</v>
      </c>
      <c r="E9478" s="13" t="n">
        <f aca="false">Sens!$E$9477/Sens!$E$9452</f>
        <v>0.285171627189009</v>
      </c>
      <c r="F9478" s="13" t="n">
        <f aca="false">Sens!$F$9477/Sens!$F$9452</f>
        <v>0.502657732812366</v>
      </c>
      <c r="G9478" s="13" t="n">
        <f aca="false">Sens!$G$9477/Sens!$G$9452</f>
        <v>0.423808778611812</v>
      </c>
      <c r="H9478" s="13" t="n">
        <f aca="false">Sens!$H$9477/Sens!$H$9452</f>
        <v>0.390261631739809</v>
      </c>
      <c r="I9478" s="13" t="n">
        <f aca="false">Sens!$I$9477/Sens!$I$9452</f>
        <v>0.305172864264572</v>
      </c>
      <c r="J9478" s="13" t="n">
        <f aca="false">Sens!$J$9477/Sens!$J$9452</f>
        <v>0.288011814789856</v>
      </c>
      <c r="K9478" s="13" t="n">
        <f aca="false">Sens!$K$9477/Sens!$K$9452</f>
        <v>0.256781372309587</v>
      </c>
      <c r="L9478" s="13" t="n">
        <f aca="false">Sens!$L$9477/Sens!$L$9452</f>
        <v>0.236484872592048</v>
      </c>
      <c r="M9478" s="13" t="n">
        <f aca="false">Sens!$M$9477/Sens!$M$9452</f>
        <v>0.220178275964369</v>
      </c>
      <c r="N9478" s="13" t="n">
        <f aca="false">Sens!$N$9477/Sens!$N$9452</f>
        <v>0.551227795793364</v>
      </c>
      <c r="O9478" s="13" t="n">
        <f aca="false">Sens!$O$9477/Sens!$O$9452</f>
        <v>0.656132068597002</v>
      </c>
    </row>
    <row r="9479" customFormat="false" ht="17.15" hidden="false" customHeight="false" outlineLevel="0" collapsed="false">
      <c r="A9479" s="5" t="s">
        <v>656</v>
      </c>
      <c r="B9479" s="0" t="s">
        <v>86</v>
      </c>
      <c r="C9479" s="39" t="n">
        <v>0</v>
      </c>
      <c r="D9479" s="39" t="n">
        <v>0</v>
      </c>
      <c r="E9479" s="39" t="n">
        <v>0</v>
      </c>
      <c r="F9479" s="38" t="n">
        <f aca="false">IF(internal_ai_reading=2,1,0)*(1-ext_sh)/ext_sh*(mw_open*he_open+Sens!$F$9450*Sens!$F$9447)*Sens!$F$9436/1000</f>
        <v>3.77122048175818</v>
      </c>
      <c r="G9479" s="38" t="n">
        <f aca="false">Sens!$E$9479+Sens!$F$9479</f>
        <v>3.77122048175818</v>
      </c>
      <c r="H9479" s="38" t="n">
        <f aca="false">IF(internal_ai_reading=2,1,0)*(1-ext_sh)/ext_sh*(mw_open*he_open+Sens!$H$9450*Sens!$H$9447)*Sens!$H$9436/1000</f>
        <v>15.1635543609893</v>
      </c>
      <c r="I9479" s="38" t="n">
        <f aca="false">IF(internal_ai_reading=2,1,0)*(1-ext_sh)/ext_sh*(mw_open*he_open+Sens!$I$9450*Sens!$I$9447)*Sens!$I$9436/1000</f>
        <v>25.5818843619889</v>
      </c>
      <c r="J9479" s="38" t="n">
        <f aca="false">IF(internal_ai_reading=2,1,0)*(1-ext_sh)/ext_sh*(mw_open*he_open+Sens!$J$9450*Sens!$J$9447)*Sens!$J$9436/1000</f>
        <v>36.0465624179122</v>
      </c>
      <c r="K9479" s="38" t="n">
        <f aca="false">IF(internal_ai_reading=2,1,0)*(1-ext_sh)/ext_sh*(mw_open*he_open+Sens!$K$9450*Sens!$K$9447)*Sens!$K$9436/1000</f>
        <v>44.9020355557576</v>
      </c>
      <c r="L9479" s="38" t="n">
        <f aca="false">IF(internal_ai_reading=2,1,0)*(1-ext_sh)/ext_sh*(mw_open*he_open+Sens!$L$9450*Sens!$L$9447)*Sens!$L$9436/1000</f>
        <v>50.55474151763</v>
      </c>
      <c r="M9479" s="38" t="n">
        <f aca="false">IF(internal_ai_reading=2,1,0)*(1-ext_sh)/ext_sh*(mw_open*he_open+Sens!$M$9450*Sens!$M$9447)*Sens!$M$9436/1000</f>
        <v>52.9968449759368</v>
      </c>
      <c r="N9479" s="39" t="n">
        <v>0</v>
      </c>
      <c r="O9479" s="39" t="n">
        <v>0</v>
      </c>
      <c r="P9479" s="8" t="s">
        <v>657</v>
      </c>
    </row>
    <row r="9480" customFormat="false" ht="17.15" hidden="false" customHeight="false" outlineLevel="0" collapsed="false">
      <c r="A9480" s="5" t="s">
        <v>658</v>
      </c>
      <c r="B9480" s="0" t="s">
        <v>86</v>
      </c>
      <c r="C9480" s="38" t="n">
        <f aca="false">(1-ext_sh)*(Sens!$C$9454+Sens!$C$9473)</f>
        <v>0.169206631859174</v>
      </c>
      <c r="D9480" s="38" t="n">
        <f aca="false">(1-ext_sh)*(Sens!$D$9454+Sens!$D$9473)</f>
        <v>0.828129837730442</v>
      </c>
      <c r="E9480" s="38" t="n">
        <f aca="false">(1-ext_sh)*(Sens!$E$9454+Sens!$E$9473)</f>
        <v>1.52086044239347</v>
      </c>
      <c r="F9480" s="38" t="n">
        <f aca="false">(1-ext_sh)*(Sens!$F$9454+Sens!$F$9473)</f>
        <v>1.86048700344425</v>
      </c>
      <c r="G9480" s="38" t="n">
        <f aca="false">(1-ext_sh)*(Sens!$G$9454+Sens!$G$9473)</f>
        <v>3.38134744583772</v>
      </c>
      <c r="H9480" s="38" t="n">
        <f aca="false">(1-ext_sh)*(Sens!$H$9454+Sens!$H$9473)</f>
        <v>9.17136301267211</v>
      </c>
      <c r="I9480" s="38" t="n">
        <f aca="false">(1-ext_sh)*(Sens!$I$9454+Sens!$I$9473)</f>
        <v>17.6318811343794</v>
      </c>
      <c r="J9480" s="38" t="n">
        <f aca="false">(1-ext_sh)*(Sens!$J$9454+Sens!$J$9473)</f>
        <v>25.4581000191451</v>
      </c>
      <c r="K9480" s="38" t="n">
        <f aca="false">(1-ext_sh)*(Sens!$K$9454+Sens!$K$9473)</f>
        <v>33.1033512646296</v>
      </c>
      <c r="L9480" s="38" t="n">
        <f aca="false">(1-ext_sh)*(Sens!$L$9454+Sens!$L$9473)</f>
        <v>38.2885471280255</v>
      </c>
      <c r="M9480" s="38" t="n">
        <f aca="false">(1-ext_sh)*(Sens!$M$9454+Sens!$M$9473)</f>
        <v>40.9953588364767</v>
      </c>
      <c r="N9480" s="38" t="n">
        <f aca="false">(1-ext_sh)*(Sens!$N$9454+Sens!$N$9473)</f>
        <v>0.34177588266428</v>
      </c>
      <c r="O9480" s="38" t="n">
        <f aca="false">(1-ext_sh)*(Sens!$O$9454+Sens!$O$9473)</f>
        <v>0.486353955066162</v>
      </c>
    </row>
    <row r="9481" customFormat="false" ht="17.15" hidden="false" customHeight="false" outlineLevel="0" collapsed="false">
      <c r="A9481" s="0" t="s">
        <v>659</v>
      </c>
      <c r="B9481" s="0" t="s">
        <v>86</v>
      </c>
      <c r="C9481" s="38" t="n">
        <f aca="false">Q!$D$24</f>
        <v>39.834</v>
      </c>
      <c r="D9481" s="38" t="n">
        <f aca="false">Q!$E$24</f>
        <v>45.606</v>
      </c>
      <c r="E9481" s="38" t="n">
        <f aca="false">Q!$P$24</f>
        <v>30.782</v>
      </c>
      <c r="N9481" s="38" t="n">
        <f aca="false">Q!$N$24</f>
        <v>21.707</v>
      </c>
      <c r="O9481" s="38" t="n">
        <f aca="false">Q!$O$24</f>
        <v>23.899</v>
      </c>
    </row>
    <row r="9482" customFormat="false" ht="17.15" hidden="false" customHeight="false" outlineLevel="0" collapsed="false">
      <c r="A9482" s="0" t="s">
        <v>660</v>
      </c>
      <c r="B9482" s="0" t="s">
        <v>86</v>
      </c>
      <c r="C9482" s="38" t="n">
        <f aca="false">Sens!$C$9481-Sens!$C$9477</f>
        <v>38.1898211704631</v>
      </c>
      <c r="D9482" s="38" t="n">
        <f aca="false">Sens!$D$9481-Sens!$D$9477</f>
        <v>40.2147492622706</v>
      </c>
      <c r="E9482" s="38" t="n">
        <f aca="false">Sens!$E$9481-Sens!$E$9477</f>
        <v>28.3550887940039</v>
      </c>
      <c r="F9482" s="38" t="n">
        <f aca="false">Sens!$F$9456*Sens!$F$9483</f>
        <v>25.9529793149447</v>
      </c>
      <c r="G9482" s="38" t="n">
        <f aca="false">Sens!$E$9482+Sens!$F$9482</f>
        <v>54.3080681089486</v>
      </c>
      <c r="H9482" s="38" t="n">
        <f aca="false">Sens!$H$9456*Sens!$H$9483</f>
        <v>58.2264684589333</v>
      </c>
      <c r="I9482" s="38" t="n">
        <f aca="false">Sens!$I$9456*Sens!$I$9483</f>
        <v>64.6461353851744</v>
      </c>
      <c r="J9482" s="38" t="n">
        <f aca="false">Sens!$J$9456*Sens!$J$9483</f>
        <v>70.7957093610231</v>
      </c>
      <c r="K9482" s="38" t="n">
        <f aca="false">Sens!$K$9456*Sens!$K$9483</f>
        <v>76.4593661099049</v>
      </c>
      <c r="L9482" s="38" t="n">
        <f aca="false">Sens!$L$9456*Sens!$L$9483</f>
        <v>82.5761153986973</v>
      </c>
      <c r="M9482" s="38" t="n">
        <f aca="false">Sens!$M$9456*Sens!$M$9483</f>
        <v>89.1822046305931</v>
      </c>
      <c r="N9482" s="38" t="n">
        <f aca="false">Sens!$N$9481-Sens!$N$9477</f>
        <v>20.0277839996292</v>
      </c>
      <c r="O9482" s="38" t="n">
        <f aca="false">Sens!$O$9481-Sens!$O$9477</f>
        <v>20.1869652626414</v>
      </c>
      <c r="P9482" s="5" t="s">
        <v>661</v>
      </c>
    </row>
    <row r="9483" customFormat="false" ht="17.15" hidden="false" customHeight="false" outlineLevel="0" collapsed="false">
      <c r="A9483" s="0" t="s">
        <v>662</v>
      </c>
      <c r="B9483" s="0" t="s">
        <v>52</v>
      </c>
      <c r="C9483" s="13" t="n">
        <f aca="false">Sens!$C$9482/Sens!$C$9456</f>
        <v>0.362900395443635</v>
      </c>
      <c r="D9483" s="13" t="n">
        <f aca="false">Sens!$D$9482/Sens!$D$9456</f>
        <v>0.335063632425483</v>
      </c>
      <c r="E9483" s="13" t="n">
        <f aca="false">Sens!$E$9482/Sens!$E$9456</f>
        <v>0.397638855555478</v>
      </c>
      <c r="F9483" s="13" t="n">
        <f aca="false">(Sens!$O$9482+Sens!$E$9482)/(Sens!$O$9456+Sens!$E$9456)</f>
        <v>0.361616727338133</v>
      </c>
      <c r="G9483" s="13" t="n">
        <f aca="false">Sens!$G$9482/Sens!$G$9456</f>
        <v>0.379569803149143</v>
      </c>
      <c r="H9483" s="13" t="n">
        <f aca="false">Sens!$F$9483</f>
        <v>0.361616727338133</v>
      </c>
      <c r="I9483" s="13" t="n">
        <f aca="false">Sens!$F$9483</f>
        <v>0.361616727338133</v>
      </c>
      <c r="J9483" s="13" t="n">
        <f aca="false">Sens!$F$9483</f>
        <v>0.361616727338133</v>
      </c>
      <c r="K9483" s="13" t="n">
        <f aca="false">Sens!$F$9483</f>
        <v>0.361616727338133</v>
      </c>
      <c r="L9483" s="13" t="n">
        <f aca="false">Sens!$F$9483</f>
        <v>0.361616727338133</v>
      </c>
      <c r="M9483" s="13" t="n">
        <f aca="false">Sens!$F$9483</f>
        <v>0.361616727338133</v>
      </c>
      <c r="N9483" s="13" t="n">
        <f aca="false">Sens!$N$9482/Sens!$N$9456</f>
        <v>0.35078810535806</v>
      </c>
      <c r="O9483" s="13" t="n">
        <f aca="false">Sens!$O$9482/Sens!$O$9456</f>
        <v>0.320796939361619</v>
      </c>
      <c r="P9483" s="8" t="s">
        <v>663</v>
      </c>
    </row>
    <row r="9484" customFormat="false" ht="17.15" hidden="false" customHeight="false" outlineLevel="0" collapsed="false">
      <c r="A9484" s="0" t="s">
        <v>664</v>
      </c>
      <c r="B9484" s="0" t="s">
        <v>52</v>
      </c>
      <c r="D9484" s="13" t="n">
        <f aca="false">(Q!$E$31-ext_sh*Sens!$D$9473)/Sens!$D$9456</f>
        <v>0.167180325480118</v>
      </c>
    </row>
    <row r="9485" customFormat="false" ht="17.15" hidden="false" customHeight="false" outlineLevel="0" collapsed="false">
      <c r="A9485" s="0" t="s">
        <v>665</v>
      </c>
      <c r="B9485" s="0" t="s">
        <v>86</v>
      </c>
      <c r="C9485" s="38" t="n">
        <f aca="false">Q!$D$31</f>
        <v>13.32</v>
      </c>
      <c r="D9485" s="38" t="n">
        <f aca="false">Q!$E$31</f>
        <v>21.45</v>
      </c>
      <c r="E9485" s="38" t="n">
        <f aca="false">Q!$P$31</f>
        <v>15.353</v>
      </c>
      <c r="F9485" s="38" t="n">
        <f aca="false">ext_sh*Sens!$F$9473+Sens!$D$9484*Sens!$F$9456</f>
        <v>16.1969869840094</v>
      </c>
      <c r="G9485" s="38" t="n">
        <f aca="false">Sens!$E$9485+Sens!$F$9485</f>
        <v>31.5499869840094</v>
      </c>
      <c r="H9485" s="38" t="n">
        <f aca="false">ext_sh*Sens!$H$9473+Sens!$D$9484*Sens!$H$9456</f>
        <v>50.9556213609176</v>
      </c>
      <c r="I9485" s="38" t="n">
        <f aca="false">ext_sh*Sens!$I$9473+Sens!$D$9484*Sens!$I$9456</f>
        <v>79.464581248252</v>
      </c>
      <c r="J9485" s="38" t="n">
        <f aca="false">ext_sh*Sens!$J$9473+Sens!$D$9484*Sens!$J$9456</f>
        <v>105.296127931746</v>
      </c>
      <c r="K9485" s="38" t="n">
        <f aca="false">ext_sh*Sens!$K$9473+Sens!$D$9484*Sens!$K$9456</f>
        <v>131.454694001511</v>
      </c>
      <c r="L9485" s="38" t="n">
        <f aca="false">ext_sh*Sens!$L$9473+Sens!$D$9484*Sens!$L$9456</f>
        <v>150.528401314722</v>
      </c>
      <c r="M9485" s="38" t="n">
        <f aca="false">ext_sh*Sens!$M$9473+Sens!$D$9484*Sens!$M$9456</f>
        <v>162.46328719295</v>
      </c>
      <c r="N9485" s="38" t="n">
        <f aca="false">Q!$N$31</f>
        <v>9.234</v>
      </c>
      <c r="O9485" s="38" t="n">
        <f aca="false">Q!$O$31</f>
        <v>12.216</v>
      </c>
    </row>
    <row r="9486" customFormat="false" ht="17.15" hidden="false" customHeight="false" outlineLevel="0" collapsed="false">
      <c r="A9486" s="1" t="s">
        <v>666</v>
      </c>
    </row>
    <row r="9487" customFormat="false" ht="17.15" hidden="false" customHeight="false" outlineLevel="0" collapsed="false">
      <c r="A9487" s="15" t="s">
        <v>667</v>
      </c>
      <c r="B9487" s="14" t="s">
        <v>52</v>
      </c>
      <c r="C9487" s="14"/>
      <c r="D9487" s="14"/>
      <c r="E9487" s="14"/>
      <c r="F9487" s="14"/>
      <c r="G9487" s="17" t="n">
        <f aca="false">Sens!$G$9477*(1-tax)/(ext_sh*(Sens!$D$9474+Sens!$G$9474)/2)</f>
        <v>0.0620504069546486</v>
      </c>
      <c r="H9487" s="17" t="n">
        <f aca="false">Sens!$H$9477*(1-tax)/(ext_sh*(Sens!$G$9474+Sens!$H$9474)/2)</f>
        <v>0.0755420551527686</v>
      </c>
      <c r="I9487" s="17" t="n">
        <f aca="false">Sens!$I$9477*(1-tax)/(ext_sh*(Sens!$H$9474+Sens!$I$9474)/2)</f>
        <v>0.067127575356291</v>
      </c>
      <c r="J9487" s="17" t="n">
        <f aca="false">Sens!$J$9477*(1-tax)/(ext_sh*(Sens!$I$9474+Sens!$J$9474)/2)</f>
        <v>0.0700332392906535</v>
      </c>
      <c r="K9487" s="17" t="n">
        <f aca="false">Sens!$K$9477*(1-tax)/(ext_sh*(Sens!$J$9474+Sens!$K$9474)/2)</f>
        <v>0.0691567260881567</v>
      </c>
      <c r="L9487" s="17" t="n">
        <f aca="false">Sens!$L$9477*(1-tax)/(ext_sh*(Sens!$K$9474+Sens!$L$9474)/2)</f>
        <v>0.0707586505670534</v>
      </c>
      <c r="M9487" s="17" t="n">
        <f aca="false">Sens!$M$9477*(1-tax)/(ext_sh*(Sens!$L$9474+Sens!$M$9474)/2)</f>
        <v>0.0712018094618408</v>
      </c>
      <c r="N9487" s="14"/>
      <c r="O9487" s="14"/>
      <c r="P9487" s="8" t="s">
        <v>668</v>
      </c>
    </row>
    <row r="9488" customFormat="false" ht="17.15" hidden="false" customHeight="false" outlineLevel="0" collapsed="false">
      <c r="A9488" s="5" t="s">
        <v>669</v>
      </c>
      <c r="B9488" s="0" t="s">
        <v>57</v>
      </c>
      <c r="H9488" s="36" t="n">
        <f aca="false">Sens!$H$9452*1000/(mw_open*he_open+Sens!$H$9450*Sens!$H$9447)</f>
        <v>0.991949006767191</v>
      </c>
      <c r="I9488" s="36" t="n">
        <f aca="false">Sens!$I$9452*1000/(mw_open*he_open+Sens!$I$9450*Sens!$I$9447)</f>
        <v>0.991949006767191</v>
      </c>
      <c r="J9488" s="36" t="n">
        <f aca="false">Sens!$J$9452*1000/(mw_open*he_open+Sens!$J$9450*Sens!$J$9447)</f>
        <v>0.991949006767191</v>
      </c>
      <c r="K9488" s="36" t="n">
        <f aca="false">Sens!$K$9452*1000/(mw_open*he_open+Sens!$K$9450*Sens!$K$9447)</f>
        <v>0.991949006767191</v>
      </c>
      <c r="L9488" s="36" t="n">
        <f aca="false">Sens!$L$9452*1000/(mw_open*he_open+Sens!$L$9450*Sens!$L$9447)</f>
        <v>0.991949006767191</v>
      </c>
      <c r="M9488" s="36" t="n">
        <f aca="false">Sens!$M$9452*1000/(mw_open*he_open+Sens!$M$9450*Sens!$M$9447)</f>
        <v>0.991949006767191</v>
      </c>
    </row>
    <row r="9489" customFormat="false" ht="17.15" hidden="false" customHeight="false" outlineLevel="0" collapsed="false">
      <c r="A9489" s="5" t="s">
        <v>670</v>
      </c>
      <c r="B9489" s="0" t="s">
        <v>57</v>
      </c>
      <c r="H9489" s="36" t="n">
        <f aca="false">Sens!$H$9488*(Sens!$H$9452+wacc*ext_sh*(Sens!$G$9474+Sens!$H$9474)/2/(1-tax)-Sens!$H$9477)/Sens!$H$9452</f>
        <v>1.18542857552197</v>
      </c>
      <c r="I9489" s="36" t="n">
        <f aca="false">Sens!$I$9488*(Sens!$I$9452+wacc*ext_sh*(Sens!$H$9474+Sens!$I$9474)/2/(1-tax)-Sens!$I$9477)/Sens!$I$9452</f>
        <v>1.20015476648903</v>
      </c>
      <c r="J9489" s="36" t="n">
        <f aca="false">Sens!$J$9488*(Sens!$J$9452+wacc*ext_sh*(Sens!$I$9474+Sens!$J$9474)/2/(1-tax)-Sens!$J$9477)/Sens!$J$9452</f>
        <v>1.16844056931249</v>
      </c>
      <c r="K9489" s="36" t="n">
        <f aca="false">Sens!$K$9488*(Sens!$K$9452+wacc*ext_sh*(Sens!$J$9474+Sens!$K$9474)/2/(1-tax)-Sens!$K$9477)/Sens!$K$9452</f>
        <v>1.15452545100558</v>
      </c>
      <c r="L9489" s="36" t="n">
        <f aca="false">Sens!$L$9488*(Sens!$L$9452+wacc*ext_sh*(Sens!$K$9474+Sens!$L$9474)/2/(1-tax)-Sens!$L$9477)/Sens!$L$9452</f>
        <v>1.13297466032551</v>
      </c>
      <c r="M9489" s="36" t="n">
        <f aca="false">Sens!$M$9488*(Sens!$M$9452+wacc*ext_sh*(Sens!$L$9474+Sens!$M$9474)/2/(1-tax)-Sens!$M$9477)/Sens!$M$9452</f>
        <v>1.12107379572429</v>
      </c>
    </row>
    <row r="9490" customFormat="false" ht="17.15" hidden="false" customHeight="false" outlineLevel="0" collapsed="false">
      <c r="A9490" s="5" t="s">
        <v>671</v>
      </c>
      <c r="B9490" s="0" t="s">
        <v>52</v>
      </c>
      <c r="C9490" s="13" t="n">
        <f aca="false">Sens!$C$9453/tk_pq</f>
        <v>0.195316432429398</v>
      </c>
      <c r="D9490" s="13" t="n">
        <f aca="false">Sens!$D$9453/tk_pq</f>
        <v>0.195316432429398</v>
      </c>
      <c r="E9490" s="13" t="n">
        <f aca="false">Sens!$E$9453/tk_pq</f>
        <v>0.195316432429398</v>
      </c>
      <c r="F9490" s="13" t="n">
        <f aca="false">Sens!$F$9453/tk_pq</f>
        <v>0.202241827274866</v>
      </c>
      <c r="G9490" s="13" t="n">
        <f aca="false">Sens!$G$9453/tk_pq</f>
        <v>0.199675016194063</v>
      </c>
      <c r="H9490" s="13" t="n">
        <f aca="false">Sens!$H$9453/tk_pq</f>
        <v>0.212647947710325</v>
      </c>
      <c r="I9490" s="13" t="n">
        <f aca="false">Sens!$I$9453/tk_pq</f>
        <v>0.219285125475351</v>
      </c>
      <c r="J9490" s="13" t="n">
        <f aca="false">Sens!$J$9453/tk_pq</f>
        <v>0.222492493217189</v>
      </c>
      <c r="K9490" s="13" t="n">
        <f aca="false">Sens!$K$9453/tk_pq</f>
        <v>0.224037965623446</v>
      </c>
      <c r="L9490" s="13" t="n">
        <f aca="false">Sens!$L$9453/tk_pq</f>
        <v>0.224743186755999</v>
      </c>
      <c r="M9490" s="13" t="n">
        <f aca="false">Sens!$M$9453/tk_pq</f>
        <v>0.224962001824354</v>
      </c>
      <c r="N9490" s="13" t="n">
        <f aca="false">Sens!$N$9453/tk_pq</f>
        <v>0.195316432429398</v>
      </c>
      <c r="O9490" s="13" t="n">
        <f aca="false">Sens!$O$9453/tk_pq</f>
        <v>0.195316432429398</v>
      </c>
      <c r="P9490" s="5" t="s">
        <v>672</v>
      </c>
    </row>
    <row r="9493" customFormat="false" ht="17.15" hidden="false" customHeight="false" outlineLevel="0" collapsed="false">
      <c r="A9493" s="1" t="s">
        <v>701</v>
      </c>
    </row>
    <row r="9494" customFormat="false" ht="17.15" hidden="false" customHeight="false" outlineLevel="0" collapsed="false">
      <c r="A9494" s="0" t="s">
        <v>702</v>
      </c>
      <c r="B9494" s="0" t="s">
        <v>86</v>
      </c>
      <c r="C9494" s="38" t="n">
        <f aca="false">Sens!$C$9452</f>
        <v>2.32100535697364</v>
      </c>
      <c r="D9494" s="38" t="n">
        <f aca="false">Sens!$D$9452</f>
        <v>8.70377008865116</v>
      </c>
      <c r="E9494" s="38" t="n">
        <f aca="false">Sens!$E$9452</f>
        <v>8.51035297557002</v>
      </c>
      <c r="F9494" s="38" t="n">
        <f aca="false">Sens!$F$9452</f>
        <v>14.9634336447205</v>
      </c>
      <c r="G9494" s="38" t="n">
        <f aca="false">Sens!$G$9452</f>
        <v>23.4737866202905</v>
      </c>
      <c r="H9494" s="38" t="n">
        <f aca="false">Sens!$H$9452</f>
        <v>60.1658907497746</v>
      </c>
      <c r="I9494" s="38" t="n">
        <f aca="false">Sens!$I$9452</f>
        <v>101.503699136432</v>
      </c>
      <c r="J9494" s="38" t="n">
        <f aca="false">Sens!$J$9452</f>
        <v>143.025407151278</v>
      </c>
      <c r="K9494" s="38" t="n">
        <f aca="false">Sens!$K$9452</f>
        <v>178.162118285436</v>
      </c>
      <c r="L9494" s="38" t="n">
        <f aca="false">Sens!$L$9452</f>
        <v>200.590902543141</v>
      </c>
      <c r="M9494" s="38" t="n">
        <f aca="false">Sens!$M$9452</f>
        <v>210.280670942702</v>
      </c>
      <c r="N9494" s="38" t="n">
        <f aca="false">Sens!$N$9452</f>
        <v>3.04631953102791</v>
      </c>
      <c r="O9494" s="38" t="n">
        <f aca="false">Sens!$O$9452</f>
        <v>5.65745055762326</v>
      </c>
      <c r="P9494" s="8" t="s">
        <v>703</v>
      </c>
    </row>
    <row r="9495" customFormat="false" ht="17.15" hidden="false" customHeight="false" outlineLevel="0" collapsed="false">
      <c r="A9495" s="0" t="s">
        <v>704</v>
      </c>
      <c r="B9495" s="0" t="s">
        <v>86</v>
      </c>
      <c r="C9495" s="38" t="n">
        <f aca="false">Sens!$C$9456</f>
        <v>105.234994643026</v>
      </c>
      <c r="D9495" s="38" t="n">
        <f aca="false">Sens!$D$9456</f>
        <v>120.021229911349</v>
      </c>
      <c r="E9495" s="38" t="n">
        <f aca="false">Sens!$E$9456</f>
        <v>71.30864702443</v>
      </c>
      <c r="F9495" s="38" t="n">
        <f aca="false">Sens!$F$9456</f>
        <v>71.7692997942464</v>
      </c>
      <c r="G9495" s="38" t="n">
        <f aca="false">Sens!$G$9456</f>
        <v>143.077946818676</v>
      </c>
      <c r="H9495" s="38" t="n">
        <f aca="false">Sens!$H$9456</f>
        <v>161.017077079203</v>
      </c>
      <c r="I9495" s="38" t="n">
        <f aca="false">Sens!$I$9456</f>
        <v>178.769759521457</v>
      </c>
      <c r="J9495" s="38" t="n">
        <f aca="false">Sens!$J$9456</f>
        <v>195.775538045907</v>
      </c>
      <c r="K9495" s="38" t="n">
        <f aca="false">Sens!$K$9456</f>
        <v>211.43758108958</v>
      </c>
      <c r="L9495" s="38" t="n">
        <f aca="false">Sens!$L$9456</f>
        <v>228.352587576746</v>
      </c>
      <c r="M9495" s="38" t="n">
        <f aca="false">Sens!$M$9456</f>
        <v>246.620794582886</v>
      </c>
      <c r="N9495" s="38" t="n">
        <f aca="false">Sens!$N$9456</f>
        <v>57.0936804689721</v>
      </c>
      <c r="O9495" s="38" t="n">
        <f aca="false">Sens!$O$9456</f>
        <v>62.9275494423768</v>
      </c>
      <c r="P9495" s="8" t="s">
        <v>703</v>
      </c>
    </row>
    <row r="9496" customFormat="false" ht="17.15" hidden="false" customHeight="false" outlineLevel="0" collapsed="false">
      <c r="A9496" s="1" t="s">
        <v>523</v>
      </c>
      <c r="B9496" s="8" t="s">
        <v>86</v>
      </c>
      <c r="C9496" s="38" t="n">
        <f aca="false">Q!$D$7</f>
        <v>107.556</v>
      </c>
      <c r="D9496" s="38" t="n">
        <f aca="false">Q!$E$7</f>
        <v>128.725</v>
      </c>
      <c r="E9496" s="38" t="n">
        <f aca="false">Q!$P$7</f>
        <v>79.819</v>
      </c>
      <c r="F9496" s="38" t="n">
        <f aca="false">Sens!$F$9494+Sens!$F$9495</f>
        <v>86.7327334389669</v>
      </c>
      <c r="G9496" s="38" t="n">
        <f aca="false">Sens!$G$9494+Sens!$G$9495</f>
        <v>166.551733438967</v>
      </c>
      <c r="H9496" s="38" t="n">
        <f aca="false">Sens!$H$9494+Sens!$H$9495</f>
        <v>221.182967828978</v>
      </c>
      <c r="I9496" s="38" t="n">
        <f aca="false">Sens!$I$9494+Sens!$I$9495</f>
        <v>280.27345865789</v>
      </c>
      <c r="J9496" s="38" t="n">
        <f aca="false">Sens!$J$9494+Sens!$J$9495</f>
        <v>338.800945197185</v>
      </c>
      <c r="K9496" s="38" t="n">
        <f aca="false">Sens!$K$9494+Sens!$K$9495</f>
        <v>389.599699375015</v>
      </c>
      <c r="L9496" s="38" t="n">
        <f aca="false">Sens!$L$9494+Sens!$L$9495</f>
        <v>428.943490119887</v>
      </c>
      <c r="M9496" s="38" t="n">
        <f aca="false">Sens!$M$9494+Sens!$M$9495</f>
        <v>456.901465525587</v>
      </c>
      <c r="N9496" s="38" t="n">
        <f aca="false">Q!$N$7</f>
        <v>60.14</v>
      </c>
      <c r="O9496" s="38" t="n">
        <f aca="false">Q!$O$7</f>
        <v>68.585</v>
      </c>
      <c r="P9496" s="5" t="s">
        <v>705</v>
      </c>
    </row>
    <row r="9497" customFormat="false" ht="15" hidden="false" customHeight="false" outlineLevel="0" collapsed="false">
      <c r="A9497" s="3" t="s">
        <v>706</v>
      </c>
      <c r="B9497" s="8" t="s">
        <v>86</v>
      </c>
      <c r="C9497" s="38" t="n">
        <f aca="false">Q!$D$8</f>
        <v>637.959</v>
      </c>
      <c r="D9497" s="38" t="n">
        <f aca="false">Q!$E$8</f>
        <v>716.924</v>
      </c>
      <c r="E9497" s="38" t="n">
        <f aca="false">Q!$P$8</f>
        <v>382.125</v>
      </c>
      <c r="F9497" s="38" t="n">
        <f aca="false">Sens!$F$9424+Sens!$F$9496</f>
        <v>435.780975084504</v>
      </c>
      <c r="G9497" s="38" t="n">
        <f aca="false">Sens!$G$9424+Sens!$G$9496</f>
        <v>817.905975084504</v>
      </c>
      <c r="H9497" s="38" t="n">
        <f aca="false">Sens!$H$9424+Sens!$H$9496</f>
        <v>942.279857350364</v>
      </c>
      <c r="I9497" s="38" t="n">
        <f aca="false">Sens!$I$9424+Sens!$I$9496</f>
        <v>1068.80284981042</v>
      </c>
      <c r="J9497" s="38" t="n">
        <f aca="false">Sens!$J$9424+Sens!$J$9496</f>
        <v>1189.90935093863</v>
      </c>
      <c r="K9497" s="38" t="n">
        <f aca="false">Sens!$K$9424+Sens!$K$9496</f>
        <v>1295.7761548061</v>
      </c>
      <c r="L9497" s="38" t="n">
        <f aca="false">Sens!$L$9424+Sens!$L$9496</f>
        <v>1394.03659659548</v>
      </c>
      <c r="M9497" s="38" t="n">
        <f aca="false">Sens!$M$9424+Sens!$M$9496</f>
        <v>1485.04937347247</v>
      </c>
      <c r="N9497" s="38" t="n">
        <f aca="false">Q!$N$8</f>
        <v>323.369</v>
      </c>
      <c r="O9497" s="38" t="n">
        <f aca="false">Q!$O$8</f>
        <v>393.555</v>
      </c>
    </row>
    <row r="9498" customFormat="false" ht="17.15" hidden="false" customHeight="false" outlineLevel="0" collapsed="false">
      <c r="A9498" s="24" t="s">
        <v>714</v>
      </c>
      <c r="B9498" s="25" t="s">
        <v>86</v>
      </c>
      <c r="C9498" s="41" t="n">
        <f aca="false">Sens!$C$9424-(Sens!$C$9426+Sens!$C$9427)</f>
        <v>0</v>
      </c>
      <c r="D9498" s="41" t="n">
        <f aca="false">Sens!$D$9424-(Sens!$D$9426+Sens!$D$9427)</f>
        <v>0</v>
      </c>
      <c r="E9498" s="41" t="n">
        <f aca="false">Sens!$E$9424-(Sens!$E$9426+Sens!$E$9427)</f>
        <v>0</v>
      </c>
      <c r="F9498" s="41" t="n">
        <f aca="false">Sens!$F$9424-(Sens!$F$9426+Sens!$F$9427)</f>
        <v>0</v>
      </c>
      <c r="G9498" s="41" t="n">
        <f aca="false">Sens!$G$9424-(Sens!$G$9426+Sens!$G$9427)</f>
        <v>0</v>
      </c>
      <c r="H9498" s="41" t="n">
        <f aca="false">Sens!$H$9424-(Sens!$H$9426+Sens!$H$9427)</f>
        <v>0</v>
      </c>
      <c r="I9498" s="41" t="n">
        <f aca="false">Sens!$I$9424-(Sens!$I$9426+Sens!$I$9427)</f>
        <v>0</v>
      </c>
      <c r="J9498" s="41" t="n">
        <f aca="false">Sens!$J$9424-(Sens!$J$9426+Sens!$J$9427)</f>
        <v>0</v>
      </c>
      <c r="K9498" s="41" t="n">
        <f aca="false">Sens!$K$9424-(Sens!$K$9426+Sens!$K$9427)</f>
        <v>0</v>
      </c>
      <c r="L9498" s="41" t="n">
        <f aca="false">Sens!$L$9424-(Sens!$L$9426+Sens!$L$9427)</f>
        <v>0</v>
      </c>
      <c r="M9498" s="41" t="n">
        <f aca="false">Sens!$M$9424-(Sens!$M$9426+Sens!$M$9427)</f>
        <v>0</v>
      </c>
      <c r="N9498" s="41" t="n">
        <f aca="false">Sens!$N$9424-(Sens!$N$9426+Sens!$N$9427)</f>
        <v>0</v>
      </c>
      <c r="O9498" s="41" t="n">
        <f aca="false">Sens!$O$9424-(Sens!$O$9426+Sens!$O$9427)</f>
        <v>0</v>
      </c>
    </row>
    <row r="9499" customFormat="false" ht="17.15" hidden="false" customHeight="false" outlineLevel="0" collapsed="false">
      <c r="A9499" s="24" t="s">
        <v>715</v>
      </c>
      <c r="B9499" s="25" t="s">
        <v>86</v>
      </c>
      <c r="C9499" s="41" t="n">
        <f aca="false">Sens!$C$9494+Sens!$C$9495-Sens!$C$9496</f>
        <v>0</v>
      </c>
      <c r="D9499" s="41" t="n">
        <f aca="false">Sens!$D$9494+Sens!$D$9495-Sens!$D$9496</f>
        <v>0</v>
      </c>
      <c r="E9499" s="41" t="n">
        <f aca="false">Sens!$E$9494+Sens!$E$9495-Sens!$E$9496</f>
        <v>0</v>
      </c>
      <c r="F9499" s="41" t="n">
        <f aca="false">Sens!$F$9494+Sens!$F$9495-Sens!$F$9496</f>
        <v>0</v>
      </c>
      <c r="G9499" s="41" t="n">
        <f aca="false">Sens!$G$9494+Sens!$G$9495-Sens!$G$9496</f>
        <v>0</v>
      </c>
      <c r="H9499" s="41" t="n">
        <f aca="false">Sens!$H$9494+Sens!$H$9495-Sens!$H$9496</f>
        <v>0</v>
      </c>
      <c r="I9499" s="41" t="n">
        <f aca="false">Sens!$I$9494+Sens!$I$9495-Sens!$I$9496</f>
        <v>0</v>
      </c>
      <c r="J9499" s="41" t="n">
        <f aca="false">Sens!$J$9494+Sens!$J$9495-Sens!$J$9496</f>
        <v>0</v>
      </c>
      <c r="K9499" s="41" t="n">
        <f aca="false">Sens!$K$9494+Sens!$K$9495-Sens!$K$9496</f>
        <v>0</v>
      </c>
      <c r="L9499" s="41" t="n">
        <f aca="false">Sens!$L$9494+Sens!$L$9495-Sens!$L$9496</f>
        <v>0</v>
      </c>
      <c r="M9499" s="41" t="n">
        <f aca="false">Sens!$M$9494+Sens!$M$9495-Sens!$M$9496</f>
        <v>0</v>
      </c>
      <c r="N9499" s="41" t="n">
        <f aca="false">Sens!$N$9494+Sens!$N$9495-Sens!$N$9496</f>
        <v>0</v>
      </c>
      <c r="O9499" s="41" t="n">
        <f aca="false">Sens!$O$9494+Sens!$O$9495-Sens!$O$9496</f>
        <v>0</v>
      </c>
    </row>
    <row r="9500" customFormat="false" ht="17.15" hidden="false" customHeight="false" outlineLevel="0" collapsed="false">
      <c r="A9500" s="24" t="s">
        <v>716</v>
      </c>
      <c r="B9500" s="25" t="s">
        <v>86</v>
      </c>
      <c r="C9500" s="41" t="n">
        <f aca="false">Sens!$C$9426+Sens!$C$9427+Sens!$C$9496-Sens!$C$9497</f>
        <v>0</v>
      </c>
      <c r="D9500" s="41" t="n">
        <f aca="false">Sens!$D$9426+Sens!$D$9427+Sens!$D$9496-Sens!$D$9497</f>
        <v>0</v>
      </c>
      <c r="E9500" s="41" t="n">
        <f aca="false">Sens!$E$9426+Sens!$E$9427+Sens!$E$9496-Sens!$E$9497</f>
        <v>0</v>
      </c>
      <c r="F9500" s="41" t="n">
        <f aca="false">Sens!$F$9426+Sens!$F$9427+Sens!$F$9496-Sens!$F$9497</f>
        <v>0</v>
      </c>
      <c r="G9500" s="41" t="n">
        <f aca="false">Sens!$G$9426+Sens!$G$9427+Sens!$G$9496-Sens!$G$9497</f>
        <v>0</v>
      </c>
      <c r="H9500" s="41" t="n">
        <f aca="false">Sens!$H$9426+Sens!$H$9427+Sens!$H$9496-Sens!$H$9497</f>
        <v>0</v>
      </c>
      <c r="I9500" s="41" t="n">
        <f aca="false">Sens!$I$9426+Sens!$I$9427+Sens!$I$9496-Sens!$I$9497</f>
        <v>0</v>
      </c>
      <c r="J9500" s="41" t="n">
        <f aca="false">Sens!$J$9426+Sens!$J$9427+Sens!$J$9496-Sens!$J$9497</f>
        <v>0</v>
      </c>
      <c r="K9500" s="41" t="n">
        <f aca="false">Sens!$K$9426+Sens!$K$9427+Sens!$K$9496-Sens!$K$9497</f>
        <v>0</v>
      </c>
      <c r="L9500" s="41" t="n">
        <f aca="false">Sens!$L$9426+Sens!$L$9427+Sens!$L$9496-Sens!$L$9497</f>
        <v>0</v>
      </c>
      <c r="M9500" s="41" t="n">
        <f aca="false">Sens!$M$9426+Sens!$M$9427+Sens!$M$9496-Sens!$M$9497</f>
        <v>0</v>
      </c>
      <c r="N9500" s="41" t="n">
        <f aca="false">Sens!$N$9426+Sens!$N$9427+Sens!$N$9496-Sens!$N$9497</f>
        <v>0</v>
      </c>
      <c r="O9500" s="41" t="n">
        <f aca="false">Sens!$O$9426+Sens!$O$9427+Sens!$O$9496-Sens!$O$9497</f>
        <v>0</v>
      </c>
    </row>
    <row r="9501" customFormat="false" ht="15" hidden="false" customHeight="false" outlineLevel="0" collapsed="false">
      <c r="A9501" s="5" t="s">
        <v>710</v>
      </c>
      <c r="B9501" s="0" t="s">
        <v>52</v>
      </c>
      <c r="G9501" s="13" t="n">
        <f aca="false">Sens!$G$9497/Sens!$D$9497-1</f>
        <v>0.140854504918937</v>
      </c>
      <c r="H9501" s="13" t="n">
        <f aca="false">Sens!$H$9497/Sens!$G$9497-1</f>
        <v>0.152063789793209</v>
      </c>
      <c r="I9501" s="13" t="n">
        <f aca="false">Sens!$I$9497/Sens!$H$9497-1</f>
        <v>0.134273264437417</v>
      </c>
      <c r="J9501" s="13" t="n">
        <f aca="false">Sens!$J$9497/Sens!$I$9497-1</f>
        <v>0.113310421234083</v>
      </c>
      <c r="K9501" s="13" t="n">
        <f aca="false">Sens!$K$9497/Sens!$J$9497-1</f>
        <v>0.0889704781158034</v>
      </c>
      <c r="L9501" s="13" t="n">
        <f aca="false">Sens!$L$9497/Sens!$K$9497-1</f>
        <v>0.0758313397147494</v>
      </c>
      <c r="M9501" s="13" t="n">
        <f aca="false">Sens!$M$9497/Sens!$L$9497-1</f>
        <v>0.0652872220853238</v>
      </c>
    </row>
    <row r="9502" customFormat="false" ht="17.15" hidden="false" customHeight="false" outlineLevel="0" collapsed="false">
      <c r="A9502" s="0" t="s">
        <v>711</v>
      </c>
      <c r="B9502" s="0" t="s">
        <v>52</v>
      </c>
      <c r="C9502" s="13" t="n">
        <f aca="false">Sens!$C$9496/Sens!$C$9497</f>
        <v>0.168593906504964</v>
      </c>
      <c r="D9502" s="13" t="n">
        <f aca="false">Sens!$D$9496/Sens!$D$9497</f>
        <v>0.179551807444025</v>
      </c>
      <c r="E9502" s="13" t="n">
        <f aca="false">Sens!$E$9496/Sens!$E$9497</f>
        <v>0.208881910369643</v>
      </c>
      <c r="F9502" s="13" t="n">
        <f aca="false">Sens!$F$9496/Sens!$F$9497</f>
        <v>0.199028269699356</v>
      </c>
      <c r="G9502" s="13" t="n">
        <f aca="false">Sens!$G$9496/Sens!$G$9497</f>
        <v>0.203631882529968</v>
      </c>
      <c r="H9502" s="13" t="n">
        <f aca="false">Sens!$H$9496/Sens!$H$9497</f>
        <v>0.234731715958496</v>
      </c>
      <c r="I9502" s="13" t="n">
        <f aca="false">Sens!$I$9496/Sens!$I$9497</f>
        <v>0.262231204480418</v>
      </c>
      <c r="J9502" s="13" t="n">
        <f aca="false">Sens!$J$9496/Sens!$J$9497</f>
        <v>0.284728366013706</v>
      </c>
      <c r="K9502" s="13" t="n">
        <f aca="false">Sens!$K$9496/Sens!$K$9497</f>
        <v>0.300668983550877</v>
      </c>
      <c r="L9502" s="13" t="n">
        <f aca="false">Sens!$L$9496/Sens!$L$9497</f>
        <v>0.307698873306092</v>
      </c>
      <c r="M9502" s="13" t="n">
        <f aca="false">Sens!$M$9496/Sens!$M$9497</f>
        <v>0.30766752519293</v>
      </c>
      <c r="N9502" s="13" t="n">
        <f aca="false">Sens!$N$9496/Sens!$N$9497</f>
        <v>0.185979484737251</v>
      </c>
      <c r="O9502" s="13" t="n">
        <f aca="false">Sens!$O$9496/Sens!$O$9497</f>
        <v>0.174270432341096</v>
      </c>
    </row>
    <row r="9503" customFormat="false" ht="17.15" hidden="false" customHeight="false" outlineLevel="0" collapsed="false">
      <c r="A9503" s="0" t="s">
        <v>712</v>
      </c>
      <c r="B9503" s="0" t="s">
        <v>52</v>
      </c>
      <c r="C9503" s="13" t="n">
        <f aca="false">Sens!$C$9494/Sens!$C$9496</f>
        <v>0.0215795060896058</v>
      </c>
      <c r="D9503" s="13" t="n">
        <f aca="false">Sens!$D$9494/Sens!$D$9496</f>
        <v>0.0676152269462122</v>
      </c>
      <c r="E9503" s="13" t="n">
        <f aca="false">Sens!$E$9494/Sens!$E$9496</f>
        <v>0.106620641395783</v>
      </c>
      <c r="F9503" s="13" t="n">
        <f aca="false">Sens!$F$9494/Sens!$F$9496</f>
        <v>0.172523487401099</v>
      </c>
      <c r="G9503" s="13" t="n">
        <f aca="false">Sens!$G$9494/Sens!$G$9496</f>
        <v>0.140939911795589</v>
      </c>
      <c r="H9503" s="13" t="n">
        <f aca="false">Sens!$H$9494/Sens!$H$9496</f>
        <v>0.272018642937714</v>
      </c>
      <c r="I9503" s="13" t="n">
        <f aca="false">Sens!$I$9494/Sens!$I$9496</f>
        <v>0.362159512436497</v>
      </c>
      <c r="J9503" s="13" t="n">
        <f aca="false">Sens!$J$9494/Sens!$J$9496</f>
        <v>0.422151735934609</v>
      </c>
      <c r="K9503" s="13" t="n">
        <f aca="false">Sens!$K$9494/Sens!$K$9496</f>
        <v>0.45729531765871</v>
      </c>
      <c r="L9503" s="13" t="n">
        <f aca="false">Sens!$L$9494/Sens!$L$9496</f>
        <v>0.467639461055993</v>
      </c>
      <c r="M9503" s="13" t="n">
        <f aca="false">Sens!$M$9494/Sens!$M$9496</f>
        <v>0.460231990503268</v>
      </c>
      <c r="N9503" s="13" t="n">
        <f aca="false">Sens!$N$9494/Sens!$N$9496</f>
        <v>0.0506537999838362</v>
      </c>
      <c r="O9503" s="13" t="n">
        <f aca="false">Sens!$O$9494/Sens!$O$9496</f>
        <v>0.0824881615167056</v>
      </c>
    </row>
    <row r="9506" customFormat="false" ht="19.4" hidden="false" customHeight="false" outlineLevel="0" collapsed="false">
      <c r="A9506" s="31" t="s">
        <v>1344</v>
      </c>
    </row>
    <row r="9507" customFormat="false" ht="17.15" hidden="false" customHeight="false" outlineLevel="0" collapsed="false">
      <c r="A9507" s="6" t="s">
        <v>16</v>
      </c>
      <c r="B9507" s="6" t="s">
        <v>17</v>
      </c>
      <c r="C9507" s="20" t="s">
        <v>504</v>
      </c>
      <c r="D9507" s="20" t="s">
        <v>505</v>
      </c>
      <c r="E9507" s="20" t="s">
        <v>587</v>
      </c>
      <c r="F9507" s="20" t="s">
        <v>588</v>
      </c>
      <c r="G9507" s="20" t="s">
        <v>589</v>
      </c>
      <c r="H9507" s="20" t="s">
        <v>590</v>
      </c>
      <c r="I9507" s="20" t="s">
        <v>591</v>
      </c>
      <c r="J9507" s="20" t="s">
        <v>592</v>
      </c>
      <c r="K9507" s="20" t="s">
        <v>593</v>
      </c>
      <c r="L9507" s="20" t="s">
        <v>594</v>
      </c>
      <c r="M9507" s="20" t="s">
        <v>595</v>
      </c>
      <c r="N9507" s="20" t="s">
        <v>596</v>
      </c>
      <c r="O9507" s="20" t="s">
        <v>597</v>
      </c>
      <c r="P9507" s="6" t="s">
        <v>23</v>
      </c>
      <c r="R9507" s="20" t="n">
        <v>2023</v>
      </c>
      <c r="S9507" s="20" t="n">
        <v>2024</v>
      </c>
      <c r="T9507" s="20" t="n">
        <v>2025</v>
      </c>
      <c r="U9507" s="20" t="n">
        <v>2026</v>
      </c>
      <c r="V9507" s="20" t="n">
        <v>2027</v>
      </c>
      <c r="W9507" s="20" t="n">
        <v>2028</v>
      </c>
      <c r="X9507" s="20" t="n">
        <v>2029</v>
      </c>
      <c r="Y9507" s="20" t="n">
        <v>2030</v>
      </c>
      <c r="Z9507" s="20" t="n">
        <v>2031</v>
      </c>
      <c r="AA9507" s="20" t="n">
        <v>2032</v>
      </c>
    </row>
    <row r="9508" customFormat="false" ht="17.15" hidden="false" customHeight="false" outlineLevel="0" collapsed="false">
      <c r="A9508" s="1" t="s">
        <v>727</v>
      </c>
    </row>
    <row r="9509" customFormat="false" ht="15" hidden="false" customHeight="false" outlineLevel="0" collapsed="false">
      <c r="A9509" s="0" t="s">
        <v>526</v>
      </c>
      <c r="B9509" s="0" t="s">
        <v>86</v>
      </c>
      <c r="C9509" s="38" t="n">
        <f aca="false">Sens!$C$9411</f>
        <v>247.029</v>
      </c>
      <c r="D9509" s="38" t="n">
        <f aca="false">Sens!$D$9411</f>
        <v>269.287</v>
      </c>
      <c r="E9509" s="38" t="n">
        <f aca="false">Sens!$E$9411</f>
        <v>134.686</v>
      </c>
      <c r="F9509" s="38" t="n">
        <f aca="false">Sens!$F$9411</f>
        <v>158.293876822267</v>
      </c>
      <c r="G9509" s="38" t="n">
        <f aca="false">Sens!$G$9411</f>
        <v>292.979876822267</v>
      </c>
      <c r="H9509" s="38" t="n">
        <f aca="false">Sens!$H$9411</f>
        <v>318.184543087396</v>
      </c>
      <c r="I9509" s="38" t="n">
        <f aca="false">Sens!$I$9411</f>
        <v>341.736278761793</v>
      </c>
      <c r="J9509" s="38" t="n">
        <f aca="false">Sens!$J$9411</f>
        <v>362.927192787048</v>
      </c>
      <c r="K9509" s="38" t="n">
        <f aca="false">Sens!$K$9411</f>
        <v>381.0735524264</v>
      </c>
      <c r="L9509" s="38" t="n">
        <f aca="false">Sens!$L$9411</f>
        <v>400.12723004772</v>
      </c>
      <c r="M9509" s="38" t="n">
        <f aca="false">Sens!$M$9411</f>
        <v>420.133591550106</v>
      </c>
      <c r="N9509" s="38" t="n">
        <f aca="false">Sens!$N$9411</f>
        <v>118.892</v>
      </c>
      <c r="O9509" s="38" t="n">
        <f aca="false">Sens!$O$9411</f>
        <v>150.395</v>
      </c>
    </row>
    <row r="9510" customFormat="false" ht="15" hidden="false" customHeight="false" outlineLevel="0" collapsed="false">
      <c r="A9510" s="0" t="s">
        <v>527</v>
      </c>
      <c r="B9510" s="0" t="s">
        <v>86</v>
      </c>
      <c r="C9510" s="38" t="n">
        <f aca="false">Sens!$C$9413</f>
        <v>21.215</v>
      </c>
      <c r="D9510" s="38" t="n">
        <f aca="false">Sens!$D$9413</f>
        <v>22.561</v>
      </c>
      <c r="E9510" s="38" t="n">
        <f aca="false">Sens!$E$9413</f>
        <v>11.579</v>
      </c>
      <c r="F9510" s="38" t="n">
        <f aca="false">Sens!$F$9413</f>
        <v>11.5938724610325</v>
      </c>
      <c r="G9510" s="38" t="n">
        <f aca="false">Sens!$G$9413</f>
        <v>23.1728724610325</v>
      </c>
      <c r="H9510" s="38" t="n">
        <f aca="false">Sens!$H$9413</f>
        <v>24.353392759506</v>
      </c>
      <c r="I9510" s="38" t="n">
        <f aca="false">Sens!$I$9413</f>
        <v>25.4240338872015</v>
      </c>
      <c r="J9510" s="38" t="n">
        <f aca="false">Sens!$J$9413</f>
        <v>26.3642491017174</v>
      </c>
      <c r="K9510" s="38" t="n">
        <f aca="false">Sens!$K$9413</f>
        <v>27.155176574769</v>
      </c>
      <c r="L9510" s="38" t="n">
        <f aca="false">Sens!$L$9413</f>
        <v>27.969831872012</v>
      </c>
      <c r="M9510" s="38" t="n">
        <f aca="false">Sens!$M$9413</f>
        <v>28.8089268281724</v>
      </c>
      <c r="N9510" s="38" t="n">
        <f aca="false">Sens!$N$9413</f>
        <v>11.128</v>
      </c>
      <c r="O9510" s="38" t="n">
        <f aca="false">Sens!$O$9413</f>
        <v>11.433</v>
      </c>
    </row>
    <row r="9511" customFormat="false" ht="15" hidden="false" customHeight="false" outlineLevel="0" collapsed="false">
      <c r="A9511" s="0" t="s">
        <v>528</v>
      </c>
      <c r="B9511" s="0" t="s">
        <v>86</v>
      </c>
      <c r="C9511" s="38" t="n">
        <f aca="false">Sens!$C$9415</f>
        <v>156.146</v>
      </c>
      <c r="D9511" s="38" t="n">
        <f aca="false">Sens!$D$9415</f>
        <v>172.162</v>
      </c>
      <c r="E9511" s="38" t="n">
        <f aca="false">Sens!$E$9415</f>
        <v>88.358</v>
      </c>
      <c r="F9511" s="38" t="n">
        <f aca="false">Sens!$F$9415</f>
        <v>102.004388260171</v>
      </c>
      <c r="G9511" s="38" t="n">
        <f aca="false">Sens!$G$9415</f>
        <v>190.362388260171</v>
      </c>
      <c r="H9511" s="38" t="n">
        <f aca="false">Sens!$H$9415</f>
        <v>210.343106588311</v>
      </c>
      <c r="I9511" s="38" t="n">
        <f aca="false">Sens!$I$9415</f>
        <v>229.969728494648</v>
      </c>
      <c r="J9511" s="38" t="n">
        <f aca="false">Sens!$J$9415</f>
        <v>248.747636972598</v>
      </c>
      <c r="K9511" s="38" t="n">
        <f aca="false">Sens!$K$9415</f>
        <v>266.15997156068</v>
      </c>
      <c r="L9511" s="38" t="n">
        <f aca="false">Sens!$L$9415</f>
        <v>284.791169569927</v>
      </c>
      <c r="M9511" s="38" t="n">
        <f aca="false">Sens!$M$9415</f>
        <v>304.726551439822</v>
      </c>
      <c r="N9511" s="38" t="n">
        <f aca="false">Sens!$N$9415</f>
        <v>76.86</v>
      </c>
      <c r="O9511" s="38" t="n">
        <f aca="false">Sens!$O$9415</f>
        <v>95.302</v>
      </c>
    </row>
    <row r="9512" customFormat="false" ht="15" hidden="false" customHeight="false" outlineLevel="0" collapsed="false">
      <c r="A9512" s="0" t="s">
        <v>529</v>
      </c>
      <c r="B9512" s="0" t="s">
        <v>86</v>
      </c>
      <c r="C9512" s="38" t="n">
        <f aca="false">Sens!$C$9417</f>
        <v>56.214</v>
      </c>
      <c r="D9512" s="38" t="n">
        <f aca="false">Sens!$D$9417</f>
        <v>68.635</v>
      </c>
      <c r="E9512" s="38" t="n">
        <f aca="false">Sens!$E$9417</f>
        <v>37.052</v>
      </c>
      <c r="F9512" s="38" t="n">
        <f aca="false">Sens!$F$9417</f>
        <v>46.1572219944148</v>
      </c>
      <c r="G9512" s="38" t="n">
        <f aca="false">Sens!$G$9417</f>
        <v>83.2092219944148</v>
      </c>
      <c r="H9512" s="38" t="n">
        <f aca="false">Sens!$H$9417</f>
        <v>99.8969223878976</v>
      </c>
      <c r="I9512" s="38" t="n">
        <f aca="false">Sens!$I$9417</f>
        <v>116.583111095496</v>
      </c>
      <c r="J9512" s="38" t="n">
        <f aca="false">Sens!$J$9417</f>
        <v>132.148941941952</v>
      </c>
      <c r="K9512" s="38" t="n">
        <f aca="false">Sens!$K$9417</f>
        <v>145.363836136147</v>
      </c>
      <c r="L9512" s="38" t="n">
        <f aca="false">Sens!$L$9417</f>
        <v>159.900219749762</v>
      </c>
      <c r="M9512" s="38" t="n">
        <f aca="false">Sens!$M$9417</f>
        <v>175.890241724738</v>
      </c>
      <c r="N9512" s="38" t="n">
        <f aca="false">Sens!$N$9417</f>
        <v>29.615</v>
      </c>
      <c r="O9512" s="38" t="n">
        <f aca="false">Sens!$O$9417</f>
        <v>39.02</v>
      </c>
    </row>
    <row r="9513" customFormat="false" ht="15" hidden="false" customHeight="false" outlineLevel="0" collapsed="false">
      <c r="A9513" s="0" t="s">
        <v>530</v>
      </c>
      <c r="B9513" s="0" t="s">
        <v>86</v>
      </c>
      <c r="C9513" s="38" t="n">
        <f aca="false">Sens!$C$9419</f>
        <v>44.374</v>
      </c>
      <c r="D9513" s="38" t="n">
        <f aca="false">Sens!$D$9419</f>
        <v>49.619</v>
      </c>
      <c r="E9513" s="38" t="n">
        <f aca="false">Sens!$E$9419</f>
        <v>27.157</v>
      </c>
      <c r="F9513" s="38" t="n">
        <f aca="false">Sens!$F$9419</f>
        <v>27.7764165988154</v>
      </c>
      <c r="G9513" s="38" t="n">
        <f aca="false">Sens!$G$9419</f>
        <v>54.9334165988154</v>
      </c>
      <c r="H9513" s="38" t="n">
        <f aca="false">Sens!$H$9419</f>
        <v>61.1564112561829</v>
      </c>
      <c r="I9513" s="38" t="n">
        <f aca="false">Sens!$I$9419</f>
        <v>67.2020282103945</v>
      </c>
      <c r="J9513" s="38" t="n">
        <f aca="false">Sens!$J$9419</f>
        <v>72.8757274028885</v>
      </c>
      <c r="K9513" s="38" t="n">
        <f aca="false">Sens!$K$9419</f>
        <v>77.9770283210907</v>
      </c>
      <c r="L9513" s="38" t="n">
        <f aca="false">Sens!$L$9419</f>
        <v>83.4354203035671</v>
      </c>
      <c r="M9513" s="38" t="n">
        <f aca="false">Sens!$M$9419</f>
        <v>89.2758997248168</v>
      </c>
      <c r="N9513" s="38" t="n">
        <f aca="false">Sens!$N$9419</f>
        <v>23.923</v>
      </c>
      <c r="O9513" s="38" t="n">
        <f aca="false">Sens!$O$9419</f>
        <v>25.696</v>
      </c>
    </row>
    <row r="9514" customFormat="false" ht="15" hidden="false" customHeight="false" outlineLevel="0" collapsed="false">
      <c r="A9514" s="0" t="s">
        <v>531</v>
      </c>
      <c r="B9514" s="0" t="s">
        <v>86</v>
      </c>
      <c r="C9514" s="38" t="n">
        <f aca="false">Sens!$C$9421</f>
        <v>5.425</v>
      </c>
      <c r="D9514" s="38" t="n">
        <f aca="false">Sens!$D$9421</f>
        <v>5.935</v>
      </c>
      <c r="E9514" s="38" t="n">
        <f aca="false">Sens!$E$9421</f>
        <v>3.474</v>
      </c>
      <c r="F9514" s="38" t="n">
        <f aca="false">Sens!$F$9421</f>
        <v>3.22246550883619</v>
      </c>
      <c r="G9514" s="38" t="n">
        <f aca="false">Sens!$G$9421</f>
        <v>6.69646550883619</v>
      </c>
      <c r="H9514" s="38" t="n">
        <f aca="false">Sens!$H$9421</f>
        <v>7.16251344209196</v>
      </c>
      <c r="I9514" s="38" t="n">
        <f aca="false">Sens!$I$9421</f>
        <v>7.61421070299826</v>
      </c>
      <c r="J9514" s="38" t="n">
        <f aca="false">Sens!$J$9421</f>
        <v>8.04465753523932</v>
      </c>
      <c r="K9514" s="38" t="n">
        <f aca="false">Sens!$K$9421</f>
        <v>8.44689041200128</v>
      </c>
      <c r="L9514" s="38" t="n">
        <f aca="false">Sens!$L$9421</f>
        <v>8.86923493260135</v>
      </c>
      <c r="M9514" s="38" t="n">
        <f aca="false">Sens!$M$9421</f>
        <v>9.31269667923142</v>
      </c>
      <c r="N9514" s="38" t="n">
        <f aca="false">Sens!$N$9421</f>
        <v>2.811</v>
      </c>
      <c r="O9514" s="38" t="n">
        <f aca="false">Sens!$O$9421</f>
        <v>3.124</v>
      </c>
    </row>
    <row r="9515" customFormat="false" ht="17.15" hidden="false" customHeight="false" outlineLevel="0" collapsed="false">
      <c r="A9515" s="0" t="s">
        <v>728</v>
      </c>
      <c r="B9515" s="0" t="s">
        <v>86</v>
      </c>
      <c r="C9515" s="38" t="n">
        <f aca="false">Sens!$C$9496</f>
        <v>107.556</v>
      </c>
      <c r="D9515" s="38" t="n">
        <f aca="false">Sens!$D$9496</f>
        <v>128.725</v>
      </c>
      <c r="E9515" s="38" t="n">
        <f aca="false">Sens!$E$9496</f>
        <v>79.819</v>
      </c>
      <c r="F9515" s="38" t="n">
        <f aca="false">Sens!$F$9496</f>
        <v>86.7327334389669</v>
      </c>
      <c r="G9515" s="38" t="n">
        <f aca="false">Sens!$G$9496</f>
        <v>166.551733438967</v>
      </c>
      <c r="H9515" s="38" t="n">
        <f aca="false">Sens!$H$9496</f>
        <v>221.182967828978</v>
      </c>
      <c r="I9515" s="38" t="n">
        <f aca="false">Sens!$I$9496</f>
        <v>280.27345865789</v>
      </c>
      <c r="J9515" s="38" t="n">
        <f aca="false">Sens!$J$9496</f>
        <v>338.800945197185</v>
      </c>
      <c r="K9515" s="38" t="n">
        <f aca="false">Sens!$K$9496</f>
        <v>389.599699375015</v>
      </c>
      <c r="L9515" s="38" t="n">
        <f aca="false">Sens!$L$9496</f>
        <v>428.943490119887</v>
      </c>
      <c r="M9515" s="38" t="n">
        <f aca="false">Sens!$M$9496</f>
        <v>456.901465525587</v>
      </c>
      <c r="N9515" s="38" t="n">
        <f aca="false">Sens!$N$9496</f>
        <v>60.14</v>
      </c>
      <c r="O9515" s="38" t="n">
        <f aca="false">Sens!$O$9496</f>
        <v>68.585</v>
      </c>
    </row>
    <row r="9516" customFormat="false" ht="15" hidden="false" customHeight="false" outlineLevel="0" collapsed="false">
      <c r="A9516" s="1" t="s">
        <v>519</v>
      </c>
      <c r="B9516" s="8" t="s">
        <v>86</v>
      </c>
      <c r="C9516" s="38" t="n">
        <f aca="false">Sens!$C$9426</f>
        <v>387.497</v>
      </c>
      <c r="D9516" s="38" t="n">
        <f aca="false">Sens!$D$9426</f>
        <v>426.305</v>
      </c>
      <c r="E9516" s="38" t="n">
        <f aca="false">Sens!$E$9426</f>
        <v>220.32</v>
      </c>
      <c r="F9516" s="38" t="n">
        <f aca="false">Sens!$F$9426</f>
        <v>250.639773480586</v>
      </c>
      <c r="G9516" s="38" t="n">
        <f aca="false">Sens!$G$9426</f>
        <v>470.959773480586</v>
      </c>
      <c r="H9516" s="38" t="n">
        <f aca="false">Sens!$H$9426</f>
        <v>521.386990416437</v>
      </c>
      <c r="I9516" s="38" t="n">
        <f aca="false">Sens!$I$9426</f>
        <v>570.143862887555</v>
      </c>
      <c r="J9516" s="38" t="n">
        <f aca="false">Sens!$J$9426</f>
        <v>615.391435791933</v>
      </c>
      <c r="K9516" s="38" t="n">
        <f aca="false">Sens!$K$9426</f>
        <v>655.208227561543</v>
      </c>
      <c r="L9516" s="38" t="n">
        <f aca="false">Sens!$L$9426</f>
        <v>697.807739249767</v>
      </c>
      <c r="M9516" s="38" t="n">
        <f aca="false">Sens!$M$9426</f>
        <v>743.399328463592</v>
      </c>
      <c r="N9516" s="38" t="n">
        <f aca="false">Sens!$N$9426</f>
        <v>192.955</v>
      </c>
      <c r="O9516" s="38" t="n">
        <f aca="false">Sens!$O$9426</f>
        <v>233.35</v>
      </c>
    </row>
    <row r="9517" customFormat="false" ht="15" hidden="false" customHeight="false" outlineLevel="0" collapsed="false">
      <c r="A9517" s="1" t="s">
        <v>522</v>
      </c>
      <c r="B9517" s="8" t="s">
        <v>86</v>
      </c>
      <c r="C9517" s="38" t="n">
        <f aca="false">Sens!$C$9427</f>
        <v>142.906</v>
      </c>
      <c r="D9517" s="38" t="n">
        <f aca="false">Sens!$D$9427</f>
        <v>161.894</v>
      </c>
      <c r="E9517" s="38" t="n">
        <f aca="false">Sens!$E$9427</f>
        <v>81.986</v>
      </c>
      <c r="F9517" s="38" t="n">
        <f aca="false">Sens!$F$9427</f>
        <v>98.408468164951</v>
      </c>
      <c r="G9517" s="38" t="n">
        <f aca="false">Sens!$G$9427</f>
        <v>180.394468164951</v>
      </c>
      <c r="H9517" s="38" t="n">
        <f aca="false">Sens!$H$9427</f>
        <v>199.709899104949</v>
      </c>
      <c r="I9517" s="38" t="n">
        <f aca="false">Sens!$I$9427</f>
        <v>218.385528264976</v>
      </c>
      <c r="J9517" s="38" t="n">
        <f aca="false">Sens!$J$9427</f>
        <v>235.71696994951</v>
      </c>
      <c r="K9517" s="38" t="n">
        <f aca="false">Sens!$K$9427</f>
        <v>250.968227869545</v>
      </c>
      <c r="L9517" s="38" t="n">
        <f aca="false">Sens!$L$9427</f>
        <v>267.285367225822</v>
      </c>
      <c r="M9517" s="38" t="n">
        <f aca="false">Sens!$M$9427</f>
        <v>284.748579483295</v>
      </c>
      <c r="N9517" s="38" t="n">
        <f aca="false">Sens!$N$9427</f>
        <v>70.274</v>
      </c>
      <c r="O9517" s="38" t="n">
        <f aca="false">Sens!$O$9427</f>
        <v>91.62</v>
      </c>
    </row>
    <row r="9518" customFormat="false" ht="15" hidden="false" customHeight="false" outlineLevel="0" collapsed="false">
      <c r="A9518" s="1" t="s">
        <v>523</v>
      </c>
      <c r="B9518" s="8" t="s">
        <v>86</v>
      </c>
      <c r="C9518" s="38" t="n">
        <f aca="false">Sens!$C$9496</f>
        <v>107.556</v>
      </c>
      <c r="D9518" s="38" t="n">
        <f aca="false">Sens!$D$9496</f>
        <v>128.725</v>
      </c>
      <c r="E9518" s="38" t="n">
        <f aca="false">Sens!$E$9496</f>
        <v>79.819</v>
      </c>
      <c r="F9518" s="38" t="n">
        <f aca="false">Sens!$F$9496</f>
        <v>86.7327334389669</v>
      </c>
      <c r="G9518" s="38" t="n">
        <f aca="false">Sens!$G$9496</f>
        <v>166.551733438967</v>
      </c>
      <c r="H9518" s="38" t="n">
        <f aca="false">Sens!$H$9496</f>
        <v>221.182967828978</v>
      </c>
      <c r="I9518" s="38" t="n">
        <f aca="false">Sens!$I$9496</f>
        <v>280.27345865789</v>
      </c>
      <c r="J9518" s="38" t="n">
        <f aca="false">Sens!$J$9496</f>
        <v>338.800945197185</v>
      </c>
      <c r="K9518" s="38" t="n">
        <f aca="false">Sens!$K$9496</f>
        <v>389.599699375015</v>
      </c>
      <c r="L9518" s="38" t="n">
        <f aca="false">Sens!$L$9496</f>
        <v>428.943490119887</v>
      </c>
      <c r="M9518" s="38" t="n">
        <f aca="false">Sens!$M$9496</f>
        <v>456.901465525587</v>
      </c>
      <c r="N9518" s="38" t="n">
        <f aca="false">Sens!$N$9496</f>
        <v>60.14</v>
      </c>
      <c r="O9518" s="38" t="n">
        <f aca="false">Sens!$O$9496</f>
        <v>68.585</v>
      </c>
    </row>
    <row r="9519" customFormat="false" ht="17.15" hidden="false" customHeight="false" outlineLevel="0" collapsed="false">
      <c r="A9519" s="0" t="s">
        <v>702</v>
      </c>
      <c r="B9519" s="0" t="s">
        <v>86</v>
      </c>
      <c r="C9519" s="38" t="n">
        <f aca="false">Sens!$C$9494</f>
        <v>2.32100535697364</v>
      </c>
      <c r="D9519" s="38" t="n">
        <f aca="false">Sens!$D$9494</f>
        <v>8.70377008865116</v>
      </c>
      <c r="E9519" s="38" t="n">
        <f aca="false">Sens!$E$9494</f>
        <v>8.51035297557002</v>
      </c>
      <c r="F9519" s="38" t="n">
        <f aca="false">Sens!$F$9494</f>
        <v>14.9634336447205</v>
      </c>
      <c r="G9519" s="38" t="n">
        <f aca="false">Sens!$G$9494</f>
        <v>23.4737866202905</v>
      </c>
      <c r="H9519" s="38" t="n">
        <f aca="false">Sens!$H$9494</f>
        <v>60.1658907497746</v>
      </c>
      <c r="I9519" s="38" t="n">
        <f aca="false">Sens!$I$9494</f>
        <v>101.503699136432</v>
      </c>
      <c r="J9519" s="38" t="n">
        <f aca="false">Sens!$J$9494</f>
        <v>143.025407151278</v>
      </c>
      <c r="K9519" s="38" t="n">
        <f aca="false">Sens!$K$9494</f>
        <v>178.162118285436</v>
      </c>
      <c r="L9519" s="38" t="n">
        <f aca="false">Sens!$L$9494</f>
        <v>200.590902543141</v>
      </c>
      <c r="M9519" s="38" t="n">
        <f aca="false">Sens!$M$9494</f>
        <v>210.280670942702</v>
      </c>
      <c r="N9519" s="38" t="n">
        <f aca="false">Sens!$N$9494</f>
        <v>3.04631953102791</v>
      </c>
      <c r="O9519" s="38" t="n">
        <f aca="false">Sens!$O$9494</f>
        <v>5.65745055762326</v>
      </c>
    </row>
    <row r="9520" customFormat="false" ht="17.15" hidden="false" customHeight="false" outlineLevel="0" collapsed="false">
      <c r="A9520" s="0" t="s">
        <v>704</v>
      </c>
      <c r="B9520" s="0" t="s">
        <v>86</v>
      </c>
      <c r="C9520" s="38" t="n">
        <f aca="false">Sens!$C$9495</f>
        <v>105.234994643026</v>
      </c>
      <c r="D9520" s="38" t="n">
        <f aca="false">Sens!$D$9495</f>
        <v>120.021229911349</v>
      </c>
      <c r="E9520" s="38" t="n">
        <f aca="false">Sens!$E$9495</f>
        <v>71.30864702443</v>
      </c>
      <c r="F9520" s="38" t="n">
        <f aca="false">Sens!$F$9495</f>
        <v>71.7692997942464</v>
      </c>
      <c r="G9520" s="38" t="n">
        <f aca="false">Sens!$G$9495</f>
        <v>143.077946818676</v>
      </c>
      <c r="H9520" s="38" t="n">
        <f aca="false">Sens!$H$9495</f>
        <v>161.017077079203</v>
      </c>
      <c r="I9520" s="38" t="n">
        <f aca="false">Sens!$I$9495</f>
        <v>178.769759521457</v>
      </c>
      <c r="J9520" s="38" t="n">
        <f aca="false">Sens!$J$9495</f>
        <v>195.775538045907</v>
      </c>
      <c r="K9520" s="38" t="n">
        <f aca="false">Sens!$K$9495</f>
        <v>211.43758108958</v>
      </c>
      <c r="L9520" s="38" t="n">
        <f aca="false">Sens!$L$9495</f>
        <v>228.352587576746</v>
      </c>
      <c r="M9520" s="38" t="n">
        <f aca="false">Sens!$M$9495</f>
        <v>246.620794582886</v>
      </c>
      <c r="N9520" s="38" t="n">
        <f aca="false">Sens!$N$9495</f>
        <v>57.0936804689721</v>
      </c>
      <c r="O9520" s="38" t="n">
        <f aca="false">Sens!$O$9495</f>
        <v>62.9275494423768</v>
      </c>
    </row>
    <row r="9521" customFormat="false" ht="15" hidden="false" customHeight="false" outlineLevel="0" collapsed="false">
      <c r="A9521" s="3" t="s">
        <v>524</v>
      </c>
      <c r="B9521" s="8" t="s">
        <v>86</v>
      </c>
      <c r="C9521" s="38" t="n">
        <f aca="false">Sens!$C$9497</f>
        <v>637.959</v>
      </c>
      <c r="D9521" s="38" t="n">
        <f aca="false">Sens!$D$9497</f>
        <v>716.924</v>
      </c>
      <c r="E9521" s="38" t="n">
        <f aca="false">Sens!$E$9497</f>
        <v>382.125</v>
      </c>
      <c r="F9521" s="38" t="n">
        <f aca="false">Sens!$F$9497</f>
        <v>435.780975084504</v>
      </c>
      <c r="G9521" s="38" t="n">
        <f aca="false">Sens!$G$9497</f>
        <v>817.905975084504</v>
      </c>
      <c r="H9521" s="38" t="n">
        <f aca="false">Sens!$H$9497</f>
        <v>942.279857350364</v>
      </c>
      <c r="I9521" s="38" t="n">
        <f aca="false">Sens!$I$9497</f>
        <v>1068.80284981042</v>
      </c>
      <c r="J9521" s="38" t="n">
        <f aca="false">Sens!$J$9497</f>
        <v>1189.90935093863</v>
      </c>
      <c r="K9521" s="38" t="n">
        <f aca="false">Sens!$K$9497</f>
        <v>1295.7761548061</v>
      </c>
      <c r="L9521" s="38" t="n">
        <f aca="false">Sens!$L$9497</f>
        <v>1394.03659659548</v>
      </c>
      <c r="M9521" s="38" t="n">
        <f aca="false">Sens!$M$9497</f>
        <v>1485.04937347247</v>
      </c>
      <c r="N9521" s="38" t="n">
        <f aca="false">Sens!$N$9497</f>
        <v>323.369</v>
      </c>
      <c r="O9521" s="38" t="n">
        <f aca="false">Sens!$O$9497</f>
        <v>393.555</v>
      </c>
    </row>
    <row r="9522" customFormat="false" ht="17.15" hidden="false" customHeight="false" outlineLevel="0" collapsed="false">
      <c r="A9522" s="24" t="s">
        <v>714</v>
      </c>
      <c r="B9522" s="25" t="s">
        <v>86</v>
      </c>
      <c r="C9522" s="41" t="n">
        <f aca="false">Sens!$C$9509+Sens!$C$9510+Sens!$C$9511+Sens!$C$9512+Sens!$C$9513+Sens!$C$9514-(Sens!$C$9516+Sens!$C$9517)</f>
        <v>0</v>
      </c>
      <c r="D9522" s="41" t="n">
        <f aca="false">Sens!$D$9509+Sens!$D$9510+Sens!$D$9511+Sens!$D$9512+Sens!$D$9513+Sens!$D$9514-(Sens!$D$9516+Sens!$D$9517)</f>
        <v>0</v>
      </c>
      <c r="E9522" s="41" t="n">
        <f aca="false">Sens!$E$9509+Sens!$E$9510+Sens!$E$9511+Sens!$E$9512+Sens!$E$9513+Sens!$E$9514-(Sens!$E$9516+Sens!$E$9517)</f>
        <v>0</v>
      </c>
      <c r="F9522" s="41" t="n">
        <f aca="false">Sens!$F$9509+Sens!$F$9510+Sens!$F$9511+Sens!$F$9512+Sens!$F$9513+Sens!$F$9514-(Sens!$F$9516+Sens!$F$9517)</f>
        <v>0</v>
      </c>
      <c r="G9522" s="41" t="n">
        <f aca="false">Sens!$G$9509+Sens!$G$9510+Sens!$G$9511+Sens!$G$9512+Sens!$G$9513+Sens!$G$9514-(Sens!$G$9516+Sens!$G$9517)</f>
        <v>0</v>
      </c>
      <c r="H9522" s="41" t="n">
        <f aca="false">Sens!$H$9509+Sens!$H$9510+Sens!$H$9511+Sens!$H$9512+Sens!$H$9513+Sens!$H$9514-(Sens!$H$9516+Sens!$H$9517)</f>
        <v>0</v>
      </c>
      <c r="I9522" s="41" t="n">
        <f aca="false">Sens!$I$9509+Sens!$I$9510+Sens!$I$9511+Sens!$I$9512+Sens!$I$9513+Sens!$I$9514-(Sens!$I$9516+Sens!$I$9517)</f>
        <v>0</v>
      </c>
      <c r="J9522" s="41" t="n">
        <f aca="false">Sens!$J$9509+Sens!$J$9510+Sens!$J$9511+Sens!$J$9512+Sens!$J$9513+Sens!$J$9514-(Sens!$J$9516+Sens!$J$9517)</f>
        <v>0</v>
      </c>
      <c r="K9522" s="41" t="n">
        <f aca="false">Sens!$K$9509+Sens!$K$9510+Sens!$K$9511+Sens!$K$9512+Sens!$K$9513+Sens!$K$9514-(Sens!$K$9516+Sens!$K$9517)</f>
        <v>0</v>
      </c>
      <c r="L9522" s="41" t="n">
        <f aca="false">Sens!$L$9509+Sens!$L$9510+Sens!$L$9511+Sens!$L$9512+Sens!$L$9513+Sens!$L$9514-(Sens!$L$9516+Sens!$L$9517)</f>
        <v>0</v>
      </c>
      <c r="M9522" s="41" t="n">
        <f aca="false">Sens!$M$9509+Sens!$M$9510+Sens!$M$9511+Sens!$M$9512+Sens!$M$9513+Sens!$M$9514-(Sens!$M$9516+Sens!$M$9517)</f>
        <v>0</v>
      </c>
      <c r="N9522" s="41" t="n">
        <f aca="false">Sens!$N$9509+Sens!$N$9510+Sens!$N$9511+Sens!$N$9512+Sens!$N$9513+Sens!$N$9514-(Sens!$N$9516+Sens!$N$9517)</f>
        <v>0</v>
      </c>
      <c r="O9522" s="41" t="n">
        <f aca="false">Sens!$O$9509+Sens!$O$9510+Sens!$O$9511+Sens!$O$9512+Sens!$O$9513+Sens!$O$9514-(Sens!$O$9516+Sens!$O$9517)</f>
        <v>0</v>
      </c>
    </row>
    <row r="9523" customFormat="false" ht="17.15" hidden="false" customHeight="false" outlineLevel="0" collapsed="false">
      <c r="A9523" s="24" t="s">
        <v>715</v>
      </c>
      <c r="B9523" s="25" t="s">
        <v>86</v>
      </c>
      <c r="C9523" s="41" t="n">
        <f aca="false">Sens!$C$9519+Sens!$C$9520-Sens!$C$9518</f>
        <v>0</v>
      </c>
      <c r="D9523" s="41" t="n">
        <f aca="false">Sens!$D$9519+Sens!$D$9520-Sens!$D$9518</f>
        <v>0</v>
      </c>
      <c r="E9523" s="41" t="n">
        <f aca="false">Sens!$E$9519+Sens!$E$9520-Sens!$E$9518</f>
        <v>0</v>
      </c>
      <c r="F9523" s="41" t="n">
        <f aca="false">Sens!$F$9519+Sens!$F$9520-Sens!$F$9518</f>
        <v>0</v>
      </c>
      <c r="G9523" s="41" t="n">
        <f aca="false">Sens!$G$9519+Sens!$G$9520-Sens!$G$9518</f>
        <v>0</v>
      </c>
      <c r="H9523" s="41" t="n">
        <f aca="false">Sens!$H$9519+Sens!$H$9520-Sens!$H$9518</f>
        <v>0</v>
      </c>
      <c r="I9523" s="41" t="n">
        <f aca="false">Sens!$I$9519+Sens!$I$9520-Sens!$I$9518</f>
        <v>0</v>
      </c>
      <c r="J9523" s="41" t="n">
        <f aca="false">Sens!$J$9519+Sens!$J$9520-Sens!$J$9518</f>
        <v>0</v>
      </c>
      <c r="K9523" s="41" t="n">
        <f aca="false">Sens!$K$9519+Sens!$K$9520-Sens!$K$9518</f>
        <v>0</v>
      </c>
      <c r="L9523" s="41" t="n">
        <f aca="false">Sens!$L$9519+Sens!$L$9520-Sens!$L$9518</f>
        <v>0</v>
      </c>
      <c r="M9523" s="41" t="n">
        <f aca="false">Sens!$M$9519+Sens!$M$9520-Sens!$M$9518</f>
        <v>0</v>
      </c>
      <c r="N9523" s="41" t="n">
        <f aca="false">Sens!$N$9519+Sens!$N$9520-Sens!$N$9518</f>
        <v>0</v>
      </c>
      <c r="O9523" s="41" t="n">
        <f aca="false">Sens!$O$9519+Sens!$O$9520-Sens!$O$9518</f>
        <v>0</v>
      </c>
    </row>
    <row r="9524" customFormat="false" ht="17.15" hidden="false" customHeight="false" outlineLevel="0" collapsed="false">
      <c r="A9524" s="24" t="s">
        <v>774</v>
      </c>
      <c r="B9524" s="25" t="s">
        <v>86</v>
      </c>
      <c r="C9524" s="41" t="n">
        <f aca="false">Sens!$C$9509+Sens!$C$9510+Sens!$C$9511+Sens!$C$9512+Sens!$C$9513+Sens!$C$9514+Sens!$C$9515-Sens!$C$9521</f>
        <v>0</v>
      </c>
      <c r="D9524" s="41" t="n">
        <f aca="false">Sens!$D$9509+Sens!$D$9510+Sens!$D$9511+Sens!$D$9512+Sens!$D$9513+Sens!$D$9514+Sens!$D$9515-Sens!$D$9521</f>
        <v>0</v>
      </c>
      <c r="E9524" s="41" t="n">
        <f aca="false">Sens!$E$9509+Sens!$E$9510+Sens!$E$9511+Sens!$E$9512+Sens!$E$9513+Sens!$E$9514+Sens!$E$9515-Sens!$E$9521</f>
        <v>0</v>
      </c>
      <c r="F9524" s="41" t="n">
        <f aca="false">Sens!$F$9509+Sens!$F$9510+Sens!$F$9511+Sens!$F$9512+Sens!$F$9513+Sens!$F$9514+Sens!$F$9515-Sens!$F$9521</f>
        <v>0</v>
      </c>
      <c r="G9524" s="41" t="n">
        <f aca="false">Sens!$G$9509+Sens!$G$9510+Sens!$G$9511+Sens!$G$9512+Sens!$G$9513+Sens!$G$9514+Sens!$G$9515-Sens!$G$9521</f>
        <v>0</v>
      </c>
      <c r="H9524" s="41" t="n">
        <f aca="false">Sens!$H$9509+Sens!$H$9510+Sens!$H$9511+Sens!$H$9512+Sens!$H$9513+Sens!$H$9514+Sens!$H$9515-Sens!$H$9521</f>
        <v>0</v>
      </c>
      <c r="I9524" s="41" t="n">
        <f aca="false">Sens!$I$9509+Sens!$I$9510+Sens!$I$9511+Sens!$I$9512+Sens!$I$9513+Sens!$I$9514+Sens!$I$9515-Sens!$I$9521</f>
        <v>0</v>
      </c>
      <c r="J9524" s="41" t="n">
        <f aca="false">Sens!$J$9509+Sens!$J$9510+Sens!$J$9511+Sens!$J$9512+Sens!$J$9513+Sens!$J$9514+Sens!$J$9515-Sens!$J$9521</f>
        <v>0</v>
      </c>
      <c r="K9524" s="41" t="n">
        <f aca="false">Sens!$K$9509+Sens!$K$9510+Sens!$K$9511+Sens!$K$9512+Sens!$K$9513+Sens!$K$9514+Sens!$K$9515-Sens!$K$9521</f>
        <v>0</v>
      </c>
      <c r="L9524" s="41" t="n">
        <f aca="false">Sens!$L$9509+Sens!$L$9510+Sens!$L$9511+Sens!$L$9512+Sens!$L$9513+Sens!$L$9514+Sens!$L$9515-Sens!$L$9521</f>
        <v>0</v>
      </c>
      <c r="M9524" s="41" t="n">
        <f aca="false">Sens!$M$9509+Sens!$M$9510+Sens!$M$9511+Sens!$M$9512+Sens!$M$9513+Sens!$M$9514+Sens!$M$9515-Sens!$M$9521</f>
        <v>0</v>
      </c>
      <c r="N9524" s="41" t="n">
        <f aca="false">Sens!$N$9509+Sens!$N$9510+Sens!$N$9511+Sens!$N$9512+Sens!$N$9513+Sens!$N$9514+Sens!$N$9515-Sens!$N$9521</f>
        <v>0</v>
      </c>
      <c r="O9524" s="41" t="n">
        <f aca="false">Sens!$O$9509+Sens!$O$9510+Sens!$O$9511+Sens!$O$9512+Sens!$O$9513+Sens!$O$9514+Sens!$O$9515-Sens!$O$9521</f>
        <v>0</v>
      </c>
    </row>
    <row r="9525" customFormat="false" ht="17.15" hidden="false" customHeight="false" outlineLevel="0" collapsed="false">
      <c r="A9525" s="24" t="s">
        <v>716</v>
      </c>
      <c r="B9525" s="25" t="s">
        <v>86</v>
      </c>
      <c r="C9525" s="41" t="n">
        <f aca="false">Sens!$C$9516+Sens!$C$9517+Sens!$C$9518-Sens!$C$9521</f>
        <v>0</v>
      </c>
      <c r="D9525" s="41" t="n">
        <f aca="false">Sens!$D$9516+Sens!$D$9517+Sens!$D$9518-Sens!$D$9521</f>
        <v>0</v>
      </c>
      <c r="E9525" s="41" t="n">
        <f aca="false">Sens!$E$9516+Sens!$E$9517+Sens!$E$9518-Sens!$E$9521</f>
        <v>0</v>
      </c>
      <c r="F9525" s="41" t="n">
        <f aca="false">Sens!$F$9516+Sens!$F$9517+Sens!$F$9518-Sens!$F$9521</f>
        <v>0</v>
      </c>
      <c r="G9525" s="41" t="n">
        <f aca="false">Sens!$G$9516+Sens!$G$9517+Sens!$G$9518-Sens!$G$9521</f>
        <v>0</v>
      </c>
      <c r="H9525" s="41" t="n">
        <f aca="false">Sens!$H$9516+Sens!$H$9517+Sens!$H$9518-Sens!$H$9521</f>
        <v>0</v>
      </c>
      <c r="I9525" s="41" t="n">
        <f aca="false">Sens!$I$9516+Sens!$I$9517+Sens!$I$9518-Sens!$I$9521</f>
        <v>0</v>
      </c>
      <c r="J9525" s="41" t="n">
        <f aca="false">Sens!$J$9516+Sens!$J$9517+Sens!$J$9518-Sens!$J$9521</f>
        <v>0</v>
      </c>
      <c r="K9525" s="41" t="n">
        <f aca="false">Sens!$K$9516+Sens!$K$9517+Sens!$K$9518-Sens!$K$9521</f>
        <v>0</v>
      </c>
      <c r="L9525" s="41" t="n">
        <f aca="false">Sens!$L$9516+Sens!$L$9517+Sens!$L$9518-Sens!$L$9521</f>
        <v>0</v>
      </c>
      <c r="M9525" s="41" t="n">
        <f aca="false">Sens!$M$9516+Sens!$M$9517+Sens!$M$9518-Sens!$M$9521</f>
        <v>0</v>
      </c>
      <c r="N9525" s="41" t="n">
        <f aca="false">Sens!$N$9516+Sens!$N$9517+Sens!$N$9518-Sens!$N$9521</f>
        <v>0</v>
      </c>
      <c r="O9525" s="41" t="n">
        <f aca="false">Sens!$O$9516+Sens!$O$9517+Sens!$O$9518-Sens!$O$9521</f>
        <v>0</v>
      </c>
    </row>
    <row r="9526" customFormat="false" ht="17.15" hidden="false" customHeight="false" outlineLevel="0" collapsed="false">
      <c r="A9526" s="1" t="s">
        <v>730</v>
      </c>
    </row>
    <row r="9527" customFormat="false" ht="17.15" hidden="false" customHeight="false" outlineLevel="0" collapsed="false">
      <c r="A9527" s="0" t="s">
        <v>731</v>
      </c>
      <c r="B9527" s="0" t="s">
        <v>86</v>
      </c>
      <c r="C9527" s="38" t="n">
        <f aca="false">Sens!$C$9428*m_ad</f>
        <v>20.5341564414228</v>
      </c>
      <c r="D9527" s="38" t="n">
        <f aca="false">Sens!$D$9428*m_ad</f>
        <v>24.8720617299587</v>
      </c>
      <c r="E9527" s="38" t="n">
        <f aca="false">Sens!$E$9428*m_ad</f>
        <v>13.5017112462207</v>
      </c>
      <c r="F9527" s="38" t="n">
        <f aca="false">Sens!$F$9428*m_ad</f>
        <v>16.5719724165257</v>
      </c>
      <c r="G9527" s="38" t="n">
        <f aca="false">Sens!$G$9428*m_ad</f>
        <v>30.0820919220415</v>
      </c>
      <c r="H9527" s="38" t="n">
        <f aca="false">Sens!$H$9428*m_ad</f>
        <v>36.1150883276314</v>
      </c>
      <c r="I9527" s="38" t="n">
        <f aca="false">Sens!$I$9428*m_ad</f>
        <v>42.1475382231996</v>
      </c>
      <c r="J9527" s="38" t="n">
        <f aca="false">Sens!$J$9428*m_ad</f>
        <v>47.7749523864693</v>
      </c>
      <c r="K9527" s="38" t="n">
        <f aca="false">Sens!$K$9428*m_ad</f>
        <v>52.5524476251162</v>
      </c>
      <c r="L9527" s="38" t="n">
        <f aca="false">Sens!$L$9428*m_ad</f>
        <v>57.8076923876279</v>
      </c>
      <c r="M9527" s="38" t="n">
        <f aca="false">Sens!$M$9428*m_ad</f>
        <v>63.5884616263907</v>
      </c>
      <c r="N9527" s="38" t="n">
        <f aca="false">Sens!$N$9428*m_ad</f>
        <v>10.8543555706248</v>
      </c>
      <c r="O9527" s="38" t="n">
        <f aca="false">Sens!$O$9428*m_ad</f>
        <v>14.0094731821399</v>
      </c>
    </row>
    <row r="9528" customFormat="false" ht="17.15" hidden="false" customHeight="false" outlineLevel="0" collapsed="false">
      <c r="A9528" s="0" t="s">
        <v>732</v>
      </c>
      <c r="B9528" s="0" t="s">
        <v>86</v>
      </c>
      <c r="C9528" s="38" t="n">
        <f aca="false">Sens!$C$9426-Sens!$C$9428</f>
        <v>346.428687117154</v>
      </c>
      <c r="D9528" s="38" t="n">
        <f aca="false">Sens!$D$9426-Sens!$D$9428</f>
        <v>376.560876540083</v>
      </c>
      <c r="E9528" s="38" t="n">
        <f aca="false">Sens!$E$9426-Sens!$E$9428</f>
        <v>193.316577507559</v>
      </c>
      <c r="F9528" s="38" t="n">
        <f aca="false">Sens!$F$9426-Sens!$F$9428</f>
        <v>217.495828647535</v>
      </c>
      <c r="G9528" s="38" t="n">
        <f aca="false">Sens!$G$9426-Sens!$G$9428</f>
        <v>410.795589636503</v>
      </c>
      <c r="H9528" s="38" t="n">
        <f aca="false">Sens!$H$9426-Sens!$H$9428</f>
        <v>449.156813761174</v>
      </c>
      <c r="I9528" s="38" t="n">
        <f aca="false">Sens!$I$9426-Sens!$I$9428</f>
        <v>485.848786441156</v>
      </c>
      <c r="J9528" s="38" t="n">
        <f aca="false">Sens!$J$9426-Sens!$J$9428</f>
        <v>519.841531018994</v>
      </c>
      <c r="K9528" s="38" t="n">
        <f aca="false">Sens!$K$9426-Sens!$K$9428</f>
        <v>550.103332311311</v>
      </c>
      <c r="L9528" s="38" t="n">
        <f aca="false">Sens!$L$9426-Sens!$L$9428</f>
        <v>582.192354474511</v>
      </c>
      <c r="M9528" s="38" t="n">
        <f aca="false">Sens!$M$9426-Sens!$M$9428</f>
        <v>616.22240521081</v>
      </c>
      <c r="N9528" s="38" t="n">
        <f aca="false">Sens!$N$9426-Sens!$N$9428</f>
        <v>171.24628885875</v>
      </c>
      <c r="O9528" s="38" t="n">
        <f aca="false">Sens!$O$9426-Sens!$O$9428</f>
        <v>205.33105363572</v>
      </c>
    </row>
    <row r="9529" customFormat="false" ht="17.15" hidden="false" customHeight="false" outlineLevel="0" collapsed="false">
      <c r="A9529" s="0" t="s">
        <v>733</v>
      </c>
      <c r="B9529" s="0" t="s">
        <v>86</v>
      </c>
      <c r="C9529" s="38" t="n">
        <f aca="false">Sens!$C$9480*Sens!$C$9425</f>
        <v>0.123617442257179</v>
      </c>
      <c r="D9529" s="38" t="n">
        <f aca="false">Sens!$D$9480*Sens!$D$9425</f>
        <v>0.600198046024689</v>
      </c>
      <c r="E9529" s="38" t="n">
        <f aca="false">Sens!$E$9480*Sens!$E$9425</f>
        <v>1.10840000750276</v>
      </c>
      <c r="F9529" s="38" t="n">
        <f aca="false">Sens!$F$9480*Sens!$F$9425</f>
        <v>1.33595298721025</v>
      </c>
      <c r="G9529" s="38" t="n">
        <f aca="false">Sens!$G$9480*Sens!$G$9425</f>
        <v>2.44487335052545</v>
      </c>
      <c r="H9529" s="38" t="n">
        <f aca="false">Sens!$H$9480*Sens!$H$9425</f>
        <v>6.63132711939388</v>
      </c>
      <c r="I9529" s="38" t="n">
        <f aca="false">Sens!$I$9480*Sens!$I$9425</f>
        <v>12.7486799258504</v>
      </c>
      <c r="J9529" s="38" t="n">
        <f aca="false">Sens!$J$9480*Sens!$J$9425</f>
        <v>18.4074045299415</v>
      </c>
      <c r="K9529" s="38" t="n">
        <f aca="false">Sens!$K$9480*Sens!$K$9425</f>
        <v>23.9352810133727</v>
      </c>
      <c r="L9529" s="38" t="n">
        <f aca="false">Sens!$L$9480*Sens!$L$9425</f>
        <v>27.6844216700883</v>
      </c>
      <c r="M9529" s="38" t="n">
        <f aca="false">Sens!$M$9480*Sens!$M$9425</f>
        <v>29.6415739346474</v>
      </c>
      <c r="N9529" s="38" t="n">
        <f aca="false">Sens!$N$9480*Sens!$N$9425</f>
        <v>0.25053229484398</v>
      </c>
      <c r="O9529" s="38" t="n">
        <f aca="false">Sens!$O$9480*Sens!$O$9425</f>
        <v>0.349234376756897</v>
      </c>
    </row>
    <row r="9530" customFormat="false" ht="17.15" hidden="false" customHeight="false" outlineLevel="0" collapsed="false">
      <c r="A9530" s="0" t="s">
        <v>734</v>
      </c>
      <c r="B9530" s="0" t="s">
        <v>52</v>
      </c>
      <c r="C9530" s="28" t="n">
        <f aca="false">(Sens!$C$9531-Sens!$C$9527+Sens!$C$9529)/Sens!$C$9528</f>
        <v>0.0131526665379575</v>
      </c>
      <c r="D9530" s="28" t="n">
        <f aca="false">(Sens!$D$9531-Sens!$D$9527+Sens!$D$9529)/Sens!$D$9528</f>
        <v>0.0141999252954702</v>
      </c>
      <c r="E9530" s="28" t="n">
        <f aca="false">(Sens!$E$9531-Sens!$E$9527+Sens!$E$9529)/Sens!$E$9528</f>
        <v>0.0258471819939326</v>
      </c>
      <c r="F9530" s="28" t="n">
        <f aca="false">Sens!$O$9530+(Sens!$E$9530-Sens!$N$9530)</f>
        <v>0.0224302350712874</v>
      </c>
      <c r="G9530" s="28" t="n">
        <f aca="false">(Sens!$G$9531-Sens!$G$9527+Sens!$G$9529)/Sens!$G$9528</f>
        <v>0.0240199351461372</v>
      </c>
      <c r="H9530" s="28" t="n">
        <f aca="false">Sens!$G$9530+step_na</f>
        <v>0.0270199351461372</v>
      </c>
      <c r="I9530" s="28" t="n">
        <f aca="false">Sens!$H$9530+step_na</f>
        <v>0.0300199351461372</v>
      </c>
      <c r="J9530" s="28" t="n">
        <f aca="false">Sens!$I$9530+step_na</f>
        <v>0.0330199351461372</v>
      </c>
      <c r="K9530" s="28" t="n">
        <f aca="false">Sens!$J$9530+step_na</f>
        <v>0.0360199351461372</v>
      </c>
      <c r="L9530" s="28" t="n">
        <f aca="false">Sens!$K$9530</f>
        <v>0.0360199351461372</v>
      </c>
      <c r="M9530" s="28" t="n">
        <f aca="false">Sens!$L$9530</f>
        <v>0.0360199351461372</v>
      </c>
      <c r="N9530" s="28" t="n">
        <f aca="false">(Sens!$N$9531-Sens!$N$9527+Sens!$N$9529)/Sens!$N$9528</f>
        <v>0.0160831323269779</v>
      </c>
      <c r="O9530" s="28" t="n">
        <f aca="false">(Sens!$O$9531-Sens!$O$9527+Sens!$O$9529)/Sens!$O$9528</f>
        <v>0.0126661854043327</v>
      </c>
      <c r="P9530" s="8" t="s">
        <v>735</v>
      </c>
    </row>
    <row r="9531" customFormat="false" ht="17.15" hidden="false" customHeight="false" outlineLevel="0" collapsed="false">
      <c r="A9531" s="1" t="s">
        <v>736</v>
      </c>
      <c r="B9531" s="8" t="s">
        <v>86</v>
      </c>
      <c r="C9531" s="38" t="n">
        <f aca="false">Q!$D$22</f>
        <v>24.967</v>
      </c>
      <c r="D9531" s="38" t="n">
        <f aca="false">Q!$E$22</f>
        <v>29.619</v>
      </c>
      <c r="E9531" s="38" t="n">
        <f aca="false">Q!$P$22</f>
        <v>17.39</v>
      </c>
      <c r="F9531" s="38" t="n">
        <f aca="false">Sens!$F$9527+Sens!$F$9528*Sens!$F$9530-Sens!$F$9529</f>
        <v>20.1145019929041</v>
      </c>
      <c r="G9531" s="38" t="n">
        <f aca="false">Sens!$E$9531+Sens!$F$9531</f>
        <v>37.5045019929041</v>
      </c>
      <c r="H9531" s="38" t="n">
        <f aca="false">Sens!$H$9527+Sens!$H$9528*Sens!$H$9530-Sens!$H$9529</f>
        <v>41.6199491865101</v>
      </c>
      <c r="I9531" s="38" t="n">
        <f aca="false">Sens!$I$9527+Sens!$I$9528*Sens!$I$9530-Sens!$I$9529</f>
        <v>43.9840073571422</v>
      </c>
      <c r="J9531" s="38" t="n">
        <f aca="false">Sens!$J$9527+Sens!$J$9528*Sens!$J$9530-Sens!$J$9529</f>
        <v>46.5326814970436</v>
      </c>
      <c r="K9531" s="38" t="n">
        <f aca="false">Sens!$K$9527+Sens!$K$9528*Sens!$K$9530-Sens!$K$9529</f>
        <v>48.4318529652709</v>
      </c>
      <c r="L9531" s="38" t="n">
        <f aca="false">Sens!$L$9527+Sens!$L$9528*Sens!$L$9530-Sens!$L$9529</f>
        <v>51.0938015682884</v>
      </c>
      <c r="M9531" s="38" t="n">
        <f aca="false">Sens!$M$9527+Sens!$M$9528*Sens!$M$9530-Sens!$M$9529</f>
        <v>56.1431787630333</v>
      </c>
      <c r="N9531" s="38" t="n">
        <f aca="false">Q!$N$22</f>
        <v>13.358</v>
      </c>
      <c r="O9531" s="38" t="n">
        <f aca="false">Q!$O$22</f>
        <v>16.261</v>
      </c>
    </row>
    <row r="9532" customFormat="false" ht="17.15" hidden="false" customHeight="false" outlineLevel="0" collapsed="false">
      <c r="A9532" s="0" t="s">
        <v>737</v>
      </c>
      <c r="B9532" s="0" t="s">
        <v>86</v>
      </c>
      <c r="C9532" s="38" t="n">
        <f aca="false">Sens!$C$9429*m_ad</f>
        <v>7.57284355857716</v>
      </c>
      <c r="D9532" s="38" t="n">
        <f aca="false">Sens!$D$9429*m_ad</f>
        <v>9.44543827004127</v>
      </c>
      <c r="E9532" s="38" t="n">
        <f aca="false">Sens!$E$9429*m_ad</f>
        <v>5.02428875377928</v>
      </c>
      <c r="F9532" s="38" t="n">
        <f aca="false">Sens!$F$9429*m_ad</f>
        <v>6.50663858068173</v>
      </c>
      <c r="G9532" s="38" t="n">
        <f aca="false">Sens!$G$9429*m_ad</f>
        <v>11.5225190751659</v>
      </c>
      <c r="H9532" s="38" t="n">
        <f aca="false">Sens!$H$9429*m_ad</f>
        <v>13.8333728663174</v>
      </c>
      <c r="I9532" s="38" t="n">
        <f aca="false">Sens!$I$9429*m_ad</f>
        <v>16.1440173245485</v>
      </c>
      <c r="J9532" s="38" t="n">
        <f aca="false">Sens!$J$9429*m_ad</f>
        <v>18.2995185845066</v>
      </c>
      <c r="K9532" s="38" t="n">
        <f aca="false">Sens!$K$9429*m_ad</f>
        <v>20.1294704429572</v>
      </c>
      <c r="L9532" s="38" t="n">
        <f aca="false">Sens!$L$9429*m_ad</f>
        <v>22.142417487253</v>
      </c>
      <c r="M9532" s="38" t="n">
        <f aca="false">Sens!$M$9429*m_ad</f>
        <v>24.3566592359783</v>
      </c>
      <c r="N9532" s="38" t="n">
        <f aca="false">Sens!$N$9429*m_ad</f>
        <v>3.95314442937518</v>
      </c>
      <c r="O9532" s="38" t="n">
        <f aca="false">Sens!$O$9429*m_ad</f>
        <v>5.50052681786011</v>
      </c>
    </row>
    <row r="9533" customFormat="false" ht="17.15" hidden="false" customHeight="false" outlineLevel="0" collapsed="false">
      <c r="A9533" s="0" t="s">
        <v>738</v>
      </c>
      <c r="B9533" s="0" t="s">
        <v>86</v>
      </c>
      <c r="C9533" s="38" t="n">
        <f aca="false">Sens!$C$9427-Sens!$C$9429</f>
        <v>127.760312882846</v>
      </c>
      <c r="D9533" s="38" t="n">
        <f aca="false">Sens!$D$9427-Sens!$D$9429</f>
        <v>143.003123459917</v>
      </c>
      <c r="E9533" s="38" t="n">
        <f aca="false">Sens!$E$9427-Sens!$E$9429</f>
        <v>71.9374224924414</v>
      </c>
      <c r="F9533" s="38" t="n">
        <f aca="false">Sens!$F$9427-Sens!$F$9429</f>
        <v>85.3951910035875</v>
      </c>
      <c r="G9533" s="38" t="n">
        <f aca="false">Sens!$G$9427-Sens!$G$9429</f>
        <v>157.349430014619</v>
      </c>
      <c r="H9533" s="38" t="n">
        <f aca="false">Sens!$H$9427-Sens!$H$9429</f>
        <v>172.043153372315</v>
      </c>
      <c r="I9533" s="38" t="n">
        <f aca="false">Sens!$I$9427-Sens!$I$9429</f>
        <v>186.097493615879</v>
      </c>
      <c r="J9533" s="38" t="n">
        <f aca="false">Sens!$J$9427-Sens!$J$9429</f>
        <v>199.117932780497</v>
      </c>
      <c r="K9533" s="38" t="n">
        <f aca="false">Sens!$K$9427-Sens!$K$9429</f>
        <v>210.70928698363</v>
      </c>
      <c r="L9533" s="38" t="n">
        <f aca="false">Sens!$L$9427-Sens!$L$9429</f>
        <v>223.000532251316</v>
      </c>
      <c r="M9533" s="38" t="n">
        <f aca="false">Sens!$M$9427-Sens!$M$9429</f>
        <v>236.035261011339</v>
      </c>
      <c r="N9533" s="38" t="n">
        <f aca="false">Sens!$N$9427-Sens!$N$9429</f>
        <v>62.3677111412496</v>
      </c>
      <c r="O9533" s="38" t="n">
        <f aca="false">Sens!$O$9427-Sens!$O$9429</f>
        <v>80.6189463642798</v>
      </c>
    </row>
    <row r="9534" customFormat="false" ht="17.15" hidden="false" customHeight="false" outlineLevel="0" collapsed="false">
      <c r="A9534" s="0" t="s">
        <v>739</v>
      </c>
      <c r="B9534" s="0" t="s">
        <v>86</v>
      </c>
      <c r="C9534" s="38" t="n">
        <f aca="false">Sens!$C$9480*(1-Sens!$C$9425)</f>
        <v>0.0455891896019953</v>
      </c>
      <c r="D9534" s="38" t="n">
        <f aca="false">Sens!$D$9480*(1-Sens!$D$9425)</f>
        <v>0.227931791705753</v>
      </c>
      <c r="E9534" s="38" t="n">
        <f aca="false">Sens!$E$9480*(1-Sens!$E$9425)</f>
        <v>0.412460434890711</v>
      </c>
      <c r="F9534" s="38" t="n">
        <f aca="false">Sens!$F$9480*(1-Sens!$F$9425)</f>
        <v>0.524534016233997</v>
      </c>
      <c r="G9534" s="38" t="n">
        <f aca="false">Sens!$G$9480*(1-Sens!$G$9425)</f>
        <v>0.936474095312266</v>
      </c>
      <c r="H9534" s="38" t="n">
        <f aca="false">Sens!$H$9480*(1-Sens!$H$9425)</f>
        <v>2.54003589327823</v>
      </c>
      <c r="I9534" s="38" t="n">
        <f aca="false">Sens!$I$9480*(1-Sens!$I$9425)</f>
        <v>4.88320120852905</v>
      </c>
      <c r="J9534" s="38" t="n">
        <f aca="false">Sens!$J$9480*(1-Sens!$J$9425)</f>
        <v>7.05069548920359</v>
      </c>
      <c r="K9534" s="38" t="n">
        <f aca="false">Sens!$K$9480*(1-Sens!$K$9425)</f>
        <v>9.16807025125686</v>
      </c>
      <c r="L9534" s="38" t="n">
        <f aca="false">Sens!$L$9480*(1-Sens!$L$9425)</f>
        <v>10.6041254579372</v>
      </c>
      <c r="M9534" s="38" t="n">
        <f aca="false">Sens!$M$9480*(1-Sens!$M$9425)</f>
        <v>11.3537849018292</v>
      </c>
      <c r="N9534" s="38" t="n">
        <f aca="false">Sens!$N$9480*(1-Sens!$N$9425)</f>
        <v>0.0912435878202994</v>
      </c>
      <c r="O9534" s="38" t="n">
        <f aca="false">Sens!$O$9480*(1-Sens!$O$9425)</f>
        <v>0.137119578309265</v>
      </c>
    </row>
    <row r="9535" customFormat="false" ht="17.15" hidden="false" customHeight="false" outlineLevel="0" collapsed="false">
      <c r="A9535" s="0" t="s">
        <v>740</v>
      </c>
      <c r="B9535" s="0" t="s">
        <v>52</v>
      </c>
      <c r="C9535" s="28" t="n">
        <f aca="false">(Sens!$C$9536-Sens!$C$9532+Sens!$C$9534)/Sens!$C$9533</f>
        <v>-0.0292364215826579</v>
      </c>
      <c r="D9535" s="28" t="n">
        <f aca="false">(Sens!$D$9536-Sens!$D$9532+Sens!$D$9534)/Sens!$D$9533</f>
        <v>-0.0312406216748665</v>
      </c>
      <c r="E9535" s="28" t="n">
        <f aca="false">(Sens!$E$9536-Sens!$E$9532+Sens!$E$9534)/Sens!$E$9533</f>
        <v>-0.0204459413185552</v>
      </c>
      <c r="F9535" s="28" t="n">
        <f aca="false">Sens!$O$9535+(Sens!$E$9535-Sens!$N$9535)</f>
        <v>-0.0375409290246314</v>
      </c>
      <c r="G9535" s="28" t="n">
        <f aca="false">(Sens!$G$9536-Sens!$G$9532+Sens!$G$9534)/Sens!$G$9533</f>
        <v>-0.0296712560031684</v>
      </c>
      <c r="H9535" s="28" t="n">
        <f aca="false">Sens!$G$9535+step_in</f>
        <v>-0.0296712560031684</v>
      </c>
      <c r="I9535" s="28" t="n">
        <f aca="false">Sens!$H$9535+step_in</f>
        <v>-0.0296712560031684</v>
      </c>
      <c r="J9535" s="28" t="n">
        <f aca="false">Sens!$I$9535+step_in</f>
        <v>-0.0296712560031684</v>
      </c>
      <c r="K9535" s="28" t="n">
        <f aca="false">Sens!$J$9535+step_in</f>
        <v>-0.0296712560031684</v>
      </c>
      <c r="L9535" s="28" t="n">
        <f aca="false">Sens!$K$9535</f>
        <v>-0.0296712560031684</v>
      </c>
      <c r="M9535" s="28" t="n">
        <f aca="false">Sens!$L$9535</f>
        <v>-0.0296712560031684</v>
      </c>
      <c r="N9535" s="28" t="n">
        <f aca="false">(Sens!$N$9536-Sens!$N$9532+Sens!$N$9534)/Sens!$N$9533</f>
        <v>-0.0216602600421776</v>
      </c>
      <c r="O9535" s="28" t="n">
        <f aca="false">(Sens!$O$9536-Sens!$O$9532+Sens!$O$9534)/Sens!$O$9533</f>
        <v>-0.0387552477482538</v>
      </c>
      <c r="P9535" s="8" t="s">
        <v>735</v>
      </c>
    </row>
    <row r="9536" customFormat="false" ht="17.15" hidden="false" customHeight="false" outlineLevel="0" collapsed="false">
      <c r="A9536" s="1" t="s">
        <v>741</v>
      </c>
      <c r="B9536" s="8" t="s">
        <v>86</v>
      </c>
      <c r="C9536" s="38" t="n">
        <f aca="false">Q!$D$23</f>
        <v>3.792</v>
      </c>
      <c r="D9536" s="38" t="n">
        <f aca="false">Q!$E$23</f>
        <v>4.75</v>
      </c>
      <c r="E9536" s="38" t="n">
        <f aca="false">Q!$P$23</f>
        <v>3.141</v>
      </c>
      <c r="F9536" s="38" t="n">
        <f aca="false">Sens!$F$9532+Sens!$F$9533*Sens!$F$9535-Sens!$F$9534</f>
        <v>2.77628975993721</v>
      </c>
      <c r="G9536" s="38" t="n">
        <f aca="false">Sens!$E$9536+Sens!$F$9536</f>
        <v>5.91728975993721</v>
      </c>
      <c r="H9536" s="38" t="n">
        <f aca="false">Sens!$H$9532+Sens!$H$9533*Sens!$H$9535-Sens!$H$9534</f>
        <v>6.18860052573681</v>
      </c>
      <c r="I9536" s="38" t="n">
        <f aca="false">Sens!$I$9532+Sens!$I$9533*Sens!$I$9535-Sens!$I$9534</f>
        <v>5.73906974139474</v>
      </c>
      <c r="J9536" s="38" t="n">
        <f aca="false">Sens!$J$9532+Sens!$J$9533*Sens!$J$9535-Sens!$J$9534</f>
        <v>5.34074393695119</v>
      </c>
      <c r="K9536" s="38" t="n">
        <f aca="false">Sens!$K$9532+Sens!$K$9533*Sens!$K$9535-Sens!$K$9534</f>
        <v>4.70939099536401</v>
      </c>
      <c r="L9536" s="38" t="n">
        <f aca="false">Sens!$L$9532+Sens!$L$9533*Sens!$L$9535-Sens!$L$9534</f>
        <v>4.92158614804412</v>
      </c>
      <c r="M9536" s="38" t="n">
        <f aca="false">Sens!$M$9532+Sens!$M$9533*Sens!$M$9535-Sens!$M$9534</f>
        <v>5.99941167890691</v>
      </c>
      <c r="N9536" s="38" t="n">
        <f aca="false">Q!$N$23</f>
        <v>2.511</v>
      </c>
      <c r="O9536" s="38" t="n">
        <f aca="false">Q!$O$23</f>
        <v>2.239</v>
      </c>
    </row>
    <row r="9537" customFormat="false" ht="17.15" hidden="false" customHeight="false" outlineLevel="0" collapsed="false">
      <c r="A9537" s="0" t="s">
        <v>742</v>
      </c>
      <c r="B9537" s="0" t="s">
        <v>86</v>
      </c>
      <c r="C9537" s="38" t="n">
        <f aca="false">Sens!$C$9477</f>
        <v>1.64417882953695</v>
      </c>
      <c r="D9537" s="38" t="n">
        <f aca="false">Sens!$D$9477</f>
        <v>5.39125073772939</v>
      </c>
      <c r="E9537" s="38" t="n">
        <f aca="false">Sens!$E$9477</f>
        <v>2.42691120599613</v>
      </c>
      <c r="F9537" s="38" t="n">
        <f aca="false">Sens!$F$9477</f>
        <v>7.52148563094346</v>
      </c>
      <c r="G9537" s="38" t="n">
        <f aca="false">Sens!$G$9477</f>
        <v>9.94839683693959</v>
      </c>
      <c r="H9537" s="38" t="n">
        <f aca="false">Sens!$H$9477</f>
        <v>23.4804386990861</v>
      </c>
      <c r="I9537" s="38" t="n">
        <f aca="false">Sens!$I$9477</f>
        <v>30.9761745989143</v>
      </c>
      <c r="J9537" s="38" t="n">
        <f aca="false">Sens!$J$9477</f>
        <v>41.1930070746977</v>
      </c>
      <c r="K9537" s="38" t="n">
        <f aca="false">Sens!$K$9477</f>
        <v>45.7487132269171</v>
      </c>
      <c r="L9537" s="38" t="n">
        <f aca="false">Sens!$L$9477</f>
        <v>47.4367140310386</v>
      </c>
      <c r="M9537" s="38" t="n">
        <f aca="false">Sens!$M$9477</f>
        <v>46.2992355967948</v>
      </c>
      <c r="N9537" s="38" t="n">
        <f aca="false">Sens!$N$9477</f>
        <v>1.67921600037079</v>
      </c>
      <c r="O9537" s="38" t="n">
        <f aca="false">Sens!$O$9477</f>
        <v>3.71203473735861</v>
      </c>
    </row>
    <row r="9538" customFormat="false" ht="17.15" hidden="false" customHeight="false" outlineLevel="0" collapsed="false">
      <c r="A9538" s="0" t="s">
        <v>660</v>
      </c>
      <c r="B9538" s="0" t="s">
        <v>86</v>
      </c>
      <c r="C9538" s="38" t="n">
        <f aca="false">Sens!$C$9482</f>
        <v>38.1898211704631</v>
      </c>
      <c r="D9538" s="38" t="n">
        <f aca="false">Sens!$D$9482</f>
        <v>40.2147492622706</v>
      </c>
      <c r="E9538" s="38" t="n">
        <f aca="false">Sens!$E$9482</f>
        <v>28.3550887940039</v>
      </c>
      <c r="F9538" s="38" t="n">
        <f aca="false">Sens!$F$9482</f>
        <v>25.9529793149447</v>
      </c>
      <c r="G9538" s="38" t="n">
        <f aca="false">Sens!$G$9482</f>
        <v>54.3080681089486</v>
      </c>
      <c r="H9538" s="38" t="n">
        <f aca="false">Sens!$H$9482</f>
        <v>58.2264684589333</v>
      </c>
      <c r="I9538" s="38" t="n">
        <f aca="false">Sens!$I$9482</f>
        <v>64.6461353851744</v>
      </c>
      <c r="J9538" s="38" t="n">
        <f aca="false">Sens!$J$9482</f>
        <v>70.7957093610231</v>
      </c>
      <c r="K9538" s="38" t="n">
        <f aca="false">Sens!$K$9482</f>
        <v>76.4593661099049</v>
      </c>
      <c r="L9538" s="38" t="n">
        <f aca="false">Sens!$L$9482</f>
        <v>82.5761153986973</v>
      </c>
      <c r="M9538" s="38" t="n">
        <f aca="false">Sens!$M$9482</f>
        <v>89.1822046305931</v>
      </c>
      <c r="N9538" s="38" t="n">
        <f aca="false">Sens!$N$9482</f>
        <v>20.0277839996292</v>
      </c>
      <c r="O9538" s="38" t="n">
        <f aca="false">Sens!$O$9482</f>
        <v>20.1869652626414</v>
      </c>
    </row>
    <row r="9539" customFormat="false" ht="17.15" hidden="false" customHeight="false" outlineLevel="0" collapsed="false">
      <c r="A9539" s="1" t="s">
        <v>743</v>
      </c>
      <c r="B9539" s="8" t="s">
        <v>86</v>
      </c>
      <c r="C9539" s="38" t="n">
        <f aca="false">Q!$D$24</f>
        <v>39.834</v>
      </c>
      <c r="D9539" s="38" t="n">
        <f aca="false">Q!$E$24</f>
        <v>45.606</v>
      </c>
      <c r="E9539" s="38" t="n">
        <f aca="false">Q!$P$24</f>
        <v>30.782</v>
      </c>
      <c r="F9539" s="38" t="n">
        <f aca="false">Sens!$F$9537+Sens!$F$9538</f>
        <v>33.4744649458882</v>
      </c>
      <c r="G9539" s="38" t="n">
        <f aca="false">Sens!$G$9537+Sens!$G$9538</f>
        <v>64.2564649458882</v>
      </c>
      <c r="H9539" s="38" t="n">
        <f aca="false">Sens!$H$9537+Sens!$H$9538</f>
        <v>81.7069071580194</v>
      </c>
      <c r="I9539" s="38" t="n">
        <f aca="false">Sens!$I$9537+Sens!$I$9538</f>
        <v>95.6223099840887</v>
      </c>
      <c r="J9539" s="38" t="n">
        <f aca="false">Sens!$J$9537+Sens!$J$9538</f>
        <v>111.988716435721</v>
      </c>
      <c r="K9539" s="38" t="n">
        <f aca="false">Sens!$K$9537+Sens!$K$9538</f>
        <v>122.208079336822</v>
      </c>
      <c r="L9539" s="38" t="n">
        <f aca="false">Sens!$L$9537+Sens!$L$9538</f>
        <v>130.012829429736</v>
      </c>
      <c r="M9539" s="38" t="n">
        <f aca="false">Sens!$M$9537+Sens!$M$9538</f>
        <v>135.481440227388</v>
      </c>
      <c r="N9539" s="38" t="n">
        <f aca="false">Q!$N$24</f>
        <v>21.707</v>
      </c>
      <c r="O9539" s="38" t="n">
        <f aca="false">Q!$O$24</f>
        <v>23.899</v>
      </c>
    </row>
    <row r="9540" customFormat="false" ht="17.15" hidden="false" customHeight="false" outlineLevel="0" collapsed="false">
      <c r="A9540" s="5" t="s">
        <v>744</v>
      </c>
      <c r="B9540" s="0" t="s">
        <v>86</v>
      </c>
      <c r="C9540" s="38" t="n">
        <f aca="false">Q!$D$26</f>
        <v>0</v>
      </c>
      <c r="D9540" s="38" t="n">
        <f aca="false">Q!$E$26</f>
        <v>0</v>
      </c>
      <c r="E9540" s="38" t="n">
        <f aca="false">Q!$P$26</f>
        <v>0</v>
      </c>
      <c r="F9540" s="39" t="n">
        <v>0</v>
      </c>
      <c r="G9540" s="38" t="n">
        <f aca="false">Sens!$E$9540+Sens!$F$9540</f>
        <v>0</v>
      </c>
      <c r="H9540" s="39" t="n">
        <v>0</v>
      </c>
      <c r="I9540" s="39" t="n">
        <v>0</v>
      </c>
      <c r="J9540" s="39" t="n">
        <v>0</v>
      </c>
      <c r="K9540" s="39" t="n">
        <v>0</v>
      </c>
      <c r="L9540" s="39" t="n">
        <v>0</v>
      </c>
      <c r="M9540" s="39" t="n">
        <v>0</v>
      </c>
      <c r="N9540" s="38" t="n">
        <f aca="false">Q!$N$26</f>
        <v>0</v>
      </c>
      <c r="O9540" s="38" t="n">
        <f aca="false">Q!$O$26</f>
        <v>0</v>
      </c>
    </row>
    <row r="9541" customFormat="false" ht="15" hidden="false" customHeight="false" outlineLevel="0" collapsed="false">
      <c r="A9541" s="3" t="s">
        <v>541</v>
      </c>
      <c r="B9541" s="8" t="s">
        <v>86</v>
      </c>
      <c r="C9541" s="38" t="n">
        <f aca="false">Q!$D$25</f>
        <v>68.593</v>
      </c>
      <c r="D9541" s="38" t="n">
        <f aca="false">Q!$E$25</f>
        <v>79.975</v>
      </c>
      <c r="E9541" s="38" t="n">
        <f aca="false">Q!$P$25</f>
        <v>51.313</v>
      </c>
      <c r="F9541" s="38" t="n">
        <f aca="false">Sens!$F$9531+Sens!$F$9536+Sens!$F$9539+Sens!$F$9540</f>
        <v>56.3652566987294</v>
      </c>
      <c r="G9541" s="38" t="n">
        <f aca="false">Sens!$G$9531+Sens!$G$9536+Sens!$G$9539+Sens!$G$9540</f>
        <v>107.678256698729</v>
      </c>
      <c r="H9541" s="38" t="n">
        <f aca="false">Sens!$H$9531+Sens!$H$9536+Sens!$H$9539+Sens!$H$9540</f>
        <v>129.515456870266</v>
      </c>
      <c r="I9541" s="38" t="n">
        <f aca="false">Sens!$I$9531+Sens!$I$9536+Sens!$I$9539+Sens!$I$9540</f>
        <v>145.345387082626</v>
      </c>
      <c r="J9541" s="38" t="n">
        <f aca="false">Sens!$J$9531+Sens!$J$9536+Sens!$J$9539+Sens!$J$9540</f>
        <v>163.862141869716</v>
      </c>
      <c r="K9541" s="38" t="n">
        <f aca="false">Sens!$K$9531+Sens!$K$9536+Sens!$K$9539+Sens!$K$9540</f>
        <v>175.349323297457</v>
      </c>
      <c r="L9541" s="38" t="n">
        <f aca="false">Sens!$L$9531+Sens!$L$9536+Sens!$L$9539+Sens!$L$9540</f>
        <v>186.028217146068</v>
      </c>
      <c r="M9541" s="38" t="n">
        <f aca="false">Sens!$M$9531+Sens!$M$9536+Sens!$M$9539+Sens!$M$9540</f>
        <v>197.624030669328</v>
      </c>
      <c r="N9541" s="38" t="n">
        <f aca="false">Q!$N$25</f>
        <v>37.576</v>
      </c>
      <c r="O9541" s="38" t="n">
        <f aca="false">Q!$O$25</f>
        <v>42.399</v>
      </c>
    </row>
    <row r="9542" customFormat="false" ht="17.15" hidden="false" customHeight="false" outlineLevel="0" collapsed="false">
      <c r="A9542" s="24" t="s">
        <v>775</v>
      </c>
      <c r="B9542" s="25" t="s">
        <v>86</v>
      </c>
      <c r="C9542" s="41" t="n">
        <f aca="false">Sens!$C$9531+Sens!$C$9536+Sens!$C$9539+Sens!$C$9540-Sens!$C$9541</f>
        <v>0</v>
      </c>
      <c r="D9542" s="41" t="n">
        <f aca="false">Sens!$D$9531+Sens!$D$9536+Sens!$D$9539+Sens!$D$9540-Sens!$D$9541</f>
        <v>0</v>
      </c>
      <c r="E9542" s="41" t="n">
        <f aca="false">Sens!$E$9531+Sens!$E$9536+Sens!$E$9539+Sens!$E$9540-Sens!$E$9541</f>
        <v>0</v>
      </c>
      <c r="F9542" s="41" t="n">
        <f aca="false">Sens!$F$9531+Sens!$F$9536+Sens!$F$9539+Sens!$F$9540-Sens!$F$9541</f>
        <v>0</v>
      </c>
      <c r="G9542" s="41" t="n">
        <f aca="false">Sens!$G$9531+Sens!$G$9536+Sens!$G$9539+Sens!$G$9540-Sens!$G$9541</f>
        <v>0</v>
      </c>
      <c r="H9542" s="41" t="n">
        <f aca="false">Sens!$H$9531+Sens!$H$9536+Sens!$H$9539+Sens!$H$9540-Sens!$H$9541</f>
        <v>0</v>
      </c>
      <c r="I9542" s="41" t="n">
        <f aca="false">Sens!$I$9531+Sens!$I$9536+Sens!$I$9539+Sens!$I$9540-Sens!$I$9541</f>
        <v>0</v>
      </c>
      <c r="J9542" s="41" t="n">
        <f aca="false">Sens!$J$9531+Sens!$J$9536+Sens!$J$9539+Sens!$J$9540-Sens!$J$9541</f>
        <v>0</v>
      </c>
      <c r="K9542" s="41" t="n">
        <f aca="false">Sens!$K$9531+Sens!$K$9536+Sens!$K$9539+Sens!$K$9540-Sens!$K$9541</f>
        <v>0</v>
      </c>
      <c r="L9542" s="41" t="n">
        <f aca="false">Sens!$L$9531+Sens!$L$9536+Sens!$L$9539+Sens!$L$9540-Sens!$L$9541</f>
        <v>0</v>
      </c>
      <c r="M9542" s="41" t="n">
        <f aca="false">Sens!$M$9531+Sens!$M$9536+Sens!$M$9539+Sens!$M$9540-Sens!$M$9541</f>
        <v>0</v>
      </c>
      <c r="N9542" s="41" t="n">
        <f aca="false">Sens!$N$9531+Sens!$N$9536+Sens!$N$9539+Sens!$N$9540-Sens!$N$9541</f>
        <v>0</v>
      </c>
      <c r="O9542" s="41" t="n">
        <f aca="false">Sens!$O$9531+Sens!$O$9536+Sens!$O$9539+Sens!$O$9540-Sens!$O$9541</f>
        <v>0</v>
      </c>
    </row>
    <row r="9543" customFormat="false" ht="17.15" hidden="false" customHeight="false" outlineLevel="0" collapsed="false">
      <c r="A9543" s="5" t="s">
        <v>746</v>
      </c>
      <c r="B9543" s="0" t="s">
        <v>86</v>
      </c>
      <c r="C9543" s="38" t="n">
        <f aca="false">Sens!$C$9479</f>
        <v>0</v>
      </c>
      <c r="D9543" s="38" t="n">
        <f aca="false">Sens!$D$9479</f>
        <v>0</v>
      </c>
      <c r="E9543" s="38" t="n">
        <f aca="false">Sens!$E$9479</f>
        <v>0</v>
      </c>
      <c r="F9543" s="38" t="n">
        <f aca="false">Sens!$F$9479</f>
        <v>3.77122048175818</v>
      </c>
      <c r="G9543" s="38" t="n">
        <f aca="false">Sens!$G$9479</f>
        <v>3.77122048175818</v>
      </c>
      <c r="H9543" s="38" t="n">
        <f aca="false">Sens!$H$9479</f>
        <v>15.1635543609893</v>
      </c>
      <c r="I9543" s="38" t="n">
        <f aca="false">Sens!$I$9479</f>
        <v>25.5818843619889</v>
      </c>
      <c r="J9543" s="38" t="n">
        <f aca="false">Sens!$J$9479</f>
        <v>36.0465624179122</v>
      </c>
      <c r="K9543" s="38" t="n">
        <f aca="false">Sens!$K$9479</f>
        <v>44.9020355557576</v>
      </c>
      <c r="L9543" s="38" t="n">
        <f aca="false">Sens!$L$9479</f>
        <v>50.55474151763</v>
      </c>
      <c r="M9543" s="38" t="n">
        <f aca="false">Sens!$M$9479</f>
        <v>52.9968449759368</v>
      </c>
      <c r="N9543" s="38" t="n">
        <f aca="false">Sens!$N$9479</f>
        <v>0</v>
      </c>
      <c r="O9543" s="38" t="n">
        <f aca="false">Sens!$O$9479</f>
        <v>0</v>
      </c>
      <c r="P9543" s="5" t="s">
        <v>747</v>
      </c>
    </row>
    <row r="9544" customFormat="false" ht="17.15" hidden="false" customHeight="false" outlineLevel="0" collapsed="false">
      <c r="A9544" s="5" t="s">
        <v>748</v>
      </c>
      <c r="B9544" s="0" t="s">
        <v>86</v>
      </c>
      <c r="C9544" s="38" t="n">
        <f aca="false">Sens!$C$9541+Sens!$C$9543</f>
        <v>68.593</v>
      </c>
      <c r="D9544" s="38" t="n">
        <f aca="false">Sens!$D$9541+Sens!$D$9543</f>
        <v>79.975</v>
      </c>
      <c r="E9544" s="38" t="n">
        <f aca="false">Sens!$E$9541+Sens!$E$9543</f>
        <v>51.313</v>
      </c>
      <c r="F9544" s="38" t="n">
        <f aca="false">Sens!$F$9541+Sens!$F$9543</f>
        <v>60.1364771804876</v>
      </c>
      <c r="G9544" s="38" t="n">
        <f aca="false">Sens!$G$9541+Sens!$G$9543</f>
        <v>111.449477180488</v>
      </c>
      <c r="H9544" s="38" t="n">
        <f aca="false">Sens!$H$9541+Sens!$H$9543</f>
        <v>144.679011231256</v>
      </c>
      <c r="I9544" s="38" t="n">
        <f aca="false">Sens!$I$9541+Sens!$I$9543</f>
        <v>170.927271444615</v>
      </c>
      <c r="J9544" s="38" t="n">
        <f aca="false">Sens!$J$9541+Sens!$J$9543</f>
        <v>199.908704287628</v>
      </c>
      <c r="K9544" s="38" t="n">
        <f aca="false">Sens!$K$9541+Sens!$K$9543</f>
        <v>220.251358853214</v>
      </c>
      <c r="L9544" s="38" t="n">
        <f aca="false">Sens!$L$9541+Sens!$L$9543</f>
        <v>236.582958663698</v>
      </c>
      <c r="M9544" s="38" t="n">
        <f aca="false">Sens!$M$9541+Sens!$M$9543</f>
        <v>250.620875645265</v>
      </c>
      <c r="N9544" s="38" t="n">
        <f aca="false">Sens!$N$9541+Sens!$N$9543</f>
        <v>37.576</v>
      </c>
      <c r="O9544" s="38" t="n">
        <f aca="false">Sens!$O$9541+Sens!$O$9543</f>
        <v>42.399</v>
      </c>
    </row>
    <row r="9545" customFormat="false" ht="17.15" hidden="false" customHeight="false" outlineLevel="0" collapsed="false">
      <c r="A9545" s="0" t="s">
        <v>749</v>
      </c>
      <c r="B9545" s="0" t="s">
        <v>52</v>
      </c>
      <c r="C9545" s="13" t="n">
        <f aca="false">Sens!$C$9531/Sens!$C$9516</f>
        <v>0.0644314665661928</v>
      </c>
      <c r="D9545" s="13" t="n">
        <f aca="false">Sens!$D$9531/Sens!$D$9516</f>
        <v>0.0694784250712518</v>
      </c>
      <c r="E9545" s="13" t="n">
        <f aca="false">Sens!$E$9531/Sens!$E$9516</f>
        <v>0.0789306463326071</v>
      </c>
      <c r="F9545" s="13" t="n">
        <f aca="false">Sens!$F$9531/Sens!$F$9516</f>
        <v>0.0802526339438384</v>
      </c>
      <c r="G9545" s="13" t="n">
        <f aca="false">Sens!$G$9531/Sens!$G$9516</f>
        <v>0.0796341940538369</v>
      </c>
      <c r="H9545" s="13" t="n">
        <f aca="false">Sens!$H$9531/Sens!$H$9516</f>
        <v>0.0798254462645258</v>
      </c>
      <c r="I9545" s="13" t="n">
        <f aca="false">Sens!$I$9531/Sens!$I$9516</f>
        <v>0.0771454543672196</v>
      </c>
      <c r="J9545" s="13" t="n">
        <f aca="false">Sens!$J$9531/Sens!$J$9516</f>
        <v>0.0756147693819656</v>
      </c>
      <c r="K9545" s="13" t="n">
        <f aca="false">Sens!$K$9531/Sens!$K$9516</f>
        <v>0.0739182612915551</v>
      </c>
      <c r="L9545" s="13" t="n">
        <f aca="false">Sens!$L$9531/Sens!$L$9516</f>
        <v>0.0732204570032725</v>
      </c>
      <c r="M9545" s="13" t="n">
        <f aca="false">Sens!$M$9531/Sens!$M$9516</f>
        <v>0.0755222349730478</v>
      </c>
      <c r="N9545" s="13" t="n">
        <f aca="false">Sens!$N$9531/Sens!$N$9516</f>
        <v>0.069228576611127</v>
      </c>
      <c r="O9545" s="13" t="n">
        <f aca="false">Sens!$O$9531/Sens!$O$9516</f>
        <v>0.069685022498393</v>
      </c>
    </row>
    <row r="9546" customFormat="false" ht="17.15" hidden="false" customHeight="false" outlineLevel="0" collapsed="false">
      <c r="A9546" s="0" t="s">
        <v>750</v>
      </c>
      <c r="B9546" s="0" t="s">
        <v>52</v>
      </c>
      <c r="C9546" s="13" t="n">
        <f aca="false">Sens!$C$9536/Sens!$C$9517</f>
        <v>0.026534925055631</v>
      </c>
      <c r="D9546" s="13" t="n">
        <f aca="false">Sens!$D$9536/Sens!$D$9517</f>
        <v>0.0293401855535103</v>
      </c>
      <c r="E9546" s="13" t="n">
        <f aca="false">Sens!$E$9536/Sens!$E$9517</f>
        <v>0.03831141902276</v>
      </c>
      <c r="F9546" s="13" t="n">
        <f aca="false">Sens!$F$9536/Sens!$F$9517</f>
        <v>0.0282118989524726</v>
      </c>
      <c r="G9546" s="13" t="n">
        <f aca="false">Sens!$G$9536/Sens!$G$9517</f>
        <v>0.0328019468674976</v>
      </c>
      <c r="H9546" s="13" t="n">
        <f aca="false">Sens!$H$9536/Sens!$H$9517</f>
        <v>0.0309879507899839</v>
      </c>
      <c r="I9546" s="13" t="n">
        <f aca="false">Sens!$I$9536/Sens!$I$9517</f>
        <v>0.0262795332043765</v>
      </c>
      <c r="J9546" s="13" t="n">
        <f aca="false">Sens!$J$9536/Sens!$J$9517</f>
        <v>0.0226574435353346</v>
      </c>
      <c r="K9546" s="13" t="n">
        <f aca="false">Sens!$K$9536/Sens!$K$9517</f>
        <v>0.0187648892265837</v>
      </c>
      <c r="L9546" s="13" t="n">
        <f aca="false">Sens!$L$9536/Sens!$L$9517</f>
        <v>0.0184132270281972</v>
      </c>
      <c r="M9546" s="13" t="n">
        <f aca="false">Sens!$M$9536/Sens!$M$9517</f>
        <v>0.0210691540227995</v>
      </c>
      <c r="N9546" s="13" t="n">
        <f aca="false">Sens!$N$9536/Sens!$N$9517</f>
        <v>0.0357315650169337</v>
      </c>
      <c r="O9546" s="13" t="n">
        <f aca="false">Sens!$O$9536/Sens!$O$9517</f>
        <v>0.0244378956559703</v>
      </c>
    </row>
    <row r="9547" customFormat="false" ht="17.15" hidden="false" customHeight="false" outlineLevel="0" collapsed="false">
      <c r="A9547" s="14" t="s">
        <v>751</v>
      </c>
      <c r="B9547" s="14" t="s">
        <v>52</v>
      </c>
      <c r="C9547" s="17" t="n">
        <f aca="false">Sens!$C$9539/Sens!$C$9518</f>
        <v>0.370355907620217</v>
      </c>
      <c r="D9547" s="17" t="n">
        <f aca="false">Sens!$D$9539/Sens!$D$9518</f>
        <v>0.35429015342785</v>
      </c>
      <c r="E9547" s="17" t="n">
        <f aca="false">Sens!$E$9539/Sens!$E$9518</f>
        <v>0.385647527531039</v>
      </c>
      <c r="F9547" s="17" t="n">
        <f aca="false">Sens!$F$9539/Sens!$F$9518</f>
        <v>0.385949613469105</v>
      </c>
      <c r="G9547" s="17" t="n">
        <f aca="false">Sens!$G$9539/Sens!$G$9518</f>
        <v>0.385804840448779</v>
      </c>
      <c r="H9547" s="17" t="n">
        <f aca="false">Sens!$H$9539/Sens!$H$9518</f>
        <v>0.369408675360557</v>
      </c>
      <c r="I9547" s="17" t="n">
        <f aca="false">Sens!$I$9539/Sens!$I$9518</f>
        <v>0.34117504540738</v>
      </c>
      <c r="J9547" s="17" t="n">
        <f aca="false">Sens!$J$9539/Sens!$J$9518</f>
        <v>0.330544285732563</v>
      </c>
      <c r="K9547" s="17" t="n">
        <f aca="false">Sens!$K$9539/Sens!$K$9518</f>
        <v>0.31367601035849</v>
      </c>
      <c r="L9547" s="17" t="n">
        <f aca="false">Sens!$L$9539/Sens!$L$9518</f>
        <v>0.303100134223737</v>
      </c>
      <c r="M9547" s="17" t="n">
        <f aca="false">Sens!$M$9539/Sens!$M$9518</f>
        <v>0.296522227328686</v>
      </c>
      <c r="N9547" s="17" t="n">
        <f aca="false">Sens!$N$9539/Sens!$N$9518</f>
        <v>0.360941137346192</v>
      </c>
      <c r="O9547" s="17" t="n">
        <f aca="false">Sens!$O$9539/Sens!$O$9518</f>
        <v>0.348458117664212</v>
      </c>
    </row>
    <row r="9548" customFormat="false" ht="17.15" hidden="false" customHeight="false" outlineLevel="0" collapsed="false">
      <c r="A9548" s="0" t="s">
        <v>752</v>
      </c>
      <c r="B9548" s="0" t="s">
        <v>52</v>
      </c>
      <c r="C9548" s="13" t="n">
        <f aca="false">Sens!$C$9537/Sens!$C$9519</f>
        <v>0.708390794789371</v>
      </c>
      <c r="D9548" s="13" t="n">
        <f aca="false">Sens!$D$9537/Sens!$D$9519</f>
        <v>0.619415573115729</v>
      </c>
      <c r="E9548" s="13" t="n">
        <f aca="false">Sens!$E$9537/Sens!$E$9519</f>
        <v>0.285171627189009</v>
      </c>
      <c r="F9548" s="13" t="n">
        <f aca="false">Sens!$F$9537/Sens!$F$9519</f>
        <v>0.502657732812366</v>
      </c>
      <c r="G9548" s="13" t="n">
        <f aca="false">Sens!$G$9537/Sens!$G$9519</f>
        <v>0.423808778611812</v>
      </c>
      <c r="H9548" s="13" t="n">
        <f aca="false">Sens!$H$9537/Sens!$H$9519</f>
        <v>0.390261631739809</v>
      </c>
      <c r="I9548" s="13" t="n">
        <f aca="false">Sens!$I$9537/Sens!$I$9519</f>
        <v>0.305172864264572</v>
      </c>
      <c r="J9548" s="13" t="n">
        <f aca="false">Sens!$J$9537/Sens!$J$9519</f>
        <v>0.288011814789856</v>
      </c>
      <c r="K9548" s="13" t="n">
        <f aca="false">Sens!$K$9537/Sens!$K$9519</f>
        <v>0.256781372309587</v>
      </c>
      <c r="L9548" s="13" t="n">
        <f aca="false">Sens!$L$9537/Sens!$L$9519</f>
        <v>0.236484872592048</v>
      </c>
      <c r="M9548" s="13" t="n">
        <f aca="false">Sens!$M$9537/Sens!$M$9519</f>
        <v>0.220178275964369</v>
      </c>
      <c r="N9548" s="13" t="n">
        <f aca="false">Sens!$N$9537/Sens!$N$9519</f>
        <v>0.551227795793364</v>
      </c>
      <c r="O9548" s="13" t="n">
        <f aca="false">Sens!$O$9537/Sens!$O$9519</f>
        <v>0.656132068597002</v>
      </c>
    </row>
    <row r="9549" customFormat="false" ht="15" hidden="false" customHeight="false" outlineLevel="0" collapsed="false">
      <c r="A9549" s="5" t="s">
        <v>753</v>
      </c>
      <c r="B9549" s="0" t="s">
        <v>52</v>
      </c>
      <c r="C9549" s="13" t="n">
        <f aca="false">Sens!$C$9541/Sens!$C$9521</f>
        <v>0.107519448742004</v>
      </c>
      <c r="D9549" s="13" t="n">
        <f aca="false">Sens!$D$9541/Sens!$D$9521</f>
        <v>0.111552967957552</v>
      </c>
      <c r="E9549" s="13" t="n">
        <f aca="false">Sens!$E$9541/Sens!$E$9521</f>
        <v>0.13428328426562</v>
      </c>
      <c r="F9549" s="13" t="n">
        <f aca="false">Sens!$F$9541/Sens!$F$9521</f>
        <v>0.129343087287827</v>
      </c>
      <c r="G9549" s="13" t="n">
        <f aca="false">Sens!$G$9541/Sens!$G$9521</f>
        <v>0.131651143259596</v>
      </c>
      <c r="H9549" s="13" t="n">
        <f aca="false">Sens!$H$9541/Sens!$H$9521</f>
        <v>0.137449034763893</v>
      </c>
      <c r="I9549" s="13" t="n">
        <f aca="false">Sens!$I$9541/Sens!$I$9521</f>
        <v>0.13598895915033</v>
      </c>
      <c r="J9549" s="13" t="n">
        <f aca="false">Sens!$J$9541/Sens!$J$9521</f>
        <v>0.137709769017663</v>
      </c>
      <c r="K9549" s="13" t="n">
        <f aca="false">Sens!$K$9541/Sens!$K$9521</f>
        <v>0.135323776909366</v>
      </c>
      <c r="L9549" s="13" t="n">
        <f aca="false">Sens!$L$9541/Sens!$L$9521</f>
        <v>0.133445719861579</v>
      </c>
      <c r="M9549" s="13" t="n">
        <f aca="false">Sens!$M$9541/Sens!$M$9521</f>
        <v>0.133075730813735</v>
      </c>
      <c r="N9549" s="13" t="n">
        <f aca="false">Sens!$N$9541/Sens!$N$9521</f>
        <v>0.116201614873411</v>
      </c>
      <c r="O9549" s="13" t="n">
        <f aca="false">Sens!$O$9541/Sens!$O$9521</f>
        <v>0.107733353660861</v>
      </c>
    </row>
    <row r="9550" customFormat="false" ht="17.15" hidden="false" customHeight="false" outlineLevel="0" collapsed="false">
      <c r="A9550" s="1" t="s">
        <v>754</v>
      </c>
    </row>
    <row r="9551" customFormat="false" ht="17.15" hidden="false" customHeight="false" outlineLevel="0" collapsed="false">
      <c r="A9551" s="5" t="s">
        <v>755</v>
      </c>
      <c r="B9551" s="0" t="s">
        <v>52</v>
      </c>
      <c r="D9551" s="28" t="n">
        <f aca="false">(Q!$E$29+Q!$E$30-(1-ext_sh)*Sens!$D$9473)/Sens!$D$9424</f>
        <v>0.0341105596409988</v>
      </c>
    </row>
    <row r="9552" customFormat="false" ht="17.15" hidden="false" customHeight="false" outlineLevel="0" collapsed="false">
      <c r="A9552" s="0" t="s">
        <v>545</v>
      </c>
      <c r="B9552" s="0" t="s">
        <v>86</v>
      </c>
      <c r="C9552" s="38" t="n">
        <f aca="false">Q!$D$29</f>
        <v>14.285</v>
      </c>
      <c r="D9552" s="38" t="n">
        <f aca="false">Q!$E$29</f>
        <v>15.503</v>
      </c>
      <c r="E9552" s="38" t="n">
        <f aca="false">Q!$P$29</f>
        <v>8.78</v>
      </c>
      <c r="F9552" s="38" t="n">
        <f aca="false">(Sens!$D$9551*Sens!$F$9424+(1-ext_sh)*Sens!$F$9473)*Sens!$F$9425</f>
        <v>9.30317620449232</v>
      </c>
      <c r="G9552" s="38" t="n">
        <f aca="false">Sens!$E$9552+Sens!$F$9552</f>
        <v>18.0831762044923</v>
      </c>
      <c r="H9552" s="38" t="n">
        <f aca="false">(Sens!$D$9551*Sens!$H$9424+(1-ext_sh)*Sens!$H$9473)*Sens!$H$9425</f>
        <v>22.1297245338482</v>
      </c>
      <c r="I9552" s="38" t="n">
        <f aca="false">(Sens!$D$9551*Sens!$I$9424+(1-ext_sh)*Sens!$I$9473)*Sens!$I$9425</f>
        <v>28.409695984391</v>
      </c>
      <c r="J9552" s="38" t="n">
        <f aca="false">(Sens!$D$9551*Sens!$J$9424+(1-ext_sh)*Sens!$J$9473)*Sens!$J$9425</f>
        <v>34.1085606174579</v>
      </c>
      <c r="K9552" s="38" t="n">
        <f aca="false">(Sens!$D$9551*Sens!$K$9424+(1-ext_sh)*Sens!$K$9473)*Sens!$K$9425</f>
        <v>39.7218983009068</v>
      </c>
      <c r="L9552" s="38" t="n">
        <f aca="false">(Sens!$D$9551*Sens!$L$9424+(1-ext_sh)*Sens!$L$9473)*Sens!$L$9425</f>
        <v>44.1116202150966</v>
      </c>
      <c r="M9552" s="38" t="n">
        <f aca="false">(Sens!$D$9551*Sens!$M$9424+(1-ext_sh)*Sens!$M$9473)*Sens!$M$9425</f>
        <v>47.2720841306133</v>
      </c>
      <c r="N9552" s="38" t="n">
        <f aca="false">Q!$N$29</f>
        <v>7.272</v>
      </c>
      <c r="O9552" s="38" t="n">
        <f aca="false">Q!$O$29</f>
        <v>8.231</v>
      </c>
    </row>
    <row r="9553" customFormat="false" ht="17.15" hidden="false" customHeight="false" outlineLevel="0" collapsed="false">
      <c r="A9553" s="0" t="s">
        <v>547</v>
      </c>
      <c r="B9553" s="0" t="s">
        <v>86</v>
      </c>
      <c r="C9553" s="38" t="n">
        <f aca="false">Q!$D$30</f>
        <v>4.462</v>
      </c>
      <c r="D9553" s="38" t="n">
        <f aca="false">Q!$E$30</f>
        <v>4.907</v>
      </c>
      <c r="E9553" s="38" t="n">
        <f aca="false">Q!$P$30</f>
        <v>2.57</v>
      </c>
      <c r="F9553" s="38" t="n">
        <f aca="false">(Sens!$D$9551*Sens!$F$9424+(1-ext_sh)*Sens!$F$9473)*(1-Sens!$F$9425)</f>
        <v>3.6526976809753</v>
      </c>
      <c r="G9553" s="38" t="n">
        <f aca="false">Sens!$E$9553+Sens!$F$9553</f>
        <v>6.2226976809753</v>
      </c>
      <c r="H9553" s="38" t="n">
        <f aca="false">(Sens!$D$9551*Sens!$H$9424+(1-ext_sh)*Sens!$H$9473)*(1-Sens!$H$9425)</f>
        <v>8.4764774248495</v>
      </c>
      <c r="I9553" s="38" t="n">
        <f aca="false">(Sens!$D$9551*Sens!$I$9424+(1-ext_sh)*Sens!$I$9473)*(1-Sens!$I$9425)</f>
        <v>10.881931507561</v>
      </c>
      <c r="J9553" s="38" t="n">
        <f aca="false">(Sens!$D$9551*Sens!$J$9424+(1-ext_sh)*Sens!$J$9473)*(1-Sens!$J$9425)</f>
        <v>13.0648008575874</v>
      </c>
      <c r="K9553" s="38" t="n">
        <f aca="false">(Sens!$D$9551*Sens!$K$9424+(1-ext_sh)*Sens!$K$9473)*(1-Sens!$K$9425)</f>
        <v>15.2149103214008</v>
      </c>
      <c r="L9553" s="38" t="n">
        <f aca="false">(Sens!$D$9551*Sens!$L$9424+(1-ext_sh)*Sens!$L$9473)*(1-Sens!$L$9425)</f>
        <v>16.8963311023095</v>
      </c>
      <c r="M9553" s="38" t="n">
        <f aca="false">(Sens!$D$9551*Sens!$M$9424+(1-ext_sh)*Sens!$M$9473)*(1-Sens!$M$9425)</f>
        <v>18.1069020242816</v>
      </c>
      <c r="N9553" s="38" t="n">
        <f aca="false">Q!$N$30</f>
        <v>2.316</v>
      </c>
      <c r="O9553" s="38" t="n">
        <f aca="false">Q!$O$30</f>
        <v>2.591</v>
      </c>
    </row>
    <row r="9554" customFormat="false" ht="17.15" hidden="false" customHeight="false" outlineLevel="0" collapsed="false">
      <c r="A9554" s="0" t="s">
        <v>548</v>
      </c>
      <c r="B9554" s="0" t="s">
        <v>86</v>
      </c>
      <c r="C9554" s="38" t="n">
        <f aca="false">Sens!$C$9485</f>
        <v>13.32</v>
      </c>
      <c r="D9554" s="38" t="n">
        <f aca="false">Sens!$D$9485</f>
        <v>21.45</v>
      </c>
      <c r="E9554" s="38" t="n">
        <f aca="false">Sens!$E$9485</f>
        <v>15.353</v>
      </c>
      <c r="F9554" s="38" t="n">
        <f aca="false">Sens!$F$9485</f>
        <v>16.1969869840094</v>
      </c>
      <c r="G9554" s="38" t="n">
        <f aca="false">Sens!$G$9485</f>
        <v>31.5499869840094</v>
      </c>
      <c r="H9554" s="38" t="n">
        <f aca="false">Sens!$H$9485</f>
        <v>50.9556213609176</v>
      </c>
      <c r="I9554" s="38" t="n">
        <f aca="false">Sens!$I$9485</f>
        <v>79.464581248252</v>
      </c>
      <c r="J9554" s="38" t="n">
        <f aca="false">Sens!$J$9485</f>
        <v>105.296127931746</v>
      </c>
      <c r="K9554" s="38" t="n">
        <f aca="false">Sens!$K$9485</f>
        <v>131.454694001511</v>
      </c>
      <c r="L9554" s="38" t="n">
        <f aca="false">Sens!$L$9485</f>
        <v>150.528401314722</v>
      </c>
      <c r="M9554" s="38" t="n">
        <f aca="false">Sens!$M$9485</f>
        <v>162.46328719295</v>
      </c>
      <c r="N9554" s="38" t="n">
        <f aca="false">Sens!$N$9485</f>
        <v>9.234</v>
      </c>
      <c r="O9554" s="38" t="n">
        <f aca="false">Sens!$O$9485</f>
        <v>12.216</v>
      </c>
    </row>
    <row r="9555" customFormat="false" ht="17.15" hidden="false" customHeight="false" outlineLevel="0" collapsed="false">
      <c r="A9555" s="5" t="s">
        <v>756</v>
      </c>
      <c r="B9555" s="0" t="s">
        <v>86</v>
      </c>
      <c r="C9555" s="38" t="n">
        <f aca="false">Sens!$C$9552+Sens!$C$9553+Sens!$C$9554</f>
        <v>32.067</v>
      </c>
      <c r="D9555" s="38" t="n">
        <f aca="false">Sens!$D$9552+Sens!$D$9553+Sens!$D$9554</f>
        <v>41.86</v>
      </c>
      <c r="E9555" s="38" t="n">
        <f aca="false">Sens!$E$9552+Sens!$E$9553+Sens!$E$9554</f>
        <v>26.703</v>
      </c>
      <c r="F9555" s="38" t="n">
        <f aca="false">Sens!$F$9552+Sens!$F$9553+Sens!$F$9554</f>
        <v>29.152860869477</v>
      </c>
      <c r="G9555" s="38" t="n">
        <f aca="false">Sens!$G$9552+Sens!$G$9553+Sens!$G$9554</f>
        <v>55.855860869477</v>
      </c>
      <c r="H9555" s="38" t="n">
        <f aca="false">Sens!$H$9552+Sens!$H$9553+Sens!$H$9554</f>
        <v>81.5618233196153</v>
      </c>
      <c r="I9555" s="38" t="n">
        <f aca="false">Sens!$I$9552+Sens!$I$9553+Sens!$I$9554</f>
        <v>118.756208740204</v>
      </c>
      <c r="J9555" s="38" t="n">
        <f aca="false">Sens!$J$9552+Sens!$J$9553+Sens!$J$9554</f>
        <v>152.469489406791</v>
      </c>
      <c r="K9555" s="38" t="n">
        <f aca="false">Sens!$K$9552+Sens!$K$9553+Sens!$K$9554</f>
        <v>186.391502623819</v>
      </c>
      <c r="L9555" s="38" t="n">
        <f aca="false">Sens!$L$9552+Sens!$L$9553+Sens!$L$9554</f>
        <v>211.536352632128</v>
      </c>
      <c r="M9555" s="38" t="n">
        <f aca="false">Sens!$M$9552+Sens!$M$9553+Sens!$M$9554</f>
        <v>227.842273347845</v>
      </c>
      <c r="N9555" s="38" t="n">
        <f aca="false">Sens!$N$9552+Sens!$N$9553+Sens!$N$9554</f>
        <v>18.822</v>
      </c>
      <c r="O9555" s="38" t="n">
        <f aca="false">Sens!$O$9552+Sens!$O$9553+Sens!$O$9554</f>
        <v>23.038</v>
      </c>
    </row>
    <row r="9556" customFormat="false" ht="17.15" hidden="false" customHeight="false" outlineLevel="0" collapsed="false">
      <c r="A9556" s="0" t="s">
        <v>757</v>
      </c>
      <c r="B9556" s="0" t="s">
        <v>86</v>
      </c>
      <c r="C9556" s="38" t="n">
        <f aca="false">Sens!$C$9527+Sens!$C$9532</f>
        <v>28.107</v>
      </c>
      <c r="D9556" s="38" t="n">
        <f aca="false">Sens!$D$9527+Sens!$D$9532</f>
        <v>34.3175</v>
      </c>
      <c r="E9556" s="38" t="n">
        <f aca="false">Sens!$E$9527+Sens!$E$9532</f>
        <v>18.526</v>
      </c>
      <c r="F9556" s="38" t="n">
        <f aca="false">Sens!$F$9527+Sens!$F$9532</f>
        <v>23.0786109972074</v>
      </c>
      <c r="G9556" s="38" t="n">
        <f aca="false">Sens!$G$9527+Sens!$G$9532</f>
        <v>41.6046109972074</v>
      </c>
      <c r="H9556" s="38" t="n">
        <f aca="false">Sens!$H$9527+Sens!$H$9532</f>
        <v>49.9484611939488</v>
      </c>
      <c r="I9556" s="38" t="n">
        <f aca="false">Sens!$I$9527+Sens!$I$9532</f>
        <v>58.2915555477481</v>
      </c>
      <c r="J9556" s="38" t="n">
        <f aca="false">Sens!$J$9527+Sens!$J$9532</f>
        <v>66.0744709709759</v>
      </c>
      <c r="K9556" s="38" t="n">
        <f aca="false">Sens!$K$9527+Sens!$K$9532</f>
        <v>72.6819180680735</v>
      </c>
      <c r="L9556" s="38" t="n">
        <f aca="false">Sens!$L$9527+Sens!$L$9532</f>
        <v>79.9501098748808</v>
      </c>
      <c r="M9556" s="38" t="n">
        <f aca="false">Sens!$M$9527+Sens!$M$9532</f>
        <v>87.9451208623689</v>
      </c>
      <c r="N9556" s="38" t="n">
        <f aca="false">Sens!$N$9527+Sens!$N$9532</f>
        <v>14.8075</v>
      </c>
      <c r="O9556" s="38" t="n">
        <f aca="false">Sens!$O$9527+Sens!$O$9532</f>
        <v>19.51</v>
      </c>
    </row>
    <row r="9557" customFormat="false" ht="17.15" hidden="false" customHeight="false" outlineLevel="0" collapsed="false">
      <c r="A9557" s="0" t="s">
        <v>758</v>
      </c>
      <c r="B9557" s="0" t="s">
        <v>86</v>
      </c>
      <c r="C9557" s="38" t="n">
        <f aca="false">Sens!$C$9531+Sens!$C$9536+Sens!$C$9552+Sens!$C$9553-Sens!$C$9556</f>
        <v>19.399</v>
      </c>
      <c r="D9557" s="38" t="n">
        <f aca="false">Sens!$D$9531+Sens!$D$9536+Sens!$D$9552+Sens!$D$9553-Sens!$D$9556</f>
        <v>20.4615</v>
      </c>
      <c r="E9557" s="38" t="n">
        <f aca="false">Sens!$E$9531+Sens!$E$9536+Sens!$E$9552+Sens!$E$9553-Sens!$E$9556</f>
        <v>13.355</v>
      </c>
      <c r="F9557" s="38" t="n">
        <f aca="false">Sens!$F$9531+Sens!$F$9536+Sens!$F$9552+Sens!$F$9553-Sens!$F$9556</f>
        <v>12.7680546411015</v>
      </c>
      <c r="G9557" s="38" t="n">
        <f aca="false">Sens!$G$9531+Sens!$G$9536+Sens!$G$9552+Sens!$G$9553-Sens!$G$9556</f>
        <v>26.1230546411015</v>
      </c>
      <c r="H9557" s="38" t="n">
        <f aca="false">Sens!$H$9531+Sens!$H$9536+Sens!$H$9552+Sens!$H$9553-Sens!$H$9556</f>
        <v>28.4662904769959</v>
      </c>
      <c r="I9557" s="38" t="n">
        <f aca="false">Sens!$I$9531+Sens!$I$9536+Sens!$I$9552+Sens!$I$9553-Sens!$I$9556</f>
        <v>30.7231490427408</v>
      </c>
      <c r="J9557" s="38" t="n">
        <f aca="false">Sens!$J$9531+Sens!$J$9536+Sens!$J$9552+Sens!$J$9553-Sens!$J$9556</f>
        <v>32.9723159380642</v>
      </c>
      <c r="K9557" s="38" t="n">
        <f aca="false">Sens!$K$9531+Sens!$K$9536+Sens!$K$9552+Sens!$K$9553-Sens!$K$9556</f>
        <v>35.396134514869</v>
      </c>
      <c r="L9557" s="38" t="n">
        <f aca="false">Sens!$L$9531+Sens!$L$9536+Sens!$L$9552+Sens!$L$9553-Sens!$L$9556</f>
        <v>37.0732291588577</v>
      </c>
      <c r="M9557" s="38" t="n">
        <f aca="false">Sens!$M$9531+Sens!$M$9536+Sens!$M$9552+Sens!$M$9553-Sens!$M$9556</f>
        <v>39.5764557344662</v>
      </c>
      <c r="N9557" s="38" t="n">
        <f aca="false">Sens!$N$9531+Sens!$N$9536+Sens!$N$9552+Sens!$N$9553-Sens!$N$9556</f>
        <v>10.6495</v>
      </c>
      <c r="O9557" s="38" t="n">
        <f aca="false">Sens!$O$9531+Sens!$O$9536+Sens!$O$9552+Sens!$O$9553-Sens!$O$9556</f>
        <v>9.81200000000001</v>
      </c>
    </row>
    <row r="9558" customFormat="false" ht="17.15" hidden="false" customHeight="false" outlineLevel="0" collapsed="false">
      <c r="A9558" s="0" t="s">
        <v>759</v>
      </c>
      <c r="B9558" s="0" t="s">
        <v>86</v>
      </c>
      <c r="C9558" s="38" t="n">
        <f aca="false">Sens!$C$9538+Sens!$C$9554-ext_sh*Sens!$C$9473</f>
        <v>51.3470500115664</v>
      </c>
      <c r="D9558" s="38" t="n">
        <f aca="false">Sens!$D$9538+Sens!$D$9554-ext_sh*Sens!$D$9473</f>
        <v>60.2799375433739</v>
      </c>
      <c r="E9558" s="38" t="n">
        <f aca="false">Sens!$E$9538+Sens!$E$9554-ext_sh*Sens!$E$9473</f>
        <v>39.5095167090767</v>
      </c>
      <c r="F9558" s="38" t="n">
        <f aca="false">Sens!$F$9538+Sens!$F$9554-ext_sh*Sens!$F$9473</f>
        <v>37.951394214027</v>
      </c>
      <c r="G9558" s="38" t="n">
        <f aca="false">Sens!$G$9538+Sens!$G$9554-ext_sh*Sens!$G$9473</f>
        <v>77.4609109231037</v>
      </c>
      <c r="H9558" s="38" t="n">
        <f aca="false">Sens!$H$9538+Sens!$H$9554-ext_sh*Sens!$H$9473</f>
        <v>85.1453558128916</v>
      </c>
      <c r="I9558" s="38" t="n">
        <f aca="false">Sens!$I$9538+Sens!$I$9554-ext_sh*Sens!$I$9473</f>
        <v>94.532921967974</v>
      </c>
      <c r="J9558" s="38" t="n">
        <f aca="false">Sens!$J$9538+Sens!$J$9554-ext_sh*Sens!$J$9473</f>
        <v>103.525527532583</v>
      </c>
      <c r="K9558" s="38" t="n">
        <f aca="false">Sens!$K$9538+Sens!$K$9554-ext_sh*Sens!$K$9473</f>
        <v>111.80756973519</v>
      </c>
      <c r="L9558" s="38" t="n">
        <f aca="false">Sens!$L$9538+Sens!$L$9554-ext_sh*Sens!$L$9473</f>
        <v>120.752175314005</v>
      </c>
      <c r="M9558" s="38" t="n">
        <f aca="false">Sens!$M$9538+Sens!$M$9554-ext_sh*Sens!$M$9473</f>
        <v>130.412349339125</v>
      </c>
      <c r="N9558" s="38" t="n">
        <f aca="false">Sens!$N$9538+Sens!$N$9554-ext_sh*Sens!$N$9473</f>
        <v>28.5693781401809</v>
      </c>
      <c r="O9558" s="38" t="n">
        <f aca="false">Sens!$O$9538+Sens!$O$9554-ext_sh*Sens!$O$9473</f>
        <v>31.7105594031931</v>
      </c>
    </row>
    <row r="9559" customFormat="false" ht="17.15" hidden="false" customHeight="false" outlineLevel="0" collapsed="false">
      <c r="A9559" s="0" t="s">
        <v>760</v>
      </c>
      <c r="B9559" s="0" t="s">
        <v>86</v>
      </c>
      <c r="C9559" s="38" t="n">
        <f aca="false">Sens!$C$9476</f>
        <v>1.80694998843362</v>
      </c>
      <c r="D9559" s="38" t="n">
        <f aca="false">Sens!$D$9476</f>
        <v>6.77606245662607</v>
      </c>
      <c r="E9559" s="38" t="n">
        <f aca="false">Sens!$E$9476</f>
        <v>6.62548329092326</v>
      </c>
      <c r="F9559" s="38" t="n">
        <f aca="false">Sens!$F$9476</f>
        <v>11.7200577158706</v>
      </c>
      <c r="G9559" s="38" t="n">
        <f aca="false">Sens!$G$9476</f>
        <v>18.3455410067939</v>
      </c>
      <c r="H9559" s="38" t="n">
        <f aca="false">Sens!$H$9476</f>
        <v>47.5171727060453</v>
      </c>
      <c r="I9559" s="38" t="n">
        <f aca="false">Sens!$I$9476</f>
        <v>80.5539692643667</v>
      </c>
      <c r="J9559" s="38" t="n">
        <f aca="false">Sens!$J$9476</f>
        <v>113.759316834883</v>
      </c>
      <c r="K9559" s="38" t="n">
        <f aca="false">Sens!$K$9476</f>
        <v>141.855203603144</v>
      </c>
      <c r="L9559" s="38" t="n">
        <f aca="false">Sens!$L$9476</f>
        <v>159.789055430453</v>
      </c>
      <c r="M9559" s="38" t="n">
        <f aca="false">Sens!$M$9476</f>
        <v>167.532378081213</v>
      </c>
      <c r="N9559" s="38" t="n">
        <f aca="false">Sens!$N$9476</f>
        <v>2.37162185981912</v>
      </c>
      <c r="O9559" s="38" t="n">
        <f aca="false">Sens!$O$9476</f>
        <v>4.40444059680694</v>
      </c>
    </row>
    <row r="9560" customFormat="false" ht="17.15" hidden="false" customHeight="false" outlineLevel="0" collapsed="false">
      <c r="A9560" s="0" t="s">
        <v>761</v>
      </c>
      <c r="B9560" s="0" t="s">
        <v>86</v>
      </c>
      <c r="C9560" s="38" t="n">
        <f aca="false">Sens!$C$9541+Sens!$C$9555</f>
        <v>100.66</v>
      </c>
      <c r="D9560" s="38" t="n">
        <f aca="false">Sens!$D$9541+Sens!$D$9555</f>
        <v>121.835</v>
      </c>
      <c r="E9560" s="38" t="n">
        <f aca="false">Sens!$E$9541+Sens!$E$9555</f>
        <v>78.016</v>
      </c>
      <c r="F9560" s="38" t="n">
        <f aca="false">Sens!$F$9541+Sens!$F$9555</f>
        <v>85.5181175682064</v>
      </c>
      <c r="G9560" s="38" t="n">
        <f aca="false">Sens!$G$9541+Sens!$G$9555</f>
        <v>163.534117568206</v>
      </c>
      <c r="H9560" s="38" t="n">
        <f aca="false">Sens!$H$9541+Sens!$H$9555</f>
        <v>211.077280189882</v>
      </c>
      <c r="I9560" s="38" t="n">
        <f aca="false">Sens!$I$9541+Sens!$I$9555</f>
        <v>264.10159582283</v>
      </c>
      <c r="J9560" s="38" t="n">
        <f aca="false">Sens!$J$9541+Sens!$J$9555</f>
        <v>316.331631276507</v>
      </c>
      <c r="K9560" s="38" t="n">
        <f aca="false">Sens!$K$9541+Sens!$K$9555</f>
        <v>361.740825921276</v>
      </c>
      <c r="L9560" s="38" t="n">
        <f aca="false">Sens!$L$9541+Sens!$L$9555</f>
        <v>397.564569778197</v>
      </c>
      <c r="M9560" s="38" t="n">
        <f aca="false">Sens!$M$9541+Sens!$M$9555</f>
        <v>425.466304017173</v>
      </c>
      <c r="N9560" s="38" t="n">
        <f aca="false">Sens!$N$9541+Sens!$N$9555</f>
        <v>56.398</v>
      </c>
      <c r="O9560" s="38" t="n">
        <f aca="false">Sens!$O$9541+Sens!$O$9555</f>
        <v>65.437</v>
      </c>
    </row>
    <row r="9561" customFormat="false" ht="17.15" hidden="false" customHeight="false" outlineLevel="0" collapsed="false">
      <c r="A9561" s="1" t="s">
        <v>762</v>
      </c>
    </row>
    <row r="9562" customFormat="false" ht="15" hidden="false" customHeight="false" outlineLevel="0" collapsed="false">
      <c r="A9562" s="5" t="s">
        <v>551</v>
      </c>
      <c r="B9562" s="0" t="s">
        <v>86</v>
      </c>
      <c r="C9562" s="38" t="n">
        <f aca="false">Q!$D$34</f>
        <v>2.406</v>
      </c>
      <c r="D9562" s="38" t="n">
        <f aca="false">Q!$E$34</f>
        <v>2.274</v>
      </c>
      <c r="E9562" s="38" t="n">
        <f aca="false">Q!$P$34</f>
        <v>2.114</v>
      </c>
      <c r="F9562" s="38" t="n">
        <f aca="false">Sens!$F$9600</f>
        <v>3.24888962733561</v>
      </c>
      <c r="G9562" s="38" t="n">
        <f aca="false">Sens!$E$9562+Sens!$F$9562</f>
        <v>5.36288962733561</v>
      </c>
      <c r="H9562" s="38" t="n">
        <f aca="false">Sens!$H$9600</f>
        <v>7.42354172302123</v>
      </c>
      <c r="I9562" s="38" t="n">
        <f aca="false">Sens!$I$9600</f>
        <v>7.84418947693382</v>
      </c>
      <c r="J9562" s="38" t="n">
        <f aca="false">Sens!$J$9600</f>
        <v>8.79561318891235</v>
      </c>
      <c r="K9562" s="38" t="n">
        <f aca="false">Sens!$K$9600</f>
        <v>8.79561318891235</v>
      </c>
      <c r="L9562" s="38" t="n">
        <f aca="false">Sens!$L$9600</f>
        <v>8.79561318891235</v>
      </c>
      <c r="M9562" s="38" t="n">
        <f aca="false">Sens!$M$9600</f>
        <v>8.79561318891235</v>
      </c>
      <c r="N9562" s="38" t="n">
        <f aca="false">Q!$N$34</f>
        <v>1.057</v>
      </c>
      <c r="O9562" s="38" t="n">
        <f aca="false">Q!$O$34</f>
        <v>1.217</v>
      </c>
    </row>
    <row r="9563" customFormat="false" ht="15" hidden="false" customHeight="false" outlineLevel="0" collapsed="false">
      <c r="A9563" s="5" t="s">
        <v>763</v>
      </c>
      <c r="B9563" s="0" t="s">
        <v>86</v>
      </c>
      <c r="F9563" s="38" t="n">
        <f aca="false">Sens!$F$9601</f>
        <v>2.59</v>
      </c>
      <c r="H9563" s="38" t="n">
        <f aca="false">Sens!$H$9601</f>
        <v>4.1153774832261</v>
      </c>
      <c r="I9563" s="38" t="n">
        <f aca="false">Sens!$I$9601</f>
        <v>2.10589651022864</v>
      </c>
      <c r="J9563" s="38" t="n">
        <f aca="false">Sens!$J$9601</f>
        <v>2.10589651022864</v>
      </c>
      <c r="K9563" s="38" t="n">
        <f aca="false">Sens!$K$9601</f>
        <v>3.172800358404</v>
      </c>
      <c r="L9563" s="38" t="n">
        <f aca="false">Sens!$L$9601</f>
        <v>8.41944638731071</v>
      </c>
      <c r="M9563" s="38" t="n">
        <f aca="false">Sens!$M$9601</f>
        <v>16.2381912039624</v>
      </c>
    </row>
    <row r="9564" customFormat="false" ht="17.15" hidden="false" customHeight="false" outlineLevel="0" collapsed="false">
      <c r="A9564" s="5" t="s">
        <v>764</v>
      </c>
      <c r="B9564" s="0" t="s">
        <v>86</v>
      </c>
      <c r="C9564" s="38" t="n">
        <f aca="false">Q!$D$39</f>
        <v>2.427</v>
      </c>
      <c r="D9564" s="38" t="n">
        <f aca="false">Q!$E$39</f>
        <v>19.61</v>
      </c>
      <c r="E9564" s="38" t="n">
        <f aca="false">Q!$P$39</f>
        <v>71.492</v>
      </c>
      <c r="F9564" s="39" t="n">
        <v>0</v>
      </c>
      <c r="G9564" s="38" t="n">
        <f aca="false">Sens!$E$9564+Sens!$F$9564</f>
        <v>71.492</v>
      </c>
      <c r="H9564" s="39" t="n">
        <v>0</v>
      </c>
      <c r="I9564" s="39" t="n">
        <v>0</v>
      </c>
      <c r="J9564" s="39" t="n">
        <v>0</v>
      </c>
      <c r="K9564" s="39" t="n">
        <v>0</v>
      </c>
      <c r="L9564" s="39" t="n">
        <v>0</v>
      </c>
      <c r="M9564" s="39" t="n">
        <v>0</v>
      </c>
      <c r="N9564" s="38" t="n">
        <f aca="false">Q!$N$39</f>
        <v>6.017</v>
      </c>
      <c r="O9564" s="38" t="n">
        <f aca="false">Q!$O$39</f>
        <v>13.593</v>
      </c>
      <c r="P9564" s="5" t="s">
        <v>765</v>
      </c>
    </row>
    <row r="9565" customFormat="false" ht="15" hidden="false" customHeight="false" outlineLevel="0" collapsed="false">
      <c r="A9565" s="5" t="s">
        <v>554</v>
      </c>
      <c r="B9565" s="0" t="s">
        <v>86</v>
      </c>
      <c r="C9565" s="38" t="n">
        <f aca="false">Q!$D$36</f>
        <v>68.614</v>
      </c>
      <c r="D9565" s="38" t="n">
        <f aca="false">Q!$E$36</f>
        <v>97.311</v>
      </c>
      <c r="E9565" s="38" t="n">
        <f aca="false">Q!$P$36</f>
        <v>120.691</v>
      </c>
      <c r="F9565" s="38" t="n">
        <f aca="false">Sens!$F$9541-Sens!$F$9562+Sens!$F$9563+Sens!$F$9564</f>
        <v>55.7063670713938</v>
      </c>
      <c r="G9565" s="38" t="n">
        <f aca="false">Sens!$E$9565+Sens!$F$9565</f>
        <v>176.397367071394</v>
      </c>
      <c r="H9565" s="38" t="n">
        <f aca="false">Sens!$H$9541-Sens!$H$9562+Sens!$H$9563+Sens!$H$9564</f>
        <v>126.207292630471</v>
      </c>
      <c r="I9565" s="38" t="n">
        <f aca="false">Sens!$I$9541-Sens!$I$9562+Sens!$I$9563+Sens!$I$9564</f>
        <v>139.60709411592</v>
      </c>
      <c r="J9565" s="38" t="n">
        <f aca="false">Sens!$J$9541-Sens!$J$9562+Sens!$J$9563+Sens!$J$9564</f>
        <v>157.172425191032</v>
      </c>
      <c r="K9565" s="38" t="n">
        <f aca="false">Sens!$K$9541-Sens!$K$9562+Sens!$K$9563+Sens!$K$9564</f>
        <v>169.726510466949</v>
      </c>
      <c r="L9565" s="38" t="n">
        <f aca="false">Sens!$L$9541-Sens!$L$9562+Sens!$L$9563+Sens!$L$9564</f>
        <v>185.652050344467</v>
      </c>
      <c r="M9565" s="38" t="n">
        <f aca="false">Sens!$M$9541-Sens!$M$9562+Sens!$M$9563+Sens!$M$9564</f>
        <v>205.066608684378</v>
      </c>
      <c r="N9565" s="38" t="n">
        <f aca="false">Q!$N$36</f>
        <v>42.536</v>
      </c>
      <c r="O9565" s="38" t="n">
        <f aca="false">Q!$O$36</f>
        <v>54.775</v>
      </c>
    </row>
    <row r="9566" customFormat="false" ht="15" hidden="false" customHeight="false" outlineLevel="0" collapsed="false">
      <c r="A9566" s="5" t="s">
        <v>555</v>
      </c>
      <c r="B9566" s="0" t="s">
        <v>86</v>
      </c>
      <c r="C9566" s="38" t="n">
        <f aca="false">Q!$D$37</f>
        <v>9.265</v>
      </c>
      <c r="D9566" s="38" t="n">
        <f aca="false">Q!$E$37</f>
        <v>19.087</v>
      </c>
      <c r="E9566" s="38" t="n">
        <f aca="false">Q!$P$37</f>
        <v>27.759</v>
      </c>
      <c r="F9566" s="38" t="n">
        <f aca="false">Sens!$F$9565*tax</f>
        <v>9.669763357865</v>
      </c>
      <c r="G9566" s="38" t="n">
        <f aca="false">Sens!$E$9566+Sens!$F$9566</f>
        <v>37.428763357865</v>
      </c>
      <c r="H9566" s="38" t="n">
        <f aca="false">Sens!$H$9565*tax</f>
        <v>21.9076331473816</v>
      </c>
      <c r="I9566" s="38" t="n">
        <f aca="false">Sens!$I$9565*tax</f>
        <v>24.2336313450491</v>
      </c>
      <c r="J9566" s="38" t="n">
        <f aca="false">Sens!$J$9565*tax</f>
        <v>27.2827010246639</v>
      </c>
      <c r="K9566" s="38" t="n">
        <f aca="false">Sens!$K$9565*tax</f>
        <v>29.4618959744438</v>
      </c>
      <c r="L9566" s="38" t="n">
        <f aca="false">Sens!$L$9565*tax</f>
        <v>32.2263232752671</v>
      </c>
      <c r="M9566" s="38" t="n">
        <f aca="false">Sens!$M$9565*tax</f>
        <v>35.5963901942569</v>
      </c>
      <c r="N9566" s="38" t="n">
        <f aca="false">Q!$N$37</f>
        <v>7.231</v>
      </c>
      <c r="O9566" s="38" t="n">
        <f aca="false">Q!$O$37</f>
        <v>11.856</v>
      </c>
    </row>
    <row r="9567" customFormat="false" ht="15" hidden="false" customHeight="false" outlineLevel="0" collapsed="false">
      <c r="A9567" s="3" t="s">
        <v>556</v>
      </c>
      <c r="B9567" s="8" t="s">
        <v>86</v>
      </c>
      <c r="C9567" s="38" t="n">
        <f aca="false">Q!$D$38</f>
        <v>59.248</v>
      </c>
      <c r="D9567" s="38" t="n">
        <f aca="false">Q!$E$38</f>
        <v>77.67</v>
      </c>
      <c r="E9567" s="38" t="n">
        <f aca="false">Q!$P$38</f>
        <v>92.902</v>
      </c>
      <c r="F9567" s="38" t="n">
        <f aca="false">Sens!$F$9565-Sens!$F$9566</f>
        <v>46.0366037135288</v>
      </c>
      <c r="G9567" s="38" t="n">
        <f aca="false">Sens!$E$9567+Sens!$F$9567</f>
        <v>138.938603713529</v>
      </c>
      <c r="H9567" s="38" t="n">
        <f aca="false">Sens!$H$9565-Sens!$H$9566</f>
        <v>104.29965948309</v>
      </c>
      <c r="I9567" s="38" t="n">
        <f aca="false">Sens!$I$9565-Sens!$I$9566</f>
        <v>115.373462770871</v>
      </c>
      <c r="J9567" s="38" t="n">
        <f aca="false">Sens!$J$9565-Sens!$J$9566</f>
        <v>129.889724166368</v>
      </c>
      <c r="K9567" s="38" t="n">
        <f aca="false">Sens!$K$9565-Sens!$K$9566</f>
        <v>140.264614492505</v>
      </c>
      <c r="L9567" s="38" t="n">
        <f aca="false">Sens!$L$9565-Sens!$L$9566</f>
        <v>153.4257270692</v>
      </c>
      <c r="M9567" s="38" t="n">
        <f aca="false">Sens!$M$9565-Sens!$M$9566</f>
        <v>169.470218490121</v>
      </c>
      <c r="N9567" s="38" t="n">
        <f aca="false">Q!$N$38</f>
        <v>35.291</v>
      </c>
      <c r="O9567" s="38" t="n">
        <f aca="false">Q!$O$38</f>
        <v>42.379</v>
      </c>
    </row>
    <row r="9568" customFormat="false" ht="17.15" hidden="false" customHeight="false" outlineLevel="0" collapsed="false">
      <c r="A9568" s="5" t="s">
        <v>559</v>
      </c>
      <c r="B9568" s="5" t="s">
        <v>33</v>
      </c>
      <c r="C9568" s="22" t="n">
        <f aca="false">Q!$D$41</f>
        <v>10.721</v>
      </c>
      <c r="D9568" s="22" t="n">
        <f aca="false">Q!$E$41</f>
        <v>10.827</v>
      </c>
      <c r="E9568" s="22" t="n">
        <f aca="false">(Q!$L$41+Q!$M$41)/2</f>
        <v>10.8885</v>
      </c>
      <c r="F9568" s="22" t="n">
        <f aca="false">Sens!$G$9568</f>
        <v>10.924806</v>
      </c>
      <c r="G9568" s="22" t="n">
        <f aca="false">Q!$M$41*(1+sh_g*0.25)</f>
        <v>10.924806</v>
      </c>
      <c r="H9568" s="22" t="n">
        <f aca="false">Sens!$G$9568*(1+sh_g)</f>
        <v>11.012204448</v>
      </c>
      <c r="I9568" s="22" t="n">
        <f aca="false">Sens!$H$9568*(1+sh_g)</f>
        <v>11.100302083584</v>
      </c>
      <c r="J9568" s="22" t="n">
        <f aca="false">Sens!$I$9568*(1+sh_g)</f>
        <v>11.1891045002527</v>
      </c>
      <c r="K9568" s="22" t="n">
        <f aca="false">Sens!$J$9568*(1+sh_g)</f>
        <v>11.2786173362547</v>
      </c>
      <c r="L9568" s="22" t="n">
        <f aca="false">Sens!$K$9568*(1+sh_g)</f>
        <v>11.3688462749447</v>
      </c>
      <c r="M9568" s="22" t="n">
        <f aca="false">Sens!$L$9568*(1+sh_g)</f>
        <v>11.4597970451443</v>
      </c>
      <c r="P9568" s="5" t="s">
        <v>766</v>
      </c>
    </row>
    <row r="9569" customFormat="false" ht="17.15" hidden="false" customHeight="false" outlineLevel="0" collapsed="false">
      <c r="A9569" s="5" t="s">
        <v>767</v>
      </c>
      <c r="B9569" s="0" t="s">
        <v>86</v>
      </c>
      <c r="C9569" s="38" t="n">
        <f aca="false">Sens!$C$9567+Sens!$C$9543*(1-tax)</f>
        <v>59.248</v>
      </c>
      <c r="D9569" s="38" t="n">
        <f aca="false">Sens!$D$9567+Sens!$D$9543*(1-tax)</f>
        <v>77.67</v>
      </c>
      <c r="E9569" s="38" t="n">
        <f aca="false">Sens!$E$9567+Sens!$E$9543*(1-tax)</f>
        <v>92.902</v>
      </c>
      <c r="F9569" s="38" t="n">
        <f aca="false">Sens!$F$9567+Sens!$F$9543*(1-tax)</f>
        <v>49.1531986731775</v>
      </c>
      <c r="G9569" s="38" t="n">
        <f aca="false">Sens!$G$9567+Sens!$G$9543*(1-tax)</f>
        <v>142.055198673178</v>
      </c>
      <c r="H9569" s="38" t="n">
        <f aca="false">Sens!$H$9567+Sens!$H$9543*(1-tax)</f>
        <v>116.831055438434</v>
      </c>
      <c r="I9569" s="38" t="n">
        <f aca="false">Sens!$I$9567+Sens!$I$9543*(1-tax)</f>
        <v>136.514727845811</v>
      </c>
      <c r="J9569" s="38" t="n">
        <f aca="false">Sens!$J$9567+Sens!$J$9543*(1-tax)</f>
        <v>159.679161110652</v>
      </c>
      <c r="K9569" s="38" t="n">
        <f aca="false">Sens!$K$9567+Sens!$K$9543*(1-tax)</f>
        <v>177.372351461996</v>
      </c>
      <c r="L9569" s="38" t="n">
        <f aca="false">Sens!$L$9567+Sens!$L$9543*(1-tax)</f>
        <v>195.204947712044</v>
      </c>
      <c r="M9569" s="38" t="n">
        <f aca="false">Sens!$M$9567+Sens!$M$9543*(1-tax)</f>
        <v>213.267631218502</v>
      </c>
      <c r="N9569" s="38" t="n">
        <f aca="false">Sens!$N$9567+Sens!$N$9543*(1-tax)</f>
        <v>35.291</v>
      </c>
      <c r="O9569" s="38" t="n">
        <f aca="false">Sens!$O$9567+Sens!$O$9543*(1-tax)</f>
        <v>42.379</v>
      </c>
    </row>
    <row r="9570" customFormat="false" ht="17.15" hidden="false" customHeight="false" outlineLevel="0" collapsed="false">
      <c r="A9570" s="43" t="s">
        <v>768</v>
      </c>
      <c r="B9570" s="14" t="s">
        <v>27</v>
      </c>
      <c r="C9570" s="44" t="n">
        <f aca="false">Sens!$C$9569/Sens!$C$9568</f>
        <v>5.52635015390355</v>
      </c>
      <c r="D9570" s="44" t="n">
        <f aca="false">Sens!$D$9569/Sens!$D$9568</f>
        <v>7.1737323358271</v>
      </c>
      <c r="E9570" s="44" t="n">
        <f aca="false">Sens!$E$9569/Sens!$E$9568</f>
        <v>8.53212104513937</v>
      </c>
      <c r="F9570" s="14"/>
      <c r="G9570" s="44" t="n">
        <f aca="false">Sens!$G$9569/Sens!$G$9568</f>
        <v>13.0029950804781</v>
      </c>
      <c r="H9570" s="44" t="n">
        <f aca="false">Sens!$H$9569/Sens!$H$9568</f>
        <v>10.6092341447268</v>
      </c>
      <c r="I9570" s="44" t="n">
        <f aca="false">Sens!$I$9569/Sens!$I$9568</f>
        <v>12.298289435537</v>
      </c>
      <c r="J9570" s="44" t="n">
        <f aca="false">Sens!$J$9569/Sens!$J$9568</f>
        <v>14.2709509154236</v>
      </c>
      <c r="K9570" s="44" t="n">
        <f aca="false">Sens!$K$9569/Sens!$K$9568</f>
        <v>15.7264269346065</v>
      </c>
      <c r="L9570" s="44" t="n">
        <f aca="false">Sens!$L$9569/Sens!$L$9568</f>
        <v>17.1701633561751</v>
      </c>
      <c r="M9570" s="44" t="n">
        <f aca="false">Sens!$M$9569/Sens!$M$9568</f>
        <v>18.6100705255393</v>
      </c>
      <c r="N9570" s="14"/>
      <c r="O9570" s="14"/>
    </row>
    <row r="9571" customFormat="false" ht="17.15" hidden="false" customHeight="false" outlineLevel="0" collapsed="false">
      <c r="A9571" s="0" t="s">
        <v>769</v>
      </c>
      <c r="B9571" s="0" t="s">
        <v>27</v>
      </c>
      <c r="C9571" s="30" t="n">
        <f aca="false">Sens!$C$9567/Sens!$C$9568</f>
        <v>5.52635015390355</v>
      </c>
      <c r="D9571" s="30" t="n">
        <f aca="false">Sens!$D$9567/Sens!$D$9568</f>
        <v>7.1737323358271</v>
      </c>
      <c r="E9571" s="30" t="n">
        <f aca="false">Sens!$E$9567/Sens!$E$9568</f>
        <v>8.53212104513937</v>
      </c>
      <c r="G9571" s="30" t="n">
        <f aca="false">Sens!$G$9567/Sens!$G$9568</f>
        <v>12.7177181648378</v>
      </c>
      <c r="H9571" s="30" t="n">
        <f aca="false">Sens!$H$9567/Sens!$H$9568</f>
        <v>9.47127888658407</v>
      </c>
      <c r="I9571" s="30" t="n">
        <f aca="false">Sens!$I$9567/Sens!$I$9568</f>
        <v>10.3937227925981</v>
      </c>
      <c r="J9571" s="30" t="n">
        <f aca="false">Sens!$J$9567/Sens!$J$9568</f>
        <v>11.6085897815536</v>
      </c>
      <c r="K9571" s="30" t="n">
        <f aca="false">Sens!$K$9567/Sens!$K$9568</f>
        <v>12.4363306521296</v>
      </c>
      <c r="L9571" s="30" t="n">
        <f aca="false">Sens!$L$9567/Sens!$L$9568</f>
        <v>13.4952767729235</v>
      </c>
      <c r="M9571" s="30" t="n">
        <f aca="false">Sens!$M$9567/Sens!$M$9568</f>
        <v>14.7882390781021</v>
      </c>
    </row>
    <row r="9572" customFormat="false" ht="17.15" hidden="false" customHeight="false" outlineLevel="0" collapsed="false">
      <c r="A9572" s="0" t="s">
        <v>770</v>
      </c>
      <c r="B9572" s="0" t="s">
        <v>27</v>
      </c>
      <c r="C9572" s="30" t="n">
        <f aca="false">(Sens!$C$9567-Sens!$C$9564*(1-tax))/Sens!$C$9568</f>
        <v>5.33926775917445</v>
      </c>
      <c r="D9572" s="30" t="n">
        <f aca="false">(Sens!$D$9567-Sens!$D$9564*(1-tax))/Sens!$D$9568</f>
        <v>5.67691812755503</v>
      </c>
      <c r="E9572" s="30" t="n">
        <f aca="false">(Sens!$E$9567-Sens!$E$9564*(1-tax))/Sens!$E$9568</f>
        <v>3.10602057006846</v>
      </c>
      <c r="G9572" s="30" t="n">
        <f aca="false">(Sens!$G$9567-Sens!$G$9564*(1-tax))/Sens!$G$9568</f>
        <v>7.30965004694081</v>
      </c>
      <c r="H9572" s="30" t="n">
        <f aca="false">(Sens!$H$9567-Sens!$H$9564*(1-tax))/Sens!$H$9568</f>
        <v>9.47127888658407</v>
      </c>
      <c r="I9572" s="30" t="n">
        <f aca="false">(Sens!$I$9567-Sens!$I$9564*(1-tax))/Sens!$I$9568</f>
        <v>10.3937227925981</v>
      </c>
      <c r="J9572" s="30" t="n">
        <f aca="false">(Sens!$J$9567-Sens!$J$9564*(1-tax))/Sens!$J$9568</f>
        <v>11.6085897815536</v>
      </c>
      <c r="K9572" s="30" t="n">
        <f aca="false">(Sens!$K$9567-Sens!$K$9564*(1-tax))/Sens!$K$9568</f>
        <v>12.4363306521296</v>
      </c>
      <c r="L9572" s="30" t="n">
        <f aca="false">(Sens!$L$9567-Sens!$L$9564*(1-tax))/Sens!$L$9568</f>
        <v>13.4952767729235</v>
      </c>
      <c r="M9572" s="30" t="n">
        <f aca="false">(Sens!$M$9567-Sens!$M$9564*(1-tax))/Sens!$M$9568</f>
        <v>14.7882390781021</v>
      </c>
      <c r="P9572" s="5" t="s">
        <v>771</v>
      </c>
    </row>
    <row r="9573" customFormat="false" ht="17.15" hidden="false" customHeight="false" outlineLevel="0" collapsed="false">
      <c r="A9573" s="0" t="s">
        <v>772</v>
      </c>
      <c r="B9573" s="0" t="s">
        <v>52</v>
      </c>
      <c r="H9573" s="13" t="n">
        <f aca="false">Sens!$H$9570/Sens!$G$9570-1</f>
        <v>-0.184093043251635</v>
      </c>
      <c r="I9573" s="13" t="n">
        <f aca="false">Sens!$I$9570/Sens!$H$9570-1</f>
        <v>0.159206147000695</v>
      </c>
      <c r="J9573" s="13" t="n">
        <f aca="false">Sens!$J$9570/Sens!$I$9570-1</f>
        <v>0.160401289157047</v>
      </c>
      <c r="K9573" s="13" t="n">
        <f aca="false">Sens!$K$9570/Sens!$J$9570-1</f>
        <v>0.101988720149673</v>
      </c>
      <c r="L9573" s="13" t="n">
        <f aca="false">Sens!$L$9570/Sens!$K$9570-1</f>
        <v>0.0918032066388574</v>
      </c>
      <c r="M9573" s="13" t="n">
        <f aca="false">Sens!$M$9570/Sens!$L$9570-1</f>
        <v>0.083861005832911</v>
      </c>
    </row>
    <row r="9576" customFormat="false" ht="19.4" hidden="false" customHeight="false" outlineLevel="0" collapsed="false">
      <c r="A9576" s="31" t="s">
        <v>1345</v>
      </c>
    </row>
    <row r="9577" customFormat="false" ht="17.15" hidden="false" customHeight="false" outlineLevel="0" collapsed="false">
      <c r="A9577" s="6" t="s">
        <v>16</v>
      </c>
      <c r="B9577" s="6" t="s">
        <v>17</v>
      </c>
      <c r="C9577" s="20" t="s">
        <v>504</v>
      </c>
      <c r="D9577" s="20" t="s">
        <v>505</v>
      </c>
      <c r="E9577" s="20" t="s">
        <v>587</v>
      </c>
      <c r="F9577" s="20" t="s">
        <v>588</v>
      </c>
      <c r="G9577" s="20" t="s">
        <v>589</v>
      </c>
      <c r="H9577" s="20" t="s">
        <v>590</v>
      </c>
      <c r="I9577" s="20" t="s">
        <v>591</v>
      </c>
      <c r="J9577" s="20" t="s">
        <v>592</v>
      </c>
      <c r="K9577" s="20" t="s">
        <v>593</v>
      </c>
      <c r="L9577" s="20" t="s">
        <v>594</v>
      </c>
      <c r="M9577" s="20" t="s">
        <v>595</v>
      </c>
      <c r="N9577" s="20" t="s">
        <v>596</v>
      </c>
      <c r="O9577" s="20" t="s">
        <v>597</v>
      </c>
      <c r="P9577" s="6" t="s">
        <v>23</v>
      </c>
      <c r="R9577" s="20" t="n">
        <v>2023</v>
      </c>
      <c r="S9577" s="20" t="n">
        <v>2024</v>
      </c>
      <c r="T9577" s="20" t="n">
        <v>2025</v>
      </c>
      <c r="U9577" s="20" t="n">
        <v>2026</v>
      </c>
      <c r="V9577" s="20" t="n">
        <v>2027</v>
      </c>
      <c r="W9577" s="20" t="n">
        <v>2028</v>
      </c>
      <c r="X9577" s="20" t="n">
        <v>2029</v>
      </c>
      <c r="Y9577" s="20" t="n">
        <v>2030</v>
      </c>
      <c r="Z9577" s="20" t="n">
        <v>2031</v>
      </c>
      <c r="AA9577" s="20" t="n">
        <v>2032</v>
      </c>
    </row>
    <row r="9578" customFormat="false" ht="15" hidden="false" customHeight="false" outlineLevel="0" collapsed="false">
      <c r="A9578" s="5" t="s">
        <v>556</v>
      </c>
      <c r="B9578" s="0" t="s">
        <v>86</v>
      </c>
      <c r="C9578" s="38" t="n">
        <f aca="false">Sens!$C$9567</f>
        <v>59.248</v>
      </c>
      <c r="D9578" s="38" t="n">
        <f aca="false">Sens!$D$9567</f>
        <v>77.67</v>
      </c>
      <c r="E9578" s="38" t="n">
        <f aca="false">Sens!$E$9567</f>
        <v>92.902</v>
      </c>
      <c r="F9578" s="38" t="n">
        <f aca="false">Sens!$F$9567</f>
        <v>46.0366037135288</v>
      </c>
      <c r="G9578" s="38" t="n">
        <f aca="false">Sens!$G$9567</f>
        <v>138.938603713529</v>
      </c>
      <c r="H9578" s="38" t="n">
        <f aca="false">Sens!$H$9567</f>
        <v>104.29965948309</v>
      </c>
      <c r="I9578" s="38" t="n">
        <f aca="false">Sens!$I$9567</f>
        <v>115.373462770871</v>
      </c>
      <c r="J9578" s="38" t="n">
        <f aca="false">Sens!$J$9567</f>
        <v>129.889724166368</v>
      </c>
      <c r="K9578" s="38" t="n">
        <f aca="false">Sens!$K$9567</f>
        <v>140.264614492505</v>
      </c>
      <c r="L9578" s="38" t="n">
        <f aca="false">Sens!$L$9567</f>
        <v>153.4257270692</v>
      </c>
      <c r="M9578" s="38" t="n">
        <f aca="false">Sens!$M$9567</f>
        <v>169.470218490121</v>
      </c>
    </row>
    <row r="9579" customFormat="false" ht="17.15" hidden="false" customHeight="false" outlineLevel="0" collapsed="false">
      <c r="A9579" s="5" t="s">
        <v>795</v>
      </c>
      <c r="B9579" s="0" t="s">
        <v>86</v>
      </c>
      <c r="C9579" s="38" t="n">
        <f aca="false">Sens!$C$9555</f>
        <v>32.067</v>
      </c>
      <c r="D9579" s="38" t="n">
        <f aca="false">Sens!$D$9555</f>
        <v>41.86</v>
      </c>
      <c r="E9579" s="38" t="n">
        <f aca="false">Sens!$E$9555</f>
        <v>26.703</v>
      </c>
      <c r="F9579" s="38" t="n">
        <f aca="false">Sens!$F$9555</f>
        <v>29.152860869477</v>
      </c>
      <c r="G9579" s="38" t="n">
        <f aca="false">Sens!$G$9555</f>
        <v>55.855860869477</v>
      </c>
      <c r="H9579" s="38" t="n">
        <f aca="false">Sens!$H$9555</f>
        <v>81.5618233196153</v>
      </c>
      <c r="I9579" s="38" t="n">
        <f aca="false">Sens!$I$9555</f>
        <v>118.756208740204</v>
      </c>
      <c r="J9579" s="38" t="n">
        <f aca="false">Sens!$J$9555</f>
        <v>152.469489406791</v>
      </c>
      <c r="K9579" s="38" t="n">
        <f aca="false">Sens!$K$9555</f>
        <v>186.391502623819</v>
      </c>
      <c r="L9579" s="38" t="n">
        <f aca="false">Sens!$L$9555</f>
        <v>211.536352632128</v>
      </c>
      <c r="M9579" s="38" t="n">
        <f aca="false">Sens!$M$9555</f>
        <v>227.842273347845</v>
      </c>
    </row>
    <row r="9580" customFormat="false" ht="15" hidden="false" customHeight="false" outlineLevel="0" collapsed="false">
      <c r="A9580" s="5" t="s">
        <v>796</v>
      </c>
      <c r="B9580" s="0" t="s">
        <v>86</v>
      </c>
      <c r="C9580" s="38" t="n">
        <f aca="false">Q!$D$48</f>
        <v>22.011</v>
      </c>
      <c r="D9580" s="38" t="n">
        <f aca="false">Q!$E$48</f>
        <v>19.467</v>
      </c>
      <c r="E9580" s="38" t="n">
        <f aca="false">Q!$P$48</f>
        <v>10.07</v>
      </c>
      <c r="F9580" s="38" t="n">
        <f aca="false">sbc_r*Sens!$F$9497</f>
        <v>10.8507035798037</v>
      </c>
      <c r="G9580" s="38" t="n">
        <f aca="false">Sens!$E$9580+Sens!$F$9580</f>
        <v>20.9207035798037</v>
      </c>
      <c r="H9580" s="38" t="n">
        <f aca="false">sbc_r*Sens!$H$9497</f>
        <v>23.46224366345</v>
      </c>
      <c r="I9580" s="38" t="n">
        <f aca="false">sbc_r*Sens!$I$9497</f>
        <v>26.6125957111676</v>
      </c>
      <c r="J9580" s="38" t="n">
        <f aca="false">sbc_r*Sens!$J$9497</f>
        <v>29.6280801413323</v>
      </c>
      <c r="K9580" s="38" t="n">
        <f aca="false">sbc_r*Sens!$K$9497</f>
        <v>32.26410459716</v>
      </c>
      <c r="L9580" s="38" t="n">
        <f aca="false">sbc_r*Sens!$L$9497</f>
        <v>34.7107348734595</v>
      </c>
      <c r="M9580" s="38" t="n">
        <f aca="false">sbc_r*Sens!$M$9497</f>
        <v>36.9769023298878</v>
      </c>
    </row>
    <row r="9581" customFormat="false" ht="17.15" hidden="false" customHeight="false" outlineLevel="0" collapsed="false">
      <c r="A9581" s="5" t="s">
        <v>797</v>
      </c>
      <c r="B9581" s="0" t="s">
        <v>86</v>
      </c>
      <c r="C9581" s="38" t="n">
        <f aca="false">Q!$D$44-Sens!$C$9578-Sens!$C$9579-Sens!$C$9580</f>
        <v>2.551</v>
      </c>
      <c r="D9581" s="38" t="n">
        <f aca="false">Q!$E$44-Sens!$D$9578-Sens!$D$9579-Sens!$D$9580</f>
        <v>0.51700000000001</v>
      </c>
      <c r="E9581" s="38" t="n">
        <f aca="false">Q!$P$44-Sens!$E$9578-Sens!$E$9579-Sens!$E$9580</f>
        <v>-58.256</v>
      </c>
      <c r="F9581" s="38" t="n">
        <f aca="false">oth_r*Sens!$F$9497</f>
        <v>5.22265251035878</v>
      </c>
      <c r="G9581" s="38" t="n">
        <f aca="false">Sens!$E$9581+Sens!$F$9581</f>
        <v>-53.0333474896412</v>
      </c>
      <c r="H9581" s="38" t="n">
        <f aca="false">oth_r*Sens!$H$9497</f>
        <v>11.2928295263397</v>
      </c>
      <c r="I9581" s="38" t="n">
        <f aca="false">oth_r*Sens!$I$9497</f>
        <v>12.8091546115766</v>
      </c>
      <c r="J9581" s="38" t="n">
        <f aca="false">oth_r*Sens!$J$9497</f>
        <v>14.2605653162668</v>
      </c>
      <c r="K9581" s="38" t="n">
        <f aca="false">oth_r*Sens!$K$9497</f>
        <v>15.5293346306567</v>
      </c>
      <c r="L9581" s="38" t="n">
        <f aca="false">oth_r*Sens!$L$9497</f>
        <v>16.7069448805781</v>
      </c>
      <c r="M9581" s="38" t="n">
        <f aca="false">oth_r*Sens!$M$9497</f>
        <v>17.7976949013636</v>
      </c>
      <c r="P9581" s="8" t="s">
        <v>798</v>
      </c>
    </row>
    <row r="9582" customFormat="false" ht="15" hidden="false" customHeight="false" outlineLevel="0" collapsed="false">
      <c r="A9582" s="3" t="s">
        <v>562</v>
      </c>
      <c r="B9582" s="8" t="s">
        <v>86</v>
      </c>
      <c r="C9582" s="38" t="n">
        <f aca="false">Q!$D$44</f>
        <v>115.877</v>
      </c>
      <c r="D9582" s="38" t="n">
        <f aca="false">Q!$E$44</f>
        <v>139.514</v>
      </c>
      <c r="E9582" s="38" t="n">
        <f aca="false">Q!$P$44</f>
        <v>71.419</v>
      </c>
      <c r="F9582" s="38" t="n">
        <f aca="false">Sens!$F$9578+Sens!$F$9579+Sens!$F$9580+Sens!$F$9581</f>
        <v>91.2628206731683</v>
      </c>
      <c r="G9582" s="38" t="n">
        <f aca="false">Sens!$E$9582+Sens!$F$9582</f>
        <v>162.681820673168</v>
      </c>
      <c r="H9582" s="38" t="n">
        <f aca="false">Sens!$H$9578+Sens!$H$9579+Sens!$H$9580+Sens!$H$9581</f>
        <v>220.616555992495</v>
      </c>
      <c r="I9582" s="38" t="n">
        <f aca="false">Sens!$I$9578+Sens!$I$9579+Sens!$I$9580+Sens!$I$9581</f>
        <v>273.55142183382</v>
      </c>
      <c r="J9582" s="38" t="n">
        <f aca="false">Sens!$J$9578+Sens!$J$9579+Sens!$J$9580+Sens!$J$9581</f>
        <v>326.247859030758</v>
      </c>
      <c r="K9582" s="38" t="n">
        <f aca="false">Sens!$K$9578+Sens!$K$9579+Sens!$K$9580+Sens!$K$9581</f>
        <v>374.44955634414</v>
      </c>
      <c r="L9582" s="38" t="n">
        <f aca="false">Sens!$L$9578+Sens!$L$9579+Sens!$L$9580+Sens!$L$9581</f>
        <v>416.379759455366</v>
      </c>
      <c r="M9582" s="38" t="n">
        <f aca="false">Sens!$M$9578+Sens!$M$9579+Sens!$M$9580+Sens!$M$9581</f>
        <v>452.087089069218</v>
      </c>
    </row>
    <row r="9583" customFormat="false" ht="17.15" hidden="false" customHeight="false" outlineLevel="0" collapsed="false">
      <c r="A9583" s="5" t="s">
        <v>799</v>
      </c>
      <c r="B9583" s="0" t="s">
        <v>86</v>
      </c>
      <c r="C9583" s="38" t="n">
        <f aca="false">Sens!$C$9461</f>
        <v>25.2781053077374</v>
      </c>
      <c r="D9583" s="38" t="n">
        <f aca="false">Sens!$D$9461</f>
        <v>69.5686316310026</v>
      </c>
      <c r="E9583" s="38" t="n">
        <f aca="false">Sens!$E$9461</f>
        <v>64.1899206485108</v>
      </c>
      <c r="F9583" s="38" t="n">
        <f aca="false">Sens!$F$9461</f>
        <v>88.7165504612134</v>
      </c>
      <c r="G9583" s="38" t="n">
        <f aca="false">Sens!$G$9461</f>
        <v>152.906471109724</v>
      </c>
      <c r="H9583" s="38" t="n">
        <f aca="false">Sens!$H$9461</f>
        <v>198.57136494475</v>
      </c>
      <c r="I9583" s="38" t="n">
        <f aca="false">Sens!$I$9461</f>
        <v>204.6464699105</v>
      </c>
      <c r="J9583" s="38" t="n">
        <f aca="false">Sens!$J$9461</f>
        <v>209.8832381105</v>
      </c>
      <c r="K9583" s="38" t="n">
        <f aca="false">Sens!$K$9461</f>
        <v>152.460428963578</v>
      </c>
      <c r="L9583" s="38" t="n">
        <f aca="false">Sens!$L$9461</f>
        <v>126.458229016657</v>
      </c>
      <c r="M9583" s="38" t="n">
        <f aca="false">Sens!$M$9461</f>
        <v>123.897112724985</v>
      </c>
    </row>
    <row r="9584" customFormat="false" ht="17.15" hidden="false" customHeight="false" outlineLevel="0" collapsed="false">
      <c r="A9584" s="5" t="s">
        <v>800</v>
      </c>
      <c r="B9584" s="0" t="s">
        <v>86</v>
      </c>
      <c r="C9584" s="38" t="n">
        <f aca="false">cx_awso*Sens!$C$9495</f>
        <v>21.0469989286053</v>
      </c>
      <c r="D9584" s="38" t="n">
        <f aca="false">cx_awso*Sens!$D$9495</f>
        <v>24.0042459822698</v>
      </c>
      <c r="E9584" s="38" t="n">
        <f aca="false">cx_awso*Sens!$E$9495</f>
        <v>14.261729404886</v>
      </c>
      <c r="F9584" s="38" t="n">
        <f aca="false">cx_awso*Sens!$F$9495</f>
        <v>14.3538599588493</v>
      </c>
      <c r="G9584" s="38" t="n">
        <f aca="false">Sens!$E$9584+Sens!$F$9584</f>
        <v>28.6155893637353</v>
      </c>
      <c r="H9584" s="38" t="n">
        <f aca="false">cx_awso*Sens!$H$9495</f>
        <v>32.2034154158406</v>
      </c>
      <c r="I9584" s="38" t="n">
        <f aca="false">cx_awso*Sens!$I$9495</f>
        <v>35.7539519042915</v>
      </c>
      <c r="J9584" s="38" t="n">
        <f aca="false">cx_awso*Sens!$J$9495</f>
        <v>39.1551076091815</v>
      </c>
      <c r="K9584" s="38" t="n">
        <f aca="false">cx_awso*Sens!$K$9495</f>
        <v>42.287516217916</v>
      </c>
      <c r="L9584" s="38" t="n">
        <f aca="false">cx_awso*Sens!$L$9495</f>
        <v>45.6705175153492</v>
      </c>
      <c r="M9584" s="38" t="n">
        <f aca="false">cx_awso*Sens!$M$9495</f>
        <v>49.3241589165772</v>
      </c>
    </row>
    <row r="9585" customFormat="false" ht="17.15" hidden="false" customHeight="false" outlineLevel="0" collapsed="false">
      <c r="A9585" s="5" t="s">
        <v>801</v>
      </c>
      <c r="B9585" s="0" t="s">
        <v>86</v>
      </c>
      <c r="C9585" s="38" t="n">
        <f aca="false">Q!$D$46-Sens!$C$9583-Sens!$C$9584</f>
        <v>31.3328957636573</v>
      </c>
      <c r="D9585" s="38" t="n">
        <f aca="false">Q!$E$46-Sens!$D$9583-Sens!$D$9584</f>
        <v>34.7471223867276</v>
      </c>
      <c r="E9585" s="38" t="n">
        <f aca="false">Q!$P$46-Sens!$E$9583-Sens!$E$9584</f>
        <v>17.8583499466032</v>
      </c>
      <c r="F9585" s="38" t="n">
        <f aca="false">cx_rt*Sens!$F$9424</f>
        <v>20.6195895799373</v>
      </c>
      <c r="G9585" s="38" t="n">
        <f aca="false">Sens!$E$9585+Sens!$F$9585</f>
        <v>38.4779395265405</v>
      </c>
      <c r="H9585" s="38" t="n">
        <f aca="false">cx_rt*Sens!$H$9424</f>
        <v>42.5978994743075</v>
      </c>
      <c r="I9585" s="38" t="n">
        <f aca="false">cx_rt*Sens!$I$9424</f>
        <v>46.5813904136335</v>
      </c>
      <c r="J9585" s="38" t="n">
        <f aca="false">cx_rt*Sens!$J$9424</f>
        <v>50.2781676586844</v>
      </c>
      <c r="K9585" s="38" t="n">
        <f aca="false">cx_rt*Sens!$K$9424</f>
        <v>53.5312440191755</v>
      </c>
      <c r="L9585" s="38" t="n">
        <f aca="false">cx_rt*Sens!$L$9424</f>
        <v>57.0116717051447</v>
      </c>
      <c r="M9585" s="38" t="n">
        <f aca="false">cx_rt*Sens!$M$9424</f>
        <v>60.7365554669226</v>
      </c>
    </row>
    <row r="9586" customFormat="false" ht="15" hidden="false" customHeight="false" outlineLevel="0" collapsed="false">
      <c r="A9586" s="3" t="s">
        <v>802</v>
      </c>
      <c r="B9586" s="8" t="s">
        <v>86</v>
      </c>
      <c r="C9586" s="38" t="n">
        <f aca="false">Q!$D$46</f>
        <v>77.658</v>
      </c>
      <c r="D9586" s="38" t="n">
        <f aca="false">Q!$E$46</f>
        <v>128.32</v>
      </c>
      <c r="E9586" s="38" t="n">
        <f aca="false">Q!$P$46</f>
        <v>96.31</v>
      </c>
      <c r="F9586" s="38" t="n">
        <f aca="false">Sens!$F$9583+Sens!$F$9584+Sens!$F$9585</f>
        <v>123.69</v>
      </c>
      <c r="G9586" s="38" t="n">
        <f aca="false">Sens!$E$9586+Sens!$F$9586</f>
        <v>220</v>
      </c>
      <c r="H9586" s="38" t="n">
        <f aca="false">Sens!$H$9583+Sens!$H$9584+Sens!$H$9585</f>
        <v>273.372679834898</v>
      </c>
      <c r="I9586" s="38" t="n">
        <f aca="false">Sens!$I$9583+Sens!$I$9584+Sens!$I$9585</f>
        <v>286.981812228425</v>
      </c>
      <c r="J9586" s="38" t="n">
        <f aca="false">Sens!$J$9583+Sens!$J$9584+Sens!$J$9585</f>
        <v>299.316513378366</v>
      </c>
      <c r="K9586" s="38" t="n">
        <f aca="false">Sens!$K$9583+Sens!$K$9584+Sens!$K$9585</f>
        <v>248.27918920067</v>
      </c>
      <c r="L9586" s="38" t="n">
        <f aca="false">Sens!$L$9583+Sens!$L$9584+Sens!$L$9585</f>
        <v>229.140418237151</v>
      </c>
      <c r="M9586" s="38" t="n">
        <f aca="false">Sens!$M$9583+Sens!$M$9584+Sens!$M$9585</f>
        <v>233.957827108485</v>
      </c>
    </row>
    <row r="9587" customFormat="false" ht="17.15" hidden="false" customHeight="false" outlineLevel="0" collapsed="false">
      <c r="A9587" s="5" t="s">
        <v>570</v>
      </c>
      <c r="B9587" s="0" t="s">
        <v>86</v>
      </c>
      <c r="C9587" s="38" t="n">
        <f aca="false">Q!$D$50</f>
        <v>2.043</v>
      </c>
      <c r="D9587" s="38" t="n">
        <f aca="false">Q!$E$50</f>
        <v>1.557</v>
      </c>
      <c r="E9587" s="38" t="n">
        <f aca="false">lease_pr/2</f>
        <v>0.8</v>
      </c>
      <c r="F9587" s="38" t="n">
        <f aca="false">lease_pr/2</f>
        <v>0.8</v>
      </c>
      <c r="G9587" s="38" t="n">
        <f aca="false">Sens!$E$9587+Sens!$F$9587</f>
        <v>1.6</v>
      </c>
      <c r="H9587" s="38" t="n">
        <f aca="false">lease_pr</f>
        <v>1.6</v>
      </c>
      <c r="I9587" s="38" t="n">
        <f aca="false">lease_pr</f>
        <v>1.6</v>
      </c>
      <c r="J9587" s="38" t="n">
        <f aca="false">lease_pr</f>
        <v>1.6</v>
      </c>
      <c r="K9587" s="38" t="n">
        <f aca="false">lease_pr</f>
        <v>1.6</v>
      </c>
      <c r="L9587" s="38" t="n">
        <f aca="false">lease_pr</f>
        <v>1.6</v>
      </c>
      <c r="M9587" s="38" t="n">
        <f aca="false">lease_pr</f>
        <v>1.6</v>
      </c>
      <c r="P9587" s="8" t="s">
        <v>803</v>
      </c>
    </row>
    <row r="9588" customFormat="false" ht="15" hidden="false" customHeight="false" outlineLevel="0" collapsed="false">
      <c r="A9588" s="47" t="s">
        <v>804</v>
      </c>
      <c r="B9588" s="14" t="s">
        <v>86</v>
      </c>
      <c r="C9588" s="48" t="n">
        <f aca="false">Sens!$C$9582-Sens!$C$9586-Sens!$C$9587</f>
        <v>36.176</v>
      </c>
      <c r="D9588" s="48" t="n">
        <f aca="false">Sens!$D$9582-Sens!$D$9586-Sens!$D$9587</f>
        <v>9.63700000000002</v>
      </c>
      <c r="E9588" s="48" t="n">
        <f aca="false">Sens!$E$9582-Sens!$E$9586-Sens!$E$9587</f>
        <v>-25.691</v>
      </c>
      <c r="F9588" s="48" t="n">
        <f aca="false">Sens!$F$9582-Sens!$F$9586-Sens!$F$9587</f>
        <v>-33.2271793268317</v>
      </c>
      <c r="G9588" s="48" t="n">
        <f aca="false">Sens!$G$9582-Sens!$G$9586-Sens!$G$9587</f>
        <v>-58.9181793268317</v>
      </c>
      <c r="H9588" s="48" t="n">
        <f aca="false">Sens!$H$9582-Sens!$H$9586-Sens!$H$9587</f>
        <v>-54.3561238424036</v>
      </c>
      <c r="I9588" s="48" t="n">
        <f aca="false">Sens!$I$9582-Sens!$I$9586-Sens!$I$9587</f>
        <v>-15.0303903946055</v>
      </c>
      <c r="J9588" s="48" t="n">
        <f aca="false">Sens!$J$9582-Sens!$J$9586-Sens!$J$9587</f>
        <v>25.3313456523922</v>
      </c>
      <c r="K9588" s="48" t="n">
        <f aca="false">Sens!$K$9582-Sens!$K$9586-Sens!$K$9587</f>
        <v>124.570367143471</v>
      </c>
      <c r="L9588" s="48" t="n">
        <f aca="false">Sens!$L$9582-Sens!$L$9586-Sens!$L$9587</f>
        <v>185.639341218215</v>
      </c>
      <c r="M9588" s="48" t="n">
        <f aca="false">Sens!$M$9582-Sens!$M$9586-Sens!$M$9587</f>
        <v>216.529261960733</v>
      </c>
      <c r="N9588" s="14"/>
      <c r="O9588" s="14"/>
    </row>
    <row r="9589" customFormat="false" ht="17.15" hidden="false" customHeight="false" outlineLevel="0" collapsed="false">
      <c r="A9589" s="5" t="s">
        <v>805</v>
      </c>
      <c r="B9589" s="0" t="s">
        <v>86</v>
      </c>
      <c r="C9589" s="38" t="n">
        <f aca="false">dps*Sens!$C$9568</f>
        <v>0</v>
      </c>
      <c r="D9589" s="38" t="n">
        <f aca="false">dps*Sens!$D$9568</f>
        <v>0</v>
      </c>
      <c r="E9589" s="38" t="n">
        <f aca="false">dps*Sens!$E$9568</f>
        <v>0</v>
      </c>
      <c r="F9589" s="38" t="n">
        <f aca="false">0</f>
        <v>0</v>
      </c>
      <c r="G9589" s="38" t="n">
        <f aca="false">dps*Sens!$G$9568</f>
        <v>0</v>
      </c>
      <c r="H9589" s="38" t="n">
        <f aca="false">dps*Sens!$H$9568</f>
        <v>0</v>
      </c>
      <c r="I9589" s="38" t="n">
        <f aca="false">dps*Sens!$I$9568</f>
        <v>0</v>
      </c>
      <c r="J9589" s="38" t="n">
        <f aca="false">dps*Sens!$J$9568</f>
        <v>0</v>
      </c>
      <c r="K9589" s="38" t="n">
        <f aca="false">dps*Sens!$K$9568</f>
        <v>0</v>
      </c>
      <c r="L9589" s="38" t="n">
        <f aca="false">dps*Sens!$L$9568</f>
        <v>0</v>
      </c>
      <c r="M9589" s="38" t="n">
        <f aca="false">dps*Sens!$M$9568</f>
        <v>0</v>
      </c>
      <c r="P9589" s="8" t="s">
        <v>806</v>
      </c>
    </row>
    <row r="9590" customFormat="false" ht="17.15" hidden="false" customHeight="false" outlineLevel="0" collapsed="false">
      <c r="A9590" s="5" t="s">
        <v>807</v>
      </c>
      <c r="B9590" s="0" t="s">
        <v>86</v>
      </c>
      <c r="C9590" s="38" t="n">
        <f aca="false">0</f>
        <v>0</v>
      </c>
      <c r="D9590" s="38" t="n">
        <f aca="false">0</f>
        <v>0</v>
      </c>
      <c r="E9590" s="38" t="n">
        <f aca="false">0</f>
        <v>0</v>
      </c>
      <c r="F9590" s="38" t="n">
        <f aca="false">0</f>
        <v>0</v>
      </c>
      <c r="G9590" s="38" t="n">
        <f aca="false">0</f>
        <v>0</v>
      </c>
      <c r="H9590" s="38" t="n">
        <f aca="false">0</f>
        <v>0</v>
      </c>
      <c r="I9590" s="38" t="n">
        <f aca="false">0</f>
        <v>0</v>
      </c>
      <c r="J9590" s="38" t="n">
        <f aca="false">0</f>
        <v>0</v>
      </c>
      <c r="K9590" s="38" t="n">
        <f aca="false">0</f>
        <v>0</v>
      </c>
      <c r="L9590" s="38" t="n">
        <f aca="false">0</f>
        <v>0</v>
      </c>
      <c r="M9590" s="38" t="n">
        <f aca="false">0</f>
        <v>0</v>
      </c>
      <c r="P9590" s="8" t="s">
        <v>808</v>
      </c>
    </row>
    <row r="9591" customFormat="false" ht="15" hidden="false" customHeight="false" outlineLevel="0" collapsed="false">
      <c r="A9591" s="3" t="s">
        <v>809</v>
      </c>
      <c r="B9591" s="8" t="s">
        <v>86</v>
      </c>
      <c r="C9591" s="38" t="n">
        <f aca="false">Sens!$C$9588-Sens!$C$9589</f>
        <v>36.176</v>
      </c>
      <c r="D9591" s="38" t="n">
        <f aca="false">Sens!$D$9588-Sens!$D$9589</f>
        <v>9.63700000000002</v>
      </c>
      <c r="E9591" s="38" t="n">
        <f aca="false">Sens!$E$9588-Sens!$E$9589</f>
        <v>-25.691</v>
      </c>
      <c r="F9591" s="38" t="n">
        <f aca="false">Sens!$F$9588-Sens!$F$9589</f>
        <v>-33.2271793268317</v>
      </c>
      <c r="G9591" s="38" t="n">
        <f aca="false">Sens!$G$9588-Sens!$G$9589</f>
        <v>-58.9181793268317</v>
      </c>
      <c r="H9591" s="38" t="n">
        <f aca="false">Sens!$H$9588-Sens!$H$9589</f>
        <v>-54.3561238424036</v>
      </c>
      <c r="I9591" s="38" t="n">
        <f aca="false">Sens!$I$9588-Sens!$I$9589</f>
        <v>-15.0303903946055</v>
      </c>
      <c r="J9591" s="38" t="n">
        <f aca="false">Sens!$J$9588-Sens!$J$9589</f>
        <v>25.3313456523922</v>
      </c>
      <c r="K9591" s="38" t="n">
        <f aca="false">Sens!$K$9588-Sens!$K$9589</f>
        <v>124.570367143471</v>
      </c>
      <c r="L9591" s="38" t="n">
        <f aca="false">Sens!$L$9588-Sens!$L$9589</f>
        <v>185.639341218215</v>
      </c>
      <c r="M9591" s="38" t="n">
        <f aca="false">Sens!$M$9588-Sens!$M$9589</f>
        <v>216.529261960733</v>
      </c>
    </row>
    <row r="9592" customFormat="false" ht="17.15" hidden="false" customHeight="false" outlineLevel="0" collapsed="false">
      <c r="A9592" s="5" t="s">
        <v>810</v>
      </c>
      <c r="B9592" s="0" t="s">
        <v>86</v>
      </c>
      <c r="E9592" s="38" t="n">
        <f aca="false">Q!$P$53</f>
        <v>39.767</v>
      </c>
      <c r="F9592" s="38" t="n">
        <f aca="false">inv_2h26</f>
        <v>21.3</v>
      </c>
      <c r="G9592" s="38" t="n">
        <f aca="false">Sens!$E$9592+Sens!$F$9592</f>
        <v>61.067</v>
      </c>
      <c r="H9592" s="39" t="n">
        <v>0</v>
      </c>
      <c r="I9592" s="39" t="n">
        <v>0</v>
      </c>
      <c r="J9592" s="39" t="n">
        <v>0</v>
      </c>
      <c r="K9592" s="39" t="n">
        <v>0</v>
      </c>
      <c r="L9592" s="39" t="n">
        <v>0</v>
      </c>
      <c r="M9592" s="39" t="n">
        <v>0</v>
      </c>
    </row>
    <row r="9593" customFormat="false" ht="17.15" hidden="false" customHeight="false" outlineLevel="0" collapsed="false">
      <c r="A9593" s="5" t="s">
        <v>811</v>
      </c>
      <c r="B9593" s="0" t="s">
        <v>86</v>
      </c>
      <c r="F9593" s="38" t="n">
        <f aca="false">iss_2h26</f>
        <v>29.249999</v>
      </c>
      <c r="G9593" s="38" t="n">
        <f aca="false">Sens!$F$9593</f>
        <v>29.249999</v>
      </c>
      <c r="H9593" s="39" t="n">
        <v>0</v>
      </c>
      <c r="I9593" s="39" t="n">
        <v>0</v>
      </c>
      <c r="J9593" s="39" t="n">
        <v>0</v>
      </c>
      <c r="K9593" s="39" t="n">
        <v>0</v>
      </c>
      <c r="L9593" s="39" t="n">
        <v>0</v>
      </c>
      <c r="M9593" s="39" t="n">
        <v>0</v>
      </c>
    </row>
    <row r="9594" customFormat="false" ht="17.15" hidden="false" customHeight="false" outlineLevel="0" collapsed="false">
      <c r="A9594" s="5" t="s">
        <v>812</v>
      </c>
      <c r="B9594" s="0" t="s">
        <v>86</v>
      </c>
      <c r="F9594" s="38" t="n">
        <f aca="false">cash_q2</f>
        <v>122.988</v>
      </c>
      <c r="G9594" s="38" t="n">
        <f aca="false">cash_q2</f>
        <v>122.988</v>
      </c>
      <c r="H9594" s="38" t="n">
        <f aca="false">Sens!$G$9597</f>
        <v>97.7108196731683</v>
      </c>
      <c r="I9594" s="38" t="n">
        <f aca="false">Sens!$H$9597</f>
        <v>50</v>
      </c>
      <c r="J9594" s="38" t="n">
        <f aca="false">Sens!$I$9597</f>
        <v>50</v>
      </c>
      <c r="K9594" s="38" t="n">
        <f aca="false">Sens!$J$9597</f>
        <v>75.3313456523922</v>
      </c>
      <c r="L9594" s="38" t="n">
        <f aca="false">Sens!$K$9597</f>
        <v>199.901712795863</v>
      </c>
      <c r="M9594" s="38" t="n">
        <f aca="false">Sens!$L$9597</f>
        <v>385.541054014078</v>
      </c>
    </row>
    <row r="9595" customFormat="false" ht="15" hidden="false" customHeight="false" outlineLevel="0" collapsed="false">
      <c r="A9595" s="5" t="s">
        <v>813</v>
      </c>
      <c r="B9595" s="0" t="s">
        <v>86</v>
      </c>
      <c r="F9595" s="38" t="n">
        <f aca="false">Sens!$F$9594+Sens!$F$9591-Sens!$F$9590-Sens!$F$9592+Sens!$F$9593</f>
        <v>97.7108196731683</v>
      </c>
      <c r="H9595" s="38" t="n">
        <f aca="false">Sens!$H$9594+Sens!$H$9591-Sens!$H$9590-Sens!$H$9592+Sens!$H$9593</f>
        <v>43.3546958307647</v>
      </c>
      <c r="I9595" s="38" t="n">
        <f aca="false">Sens!$I$9594+Sens!$I$9591-Sens!$I$9590-Sens!$I$9592+Sens!$I$9593</f>
        <v>34.9696096053945</v>
      </c>
      <c r="J9595" s="38" t="n">
        <f aca="false">Sens!$J$9594+Sens!$J$9591-Sens!$J$9590-Sens!$J$9592+Sens!$J$9593</f>
        <v>75.3313456523922</v>
      </c>
      <c r="K9595" s="38" t="n">
        <f aca="false">Sens!$K$9594+Sens!$K$9591-Sens!$K$9590-Sens!$K$9592+Sens!$K$9593</f>
        <v>199.901712795863</v>
      </c>
      <c r="L9595" s="38" t="n">
        <f aca="false">Sens!$L$9594+Sens!$L$9591-Sens!$L$9590-Sens!$L$9592+Sens!$L$9593</f>
        <v>385.541054014078</v>
      </c>
      <c r="M9595" s="38" t="n">
        <f aca="false">Sens!$M$9594+Sens!$M$9591-Sens!$M$9590-Sens!$M$9592+Sens!$M$9593</f>
        <v>602.070315974811</v>
      </c>
    </row>
    <row r="9596" customFormat="false" ht="17.15" hidden="false" customHeight="false" outlineLevel="0" collapsed="false">
      <c r="A9596" s="5" t="s">
        <v>814</v>
      </c>
      <c r="B9596" s="0" t="s">
        <v>86</v>
      </c>
      <c r="F9596" s="38" t="n">
        <f aca="false">MAX(0,min_cash-Sens!$F$9595)</f>
        <v>0</v>
      </c>
      <c r="G9596" s="38" t="n">
        <f aca="false">Sens!$F$9596</f>
        <v>0</v>
      </c>
      <c r="H9596" s="38" t="n">
        <f aca="false">MAX(0,min_cash-Sens!$H$9595)</f>
        <v>6.64530416923528</v>
      </c>
      <c r="I9596" s="38" t="n">
        <f aca="false">MAX(0,min_cash-Sens!$I$9595)</f>
        <v>15.0303903946055</v>
      </c>
      <c r="J9596" s="38" t="n">
        <f aca="false">MAX(0,min_cash-Sens!$J$9595)</f>
        <v>0</v>
      </c>
      <c r="K9596" s="38" t="n">
        <f aca="false">MAX(0,min_cash-Sens!$K$9595)</f>
        <v>0</v>
      </c>
      <c r="L9596" s="38" t="n">
        <f aca="false">MAX(0,min_cash-Sens!$L$9595)</f>
        <v>0</v>
      </c>
      <c r="M9596" s="38" t="n">
        <f aca="false">MAX(0,min_cash-Sens!$M$9595)</f>
        <v>0</v>
      </c>
      <c r="P9596" s="5" t="s">
        <v>815</v>
      </c>
    </row>
    <row r="9597" customFormat="false" ht="15" hidden="false" customHeight="false" outlineLevel="0" collapsed="false">
      <c r="A9597" s="5" t="s">
        <v>816</v>
      </c>
      <c r="B9597" s="0" t="s">
        <v>86</v>
      </c>
      <c r="D9597" s="38" t="n">
        <f aca="false">Q!$E$61</f>
        <v>123.029</v>
      </c>
      <c r="E9597" s="38" t="n">
        <f aca="false">Q!$M$61</f>
        <v>122.988</v>
      </c>
      <c r="F9597" s="38" t="n">
        <f aca="false">Sens!$F$9595+Sens!$F$9596</f>
        <v>97.7108196731683</v>
      </c>
      <c r="G9597" s="38" t="n">
        <f aca="false">Sens!$F$9597</f>
        <v>97.7108196731683</v>
      </c>
      <c r="H9597" s="38" t="n">
        <f aca="false">Sens!$H$9595+Sens!$H$9596</f>
        <v>50</v>
      </c>
      <c r="I9597" s="38" t="n">
        <f aca="false">Sens!$I$9595+Sens!$I$9596</f>
        <v>50</v>
      </c>
      <c r="J9597" s="38" t="n">
        <f aca="false">Sens!$J$9595+Sens!$J$9596</f>
        <v>75.3313456523922</v>
      </c>
      <c r="K9597" s="38" t="n">
        <f aca="false">Sens!$K$9595+Sens!$K$9596</f>
        <v>199.901712795863</v>
      </c>
      <c r="L9597" s="38" t="n">
        <f aca="false">Sens!$L$9595+Sens!$L$9596</f>
        <v>385.541054014078</v>
      </c>
      <c r="M9597" s="38" t="n">
        <f aca="false">Sens!$M$9595+Sens!$M$9596</f>
        <v>602.070315974811</v>
      </c>
    </row>
    <row r="9598" customFormat="false" ht="15" hidden="false" customHeight="false" outlineLevel="0" collapsed="false">
      <c r="A9598" s="5" t="s">
        <v>817</v>
      </c>
      <c r="B9598" s="0" t="s">
        <v>86</v>
      </c>
      <c r="D9598" s="38" t="n">
        <f aca="false">Q!$E$62</f>
        <v>68.836</v>
      </c>
      <c r="E9598" s="38" t="n">
        <f aca="false">Q!$M$62</f>
        <v>132.995</v>
      </c>
      <c r="F9598" s="38" t="n">
        <f aca="false">debt_q2+Sens!$F$9593+Sens!$F$9596</f>
        <v>162.244999</v>
      </c>
      <c r="G9598" s="38" t="n">
        <f aca="false">Sens!$F$9598</f>
        <v>162.244999</v>
      </c>
      <c r="H9598" s="38" t="n">
        <f aca="false">Sens!$G$9598+Sens!$H$9596</f>
        <v>168.890303169235</v>
      </c>
      <c r="I9598" s="38" t="n">
        <f aca="false">Sens!$H$9598+Sens!$I$9596</f>
        <v>183.920693563841</v>
      </c>
      <c r="J9598" s="38" t="n">
        <f aca="false">Sens!$I$9598+Sens!$J$9596</f>
        <v>183.920693563841</v>
      </c>
      <c r="K9598" s="38" t="n">
        <f aca="false">Sens!$J$9598+Sens!$K$9596</f>
        <v>183.920693563841</v>
      </c>
      <c r="L9598" s="38" t="n">
        <f aca="false">Sens!$K$9598+Sens!$L$9596</f>
        <v>183.920693563841</v>
      </c>
      <c r="M9598" s="38" t="n">
        <f aca="false">Sens!$L$9598+Sens!$M$9596</f>
        <v>183.920693563841</v>
      </c>
    </row>
    <row r="9599" customFormat="false" ht="15" hidden="false" customHeight="false" outlineLevel="0" collapsed="false">
      <c r="A9599" s="5" t="s">
        <v>818</v>
      </c>
      <c r="B9599" s="0" t="s">
        <v>86</v>
      </c>
      <c r="D9599" s="38" t="n">
        <f aca="false">Sens!$D$9598-Sens!$D$9597</f>
        <v>-54.193</v>
      </c>
      <c r="E9599" s="38" t="n">
        <f aca="false">Sens!$E$9598-Sens!$E$9597</f>
        <v>10.007</v>
      </c>
      <c r="F9599" s="38" t="n">
        <f aca="false">Sens!$F$9598-Sens!$F$9597</f>
        <v>64.5341793268317</v>
      </c>
      <c r="G9599" s="38" t="n">
        <f aca="false">Sens!$G$9598-Sens!$G$9597</f>
        <v>64.5341793268317</v>
      </c>
      <c r="H9599" s="38" t="n">
        <f aca="false">Sens!$H$9598-Sens!$H$9597</f>
        <v>118.890303169235</v>
      </c>
      <c r="I9599" s="38" t="n">
        <f aca="false">Sens!$I$9598-Sens!$I$9597</f>
        <v>133.920693563841</v>
      </c>
      <c r="J9599" s="38" t="n">
        <f aca="false">Sens!$J$9598-Sens!$J$9597</f>
        <v>108.589347911449</v>
      </c>
      <c r="K9599" s="38" t="n">
        <f aca="false">Sens!$K$9598-Sens!$K$9597</f>
        <v>-15.9810192320221</v>
      </c>
      <c r="L9599" s="38" t="n">
        <f aca="false">Sens!$L$9598-Sens!$L$9597</f>
        <v>-201.620360450237</v>
      </c>
      <c r="M9599" s="38" t="n">
        <f aca="false">Sens!$M$9598-Sens!$M$9597</f>
        <v>-418.14962241097</v>
      </c>
    </row>
    <row r="9600" customFormat="false" ht="17.15" hidden="false" customHeight="false" outlineLevel="0" collapsed="false">
      <c r="A9600" s="5" t="s">
        <v>819</v>
      </c>
      <c r="B9600" s="0" t="s">
        <v>86</v>
      </c>
      <c r="F9600" s="38" t="n">
        <f aca="false">debt_q2*kd_book*0.5+iss_2h26*kd_new*iss_t</f>
        <v>3.24888962733561</v>
      </c>
      <c r="H9600" s="38" t="n">
        <f aca="false">debt_q2*kd_book+(Sens!$G$9598-debt_q2)*kd_new</f>
        <v>7.42354172302123</v>
      </c>
      <c r="I9600" s="38" t="n">
        <f aca="false">debt_q2*kd_book+(Sens!$H$9598-debt_q2)*kd_new</f>
        <v>7.84418947693382</v>
      </c>
      <c r="J9600" s="38" t="n">
        <f aca="false">debt_q2*kd_book+(Sens!$I$9598-debt_q2)*kd_new</f>
        <v>8.79561318891235</v>
      </c>
      <c r="K9600" s="38" t="n">
        <f aca="false">debt_q2*kd_book+(Sens!$J$9598-debt_q2)*kd_new</f>
        <v>8.79561318891235</v>
      </c>
      <c r="L9600" s="38" t="n">
        <f aca="false">debt_q2*kd_book+(Sens!$K$9598-debt_q2)*kd_new</f>
        <v>8.79561318891235</v>
      </c>
      <c r="M9600" s="38" t="n">
        <f aca="false">debt_q2*kd_book+(Sens!$L$9598-debt_q2)*kd_new</f>
        <v>8.79561318891235</v>
      </c>
    </row>
    <row r="9601" customFormat="false" ht="17.15" hidden="false" customHeight="false" outlineLevel="0" collapsed="false">
      <c r="A9601" s="5" t="s">
        <v>820</v>
      </c>
      <c r="B9601" s="0" t="s">
        <v>86</v>
      </c>
      <c r="F9601" s="38" t="n">
        <f aca="false">cash_q2*y_cash*0.5</f>
        <v>2.59</v>
      </c>
      <c r="H9601" s="38" t="n">
        <f aca="false">Sens!$G$9597*y_cash</f>
        <v>4.1153774832261</v>
      </c>
      <c r="I9601" s="38" t="n">
        <f aca="false">Sens!$H$9597*y_cash</f>
        <v>2.10589651022864</v>
      </c>
      <c r="J9601" s="38" t="n">
        <f aca="false">Sens!$I$9597*y_cash</f>
        <v>2.10589651022864</v>
      </c>
      <c r="K9601" s="38" t="n">
        <f aca="false">Sens!$J$9597*y_cash</f>
        <v>3.172800358404</v>
      </c>
      <c r="L9601" s="38" t="n">
        <f aca="false">Sens!$K$9597*y_cash</f>
        <v>8.41944638731071</v>
      </c>
      <c r="M9601" s="38" t="n">
        <f aca="false">Sens!$L$9597*y_cash</f>
        <v>16.2381912039624</v>
      </c>
    </row>
    <row r="9602" customFormat="false" ht="17.15" hidden="false" customHeight="false" outlineLevel="0" collapsed="false">
      <c r="A9602" s="47" t="s">
        <v>821</v>
      </c>
      <c r="B9602" s="14" t="s">
        <v>86</v>
      </c>
      <c r="C9602" s="14"/>
      <c r="D9602" s="14"/>
      <c r="E9602" s="14"/>
      <c r="F9602" s="14"/>
      <c r="G9602" s="48" t="n">
        <f aca="false">SUM(Sens!$G$9591:$K$9591)</f>
        <v>21.5970192320221</v>
      </c>
      <c r="H9602" s="14"/>
      <c r="I9602" s="14"/>
      <c r="J9602" s="14"/>
      <c r="K9602" s="14"/>
      <c r="L9602" s="14"/>
      <c r="M9602" s="14"/>
      <c r="N9602" s="14"/>
      <c r="O9602" s="14"/>
    </row>
    <row r="9603" customFormat="false" ht="17.15" hidden="false" customHeight="false" outlineLevel="0" collapsed="false">
      <c r="A9603" s="0" t="s">
        <v>787</v>
      </c>
      <c r="B9603" s="0" t="s">
        <v>86</v>
      </c>
      <c r="G9603" s="38" t="n">
        <f aca="false">SUM(Sens!$G$9596:$K$9596)</f>
        <v>21.6756945638408</v>
      </c>
    </row>
    <row r="9604" customFormat="false" ht="17.15" hidden="false" customHeight="false" outlineLevel="0" collapsed="false">
      <c r="A9604" s="24" t="s">
        <v>824</v>
      </c>
      <c r="B9604" s="25" t="s">
        <v>86</v>
      </c>
      <c r="C9604" s="25"/>
      <c r="D9604" s="25"/>
      <c r="E9604" s="25"/>
      <c r="F9604" s="25"/>
      <c r="G9604" s="41" t="n">
        <f aca="false">Sens!$G$9602-(Sens!$G$9591+Sens!$H$9591+Sens!$I$9591+Sens!$J$9591+Sens!$K$9591)</f>
        <v>0</v>
      </c>
      <c r="H9604" s="25"/>
      <c r="I9604" s="25"/>
      <c r="J9604" s="25"/>
      <c r="K9604" s="25"/>
      <c r="L9604" s="25"/>
      <c r="M9604" s="25"/>
      <c r="N9604" s="25"/>
      <c r="O9604" s="25"/>
    </row>
    <row r="9607" customFormat="false" ht="19.4" hidden="false" customHeight="false" outlineLevel="0" collapsed="false">
      <c r="A9607" s="31" t="s">
        <v>1346</v>
      </c>
    </row>
    <row r="9608" customFormat="false" ht="17.15" hidden="false" customHeight="false" outlineLevel="0" collapsed="false">
      <c r="A9608" s="6" t="s">
        <v>16</v>
      </c>
      <c r="B9608" s="6" t="s">
        <v>17</v>
      </c>
      <c r="C9608" s="20" t="s">
        <v>504</v>
      </c>
      <c r="D9608" s="20" t="s">
        <v>505</v>
      </c>
      <c r="E9608" s="20" t="s">
        <v>587</v>
      </c>
      <c r="F9608" s="20" t="s">
        <v>588</v>
      </c>
      <c r="G9608" s="20" t="s">
        <v>589</v>
      </c>
      <c r="H9608" s="20" t="s">
        <v>590</v>
      </c>
      <c r="I9608" s="20" t="s">
        <v>591</v>
      </c>
      <c r="J9608" s="20" t="s">
        <v>592</v>
      </c>
      <c r="K9608" s="20" t="s">
        <v>593</v>
      </c>
      <c r="L9608" s="20" t="s">
        <v>594</v>
      </c>
      <c r="M9608" s="20" t="s">
        <v>595</v>
      </c>
      <c r="N9608" s="20" t="s">
        <v>596</v>
      </c>
      <c r="O9608" s="20" t="s">
        <v>597</v>
      </c>
      <c r="P9608" s="6" t="s">
        <v>23</v>
      </c>
      <c r="R9608" s="20" t="n">
        <v>2023</v>
      </c>
      <c r="S9608" s="20" t="n">
        <v>2024</v>
      </c>
      <c r="T9608" s="20" t="n">
        <v>2025</v>
      </c>
      <c r="U9608" s="20" t="n">
        <v>2026</v>
      </c>
      <c r="V9608" s="20" t="n">
        <v>2027</v>
      </c>
      <c r="W9608" s="20" t="n">
        <v>2028</v>
      </c>
      <c r="X9608" s="20" t="n">
        <v>2029</v>
      </c>
      <c r="Y9608" s="20" t="n">
        <v>2030</v>
      </c>
      <c r="Z9608" s="20" t="n">
        <v>2031</v>
      </c>
      <c r="AA9608" s="20" t="n">
        <v>2032</v>
      </c>
    </row>
    <row r="9609" customFormat="false" ht="17.15" hidden="false" customHeight="false" outlineLevel="0" collapsed="false">
      <c r="A9609" s="1" t="s">
        <v>926</v>
      </c>
    </row>
    <row r="9610" customFormat="false" ht="17.15" hidden="false" customHeight="false" outlineLevel="0" collapsed="false">
      <c r="A9610" s="0" t="s">
        <v>927</v>
      </c>
      <c r="B9610" s="0" t="s">
        <v>86</v>
      </c>
      <c r="H9610" s="38" t="n">
        <f aca="false">Sens!$H$9544*(1-tax)</f>
        <v>119.56497355468</v>
      </c>
      <c r="I9610" s="38" t="n">
        <f aca="false">Sens!$I$9544*(1-tax)</f>
        <v>141.256941944278</v>
      </c>
      <c r="J9610" s="38" t="n">
        <f aca="false">Sens!$J$9544*(1-tax)</f>
        <v>165.207646486437</v>
      </c>
      <c r="K9610" s="38" t="n">
        <f aca="false">Sens!$K$9544*(1-tax)</f>
        <v>182.019130989042</v>
      </c>
      <c r="L9610" s="38" t="n">
        <f aca="false">Sens!$L$9544*(1-tax)</f>
        <v>195.515817777459</v>
      </c>
      <c r="M9610" s="38" t="n">
        <f aca="false">Sens!$M$9544*(1-tax)</f>
        <v>207.116969585035</v>
      </c>
    </row>
    <row r="9611" customFormat="false" ht="15" hidden="false" customHeight="false" outlineLevel="0" collapsed="false">
      <c r="A9611" s="5" t="s">
        <v>928</v>
      </c>
      <c r="B9611" s="0" t="s">
        <v>86</v>
      </c>
      <c r="H9611" s="38" t="n">
        <f aca="false">Sens!$H$9555</f>
        <v>81.5618233196153</v>
      </c>
      <c r="I9611" s="38" t="n">
        <f aca="false">Sens!$I$9555</f>
        <v>118.756208740204</v>
      </c>
      <c r="J9611" s="38" t="n">
        <f aca="false">Sens!$J$9555</f>
        <v>152.469489406791</v>
      </c>
      <c r="K9611" s="38" t="n">
        <f aca="false">Sens!$K$9555</f>
        <v>186.391502623819</v>
      </c>
      <c r="L9611" s="38" t="n">
        <f aca="false">Sens!$L$9555</f>
        <v>211.536352632128</v>
      </c>
      <c r="M9611" s="38" t="n">
        <f aca="false">Sens!$M$9555</f>
        <v>227.842273347845</v>
      </c>
    </row>
    <row r="9612" customFormat="false" ht="15" hidden="false" customHeight="false" outlineLevel="0" collapsed="false">
      <c r="A9612" s="5" t="s">
        <v>929</v>
      </c>
      <c r="B9612" s="0" t="s">
        <v>86</v>
      </c>
      <c r="H9612" s="38" t="n">
        <f aca="false">Sens!$H$9586</f>
        <v>273.372679834898</v>
      </c>
      <c r="I9612" s="38" t="n">
        <f aca="false">Sens!$I$9586</f>
        <v>286.981812228425</v>
      </c>
      <c r="J9612" s="38" t="n">
        <f aca="false">Sens!$J$9586</f>
        <v>299.316513378366</v>
      </c>
      <c r="K9612" s="38" t="n">
        <f aca="false">Sens!$K$9586</f>
        <v>248.27918920067</v>
      </c>
      <c r="L9612" s="38" t="n">
        <f aca="false">Sens!$L$9586</f>
        <v>229.140418237151</v>
      </c>
      <c r="M9612" s="38" t="n">
        <f aca="false">Sens!$M$9586</f>
        <v>233.957827108485</v>
      </c>
    </row>
    <row r="9613" customFormat="false" ht="15" hidden="false" customHeight="false" outlineLevel="0" collapsed="false">
      <c r="A9613" s="5" t="s">
        <v>930</v>
      </c>
      <c r="B9613" s="0" t="s">
        <v>86</v>
      </c>
      <c r="H9613" s="38" t="n">
        <f aca="false">Sens!$H$9587</f>
        <v>1.6</v>
      </c>
      <c r="I9613" s="38" t="n">
        <f aca="false">Sens!$I$9587</f>
        <v>1.6</v>
      </c>
      <c r="J9613" s="38" t="n">
        <f aca="false">Sens!$J$9587</f>
        <v>1.6</v>
      </c>
      <c r="K9613" s="38" t="n">
        <f aca="false">Sens!$K$9587</f>
        <v>1.6</v>
      </c>
      <c r="L9613" s="38" t="n">
        <f aca="false">Sens!$L$9587</f>
        <v>1.6</v>
      </c>
      <c r="M9613" s="38" t="n">
        <f aca="false">Sens!$M$9587</f>
        <v>1.6</v>
      </c>
    </row>
    <row r="9614" customFormat="false" ht="15" hidden="false" customHeight="false" outlineLevel="0" collapsed="false">
      <c r="A9614" s="5" t="s">
        <v>931</v>
      </c>
      <c r="B9614" s="0" t="s">
        <v>86</v>
      </c>
      <c r="H9614" s="38" t="n">
        <f aca="false">Sens!$H$9581</f>
        <v>11.2928295263397</v>
      </c>
      <c r="I9614" s="38" t="n">
        <f aca="false">Sens!$I$9581</f>
        <v>12.8091546115766</v>
      </c>
      <c r="J9614" s="38" t="n">
        <f aca="false">Sens!$J$9581</f>
        <v>14.2605653162668</v>
      </c>
      <c r="K9614" s="38" t="n">
        <f aca="false">Sens!$K$9581</f>
        <v>15.5293346306567</v>
      </c>
      <c r="L9614" s="38" t="n">
        <f aca="false">Sens!$L$9581</f>
        <v>16.7069448805781</v>
      </c>
      <c r="M9614" s="38" t="n">
        <f aca="false">Sens!$M$9581</f>
        <v>17.7976949013636</v>
      </c>
    </row>
    <row r="9615" customFormat="false" ht="17.15" hidden="false" customHeight="false" outlineLevel="0" collapsed="false">
      <c r="A9615" s="1" t="s">
        <v>932</v>
      </c>
      <c r="B9615" s="8" t="s">
        <v>86</v>
      </c>
      <c r="H9615" s="38" t="n">
        <f aca="false">Sens!$H$9610+Sens!$H$9611-Sens!$H$9612-Sens!$H$9613+Sens!$H$9614</f>
        <v>-62.5530534342631</v>
      </c>
      <c r="I9615" s="38" t="n">
        <f aca="false">Sens!$I$9610+Sens!$I$9611-Sens!$I$9612-Sens!$I$9613+Sens!$I$9614</f>
        <v>-15.7595069323669</v>
      </c>
      <c r="J9615" s="38" t="n">
        <f aca="false">Sens!$J$9610+Sens!$J$9611-Sens!$J$9612-Sens!$J$9613+Sens!$J$9614</f>
        <v>31.0211878311291</v>
      </c>
      <c r="K9615" s="38" t="n">
        <f aca="false">Sens!$K$9610+Sens!$K$9611-Sens!$K$9612-Sens!$K$9613+Sens!$K$9614</f>
        <v>134.060779042848</v>
      </c>
      <c r="L9615" s="38" t="n">
        <f aca="false">Sens!$L$9610+Sens!$L$9611-Sens!$L$9612-Sens!$L$9613+Sens!$L$9614</f>
        <v>193.018697053015</v>
      </c>
      <c r="M9615" s="38" t="n">
        <f aca="false">Sens!$M$9610+Sens!$M$9611-Sens!$M$9612-Sens!$M$9613+Sens!$M$9614</f>
        <v>217.199110725758</v>
      </c>
    </row>
    <row r="9616" customFormat="false" ht="15" hidden="false" customHeight="false" outlineLevel="0" collapsed="false">
      <c r="A9616" s="5" t="s">
        <v>933</v>
      </c>
      <c r="B9616" s="0" t="s">
        <v>57</v>
      </c>
      <c r="H9616" s="40" t="n">
        <f aca="false">1/(1+wacc)^(2027-2026-0.5)</f>
        <v>0.947751320380232</v>
      </c>
      <c r="I9616" s="40" t="n">
        <f aca="false">1/(1+wacc)^(2028-2026-0.5)</f>
        <v>0.851301099754987</v>
      </c>
      <c r="J9616" s="40" t="n">
        <f aca="false">1/(1+wacc)^(2029-2026-0.5)</f>
        <v>0.764666370660713</v>
      </c>
      <c r="K9616" s="40" t="n">
        <f aca="false">1/(1+wacc)^(2030-2026-0.5)</f>
        <v>0.686848235703811</v>
      </c>
      <c r="L9616" s="40" t="n">
        <f aca="false">1/(1+wacc)^(2031-2026-0.5)</f>
        <v>0.616949452715975</v>
      </c>
      <c r="M9616" s="40" t="n">
        <f aca="false">1/(1+wacc)^(2032-2026-0.5)</f>
        <v>0.554164089562688</v>
      </c>
    </row>
    <row r="9617" customFormat="false" ht="15" hidden="false" customHeight="false" outlineLevel="0" collapsed="false">
      <c r="A9617" s="5" t="s">
        <v>934</v>
      </c>
      <c r="B9617" s="0" t="s">
        <v>86</v>
      </c>
      <c r="H9617" s="38" t="n">
        <f aca="false">Sens!$H$9615*Sens!$H$9616</f>
        <v>-59.2847389861381</v>
      </c>
      <c r="I9617" s="38" t="n">
        <f aca="false">Sens!$I$9615*Sens!$I$9616</f>
        <v>-13.4160855831203</v>
      </c>
      <c r="J9617" s="38" t="n">
        <f aca="false">Sens!$J$9615*Sens!$J$9616</f>
        <v>23.7208591124138</v>
      </c>
      <c r="K9617" s="38" t="n">
        <f aca="false">Sens!$K$9615*Sens!$K$9616</f>
        <v>92.0794095626583</v>
      </c>
      <c r="L9617" s="38" t="n">
        <f aca="false">Sens!$L$9615*Sens!$L$9616</f>
        <v>119.082779510808</v>
      </c>
      <c r="M9617" s="38" t="n">
        <f aca="false">Sens!$M$9615*Sens!$M$9616</f>
        <v>120.363947449165</v>
      </c>
    </row>
    <row r="9618" customFormat="false" ht="15" hidden="false" customHeight="false" outlineLevel="0" collapsed="false">
      <c r="A9618" s="5" t="s">
        <v>935</v>
      </c>
      <c r="B9618" s="0" t="s">
        <v>86</v>
      </c>
      <c r="C9618" s="38" t="n">
        <f aca="false">SUM(Sens!$H$9617:$M$9617)</f>
        <v>282.546171065787</v>
      </c>
    </row>
    <row r="9619" customFormat="false" ht="17.15" hidden="false" customHeight="false" outlineLevel="0" collapsed="false">
      <c r="A9619" s="5" t="s">
        <v>936</v>
      </c>
      <c r="B9619" s="0" t="s">
        <v>86</v>
      </c>
      <c r="C9619" s="38" t="n">
        <f aca="false">Sens!$M$9610*(1+tg_lo)*(1-tg_lo/ronic)/(wacc-tg_lo)</f>
        <v>1864.64355290755</v>
      </c>
    </row>
    <row r="9620" customFormat="false" ht="15" hidden="false" customHeight="false" outlineLevel="0" collapsed="false">
      <c r="A9620" s="5" t="s">
        <v>937</v>
      </c>
      <c r="B9620" s="0" t="s">
        <v>86</v>
      </c>
      <c r="C9620" s="38" t="n">
        <f aca="false">Sens!$C$9619/(1+wacc)^6</f>
        <v>979.32896976854</v>
      </c>
    </row>
    <row r="9621" customFormat="false" ht="17.15" hidden="false" customHeight="false" outlineLevel="0" collapsed="false">
      <c r="A9621" s="5" t="s">
        <v>938</v>
      </c>
      <c r="B9621" s="0" t="s">
        <v>86</v>
      </c>
      <c r="C9621" s="38" t="n">
        <f aca="false">Sens!$C$9618+Sens!$C$9620</f>
        <v>1261.87514083433</v>
      </c>
    </row>
    <row r="9622" customFormat="false" ht="17.15" hidden="false" customHeight="false" outlineLevel="0" collapsed="false">
      <c r="A9622" s="5" t="s">
        <v>939</v>
      </c>
      <c r="B9622" s="0" t="s">
        <v>52</v>
      </c>
      <c r="C9622" s="13" t="n">
        <f aca="false">Sens!$C$9620/Sens!$C$9621</f>
        <v>0.77609023117852</v>
      </c>
    </row>
    <row r="9623" customFormat="false" ht="17.15" hidden="false" customHeight="false" outlineLevel="0" collapsed="false">
      <c r="A9623" s="5" t="s">
        <v>940</v>
      </c>
      <c r="B9623" s="0" t="s">
        <v>86</v>
      </c>
      <c r="C9623" s="38" t="n">
        <f aca="false">Sens!$G$9599+fin_debt</f>
        <v>89.0551793268317</v>
      </c>
    </row>
    <row r="9624" customFormat="false" ht="17.15" hidden="false" customHeight="false" outlineLevel="0" collapsed="false">
      <c r="A9624" s="5" t="s">
        <v>941</v>
      </c>
      <c r="B9624" s="0" t="s">
        <v>86</v>
      </c>
      <c r="C9624" s="38" t="n">
        <f aca="false">(ant_val*ant_sh+oai_val*oai_sh)*(1-liq_disc)</f>
        <v>178.944</v>
      </c>
    </row>
    <row r="9625" customFormat="false" ht="15" hidden="false" customHeight="false" outlineLevel="0" collapsed="false">
      <c r="A9625" s="5" t="s">
        <v>942</v>
      </c>
      <c r="B9625" s="0" t="s">
        <v>86</v>
      </c>
      <c r="C9625" s="38" t="n">
        <f aca="false">Sens!$C$9621-Sens!$C$9623+Sens!$C$9624</f>
        <v>1351.7639615075</v>
      </c>
    </row>
    <row r="9626" customFormat="false" ht="17.15" hidden="false" customHeight="false" outlineLevel="0" collapsed="false">
      <c r="A9626" s="5" t="s">
        <v>943</v>
      </c>
      <c r="B9626" s="0" t="s">
        <v>27</v>
      </c>
      <c r="C9626" s="30" t="n">
        <f aca="false">Sens!$C$9625/sh_out</f>
        <v>125.322140770934</v>
      </c>
    </row>
    <row r="9627" customFormat="false" ht="17.15" hidden="false" customHeight="false" outlineLevel="0" collapsed="false">
      <c r="A9627" s="1" t="s">
        <v>944</v>
      </c>
      <c r="B9627" s="8" t="s">
        <v>27</v>
      </c>
      <c r="C9627" s="30" t="n">
        <f aca="false">Sens!$C$9626*(1+ke)^tp_yf-dps*tp_yf</f>
        <v>137.27396877399</v>
      </c>
    </row>
    <row r="9628" customFormat="false" ht="17.15" hidden="false" customHeight="false" outlineLevel="0" collapsed="false">
      <c r="A9628" s="3" t="s">
        <v>945</v>
      </c>
    </row>
    <row r="9629" customFormat="false" ht="17.15" hidden="false" customHeight="false" outlineLevel="0" collapsed="false">
      <c r="A9629" s="5" t="s">
        <v>946</v>
      </c>
      <c r="B9629" s="0" t="s">
        <v>86</v>
      </c>
      <c r="C9629" s="38" t="n">
        <f aca="false">(1-tp_yf)*(Sens!$H$9556+sbc_ab*Sens!$H$9580*Sens!$H$9417/Sens!$H$9497)+tp_yf*(Sens!$I$9556+sbc_ab*Sens!$I$9580*Sens!$I$9417/Sens!$I$9497)</f>
        <v>59.634664536349</v>
      </c>
    </row>
    <row r="9630" customFormat="false" ht="15" hidden="false" customHeight="false" outlineLevel="0" collapsed="false">
      <c r="A9630" s="5" t="s">
        <v>947</v>
      </c>
      <c r="B9630" s="0" t="s">
        <v>57</v>
      </c>
      <c r="C9630" s="30" t="n">
        <f aca="false">m_ads*m_x</f>
        <v>9.11</v>
      </c>
    </row>
    <row r="9631" customFormat="false" ht="17.15" hidden="false" customHeight="false" outlineLevel="0" collapsed="false">
      <c r="A9631" s="5" t="s">
        <v>948</v>
      </c>
      <c r="B9631" s="0" t="s">
        <v>86</v>
      </c>
      <c r="C9631" s="38" t="n">
        <f aca="false">Sens!$C$9629*Sens!$C$9630</f>
        <v>543.271793926139</v>
      </c>
    </row>
    <row r="9632" customFormat="false" ht="17.15" hidden="false" customHeight="false" outlineLevel="0" collapsed="false">
      <c r="A9632" s="5" t="s">
        <v>949</v>
      </c>
      <c r="B9632" s="0" t="s">
        <v>86</v>
      </c>
      <c r="C9632" s="38" t="n">
        <f aca="false">(1-tp_yf)*(Sens!$H$9557+sbc_ab*Sens!$H$9580*(Sens!$H$9424-Sens!$H$9417)/Sens!$H$9497+IF(internal_ai_reading=2,1,0)*(1-ext_sh)*Sens!$H$9454)+tp_yf*(Sens!$I$9557+sbc_ab*Sens!$I$9580*(Sens!$I$9424-Sens!$I$9417)/Sens!$I$9497+IF(internal_ai_reading=2,1,0)*(1-ext_sh)*Sens!$I$9454)</f>
        <v>51.6951811103438</v>
      </c>
    </row>
    <row r="9633" customFormat="false" ht="17.15" hidden="false" customHeight="false" outlineLevel="0" collapsed="false">
      <c r="A9633" s="5" t="s">
        <v>950</v>
      </c>
      <c r="B9633" s="0" t="s">
        <v>57</v>
      </c>
      <c r="C9633" s="30" t="n">
        <f aca="false">m_retail*m_x</f>
        <v>17.72</v>
      </c>
    </row>
    <row r="9634" customFormat="false" ht="17.15" hidden="false" customHeight="false" outlineLevel="0" collapsed="false">
      <c r="A9634" s="5" t="s">
        <v>951</v>
      </c>
      <c r="B9634" s="0" t="s">
        <v>86</v>
      </c>
      <c r="C9634" s="38" t="n">
        <f aca="false">Sens!$C$9632*Sens!$C$9633</f>
        <v>916.038609275292</v>
      </c>
    </row>
    <row r="9635" customFormat="false" ht="17.15" hidden="false" customHeight="false" outlineLevel="0" collapsed="false">
      <c r="A9635" s="0" t="s">
        <v>952</v>
      </c>
      <c r="B9635" s="0" t="s">
        <v>86</v>
      </c>
      <c r="C9635" s="38" t="n">
        <f aca="false">(1-tp_yf)*(Sens!$H$9558+sbc_ab*Sens!$H$9580*Sens!$H$9495/Sens!$H$9497)+tp_yf*(Sens!$I$9558+sbc_ab*Sens!$I$9580*Sens!$I$9495/Sens!$I$9497)</f>
        <v>97.2337130506861</v>
      </c>
    </row>
    <row r="9636" customFormat="false" ht="17.15" hidden="false" customHeight="false" outlineLevel="0" collapsed="false">
      <c r="A9636" s="0" t="s">
        <v>953</v>
      </c>
      <c r="B9636" s="0" t="s">
        <v>57</v>
      </c>
      <c r="C9636" s="30" t="n">
        <f aca="false">m_cloud*m_x</f>
        <v>13.82</v>
      </c>
    </row>
    <row r="9637" customFormat="false" ht="17.15" hidden="false" customHeight="false" outlineLevel="0" collapsed="false">
      <c r="A9637" s="0" t="s">
        <v>954</v>
      </c>
      <c r="B9637" s="0" t="s">
        <v>86</v>
      </c>
      <c r="C9637" s="38" t="n">
        <f aca="false">Sens!$C$9635*Sens!$C$9636</f>
        <v>1343.76991436048</v>
      </c>
    </row>
    <row r="9638" customFormat="false" ht="17.15" hidden="false" customHeight="false" outlineLevel="0" collapsed="false">
      <c r="A9638" s="0" t="s">
        <v>955</v>
      </c>
      <c r="B9638" s="0" t="s">
        <v>86</v>
      </c>
      <c r="H9638" s="38" t="n">
        <f aca="false">Sens!$H$9476-tax*Sens!$H$9477-ext_sh*Sens!$H$9461</f>
        <v>-115.41576008619</v>
      </c>
      <c r="I9638" s="38" t="n">
        <f aca="false">Sens!$I$9476-tax*Sens!$I$9477-ext_sh*Sens!$I$9461</f>
        <v>-88.5401912683161</v>
      </c>
      <c r="J9638" s="38" t="n">
        <f aca="false">Sens!$J$9476-tax*Sens!$J$9477-ext_sh*Sens!$J$9461</f>
        <v>-61.2977422866746</v>
      </c>
      <c r="K9638" s="38" t="n">
        <f aca="false">Sens!$K$9476-tax*Sens!$K$9477-ext_sh*Sens!$K$9461</f>
        <v>11.9455917032656</v>
      </c>
      <c r="L9638" s="38" t="n">
        <f aca="false">Sens!$L$9476-tax*Sens!$L$9477-ext_sh*Sens!$L$9461</f>
        <v>50.3881926675933</v>
      </c>
      <c r="M9638" s="38" t="n">
        <f aca="false">Sens!$M$9476-tax*Sens!$M$9477-ext_sh*Sens!$M$9461</f>
        <v>60.3778570072396</v>
      </c>
    </row>
    <row r="9639" customFormat="false" ht="17.15" hidden="false" customHeight="false" outlineLevel="0" collapsed="false">
      <c r="A9639" s="5" t="s">
        <v>956</v>
      </c>
      <c r="B9639" s="0" t="s">
        <v>86</v>
      </c>
      <c r="H9639" s="38" t="n">
        <f aca="false">Sens!$H$9638*Sens!$H$9616</f>
        <v>-109.385439014374</v>
      </c>
      <c r="I9639" s="38" t="n">
        <f aca="false">Sens!$I$9638*Sens!$I$9616</f>
        <v>-75.3743621992344</v>
      </c>
      <c r="J9639" s="38" t="n">
        <f aca="false">Sens!$J$9638*Sens!$J$9616</f>
        <v>-46.8723221240472</v>
      </c>
      <c r="K9639" s="38" t="n">
        <f aca="false">Sens!$K$9638*Sens!$K$9616</f>
        <v>8.20480858582604</v>
      </c>
      <c r="L9639" s="38" t="n">
        <f aca="false">Sens!$L$9638*Sens!$L$9616</f>
        <v>31.0869678896188</v>
      </c>
      <c r="M9639" s="38" t="n">
        <f aca="false">Sens!$M$9638*Sens!$M$9616</f>
        <v>33.4592401581631</v>
      </c>
    </row>
    <row r="9640" customFormat="false" ht="17.15" hidden="false" customHeight="false" outlineLevel="0" collapsed="false">
      <c r="A9640" s="5" t="s">
        <v>957</v>
      </c>
      <c r="B9640" s="0" t="s">
        <v>86</v>
      </c>
      <c r="C9640" s="38" t="n">
        <f aca="false">Sens!$M$9477*(1-tax)*(1+tg_lo)*(1-tg_lo/ronic)/(wacc-tg_lo)</f>
        <v>344.470790543031</v>
      </c>
    </row>
    <row r="9641" customFormat="false" ht="17.15" hidden="false" customHeight="false" outlineLevel="0" collapsed="false">
      <c r="A9641" s="0" t="s">
        <v>958</v>
      </c>
      <c r="B9641" s="0" t="s">
        <v>86</v>
      </c>
      <c r="C9641" s="38" t="n">
        <f aca="false">(SUM(Sens!$I$9639:$M$9639)+Sens!$C$9640/(1+wacc)^6)*(1+wacc)^tp_yf</f>
        <v>143.543797348418</v>
      </c>
    </row>
    <row r="9642" customFormat="false" ht="17.15" hidden="false" customHeight="false" outlineLevel="0" collapsed="false">
      <c r="A9642" s="5" t="s">
        <v>959</v>
      </c>
      <c r="B9642" s="0" t="s">
        <v>86</v>
      </c>
      <c r="C9642" s="38" t="n">
        <f aca="false">(1-tp_yf)*(Sens!$H$9559)+tp_yf*(Sens!$I$9559)</f>
        <v>74.6707041238437</v>
      </c>
    </row>
    <row r="9643" customFormat="false" ht="17.15" hidden="false" customHeight="false" outlineLevel="0" collapsed="false">
      <c r="A9643" s="5" t="s">
        <v>960</v>
      </c>
      <c r="B9643" s="0" t="s">
        <v>86</v>
      </c>
      <c r="C9643" s="38" t="n">
        <f aca="false">Sens!$C$9642*m_ai</f>
        <v>448.024224743062</v>
      </c>
    </row>
    <row r="9644" customFormat="false" ht="17.15" hidden="false" customHeight="false" outlineLevel="0" collapsed="false">
      <c r="A9644" s="0" t="s">
        <v>961</v>
      </c>
      <c r="B9644" s="0" t="s">
        <v>86</v>
      </c>
      <c r="C9644" s="38" t="n">
        <f aca="false">IF(ai_leg=1,Sens!$C$9641,Sens!$C$9643)</f>
        <v>143.543797348418</v>
      </c>
    </row>
    <row r="9645" customFormat="false" ht="17.15" hidden="false" customHeight="false" outlineLevel="0" collapsed="false">
      <c r="A9645" s="5" t="s">
        <v>962</v>
      </c>
      <c r="B9645" s="0" t="s">
        <v>86</v>
      </c>
      <c r="C9645" s="38" t="n">
        <f aca="false">Sens!$C$9631+Sens!$C$9634+Sens!$C$9637+Sens!$C$9644</f>
        <v>2946.62411491033</v>
      </c>
    </row>
    <row r="9646" customFormat="false" ht="17.15" hidden="false" customHeight="false" outlineLevel="0" collapsed="false">
      <c r="A9646" s="5" t="s">
        <v>963</v>
      </c>
      <c r="B9646" s="0" t="s">
        <v>86</v>
      </c>
      <c r="C9646" s="38" t="n">
        <f aca="false">Sens!$H$9599+fin_debt</f>
        <v>143.411303169235</v>
      </c>
    </row>
    <row r="9647" customFormat="false" ht="15" hidden="false" customHeight="false" outlineLevel="0" collapsed="false">
      <c r="A9647" s="5" t="s">
        <v>964</v>
      </c>
      <c r="B9647" s="0" t="s">
        <v>86</v>
      </c>
      <c r="C9647" s="38" t="n">
        <f aca="false">Sens!$C$9645-Sens!$C$9646+Sens!$C$9624</f>
        <v>2982.1568117411</v>
      </c>
    </row>
    <row r="9648" customFormat="false" ht="15" hidden="false" customHeight="false" outlineLevel="0" collapsed="false">
      <c r="A9648" s="3" t="s">
        <v>965</v>
      </c>
      <c r="B9648" s="8" t="s">
        <v>27</v>
      </c>
      <c r="C9648" s="30" t="n">
        <f aca="false">Sens!$C$9647/sh_val</f>
        <v>270.360101420603</v>
      </c>
    </row>
    <row r="9649" customFormat="false" ht="17.15" hidden="false" customHeight="false" outlineLevel="0" collapsed="false">
      <c r="A9649" s="47" t="s">
        <v>966</v>
      </c>
      <c r="B9649" s="14" t="s">
        <v>27</v>
      </c>
      <c r="C9649" s="44" t="n">
        <f aca="false">w_dcf*Sens!$C$9627+(1-w_dcf)*Sens!$C$9648</f>
        <v>203.817035097296</v>
      </c>
      <c r="D9649" s="14"/>
      <c r="E9649" s="14"/>
      <c r="F9649" s="14"/>
      <c r="G9649" s="14"/>
      <c r="H9649" s="14"/>
      <c r="I9649" s="14"/>
      <c r="J9649" s="14"/>
      <c r="K9649" s="14"/>
      <c r="L9649" s="14"/>
      <c r="M9649" s="14"/>
      <c r="N9649" s="14"/>
      <c r="O9649" s="14"/>
    </row>
    <row r="9650" customFormat="false" ht="17.15" hidden="false" customHeight="false" outlineLevel="0" collapsed="false">
      <c r="A9650" s="5" t="s">
        <v>967</v>
      </c>
      <c r="B9650" s="0" t="s">
        <v>27</v>
      </c>
      <c r="C9650" s="30" t="n">
        <f aca="false">v022_wdcf*Sens!$C$9627+(1-v022_wdcf)*Sens!$C$9648</f>
        <v>210.471341729627</v>
      </c>
    </row>
    <row r="9651" customFormat="false" ht="17.15" hidden="false" customHeight="false" outlineLevel="0" collapsed="false">
      <c r="A9651" s="5" t="s">
        <v>968</v>
      </c>
      <c r="B9651" s="0" t="s">
        <v>27</v>
      </c>
      <c r="C9651" s="30" t="n">
        <f aca="false">(Sens!$C$9647-Sens!$C$9644+Sens!$C$9643)/sh_val</f>
        <v>297.964068759578</v>
      </c>
    </row>
    <row r="9654" customFormat="false" ht="19.4" hidden="false" customHeight="false" outlineLevel="0" collapsed="false">
      <c r="A9654" s="31" t="s">
        <v>1347</v>
      </c>
    </row>
    <row r="9655" customFormat="false" ht="17.15" hidden="false" customHeight="false" outlineLevel="0" collapsed="false">
      <c r="A9655" s="6" t="s">
        <v>16</v>
      </c>
      <c r="B9655" s="6" t="s">
        <v>17</v>
      </c>
      <c r="C9655" s="20" t="s">
        <v>504</v>
      </c>
      <c r="D9655" s="20" t="s">
        <v>505</v>
      </c>
      <c r="E9655" s="20" t="s">
        <v>587</v>
      </c>
      <c r="F9655" s="20" t="s">
        <v>588</v>
      </c>
      <c r="G9655" s="20" t="s">
        <v>589</v>
      </c>
      <c r="H9655" s="20" t="s">
        <v>590</v>
      </c>
      <c r="I9655" s="20" t="s">
        <v>591</v>
      </c>
      <c r="J9655" s="20" t="s">
        <v>592</v>
      </c>
      <c r="K9655" s="20" t="s">
        <v>593</v>
      </c>
      <c r="L9655" s="20" t="s">
        <v>594</v>
      </c>
      <c r="M9655" s="20" t="s">
        <v>595</v>
      </c>
      <c r="N9655" s="20" t="s">
        <v>596</v>
      </c>
      <c r="O9655" s="20" t="s">
        <v>597</v>
      </c>
      <c r="P9655" s="6" t="s">
        <v>23</v>
      </c>
      <c r="R9655" s="20" t="n">
        <v>2023</v>
      </c>
      <c r="S9655" s="20" t="n">
        <v>2024</v>
      </c>
      <c r="T9655" s="20" t="n">
        <v>2025</v>
      </c>
      <c r="U9655" s="20" t="n">
        <v>2026</v>
      </c>
      <c r="V9655" s="20" t="n">
        <v>2027</v>
      </c>
      <c r="W9655" s="20" t="n">
        <v>2028</v>
      </c>
      <c r="X9655" s="20" t="n">
        <v>2029</v>
      </c>
      <c r="Y9655" s="20" t="n">
        <v>2030</v>
      </c>
      <c r="Z9655" s="20" t="n">
        <v>2031</v>
      </c>
      <c r="AA9655" s="20" t="n">
        <v>2032</v>
      </c>
    </row>
    <row r="9656" customFormat="false" ht="17.15" hidden="false" customHeight="false" outlineLevel="0" collapsed="false">
      <c r="A9656" s="1" t="s">
        <v>677</v>
      </c>
    </row>
    <row r="9657" customFormat="false" ht="17.15" hidden="false" customHeight="false" outlineLevel="0" collapsed="false">
      <c r="A9657" s="0" t="s">
        <v>526</v>
      </c>
      <c r="B9657" s="0" t="s">
        <v>86</v>
      </c>
      <c r="C9657" s="38" t="n">
        <f aca="false">Q!$D$10</f>
        <v>247.029</v>
      </c>
      <c r="D9657" s="38" t="n">
        <f aca="false">Q!$E$10</f>
        <v>269.287</v>
      </c>
      <c r="E9657" s="38" t="n">
        <f aca="false">Q!$P$10</f>
        <v>134.686</v>
      </c>
      <c r="F9657" s="38" t="n">
        <f aca="false">Sens!$O$9657*(1+Sens!$F$9658)*Sens!$F$9669</f>
        <v>158.293876822267</v>
      </c>
      <c r="G9657" s="38" t="n">
        <f aca="false">Sens!$E$9657+Sens!$F$9657</f>
        <v>292.979876822267</v>
      </c>
      <c r="H9657" s="38" t="n">
        <f aca="false">Sens!$G$9657*(1+Sens!$H$9658)</f>
        <v>318.184543087396</v>
      </c>
      <c r="I9657" s="38" t="n">
        <f aca="false">Sens!$H$9657*(1+Sens!$I$9658)</f>
        <v>341.736278761793</v>
      </c>
      <c r="J9657" s="38" t="n">
        <f aca="false">Sens!$I$9657*(1+Sens!$J$9658)</f>
        <v>362.927192787048</v>
      </c>
      <c r="K9657" s="38" t="n">
        <f aca="false">Sens!$J$9657*(1+Sens!$K$9658)</f>
        <v>381.0735524264</v>
      </c>
      <c r="L9657" s="38" t="n">
        <f aca="false">Sens!$K$9657*(1+Sens!$L$9658)</f>
        <v>400.12723004772</v>
      </c>
      <c r="M9657" s="38" t="n">
        <f aca="false">Sens!$L$9657*(1+Sens!$M$9658)</f>
        <v>420.133591550106</v>
      </c>
      <c r="N9657" s="38" t="n">
        <f aca="false">Q!$N$10</f>
        <v>118.892</v>
      </c>
      <c r="O9657" s="38" t="n">
        <f aca="false">Q!$O$10</f>
        <v>150.395</v>
      </c>
      <c r="P9657" s="8" t="s">
        <v>678</v>
      </c>
    </row>
    <row r="9658" customFormat="false" ht="17.15" hidden="false" customHeight="false" outlineLevel="0" collapsed="false">
      <c r="A9658" s="0" t="s">
        <v>679</v>
      </c>
      <c r="B9658" s="0" t="s">
        <v>52</v>
      </c>
      <c r="E9658" s="13" t="n">
        <f aca="false">Sens!$E$9657/Sens!$N$9657-1</f>
        <v>0.132843252699929</v>
      </c>
      <c r="F9658" s="13" t="n">
        <f aca="false">Sens!$O$9657/(Q!$F$10+Q!$G$10)-1</f>
        <v>0.0980382135842941</v>
      </c>
      <c r="G9658" s="13" t="n">
        <f aca="false">Sens!$G$9657/Sens!$D$9657-1</f>
        <v>0.0879837378791657</v>
      </c>
      <c r="H9658" s="13" t="n">
        <f aca="false">Sens!$F$9658+(g_os-Sens!$F$9658)*1/4</f>
        <v>0.0860286601882206</v>
      </c>
      <c r="I9658" s="13" t="n">
        <f aca="false">Sens!$F$9658+(g_os-Sens!$F$9658)*2/4</f>
        <v>0.074019106792147</v>
      </c>
      <c r="J9658" s="13" t="n">
        <f aca="false">Sens!$F$9658+(g_os-Sens!$F$9658)*3/4</f>
        <v>0.0620095533960735</v>
      </c>
      <c r="K9658" s="13" t="n">
        <f aca="false">Sens!$F$9658+(g_os-Sens!$F$9658)*4/4</f>
        <v>0.05</v>
      </c>
      <c r="L9658" s="13" t="n">
        <f aca="false">g_os</f>
        <v>0.05</v>
      </c>
      <c r="M9658" s="13" t="n">
        <f aca="false">g_os</f>
        <v>0.05</v>
      </c>
      <c r="P9658" s="8" t="s">
        <v>680</v>
      </c>
    </row>
    <row r="9659" customFormat="false" ht="17.15" hidden="false" customHeight="false" outlineLevel="0" collapsed="false">
      <c r="A9659" s="0" t="s">
        <v>527</v>
      </c>
      <c r="B9659" s="0" t="s">
        <v>86</v>
      </c>
      <c r="C9659" s="38" t="n">
        <f aca="false">Q!$D$11</f>
        <v>21.215</v>
      </c>
      <c r="D9659" s="38" t="n">
        <f aca="false">Q!$E$11</f>
        <v>22.561</v>
      </c>
      <c r="E9659" s="38" t="n">
        <f aca="false">Q!$P$11</f>
        <v>11.579</v>
      </c>
      <c r="F9659" s="38" t="n">
        <f aca="false">Sens!$O$9659*(1+Sens!$F$9660)*Sens!$F$9669</f>
        <v>11.5938724610325</v>
      </c>
      <c r="G9659" s="38" t="n">
        <f aca="false">Sens!$E$9659+Sens!$F$9659</f>
        <v>23.1728724610325</v>
      </c>
      <c r="H9659" s="38" t="n">
        <f aca="false">Sens!$G$9659*(1+Sens!$H$9660)</f>
        <v>24.353392759506</v>
      </c>
      <c r="I9659" s="38" t="n">
        <f aca="false">Sens!$H$9659*(1+Sens!$I$9660)</f>
        <v>25.4240338872015</v>
      </c>
      <c r="J9659" s="38" t="n">
        <f aca="false">Sens!$I$9659*(1+Sens!$J$9660)</f>
        <v>26.3642491017174</v>
      </c>
      <c r="K9659" s="38" t="n">
        <f aca="false">Sens!$J$9659*(1+Sens!$K$9660)</f>
        <v>27.155176574769</v>
      </c>
      <c r="L9659" s="38" t="n">
        <f aca="false">Sens!$K$9659*(1+Sens!$L$9660)</f>
        <v>27.969831872012</v>
      </c>
      <c r="M9659" s="38" t="n">
        <f aca="false">Sens!$L$9659*(1+Sens!$M$9660)</f>
        <v>28.8089268281724</v>
      </c>
      <c r="N9659" s="38" t="n">
        <f aca="false">Q!$N$11</f>
        <v>11.128</v>
      </c>
      <c r="O9659" s="38" t="n">
        <f aca="false">Q!$O$11</f>
        <v>11.433</v>
      </c>
      <c r="P9659" s="8" t="s">
        <v>678</v>
      </c>
    </row>
    <row r="9660" customFormat="false" ht="17.15" hidden="false" customHeight="false" outlineLevel="0" collapsed="false">
      <c r="A9660" s="0" t="s">
        <v>681</v>
      </c>
      <c r="B9660" s="0" t="s">
        <v>52</v>
      </c>
      <c r="E9660" s="13" t="n">
        <f aca="false">Sens!$E$9659/Sens!$N$9659-1</f>
        <v>0.0405283968368082</v>
      </c>
      <c r="F9660" s="13" t="n">
        <f aca="false">Sens!$O$9659/(Q!$F$11+Q!$G$11)-1</f>
        <v>0.0579254187100955</v>
      </c>
      <c r="G9660" s="13" t="n">
        <f aca="false">Sens!$G$9659/Sens!$D$9659-1</f>
        <v>0.0271208040881397</v>
      </c>
      <c r="H9660" s="13" t="n">
        <f aca="false">Sens!$F$9660+(g_ps-Sens!$F$9660)*1/4</f>
        <v>0.0509440640325716</v>
      </c>
      <c r="I9660" s="13" t="n">
        <f aca="false">Sens!$F$9660+(g_ps-Sens!$F$9660)*2/4</f>
        <v>0.0439627093550477</v>
      </c>
      <c r="J9660" s="13" t="n">
        <f aca="false">Sens!$F$9660+(g_ps-Sens!$F$9660)*3/4</f>
        <v>0.0369813546775239</v>
      </c>
      <c r="K9660" s="13" t="n">
        <f aca="false">Sens!$F$9660+(g_ps-Sens!$F$9660)*4/4</f>
        <v>0.03</v>
      </c>
      <c r="L9660" s="13" t="n">
        <f aca="false">g_ps</f>
        <v>0.03</v>
      </c>
      <c r="M9660" s="13" t="n">
        <f aca="false">g_ps</f>
        <v>0.03</v>
      </c>
      <c r="P9660" s="8" t="s">
        <v>682</v>
      </c>
    </row>
    <row r="9661" customFormat="false" ht="17.15" hidden="false" customHeight="false" outlineLevel="0" collapsed="false">
      <c r="A9661" s="0" t="s">
        <v>528</v>
      </c>
      <c r="B9661" s="0" t="s">
        <v>86</v>
      </c>
      <c r="C9661" s="38" t="n">
        <f aca="false">Q!$D$12</f>
        <v>156.146</v>
      </c>
      <c r="D9661" s="38" t="n">
        <f aca="false">Q!$E$12</f>
        <v>172.162</v>
      </c>
      <c r="E9661" s="38" t="n">
        <f aca="false">Q!$P$12</f>
        <v>88.358</v>
      </c>
      <c r="F9661" s="38" t="n">
        <f aca="false">Sens!$O$9661*(1+Sens!$F$9662)*Sens!$F$9669</f>
        <v>102.004388260171</v>
      </c>
      <c r="G9661" s="38" t="n">
        <f aca="false">Sens!$E$9661+Sens!$F$9661</f>
        <v>190.362388260171</v>
      </c>
      <c r="H9661" s="38" t="n">
        <f aca="false">Sens!$G$9661*(1+Sens!$H$9662)</f>
        <v>210.343106588311</v>
      </c>
      <c r="I9661" s="38" t="n">
        <f aca="false">Sens!$H$9661*(1+Sens!$I$9662)</f>
        <v>229.969728494648</v>
      </c>
      <c r="J9661" s="38" t="n">
        <f aca="false">Sens!$I$9661*(1+Sens!$J$9662)</f>
        <v>248.747636972598</v>
      </c>
      <c r="K9661" s="38" t="n">
        <f aca="false">Sens!$J$9661*(1+Sens!$K$9662)</f>
        <v>266.15997156068</v>
      </c>
      <c r="L9661" s="38" t="n">
        <f aca="false">Sens!$K$9661*(1+Sens!$L$9662)</f>
        <v>284.791169569927</v>
      </c>
      <c r="M9661" s="38" t="n">
        <f aca="false">Sens!$L$9661*(1+Sens!$M$9662)</f>
        <v>304.726551439822</v>
      </c>
      <c r="N9661" s="38" t="n">
        <f aca="false">Q!$N$12</f>
        <v>76.86</v>
      </c>
      <c r="O9661" s="38" t="n">
        <f aca="false">Q!$O$12</f>
        <v>95.302</v>
      </c>
      <c r="P9661" s="8" t="s">
        <v>678</v>
      </c>
    </row>
    <row r="9662" customFormat="false" ht="17.15" hidden="false" customHeight="false" outlineLevel="0" collapsed="false">
      <c r="A9662" s="0" t="s">
        <v>683</v>
      </c>
      <c r="B9662" s="0" t="s">
        <v>52</v>
      </c>
      <c r="E9662" s="13" t="n">
        <f aca="false">Sens!$E$9661/Sens!$N$9661-1</f>
        <v>0.1495966692688</v>
      </c>
      <c r="F9662" s="13" t="n">
        <f aca="false">Sens!$O$9661/(Q!$F$12+Q!$G$12)-1</f>
        <v>0.11661530890813</v>
      </c>
      <c r="G9662" s="13" t="n">
        <f aca="false">Sens!$G$9661/Sens!$D$9661-1</f>
        <v>0.105716640490767</v>
      </c>
      <c r="H9662" s="13" t="n">
        <f aca="false">Sens!$F$9662+(g_sp-Sens!$F$9662)*1/4</f>
        <v>0.104961481681098</v>
      </c>
      <c r="I9662" s="13" t="n">
        <f aca="false">Sens!$F$9662+(g_sp-Sens!$F$9662)*2/4</f>
        <v>0.0933076544540651</v>
      </c>
      <c r="J9662" s="13" t="n">
        <f aca="false">Sens!$F$9662+(g_sp-Sens!$F$9662)*3/4</f>
        <v>0.0816538272270325</v>
      </c>
      <c r="K9662" s="13" t="n">
        <f aca="false">Sens!$F$9662+(g_sp-Sens!$F$9662)*4/4</f>
        <v>0.07</v>
      </c>
      <c r="L9662" s="13" t="n">
        <f aca="false">g_sp</f>
        <v>0.07</v>
      </c>
      <c r="M9662" s="13" t="n">
        <f aca="false">g_sp</f>
        <v>0.07</v>
      </c>
      <c r="P9662" s="8" t="s">
        <v>684</v>
      </c>
    </row>
    <row r="9663" customFormat="false" ht="17.15" hidden="false" customHeight="false" outlineLevel="0" collapsed="false">
      <c r="A9663" s="0" t="s">
        <v>529</v>
      </c>
      <c r="B9663" s="0" t="s">
        <v>86</v>
      </c>
      <c r="C9663" s="38" t="n">
        <f aca="false">Q!$D$13</f>
        <v>56.214</v>
      </c>
      <c r="D9663" s="38" t="n">
        <f aca="false">Q!$E$13</f>
        <v>68.635</v>
      </c>
      <c r="E9663" s="38" t="n">
        <f aca="false">Q!$P$13</f>
        <v>37.052</v>
      </c>
      <c r="F9663" s="38" t="n">
        <f aca="false">Sens!$O$9663*(1+Sens!$F$9664)*Sens!$F$9669</f>
        <v>46.1572219944148</v>
      </c>
      <c r="G9663" s="38" t="n">
        <f aca="false">Sens!$E$9663+Sens!$F$9663</f>
        <v>83.2092219944148</v>
      </c>
      <c r="H9663" s="38" t="n">
        <f aca="false">Sens!$G$9663*(1+Sens!$H$9664)</f>
        <v>99.8969223878976</v>
      </c>
      <c r="I9663" s="38" t="n">
        <f aca="false">Sens!$H$9663*(1+Sens!$I$9664)</f>
        <v>116.583111095496</v>
      </c>
      <c r="J9663" s="38" t="n">
        <f aca="false">Sens!$I$9663*(1+Sens!$J$9664)</f>
        <v>132.148941941952</v>
      </c>
      <c r="K9663" s="38" t="n">
        <f aca="false">Sens!$J$9663*(1+Sens!$K$9664)</f>
        <v>145.363836136147</v>
      </c>
      <c r="L9663" s="38" t="n">
        <f aca="false">Sens!$K$9663*(1+Sens!$L$9664)</f>
        <v>159.900219749762</v>
      </c>
      <c r="M9663" s="38" t="n">
        <f aca="false">Sens!$L$9663*(1+Sens!$M$9664)</f>
        <v>175.890241724738</v>
      </c>
      <c r="N9663" s="38" t="n">
        <f aca="false">Q!$N$13</f>
        <v>29.615</v>
      </c>
      <c r="O9663" s="38" t="n">
        <f aca="false">Q!$O$13</f>
        <v>39.02</v>
      </c>
      <c r="P9663" s="8" t="s">
        <v>678</v>
      </c>
    </row>
    <row r="9664" customFormat="false" ht="17.15" hidden="false" customHeight="false" outlineLevel="0" collapsed="false">
      <c r="A9664" s="0" t="s">
        <v>685</v>
      </c>
      <c r="B9664" s="0" t="s">
        <v>52</v>
      </c>
      <c r="E9664" s="13" t="n">
        <f aca="false">Sens!$E$9663/Sens!$N$9663-1</f>
        <v>0.25112274185379</v>
      </c>
      <c r="F9664" s="13" t="n">
        <f aca="false">Sens!$O$9663/(Q!$F$13+Q!$G$13)-1</f>
        <v>0.234068123596572</v>
      </c>
      <c r="G9664" s="13" t="n">
        <f aca="false">Sens!$G$9663/Sens!$D$9663-1</f>
        <v>0.212343876949294</v>
      </c>
      <c r="H9664" s="13" t="n">
        <f aca="false">Sens!$F$9664+(g_ad-Sens!$F$9664)*1/4</f>
        <v>0.200551092697429</v>
      </c>
      <c r="I9664" s="13" t="n">
        <f aca="false">Sens!$F$9664+(g_ad-Sens!$F$9664)*2/4</f>
        <v>0.167034061798286</v>
      </c>
      <c r="J9664" s="13" t="n">
        <f aca="false">Sens!$F$9664+(g_ad-Sens!$F$9664)*3/4</f>
        <v>0.133517030899143</v>
      </c>
      <c r="K9664" s="13" t="n">
        <f aca="false">Sens!$F$9664+(g_ad-Sens!$F$9664)*4/4</f>
        <v>0.1</v>
      </c>
      <c r="L9664" s="13" t="n">
        <f aca="false">g_ad</f>
        <v>0.1</v>
      </c>
      <c r="M9664" s="13" t="n">
        <f aca="false">g_ad</f>
        <v>0.1</v>
      </c>
      <c r="P9664" s="8" t="s">
        <v>686</v>
      </c>
    </row>
    <row r="9665" customFormat="false" ht="17.15" hidden="false" customHeight="false" outlineLevel="0" collapsed="false">
      <c r="A9665" s="0" t="s">
        <v>530</v>
      </c>
      <c r="B9665" s="0" t="s">
        <v>86</v>
      </c>
      <c r="C9665" s="38" t="n">
        <f aca="false">Q!$D$14</f>
        <v>44.374</v>
      </c>
      <c r="D9665" s="38" t="n">
        <f aca="false">Q!$E$14</f>
        <v>49.619</v>
      </c>
      <c r="E9665" s="38" t="n">
        <f aca="false">Q!$P$14</f>
        <v>27.157</v>
      </c>
      <c r="F9665" s="38" t="n">
        <f aca="false">Sens!$O$9665*(1+Sens!$F$9666)*Sens!$F$9669</f>
        <v>27.7764165988154</v>
      </c>
      <c r="G9665" s="38" t="n">
        <f aca="false">Sens!$E$9665+Sens!$F$9665</f>
        <v>54.9334165988154</v>
      </c>
      <c r="H9665" s="38" t="n">
        <f aca="false">Sens!$G$9665*(1+Sens!$H$9666)</f>
        <v>61.1564112561829</v>
      </c>
      <c r="I9665" s="38" t="n">
        <f aca="false">Sens!$H$9665*(1+Sens!$I$9666)</f>
        <v>67.2020282103945</v>
      </c>
      <c r="J9665" s="38" t="n">
        <f aca="false">Sens!$I$9665*(1+Sens!$J$9666)</f>
        <v>72.8757274028885</v>
      </c>
      <c r="K9665" s="38" t="n">
        <f aca="false">Sens!$J$9665*(1+Sens!$K$9666)</f>
        <v>77.9770283210907</v>
      </c>
      <c r="L9665" s="38" t="n">
        <f aca="false">Sens!$K$9665*(1+Sens!$L$9666)</f>
        <v>83.4354203035671</v>
      </c>
      <c r="M9665" s="38" t="n">
        <f aca="false">Sens!$L$9665*(1+Sens!$M$9666)</f>
        <v>89.2758997248168</v>
      </c>
      <c r="N9665" s="38" t="n">
        <f aca="false">Q!$N$14</f>
        <v>23.923</v>
      </c>
      <c r="O9665" s="38" t="n">
        <f aca="false">Q!$O$14</f>
        <v>25.696</v>
      </c>
      <c r="P9665" s="8" t="s">
        <v>678</v>
      </c>
    </row>
    <row r="9666" customFormat="false" ht="17.15" hidden="false" customHeight="false" outlineLevel="0" collapsed="false">
      <c r="A9666" s="0" t="s">
        <v>687</v>
      </c>
      <c r="B9666" s="0" t="s">
        <v>52</v>
      </c>
      <c r="E9666" s="13" t="n">
        <f aca="false">Sens!$E$9665/Sens!$N$9665-1</f>
        <v>0.135183714417088</v>
      </c>
      <c r="F9666" s="13" t="n">
        <f aca="false">Sens!$O$9665/(Q!$F$14+Q!$G$14)-1</f>
        <v>0.127709997366804</v>
      </c>
      <c r="G9666" s="13" t="n">
        <f aca="false">Sens!$G$9665/Sens!$D$9665-1</f>
        <v>0.107104468022641</v>
      </c>
      <c r="H9666" s="13" t="n">
        <f aca="false">Sens!$F$9666+(g_sub-Sens!$F$9666)*1/4</f>
        <v>0.113282498025103</v>
      </c>
      <c r="I9666" s="13" t="n">
        <f aca="false">Sens!$F$9666+(g_sub-Sens!$F$9666)*2/4</f>
        <v>0.0988549986834021</v>
      </c>
      <c r="J9666" s="13" t="n">
        <f aca="false">Sens!$F$9666+(g_sub-Sens!$F$9666)*3/4</f>
        <v>0.084427499341701</v>
      </c>
      <c r="K9666" s="13" t="n">
        <f aca="false">Sens!$F$9666+(g_sub-Sens!$F$9666)*4/4</f>
        <v>0.07</v>
      </c>
      <c r="L9666" s="13" t="n">
        <f aca="false">g_sub</f>
        <v>0.07</v>
      </c>
      <c r="M9666" s="13" t="n">
        <f aca="false">g_sub</f>
        <v>0.07</v>
      </c>
      <c r="P9666" s="8" t="s">
        <v>688</v>
      </c>
    </row>
    <row r="9667" customFormat="false" ht="17.15" hidden="false" customHeight="false" outlineLevel="0" collapsed="false">
      <c r="A9667" s="0" t="s">
        <v>531</v>
      </c>
      <c r="B9667" s="0" t="s">
        <v>86</v>
      </c>
      <c r="C9667" s="38" t="n">
        <f aca="false">Q!$D$15</f>
        <v>5.425</v>
      </c>
      <c r="D9667" s="38" t="n">
        <f aca="false">Q!$E$15</f>
        <v>5.935</v>
      </c>
      <c r="E9667" s="38" t="n">
        <f aca="false">Q!$P$15</f>
        <v>3.474</v>
      </c>
      <c r="F9667" s="38" t="n">
        <f aca="false">Sens!$O$9667*(1+Sens!$F$9668)*Sens!$F$9669</f>
        <v>3.22246550883619</v>
      </c>
      <c r="G9667" s="38" t="n">
        <f aca="false">Sens!$E$9667+Sens!$F$9667</f>
        <v>6.69646550883619</v>
      </c>
      <c r="H9667" s="38" t="n">
        <f aca="false">Sens!$G$9667*(1+Sens!$H$9668)</f>
        <v>7.16251344209196</v>
      </c>
      <c r="I9667" s="38" t="n">
        <f aca="false">Sens!$H$9667*(1+Sens!$I$9668)</f>
        <v>7.61421070299826</v>
      </c>
      <c r="J9667" s="38" t="n">
        <f aca="false">Sens!$I$9667*(1+Sens!$J$9668)</f>
        <v>8.04465753523932</v>
      </c>
      <c r="K9667" s="38" t="n">
        <f aca="false">Sens!$J$9667*(1+Sens!$K$9668)</f>
        <v>8.44689041200128</v>
      </c>
      <c r="L9667" s="38" t="n">
        <f aca="false">Sens!$K$9667*(1+Sens!$L$9668)</f>
        <v>8.86923493260135</v>
      </c>
      <c r="M9667" s="38" t="n">
        <f aca="false">Sens!$L$9667*(1+Sens!$M$9668)</f>
        <v>9.31269667923142</v>
      </c>
      <c r="N9667" s="38" t="n">
        <f aca="false">Q!$N$15</f>
        <v>2.811</v>
      </c>
      <c r="O9667" s="38" t="n">
        <f aca="false">Q!$O$15</f>
        <v>3.124</v>
      </c>
      <c r="P9667" s="8" t="s">
        <v>678</v>
      </c>
    </row>
    <row r="9668" customFormat="false" ht="17.15" hidden="false" customHeight="false" outlineLevel="0" collapsed="false">
      <c r="A9668" s="0" t="s">
        <v>689</v>
      </c>
      <c r="B9668" s="0" t="s">
        <v>52</v>
      </c>
      <c r="E9668" s="13" t="n">
        <f aca="false">Sens!$E$9667/Sens!$N$9667-1</f>
        <v>0.235859124866596</v>
      </c>
      <c r="F9668" s="13" t="n">
        <f aca="false">Sens!$O$9667/(Q!$F$15+Q!$G$15)-1</f>
        <v>0.0761281433000345</v>
      </c>
      <c r="G9668" s="13" t="n">
        <f aca="false">Sens!$G$9667/Sens!$D$9667-1</f>
        <v>0.128300843948811</v>
      </c>
      <c r="H9668" s="13" t="n">
        <f aca="false">Sens!$F$9668+(g_ot-Sens!$F$9668)*1/4</f>
        <v>0.0695961074750259</v>
      </c>
      <c r="I9668" s="13" t="n">
        <f aca="false">Sens!$F$9668+(g_ot-Sens!$F$9668)*2/4</f>
        <v>0.0630640716500172</v>
      </c>
      <c r="J9668" s="13" t="n">
        <f aca="false">Sens!$F$9668+(g_ot-Sens!$F$9668)*3/4</f>
        <v>0.0565320358250086</v>
      </c>
      <c r="K9668" s="13" t="n">
        <f aca="false">Sens!$F$9668+(g_ot-Sens!$F$9668)*4/4</f>
        <v>0.05</v>
      </c>
      <c r="L9668" s="13" t="n">
        <f aca="false">g_ot</f>
        <v>0.05</v>
      </c>
      <c r="M9668" s="13" t="n">
        <f aca="false">g_ot</f>
        <v>0.05</v>
      </c>
      <c r="P9668" s="8" t="s">
        <v>690</v>
      </c>
    </row>
    <row r="9669" customFormat="false" ht="17.15" hidden="false" customHeight="false" outlineLevel="0" collapsed="false">
      <c r="A9669" s="0" t="s">
        <v>691</v>
      </c>
      <c r="B9669" s="0" t="s">
        <v>57</v>
      </c>
      <c r="F9669" s="40" t="n">
        <f aca="false">(g26q3_mid*Q!$O$8/Q!$J$8-Thesis!$F$89-Thesis!$F$93)/(Sens!$O$9657*(1+Sens!$F$9658)+Sens!$O$9659*(1+Sens!$F$9660)+Sens!$O$9661*(1+Sens!$F$9662)+Sens!$O$9663*(1+Sens!$F$9664)+Sens!$O$9665*(1+Sens!$F$9666)+Sens!$O$9667*(1+Sens!$F$9668))</f>
        <v>0.958546670622329</v>
      </c>
      <c r="P9669" s="8" t="s">
        <v>692</v>
      </c>
    </row>
    <row r="9670" customFormat="false" ht="17.15" hidden="false" customHeight="false" outlineLevel="0" collapsed="false">
      <c r="A9670" s="3" t="s">
        <v>693</v>
      </c>
      <c r="B9670" s="8" t="s">
        <v>86</v>
      </c>
      <c r="C9670" s="38" t="n">
        <f aca="false">Sens!$C$9657+Sens!$C$9659+Sens!$C$9661+Sens!$C$9663+Sens!$C$9665+Sens!$C$9667</f>
        <v>530.403</v>
      </c>
      <c r="D9670" s="38" t="n">
        <f aca="false">Sens!$D$9657+Sens!$D$9659+Sens!$D$9661+Sens!$D$9663+Sens!$D$9665+Sens!$D$9667</f>
        <v>588.199</v>
      </c>
      <c r="E9670" s="38" t="n">
        <f aca="false">Sens!$E$9657+Sens!$E$9659+Sens!$E$9661+Sens!$E$9663+Sens!$E$9665+Sens!$E$9667</f>
        <v>302.306</v>
      </c>
      <c r="F9670" s="38" t="n">
        <f aca="false">Sens!$F$9657+Sens!$F$9659+Sens!$F$9661+Sens!$F$9663+Sens!$F$9665+Sens!$F$9667</f>
        <v>349.048241645537</v>
      </c>
      <c r="G9670" s="38" t="n">
        <f aca="false">Sens!$G$9657+Sens!$G$9659+Sens!$G$9661+Sens!$G$9663+Sens!$G$9665+Sens!$G$9667</f>
        <v>651.354241645537</v>
      </c>
      <c r="H9670" s="38" t="n">
        <f aca="false">Sens!$H$9657+Sens!$H$9659+Sens!$H$9661+Sens!$H$9663+Sens!$H$9665+Sens!$H$9667</f>
        <v>721.096889521386</v>
      </c>
      <c r="I9670" s="38" t="n">
        <f aca="false">Sens!$I$9657+Sens!$I$9659+Sens!$I$9661+Sens!$I$9663+Sens!$I$9665+Sens!$I$9667</f>
        <v>788.529391152531</v>
      </c>
      <c r="J9670" s="38" t="n">
        <f aca="false">Sens!$J$9657+Sens!$J$9659+Sens!$J$9661+Sens!$J$9663+Sens!$J$9665+Sens!$J$9667</f>
        <v>851.108405741443</v>
      </c>
      <c r="K9670" s="38" t="n">
        <f aca="false">Sens!$K$9657+Sens!$K$9659+Sens!$K$9661+Sens!$K$9663+Sens!$K$9665+Sens!$K$9667</f>
        <v>906.176455431088</v>
      </c>
      <c r="L9670" s="38" t="n">
        <f aca="false">Sens!$L$9657+Sens!$L$9659+Sens!$L$9661+Sens!$L$9663+Sens!$L$9665+Sens!$L$9667</f>
        <v>965.093106475589</v>
      </c>
      <c r="M9670" s="38" t="n">
        <f aca="false">Sens!$M$9657+Sens!$M$9659+Sens!$M$9661+Sens!$M$9663+Sens!$M$9665+Sens!$M$9667</f>
        <v>1028.14790794689</v>
      </c>
      <c r="N9670" s="38" t="n">
        <f aca="false">Sens!$N$9657+Sens!$N$9659+Sens!$N$9661+Sens!$N$9663+Sens!$N$9665+Sens!$N$9667</f>
        <v>263.229</v>
      </c>
      <c r="O9670" s="38" t="n">
        <f aca="false">Sens!$O$9657+Sens!$O$9659+Sens!$O$9661+Sens!$O$9663+Sens!$O$9665+Sens!$O$9667</f>
        <v>324.97</v>
      </c>
    </row>
    <row r="9671" customFormat="false" ht="17.15" hidden="false" customHeight="false" outlineLevel="0" collapsed="false">
      <c r="A9671" s="5" t="s">
        <v>694</v>
      </c>
      <c r="B9671" s="0" t="s">
        <v>52</v>
      </c>
      <c r="C9671" s="13" t="n">
        <f aca="false">Q!$D$5/(Q!$D$5+Q!$D$6)</f>
        <v>0.730570905519011</v>
      </c>
      <c r="D9671" s="13" t="n">
        <f aca="false">Q!$E$5/(Q!$E$5+Q!$E$6)</f>
        <v>0.724763217890544</v>
      </c>
      <c r="E9671" s="13" t="n">
        <f aca="false">Q!$P$5/(Q!$P$5+Q!$P$6)</f>
        <v>0.728797972914861</v>
      </c>
      <c r="F9671" s="13" t="n">
        <f aca="false">Sens!$O$9671</f>
        <v>0.718066283041511</v>
      </c>
      <c r="G9671" s="13" t="n">
        <f aca="false">Sens!$G$9672/Sens!$G$9670</f>
        <v>0.723047066202847</v>
      </c>
      <c r="H9671" s="13" t="n">
        <f aca="false">Sens!$G$9671</f>
        <v>0.723047066202847</v>
      </c>
      <c r="I9671" s="13" t="n">
        <f aca="false">Sens!$G$9671</f>
        <v>0.723047066202847</v>
      </c>
      <c r="J9671" s="13" t="n">
        <f aca="false">Sens!$G$9671</f>
        <v>0.723047066202847</v>
      </c>
      <c r="K9671" s="13" t="n">
        <f aca="false">Sens!$G$9671</f>
        <v>0.723047066202847</v>
      </c>
      <c r="L9671" s="13" t="n">
        <f aca="false">Sens!$G$9671</f>
        <v>0.723047066202847</v>
      </c>
      <c r="M9671" s="13" t="n">
        <f aca="false">Sens!$G$9671</f>
        <v>0.723047066202847</v>
      </c>
      <c r="N9671" s="13" t="n">
        <f aca="false">Q!$N$5/(Q!$N$5+Q!$N$6)</f>
        <v>0.733030935041352</v>
      </c>
      <c r="O9671" s="13" t="n">
        <f aca="false">Q!$O$5/(Q!$O$5+Q!$O$6)</f>
        <v>0.718066283041511</v>
      </c>
      <c r="P9671" s="8" t="s">
        <v>695</v>
      </c>
    </row>
    <row r="9672" customFormat="false" ht="17.15" hidden="false" customHeight="false" outlineLevel="0" collapsed="false">
      <c r="A9672" s="1" t="s">
        <v>519</v>
      </c>
      <c r="B9672" s="8" t="s">
        <v>86</v>
      </c>
      <c r="C9672" s="38" t="n">
        <f aca="false">Q!$D$5</f>
        <v>387.497</v>
      </c>
      <c r="D9672" s="38" t="n">
        <f aca="false">Q!$E$5</f>
        <v>426.305</v>
      </c>
      <c r="E9672" s="38" t="n">
        <f aca="false">Q!$P$5</f>
        <v>220.32</v>
      </c>
      <c r="F9672" s="38" t="n">
        <f aca="false">Sens!$F$9670*Sens!$F$9671</f>
        <v>250.639773480586</v>
      </c>
      <c r="G9672" s="38" t="n">
        <f aca="false">Sens!$E$9672+Sens!$F$9672</f>
        <v>470.959773480586</v>
      </c>
      <c r="H9672" s="38" t="n">
        <f aca="false">Sens!$H$9670*Sens!$H$9671</f>
        <v>521.386990416437</v>
      </c>
      <c r="I9672" s="38" t="n">
        <f aca="false">Sens!$I$9670*Sens!$I$9671</f>
        <v>570.143862887555</v>
      </c>
      <c r="J9672" s="38" t="n">
        <f aca="false">Sens!$J$9670*Sens!$J$9671</f>
        <v>615.391435791933</v>
      </c>
      <c r="K9672" s="38" t="n">
        <f aca="false">Sens!$K$9670*Sens!$K$9671</f>
        <v>655.208227561543</v>
      </c>
      <c r="L9672" s="38" t="n">
        <f aca="false">Sens!$L$9670*Sens!$L$9671</f>
        <v>697.807739249767</v>
      </c>
      <c r="M9672" s="38" t="n">
        <f aca="false">Sens!$M$9670*Sens!$M$9671</f>
        <v>743.399328463592</v>
      </c>
      <c r="N9672" s="38" t="n">
        <f aca="false">Q!$N$5</f>
        <v>192.955</v>
      </c>
      <c r="O9672" s="38" t="n">
        <f aca="false">Q!$O$5</f>
        <v>233.35</v>
      </c>
      <c r="P9672" s="5" t="s">
        <v>696</v>
      </c>
    </row>
    <row r="9673" customFormat="false" ht="17.15" hidden="false" customHeight="false" outlineLevel="0" collapsed="false">
      <c r="A9673" s="1" t="s">
        <v>522</v>
      </c>
      <c r="B9673" s="8" t="s">
        <v>86</v>
      </c>
      <c r="C9673" s="38" t="n">
        <f aca="false">Q!$D$6</f>
        <v>142.906</v>
      </c>
      <c r="D9673" s="38" t="n">
        <f aca="false">Q!$E$6</f>
        <v>161.894</v>
      </c>
      <c r="E9673" s="38" t="n">
        <f aca="false">Q!$P$6</f>
        <v>81.986</v>
      </c>
      <c r="F9673" s="38" t="n">
        <f aca="false">Sens!$F$9670*(1-Sens!$F$9671)</f>
        <v>98.408468164951</v>
      </c>
      <c r="G9673" s="38" t="n">
        <f aca="false">Sens!$E$9673+Sens!$F$9673</f>
        <v>180.394468164951</v>
      </c>
      <c r="H9673" s="38" t="n">
        <f aca="false">Sens!$H$9670*(1-Sens!$H$9671)</f>
        <v>199.709899104949</v>
      </c>
      <c r="I9673" s="38" t="n">
        <f aca="false">Sens!$I$9670*(1-Sens!$I$9671)</f>
        <v>218.385528264976</v>
      </c>
      <c r="J9673" s="38" t="n">
        <f aca="false">Sens!$J$9670*(1-Sens!$J$9671)</f>
        <v>235.71696994951</v>
      </c>
      <c r="K9673" s="38" t="n">
        <f aca="false">Sens!$K$9670*(1-Sens!$K$9671)</f>
        <v>250.968227869545</v>
      </c>
      <c r="L9673" s="38" t="n">
        <f aca="false">Sens!$L$9670*(1-Sens!$L$9671)</f>
        <v>267.285367225822</v>
      </c>
      <c r="M9673" s="38" t="n">
        <f aca="false">Sens!$M$9670*(1-Sens!$M$9671)</f>
        <v>284.748579483295</v>
      </c>
      <c r="N9673" s="38" t="n">
        <f aca="false">Q!$N$6</f>
        <v>70.274</v>
      </c>
      <c r="O9673" s="38" t="n">
        <f aca="false">Q!$O$6</f>
        <v>91.62</v>
      </c>
      <c r="P9673" s="5" t="s">
        <v>697</v>
      </c>
    </row>
    <row r="9674" customFormat="false" ht="17.15" hidden="false" customHeight="false" outlineLevel="0" collapsed="false">
      <c r="A9674" s="5" t="s">
        <v>698</v>
      </c>
      <c r="B9674" s="0" t="s">
        <v>86</v>
      </c>
      <c r="C9674" s="38" t="n">
        <f aca="false">Sens!$C$9663*Sens!$C$9671</f>
        <v>41.0683128828457</v>
      </c>
      <c r="D9674" s="38" t="n">
        <f aca="false">Sens!$D$9663*Sens!$D$9671</f>
        <v>49.7441234599175</v>
      </c>
      <c r="E9674" s="38" t="n">
        <f aca="false">Sens!$E$9663*Sens!$E$9671</f>
        <v>27.0034224924414</v>
      </c>
      <c r="F9674" s="38" t="n">
        <f aca="false">Sens!$F$9663*Sens!$F$9671</f>
        <v>33.1439448330513</v>
      </c>
      <c r="G9674" s="38" t="n">
        <f aca="false">Sens!$G$9663*Sens!$G$9671</f>
        <v>60.164183844083</v>
      </c>
      <c r="H9674" s="38" t="n">
        <f aca="false">Sens!$H$9663*Sens!$H$9671</f>
        <v>72.2301766552629</v>
      </c>
      <c r="I9674" s="38" t="n">
        <f aca="false">Sens!$I$9663*Sens!$I$9671</f>
        <v>84.2950764463991</v>
      </c>
      <c r="J9674" s="38" t="n">
        <f aca="false">Sens!$J$9663*Sens!$J$9671</f>
        <v>95.5499047729386</v>
      </c>
      <c r="K9674" s="38" t="n">
        <f aca="false">Sens!$K$9663*Sens!$K$9671</f>
        <v>105.104895250232</v>
      </c>
      <c r="L9674" s="38" t="n">
        <f aca="false">Sens!$L$9663*Sens!$L$9671</f>
        <v>115.615384775256</v>
      </c>
      <c r="M9674" s="38" t="n">
        <f aca="false">Sens!$M$9663*Sens!$M$9671</f>
        <v>127.176923252781</v>
      </c>
      <c r="N9674" s="38" t="n">
        <f aca="false">Sens!$N$9663*Sens!$N$9671</f>
        <v>21.7087111412496</v>
      </c>
      <c r="O9674" s="38" t="n">
        <f aca="false">Sens!$O$9663*Sens!$O$9671</f>
        <v>28.0189463642798</v>
      </c>
      <c r="P9674" s="5" t="s">
        <v>699</v>
      </c>
    </row>
    <row r="9675" customFormat="false" ht="15" hidden="false" customHeight="false" outlineLevel="0" collapsed="false">
      <c r="A9675" s="5" t="s">
        <v>700</v>
      </c>
      <c r="B9675" s="0" t="s">
        <v>86</v>
      </c>
      <c r="C9675" s="38" t="n">
        <f aca="false">Sens!$C$9663-Sens!$C$9674</f>
        <v>15.1456871171543</v>
      </c>
      <c r="D9675" s="38" t="n">
        <f aca="false">Sens!$D$9663-Sens!$D$9674</f>
        <v>18.8908765400825</v>
      </c>
      <c r="E9675" s="38" t="n">
        <f aca="false">Sens!$E$9663-Sens!$E$9674</f>
        <v>10.0485775075586</v>
      </c>
      <c r="F9675" s="38" t="n">
        <f aca="false">Sens!$F$9663-Sens!$F$9674</f>
        <v>13.0132771613635</v>
      </c>
      <c r="G9675" s="38" t="n">
        <f aca="false">Sens!$G$9663-Sens!$G$9674</f>
        <v>23.0450381503318</v>
      </c>
      <c r="H9675" s="38" t="n">
        <f aca="false">Sens!$H$9663-Sens!$H$9674</f>
        <v>27.6667457326347</v>
      </c>
      <c r="I9675" s="38" t="n">
        <f aca="false">Sens!$I$9663-Sens!$I$9674</f>
        <v>32.2880346490971</v>
      </c>
      <c r="J9675" s="38" t="n">
        <f aca="false">Sens!$J$9663-Sens!$J$9674</f>
        <v>36.5990371690132</v>
      </c>
      <c r="K9675" s="38" t="n">
        <f aca="false">Sens!$K$9663-Sens!$K$9674</f>
        <v>40.2589408859145</v>
      </c>
      <c r="L9675" s="38" t="n">
        <f aca="false">Sens!$L$9663-Sens!$L$9674</f>
        <v>44.2848349745059</v>
      </c>
      <c r="M9675" s="38" t="n">
        <f aca="false">Sens!$M$9663-Sens!$M$9674</f>
        <v>48.7133184719565</v>
      </c>
      <c r="N9675" s="38" t="n">
        <f aca="false">Sens!$N$9663-Sens!$N$9674</f>
        <v>7.90628885875037</v>
      </c>
      <c r="O9675" s="38" t="n">
        <f aca="false">Sens!$O$9663-Sens!$O$9674</f>
        <v>11.0010536357202</v>
      </c>
    </row>
    <row r="9676" customFormat="false" ht="19.4" hidden="false" customHeight="false" outlineLevel="0" collapsed="false">
      <c r="A9676" s="31" t="s">
        <v>1348</v>
      </c>
    </row>
    <row r="9677" customFormat="false" ht="17.15" hidden="false" customHeight="false" outlineLevel="0" collapsed="false">
      <c r="A9677" s="6" t="s">
        <v>16</v>
      </c>
      <c r="B9677" s="6" t="s">
        <v>17</v>
      </c>
      <c r="C9677" s="20" t="s">
        <v>504</v>
      </c>
      <c r="D9677" s="20" t="s">
        <v>505</v>
      </c>
      <c r="E9677" s="20" t="s">
        <v>587</v>
      </c>
      <c r="F9677" s="20" t="s">
        <v>588</v>
      </c>
      <c r="G9677" s="20" t="s">
        <v>589</v>
      </c>
      <c r="H9677" s="20" t="s">
        <v>590</v>
      </c>
      <c r="I9677" s="20" t="s">
        <v>591</v>
      </c>
      <c r="J9677" s="20" t="s">
        <v>592</v>
      </c>
      <c r="K9677" s="20" t="s">
        <v>593</v>
      </c>
      <c r="L9677" s="20" t="s">
        <v>594</v>
      </c>
      <c r="M9677" s="20" t="s">
        <v>595</v>
      </c>
      <c r="N9677" s="20" t="s">
        <v>596</v>
      </c>
      <c r="O9677" s="20" t="s">
        <v>597</v>
      </c>
      <c r="P9677" s="6" t="s">
        <v>23</v>
      </c>
      <c r="R9677" s="20" t="n">
        <v>2023</v>
      </c>
      <c r="S9677" s="20" t="n">
        <v>2024</v>
      </c>
      <c r="T9677" s="20" t="n">
        <v>2025</v>
      </c>
      <c r="U9677" s="20" t="n">
        <v>2026</v>
      </c>
      <c r="V9677" s="20" t="n">
        <v>2027</v>
      </c>
      <c r="W9677" s="20" t="n">
        <v>2028</v>
      </c>
      <c r="X9677" s="20" t="n">
        <v>2029</v>
      </c>
      <c r="Y9677" s="20" t="n">
        <v>2030</v>
      </c>
      <c r="Z9677" s="20" t="n">
        <v>2031</v>
      </c>
      <c r="AA9677" s="20" t="n">
        <v>2032</v>
      </c>
    </row>
    <row r="9678" customFormat="false" ht="17.15" hidden="false" customHeight="false" outlineLevel="0" collapsed="false">
      <c r="A9678" s="1" t="s">
        <v>598</v>
      </c>
    </row>
    <row r="9679" customFormat="false" ht="17.15" hidden="false" customHeight="false" outlineLevel="0" collapsed="false">
      <c r="A9679" s="5" t="s">
        <v>599</v>
      </c>
      <c r="B9679" s="0" t="s">
        <v>144</v>
      </c>
      <c r="H9679" s="32" t="n">
        <f aca="false">pace_B</f>
        <v>3634.3</v>
      </c>
      <c r="I9679" s="32" t="n">
        <f aca="false">pace_B</f>
        <v>3634.3</v>
      </c>
      <c r="J9679" s="32" t="n">
        <f aca="false">pace_B</f>
        <v>3634.3</v>
      </c>
      <c r="K9679" s="32" t="n">
        <f aca="false">pace_B+(Sens!$J$9680*tg-pace_B)*1/3</f>
        <v>2570.86716666667</v>
      </c>
      <c r="L9679" s="32" t="n">
        <f aca="false">pace_B+(Sens!$J$9680*tg-pace_B)*2/3</f>
        <v>1507.43433333333</v>
      </c>
      <c r="M9679" s="32" t="n">
        <f aca="false">pace_B+(Sens!$J$9680*tg-pace_B)*3/3</f>
        <v>444.0015</v>
      </c>
      <c r="P9679" s="5" t="s">
        <v>600</v>
      </c>
    </row>
    <row r="9680" customFormat="false" ht="17.15" hidden="false" customHeight="false" outlineLevel="0" collapsed="false">
      <c r="A9680" s="15" t="s">
        <v>601</v>
      </c>
      <c r="B9680" s="14" t="s">
        <v>129</v>
      </c>
      <c r="C9680" s="33" t="n">
        <f aca="false">mw_ye24</f>
        <v>360</v>
      </c>
      <c r="D9680" s="33" t="n">
        <f aca="false">mw_ye25</f>
        <v>1440</v>
      </c>
      <c r="E9680" s="33" t="n">
        <f aca="false">mw_open</f>
        <v>2080</v>
      </c>
      <c r="F9680" s="33" t="n">
        <f aca="false">Sens!$E$9680+pace_B*0.5</f>
        <v>3897.15</v>
      </c>
      <c r="G9680" s="33" t="n">
        <f aca="false">Sens!$F$9680</f>
        <v>3897.15</v>
      </c>
      <c r="H9680" s="33" t="n">
        <f aca="false">Sens!$G$9680+Sens!$H$9679</f>
        <v>7531.45</v>
      </c>
      <c r="I9680" s="33" t="n">
        <f aca="false">Sens!$H$9680+Sens!$I$9679</f>
        <v>11165.75</v>
      </c>
      <c r="J9680" s="33" t="n">
        <f aca="false">Sens!$I$9680+Sens!$J$9679</f>
        <v>14800.05</v>
      </c>
      <c r="K9680" s="33" t="n">
        <f aca="false">Sens!$J$9680+Sens!$K$9679</f>
        <v>17370.9171666667</v>
      </c>
      <c r="L9680" s="33" t="n">
        <f aca="false">Sens!$K$9680+Sens!$L$9679</f>
        <v>18878.3515</v>
      </c>
      <c r="M9680" s="33" t="n">
        <f aca="false">Sens!$L$9680+Sens!$M$9679</f>
        <v>19322.353</v>
      </c>
      <c r="N9680" s="33" t="n">
        <f aca="false">(mw_ye24+mw_ye25)/2</f>
        <v>900</v>
      </c>
      <c r="O9680" s="33" t="n">
        <f aca="false">mw_ye25</f>
        <v>1440</v>
      </c>
      <c r="P9680" s="5" t="s">
        <v>602</v>
      </c>
    </row>
    <row r="9681" customFormat="false" ht="17.15" hidden="false" customHeight="false" outlineLevel="0" collapsed="false">
      <c r="A9681" s="5" t="s">
        <v>603</v>
      </c>
      <c r="B9681" s="0" t="s">
        <v>129</v>
      </c>
      <c r="C9681" s="32" t="n">
        <f aca="false">(mw_ye23+mw_ye24)/2</f>
        <v>240</v>
      </c>
      <c r="D9681" s="32" t="n">
        <f aca="false">(Sens!$C$9680+Sens!$D$9680)/2</f>
        <v>900</v>
      </c>
      <c r="E9681" s="32" t="n">
        <f aca="false">(Sens!$D$9680+Sens!$E$9680)/2</f>
        <v>1760</v>
      </c>
      <c r="F9681" s="32" t="n">
        <f aca="false">(Sens!$E$9680+Sens!$F$9680)/2</f>
        <v>2988.575</v>
      </c>
      <c r="G9681" s="32" t="n">
        <f aca="false">(Sens!$E$9681+Sens!$F$9681)/2</f>
        <v>2374.2875</v>
      </c>
      <c r="H9681" s="32" t="n">
        <f aca="false">(Sens!$G$9680+Sens!$H$9680)/2</f>
        <v>5714.3</v>
      </c>
      <c r="I9681" s="32" t="n">
        <f aca="false">(Sens!$H$9680+Sens!$I$9680)/2</f>
        <v>9348.6</v>
      </c>
      <c r="J9681" s="32" t="n">
        <f aca="false">(Sens!$I$9680+Sens!$J$9680)/2</f>
        <v>12982.9</v>
      </c>
      <c r="K9681" s="32" t="n">
        <f aca="false">(Sens!$J$9680+Sens!$K$9680)/2</f>
        <v>16085.4835833333</v>
      </c>
      <c r="L9681" s="32" t="n">
        <f aca="false">(Sens!$K$9680+Sens!$L$9680)/2</f>
        <v>18124.6343333333</v>
      </c>
      <c r="M9681" s="32" t="n">
        <f aca="false">(Sens!$L$9680+Sens!$M$9680)/2</f>
        <v>19100.35225</v>
      </c>
      <c r="N9681" s="32" t="n">
        <f aca="false">(Sens!$C$9680+Sens!$N$9680)/2</f>
        <v>630</v>
      </c>
      <c r="O9681" s="32" t="n">
        <f aca="false">(Sens!$N$9680+Sens!$O$9680)/2</f>
        <v>1170</v>
      </c>
    </row>
    <row r="9682" customFormat="false" ht="15" hidden="false" customHeight="false" outlineLevel="0" collapsed="false">
      <c r="A9682" s="5" t="s">
        <v>604</v>
      </c>
      <c r="B9682" s="5" t="s">
        <v>123</v>
      </c>
      <c r="C9682" s="34" t="n">
        <v>1</v>
      </c>
      <c r="D9682" s="34" t="n">
        <v>1</v>
      </c>
      <c r="E9682" s="34" t="n">
        <v>0.5</v>
      </c>
      <c r="F9682" s="34" t="n">
        <v>0.5</v>
      </c>
      <c r="G9682" s="34" t="n">
        <v>1</v>
      </c>
      <c r="H9682" s="34" t="n">
        <v>1</v>
      </c>
      <c r="I9682" s="34" t="n">
        <v>1</v>
      </c>
      <c r="J9682" s="34" t="n">
        <v>1</v>
      </c>
      <c r="K9682" s="34" t="n">
        <v>1</v>
      </c>
      <c r="L9682" s="34" t="n">
        <v>1</v>
      </c>
      <c r="M9682" s="34" t="n">
        <v>1</v>
      </c>
      <c r="N9682" s="34" t="n">
        <v>0.5</v>
      </c>
      <c r="O9682" s="34" t="n">
        <v>0.5</v>
      </c>
    </row>
    <row r="9683" customFormat="false" ht="17.15" hidden="false" customHeight="false" outlineLevel="0" collapsed="false">
      <c r="A9683" s="5" t="s">
        <v>605</v>
      </c>
      <c r="B9683" s="0" t="s">
        <v>129</v>
      </c>
      <c r="C9683" s="32" t="n">
        <f aca="false">Sens!$C$9680-mw_ye23</f>
        <v>240</v>
      </c>
      <c r="D9683" s="32" t="n">
        <f aca="false">Sens!$D$9680-Sens!$C$9680</f>
        <v>1080</v>
      </c>
      <c r="E9683" s="32" t="n">
        <f aca="false">Sens!$E$9680-Sens!$D$9680</f>
        <v>640</v>
      </c>
      <c r="F9683" s="32" t="n">
        <f aca="false">Sens!$F$9680-Sens!$E$9680</f>
        <v>1817.15</v>
      </c>
      <c r="G9683" s="32" t="n">
        <f aca="false">Sens!$E$9683+Sens!$F$9683</f>
        <v>2457.15</v>
      </c>
      <c r="H9683" s="32" t="n">
        <f aca="false">Sens!$H$9680-Sens!$G$9680</f>
        <v>3634.3</v>
      </c>
      <c r="I9683" s="32" t="n">
        <f aca="false">Sens!$I$9680-Sens!$H$9680</f>
        <v>3634.3</v>
      </c>
      <c r="J9683" s="32" t="n">
        <f aca="false">Sens!$J$9680-Sens!$I$9680</f>
        <v>3634.3</v>
      </c>
      <c r="K9683" s="32" t="n">
        <f aca="false">Sens!$K$9680-Sens!$J$9680</f>
        <v>2570.86716666667</v>
      </c>
      <c r="L9683" s="32" t="n">
        <f aca="false">Sens!$L$9680-Sens!$K$9680</f>
        <v>1507.43433333333</v>
      </c>
      <c r="M9683" s="32" t="n">
        <f aca="false">Sens!$M$9680-Sens!$L$9680</f>
        <v>444.001499999999</v>
      </c>
      <c r="N9683" s="32" t="n">
        <f aca="false">Sens!$N$9680-Sens!$C$9680</f>
        <v>540</v>
      </c>
      <c r="O9683" s="32" t="n">
        <f aca="false">Sens!$O$9680-Sens!$N$9680</f>
        <v>540</v>
      </c>
    </row>
    <row r="9684" customFormat="false" ht="17.15" hidden="false" customHeight="false" outlineLevel="0" collapsed="false">
      <c r="A9684" s="5" t="s">
        <v>606</v>
      </c>
      <c r="B9684" s="0" t="s">
        <v>129</v>
      </c>
      <c r="C9684" s="32" t="n">
        <f aca="false">Sens!$C$9683/ext_sh</f>
        <v>300</v>
      </c>
      <c r="D9684" s="32" t="n">
        <f aca="false">Sens!$D$9683/ext_sh</f>
        <v>1350</v>
      </c>
      <c r="E9684" s="32" t="n">
        <f aca="false">Sens!$E$9683/ext_sh</f>
        <v>800</v>
      </c>
      <c r="F9684" s="32" t="n">
        <f aca="false">Sens!$F$9683/ext_sh</f>
        <v>2271.4375</v>
      </c>
      <c r="G9684" s="32" t="n">
        <f aca="false">Sens!$G$9683/ext_sh</f>
        <v>3071.4375</v>
      </c>
      <c r="H9684" s="32" t="n">
        <f aca="false">Sens!$H$9683/ext_sh</f>
        <v>4542.875</v>
      </c>
      <c r="I9684" s="32" t="n">
        <f aca="false">Sens!$I$9683/ext_sh</f>
        <v>4542.875</v>
      </c>
      <c r="J9684" s="32" t="n">
        <f aca="false">Sens!$J$9683/ext_sh</f>
        <v>4542.875</v>
      </c>
      <c r="K9684" s="32" t="n">
        <f aca="false">Sens!$K$9683/ext_sh</f>
        <v>3213.58395833333</v>
      </c>
      <c r="L9684" s="32" t="n">
        <f aca="false">Sens!$L$9683/ext_sh</f>
        <v>1884.29291666667</v>
      </c>
      <c r="M9684" s="32" t="n">
        <f aca="false">Sens!$M$9683/ext_sh</f>
        <v>555.001874999998</v>
      </c>
      <c r="N9684" s="32" t="n">
        <f aca="false">Sens!$N$9683/ext_sh</f>
        <v>675</v>
      </c>
      <c r="O9684" s="32" t="n">
        <f aca="false">Sens!$O$9683/ext_sh</f>
        <v>675</v>
      </c>
      <c r="P9684" s="8" t="s">
        <v>607</v>
      </c>
      <c r="R9684" s="32" t="n">
        <f aca="false">mw_ye23/ext_sh</f>
        <v>150</v>
      </c>
      <c r="S9684" s="32" t="n">
        <f aca="false">Sens!$C$9684</f>
        <v>300</v>
      </c>
      <c r="T9684" s="32" t="n">
        <f aca="false">Sens!$D$9684</f>
        <v>1350</v>
      </c>
      <c r="U9684" s="32" t="n">
        <f aca="false">Sens!$G$9684</f>
        <v>3071.4375</v>
      </c>
      <c r="V9684" s="32" t="n">
        <f aca="false">Sens!$H$9684</f>
        <v>4542.875</v>
      </c>
      <c r="W9684" s="32" t="n">
        <f aca="false">Sens!$I$9684</f>
        <v>4542.875</v>
      </c>
      <c r="X9684" s="32" t="n">
        <f aca="false">Sens!$J$9684</f>
        <v>4542.875</v>
      </c>
      <c r="Y9684" s="32" t="n">
        <f aca="false">Sens!$K$9684</f>
        <v>3213.58395833333</v>
      </c>
      <c r="Z9684" s="32" t="n">
        <f aca="false">Sens!$L$9684</f>
        <v>1884.29291666667</v>
      </c>
      <c r="AA9684" s="32" t="n">
        <f aca="false">Sens!$M$9684</f>
        <v>555.001874999998</v>
      </c>
    </row>
    <row r="9685" customFormat="false" ht="17.15" hidden="false" customHeight="false" outlineLevel="0" collapsed="false">
      <c r="A9685" s="1" t="s">
        <v>608</v>
      </c>
    </row>
    <row r="9686" customFormat="false" ht="17.15" hidden="false" customHeight="false" outlineLevel="0" collapsed="false">
      <c r="A9686" s="0" t="s">
        <v>609</v>
      </c>
      <c r="B9686" s="0" t="s">
        <v>52</v>
      </c>
      <c r="F9686" s="35" t="n">
        <f aca="false">na_vr26</f>
        <v>0</v>
      </c>
      <c r="G9686" s="35" t="n">
        <f aca="false">na_vr26</f>
        <v>0</v>
      </c>
      <c r="H9686" s="35" t="n">
        <f aca="false">na_vr27</f>
        <v>0.5</v>
      </c>
      <c r="I9686" s="35" t="n">
        <f aca="false">na_vr28</f>
        <v>1</v>
      </c>
      <c r="J9686" s="35" t="n">
        <f aca="false">na_vr28</f>
        <v>1</v>
      </c>
      <c r="K9686" s="35" t="n">
        <f aca="false">na_vr28</f>
        <v>1</v>
      </c>
      <c r="L9686" s="35" t="n">
        <f aca="false">na_vr28</f>
        <v>1</v>
      </c>
      <c r="M9686" s="35" t="n">
        <f aca="false">na_vr28</f>
        <v>1</v>
      </c>
    </row>
    <row r="9687" customFormat="false" ht="17.15" hidden="false" customHeight="false" outlineLevel="0" collapsed="false">
      <c r="A9687" s="5" t="s">
        <v>610</v>
      </c>
      <c r="B9687" s="0" t="s">
        <v>173</v>
      </c>
      <c r="F9687" s="36" t="n">
        <f aca="false">cust_sh*tk_he_gb300*cf_chip+(1-cust_sh)*((1-Sens!$F$9686)*tk_he_gb300+Sens!$F$9686*tk_he_vr200)</f>
        <v>10.8864110021101</v>
      </c>
      <c r="G9687" s="36" t="n">
        <f aca="false">cust_sh*tk_he_gb300*cf_chip+(1-cust_sh)*((1-Sens!$G$9686)*tk_he_gb300+Sens!$G$9686*tk_he_vr200)</f>
        <v>10.8864110021101</v>
      </c>
      <c r="H9687" s="36" t="n">
        <f aca="false">cust_sh*tk_he_gb300*cf_chip+(1-cust_sh)*((1-Sens!$H$9686)*tk_he_gb300+Sens!$H$9686*tk_he_vr200)</f>
        <v>11.2211760027286</v>
      </c>
      <c r="I9687" s="36" t="n">
        <f aca="false">cust_sh*tk_he_gb300*cf_chip+(1-cust_sh)*((1-Sens!$I$9686)*tk_he_gb300+Sens!$I$9686*tk_he_vr200)</f>
        <v>11.5559410033471</v>
      </c>
      <c r="J9687" s="36" t="n">
        <f aca="false">cust_sh*tk_he_gb300*cf_chip+(1-cust_sh)*((1-Sens!$J$9686)*tk_he_gb300+Sens!$J$9686*tk_he_vr200)</f>
        <v>11.5559410033471</v>
      </c>
      <c r="K9687" s="36" t="n">
        <f aca="false">cust_sh*tk_he_gb300*cf_chip+(1-cust_sh)*((1-Sens!$K$9686)*tk_he_gb300+Sens!$K$9686*tk_he_vr200)</f>
        <v>11.5559410033471</v>
      </c>
      <c r="L9687" s="36" t="n">
        <f aca="false">cust_sh*tk_he_gb300*cf_chip+(1-cust_sh)*((1-Sens!$L$9686)*tk_he_gb300+Sens!$L$9686*tk_he_vr200)</f>
        <v>11.5559410033471</v>
      </c>
      <c r="M9687" s="36" t="n">
        <f aca="false">cust_sh*tk_he_gb300*cf_chip+(1-cust_sh)*((1-Sens!$M$9686)*tk_he_gb300+Sens!$M$9686*tk_he_vr200)</f>
        <v>11.5559410033471</v>
      </c>
    </row>
    <row r="9688" customFormat="false" ht="17.15" hidden="false" customHeight="false" outlineLevel="0" collapsed="false">
      <c r="A9688" s="5" t="s">
        <v>611</v>
      </c>
      <c r="B9688" s="0" t="s">
        <v>173</v>
      </c>
      <c r="F9688" s="36" t="n">
        <f aca="false">cust_sh*tk_ox_gb300+(1-cust_sh)*((1-Sens!$F$9686)*tk_ox_gb300+Sens!$F$9686*tk_ox_vr200)</f>
        <v>1.98263481314457</v>
      </c>
      <c r="G9688" s="36" t="n">
        <f aca="false">cust_sh*tk_ox_gb300+(1-cust_sh)*((1-Sens!$G$9686)*tk_ox_gb300+Sens!$G$9686*tk_ox_vr200)</f>
        <v>1.98263481314457</v>
      </c>
      <c r="H9688" s="36" t="n">
        <f aca="false">cust_sh*tk_ox_gb300+(1-cust_sh)*((1-Sens!$H$9686)*tk_ox_gb300+Sens!$H$9686*tk_ox_vr200)</f>
        <v>2.01034999693694</v>
      </c>
      <c r="I9688" s="36" t="n">
        <f aca="false">cust_sh*tk_ox_gb300+(1-cust_sh)*((1-Sens!$I$9686)*tk_ox_gb300+Sens!$I$9686*tk_ox_vr200)</f>
        <v>2.0380651807293</v>
      </c>
      <c r="J9688" s="36" t="n">
        <f aca="false">cust_sh*tk_ox_gb300+(1-cust_sh)*((1-Sens!$J$9686)*tk_ox_gb300+Sens!$J$9686*tk_ox_vr200)</f>
        <v>2.0380651807293</v>
      </c>
      <c r="K9688" s="36" t="n">
        <f aca="false">cust_sh*tk_ox_gb300+(1-cust_sh)*((1-Sens!$K$9686)*tk_ox_gb300+Sens!$K$9686*tk_ox_vr200)</f>
        <v>2.0380651807293</v>
      </c>
      <c r="L9688" s="36" t="n">
        <f aca="false">cust_sh*tk_ox_gb300+(1-cust_sh)*((1-Sens!$L$9686)*tk_ox_gb300+Sens!$L$9686*tk_ox_vr200)</f>
        <v>2.0380651807293</v>
      </c>
      <c r="M9688" s="36" t="n">
        <f aca="false">cust_sh*tk_ox_gb300+(1-cust_sh)*((1-Sens!$M$9686)*tk_ox_gb300+Sens!$M$9686*tk_ox_vr200)</f>
        <v>2.0380651807293</v>
      </c>
    </row>
    <row r="9689" customFormat="false" ht="17.15" hidden="false" customHeight="false" outlineLevel="0" collapsed="false">
      <c r="A9689" s="5" t="s">
        <v>612</v>
      </c>
      <c r="B9689" s="0" t="s">
        <v>192</v>
      </c>
      <c r="F9689" s="36" t="n">
        <f aca="false">cust_sh*tk_cx_gb300*cf_cx+(1-cust_sh)*((1-Sens!$F$9686)*tk_cx_gb300+Sens!$F$9686*tk_cx_vr200)</f>
        <v>32.237224</v>
      </c>
      <c r="G9689" s="36" t="n">
        <f aca="false">cust_sh*tk_cx_gb300*cf_cx+(1-cust_sh)*((1-Sens!$G$9686)*tk_cx_gb300+Sens!$G$9686*tk_cx_vr200)</f>
        <v>32.237224</v>
      </c>
      <c r="H9689" s="36" t="n">
        <f aca="false">cust_sh*tk_cx_gb300*cf_cx+(1-cust_sh)*((1-Sens!$H$9686)*tk_cx_gb300+Sens!$H$9686*tk_cx_vr200)</f>
        <v>33.574506</v>
      </c>
      <c r="I9689" s="36" t="n">
        <f aca="false">cust_sh*tk_cx_gb300*cf_cx+(1-cust_sh)*((1-Sens!$I$9686)*tk_cx_gb300+Sens!$I$9686*tk_cx_vr200)</f>
        <v>34.911788</v>
      </c>
      <c r="J9689" s="36" t="n">
        <f aca="false">cust_sh*tk_cx_gb300*cf_cx+(1-cust_sh)*((1-Sens!$J$9686)*tk_cx_gb300+Sens!$J$9686*tk_cx_vr200)</f>
        <v>34.911788</v>
      </c>
      <c r="K9689" s="36" t="n">
        <f aca="false">cust_sh*tk_cx_gb300*cf_cx+(1-cust_sh)*((1-Sens!$K$9686)*tk_cx_gb300+Sens!$K$9686*tk_cx_vr200)</f>
        <v>34.911788</v>
      </c>
      <c r="L9689" s="36" t="n">
        <f aca="false">cust_sh*tk_cx_gb300*cf_cx+(1-cust_sh)*((1-Sens!$L$9686)*tk_cx_gb300+Sens!$L$9686*tk_cx_vr200)</f>
        <v>34.911788</v>
      </c>
      <c r="M9689" s="36" t="n">
        <f aca="false">cust_sh*tk_cx_gb300*cf_cx+(1-cust_sh)*((1-Sens!$M$9686)*tk_cx_gb300+Sens!$M$9686*tk_cx_vr200)</f>
        <v>34.911788</v>
      </c>
    </row>
    <row r="9690" customFormat="false" ht="17.15" hidden="false" customHeight="false" outlineLevel="0" collapsed="false">
      <c r="A9690" s="5" t="s">
        <v>613</v>
      </c>
      <c r="B9690" s="0" t="s">
        <v>129</v>
      </c>
      <c r="F9690" s="32" t="n">
        <f aca="false">Sens!$F$9680-mw_open</f>
        <v>1817.15</v>
      </c>
      <c r="G9690" s="32" t="n">
        <f aca="false">Sens!$F$9690</f>
        <v>1817.15</v>
      </c>
      <c r="H9690" s="32" t="n">
        <f aca="false">Sens!$H$9680-mw_open</f>
        <v>5451.45</v>
      </c>
      <c r="I9690" s="32" t="n">
        <f aca="false">Sens!$I$9680-mw_open</f>
        <v>9085.75</v>
      </c>
      <c r="J9690" s="32" t="n">
        <f aca="false">Sens!$J$9680-mw_open</f>
        <v>12720.05</v>
      </c>
      <c r="K9690" s="32" t="n">
        <f aca="false">Sens!$K$9680-mw_open</f>
        <v>15290.9171666667</v>
      </c>
      <c r="L9690" s="32" t="n">
        <f aca="false">Sens!$L$9680-mw_open</f>
        <v>16798.3515</v>
      </c>
      <c r="M9690" s="32" t="n">
        <f aca="false">Sens!$M$9680-mw_open</f>
        <v>17242.353</v>
      </c>
    </row>
    <row r="9691" customFormat="false" ht="17.15" hidden="false" customHeight="false" outlineLevel="0" collapsed="false">
      <c r="A9691" s="0" t="s">
        <v>614</v>
      </c>
      <c r="B9691" s="0" t="s">
        <v>615</v>
      </c>
      <c r="F9691" s="32" t="n">
        <f aca="false">Sens!$F$9683*Sens!$F$9687</f>
        <v>19782.2417524844</v>
      </c>
      <c r="G9691" s="32" t="n">
        <f aca="false">Sens!$F$9691</f>
        <v>19782.2417524844</v>
      </c>
      <c r="H9691" s="32" t="n">
        <f aca="false">Sens!$G$9691+Sens!$H$9683*Sens!$H$9687</f>
        <v>60563.3616992009</v>
      </c>
      <c r="I9691" s="32" t="n">
        <f aca="false">Sens!$H$9691+Sens!$I$9683*Sens!$I$9687</f>
        <v>102561.118087665</v>
      </c>
      <c r="J9691" s="32" t="n">
        <f aca="false">Sens!$I$9691+Sens!$J$9683*Sens!$J$9687</f>
        <v>144558.87447613</v>
      </c>
      <c r="K9691" s="32" t="n">
        <f aca="false">Sens!$J$9691+Sens!$K$9683*Sens!$K$9687</f>
        <v>174267.663781572</v>
      </c>
      <c r="L9691" s="32" t="n">
        <f aca="false">Sens!$K$9691+Sens!$L$9683*Sens!$L$9687</f>
        <v>191687.486003992</v>
      </c>
      <c r="M9691" s="32" t="n">
        <f aca="false">Sens!$L$9691+Sens!$M$9683*Sens!$M$9687</f>
        <v>196818.341143389</v>
      </c>
    </row>
    <row r="9692" customFormat="false" ht="17.15" hidden="false" customHeight="false" outlineLevel="0" collapsed="false">
      <c r="A9692" s="0" t="s">
        <v>616</v>
      </c>
      <c r="B9692" s="0" t="s">
        <v>615</v>
      </c>
      <c r="F9692" s="32" t="n">
        <f aca="false">Sens!$F$9683*Sens!$F$9688</f>
        <v>3602.74485070566</v>
      </c>
      <c r="G9692" s="32" t="n">
        <f aca="false">Sens!$F$9692</f>
        <v>3602.74485070566</v>
      </c>
      <c r="H9692" s="32" t="n">
        <f aca="false">Sens!$G$9692+Sens!$H$9683*Sens!$H$9688</f>
        <v>10908.9598445736</v>
      </c>
      <c r="I9692" s="32" t="n">
        <f aca="false">Sens!$H$9692+Sens!$I$9683*Sens!$I$9688</f>
        <v>18315.9001308981</v>
      </c>
      <c r="J9692" s="32" t="n">
        <f aca="false">Sens!$I$9692+Sens!$J$9683*Sens!$J$9688</f>
        <v>25722.8404172225</v>
      </c>
      <c r="K9692" s="32" t="n">
        <f aca="false">Sens!$J$9692+Sens!$K$9683*Sens!$K$9688</f>
        <v>30962.4352738861</v>
      </c>
      <c r="L9692" s="32" t="n">
        <f aca="false">Sens!$K$9692+Sens!$L$9683*Sens!$L$9688</f>
        <v>34034.6847008886</v>
      </c>
      <c r="M9692" s="32" t="n">
        <f aca="false">Sens!$L$9692+Sens!$M$9683*Sens!$M$9688</f>
        <v>34939.5886982302</v>
      </c>
    </row>
    <row r="9693" customFormat="false" ht="17.15" hidden="false" customHeight="false" outlineLevel="0" collapsed="false">
      <c r="A9693" s="5" t="s">
        <v>617</v>
      </c>
      <c r="B9693" s="0" t="s">
        <v>173</v>
      </c>
      <c r="F9693" s="36" t="n">
        <f aca="false">IF(Sens!$F$9690&gt;0,Sens!$F$9691/Sens!$F$9690,Sens!$F$9687)</f>
        <v>10.8864110021101</v>
      </c>
      <c r="G9693" s="36" t="n">
        <f aca="false">IF(Sens!$G$9690&gt;0,Sens!$G$9691/Sens!$G$9690,Sens!$G$9687)</f>
        <v>10.8864110021101</v>
      </c>
      <c r="H9693" s="36" t="n">
        <f aca="false">IF(Sens!$H$9690&gt;0,Sens!$H$9691/Sens!$H$9690,Sens!$H$9687)</f>
        <v>11.1095876691891</v>
      </c>
      <c r="I9693" s="36" t="n">
        <f aca="false">IF(Sens!$I$9690&gt;0,Sens!$I$9691/Sens!$I$9690,Sens!$I$9687)</f>
        <v>11.2881290028523</v>
      </c>
      <c r="J9693" s="36" t="n">
        <f aca="false">IF(Sens!$J$9690&gt;0,Sens!$J$9691/Sens!$J$9690,Sens!$J$9687)</f>
        <v>11.3646467172794</v>
      </c>
      <c r="K9693" s="36" t="n">
        <f aca="false">IF(Sens!$K$9690&gt;0,Sens!$K$9691/Sens!$K$9690,Sens!$K$9687)</f>
        <v>11.3968090914432</v>
      </c>
      <c r="L9693" s="36" t="n">
        <f aca="false">IF(Sens!$L$9690&gt;0,Sens!$L$9691/Sens!$L$9690,Sens!$L$9687)</f>
        <v>11.4110891181192</v>
      </c>
      <c r="M9693" s="36" t="n">
        <f aca="false">IF(Sens!$M$9690&gt;0,Sens!$M$9691/Sens!$M$9690,Sens!$M$9687)</f>
        <v>11.4148191458201</v>
      </c>
    </row>
    <row r="9694" customFormat="false" ht="17.15" hidden="false" customHeight="false" outlineLevel="0" collapsed="false">
      <c r="A9694" s="5" t="s">
        <v>618</v>
      </c>
      <c r="B9694" s="0" t="s">
        <v>173</v>
      </c>
      <c r="F9694" s="36" t="n">
        <f aca="false">IF(Sens!$F$9690&gt;0,Sens!$F$9692/Sens!$F$9690,Sens!$F$9688)</f>
        <v>1.98263481314457</v>
      </c>
      <c r="G9694" s="36" t="n">
        <f aca="false">IF(Sens!$G$9690&gt;0,Sens!$G$9692/Sens!$G$9690,Sens!$G$9688)</f>
        <v>1.98263481314457</v>
      </c>
      <c r="H9694" s="36" t="n">
        <f aca="false">IF(Sens!$H$9690&gt;0,Sens!$H$9692/Sens!$H$9690,Sens!$H$9688)</f>
        <v>2.00111160233948</v>
      </c>
      <c r="I9694" s="36" t="n">
        <f aca="false">IF(Sens!$I$9690&gt;0,Sens!$I$9692/Sens!$I$9690,Sens!$I$9688)</f>
        <v>2.01589303369541</v>
      </c>
      <c r="J9694" s="36" t="n">
        <f aca="false">IF(Sens!$J$9690&gt;0,Sens!$J$9692/Sens!$J$9690,Sens!$J$9688)</f>
        <v>2.02222793284795</v>
      </c>
      <c r="K9694" s="36" t="n">
        <f aca="false">IF(Sens!$K$9690&gt;0,Sens!$K$9692/Sens!$K$9690,Sens!$K$9688)</f>
        <v>2.02489065478573</v>
      </c>
      <c r="L9694" s="36" t="n">
        <f aca="false">IF(Sens!$L$9690&gt;0,Sens!$L$9692/Sens!$L$9690,Sens!$L$9688)</f>
        <v>2.0260728977417</v>
      </c>
      <c r="M9694" s="36" t="n">
        <f aca="false">IF(Sens!$M$9690&gt;0,Sens!$M$9692/Sens!$M$9690,Sens!$M$9688)</f>
        <v>2.02638170661685</v>
      </c>
    </row>
    <row r="9695" customFormat="false" ht="17.15" hidden="false" customHeight="false" outlineLevel="0" collapsed="false">
      <c r="A9695" s="15" t="s">
        <v>619</v>
      </c>
      <c r="B9695" s="14" t="s">
        <v>173</v>
      </c>
      <c r="C9695" s="14"/>
      <c r="D9695" s="14"/>
      <c r="E9695" s="14"/>
      <c r="F9695" s="37" t="n">
        <f aca="false">Sens!$F$9693*k_B</f>
        <v>10.7987645808025</v>
      </c>
      <c r="G9695" s="37" t="n">
        <f aca="false">Sens!$G$9693*k_B</f>
        <v>10.7987645808025</v>
      </c>
      <c r="H9695" s="37" t="n">
        <f aca="false">Sens!$H$9693*k_B</f>
        <v>11.0201444540452</v>
      </c>
      <c r="I9695" s="37" t="n">
        <f aca="false">Sens!$I$9693*k_B</f>
        <v>11.1972483526393</v>
      </c>
      <c r="J9695" s="37" t="n">
        <f aca="false">Sens!$J$9693*k_B</f>
        <v>11.2731500234653</v>
      </c>
      <c r="K9695" s="37" t="n">
        <f aca="false">Sens!$K$9693*k_B</f>
        <v>11.3050534585724</v>
      </c>
      <c r="L9695" s="37" t="n">
        <f aca="false">Sens!$L$9693*k_B</f>
        <v>11.3192185168503</v>
      </c>
      <c r="M9695" s="37" t="n">
        <f aca="false">Sens!$M$9693*k_B</f>
        <v>11.3229185141234</v>
      </c>
      <c r="N9695" s="14"/>
      <c r="O9695" s="14"/>
      <c r="P9695" s="5" t="s">
        <v>620</v>
      </c>
    </row>
    <row r="9696" customFormat="false" ht="17.15" hidden="false" customHeight="false" outlineLevel="0" collapsed="false">
      <c r="A9696" s="5" t="s">
        <v>621</v>
      </c>
      <c r="B9696" s="0" t="s">
        <v>129</v>
      </c>
      <c r="F9696" s="32" t="n">
        <f aca="false">Sens!$F$9690/2</f>
        <v>908.575</v>
      </c>
      <c r="H9696" s="32" t="n">
        <f aca="false">(Sens!$G$9690+Sens!$H$9690)/2</f>
        <v>3634.3</v>
      </c>
      <c r="I9696" s="32" t="n">
        <f aca="false">(Sens!$H$9690+Sens!$I$9690)/2</f>
        <v>7268.6</v>
      </c>
      <c r="J9696" s="32" t="n">
        <f aca="false">(Sens!$I$9690+Sens!$J$9690)/2</f>
        <v>10902.9</v>
      </c>
      <c r="K9696" s="32" t="n">
        <f aca="false">(Sens!$J$9690+Sens!$K$9690)/2</f>
        <v>14005.4835833333</v>
      </c>
      <c r="L9696" s="32" t="n">
        <f aca="false">(Sens!$K$9690+Sens!$L$9690)/2</f>
        <v>16044.6343333333</v>
      </c>
      <c r="M9696" s="32" t="n">
        <f aca="false">(Sens!$L$9690+Sens!$M$9690)/2</f>
        <v>17020.35225</v>
      </c>
    </row>
    <row r="9697" customFormat="false" ht="17.15" hidden="false" customHeight="false" outlineLevel="0" collapsed="false">
      <c r="A9697" s="1" t="s">
        <v>622</v>
      </c>
    </row>
    <row r="9698" customFormat="false" ht="17.15" hidden="false" customHeight="false" outlineLevel="0" collapsed="false">
      <c r="A9698" s="1" t="s">
        <v>623</v>
      </c>
      <c r="B9698" s="8" t="s">
        <v>86</v>
      </c>
      <c r="C9698" s="38" t="n">
        <f aca="false">Sens!$C$9681*rpm_open*Sens!$C$9682/1000</f>
        <v>2.32100535697364</v>
      </c>
      <c r="D9698" s="38" t="n">
        <f aca="false">Sens!$D$9681*rpm_open*Sens!$D$9682/1000</f>
        <v>8.70377008865116</v>
      </c>
      <c r="E9698" s="38" t="n">
        <f aca="false">Sens!$E$9681*rpm_open*Sens!$E$9682/1000</f>
        <v>8.51035297557002</v>
      </c>
      <c r="F9698" s="38" t="n">
        <f aca="false">(mw_open*rpm_open+Sens!$F$9696*Sens!$F$9695)*Sens!$F$9682/1000</f>
        <v>14.9634336447205</v>
      </c>
      <c r="G9698" s="38" t="n">
        <f aca="false">Sens!$E$9698+Sens!$F$9698</f>
        <v>23.4737866202905</v>
      </c>
      <c r="H9698" s="38" t="n">
        <f aca="false">(mw_open*rpm_open+Sens!$H$9696*Sens!$H$9695)/1000</f>
        <v>60.1658907497746</v>
      </c>
      <c r="I9698" s="38" t="n">
        <f aca="false">(mw_open*rpm_open+Sens!$I$9696*Sens!$I$9695)/1000</f>
        <v>101.503699136432</v>
      </c>
      <c r="J9698" s="38" t="n">
        <f aca="false">(mw_open*rpm_open+Sens!$J$9696*Sens!$J$9695)/1000</f>
        <v>143.025407151278</v>
      </c>
      <c r="K9698" s="38" t="n">
        <f aca="false">(mw_open*rpm_open+Sens!$K$9696*Sens!$K$9695)/1000</f>
        <v>178.44812038318</v>
      </c>
      <c r="L9698" s="38" t="n">
        <f aca="false">(mw_open*rpm_open+Sens!$L$9696*Sens!$L$9695)/1000</f>
        <v>201.728101802396</v>
      </c>
      <c r="M9698" s="38" t="n">
        <f aca="false">(mw_open*rpm_open+Sens!$M$9696*Sens!$M$9695)/1000</f>
        <v>212.835441368865</v>
      </c>
      <c r="N9698" s="38" t="n">
        <f aca="false">Sens!$N$9681*rpm_open*Sens!$N$9682/1000</f>
        <v>3.04631953102791</v>
      </c>
      <c r="O9698" s="38" t="n">
        <f aca="false">Sens!$O$9681*rpm_open*Sens!$O$9682/1000</f>
        <v>5.65745055762326</v>
      </c>
      <c r="P9698" s="5" t="s">
        <v>624</v>
      </c>
    </row>
    <row r="9699" customFormat="false" ht="17.15" hidden="false" customHeight="false" outlineLevel="0" collapsed="false">
      <c r="A9699" s="5" t="s">
        <v>625</v>
      </c>
      <c r="B9699" s="0" t="s">
        <v>173</v>
      </c>
      <c r="C9699" s="36" t="n">
        <f aca="false">Sens!$C$9698*1000/(Sens!$C$9681*Sens!$C$9682)</f>
        <v>9.67085565405685</v>
      </c>
      <c r="D9699" s="36" t="n">
        <f aca="false">Sens!$D$9698*1000/(Sens!$D$9681*Sens!$D$9682)</f>
        <v>9.67085565405685</v>
      </c>
      <c r="E9699" s="36" t="n">
        <f aca="false">Sens!$E$9698*1000/(Sens!$E$9681*Sens!$E$9682)</f>
        <v>9.67085565405685</v>
      </c>
      <c r="F9699" s="36" t="n">
        <f aca="false">Sens!$F$9698*1000/(Sens!$F$9681*Sens!$F$9682)</f>
        <v>10.0137581588017</v>
      </c>
      <c r="G9699" s="36" t="n">
        <f aca="false">Sens!$G$9698*1000/(Sens!$G$9681*Sens!$G$9682)</f>
        <v>9.88666562928478</v>
      </c>
      <c r="H9699" s="36" t="n">
        <f aca="false">Sens!$H$9698*1000/(Sens!$H$9681*Sens!$H$9682)</f>
        <v>10.5290045586992</v>
      </c>
      <c r="I9699" s="36" t="n">
        <f aca="false">Sens!$I$9698*1000/(Sens!$I$9681*Sens!$I$9682)</f>
        <v>10.8576363451674</v>
      </c>
      <c r="J9699" s="36" t="n">
        <f aca="false">Sens!$J$9698*1000/(Sens!$J$9681*Sens!$J$9682)</f>
        <v>11.0164452588619</v>
      </c>
      <c r="K9699" s="36" t="n">
        <f aca="false">Sens!$K$9698*1000/(Sens!$K$9681*Sens!$K$9682)</f>
        <v>11.0937367508227</v>
      </c>
      <c r="L9699" s="36" t="n">
        <f aca="false">Sens!$L$9698*1000/(Sens!$L$9681*Sens!$L$9682)</f>
        <v>11.1300508519168</v>
      </c>
      <c r="M9699" s="36" t="n">
        <f aca="false">Sens!$M$9698*1000/(Sens!$M$9681*Sens!$M$9682)</f>
        <v>11.1430113216297</v>
      </c>
      <c r="N9699" s="36" t="n">
        <f aca="false">Sens!$N$9698*1000/(Sens!$N$9681*Sens!$N$9682)</f>
        <v>9.67085565405685</v>
      </c>
      <c r="O9699" s="36" t="n">
        <f aca="false">Sens!$O$9698*1000/(Sens!$O$9681*Sens!$O$9682)</f>
        <v>9.67085565405685</v>
      </c>
    </row>
    <row r="9700" customFormat="false" ht="17.15" hidden="false" customHeight="false" outlineLevel="0" collapsed="false">
      <c r="A9700" s="0" t="s">
        <v>626</v>
      </c>
      <c r="B9700" s="0" t="s">
        <v>86</v>
      </c>
      <c r="C9700" s="38" t="n">
        <f aca="false">Sens!$C$9681/ext_sh*(ox_open+rent_mw)*Sens!$C$9682/1000</f>
        <v>0.642569210675032</v>
      </c>
      <c r="D9700" s="38" t="n">
        <f aca="false">Sens!$D$9681/ext_sh*(ox_open+rent_mw)*Sens!$D$9682/1000</f>
        <v>2.40963454003137</v>
      </c>
      <c r="E9700" s="38" t="n">
        <f aca="false">Sens!$E$9681/ext_sh*(ox_open+rent_mw)*Sens!$E$9682/1000</f>
        <v>2.35608710580845</v>
      </c>
      <c r="F9700" s="38" t="n">
        <f aca="false">((mw_open*ox_open+Sens!$F$9696*Sens!$F$9694)/ext_sh+Sens!$F$9681/ext_sh*rent_mw)*Sens!$F$9682/1000</f>
        <v>4.05421991106232</v>
      </c>
      <c r="G9700" s="38" t="n">
        <f aca="false">Sens!$E$9700+Sens!$F$9700</f>
        <v>6.41030701687077</v>
      </c>
      <c r="H9700" s="38" t="n">
        <f aca="false">((mw_open*ox_open+Sens!$H$9696*Sens!$H$9694)/ext_sh+Sens!$H$9681/ext_sh*rent_mw)*Sens!$H$9682/1000</f>
        <v>15.8108975546616</v>
      </c>
      <c r="I9700" s="38" t="n">
        <f aca="false">((mw_open*ox_open+Sens!$I$9696*Sens!$I$9694)/ext_sh+Sens!$I$9681/ext_sh*rent_mw)*Sens!$I$9682/1000</f>
        <v>26.1871623400817</v>
      </c>
      <c r="J9700" s="38" t="n">
        <f aca="false">((mw_open*ox_open+Sens!$J$9696*Sens!$J$9694)/ext_sh+Sens!$J$9681/ext_sh*rent_mw)*Sens!$J$9682/1000</f>
        <v>36.5826128954935</v>
      </c>
      <c r="K9700" s="38" t="n">
        <f aca="false">((mw_open*ox_open+Sens!$K$9696*Sens!$K$9694)/ext_sh+Sens!$K$9681/ext_sh*rent_mw)*Sens!$K$9682/1000</f>
        <v>45.4546361137628</v>
      </c>
      <c r="L9700" s="38" t="n">
        <f aca="false">((mw_open*ox_open+Sens!$L$9696*Sens!$L$9694)/ext_sh+Sens!$L$9681/ext_sh*rent_mw)*Sens!$L$9682/1000</f>
        <v>51.2855695554452</v>
      </c>
      <c r="M9700" s="38" t="n">
        <f aca="false">((mw_open*ox_open+Sens!$M$9696*Sens!$M$9694)/ext_sh+Sens!$M$9681/ext_sh*rent_mw)*Sens!$M$9682/1000</f>
        <v>54.0722927838398</v>
      </c>
      <c r="N9700" s="38" t="n">
        <f aca="false">Sens!$N$9681/ext_sh*(ox_open+rent_mw)*Sens!$N$9682/1000</f>
        <v>0.84337208901098</v>
      </c>
      <c r="O9700" s="38" t="n">
        <f aca="false">Sens!$O$9681/ext_sh*(ox_open+rent_mw)*Sens!$O$9682/1000</f>
        <v>1.56626245102039</v>
      </c>
    </row>
    <row r="9701" customFormat="false" ht="17.15" hidden="false" customHeight="false" outlineLevel="0" collapsed="false">
      <c r="A9701" s="0" t="s">
        <v>627</v>
      </c>
      <c r="B9701" s="0" t="s">
        <v>86</v>
      </c>
      <c r="C9701" s="38" t="n">
        <f aca="false">Q!$D$7</f>
        <v>107.556</v>
      </c>
      <c r="D9701" s="38" t="n">
        <f aca="false">Q!$E$7</f>
        <v>128.725</v>
      </c>
      <c r="E9701" s="38" t="n">
        <f aca="false">Q!$P$7</f>
        <v>79.819</v>
      </c>
      <c r="N9701" s="38" t="n">
        <f aca="false">Q!$N$7</f>
        <v>60.14</v>
      </c>
      <c r="O9701" s="38" t="n">
        <f aca="false">Q!$O$7</f>
        <v>68.585</v>
      </c>
    </row>
    <row r="9702" customFormat="false" ht="17.15" hidden="false" customHeight="false" outlineLevel="0" collapsed="false">
      <c r="A9702" s="1" t="s">
        <v>628</v>
      </c>
      <c r="B9702" s="8" t="s">
        <v>86</v>
      </c>
      <c r="C9702" s="38" t="n">
        <f aca="false">Sens!$C$9701-Sens!$C$9698</f>
        <v>105.234994643026</v>
      </c>
      <c r="D9702" s="38" t="n">
        <f aca="false">Sens!$D$9701-Sens!$D$9698</f>
        <v>120.021229911349</v>
      </c>
      <c r="E9702" s="38" t="n">
        <f aca="false">Sens!$E$9701-Sens!$E$9698</f>
        <v>71.30864702443</v>
      </c>
      <c r="F9702" s="38" t="n">
        <f aca="false">Sens!$O$9702*(1+Sens!$F$9703)</f>
        <v>71.7692997942464</v>
      </c>
      <c r="G9702" s="38" t="n">
        <f aca="false">Sens!$E$9702+Sens!$F$9702</f>
        <v>143.077946818676</v>
      </c>
      <c r="H9702" s="38" t="n">
        <f aca="false">Sens!$G$9702*(1+Sens!$H$9703)</f>
        <v>161.017077079203</v>
      </c>
      <c r="I9702" s="38" t="n">
        <f aca="false">Sens!$H$9702*(1+Sens!$I$9703)</f>
        <v>178.769759521457</v>
      </c>
      <c r="J9702" s="38" t="n">
        <f aca="false">Sens!$I$9702*(1+Sens!$J$9703)</f>
        <v>195.775538045907</v>
      </c>
      <c r="K9702" s="38" t="n">
        <f aca="false">Sens!$J$9702*(1+Sens!$K$9703)</f>
        <v>211.43758108958</v>
      </c>
      <c r="L9702" s="38" t="n">
        <f aca="false">Sens!$K$9702*(1+Sens!$L$9703)</f>
        <v>228.352587576746</v>
      </c>
      <c r="M9702" s="38" t="n">
        <f aca="false">Sens!$L$9702*(1+Sens!$M$9703)</f>
        <v>246.620794582886</v>
      </c>
      <c r="N9702" s="38" t="n">
        <f aca="false">Sens!$N$9701-Sens!$N$9698</f>
        <v>57.0936804689721</v>
      </c>
      <c r="O9702" s="38" t="n">
        <f aca="false">Sens!$O$9701-Sens!$O$9698</f>
        <v>62.9275494423768</v>
      </c>
      <c r="P9702" s="5" t="s">
        <v>629</v>
      </c>
    </row>
    <row r="9703" customFormat="false" ht="17.15" hidden="false" customHeight="false" outlineLevel="0" collapsed="false">
      <c r="A9703" s="0" t="s">
        <v>630</v>
      </c>
      <c r="B9703" s="0" t="s">
        <v>52</v>
      </c>
      <c r="D9703" s="13" t="n">
        <f aca="false">Sens!$D$9702/Sens!$C$9702-1</f>
        <v>0.140506827776062</v>
      </c>
      <c r="E9703" s="13" t="n">
        <f aca="false">Sens!$E$9702/Sens!$N$9702-1</f>
        <v>0.248976181579029</v>
      </c>
      <c r="F9703" s="13" t="n">
        <f aca="false">Sens!$D$9703</f>
        <v>0.140506827776062</v>
      </c>
      <c r="G9703" s="13" t="n">
        <f aca="false">Sens!$G$9702/Sens!$D$9702-1</f>
        <v>0.19210532106993</v>
      </c>
      <c r="H9703" s="13" t="n">
        <f aca="false">Sens!$F$9703+(g_awso_lt-Sens!$F$9703)*1/4</f>
        <v>0.125380120832046</v>
      </c>
      <c r="I9703" s="13" t="n">
        <f aca="false">Sens!$F$9703+(g_awso_lt-Sens!$F$9703)*2/4</f>
        <v>0.110253413888031</v>
      </c>
      <c r="J9703" s="13" t="n">
        <f aca="false">Sens!$F$9703+(g_awso_lt-Sens!$F$9703)*3/4</f>
        <v>0.0951267069440154</v>
      </c>
      <c r="K9703" s="13" t="n">
        <f aca="false">Sens!$F$9703+(g_awso_lt-Sens!$F$9703)*4/4</f>
        <v>0.08</v>
      </c>
      <c r="L9703" s="13" t="n">
        <f aca="false">g_awso_lt</f>
        <v>0.08</v>
      </c>
      <c r="M9703" s="13" t="n">
        <f aca="false">g_awso_lt</f>
        <v>0.08</v>
      </c>
      <c r="P9703" s="5" t="s">
        <v>631</v>
      </c>
    </row>
    <row r="9704" customFormat="false" ht="17.15" hidden="false" customHeight="false" outlineLevel="0" collapsed="false">
      <c r="A9704" s="1" t="s">
        <v>632</v>
      </c>
    </row>
    <row r="9705" customFormat="false" ht="17.15" hidden="false" customHeight="false" outlineLevel="0" collapsed="false">
      <c r="A9705" s="0" t="s">
        <v>633</v>
      </c>
      <c r="B9705" s="0" t="s">
        <v>86</v>
      </c>
      <c r="F9705" s="38" t="n">
        <f aca="false">cx_rt*Sens!$F$9670+cx_awso*Sens!$F$9702</f>
        <v>34.9734495387866</v>
      </c>
    </row>
    <row r="9706" customFormat="false" ht="17.15" hidden="false" customHeight="false" outlineLevel="0" collapsed="false">
      <c r="A9706" s="0" t="s">
        <v>634</v>
      </c>
      <c r="B9706" s="0" t="s">
        <v>52</v>
      </c>
      <c r="C9706" s="13" t="n">
        <f aca="false">tk_cx_h100/(tk_cx_h100+tk_fac*(1-colo_sh))</f>
        <v>0.730756458006641</v>
      </c>
      <c r="D9706" s="13" t="n">
        <f aca="false">tk_cx_h100/(tk_cx_h100+tk_fac*(1-colo_sh))</f>
        <v>0.730756458006641</v>
      </c>
      <c r="E9706" s="13" t="n">
        <f aca="false">Sens!$F$9706</f>
        <v>0.760792334328868</v>
      </c>
      <c r="F9706" s="13" t="n">
        <f aca="false">Sens!$F$9689/(Sens!$F$9689+tk_fac*(1-colo_sh))</f>
        <v>0.760792334328868</v>
      </c>
      <c r="G9706" s="13" t="n">
        <f aca="false">Sens!$G$9689/(Sens!$G$9689+tk_fac*(1-colo_sh))</f>
        <v>0.760792334328868</v>
      </c>
      <c r="H9706" s="13" t="n">
        <f aca="false">Sens!$H$9689/(Sens!$H$9689+tk_fac*(1-colo_sh))</f>
        <v>0.768110668862996</v>
      </c>
      <c r="I9706" s="13" t="n">
        <f aca="false">Sens!$I$9689/(Sens!$I$9689+tk_fac*(1-colo_sh))</f>
        <v>0.77499450139483</v>
      </c>
      <c r="J9706" s="13" t="n">
        <f aca="false">Sens!$J$9689/(Sens!$J$9689+tk_fac*(1-colo_sh))</f>
        <v>0.77499450139483</v>
      </c>
      <c r="K9706" s="13" t="n">
        <f aca="false">Sens!$K$9689/(Sens!$K$9689+tk_fac*(1-colo_sh))</f>
        <v>0.77499450139483</v>
      </c>
      <c r="L9706" s="13" t="n">
        <f aca="false">Sens!$L$9689/(Sens!$L$9689+tk_fac*(1-colo_sh))</f>
        <v>0.77499450139483</v>
      </c>
      <c r="M9706" s="13" t="n">
        <f aca="false">Sens!$M$9689/(Sens!$M$9689+tk_fac*(1-colo_sh))</f>
        <v>0.77499450139483</v>
      </c>
    </row>
    <row r="9707" customFormat="false" ht="17.15" hidden="false" customHeight="false" outlineLevel="0" collapsed="false">
      <c r="A9707" s="1" t="s">
        <v>635</v>
      </c>
      <c r="B9707" s="8" t="s">
        <v>86</v>
      </c>
      <c r="C9707" s="38" t="n">
        <f aca="false">Q!$D$46-cx_rt*Q!$D$16-cx_awso*Sens!$C$9702</f>
        <v>25.2781053077374</v>
      </c>
      <c r="D9707" s="38" t="n">
        <f aca="false">Q!$E$46-cx_rt*Q!$E$16-cx_awso*Sens!$D$9702</f>
        <v>69.5686316310026</v>
      </c>
      <c r="E9707" s="38" t="n">
        <f aca="false">Q!$P$46-cx_rt*Q!$P$16-cx_awso*Sens!$E$9702</f>
        <v>64.1899206485108</v>
      </c>
      <c r="F9707" s="38" t="n">
        <f aca="false">capex_g26-Q!$P$46-Sens!$F$9705</f>
        <v>88.7165504612134</v>
      </c>
      <c r="G9707" s="38" t="n">
        <f aca="false">Sens!$E$9707+Sens!$F$9707</f>
        <v>152.906471109724</v>
      </c>
      <c r="H9707" s="38" t="n">
        <f aca="false">Sens!$H$9684*(Sens!$H$9689+tk_fac*(1-colo_sh))/1000+Sens!$H$9708</f>
        <v>198.57136494475</v>
      </c>
      <c r="I9707" s="38" t="n">
        <f aca="false">Sens!$I$9684*(Sens!$I$9689+tk_fac*(1-colo_sh))/1000+Sens!$I$9708</f>
        <v>204.6464699105</v>
      </c>
      <c r="J9707" s="38" t="n">
        <f aca="false">Sens!$J$9684*(Sens!$J$9689+tk_fac*(1-colo_sh))/1000+Sens!$J$9708</f>
        <v>209.8832381105</v>
      </c>
      <c r="K9707" s="38" t="n">
        <f aca="false">Sens!$K$9684*(Sens!$K$9689+tk_fac*(1-colo_sh))/1000+Sens!$K$9708</f>
        <v>155.238385275201</v>
      </c>
      <c r="L9707" s="38" t="n">
        <f aca="false">Sens!$L$9684*(Sens!$L$9689+tk_fac*(1-colo_sh))/1000+Sens!$L$9708</f>
        <v>132.014141639902</v>
      </c>
      <c r="M9707" s="38" t="n">
        <f aca="false">Sens!$M$9684*(Sens!$M$9689+tk_fac*(1-colo_sh))/1000+Sens!$M$9708</f>
        <v>132.230981659852</v>
      </c>
      <c r="P9707" s="5" t="s">
        <v>636</v>
      </c>
      <c r="R9707" s="38" t="n">
        <f aca="false">Q!$C$46-cx_rt*Q!$C$16-cx_awso*(Q!$C$7-mw_ye23/2*rpm_open/1000)</f>
        <v>1.50429979529945</v>
      </c>
      <c r="S9707" s="38" t="n">
        <f aca="false">Sens!$C$9707</f>
        <v>25.2781053077374</v>
      </c>
      <c r="T9707" s="38" t="n">
        <f aca="false">Sens!$D$9707</f>
        <v>69.5686316310026</v>
      </c>
      <c r="U9707" s="38" t="n">
        <f aca="false">Sens!$G$9707</f>
        <v>152.906471109724</v>
      </c>
      <c r="V9707" s="38" t="n">
        <f aca="false">Sens!$H$9707</f>
        <v>198.57136494475</v>
      </c>
      <c r="W9707" s="38" t="n">
        <f aca="false">Sens!$I$9707</f>
        <v>204.6464699105</v>
      </c>
      <c r="X9707" s="38" t="n">
        <f aca="false">Sens!$J$9707</f>
        <v>209.8832381105</v>
      </c>
      <c r="Y9707" s="38" t="n">
        <f aca="false">Sens!$K$9707</f>
        <v>155.238385275201</v>
      </c>
      <c r="Z9707" s="38" t="n">
        <f aca="false">Sens!$L$9707</f>
        <v>132.014141639902</v>
      </c>
      <c r="AA9707" s="38" t="n">
        <f aca="false">Sens!$M$9707</f>
        <v>132.230981659852</v>
      </c>
    </row>
    <row r="9708" customFormat="false" ht="17.15" hidden="false" customHeight="false" outlineLevel="0" collapsed="false">
      <c r="A9708" s="0" t="s">
        <v>637</v>
      </c>
      <c r="B9708" s="0" t="s">
        <v>86</v>
      </c>
      <c r="H9708" s="38" t="n">
        <f aca="false">SUMPRODUCT(--(Sens!$R$9677:$AA$9677=2027-tk_life),Sens!$R$9684:$AA$9684)*Sens!$H$9689/1000</f>
        <v>0</v>
      </c>
      <c r="I9708" s="38" t="n">
        <f aca="false">SUMPRODUCT(--(Sens!$R$9677:$AA$9677=2028-tk_life),Sens!$R$9684:$AA$9684)*Sens!$I$9689/1000</f>
        <v>0</v>
      </c>
      <c r="J9708" s="38" t="n">
        <f aca="false">SUMPRODUCT(--(Sens!$R$9677:$AA$9677=2029-tk_life),Sens!$R$9684:$AA$9684)*Sens!$J$9689/1000</f>
        <v>5.2367682</v>
      </c>
      <c r="K9708" s="38" t="n">
        <f aca="false">SUMPRODUCT(--(Sens!$R$9677:$AA$9677=2030-tk_life),Sens!$R$9684:$AA$9684)*Sens!$K$9689/1000</f>
        <v>10.4735364</v>
      </c>
      <c r="L9708" s="38" t="n">
        <f aca="false">SUMPRODUCT(--(Sens!$R$9677:$AA$9677=2031-tk_life),Sens!$R$9684:$AA$9684)*Sens!$L$9689/1000</f>
        <v>47.1309138</v>
      </c>
      <c r="M9708" s="38" t="n">
        <f aca="false">SUMPRODUCT(--(Sens!$R$9677:$AA$9677=2032-tk_life),Sens!$R$9684:$AA$9684)*Sens!$M$9689/1000</f>
        <v>107.22937485525</v>
      </c>
    </row>
    <row r="9709" customFormat="false" ht="17.15" hidden="false" customHeight="false" outlineLevel="0" collapsed="false">
      <c r="A9709" s="0" t="s">
        <v>638</v>
      </c>
      <c r="B9709" s="0" t="s">
        <v>86</v>
      </c>
      <c r="C9709" s="38" t="n">
        <f aca="false">MIN(Sens!$C$9707,Sens!$C$9684*(tk_cx_h100+tk_fac*(1-colo_sh))/1000)</f>
        <v>11.2938642</v>
      </c>
      <c r="D9709" s="38" t="n">
        <f aca="false">MIN(Sens!$D$9707,Sens!$D$9684*(tk_cx_h100+tk_fac*(1-colo_sh))/1000)</f>
        <v>50.8223889</v>
      </c>
      <c r="E9709" s="38" t="n">
        <f aca="false">MIN(Sens!$E$9707,Sens!$E$9684*(Sens!$F$9689+tk_fac*(1-colo_sh))/1000)</f>
        <v>33.8985792</v>
      </c>
      <c r="F9709" s="38" t="n">
        <f aca="false">Sens!$F$9707</f>
        <v>88.7165504612134</v>
      </c>
      <c r="G9709" s="38" t="n">
        <f aca="false">Sens!$E$9709+Sens!$F$9709</f>
        <v>122.615129661213</v>
      </c>
      <c r="H9709" s="38" t="n">
        <f aca="false">Sens!$H$9707</f>
        <v>198.57136494475</v>
      </c>
      <c r="I9709" s="38" t="n">
        <f aca="false">Sens!$I$9707</f>
        <v>204.6464699105</v>
      </c>
      <c r="J9709" s="38" t="n">
        <f aca="false">Sens!$J$9707</f>
        <v>209.8832381105</v>
      </c>
      <c r="K9709" s="38" t="n">
        <f aca="false">Sens!$K$9707</f>
        <v>155.238385275201</v>
      </c>
      <c r="L9709" s="38" t="n">
        <f aca="false">Sens!$L$9707</f>
        <v>132.014141639902</v>
      </c>
      <c r="M9709" s="38" t="n">
        <f aca="false">Sens!$M$9707</f>
        <v>132.230981659852</v>
      </c>
      <c r="P9709" s="5" t="s">
        <v>639</v>
      </c>
      <c r="R9709" s="38" t="n">
        <f aca="false">MIN(Sens!$R$9707,Sens!$R$9684*(tk_cx_h100+tk_fac*(1-colo_sh))/1000)</f>
        <v>1.50429979529945</v>
      </c>
      <c r="S9709" s="38" t="n">
        <f aca="false">Sens!$C$9709</f>
        <v>11.2938642</v>
      </c>
      <c r="T9709" s="38" t="n">
        <f aca="false">Sens!$D$9709</f>
        <v>50.8223889</v>
      </c>
      <c r="U9709" s="38" t="n">
        <f aca="false">Sens!$G$9709</f>
        <v>122.615129661213</v>
      </c>
      <c r="V9709" s="38" t="n">
        <f aca="false">Sens!$H$9709</f>
        <v>198.57136494475</v>
      </c>
      <c r="W9709" s="38" t="n">
        <f aca="false">Sens!$I$9709</f>
        <v>204.6464699105</v>
      </c>
      <c r="X9709" s="38" t="n">
        <f aca="false">Sens!$J$9709</f>
        <v>209.8832381105</v>
      </c>
      <c r="Y9709" s="38" t="n">
        <f aca="false">Sens!$K$9709</f>
        <v>155.238385275201</v>
      </c>
      <c r="Z9709" s="38" t="n">
        <f aca="false">Sens!$L$9709</f>
        <v>132.014141639902</v>
      </c>
      <c r="AA9709" s="38" t="n">
        <f aca="false">Sens!$M$9709</f>
        <v>132.230981659852</v>
      </c>
    </row>
    <row r="9710" customFormat="false" ht="17.15" hidden="false" customHeight="false" outlineLevel="0" collapsed="false">
      <c r="A9710" s="5" t="s">
        <v>640</v>
      </c>
      <c r="B9710" s="0" t="s">
        <v>86</v>
      </c>
      <c r="C9710" s="38" t="n">
        <f aca="false">Sens!$C$9707-Sens!$C$9709</f>
        <v>13.9842411077374</v>
      </c>
      <c r="D9710" s="38" t="n">
        <f aca="false">Sens!$D$9707-Sens!$D$9709</f>
        <v>18.7462427310026</v>
      </c>
      <c r="E9710" s="38" t="n">
        <f aca="false">Sens!$E$9707-Sens!$E$9709</f>
        <v>30.2913414485108</v>
      </c>
      <c r="F9710" s="38" t="n">
        <f aca="false">Sens!$F$9707-Sens!$F$9709</f>
        <v>0</v>
      </c>
      <c r="G9710" s="38" t="n">
        <f aca="false">Sens!$G$9707-Sens!$G$9709</f>
        <v>30.2913414485108</v>
      </c>
      <c r="H9710" s="38" t="n">
        <f aca="false">Sens!$H$9707-Sens!$H$9709</f>
        <v>0</v>
      </c>
      <c r="I9710" s="38" t="n">
        <f aca="false">Sens!$I$9707-Sens!$I$9709</f>
        <v>0</v>
      </c>
      <c r="J9710" s="38" t="n">
        <f aca="false">Sens!$J$9707-Sens!$J$9709</f>
        <v>0</v>
      </c>
      <c r="K9710" s="38" t="n">
        <f aca="false">Sens!$K$9707-Sens!$K$9709</f>
        <v>0</v>
      </c>
      <c r="L9710" s="38" t="n">
        <f aca="false">Sens!$L$9707-Sens!$L$9709</f>
        <v>0</v>
      </c>
      <c r="M9710" s="38" t="n">
        <f aca="false">Sens!$M$9707-Sens!$M$9709</f>
        <v>0</v>
      </c>
      <c r="P9710" s="5" t="s">
        <v>641</v>
      </c>
      <c r="R9710" s="38" t="n">
        <f aca="false">Sens!$R$9707-Sens!$R$9709</f>
        <v>0</v>
      </c>
      <c r="S9710" s="38" t="n">
        <f aca="false">Sens!$S$9707-Sens!$S$9709</f>
        <v>13.9842411077374</v>
      </c>
      <c r="T9710" s="38" t="n">
        <f aca="false">Sens!$T$9707-Sens!$T$9709</f>
        <v>18.7462427310026</v>
      </c>
      <c r="U9710" s="38" t="n">
        <f aca="false">Sens!$U$9707-Sens!$U$9709</f>
        <v>30.2913414485108</v>
      </c>
      <c r="V9710" s="38" t="n">
        <f aca="false">Sens!$V$9707-Sens!$V$9709</f>
        <v>0</v>
      </c>
      <c r="W9710" s="38" t="n">
        <f aca="false">Sens!$W$9707-Sens!$W$9709</f>
        <v>0</v>
      </c>
      <c r="X9710" s="38" t="n">
        <f aca="false">Sens!$X$9707-Sens!$X$9709</f>
        <v>0</v>
      </c>
      <c r="Y9710" s="38" t="n">
        <f aca="false">Sens!$Y$9707-Sens!$Y$9709</f>
        <v>0</v>
      </c>
      <c r="Z9710" s="38" t="n">
        <f aca="false">Sens!$Z$9707-Sens!$Z$9709</f>
        <v>0</v>
      </c>
      <c r="AA9710" s="38" t="n">
        <f aca="false">Sens!$AA$9707-Sens!$AA$9709</f>
        <v>0</v>
      </c>
    </row>
    <row r="9711" customFormat="false" ht="17.15" hidden="false" customHeight="false" outlineLevel="0" collapsed="false">
      <c r="A9711" s="5" t="s">
        <v>642</v>
      </c>
      <c r="B9711" s="0" t="s">
        <v>86</v>
      </c>
      <c r="R9711" s="38" t="n">
        <f aca="false">Sens!$R$9710*Sens!$C$9706</f>
        <v>0</v>
      </c>
      <c r="S9711" s="38" t="n">
        <f aca="false">Sens!$S$9710*Sens!$C$9706</f>
        <v>10.219074499801</v>
      </c>
      <c r="T9711" s="38" t="n">
        <f aca="false">Sens!$T$9710*Sens!$C$9706</f>
        <v>13.6989379390402</v>
      </c>
      <c r="U9711" s="38" t="n">
        <f aca="false">Sens!$U$9710*Sens!$E$9706</f>
        <v>23.0454203705653</v>
      </c>
      <c r="V9711" s="38" t="n">
        <f aca="false">Sens!$V$9710*Sens!$E$9706</f>
        <v>0</v>
      </c>
      <c r="W9711" s="38" t="n">
        <f aca="false">Sens!$W$9710*Sens!$E$9706</f>
        <v>0</v>
      </c>
      <c r="X9711" s="38" t="n">
        <f aca="false">Sens!$X$9710*Sens!$E$9706</f>
        <v>0</v>
      </c>
      <c r="Y9711" s="38" t="n">
        <f aca="false">Sens!$Y$9710*Sens!$E$9706</f>
        <v>0</v>
      </c>
      <c r="Z9711" s="38" t="n">
        <f aca="false">Sens!$Z$9710*Sens!$E$9706</f>
        <v>0</v>
      </c>
      <c r="AA9711" s="38" t="n">
        <f aca="false">Sens!$AA$9710*Sens!$E$9706</f>
        <v>0</v>
      </c>
    </row>
    <row r="9712" customFormat="false" ht="17.15" hidden="false" customHeight="false" outlineLevel="0" collapsed="false">
      <c r="A9712" s="5" t="s">
        <v>643</v>
      </c>
      <c r="B9712" s="0" t="s">
        <v>86</v>
      </c>
      <c r="R9712" s="38" t="n">
        <f aca="false">SUMPRODUCT(--(Sens!$R$9677:$AA$9677=2023-cip_lag),Sens!$R$9711:$AA$9711)</f>
        <v>0</v>
      </c>
      <c r="S9712" s="38" t="n">
        <f aca="false">SUMPRODUCT(--(Sens!$R$9677:$AA$9677=2024-cip_lag),Sens!$R$9711:$AA$9711)</f>
        <v>0</v>
      </c>
      <c r="T9712" s="38" t="n">
        <f aca="false">SUMPRODUCT(--(Sens!$R$9677:$AA$9677=2025-cip_lag),Sens!$R$9711:$AA$9711)</f>
        <v>10.219074499801</v>
      </c>
      <c r="U9712" s="38" t="n">
        <f aca="false">SUMPRODUCT(--(Sens!$R$9677:$AA$9677=2026-cip_lag),Sens!$R$9711:$AA$9711)</f>
        <v>13.6989379390402</v>
      </c>
      <c r="V9712" s="38" t="n">
        <f aca="false">SUMPRODUCT(--(Sens!$R$9677:$AA$9677=2027-cip_lag),Sens!$R$9711:$AA$9711)</f>
        <v>23.0454203705653</v>
      </c>
      <c r="W9712" s="38" t="n">
        <f aca="false">SUMPRODUCT(--(Sens!$R$9677:$AA$9677=2028-cip_lag),Sens!$R$9711:$AA$9711)</f>
        <v>0</v>
      </c>
      <c r="X9712" s="38" t="n">
        <f aca="false">SUMPRODUCT(--(Sens!$R$9677:$AA$9677=2029-cip_lag),Sens!$R$9711:$AA$9711)</f>
        <v>0</v>
      </c>
      <c r="Y9712" s="38" t="n">
        <f aca="false">SUMPRODUCT(--(Sens!$R$9677:$AA$9677=2030-cip_lag),Sens!$R$9711:$AA$9711)</f>
        <v>0</v>
      </c>
      <c r="Z9712" s="38" t="n">
        <f aca="false">SUMPRODUCT(--(Sens!$R$9677:$AA$9677=2031-cip_lag),Sens!$R$9711:$AA$9711)</f>
        <v>0</v>
      </c>
      <c r="AA9712" s="38" t="n">
        <f aca="false">SUMPRODUCT(--(Sens!$R$9677:$AA$9677=2032-cip_lag),Sens!$R$9711:$AA$9711)</f>
        <v>0</v>
      </c>
    </row>
    <row r="9713" customFormat="false" ht="15" hidden="false" customHeight="false" outlineLevel="0" collapsed="false">
      <c r="A9713" s="5" t="s">
        <v>644</v>
      </c>
      <c r="B9713" s="0" t="s">
        <v>86</v>
      </c>
      <c r="R9713" s="38" t="n">
        <f aca="false">SUMPRODUCT(--(Sens!$R$9677:$AA$9677=2023-cip_lag),Sens!$R$9710:$AA$9710)-Sens!$R$9712</f>
        <v>0</v>
      </c>
      <c r="S9713" s="38" t="n">
        <f aca="false">SUMPRODUCT(--(Sens!$R$9677:$AA$9677=2024-cip_lag),Sens!$R$9710:$AA$9710)-Sens!$S$9712</f>
        <v>0</v>
      </c>
      <c r="T9713" s="38" t="n">
        <f aca="false">SUMPRODUCT(--(Sens!$R$9677:$AA$9677=2025-cip_lag),Sens!$R$9710:$AA$9710)-Sens!$T$9712</f>
        <v>3.76516660793636</v>
      </c>
      <c r="U9713" s="38" t="n">
        <f aca="false">SUMPRODUCT(--(Sens!$R$9677:$AA$9677=2026-cip_lag),Sens!$R$9710:$AA$9710)-Sens!$U$9712</f>
        <v>5.04730479196242</v>
      </c>
      <c r="V9713" s="38" t="n">
        <f aca="false">SUMPRODUCT(--(Sens!$R$9677:$AA$9677=2027-cip_lag),Sens!$R$9710:$AA$9710)-Sens!$V$9712</f>
        <v>7.24592107794548</v>
      </c>
      <c r="W9713" s="38" t="n">
        <f aca="false">SUMPRODUCT(--(Sens!$R$9677:$AA$9677=2028-cip_lag),Sens!$R$9710:$AA$9710)-Sens!$W$9712</f>
        <v>0</v>
      </c>
      <c r="X9713" s="38" t="n">
        <f aca="false">SUMPRODUCT(--(Sens!$R$9677:$AA$9677=2029-cip_lag),Sens!$R$9710:$AA$9710)-Sens!$X$9712</f>
        <v>0</v>
      </c>
      <c r="Y9713" s="38" t="n">
        <f aca="false">SUMPRODUCT(--(Sens!$R$9677:$AA$9677=2030-cip_lag),Sens!$R$9710:$AA$9710)-Sens!$Y$9712</f>
        <v>0</v>
      </c>
      <c r="Z9713" s="38" t="n">
        <f aca="false">SUMPRODUCT(--(Sens!$R$9677:$AA$9677=2031-cip_lag),Sens!$R$9710:$AA$9710)-Sens!$Z$9712</f>
        <v>0</v>
      </c>
      <c r="AA9713" s="38" t="n">
        <f aca="false">SUMPRODUCT(--(Sens!$R$9677:$AA$9677=2032-cip_lag),Sens!$R$9710:$AA$9710)-Sens!$AA$9712</f>
        <v>0</v>
      </c>
    </row>
    <row r="9714" customFormat="false" ht="17.15" hidden="false" customHeight="false" outlineLevel="0" collapsed="false">
      <c r="A9714" s="5" t="s">
        <v>645</v>
      </c>
      <c r="B9714" s="0" t="s">
        <v>86</v>
      </c>
      <c r="C9714" s="38" t="n">
        <f aca="false">Sens!$C$9709*Sens!$C$9706</f>
        <v>8.2530642</v>
      </c>
      <c r="D9714" s="38" t="n">
        <f aca="false">Sens!$D$9709*Sens!$D$9706</f>
        <v>37.1387889</v>
      </c>
      <c r="E9714" s="38" t="n">
        <f aca="false">Sens!$E$9709*Sens!$E$9706</f>
        <v>25.7897792</v>
      </c>
      <c r="F9714" s="38" t="n">
        <f aca="false">Sens!$F$9709*Sens!$F$9706</f>
        <v>67.4948715189913</v>
      </c>
      <c r="G9714" s="38" t="n">
        <f aca="false">Sens!$E$9714+Sens!$F$9714</f>
        <v>93.2846507189913</v>
      </c>
      <c r="H9714" s="38" t="n">
        <f aca="false">(Sens!$H$9709-Sens!$H$9708)*Sens!$H$9706+Sens!$H$9708</f>
        <v>152.52478394475</v>
      </c>
      <c r="I9714" s="38" t="n">
        <f aca="false">(Sens!$I$9709-Sens!$I$9708)*Sens!$I$9706+Sens!$I$9708</f>
        <v>158.5998889105</v>
      </c>
      <c r="J9714" s="38" t="n">
        <f aca="false">(Sens!$J$9709-Sens!$J$9708)*Sens!$J$9706+Sens!$J$9708</f>
        <v>163.8366571105</v>
      </c>
      <c r="K9714" s="38" t="n">
        <f aca="false">(Sens!$K$9709-Sens!$K$9708)*Sens!$K$9706+Sens!$K$9708</f>
        <v>122.665498273534</v>
      </c>
      <c r="L9714" s="38" t="n">
        <f aca="false">(Sens!$L$9709-Sens!$L$9708)*Sens!$L$9706+Sens!$L$9708</f>
        <v>112.914948636568</v>
      </c>
      <c r="M9714" s="38" t="n">
        <f aca="false">(Sens!$M$9709-Sens!$M$9708)*Sens!$M$9706+Sens!$M$9708</f>
        <v>126.605482654852</v>
      </c>
      <c r="R9714" s="38" t="n">
        <f aca="false">Sens!$R$9709*Sens!$C$9706</f>
        <v>1.09927679019314</v>
      </c>
      <c r="S9714" s="38" t="n">
        <f aca="false">Sens!$C$9714</f>
        <v>8.2530642</v>
      </c>
      <c r="T9714" s="38" t="n">
        <f aca="false">Sens!$D$9714</f>
        <v>37.1387889</v>
      </c>
      <c r="U9714" s="38" t="n">
        <f aca="false">Sens!$G$9714</f>
        <v>93.2846507189913</v>
      </c>
      <c r="V9714" s="38" t="n">
        <f aca="false">Sens!$H$9714</f>
        <v>152.52478394475</v>
      </c>
      <c r="W9714" s="38" t="n">
        <f aca="false">Sens!$I$9714</f>
        <v>158.5998889105</v>
      </c>
      <c r="X9714" s="38" t="n">
        <f aca="false">Sens!$J$9714</f>
        <v>163.8366571105</v>
      </c>
      <c r="Y9714" s="38" t="n">
        <f aca="false">Sens!$K$9714</f>
        <v>122.665498273534</v>
      </c>
      <c r="Z9714" s="38" t="n">
        <f aca="false">Sens!$L$9714</f>
        <v>112.914948636568</v>
      </c>
      <c r="AA9714" s="38" t="n">
        <f aca="false">Sens!$M$9714</f>
        <v>126.605482654852</v>
      </c>
    </row>
    <row r="9715" customFormat="false" ht="15" hidden="false" customHeight="false" outlineLevel="0" collapsed="false">
      <c r="A9715" s="5" t="s">
        <v>646</v>
      </c>
      <c r="B9715" s="0" t="s">
        <v>86</v>
      </c>
      <c r="C9715" s="38" t="n">
        <f aca="false">Sens!$C$9709-Sens!$C$9714</f>
        <v>3.0408</v>
      </c>
      <c r="D9715" s="38" t="n">
        <f aca="false">Sens!$D$9709-Sens!$D$9714</f>
        <v>13.6836</v>
      </c>
      <c r="E9715" s="38" t="n">
        <f aca="false">Sens!$E$9709-Sens!$E$9714</f>
        <v>8.1088</v>
      </c>
      <c r="F9715" s="38" t="n">
        <f aca="false">Sens!$F$9709-Sens!$F$9714</f>
        <v>21.2216789422221</v>
      </c>
      <c r="G9715" s="38" t="n">
        <f aca="false">Sens!$G$9709-Sens!$G$9714</f>
        <v>29.3304789422221</v>
      </c>
      <c r="H9715" s="38" t="n">
        <f aca="false">Sens!$H$9709-Sens!$H$9714</f>
        <v>46.046581</v>
      </c>
      <c r="I9715" s="38" t="n">
        <f aca="false">Sens!$I$9709-Sens!$I$9714</f>
        <v>46.046581</v>
      </c>
      <c r="J9715" s="38" t="n">
        <f aca="false">Sens!$J$9709-Sens!$J$9714</f>
        <v>46.046581</v>
      </c>
      <c r="K9715" s="38" t="n">
        <f aca="false">Sens!$K$9709-Sens!$K$9714</f>
        <v>32.5728870016667</v>
      </c>
      <c r="L9715" s="38" t="n">
        <f aca="false">Sens!$L$9709-Sens!$L$9714</f>
        <v>19.0991930033334</v>
      </c>
      <c r="M9715" s="38" t="n">
        <f aca="false">Sens!$M$9709-Sens!$M$9714</f>
        <v>5.62549900499998</v>
      </c>
      <c r="R9715" s="38" t="n">
        <f aca="false">Sens!$R$9709-Sens!$R$9714</f>
        <v>0.405023005106309</v>
      </c>
      <c r="S9715" s="38" t="n">
        <f aca="false">Sens!$S$9709-Sens!$S$9714</f>
        <v>3.0408</v>
      </c>
      <c r="T9715" s="38" t="n">
        <f aca="false">Sens!$T$9709-Sens!$T$9714</f>
        <v>13.6836</v>
      </c>
      <c r="U9715" s="38" t="n">
        <f aca="false">Sens!$U$9709-Sens!$U$9714</f>
        <v>29.3304789422221</v>
      </c>
      <c r="V9715" s="38" t="n">
        <f aca="false">Sens!$V$9709-Sens!$V$9714</f>
        <v>46.046581</v>
      </c>
      <c r="W9715" s="38" t="n">
        <f aca="false">Sens!$W$9709-Sens!$W$9714</f>
        <v>46.046581</v>
      </c>
      <c r="X9715" s="38" t="n">
        <f aca="false">Sens!$X$9709-Sens!$X$9714</f>
        <v>46.046581</v>
      </c>
      <c r="Y9715" s="38" t="n">
        <f aca="false">Sens!$Y$9709-Sens!$Y$9714</f>
        <v>32.5728870016667</v>
      </c>
      <c r="Z9715" s="38" t="n">
        <f aca="false">Sens!$Z$9709-Sens!$Z$9714</f>
        <v>19.0991930033334</v>
      </c>
      <c r="AA9715" s="38" t="n">
        <f aca="false">Sens!$AA$9709-Sens!$AA$9714</f>
        <v>5.62549900499998</v>
      </c>
    </row>
    <row r="9716" customFormat="false" ht="17.15" hidden="false" customHeight="false" outlineLevel="0" collapsed="false">
      <c r="A9716" s="0" t="s">
        <v>647</v>
      </c>
      <c r="B9716" s="0" t="s">
        <v>52</v>
      </c>
      <c r="C9716" s="13" t="n">
        <f aca="false">Sens!$C$9707/Sens!$C$9832</f>
        <v>0.325505489553393</v>
      </c>
      <c r="D9716" s="13" t="n">
        <f aca="false">Sens!$D$9707/Sens!$D$9832</f>
        <v>0.54214956071542</v>
      </c>
      <c r="E9716" s="13" t="n">
        <f aca="false">Sens!$E$9707/Sens!$E$9832</f>
        <v>0.666492790452817</v>
      </c>
      <c r="F9716" s="13" t="n">
        <f aca="false">Sens!$F$9707/Sens!$F$9832</f>
        <v>0.71724917504417</v>
      </c>
      <c r="G9716" s="13" t="n">
        <f aca="false">Sens!$G$9707/Sens!$G$9832</f>
        <v>0.69502941413511</v>
      </c>
      <c r="H9716" s="13" t="n">
        <f aca="false">Sens!$H$9707/Sens!$H$9832</f>
        <v>0.726376041178204</v>
      </c>
      <c r="I9716" s="13" t="n">
        <f aca="false">Sens!$I$9707/Sens!$I$9832</f>
        <v>0.713099092661699</v>
      </c>
      <c r="J9716" s="13" t="n">
        <f aca="false">Sens!$J$9707/Sens!$J$9832</f>
        <v>0.701208348786245</v>
      </c>
      <c r="K9716" s="13" t="n">
        <f aca="false">Sens!$K$9707/Sens!$K$9832</f>
        <v>0.618338844562383</v>
      </c>
      <c r="L9716" s="13" t="n">
        <f aca="false">Sens!$L$9707/Sens!$L$9832</f>
        <v>0.562489158462506</v>
      </c>
      <c r="M9716" s="13" t="n">
        <f aca="false">Sens!$M$9707/Sens!$M$9832</f>
        <v>0.545751190895923</v>
      </c>
    </row>
    <row r="9717" customFormat="false" ht="17.15" hidden="false" customHeight="false" outlineLevel="0" collapsed="false">
      <c r="A9717" s="0" t="s">
        <v>648</v>
      </c>
      <c r="B9717" s="0" t="s">
        <v>86</v>
      </c>
      <c r="C9717" s="38" t="n">
        <f aca="false">Sens!$S$9717</f>
        <v>0.183212798365523</v>
      </c>
      <c r="D9717" s="38" t="n">
        <f aca="false">Sens!$T$9717</f>
        <v>1.55872349836552</v>
      </c>
      <c r="E9717" s="38" t="n">
        <f aca="false">Sens!$G$9717/2</f>
        <v>4.72585036583285</v>
      </c>
      <c r="F9717" s="38" t="n">
        <f aca="false">Sens!$G$9717/2</f>
        <v>4.72585036583285</v>
      </c>
      <c r="G9717" s="38" t="n">
        <f aca="false">Sens!$U$9717</f>
        <v>9.4517007316657</v>
      </c>
      <c r="H9717" s="38" t="n">
        <f aca="false">Sens!$V$9717</f>
        <v>27.2822988413376</v>
      </c>
      <c r="I9717" s="38" t="n">
        <f aca="false">Sens!$W$9717</f>
        <v>56.5439995605568</v>
      </c>
      <c r="J9717" s="38" t="n">
        <f aca="false">Sens!$X$9717</f>
        <v>82.9773143789735</v>
      </c>
      <c r="K9717" s="38" t="n">
        <f aca="false">Sens!$Y$9717</f>
        <v>110.100211099025</v>
      </c>
      <c r="L9717" s="38" t="n">
        <f aca="false">Sens!$Z$9717</f>
        <v>129.16895011128</v>
      </c>
      <c r="M9717" s="38" t="n">
        <f aca="false">Sens!$AA$9717</f>
        <v>140.095130984075</v>
      </c>
      <c r="N9717" s="38" t="n">
        <f aca="false">Sens!$D$9717/2</f>
        <v>0.779361749182762</v>
      </c>
      <c r="O9717" s="38" t="n">
        <f aca="false">Sens!$D$9717/2</f>
        <v>0.779361749182762</v>
      </c>
      <c r="R9717" s="38" t="n">
        <f aca="false">(SUMPRODUCT(--(Sens!$R$9677:$AA$9677&lt;Sens!R$9677),--(Sens!$R$9677:$AA$9677&gt;=Sens!R$9677-tk_life),Sens!$R$9714:$AA$9714)+SUMPRODUCT(--(Sens!$R$9677:$AA$9677&lt;Sens!R$9677),--(Sens!$R$9677:$AA$9677&gt;=Sens!R$9677-tk_life),Sens!$R$9712:$AA$9712))/tk_life</f>
        <v>0</v>
      </c>
      <c r="S9717" s="38" t="n">
        <f aca="false">(SUMPRODUCT(--(Sens!$R$9677:$AA$9677&lt;Sens!S$9677),--(Sens!$R$9677:$AA$9677&gt;=Sens!S$9677-tk_life),Sens!$R$9714:$AA$9714)+SUMPRODUCT(--(Sens!$R$9677:$AA$9677&lt;Sens!S$9677),--(Sens!$R$9677:$AA$9677&gt;=Sens!S$9677-tk_life),Sens!$R$9712:$AA$9712))/tk_life</f>
        <v>0.183212798365523</v>
      </c>
      <c r="T9717" s="38" t="n">
        <f aca="false">(SUMPRODUCT(--(Sens!$R$9677:$AA$9677&lt;Sens!T$9677),--(Sens!$R$9677:$AA$9677&gt;=Sens!T$9677-tk_life),Sens!$R$9714:$AA$9714)+SUMPRODUCT(--(Sens!$R$9677:$AA$9677&lt;Sens!T$9677),--(Sens!$R$9677:$AA$9677&gt;=Sens!T$9677-tk_life),Sens!$R$9712:$AA$9712))/tk_life</f>
        <v>1.55872349836552</v>
      </c>
      <c r="U9717" s="38" t="n">
        <f aca="false">(SUMPRODUCT(--(Sens!$R$9677:$AA$9677&lt;Sens!U$9677),--(Sens!$R$9677:$AA$9677&gt;=Sens!U$9677-tk_life),Sens!$R$9714:$AA$9714)+SUMPRODUCT(--(Sens!$R$9677:$AA$9677&lt;Sens!U$9677),--(Sens!$R$9677:$AA$9677&gt;=Sens!U$9677-tk_life),Sens!$R$9712:$AA$9712))/tk_life</f>
        <v>9.4517007316657</v>
      </c>
      <c r="V9717" s="38" t="n">
        <f aca="false">(SUMPRODUCT(--(Sens!$R$9677:$AA$9677&lt;Sens!V$9677),--(Sens!$R$9677:$AA$9677&gt;=Sens!V$9677-tk_life),Sens!$R$9714:$AA$9714)+SUMPRODUCT(--(Sens!$R$9677:$AA$9677&lt;Sens!V$9677),--(Sens!$R$9677:$AA$9677&gt;=Sens!V$9677-tk_life),Sens!$R$9712:$AA$9712))/tk_life</f>
        <v>27.2822988413376</v>
      </c>
      <c r="W9717" s="38" t="n">
        <f aca="false">(SUMPRODUCT(--(Sens!$R$9677:$AA$9677&lt;Sens!W$9677),--(Sens!$R$9677:$AA$9677&gt;=Sens!W$9677-tk_life),Sens!$R$9714:$AA$9714)+SUMPRODUCT(--(Sens!$R$9677:$AA$9677&lt;Sens!W$9677),--(Sens!$R$9677:$AA$9677&gt;=Sens!W$9677-tk_life),Sens!$R$9712:$AA$9712))/tk_life</f>
        <v>56.5439995605568</v>
      </c>
      <c r="X9717" s="38" t="n">
        <f aca="false">(SUMPRODUCT(--(Sens!$R$9677:$AA$9677&lt;Sens!X$9677),--(Sens!$R$9677:$AA$9677&gt;=Sens!X$9677-tk_life),Sens!$R$9714:$AA$9714)+SUMPRODUCT(--(Sens!$R$9677:$AA$9677&lt;Sens!X$9677),--(Sens!$R$9677:$AA$9677&gt;=Sens!X$9677-tk_life),Sens!$R$9712:$AA$9712))/tk_life</f>
        <v>82.9773143789735</v>
      </c>
      <c r="Y9717" s="38" t="n">
        <f aca="false">(SUMPRODUCT(--(Sens!$R$9677:$AA$9677&lt;Sens!Y$9677),--(Sens!$R$9677:$AA$9677&gt;=Sens!Y$9677-tk_life),Sens!$R$9714:$AA$9714)+SUMPRODUCT(--(Sens!$R$9677:$AA$9677&lt;Sens!Y$9677),--(Sens!$R$9677:$AA$9677&gt;=Sens!Y$9677-tk_life),Sens!$R$9712:$AA$9712))/tk_life</f>
        <v>110.100211099025</v>
      </c>
      <c r="Z9717" s="38" t="n">
        <f aca="false">(SUMPRODUCT(--(Sens!$R$9677:$AA$9677&lt;Sens!Z$9677),--(Sens!$R$9677:$AA$9677&gt;=Sens!Z$9677-tk_life),Sens!$R$9714:$AA$9714)+SUMPRODUCT(--(Sens!$R$9677:$AA$9677&lt;Sens!Z$9677),--(Sens!$R$9677:$AA$9677&gt;=Sens!Z$9677-tk_life),Sens!$R$9712:$AA$9712))/tk_life</f>
        <v>129.16895011128</v>
      </c>
      <c r="AA9717" s="38" t="n">
        <f aca="false">(SUMPRODUCT(--(Sens!$R$9677:$AA$9677&lt;Sens!AA$9677),--(Sens!$R$9677:$AA$9677&gt;=Sens!AA$9677-tk_life),Sens!$R$9714:$AA$9714)+SUMPRODUCT(--(Sens!$R$9677:$AA$9677&lt;Sens!AA$9677),--(Sens!$R$9677:$AA$9677&gt;=Sens!AA$9677-tk_life),Sens!$R$9712:$AA$9712))/tk_life</f>
        <v>140.095130984075</v>
      </c>
    </row>
    <row r="9718" customFormat="false" ht="17.15" hidden="false" customHeight="false" outlineLevel="0" collapsed="false">
      <c r="A9718" s="0" t="s">
        <v>649</v>
      </c>
      <c r="B9718" s="0" t="s">
        <v>86</v>
      </c>
      <c r="C9718" s="38" t="n">
        <f aca="false">Sens!$S$9718</f>
        <v>0.0202511502553155</v>
      </c>
      <c r="D9718" s="38" t="n">
        <f aca="false">Sens!$T$9718</f>
        <v>0.172291150255315</v>
      </c>
      <c r="E9718" s="38" t="n">
        <f aca="false">Sens!$G$9718/2</f>
        <v>0.522364740326067</v>
      </c>
      <c r="F9718" s="38" t="n">
        <f aca="false">Sens!$G$9718/2</f>
        <v>0.522364740326067</v>
      </c>
      <c r="G9718" s="38" t="n">
        <f aca="false">Sens!$U$9718</f>
        <v>1.04472948065213</v>
      </c>
      <c r="H9718" s="38" t="n">
        <f aca="false">Sens!$V$9718</f>
        <v>2.76361866736136</v>
      </c>
      <c r="I9718" s="38" t="n">
        <f aca="false">Sens!$W$9718</f>
        <v>5.42824377125863</v>
      </c>
      <c r="J9718" s="38" t="n">
        <f aca="false">Sens!$X$9718</f>
        <v>7.73057282125864</v>
      </c>
      <c r="K9718" s="38" t="n">
        <f aca="false">Sens!$Y$9718</f>
        <v>10.0329018712586</v>
      </c>
      <c r="L9718" s="38" t="n">
        <f aca="false">Sens!$Z$9718</f>
        <v>11.661546221342</v>
      </c>
      <c r="M9718" s="38" t="n">
        <f aca="false">Sens!$AA$9718</f>
        <v>12.6165058715086</v>
      </c>
      <c r="N9718" s="38" t="n">
        <f aca="false">Sens!$D$9718/2</f>
        <v>0.0861455751276577</v>
      </c>
      <c r="O9718" s="38" t="n">
        <f aca="false">Sens!$D$9718/2</f>
        <v>0.0861455751276577</v>
      </c>
      <c r="R9718" s="38" t="n">
        <f aca="false">(SUMPRODUCT(--(Sens!$R$9677:$AA$9677&lt;Sens!R$9677),Sens!$R$9715:$AA$9715)+SUMPRODUCT(--(Sens!$R$9677:$AA$9677&lt;Sens!R$9677),Sens!$R$9713:$AA$9713))/fac_life</f>
        <v>0</v>
      </c>
      <c r="S9718" s="38" t="n">
        <f aca="false">(SUMPRODUCT(--(Sens!$R$9677:$AA$9677&lt;Sens!S$9677),Sens!$R$9715:$AA$9715)+SUMPRODUCT(--(Sens!$R$9677:$AA$9677&lt;Sens!S$9677),Sens!$R$9713:$AA$9713))/fac_life</f>
        <v>0.0202511502553155</v>
      </c>
      <c r="T9718" s="38" t="n">
        <f aca="false">(SUMPRODUCT(--(Sens!$R$9677:$AA$9677&lt;Sens!T$9677),Sens!$R$9715:$AA$9715)+SUMPRODUCT(--(Sens!$R$9677:$AA$9677&lt;Sens!T$9677),Sens!$R$9713:$AA$9713))/fac_life</f>
        <v>0.172291150255315</v>
      </c>
      <c r="U9718" s="38" t="n">
        <f aca="false">(SUMPRODUCT(--(Sens!$R$9677:$AA$9677&lt;Sens!U$9677),Sens!$R$9715:$AA$9715)+SUMPRODUCT(--(Sens!$R$9677:$AA$9677&lt;Sens!U$9677),Sens!$R$9713:$AA$9713))/fac_life</f>
        <v>1.04472948065213</v>
      </c>
      <c r="V9718" s="38" t="n">
        <f aca="false">(SUMPRODUCT(--(Sens!$R$9677:$AA$9677&lt;Sens!V$9677),Sens!$R$9715:$AA$9715)+SUMPRODUCT(--(Sens!$R$9677:$AA$9677&lt;Sens!V$9677),Sens!$R$9713:$AA$9713))/fac_life</f>
        <v>2.76361866736136</v>
      </c>
      <c r="W9718" s="38" t="n">
        <f aca="false">(SUMPRODUCT(--(Sens!$R$9677:$AA$9677&lt;Sens!W$9677),Sens!$R$9715:$AA$9715)+SUMPRODUCT(--(Sens!$R$9677:$AA$9677&lt;Sens!W$9677),Sens!$R$9713:$AA$9713))/fac_life</f>
        <v>5.42824377125863</v>
      </c>
      <c r="X9718" s="38" t="n">
        <f aca="false">(SUMPRODUCT(--(Sens!$R$9677:$AA$9677&lt;Sens!X$9677),Sens!$R$9715:$AA$9715)+SUMPRODUCT(--(Sens!$R$9677:$AA$9677&lt;Sens!X$9677),Sens!$R$9713:$AA$9713))/fac_life</f>
        <v>7.73057282125864</v>
      </c>
      <c r="Y9718" s="38" t="n">
        <f aca="false">(SUMPRODUCT(--(Sens!$R$9677:$AA$9677&lt;Sens!Y$9677),Sens!$R$9715:$AA$9715)+SUMPRODUCT(--(Sens!$R$9677:$AA$9677&lt;Sens!Y$9677),Sens!$R$9713:$AA$9713))/fac_life</f>
        <v>10.0329018712586</v>
      </c>
      <c r="Z9718" s="38" t="n">
        <f aca="false">(SUMPRODUCT(--(Sens!$R$9677:$AA$9677&lt;Sens!Z$9677),Sens!$R$9715:$AA$9715)+SUMPRODUCT(--(Sens!$R$9677:$AA$9677&lt;Sens!Z$9677),Sens!$R$9713:$AA$9713))/fac_life</f>
        <v>11.661546221342</v>
      </c>
      <c r="AA9718" s="38" t="n">
        <f aca="false">(SUMPRODUCT(--(Sens!$R$9677:$AA$9677&lt;Sens!AA$9677),Sens!$R$9715:$AA$9715)+SUMPRODUCT(--(Sens!$R$9677:$AA$9677&lt;Sens!AA$9677),Sens!$R$9713:$AA$9713))/fac_life</f>
        <v>12.6165058715086</v>
      </c>
    </row>
    <row r="9719" customFormat="false" ht="17.15" hidden="false" customHeight="false" outlineLevel="0" collapsed="false">
      <c r="A9719" s="1" t="s">
        <v>650</v>
      </c>
      <c r="B9719" s="8" t="s">
        <v>86</v>
      </c>
      <c r="C9719" s="38" t="n">
        <f aca="false">Sens!$C$9717+Sens!$C$9718</f>
        <v>0.203463948620839</v>
      </c>
      <c r="D9719" s="38" t="n">
        <f aca="false">Sens!$D$9717+Sens!$D$9718</f>
        <v>1.73101464862084</v>
      </c>
      <c r="E9719" s="38" t="n">
        <f aca="false">Sens!$E$9717+Sens!$E$9718</f>
        <v>5.24821510615892</v>
      </c>
      <c r="F9719" s="38" t="n">
        <f aca="false">Sens!$F$9717+Sens!$F$9718</f>
        <v>5.24821510615892</v>
      </c>
      <c r="G9719" s="38" t="n">
        <f aca="false">Sens!$G$9717+Sens!$G$9718</f>
        <v>10.4964302123178</v>
      </c>
      <c r="H9719" s="38" t="n">
        <f aca="false">Sens!$H$9717+Sens!$H$9718</f>
        <v>30.045917508699</v>
      </c>
      <c r="I9719" s="38" t="n">
        <f aca="false">Sens!$I$9717+Sens!$I$9718</f>
        <v>61.9722433318155</v>
      </c>
      <c r="J9719" s="38" t="n">
        <f aca="false">Sens!$J$9717+Sens!$J$9718</f>
        <v>90.7078872002321</v>
      </c>
      <c r="K9719" s="38" t="n">
        <f aca="false">Sens!$K$9717+Sens!$K$9718</f>
        <v>120.133112970283</v>
      </c>
      <c r="L9719" s="38" t="n">
        <f aca="false">Sens!$L$9717+Sens!$L$9718</f>
        <v>140.830496332622</v>
      </c>
      <c r="M9719" s="38" t="n">
        <f aca="false">Sens!$M$9717+Sens!$M$9718</f>
        <v>152.711636855584</v>
      </c>
      <c r="N9719" s="38" t="n">
        <f aca="false">Sens!$N$9717+Sens!$N$9718</f>
        <v>0.865507324310419</v>
      </c>
      <c r="O9719" s="38" t="n">
        <f aca="false">Sens!$O$9717+Sens!$O$9718</f>
        <v>0.865507324310419</v>
      </c>
      <c r="R9719" s="38" t="n">
        <f aca="false">Sens!$R$9717+Sens!$R$9718</f>
        <v>0</v>
      </c>
      <c r="S9719" s="38" t="n">
        <f aca="false">Sens!$S$9717+Sens!$S$9718</f>
        <v>0.203463948620839</v>
      </c>
      <c r="T9719" s="38" t="n">
        <f aca="false">Sens!$T$9717+Sens!$T$9718</f>
        <v>1.73101464862084</v>
      </c>
      <c r="U9719" s="38" t="n">
        <f aca="false">Sens!$U$9717+Sens!$U$9718</f>
        <v>10.4964302123178</v>
      </c>
      <c r="V9719" s="38" t="n">
        <f aca="false">Sens!$V$9717+Sens!$V$9718</f>
        <v>30.045917508699</v>
      </c>
      <c r="W9719" s="38" t="n">
        <f aca="false">Sens!$W$9717+Sens!$W$9718</f>
        <v>61.9722433318155</v>
      </c>
      <c r="X9719" s="38" t="n">
        <f aca="false">Sens!$X$9717+Sens!$X$9718</f>
        <v>90.7078872002321</v>
      </c>
      <c r="Y9719" s="38" t="n">
        <f aca="false">Sens!$Y$9717+Sens!$Y$9718</f>
        <v>120.133112970283</v>
      </c>
      <c r="Z9719" s="38" t="n">
        <f aca="false">Sens!$Z$9717+Sens!$Z$9718</f>
        <v>140.830496332622</v>
      </c>
      <c r="AA9719" s="38" t="n">
        <f aca="false">Sens!$AA$9717+Sens!$AA$9718</f>
        <v>152.711636855584</v>
      </c>
    </row>
    <row r="9720" customFormat="false" ht="17.15" hidden="false" customHeight="false" outlineLevel="0" collapsed="false">
      <c r="A9720" s="0" t="s">
        <v>651</v>
      </c>
      <c r="B9720" s="0" t="s">
        <v>86</v>
      </c>
      <c r="C9720" s="38" t="n">
        <f aca="false">Sens!$S$9720</f>
        <v>26.578941154416</v>
      </c>
      <c r="D9720" s="38" t="n">
        <f aca="false">Sens!$T$9720</f>
        <v>94.4165581367978</v>
      </c>
      <c r="G9720" s="38" t="n">
        <f aca="false">Sens!$U$9720</f>
        <v>236.826599034204</v>
      </c>
      <c r="H9720" s="38" t="n">
        <f aca="false">Sens!$V$9720</f>
        <v>405.352046470255</v>
      </c>
      <c r="I9720" s="38" t="n">
        <f aca="false">Sens!$W$9720</f>
        <v>548.02627304894</v>
      </c>
      <c r="J9720" s="38" t="n">
        <f aca="false">Sens!$X$9720</f>
        <v>667.201623959208</v>
      </c>
      <c r="K9720" s="38" t="n">
        <f aca="false">Sens!$Y$9720</f>
        <v>702.306896264125</v>
      </c>
      <c r="L9720" s="38" t="n">
        <f aca="false">Sens!$Z$9720</f>
        <v>693.490541571405</v>
      </c>
      <c r="M9720" s="38" t="n">
        <f aca="false">Sens!$AA$9720</f>
        <v>673.009886375674</v>
      </c>
      <c r="R9720" s="38" t="n">
        <f aca="false">SUM(Sens!$R$9707:$R$9707)-SUM(Sens!$R$9719:$R$9719)</f>
        <v>1.50429979529945</v>
      </c>
      <c r="S9720" s="38" t="n">
        <f aca="false">SUM(Sens!$R$9707:$S$9707)-SUM(Sens!$R$9719:$S$9719)</f>
        <v>26.578941154416</v>
      </c>
      <c r="T9720" s="38" t="n">
        <f aca="false">SUM(Sens!$R$9707:$T$9707)-SUM(Sens!$R$9719:$T$9719)</f>
        <v>94.4165581367978</v>
      </c>
      <c r="U9720" s="38" t="n">
        <f aca="false">SUM(Sens!$R$9707:$U$9707)-SUM(Sens!$R$9719:$U$9719)</f>
        <v>236.826599034204</v>
      </c>
      <c r="V9720" s="38" t="n">
        <f aca="false">SUM(Sens!$R$9707:$V$9707)-SUM(Sens!$R$9719:$V$9719)</f>
        <v>405.352046470255</v>
      </c>
      <c r="W9720" s="38" t="n">
        <f aca="false">SUM(Sens!$R$9707:$W$9707)-SUM(Sens!$R$9719:$W$9719)</f>
        <v>548.02627304894</v>
      </c>
      <c r="X9720" s="38" t="n">
        <f aca="false">SUM(Sens!$R$9707:$X$9707)-SUM(Sens!$R$9719:$X$9719)</f>
        <v>667.201623959208</v>
      </c>
      <c r="Y9720" s="38" t="n">
        <f aca="false">SUM(Sens!$R$9707:$Y$9707)-SUM(Sens!$R$9719:$Y$9719)</f>
        <v>702.306896264125</v>
      </c>
      <c r="Z9720" s="38" t="n">
        <f aca="false">SUM(Sens!$R$9707:$Z$9707)-SUM(Sens!$R$9719:$Z$9719)</f>
        <v>693.490541571405</v>
      </c>
      <c r="AA9720" s="38" t="n">
        <f aca="false">SUM(Sens!$R$9707:$AA$9707)-SUM(Sens!$R$9719:$AA$9719)</f>
        <v>673.009886375674</v>
      </c>
    </row>
    <row r="9721" customFormat="false" ht="17.15" hidden="false" customHeight="false" outlineLevel="0" collapsed="false">
      <c r="A9721" s="1" t="s">
        <v>652</v>
      </c>
    </row>
    <row r="9722" customFormat="false" ht="17.15" hidden="false" customHeight="false" outlineLevel="0" collapsed="false">
      <c r="A9722" s="0" t="s">
        <v>653</v>
      </c>
      <c r="B9722" s="0" t="s">
        <v>86</v>
      </c>
      <c r="C9722" s="38" t="n">
        <f aca="false">Sens!$C$9698-ext_sh*Sens!$C$9700</f>
        <v>1.80694998843362</v>
      </c>
      <c r="D9722" s="38" t="n">
        <f aca="false">Sens!$D$9698-ext_sh*Sens!$D$9700</f>
        <v>6.77606245662607</v>
      </c>
      <c r="E9722" s="38" t="n">
        <f aca="false">Sens!$E$9698-ext_sh*Sens!$E$9700</f>
        <v>6.62548329092326</v>
      </c>
      <c r="F9722" s="38" t="n">
        <f aca="false">Sens!$F$9698-ext_sh*Sens!$F$9700</f>
        <v>11.7200577158706</v>
      </c>
      <c r="G9722" s="38" t="n">
        <f aca="false">Sens!$G$9698-ext_sh*Sens!$G$9700</f>
        <v>18.3455410067939</v>
      </c>
      <c r="H9722" s="38" t="n">
        <f aca="false">Sens!$H$9698-ext_sh*Sens!$H$9700</f>
        <v>47.5171727060453</v>
      </c>
      <c r="I9722" s="38" t="n">
        <f aca="false">Sens!$I$9698-ext_sh*Sens!$I$9700</f>
        <v>80.5539692643667</v>
      </c>
      <c r="J9722" s="38" t="n">
        <f aca="false">Sens!$J$9698-ext_sh*Sens!$J$9700</f>
        <v>113.759316834883</v>
      </c>
      <c r="K9722" s="38" t="n">
        <f aca="false">Sens!$K$9698-ext_sh*Sens!$K$9700</f>
        <v>142.084411492169</v>
      </c>
      <c r="L9722" s="38" t="n">
        <f aca="false">Sens!$L$9698-ext_sh*Sens!$L$9700</f>
        <v>160.69964615804</v>
      </c>
      <c r="M9722" s="38" t="n">
        <f aca="false">Sens!$M$9698-ext_sh*Sens!$M$9700</f>
        <v>169.577607141793</v>
      </c>
      <c r="N9722" s="38" t="n">
        <f aca="false">Sens!$N$9698-ext_sh*Sens!$N$9700</f>
        <v>2.37162185981912</v>
      </c>
      <c r="O9722" s="38" t="n">
        <f aca="false">Sens!$O$9698-ext_sh*Sens!$O$9700</f>
        <v>4.40444059680694</v>
      </c>
    </row>
    <row r="9723" customFormat="false" ht="17.15" hidden="false" customHeight="false" outlineLevel="0" collapsed="false">
      <c r="A9723" s="1" t="s">
        <v>654</v>
      </c>
      <c r="B9723" s="8" t="s">
        <v>86</v>
      </c>
      <c r="C9723" s="38" t="n">
        <f aca="false">Sens!$C$9722-ext_sh*Sens!$C$9719</f>
        <v>1.64417882953695</v>
      </c>
      <c r="D9723" s="38" t="n">
        <f aca="false">Sens!$D$9722-ext_sh*Sens!$D$9719</f>
        <v>5.39125073772939</v>
      </c>
      <c r="E9723" s="38" t="n">
        <f aca="false">Sens!$E$9722-ext_sh*Sens!$E$9719</f>
        <v>2.42691120599613</v>
      </c>
      <c r="F9723" s="38" t="n">
        <f aca="false">Sens!$F$9722-ext_sh*Sens!$F$9719</f>
        <v>7.52148563094346</v>
      </c>
      <c r="G9723" s="38" t="n">
        <f aca="false">Sens!$G$9722-ext_sh*Sens!$G$9719</f>
        <v>9.94839683693959</v>
      </c>
      <c r="H9723" s="38" t="n">
        <f aca="false">Sens!$H$9722-ext_sh*Sens!$H$9719</f>
        <v>23.4804386990861</v>
      </c>
      <c r="I9723" s="38" t="n">
        <f aca="false">Sens!$I$9722-ext_sh*Sens!$I$9719</f>
        <v>30.9761745989143</v>
      </c>
      <c r="J9723" s="38" t="n">
        <f aca="false">Sens!$J$9722-ext_sh*Sens!$J$9719</f>
        <v>41.1930070746977</v>
      </c>
      <c r="K9723" s="38" t="n">
        <f aca="false">Sens!$K$9722-ext_sh*Sens!$K$9719</f>
        <v>45.9779211159428</v>
      </c>
      <c r="L9723" s="38" t="n">
        <f aca="false">Sens!$L$9722-ext_sh*Sens!$L$9719</f>
        <v>48.0352490919424</v>
      </c>
      <c r="M9723" s="38" t="n">
        <f aca="false">Sens!$M$9722-ext_sh*Sens!$M$9719</f>
        <v>47.4082976573265</v>
      </c>
      <c r="N9723" s="38" t="n">
        <f aca="false">Sens!$N$9722-ext_sh*Sens!$N$9719</f>
        <v>1.67921600037079</v>
      </c>
      <c r="O9723" s="38" t="n">
        <f aca="false">Sens!$O$9722-ext_sh*Sens!$O$9719</f>
        <v>3.71203473735861</v>
      </c>
    </row>
    <row r="9724" customFormat="false" ht="17.15" hidden="false" customHeight="false" outlineLevel="0" collapsed="false">
      <c r="A9724" s="0" t="s">
        <v>655</v>
      </c>
      <c r="B9724" s="0" t="s">
        <v>52</v>
      </c>
      <c r="C9724" s="13" t="n">
        <f aca="false">Sens!$C$9723/Sens!$C$9698</f>
        <v>0.708390794789371</v>
      </c>
      <c r="D9724" s="13" t="n">
        <f aca="false">Sens!$D$9723/Sens!$D$9698</f>
        <v>0.619415573115729</v>
      </c>
      <c r="E9724" s="13" t="n">
        <f aca="false">Sens!$E$9723/Sens!$E$9698</f>
        <v>0.285171627189009</v>
      </c>
      <c r="F9724" s="13" t="n">
        <f aca="false">Sens!$F$9723/Sens!$F$9698</f>
        <v>0.502657732812366</v>
      </c>
      <c r="G9724" s="13" t="n">
        <f aca="false">Sens!$G$9723/Sens!$G$9698</f>
        <v>0.423808778611812</v>
      </c>
      <c r="H9724" s="13" t="n">
        <f aca="false">Sens!$H$9723/Sens!$H$9698</f>
        <v>0.390261631739809</v>
      </c>
      <c r="I9724" s="13" t="n">
        <f aca="false">Sens!$I$9723/Sens!$I$9698</f>
        <v>0.305172864264572</v>
      </c>
      <c r="J9724" s="13" t="n">
        <f aca="false">Sens!$J$9723/Sens!$J$9698</f>
        <v>0.288011814789856</v>
      </c>
      <c r="K9724" s="13" t="n">
        <f aca="false">Sens!$K$9723/Sens!$K$9698</f>
        <v>0.25765427518774</v>
      </c>
      <c r="L9724" s="13" t="n">
        <f aca="false">Sens!$L$9723/Sens!$L$9698</f>
        <v>0.238118778012374</v>
      </c>
      <c r="M9724" s="13" t="n">
        <f aca="false">Sens!$M$9723/Sens!$M$9698</f>
        <v>0.222746255757109</v>
      </c>
      <c r="N9724" s="13" t="n">
        <f aca="false">Sens!$N$9723/Sens!$N$9698</f>
        <v>0.551227795793364</v>
      </c>
      <c r="O9724" s="13" t="n">
        <f aca="false">Sens!$O$9723/Sens!$O$9698</f>
        <v>0.656132068597002</v>
      </c>
    </row>
    <row r="9725" customFormat="false" ht="17.15" hidden="false" customHeight="false" outlineLevel="0" collapsed="false">
      <c r="A9725" s="5" t="s">
        <v>656</v>
      </c>
      <c r="B9725" s="0" t="s">
        <v>86</v>
      </c>
      <c r="C9725" s="39" t="n">
        <v>0</v>
      </c>
      <c r="D9725" s="39" t="n">
        <v>0</v>
      </c>
      <c r="E9725" s="39" t="n">
        <v>0</v>
      </c>
      <c r="F9725" s="38" t="n">
        <f aca="false">IF(internal_ai_reading=2,1,0)*(1-ext_sh)/ext_sh*(mw_open*he_open+Sens!$F$9696*Sens!$F$9693)*Sens!$F$9682/1000</f>
        <v>3.77122048175818</v>
      </c>
      <c r="G9725" s="38" t="n">
        <f aca="false">Sens!$E$9725+Sens!$F$9725</f>
        <v>3.77122048175818</v>
      </c>
      <c r="H9725" s="38" t="n">
        <f aca="false">IF(internal_ai_reading=2,1,0)*(1-ext_sh)/ext_sh*(mw_open*he_open+Sens!$H$9696*Sens!$H$9693)*Sens!$H$9682/1000</f>
        <v>15.1635543609893</v>
      </c>
      <c r="I9725" s="38" t="n">
        <f aca="false">IF(internal_ai_reading=2,1,0)*(1-ext_sh)/ext_sh*(mw_open*he_open+Sens!$I$9696*Sens!$I$9693)*Sens!$I$9682/1000</f>
        <v>25.5818843619889</v>
      </c>
      <c r="J9725" s="38" t="n">
        <f aca="false">IF(internal_ai_reading=2,1,0)*(1-ext_sh)/ext_sh*(mw_open*he_open+Sens!$J$9696*Sens!$J$9693)*Sens!$J$9682/1000</f>
        <v>36.0465624179122</v>
      </c>
      <c r="K9725" s="38" t="n">
        <f aca="false">IF(internal_ai_reading=2,1,0)*(1-ext_sh)/ext_sh*(mw_open*he_open+Sens!$K$9696*Sens!$K$9693)*Sens!$K$9682/1000</f>
        <v>44.9741164026038</v>
      </c>
      <c r="L9725" s="38" t="n">
        <f aca="false">IF(internal_ai_reading=2,1,0)*(1-ext_sh)/ext_sh*(mw_open*he_open+Sens!$L$9696*Sens!$L$9693)*Sens!$L$9682/1000</f>
        <v>50.8413488057813</v>
      </c>
      <c r="M9725" s="38" t="n">
        <f aca="false">IF(internal_ai_reading=2,1,0)*(1-ext_sh)/ext_sh*(mw_open*he_open+Sens!$M$9696*Sens!$M$9693)*Sens!$M$9682/1000</f>
        <v>53.6407214274315</v>
      </c>
      <c r="N9725" s="39" t="n">
        <v>0</v>
      </c>
      <c r="O9725" s="39" t="n">
        <v>0</v>
      </c>
      <c r="P9725" s="8" t="s">
        <v>657</v>
      </c>
    </row>
    <row r="9726" customFormat="false" ht="17.15" hidden="false" customHeight="false" outlineLevel="0" collapsed="false">
      <c r="A9726" s="5" t="s">
        <v>658</v>
      </c>
      <c r="B9726" s="0" t="s">
        <v>86</v>
      </c>
      <c r="C9726" s="38" t="n">
        <f aca="false">(1-ext_sh)*(Sens!$C$9700+Sens!$C$9719)</f>
        <v>0.169206631859174</v>
      </c>
      <c r="D9726" s="38" t="n">
        <f aca="false">(1-ext_sh)*(Sens!$D$9700+Sens!$D$9719)</f>
        <v>0.828129837730442</v>
      </c>
      <c r="E9726" s="38" t="n">
        <f aca="false">(1-ext_sh)*(Sens!$E$9700+Sens!$E$9719)</f>
        <v>1.52086044239347</v>
      </c>
      <c r="F9726" s="38" t="n">
        <f aca="false">(1-ext_sh)*(Sens!$F$9700+Sens!$F$9719)</f>
        <v>1.86048700344425</v>
      </c>
      <c r="G9726" s="38" t="n">
        <f aca="false">(1-ext_sh)*(Sens!$G$9700+Sens!$G$9719)</f>
        <v>3.38134744583772</v>
      </c>
      <c r="H9726" s="38" t="n">
        <f aca="false">(1-ext_sh)*(Sens!$H$9700+Sens!$H$9719)</f>
        <v>9.17136301267211</v>
      </c>
      <c r="I9726" s="38" t="n">
        <f aca="false">(1-ext_sh)*(Sens!$I$9700+Sens!$I$9719)</f>
        <v>17.6318811343794</v>
      </c>
      <c r="J9726" s="38" t="n">
        <f aca="false">(1-ext_sh)*(Sens!$J$9700+Sens!$J$9719)</f>
        <v>25.4581000191451</v>
      </c>
      <c r="K9726" s="38" t="n">
        <f aca="false">(1-ext_sh)*(Sens!$K$9700+Sens!$K$9719)</f>
        <v>33.1175498168092</v>
      </c>
      <c r="L9726" s="38" t="n">
        <f aca="false">(1-ext_sh)*(Sens!$L$9700+Sens!$L$9719)</f>
        <v>38.4232131776135</v>
      </c>
      <c r="M9726" s="38" t="n">
        <f aca="false">(1-ext_sh)*(Sens!$M$9700+Sens!$M$9719)</f>
        <v>41.3567859278847</v>
      </c>
      <c r="N9726" s="38" t="n">
        <f aca="false">(1-ext_sh)*(Sens!$N$9700+Sens!$N$9719)</f>
        <v>0.34177588266428</v>
      </c>
      <c r="O9726" s="38" t="n">
        <f aca="false">(1-ext_sh)*(Sens!$O$9700+Sens!$O$9719)</f>
        <v>0.486353955066162</v>
      </c>
    </row>
    <row r="9727" customFormat="false" ht="17.15" hidden="false" customHeight="false" outlineLevel="0" collapsed="false">
      <c r="A9727" s="0" t="s">
        <v>659</v>
      </c>
      <c r="B9727" s="0" t="s">
        <v>86</v>
      </c>
      <c r="C9727" s="38" t="n">
        <f aca="false">Q!$D$24</f>
        <v>39.834</v>
      </c>
      <c r="D9727" s="38" t="n">
        <f aca="false">Q!$E$24</f>
        <v>45.606</v>
      </c>
      <c r="E9727" s="38" t="n">
        <f aca="false">Q!$P$24</f>
        <v>30.782</v>
      </c>
      <c r="N9727" s="38" t="n">
        <f aca="false">Q!$N$24</f>
        <v>21.707</v>
      </c>
      <c r="O9727" s="38" t="n">
        <f aca="false">Q!$O$24</f>
        <v>23.899</v>
      </c>
    </row>
    <row r="9728" customFormat="false" ht="17.15" hidden="false" customHeight="false" outlineLevel="0" collapsed="false">
      <c r="A9728" s="0" t="s">
        <v>660</v>
      </c>
      <c r="B9728" s="0" t="s">
        <v>86</v>
      </c>
      <c r="C9728" s="38" t="n">
        <f aca="false">Sens!$C$9727-Sens!$C$9723</f>
        <v>38.1898211704631</v>
      </c>
      <c r="D9728" s="38" t="n">
        <f aca="false">Sens!$D$9727-Sens!$D$9723</f>
        <v>40.2147492622706</v>
      </c>
      <c r="E9728" s="38" t="n">
        <f aca="false">Sens!$E$9727-Sens!$E$9723</f>
        <v>28.3550887940039</v>
      </c>
      <c r="F9728" s="38" t="n">
        <f aca="false">Sens!$F$9702*Sens!$F$9729</f>
        <v>25.9529793149447</v>
      </c>
      <c r="G9728" s="38" t="n">
        <f aca="false">Sens!$E$9728+Sens!$F$9728</f>
        <v>54.3080681089486</v>
      </c>
      <c r="H9728" s="38" t="n">
        <f aca="false">Sens!$H$9702*Sens!$H$9729</f>
        <v>58.2264684589333</v>
      </c>
      <c r="I9728" s="38" t="n">
        <f aca="false">Sens!$I$9702*Sens!$I$9729</f>
        <v>64.6461353851744</v>
      </c>
      <c r="J9728" s="38" t="n">
        <f aca="false">Sens!$J$9702*Sens!$J$9729</f>
        <v>70.7957093610231</v>
      </c>
      <c r="K9728" s="38" t="n">
        <f aca="false">Sens!$K$9702*Sens!$K$9729</f>
        <v>76.4593661099049</v>
      </c>
      <c r="L9728" s="38" t="n">
        <f aca="false">Sens!$L$9702*Sens!$L$9729</f>
        <v>82.5761153986973</v>
      </c>
      <c r="M9728" s="38" t="n">
        <f aca="false">Sens!$M$9702*Sens!$M$9729</f>
        <v>89.1822046305931</v>
      </c>
      <c r="N9728" s="38" t="n">
        <f aca="false">Sens!$N$9727-Sens!$N$9723</f>
        <v>20.0277839996292</v>
      </c>
      <c r="O9728" s="38" t="n">
        <f aca="false">Sens!$O$9727-Sens!$O$9723</f>
        <v>20.1869652626414</v>
      </c>
      <c r="P9728" s="5" t="s">
        <v>661</v>
      </c>
    </row>
    <row r="9729" customFormat="false" ht="17.15" hidden="false" customHeight="false" outlineLevel="0" collapsed="false">
      <c r="A9729" s="0" t="s">
        <v>662</v>
      </c>
      <c r="B9729" s="0" t="s">
        <v>52</v>
      </c>
      <c r="C9729" s="13" t="n">
        <f aca="false">Sens!$C$9728/Sens!$C$9702</f>
        <v>0.362900395443635</v>
      </c>
      <c r="D9729" s="13" t="n">
        <f aca="false">Sens!$D$9728/Sens!$D$9702</f>
        <v>0.335063632425483</v>
      </c>
      <c r="E9729" s="13" t="n">
        <f aca="false">Sens!$E$9728/Sens!$E$9702</f>
        <v>0.397638855555478</v>
      </c>
      <c r="F9729" s="13" t="n">
        <f aca="false">(Sens!$O$9728+Sens!$E$9728)/(Sens!$O$9702+Sens!$E$9702)</f>
        <v>0.361616727338133</v>
      </c>
      <c r="G9729" s="13" t="n">
        <f aca="false">Sens!$G$9728/Sens!$G$9702</f>
        <v>0.379569803149143</v>
      </c>
      <c r="H9729" s="13" t="n">
        <f aca="false">Sens!$F$9729</f>
        <v>0.361616727338133</v>
      </c>
      <c r="I9729" s="13" t="n">
        <f aca="false">Sens!$F$9729</f>
        <v>0.361616727338133</v>
      </c>
      <c r="J9729" s="13" t="n">
        <f aca="false">Sens!$F$9729</f>
        <v>0.361616727338133</v>
      </c>
      <c r="K9729" s="13" t="n">
        <f aca="false">Sens!$F$9729</f>
        <v>0.361616727338133</v>
      </c>
      <c r="L9729" s="13" t="n">
        <f aca="false">Sens!$F$9729</f>
        <v>0.361616727338133</v>
      </c>
      <c r="M9729" s="13" t="n">
        <f aca="false">Sens!$F$9729</f>
        <v>0.361616727338133</v>
      </c>
      <c r="N9729" s="13" t="n">
        <f aca="false">Sens!$N$9728/Sens!$N$9702</f>
        <v>0.35078810535806</v>
      </c>
      <c r="O9729" s="13" t="n">
        <f aca="false">Sens!$O$9728/Sens!$O$9702</f>
        <v>0.320796939361619</v>
      </c>
      <c r="P9729" s="8" t="s">
        <v>663</v>
      </c>
    </row>
    <row r="9730" customFormat="false" ht="17.15" hidden="false" customHeight="false" outlineLevel="0" collapsed="false">
      <c r="A9730" s="0" t="s">
        <v>664</v>
      </c>
      <c r="B9730" s="0" t="s">
        <v>52</v>
      </c>
      <c r="D9730" s="13" t="n">
        <f aca="false">(Q!$E$31-ext_sh*Sens!$D$9719)/Sens!$D$9702</f>
        <v>0.167180325480118</v>
      </c>
    </row>
    <row r="9731" customFormat="false" ht="17.15" hidden="false" customHeight="false" outlineLevel="0" collapsed="false">
      <c r="A9731" s="0" t="s">
        <v>665</v>
      </c>
      <c r="B9731" s="0" t="s">
        <v>86</v>
      </c>
      <c r="C9731" s="38" t="n">
        <f aca="false">Q!$D$31</f>
        <v>13.32</v>
      </c>
      <c r="D9731" s="38" t="n">
        <f aca="false">Q!$E$31</f>
        <v>21.45</v>
      </c>
      <c r="E9731" s="38" t="n">
        <f aca="false">Q!$P$31</f>
        <v>15.353</v>
      </c>
      <c r="F9731" s="38" t="n">
        <f aca="false">ext_sh*Sens!$F$9719+Sens!$D$9730*Sens!$F$9702</f>
        <v>16.1969869840094</v>
      </c>
      <c r="G9731" s="38" t="n">
        <f aca="false">Sens!$E$9731+Sens!$F$9731</f>
        <v>31.5499869840094</v>
      </c>
      <c r="H9731" s="38" t="n">
        <f aca="false">ext_sh*Sens!$H$9719+Sens!$D$9730*Sens!$H$9702</f>
        <v>50.9556213609176</v>
      </c>
      <c r="I9731" s="38" t="n">
        <f aca="false">ext_sh*Sens!$I$9719+Sens!$D$9730*Sens!$I$9702</f>
        <v>79.464581248252</v>
      </c>
      <c r="J9731" s="38" t="n">
        <f aca="false">ext_sh*Sens!$J$9719+Sens!$D$9730*Sens!$J$9702</f>
        <v>105.296127931746</v>
      </c>
      <c r="K9731" s="38" t="n">
        <f aca="false">ext_sh*Sens!$K$9719+Sens!$D$9730*Sens!$K$9702</f>
        <v>131.454694001511</v>
      </c>
      <c r="L9731" s="38" t="n">
        <f aca="false">ext_sh*Sens!$L$9719+Sens!$D$9730*Sens!$L$9702</f>
        <v>150.840456981405</v>
      </c>
      <c r="M9731" s="38" t="n">
        <f aca="false">ext_sh*Sens!$M$9719+Sens!$D$9730*Sens!$M$9702</f>
        <v>163.399454192999</v>
      </c>
      <c r="N9731" s="38" t="n">
        <f aca="false">Q!$N$31</f>
        <v>9.234</v>
      </c>
      <c r="O9731" s="38" t="n">
        <f aca="false">Q!$O$31</f>
        <v>12.216</v>
      </c>
    </row>
    <row r="9732" customFormat="false" ht="17.15" hidden="false" customHeight="false" outlineLevel="0" collapsed="false">
      <c r="A9732" s="1" t="s">
        <v>666</v>
      </c>
    </row>
    <row r="9733" customFormat="false" ht="17.15" hidden="false" customHeight="false" outlineLevel="0" collapsed="false">
      <c r="A9733" s="15" t="s">
        <v>667</v>
      </c>
      <c r="B9733" s="14" t="s">
        <v>52</v>
      </c>
      <c r="C9733" s="14"/>
      <c r="D9733" s="14"/>
      <c r="E9733" s="14"/>
      <c r="F9733" s="14"/>
      <c r="G9733" s="17" t="n">
        <f aca="false">Sens!$G$9723*(1-tax)/(ext_sh*(Sens!$D$9720+Sens!$G$9720)/2)</f>
        <v>0.0620504069546486</v>
      </c>
      <c r="H9733" s="17" t="n">
        <f aca="false">Sens!$H$9723*(1-tax)/(ext_sh*(Sens!$G$9720+Sens!$H$9720)/2)</f>
        <v>0.0755420551527686</v>
      </c>
      <c r="I9733" s="17" t="n">
        <f aca="false">Sens!$I$9723*(1-tax)/(ext_sh*(Sens!$H$9720+Sens!$I$9720)/2)</f>
        <v>0.067127575356291</v>
      </c>
      <c r="J9733" s="17" t="n">
        <f aca="false">Sens!$J$9723*(1-tax)/(ext_sh*(Sens!$I$9720+Sens!$J$9720)/2)</f>
        <v>0.0700332392906535</v>
      </c>
      <c r="K9733" s="17" t="n">
        <f aca="false">Sens!$K$9723*(1-tax)/(ext_sh*(Sens!$J$9720+Sens!$K$9720)/2)</f>
        <v>0.0693622290093833</v>
      </c>
      <c r="L9733" s="17" t="n">
        <f aca="false">Sens!$L$9723*(1-tax)/(ext_sh*(Sens!$K$9720+Sens!$L$9720)/2)</f>
        <v>0.0711010638813626</v>
      </c>
      <c r="M9733" s="17" t="n">
        <f aca="false">Sens!$M$9723*(1-tax)/(ext_sh*(Sens!$L$9720+Sens!$M$9720)/2)</f>
        <v>0.071677531066401</v>
      </c>
      <c r="N9733" s="14"/>
      <c r="O9733" s="14"/>
      <c r="P9733" s="8" t="s">
        <v>668</v>
      </c>
    </row>
    <row r="9734" customFormat="false" ht="17.15" hidden="false" customHeight="false" outlineLevel="0" collapsed="false">
      <c r="A9734" s="5" t="s">
        <v>669</v>
      </c>
      <c r="B9734" s="0" t="s">
        <v>57</v>
      </c>
      <c r="H9734" s="36" t="n">
        <f aca="false">Sens!$H$9698*1000/(mw_open*he_open+Sens!$H$9696*Sens!$H$9693)</f>
        <v>0.991949006767191</v>
      </c>
      <c r="I9734" s="36" t="n">
        <f aca="false">Sens!$I$9698*1000/(mw_open*he_open+Sens!$I$9696*Sens!$I$9693)</f>
        <v>0.991949006767191</v>
      </c>
      <c r="J9734" s="36" t="n">
        <f aca="false">Sens!$J$9698*1000/(mw_open*he_open+Sens!$J$9696*Sens!$J$9693)</f>
        <v>0.991949006767191</v>
      </c>
      <c r="K9734" s="36" t="n">
        <f aca="false">Sens!$K$9698*1000/(mw_open*he_open+Sens!$K$9696*Sens!$K$9693)</f>
        <v>0.991949006767191</v>
      </c>
      <c r="L9734" s="36" t="n">
        <f aca="false">Sens!$L$9698*1000/(mw_open*he_open+Sens!$L$9696*Sens!$L$9693)</f>
        <v>0.991949006767191</v>
      </c>
      <c r="M9734" s="36" t="n">
        <f aca="false">Sens!$M$9698*1000/(mw_open*he_open+Sens!$M$9696*Sens!$M$9693)</f>
        <v>0.991949006767191</v>
      </c>
    </row>
    <row r="9735" customFormat="false" ht="17.15" hidden="false" customHeight="false" outlineLevel="0" collapsed="false">
      <c r="A9735" s="5" t="s">
        <v>670</v>
      </c>
      <c r="B9735" s="0" t="s">
        <v>57</v>
      </c>
      <c r="H9735" s="36" t="n">
        <f aca="false">Sens!$H$9734*(Sens!$H$9698+wacc*ext_sh*(Sens!$G$9720+Sens!$H$9720)/2/(1-tax)-Sens!$H$9723)/Sens!$H$9698</f>
        <v>1.18542857552197</v>
      </c>
      <c r="I9735" s="36" t="n">
        <f aca="false">Sens!$I$9734*(Sens!$I$9698+wacc*ext_sh*(Sens!$H$9720+Sens!$I$9720)/2/(1-tax)-Sens!$I$9723)/Sens!$I$9698</f>
        <v>1.20015476648903</v>
      </c>
      <c r="J9735" s="36" t="n">
        <f aca="false">Sens!$J$9734*(Sens!$J$9698+wacc*ext_sh*(Sens!$I$9720+Sens!$J$9720)/2/(1-tax)-Sens!$J$9723)/Sens!$J$9698</f>
        <v>1.16844056931249</v>
      </c>
      <c r="K9735" s="36" t="n">
        <f aca="false">Sens!$K$9734*(Sens!$K$9698+wacc*ext_sh*(Sens!$J$9720+Sens!$K$9720)/2/(1-tax)-Sens!$K$9723)/Sens!$K$9698</f>
        <v>1.15383758356873</v>
      </c>
      <c r="L9735" s="36" t="n">
        <f aca="false">Sens!$L$9734*(Sens!$L$9698+wacc*ext_sh*(Sens!$K$9720+Sens!$L$9720)/2/(1-tax)-Sens!$L$9723)/Sens!$L$9698</f>
        <v>1.13212765595665</v>
      </c>
      <c r="M9735" s="36" t="n">
        <f aca="false">Sens!$M$9734*(Sens!$M$9698+wacc*ext_sh*(Sens!$L$9720+Sens!$M$9720)/2/(1-tax)-Sens!$M$9723)/Sens!$M$9698</f>
        <v>1.12024635139935</v>
      </c>
    </row>
    <row r="9736" customFormat="false" ht="17.15" hidden="false" customHeight="false" outlineLevel="0" collapsed="false">
      <c r="A9736" s="5" t="s">
        <v>671</v>
      </c>
      <c r="B9736" s="0" t="s">
        <v>52</v>
      </c>
      <c r="C9736" s="13" t="n">
        <f aca="false">Sens!$C$9699/tk_pq</f>
        <v>0.195316432429398</v>
      </c>
      <c r="D9736" s="13" t="n">
        <f aca="false">Sens!$D$9699/tk_pq</f>
        <v>0.195316432429398</v>
      </c>
      <c r="E9736" s="13" t="n">
        <f aca="false">Sens!$E$9699/tk_pq</f>
        <v>0.195316432429398</v>
      </c>
      <c r="F9736" s="13" t="n">
        <f aca="false">Sens!$F$9699/tk_pq</f>
        <v>0.202241827274866</v>
      </c>
      <c r="G9736" s="13" t="n">
        <f aca="false">Sens!$G$9699/tk_pq</f>
        <v>0.199675016194063</v>
      </c>
      <c r="H9736" s="13" t="n">
        <f aca="false">Sens!$H$9699/tk_pq</f>
        <v>0.212647947710325</v>
      </c>
      <c r="I9736" s="13" t="n">
        <f aca="false">Sens!$I$9699/tk_pq</f>
        <v>0.219285125475351</v>
      </c>
      <c r="J9736" s="13" t="n">
        <f aca="false">Sens!$J$9699/tk_pq</f>
        <v>0.222492493217189</v>
      </c>
      <c r="K9736" s="13" t="n">
        <f aca="false">Sens!$K$9699/tk_pq</f>
        <v>0.224053502812094</v>
      </c>
      <c r="L9736" s="13" t="n">
        <f aca="false">Sens!$L$9699/tk_pq</f>
        <v>0.224786916785614</v>
      </c>
      <c r="M9736" s="13" t="n">
        <f aca="false">Sens!$M$9699/tk_pq</f>
        <v>0.225048671566937</v>
      </c>
      <c r="N9736" s="13" t="n">
        <f aca="false">Sens!$N$9699/tk_pq</f>
        <v>0.195316432429398</v>
      </c>
      <c r="O9736" s="13" t="n">
        <f aca="false">Sens!$O$9699/tk_pq</f>
        <v>0.195316432429398</v>
      </c>
      <c r="P9736" s="5" t="s">
        <v>672</v>
      </c>
    </row>
    <row r="9739" customFormat="false" ht="17.15" hidden="false" customHeight="false" outlineLevel="0" collapsed="false">
      <c r="A9739" s="1" t="s">
        <v>701</v>
      </c>
    </row>
    <row r="9740" customFormat="false" ht="17.15" hidden="false" customHeight="false" outlineLevel="0" collapsed="false">
      <c r="A9740" s="0" t="s">
        <v>702</v>
      </c>
      <c r="B9740" s="0" t="s">
        <v>86</v>
      </c>
      <c r="C9740" s="38" t="n">
        <f aca="false">Sens!$C$9698</f>
        <v>2.32100535697364</v>
      </c>
      <c r="D9740" s="38" t="n">
        <f aca="false">Sens!$D$9698</f>
        <v>8.70377008865116</v>
      </c>
      <c r="E9740" s="38" t="n">
        <f aca="false">Sens!$E$9698</f>
        <v>8.51035297557002</v>
      </c>
      <c r="F9740" s="38" t="n">
        <f aca="false">Sens!$F$9698</f>
        <v>14.9634336447205</v>
      </c>
      <c r="G9740" s="38" t="n">
        <f aca="false">Sens!$G$9698</f>
        <v>23.4737866202905</v>
      </c>
      <c r="H9740" s="38" t="n">
        <f aca="false">Sens!$H$9698</f>
        <v>60.1658907497746</v>
      </c>
      <c r="I9740" s="38" t="n">
        <f aca="false">Sens!$I$9698</f>
        <v>101.503699136432</v>
      </c>
      <c r="J9740" s="38" t="n">
        <f aca="false">Sens!$J$9698</f>
        <v>143.025407151278</v>
      </c>
      <c r="K9740" s="38" t="n">
        <f aca="false">Sens!$K$9698</f>
        <v>178.44812038318</v>
      </c>
      <c r="L9740" s="38" t="n">
        <f aca="false">Sens!$L$9698</f>
        <v>201.728101802396</v>
      </c>
      <c r="M9740" s="38" t="n">
        <f aca="false">Sens!$M$9698</f>
        <v>212.835441368865</v>
      </c>
      <c r="N9740" s="38" t="n">
        <f aca="false">Sens!$N$9698</f>
        <v>3.04631953102791</v>
      </c>
      <c r="O9740" s="38" t="n">
        <f aca="false">Sens!$O$9698</f>
        <v>5.65745055762326</v>
      </c>
      <c r="P9740" s="8" t="s">
        <v>703</v>
      </c>
    </row>
    <row r="9741" customFormat="false" ht="17.15" hidden="false" customHeight="false" outlineLevel="0" collapsed="false">
      <c r="A9741" s="0" t="s">
        <v>704</v>
      </c>
      <c r="B9741" s="0" t="s">
        <v>86</v>
      </c>
      <c r="C9741" s="38" t="n">
        <f aca="false">Sens!$C$9702</f>
        <v>105.234994643026</v>
      </c>
      <c r="D9741" s="38" t="n">
        <f aca="false">Sens!$D$9702</f>
        <v>120.021229911349</v>
      </c>
      <c r="E9741" s="38" t="n">
        <f aca="false">Sens!$E$9702</f>
        <v>71.30864702443</v>
      </c>
      <c r="F9741" s="38" t="n">
        <f aca="false">Sens!$F$9702</f>
        <v>71.7692997942464</v>
      </c>
      <c r="G9741" s="38" t="n">
        <f aca="false">Sens!$G$9702</f>
        <v>143.077946818676</v>
      </c>
      <c r="H9741" s="38" t="n">
        <f aca="false">Sens!$H$9702</f>
        <v>161.017077079203</v>
      </c>
      <c r="I9741" s="38" t="n">
        <f aca="false">Sens!$I$9702</f>
        <v>178.769759521457</v>
      </c>
      <c r="J9741" s="38" t="n">
        <f aca="false">Sens!$J$9702</f>
        <v>195.775538045907</v>
      </c>
      <c r="K9741" s="38" t="n">
        <f aca="false">Sens!$K$9702</f>
        <v>211.43758108958</v>
      </c>
      <c r="L9741" s="38" t="n">
        <f aca="false">Sens!$L$9702</f>
        <v>228.352587576746</v>
      </c>
      <c r="M9741" s="38" t="n">
        <f aca="false">Sens!$M$9702</f>
        <v>246.620794582886</v>
      </c>
      <c r="N9741" s="38" t="n">
        <f aca="false">Sens!$N$9702</f>
        <v>57.0936804689721</v>
      </c>
      <c r="O9741" s="38" t="n">
        <f aca="false">Sens!$O$9702</f>
        <v>62.9275494423768</v>
      </c>
      <c r="P9741" s="8" t="s">
        <v>703</v>
      </c>
    </row>
    <row r="9742" customFormat="false" ht="17.15" hidden="false" customHeight="false" outlineLevel="0" collapsed="false">
      <c r="A9742" s="1" t="s">
        <v>523</v>
      </c>
      <c r="B9742" s="8" t="s">
        <v>86</v>
      </c>
      <c r="C9742" s="38" t="n">
        <f aca="false">Q!$D$7</f>
        <v>107.556</v>
      </c>
      <c r="D9742" s="38" t="n">
        <f aca="false">Q!$E$7</f>
        <v>128.725</v>
      </c>
      <c r="E9742" s="38" t="n">
        <f aca="false">Q!$P$7</f>
        <v>79.819</v>
      </c>
      <c r="F9742" s="38" t="n">
        <f aca="false">Sens!$F$9740+Sens!$F$9741</f>
        <v>86.7327334389669</v>
      </c>
      <c r="G9742" s="38" t="n">
        <f aca="false">Sens!$G$9740+Sens!$G$9741</f>
        <v>166.551733438967</v>
      </c>
      <c r="H9742" s="38" t="n">
        <f aca="false">Sens!$H$9740+Sens!$H$9741</f>
        <v>221.182967828978</v>
      </c>
      <c r="I9742" s="38" t="n">
        <f aca="false">Sens!$I$9740+Sens!$I$9741</f>
        <v>280.27345865789</v>
      </c>
      <c r="J9742" s="38" t="n">
        <f aca="false">Sens!$J$9740+Sens!$J$9741</f>
        <v>338.800945197185</v>
      </c>
      <c r="K9742" s="38" t="n">
        <f aca="false">Sens!$K$9740+Sens!$K$9741</f>
        <v>389.88570147276</v>
      </c>
      <c r="L9742" s="38" t="n">
        <f aca="false">Sens!$L$9740+Sens!$L$9741</f>
        <v>430.080689379143</v>
      </c>
      <c r="M9742" s="38" t="n">
        <f aca="false">Sens!$M$9740+Sens!$M$9741</f>
        <v>459.456235951751</v>
      </c>
      <c r="N9742" s="38" t="n">
        <f aca="false">Q!$N$7</f>
        <v>60.14</v>
      </c>
      <c r="O9742" s="38" t="n">
        <f aca="false">Q!$O$7</f>
        <v>68.585</v>
      </c>
      <c r="P9742" s="5" t="s">
        <v>705</v>
      </c>
    </row>
    <row r="9743" customFormat="false" ht="15" hidden="false" customHeight="false" outlineLevel="0" collapsed="false">
      <c r="A9743" s="3" t="s">
        <v>706</v>
      </c>
      <c r="B9743" s="8" t="s">
        <v>86</v>
      </c>
      <c r="C9743" s="38" t="n">
        <f aca="false">Q!$D$8</f>
        <v>637.959</v>
      </c>
      <c r="D9743" s="38" t="n">
        <f aca="false">Q!$E$8</f>
        <v>716.924</v>
      </c>
      <c r="E9743" s="38" t="n">
        <f aca="false">Q!$P$8</f>
        <v>382.125</v>
      </c>
      <c r="F9743" s="38" t="n">
        <f aca="false">Sens!$F$9670+Sens!$F$9742</f>
        <v>435.780975084504</v>
      </c>
      <c r="G9743" s="38" t="n">
        <f aca="false">Sens!$G$9670+Sens!$G$9742</f>
        <v>817.905975084504</v>
      </c>
      <c r="H9743" s="38" t="n">
        <f aca="false">Sens!$H$9670+Sens!$H$9742</f>
        <v>942.279857350364</v>
      </c>
      <c r="I9743" s="38" t="n">
        <f aca="false">Sens!$I$9670+Sens!$I$9742</f>
        <v>1068.80284981042</v>
      </c>
      <c r="J9743" s="38" t="n">
        <f aca="false">Sens!$J$9670+Sens!$J$9742</f>
        <v>1189.90935093863</v>
      </c>
      <c r="K9743" s="38" t="n">
        <f aca="false">Sens!$K$9670+Sens!$K$9742</f>
        <v>1296.06215690385</v>
      </c>
      <c r="L9743" s="38" t="n">
        <f aca="false">Sens!$L$9670+Sens!$L$9742</f>
        <v>1395.17379585473</v>
      </c>
      <c r="M9743" s="38" t="n">
        <f aca="false">Sens!$M$9670+Sens!$M$9742</f>
        <v>1487.60414389864</v>
      </c>
      <c r="N9743" s="38" t="n">
        <f aca="false">Q!$N$8</f>
        <v>323.369</v>
      </c>
      <c r="O9743" s="38" t="n">
        <f aca="false">Q!$O$8</f>
        <v>393.555</v>
      </c>
    </row>
    <row r="9744" customFormat="false" ht="17.15" hidden="false" customHeight="false" outlineLevel="0" collapsed="false">
      <c r="A9744" s="24" t="s">
        <v>714</v>
      </c>
      <c r="B9744" s="25" t="s">
        <v>86</v>
      </c>
      <c r="C9744" s="41" t="n">
        <f aca="false">Sens!$C$9670-(Sens!$C$9672+Sens!$C$9673)</f>
        <v>0</v>
      </c>
      <c r="D9744" s="41" t="n">
        <f aca="false">Sens!$D$9670-(Sens!$D$9672+Sens!$D$9673)</f>
        <v>0</v>
      </c>
      <c r="E9744" s="41" t="n">
        <f aca="false">Sens!$E$9670-(Sens!$E$9672+Sens!$E$9673)</f>
        <v>0</v>
      </c>
      <c r="F9744" s="41" t="n">
        <f aca="false">Sens!$F$9670-(Sens!$F$9672+Sens!$F$9673)</f>
        <v>0</v>
      </c>
      <c r="G9744" s="41" t="n">
        <f aca="false">Sens!$G$9670-(Sens!$G$9672+Sens!$G$9673)</f>
        <v>0</v>
      </c>
      <c r="H9744" s="41" t="n">
        <f aca="false">Sens!$H$9670-(Sens!$H$9672+Sens!$H$9673)</f>
        <v>0</v>
      </c>
      <c r="I9744" s="41" t="n">
        <f aca="false">Sens!$I$9670-(Sens!$I$9672+Sens!$I$9673)</f>
        <v>0</v>
      </c>
      <c r="J9744" s="41" t="n">
        <f aca="false">Sens!$J$9670-(Sens!$J$9672+Sens!$J$9673)</f>
        <v>0</v>
      </c>
      <c r="K9744" s="41" t="n">
        <f aca="false">Sens!$K$9670-(Sens!$K$9672+Sens!$K$9673)</f>
        <v>0</v>
      </c>
      <c r="L9744" s="41" t="n">
        <f aca="false">Sens!$L$9670-(Sens!$L$9672+Sens!$L$9673)</f>
        <v>0</v>
      </c>
      <c r="M9744" s="41" t="n">
        <f aca="false">Sens!$M$9670-(Sens!$M$9672+Sens!$M$9673)</f>
        <v>0</v>
      </c>
      <c r="N9744" s="41" t="n">
        <f aca="false">Sens!$N$9670-(Sens!$N$9672+Sens!$N$9673)</f>
        <v>0</v>
      </c>
      <c r="O9744" s="41" t="n">
        <f aca="false">Sens!$O$9670-(Sens!$O$9672+Sens!$O$9673)</f>
        <v>0</v>
      </c>
    </row>
    <row r="9745" customFormat="false" ht="17.15" hidden="false" customHeight="false" outlineLevel="0" collapsed="false">
      <c r="A9745" s="24" t="s">
        <v>715</v>
      </c>
      <c r="B9745" s="25" t="s">
        <v>86</v>
      </c>
      <c r="C9745" s="41" t="n">
        <f aca="false">Sens!$C$9740+Sens!$C$9741-Sens!$C$9742</f>
        <v>0</v>
      </c>
      <c r="D9745" s="41" t="n">
        <f aca="false">Sens!$D$9740+Sens!$D$9741-Sens!$D$9742</f>
        <v>0</v>
      </c>
      <c r="E9745" s="41" t="n">
        <f aca="false">Sens!$E$9740+Sens!$E$9741-Sens!$E$9742</f>
        <v>0</v>
      </c>
      <c r="F9745" s="41" t="n">
        <f aca="false">Sens!$F$9740+Sens!$F$9741-Sens!$F$9742</f>
        <v>0</v>
      </c>
      <c r="G9745" s="41" t="n">
        <f aca="false">Sens!$G$9740+Sens!$G$9741-Sens!$G$9742</f>
        <v>0</v>
      </c>
      <c r="H9745" s="41" t="n">
        <f aca="false">Sens!$H$9740+Sens!$H$9741-Sens!$H$9742</f>
        <v>0</v>
      </c>
      <c r="I9745" s="41" t="n">
        <f aca="false">Sens!$I$9740+Sens!$I$9741-Sens!$I$9742</f>
        <v>0</v>
      </c>
      <c r="J9745" s="41" t="n">
        <f aca="false">Sens!$J$9740+Sens!$J$9741-Sens!$J$9742</f>
        <v>0</v>
      </c>
      <c r="K9745" s="41" t="n">
        <f aca="false">Sens!$K$9740+Sens!$K$9741-Sens!$K$9742</f>
        <v>0</v>
      </c>
      <c r="L9745" s="41" t="n">
        <f aca="false">Sens!$L$9740+Sens!$L$9741-Sens!$L$9742</f>
        <v>0</v>
      </c>
      <c r="M9745" s="41" t="n">
        <f aca="false">Sens!$M$9740+Sens!$M$9741-Sens!$M$9742</f>
        <v>0</v>
      </c>
      <c r="N9745" s="41" t="n">
        <f aca="false">Sens!$N$9740+Sens!$N$9741-Sens!$N$9742</f>
        <v>0</v>
      </c>
      <c r="O9745" s="41" t="n">
        <f aca="false">Sens!$O$9740+Sens!$O$9741-Sens!$O$9742</f>
        <v>0</v>
      </c>
    </row>
    <row r="9746" customFormat="false" ht="17.15" hidden="false" customHeight="false" outlineLevel="0" collapsed="false">
      <c r="A9746" s="24" t="s">
        <v>716</v>
      </c>
      <c r="B9746" s="25" t="s">
        <v>86</v>
      </c>
      <c r="C9746" s="41" t="n">
        <f aca="false">Sens!$C$9672+Sens!$C$9673+Sens!$C$9742-Sens!$C$9743</f>
        <v>0</v>
      </c>
      <c r="D9746" s="41" t="n">
        <f aca="false">Sens!$D$9672+Sens!$D$9673+Sens!$D$9742-Sens!$D$9743</f>
        <v>0</v>
      </c>
      <c r="E9746" s="41" t="n">
        <f aca="false">Sens!$E$9672+Sens!$E$9673+Sens!$E$9742-Sens!$E$9743</f>
        <v>0</v>
      </c>
      <c r="F9746" s="41" t="n">
        <f aca="false">Sens!$F$9672+Sens!$F$9673+Sens!$F$9742-Sens!$F$9743</f>
        <v>0</v>
      </c>
      <c r="G9746" s="41" t="n">
        <f aca="false">Sens!$G$9672+Sens!$G$9673+Sens!$G$9742-Sens!$G$9743</f>
        <v>0</v>
      </c>
      <c r="H9746" s="41" t="n">
        <f aca="false">Sens!$H$9672+Sens!$H$9673+Sens!$H$9742-Sens!$H$9743</f>
        <v>0</v>
      </c>
      <c r="I9746" s="41" t="n">
        <f aca="false">Sens!$I$9672+Sens!$I$9673+Sens!$I$9742-Sens!$I$9743</f>
        <v>0</v>
      </c>
      <c r="J9746" s="41" t="n">
        <f aca="false">Sens!$J$9672+Sens!$J$9673+Sens!$J$9742-Sens!$J$9743</f>
        <v>0</v>
      </c>
      <c r="K9746" s="41" t="n">
        <f aca="false">Sens!$K$9672+Sens!$K$9673+Sens!$K$9742-Sens!$K$9743</f>
        <v>0</v>
      </c>
      <c r="L9746" s="41" t="n">
        <f aca="false">Sens!$L$9672+Sens!$L$9673+Sens!$L$9742-Sens!$L$9743</f>
        <v>0</v>
      </c>
      <c r="M9746" s="41" t="n">
        <f aca="false">Sens!$M$9672+Sens!$M$9673+Sens!$M$9742-Sens!$M$9743</f>
        <v>0</v>
      </c>
      <c r="N9746" s="41" t="n">
        <f aca="false">Sens!$N$9672+Sens!$N$9673+Sens!$N$9742-Sens!$N$9743</f>
        <v>0</v>
      </c>
      <c r="O9746" s="41" t="n">
        <f aca="false">Sens!$O$9672+Sens!$O$9673+Sens!$O$9742-Sens!$O$9743</f>
        <v>0</v>
      </c>
    </row>
    <row r="9747" customFormat="false" ht="15" hidden="false" customHeight="false" outlineLevel="0" collapsed="false">
      <c r="A9747" s="5" t="s">
        <v>710</v>
      </c>
      <c r="B9747" s="0" t="s">
        <v>52</v>
      </c>
      <c r="G9747" s="13" t="n">
        <f aca="false">Sens!$G$9743/Sens!$D$9743-1</f>
        <v>0.140854504918937</v>
      </c>
      <c r="H9747" s="13" t="n">
        <f aca="false">Sens!$H$9743/Sens!$G$9743-1</f>
        <v>0.152063789793209</v>
      </c>
      <c r="I9747" s="13" t="n">
        <f aca="false">Sens!$I$9743/Sens!$H$9743-1</f>
        <v>0.134273264437417</v>
      </c>
      <c r="J9747" s="13" t="n">
        <f aca="false">Sens!$J$9743/Sens!$I$9743-1</f>
        <v>0.113310421234083</v>
      </c>
      <c r="K9747" s="13" t="n">
        <f aca="false">Sens!$K$9743/Sens!$J$9743-1</f>
        <v>0.0892108343223652</v>
      </c>
      <c r="L9747" s="13" t="n">
        <f aca="false">Sens!$L$9743/Sens!$K$9743-1</f>
        <v>0.076471362444261</v>
      </c>
      <c r="M9747" s="13" t="n">
        <f aca="false">Sens!$M$9743/Sens!$L$9743-1</f>
        <v>0.066250060256672</v>
      </c>
    </row>
    <row r="9748" customFormat="false" ht="17.15" hidden="false" customHeight="false" outlineLevel="0" collapsed="false">
      <c r="A9748" s="0" t="s">
        <v>711</v>
      </c>
      <c r="B9748" s="0" t="s">
        <v>52</v>
      </c>
      <c r="C9748" s="13" t="n">
        <f aca="false">Sens!$C$9742/Sens!$C$9743</f>
        <v>0.168593906504964</v>
      </c>
      <c r="D9748" s="13" t="n">
        <f aca="false">Sens!$D$9742/Sens!$D$9743</f>
        <v>0.179551807444025</v>
      </c>
      <c r="E9748" s="13" t="n">
        <f aca="false">Sens!$E$9742/Sens!$E$9743</f>
        <v>0.208881910369643</v>
      </c>
      <c r="F9748" s="13" t="n">
        <f aca="false">Sens!$F$9742/Sens!$F$9743</f>
        <v>0.199028269699356</v>
      </c>
      <c r="G9748" s="13" t="n">
        <f aca="false">Sens!$G$9742/Sens!$G$9743</f>
        <v>0.203631882529968</v>
      </c>
      <c r="H9748" s="13" t="n">
        <f aca="false">Sens!$H$9742/Sens!$H$9743</f>
        <v>0.234731715958496</v>
      </c>
      <c r="I9748" s="13" t="n">
        <f aca="false">Sens!$I$9742/Sens!$I$9743</f>
        <v>0.262231204480418</v>
      </c>
      <c r="J9748" s="13" t="n">
        <f aca="false">Sens!$J$9742/Sens!$J$9743</f>
        <v>0.284728366013706</v>
      </c>
      <c r="K9748" s="13" t="n">
        <f aca="false">Sens!$K$9742/Sens!$K$9743</f>
        <v>0.300823304959505</v>
      </c>
      <c r="L9748" s="13" t="n">
        <f aca="false">Sens!$L$9742/Sens!$L$9743</f>
        <v>0.308263164529735</v>
      </c>
      <c r="M9748" s="13" t="n">
        <f aca="false">Sens!$M$9742/Sens!$M$9743</f>
        <v>0.308856517936036</v>
      </c>
      <c r="N9748" s="13" t="n">
        <f aca="false">Sens!$N$9742/Sens!$N$9743</f>
        <v>0.185979484737251</v>
      </c>
      <c r="O9748" s="13" t="n">
        <f aca="false">Sens!$O$9742/Sens!$O$9743</f>
        <v>0.174270432341096</v>
      </c>
    </row>
    <row r="9749" customFormat="false" ht="17.15" hidden="false" customHeight="false" outlineLevel="0" collapsed="false">
      <c r="A9749" s="0" t="s">
        <v>712</v>
      </c>
      <c r="B9749" s="0" t="s">
        <v>52</v>
      </c>
      <c r="C9749" s="13" t="n">
        <f aca="false">Sens!$C$9740/Sens!$C$9742</f>
        <v>0.0215795060896058</v>
      </c>
      <c r="D9749" s="13" t="n">
        <f aca="false">Sens!$D$9740/Sens!$D$9742</f>
        <v>0.0676152269462122</v>
      </c>
      <c r="E9749" s="13" t="n">
        <f aca="false">Sens!$E$9740/Sens!$E$9742</f>
        <v>0.106620641395783</v>
      </c>
      <c r="F9749" s="13" t="n">
        <f aca="false">Sens!$F$9740/Sens!$F$9742</f>
        <v>0.172523487401099</v>
      </c>
      <c r="G9749" s="13" t="n">
        <f aca="false">Sens!$G$9740/Sens!$G$9742</f>
        <v>0.140939911795589</v>
      </c>
      <c r="H9749" s="13" t="n">
        <f aca="false">Sens!$H$9740/Sens!$H$9742</f>
        <v>0.272018642937714</v>
      </c>
      <c r="I9749" s="13" t="n">
        <f aca="false">Sens!$I$9740/Sens!$I$9742</f>
        <v>0.362159512436497</v>
      </c>
      <c r="J9749" s="13" t="n">
        <f aca="false">Sens!$J$9740/Sens!$J$9742</f>
        <v>0.422151735934609</v>
      </c>
      <c r="K9749" s="13" t="n">
        <f aca="false">Sens!$K$9740/Sens!$K$9742</f>
        <v>0.45769342068485</v>
      </c>
      <c r="L9749" s="13" t="n">
        <f aca="false">Sens!$L$9740/Sens!$L$9742</f>
        <v>0.469047103913472</v>
      </c>
      <c r="M9749" s="13" t="n">
        <f aca="false">Sens!$M$9740/Sens!$M$9742</f>
        <v>0.463233328258093</v>
      </c>
      <c r="N9749" s="13" t="n">
        <f aca="false">Sens!$N$9740/Sens!$N$9742</f>
        <v>0.0506537999838362</v>
      </c>
      <c r="O9749" s="13" t="n">
        <f aca="false">Sens!$O$9740/Sens!$O$9742</f>
        <v>0.0824881615167056</v>
      </c>
    </row>
    <row r="9752" customFormat="false" ht="19.4" hidden="false" customHeight="false" outlineLevel="0" collapsed="false">
      <c r="A9752" s="31" t="s">
        <v>1349</v>
      </c>
    </row>
    <row r="9753" customFormat="false" ht="17.15" hidden="false" customHeight="false" outlineLevel="0" collapsed="false">
      <c r="A9753" s="6" t="s">
        <v>16</v>
      </c>
      <c r="B9753" s="6" t="s">
        <v>17</v>
      </c>
      <c r="C9753" s="20" t="s">
        <v>504</v>
      </c>
      <c r="D9753" s="20" t="s">
        <v>505</v>
      </c>
      <c r="E9753" s="20" t="s">
        <v>587</v>
      </c>
      <c r="F9753" s="20" t="s">
        <v>588</v>
      </c>
      <c r="G9753" s="20" t="s">
        <v>589</v>
      </c>
      <c r="H9753" s="20" t="s">
        <v>590</v>
      </c>
      <c r="I9753" s="20" t="s">
        <v>591</v>
      </c>
      <c r="J9753" s="20" t="s">
        <v>592</v>
      </c>
      <c r="K9753" s="20" t="s">
        <v>593</v>
      </c>
      <c r="L9753" s="20" t="s">
        <v>594</v>
      </c>
      <c r="M9753" s="20" t="s">
        <v>595</v>
      </c>
      <c r="N9753" s="20" t="s">
        <v>596</v>
      </c>
      <c r="O9753" s="20" t="s">
        <v>597</v>
      </c>
      <c r="P9753" s="6" t="s">
        <v>23</v>
      </c>
      <c r="R9753" s="20" t="n">
        <v>2023</v>
      </c>
      <c r="S9753" s="20" t="n">
        <v>2024</v>
      </c>
      <c r="T9753" s="20" t="n">
        <v>2025</v>
      </c>
      <c r="U9753" s="20" t="n">
        <v>2026</v>
      </c>
      <c r="V9753" s="20" t="n">
        <v>2027</v>
      </c>
      <c r="W9753" s="20" t="n">
        <v>2028</v>
      </c>
      <c r="X9753" s="20" t="n">
        <v>2029</v>
      </c>
      <c r="Y9753" s="20" t="n">
        <v>2030</v>
      </c>
      <c r="Z9753" s="20" t="n">
        <v>2031</v>
      </c>
      <c r="AA9753" s="20" t="n">
        <v>2032</v>
      </c>
    </row>
    <row r="9754" customFormat="false" ht="17.15" hidden="false" customHeight="false" outlineLevel="0" collapsed="false">
      <c r="A9754" s="1" t="s">
        <v>727</v>
      </c>
    </row>
    <row r="9755" customFormat="false" ht="15" hidden="false" customHeight="false" outlineLevel="0" collapsed="false">
      <c r="A9755" s="0" t="s">
        <v>526</v>
      </c>
      <c r="B9755" s="0" t="s">
        <v>86</v>
      </c>
      <c r="C9755" s="38" t="n">
        <f aca="false">Sens!$C$9657</f>
        <v>247.029</v>
      </c>
      <c r="D9755" s="38" t="n">
        <f aca="false">Sens!$D$9657</f>
        <v>269.287</v>
      </c>
      <c r="E9755" s="38" t="n">
        <f aca="false">Sens!$E$9657</f>
        <v>134.686</v>
      </c>
      <c r="F9755" s="38" t="n">
        <f aca="false">Sens!$F$9657</f>
        <v>158.293876822267</v>
      </c>
      <c r="G9755" s="38" t="n">
        <f aca="false">Sens!$G$9657</f>
        <v>292.979876822267</v>
      </c>
      <c r="H9755" s="38" t="n">
        <f aca="false">Sens!$H$9657</f>
        <v>318.184543087396</v>
      </c>
      <c r="I9755" s="38" t="n">
        <f aca="false">Sens!$I$9657</f>
        <v>341.736278761793</v>
      </c>
      <c r="J9755" s="38" t="n">
        <f aca="false">Sens!$J$9657</f>
        <v>362.927192787048</v>
      </c>
      <c r="K9755" s="38" t="n">
        <f aca="false">Sens!$K$9657</f>
        <v>381.0735524264</v>
      </c>
      <c r="L9755" s="38" t="n">
        <f aca="false">Sens!$L$9657</f>
        <v>400.12723004772</v>
      </c>
      <c r="M9755" s="38" t="n">
        <f aca="false">Sens!$M$9657</f>
        <v>420.133591550106</v>
      </c>
      <c r="N9755" s="38" t="n">
        <f aca="false">Sens!$N$9657</f>
        <v>118.892</v>
      </c>
      <c r="O9755" s="38" t="n">
        <f aca="false">Sens!$O$9657</f>
        <v>150.395</v>
      </c>
    </row>
    <row r="9756" customFormat="false" ht="15" hidden="false" customHeight="false" outlineLevel="0" collapsed="false">
      <c r="A9756" s="0" t="s">
        <v>527</v>
      </c>
      <c r="B9756" s="0" t="s">
        <v>86</v>
      </c>
      <c r="C9756" s="38" t="n">
        <f aca="false">Sens!$C$9659</f>
        <v>21.215</v>
      </c>
      <c r="D9756" s="38" t="n">
        <f aca="false">Sens!$D$9659</f>
        <v>22.561</v>
      </c>
      <c r="E9756" s="38" t="n">
        <f aca="false">Sens!$E$9659</f>
        <v>11.579</v>
      </c>
      <c r="F9756" s="38" t="n">
        <f aca="false">Sens!$F$9659</f>
        <v>11.5938724610325</v>
      </c>
      <c r="G9756" s="38" t="n">
        <f aca="false">Sens!$G$9659</f>
        <v>23.1728724610325</v>
      </c>
      <c r="H9756" s="38" t="n">
        <f aca="false">Sens!$H$9659</f>
        <v>24.353392759506</v>
      </c>
      <c r="I9756" s="38" t="n">
        <f aca="false">Sens!$I$9659</f>
        <v>25.4240338872015</v>
      </c>
      <c r="J9756" s="38" t="n">
        <f aca="false">Sens!$J$9659</f>
        <v>26.3642491017174</v>
      </c>
      <c r="K9756" s="38" t="n">
        <f aca="false">Sens!$K$9659</f>
        <v>27.155176574769</v>
      </c>
      <c r="L9756" s="38" t="n">
        <f aca="false">Sens!$L$9659</f>
        <v>27.969831872012</v>
      </c>
      <c r="M9756" s="38" t="n">
        <f aca="false">Sens!$M$9659</f>
        <v>28.8089268281724</v>
      </c>
      <c r="N9756" s="38" t="n">
        <f aca="false">Sens!$N$9659</f>
        <v>11.128</v>
      </c>
      <c r="O9756" s="38" t="n">
        <f aca="false">Sens!$O$9659</f>
        <v>11.433</v>
      </c>
    </row>
    <row r="9757" customFormat="false" ht="15" hidden="false" customHeight="false" outlineLevel="0" collapsed="false">
      <c r="A9757" s="0" t="s">
        <v>528</v>
      </c>
      <c r="B9757" s="0" t="s">
        <v>86</v>
      </c>
      <c r="C9757" s="38" t="n">
        <f aca="false">Sens!$C$9661</f>
        <v>156.146</v>
      </c>
      <c r="D9757" s="38" t="n">
        <f aca="false">Sens!$D$9661</f>
        <v>172.162</v>
      </c>
      <c r="E9757" s="38" t="n">
        <f aca="false">Sens!$E$9661</f>
        <v>88.358</v>
      </c>
      <c r="F9757" s="38" t="n">
        <f aca="false">Sens!$F$9661</f>
        <v>102.004388260171</v>
      </c>
      <c r="G9757" s="38" t="n">
        <f aca="false">Sens!$G$9661</f>
        <v>190.362388260171</v>
      </c>
      <c r="H9757" s="38" t="n">
        <f aca="false">Sens!$H$9661</f>
        <v>210.343106588311</v>
      </c>
      <c r="I9757" s="38" t="n">
        <f aca="false">Sens!$I$9661</f>
        <v>229.969728494648</v>
      </c>
      <c r="J9757" s="38" t="n">
        <f aca="false">Sens!$J$9661</f>
        <v>248.747636972598</v>
      </c>
      <c r="K9757" s="38" t="n">
        <f aca="false">Sens!$K$9661</f>
        <v>266.15997156068</v>
      </c>
      <c r="L9757" s="38" t="n">
        <f aca="false">Sens!$L$9661</f>
        <v>284.791169569927</v>
      </c>
      <c r="M9757" s="38" t="n">
        <f aca="false">Sens!$M$9661</f>
        <v>304.726551439822</v>
      </c>
      <c r="N9757" s="38" t="n">
        <f aca="false">Sens!$N$9661</f>
        <v>76.86</v>
      </c>
      <c r="O9757" s="38" t="n">
        <f aca="false">Sens!$O$9661</f>
        <v>95.302</v>
      </c>
    </row>
    <row r="9758" customFormat="false" ht="15" hidden="false" customHeight="false" outlineLevel="0" collapsed="false">
      <c r="A9758" s="0" t="s">
        <v>529</v>
      </c>
      <c r="B9758" s="0" t="s">
        <v>86</v>
      </c>
      <c r="C9758" s="38" t="n">
        <f aca="false">Sens!$C$9663</f>
        <v>56.214</v>
      </c>
      <c r="D9758" s="38" t="n">
        <f aca="false">Sens!$D$9663</f>
        <v>68.635</v>
      </c>
      <c r="E9758" s="38" t="n">
        <f aca="false">Sens!$E$9663</f>
        <v>37.052</v>
      </c>
      <c r="F9758" s="38" t="n">
        <f aca="false">Sens!$F$9663</f>
        <v>46.1572219944148</v>
      </c>
      <c r="G9758" s="38" t="n">
        <f aca="false">Sens!$G$9663</f>
        <v>83.2092219944148</v>
      </c>
      <c r="H9758" s="38" t="n">
        <f aca="false">Sens!$H$9663</f>
        <v>99.8969223878976</v>
      </c>
      <c r="I9758" s="38" t="n">
        <f aca="false">Sens!$I$9663</f>
        <v>116.583111095496</v>
      </c>
      <c r="J9758" s="38" t="n">
        <f aca="false">Sens!$J$9663</f>
        <v>132.148941941952</v>
      </c>
      <c r="K9758" s="38" t="n">
        <f aca="false">Sens!$K$9663</f>
        <v>145.363836136147</v>
      </c>
      <c r="L9758" s="38" t="n">
        <f aca="false">Sens!$L$9663</f>
        <v>159.900219749762</v>
      </c>
      <c r="M9758" s="38" t="n">
        <f aca="false">Sens!$M$9663</f>
        <v>175.890241724738</v>
      </c>
      <c r="N9758" s="38" t="n">
        <f aca="false">Sens!$N$9663</f>
        <v>29.615</v>
      </c>
      <c r="O9758" s="38" t="n">
        <f aca="false">Sens!$O$9663</f>
        <v>39.02</v>
      </c>
    </row>
    <row r="9759" customFormat="false" ht="15" hidden="false" customHeight="false" outlineLevel="0" collapsed="false">
      <c r="A9759" s="0" t="s">
        <v>530</v>
      </c>
      <c r="B9759" s="0" t="s">
        <v>86</v>
      </c>
      <c r="C9759" s="38" t="n">
        <f aca="false">Sens!$C$9665</f>
        <v>44.374</v>
      </c>
      <c r="D9759" s="38" t="n">
        <f aca="false">Sens!$D$9665</f>
        <v>49.619</v>
      </c>
      <c r="E9759" s="38" t="n">
        <f aca="false">Sens!$E$9665</f>
        <v>27.157</v>
      </c>
      <c r="F9759" s="38" t="n">
        <f aca="false">Sens!$F$9665</f>
        <v>27.7764165988154</v>
      </c>
      <c r="G9759" s="38" t="n">
        <f aca="false">Sens!$G$9665</f>
        <v>54.9334165988154</v>
      </c>
      <c r="H9759" s="38" t="n">
        <f aca="false">Sens!$H$9665</f>
        <v>61.1564112561829</v>
      </c>
      <c r="I9759" s="38" t="n">
        <f aca="false">Sens!$I$9665</f>
        <v>67.2020282103945</v>
      </c>
      <c r="J9759" s="38" t="n">
        <f aca="false">Sens!$J$9665</f>
        <v>72.8757274028885</v>
      </c>
      <c r="K9759" s="38" t="n">
        <f aca="false">Sens!$K$9665</f>
        <v>77.9770283210907</v>
      </c>
      <c r="L9759" s="38" t="n">
        <f aca="false">Sens!$L$9665</f>
        <v>83.4354203035671</v>
      </c>
      <c r="M9759" s="38" t="n">
        <f aca="false">Sens!$M$9665</f>
        <v>89.2758997248168</v>
      </c>
      <c r="N9759" s="38" t="n">
        <f aca="false">Sens!$N$9665</f>
        <v>23.923</v>
      </c>
      <c r="O9759" s="38" t="n">
        <f aca="false">Sens!$O$9665</f>
        <v>25.696</v>
      </c>
    </row>
    <row r="9760" customFormat="false" ht="15" hidden="false" customHeight="false" outlineLevel="0" collapsed="false">
      <c r="A9760" s="0" t="s">
        <v>531</v>
      </c>
      <c r="B9760" s="0" t="s">
        <v>86</v>
      </c>
      <c r="C9760" s="38" t="n">
        <f aca="false">Sens!$C$9667</f>
        <v>5.425</v>
      </c>
      <c r="D9760" s="38" t="n">
        <f aca="false">Sens!$D$9667</f>
        <v>5.935</v>
      </c>
      <c r="E9760" s="38" t="n">
        <f aca="false">Sens!$E$9667</f>
        <v>3.474</v>
      </c>
      <c r="F9760" s="38" t="n">
        <f aca="false">Sens!$F$9667</f>
        <v>3.22246550883619</v>
      </c>
      <c r="G9760" s="38" t="n">
        <f aca="false">Sens!$G$9667</f>
        <v>6.69646550883619</v>
      </c>
      <c r="H9760" s="38" t="n">
        <f aca="false">Sens!$H$9667</f>
        <v>7.16251344209196</v>
      </c>
      <c r="I9760" s="38" t="n">
        <f aca="false">Sens!$I$9667</f>
        <v>7.61421070299826</v>
      </c>
      <c r="J9760" s="38" t="n">
        <f aca="false">Sens!$J$9667</f>
        <v>8.04465753523932</v>
      </c>
      <c r="K9760" s="38" t="n">
        <f aca="false">Sens!$K$9667</f>
        <v>8.44689041200128</v>
      </c>
      <c r="L9760" s="38" t="n">
        <f aca="false">Sens!$L$9667</f>
        <v>8.86923493260135</v>
      </c>
      <c r="M9760" s="38" t="n">
        <f aca="false">Sens!$M$9667</f>
        <v>9.31269667923142</v>
      </c>
      <c r="N9760" s="38" t="n">
        <f aca="false">Sens!$N$9667</f>
        <v>2.811</v>
      </c>
      <c r="O9760" s="38" t="n">
        <f aca="false">Sens!$O$9667</f>
        <v>3.124</v>
      </c>
    </row>
    <row r="9761" customFormat="false" ht="17.15" hidden="false" customHeight="false" outlineLevel="0" collapsed="false">
      <c r="A9761" s="0" t="s">
        <v>728</v>
      </c>
      <c r="B9761" s="0" t="s">
        <v>86</v>
      </c>
      <c r="C9761" s="38" t="n">
        <f aca="false">Sens!$C$9742</f>
        <v>107.556</v>
      </c>
      <c r="D9761" s="38" t="n">
        <f aca="false">Sens!$D$9742</f>
        <v>128.725</v>
      </c>
      <c r="E9761" s="38" t="n">
        <f aca="false">Sens!$E$9742</f>
        <v>79.819</v>
      </c>
      <c r="F9761" s="38" t="n">
        <f aca="false">Sens!$F$9742</f>
        <v>86.7327334389669</v>
      </c>
      <c r="G9761" s="38" t="n">
        <f aca="false">Sens!$G$9742</f>
        <v>166.551733438967</v>
      </c>
      <c r="H9761" s="38" t="n">
        <f aca="false">Sens!$H$9742</f>
        <v>221.182967828978</v>
      </c>
      <c r="I9761" s="38" t="n">
        <f aca="false">Sens!$I$9742</f>
        <v>280.27345865789</v>
      </c>
      <c r="J9761" s="38" t="n">
        <f aca="false">Sens!$J$9742</f>
        <v>338.800945197185</v>
      </c>
      <c r="K9761" s="38" t="n">
        <f aca="false">Sens!$K$9742</f>
        <v>389.88570147276</v>
      </c>
      <c r="L9761" s="38" t="n">
        <f aca="false">Sens!$L$9742</f>
        <v>430.080689379143</v>
      </c>
      <c r="M9761" s="38" t="n">
        <f aca="false">Sens!$M$9742</f>
        <v>459.456235951751</v>
      </c>
      <c r="N9761" s="38" t="n">
        <f aca="false">Sens!$N$9742</f>
        <v>60.14</v>
      </c>
      <c r="O9761" s="38" t="n">
        <f aca="false">Sens!$O$9742</f>
        <v>68.585</v>
      </c>
    </row>
    <row r="9762" customFormat="false" ht="15" hidden="false" customHeight="false" outlineLevel="0" collapsed="false">
      <c r="A9762" s="1" t="s">
        <v>519</v>
      </c>
      <c r="B9762" s="8" t="s">
        <v>86</v>
      </c>
      <c r="C9762" s="38" t="n">
        <f aca="false">Sens!$C$9672</f>
        <v>387.497</v>
      </c>
      <c r="D9762" s="38" t="n">
        <f aca="false">Sens!$D$9672</f>
        <v>426.305</v>
      </c>
      <c r="E9762" s="38" t="n">
        <f aca="false">Sens!$E$9672</f>
        <v>220.32</v>
      </c>
      <c r="F9762" s="38" t="n">
        <f aca="false">Sens!$F$9672</f>
        <v>250.639773480586</v>
      </c>
      <c r="G9762" s="38" t="n">
        <f aca="false">Sens!$G$9672</f>
        <v>470.959773480586</v>
      </c>
      <c r="H9762" s="38" t="n">
        <f aca="false">Sens!$H$9672</f>
        <v>521.386990416437</v>
      </c>
      <c r="I9762" s="38" t="n">
        <f aca="false">Sens!$I$9672</f>
        <v>570.143862887555</v>
      </c>
      <c r="J9762" s="38" t="n">
        <f aca="false">Sens!$J$9672</f>
        <v>615.391435791933</v>
      </c>
      <c r="K9762" s="38" t="n">
        <f aca="false">Sens!$K$9672</f>
        <v>655.208227561543</v>
      </c>
      <c r="L9762" s="38" t="n">
        <f aca="false">Sens!$L$9672</f>
        <v>697.807739249767</v>
      </c>
      <c r="M9762" s="38" t="n">
        <f aca="false">Sens!$M$9672</f>
        <v>743.399328463592</v>
      </c>
      <c r="N9762" s="38" t="n">
        <f aca="false">Sens!$N$9672</f>
        <v>192.955</v>
      </c>
      <c r="O9762" s="38" t="n">
        <f aca="false">Sens!$O$9672</f>
        <v>233.35</v>
      </c>
    </row>
    <row r="9763" customFormat="false" ht="15" hidden="false" customHeight="false" outlineLevel="0" collapsed="false">
      <c r="A9763" s="1" t="s">
        <v>522</v>
      </c>
      <c r="B9763" s="8" t="s">
        <v>86</v>
      </c>
      <c r="C9763" s="38" t="n">
        <f aca="false">Sens!$C$9673</f>
        <v>142.906</v>
      </c>
      <c r="D9763" s="38" t="n">
        <f aca="false">Sens!$D$9673</f>
        <v>161.894</v>
      </c>
      <c r="E9763" s="38" t="n">
        <f aca="false">Sens!$E$9673</f>
        <v>81.986</v>
      </c>
      <c r="F9763" s="38" t="n">
        <f aca="false">Sens!$F$9673</f>
        <v>98.408468164951</v>
      </c>
      <c r="G9763" s="38" t="n">
        <f aca="false">Sens!$G$9673</f>
        <v>180.394468164951</v>
      </c>
      <c r="H9763" s="38" t="n">
        <f aca="false">Sens!$H$9673</f>
        <v>199.709899104949</v>
      </c>
      <c r="I9763" s="38" t="n">
        <f aca="false">Sens!$I$9673</f>
        <v>218.385528264976</v>
      </c>
      <c r="J9763" s="38" t="n">
        <f aca="false">Sens!$J$9673</f>
        <v>235.71696994951</v>
      </c>
      <c r="K9763" s="38" t="n">
        <f aca="false">Sens!$K$9673</f>
        <v>250.968227869545</v>
      </c>
      <c r="L9763" s="38" t="n">
        <f aca="false">Sens!$L$9673</f>
        <v>267.285367225822</v>
      </c>
      <c r="M9763" s="38" t="n">
        <f aca="false">Sens!$M$9673</f>
        <v>284.748579483295</v>
      </c>
      <c r="N9763" s="38" t="n">
        <f aca="false">Sens!$N$9673</f>
        <v>70.274</v>
      </c>
      <c r="O9763" s="38" t="n">
        <f aca="false">Sens!$O$9673</f>
        <v>91.62</v>
      </c>
    </row>
    <row r="9764" customFormat="false" ht="15" hidden="false" customHeight="false" outlineLevel="0" collapsed="false">
      <c r="A9764" s="1" t="s">
        <v>523</v>
      </c>
      <c r="B9764" s="8" t="s">
        <v>86</v>
      </c>
      <c r="C9764" s="38" t="n">
        <f aca="false">Sens!$C$9742</f>
        <v>107.556</v>
      </c>
      <c r="D9764" s="38" t="n">
        <f aca="false">Sens!$D$9742</f>
        <v>128.725</v>
      </c>
      <c r="E9764" s="38" t="n">
        <f aca="false">Sens!$E$9742</f>
        <v>79.819</v>
      </c>
      <c r="F9764" s="38" t="n">
        <f aca="false">Sens!$F$9742</f>
        <v>86.7327334389669</v>
      </c>
      <c r="G9764" s="38" t="n">
        <f aca="false">Sens!$G$9742</f>
        <v>166.551733438967</v>
      </c>
      <c r="H9764" s="38" t="n">
        <f aca="false">Sens!$H$9742</f>
        <v>221.182967828978</v>
      </c>
      <c r="I9764" s="38" t="n">
        <f aca="false">Sens!$I$9742</f>
        <v>280.27345865789</v>
      </c>
      <c r="J9764" s="38" t="n">
        <f aca="false">Sens!$J$9742</f>
        <v>338.800945197185</v>
      </c>
      <c r="K9764" s="38" t="n">
        <f aca="false">Sens!$K$9742</f>
        <v>389.88570147276</v>
      </c>
      <c r="L9764" s="38" t="n">
        <f aca="false">Sens!$L$9742</f>
        <v>430.080689379143</v>
      </c>
      <c r="M9764" s="38" t="n">
        <f aca="false">Sens!$M$9742</f>
        <v>459.456235951751</v>
      </c>
      <c r="N9764" s="38" t="n">
        <f aca="false">Sens!$N$9742</f>
        <v>60.14</v>
      </c>
      <c r="O9764" s="38" t="n">
        <f aca="false">Sens!$O$9742</f>
        <v>68.585</v>
      </c>
    </row>
    <row r="9765" customFormat="false" ht="17.15" hidden="false" customHeight="false" outlineLevel="0" collapsed="false">
      <c r="A9765" s="0" t="s">
        <v>702</v>
      </c>
      <c r="B9765" s="0" t="s">
        <v>86</v>
      </c>
      <c r="C9765" s="38" t="n">
        <f aca="false">Sens!$C$9740</f>
        <v>2.32100535697364</v>
      </c>
      <c r="D9765" s="38" t="n">
        <f aca="false">Sens!$D$9740</f>
        <v>8.70377008865116</v>
      </c>
      <c r="E9765" s="38" t="n">
        <f aca="false">Sens!$E$9740</f>
        <v>8.51035297557002</v>
      </c>
      <c r="F9765" s="38" t="n">
        <f aca="false">Sens!$F$9740</f>
        <v>14.9634336447205</v>
      </c>
      <c r="G9765" s="38" t="n">
        <f aca="false">Sens!$G$9740</f>
        <v>23.4737866202905</v>
      </c>
      <c r="H9765" s="38" t="n">
        <f aca="false">Sens!$H$9740</f>
        <v>60.1658907497746</v>
      </c>
      <c r="I9765" s="38" t="n">
        <f aca="false">Sens!$I$9740</f>
        <v>101.503699136432</v>
      </c>
      <c r="J9765" s="38" t="n">
        <f aca="false">Sens!$J$9740</f>
        <v>143.025407151278</v>
      </c>
      <c r="K9765" s="38" t="n">
        <f aca="false">Sens!$K$9740</f>
        <v>178.44812038318</v>
      </c>
      <c r="L9765" s="38" t="n">
        <f aca="false">Sens!$L$9740</f>
        <v>201.728101802396</v>
      </c>
      <c r="M9765" s="38" t="n">
        <f aca="false">Sens!$M$9740</f>
        <v>212.835441368865</v>
      </c>
      <c r="N9765" s="38" t="n">
        <f aca="false">Sens!$N$9740</f>
        <v>3.04631953102791</v>
      </c>
      <c r="O9765" s="38" t="n">
        <f aca="false">Sens!$O$9740</f>
        <v>5.65745055762326</v>
      </c>
    </row>
    <row r="9766" customFormat="false" ht="17.15" hidden="false" customHeight="false" outlineLevel="0" collapsed="false">
      <c r="A9766" s="0" t="s">
        <v>704</v>
      </c>
      <c r="B9766" s="0" t="s">
        <v>86</v>
      </c>
      <c r="C9766" s="38" t="n">
        <f aca="false">Sens!$C$9741</f>
        <v>105.234994643026</v>
      </c>
      <c r="D9766" s="38" t="n">
        <f aca="false">Sens!$D$9741</f>
        <v>120.021229911349</v>
      </c>
      <c r="E9766" s="38" t="n">
        <f aca="false">Sens!$E$9741</f>
        <v>71.30864702443</v>
      </c>
      <c r="F9766" s="38" t="n">
        <f aca="false">Sens!$F$9741</f>
        <v>71.7692997942464</v>
      </c>
      <c r="G9766" s="38" t="n">
        <f aca="false">Sens!$G$9741</f>
        <v>143.077946818676</v>
      </c>
      <c r="H9766" s="38" t="n">
        <f aca="false">Sens!$H$9741</f>
        <v>161.017077079203</v>
      </c>
      <c r="I9766" s="38" t="n">
        <f aca="false">Sens!$I$9741</f>
        <v>178.769759521457</v>
      </c>
      <c r="J9766" s="38" t="n">
        <f aca="false">Sens!$J$9741</f>
        <v>195.775538045907</v>
      </c>
      <c r="K9766" s="38" t="n">
        <f aca="false">Sens!$K$9741</f>
        <v>211.43758108958</v>
      </c>
      <c r="L9766" s="38" t="n">
        <f aca="false">Sens!$L$9741</f>
        <v>228.352587576746</v>
      </c>
      <c r="M9766" s="38" t="n">
        <f aca="false">Sens!$M$9741</f>
        <v>246.620794582886</v>
      </c>
      <c r="N9766" s="38" t="n">
        <f aca="false">Sens!$N$9741</f>
        <v>57.0936804689721</v>
      </c>
      <c r="O9766" s="38" t="n">
        <f aca="false">Sens!$O$9741</f>
        <v>62.9275494423768</v>
      </c>
    </row>
    <row r="9767" customFormat="false" ht="15" hidden="false" customHeight="false" outlineLevel="0" collapsed="false">
      <c r="A9767" s="3" t="s">
        <v>524</v>
      </c>
      <c r="B9767" s="8" t="s">
        <v>86</v>
      </c>
      <c r="C9767" s="38" t="n">
        <f aca="false">Sens!$C$9743</f>
        <v>637.959</v>
      </c>
      <c r="D9767" s="38" t="n">
        <f aca="false">Sens!$D$9743</f>
        <v>716.924</v>
      </c>
      <c r="E9767" s="38" t="n">
        <f aca="false">Sens!$E$9743</f>
        <v>382.125</v>
      </c>
      <c r="F9767" s="38" t="n">
        <f aca="false">Sens!$F$9743</f>
        <v>435.780975084504</v>
      </c>
      <c r="G9767" s="38" t="n">
        <f aca="false">Sens!$G$9743</f>
        <v>817.905975084504</v>
      </c>
      <c r="H9767" s="38" t="n">
        <f aca="false">Sens!$H$9743</f>
        <v>942.279857350364</v>
      </c>
      <c r="I9767" s="38" t="n">
        <f aca="false">Sens!$I$9743</f>
        <v>1068.80284981042</v>
      </c>
      <c r="J9767" s="38" t="n">
        <f aca="false">Sens!$J$9743</f>
        <v>1189.90935093863</v>
      </c>
      <c r="K9767" s="38" t="n">
        <f aca="false">Sens!$K$9743</f>
        <v>1296.06215690385</v>
      </c>
      <c r="L9767" s="38" t="n">
        <f aca="false">Sens!$L$9743</f>
        <v>1395.17379585473</v>
      </c>
      <c r="M9767" s="38" t="n">
        <f aca="false">Sens!$M$9743</f>
        <v>1487.60414389864</v>
      </c>
      <c r="N9767" s="38" t="n">
        <f aca="false">Sens!$N$9743</f>
        <v>323.369</v>
      </c>
      <c r="O9767" s="38" t="n">
        <f aca="false">Sens!$O$9743</f>
        <v>393.555</v>
      </c>
    </row>
    <row r="9768" customFormat="false" ht="17.15" hidden="false" customHeight="false" outlineLevel="0" collapsed="false">
      <c r="A9768" s="24" t="s">
        <v>714</v>
      </c>
      <c r="B9768" s="25" t="s">
        <v>86</v>
      </c>
      <c r="C9768" s="41" t="n">
        <f aca="false">Sens!$C$9755+Sens!$C$9756+Sens!$C$9757+Sens!$C$9758+Sens!$C$9759+Sens!$C$9760-(Sens!$C$9762+Sens!$C$9763)</f>
        <v>0</v>
      </c>
      <c r="D9768" s="41" t="n">
        <f aca="false">Sens!$D$9755+Sens!$D$9756+Sens!$D$9757+Sens!$D$9758+Sens!$D$9759+Sens!$D$9760-(Sens!$D$9762+Sens!$D$9763)</f>
        <v>0</v>
      </c>
      <c r="E9768" s="41" t="n">
        <f aca="false">Sens!$E$9755+Sens!$E$9756+Sens!$E$9757+Sens!$E$9758+Sens!$E$9759+Sens!$E$9760-(Sens!$E$9762+Sens!$E$9763)</f>
        <v>0</v>
      </c>
      <c r="F9768" s="41" t="n">
        <f aca="false">Sens!$F$9755+Sens!$F$9756+Sens!$F$9757+Sens!$F$9758+Sens!$F$9759+Sens!$F$9760-(Sens!$F$9762+Sens!$F$9763)</f>
        <v>0</v>
      </c>
      <c r="G9768" s="41" t="n">
        <f aca="false">Sens!$G$9755+Sens!$G$9756+Sens!$G$9757+Sens!$G$9758+Sens!$G$9759+Sens!$G$9760-(Sens!$G$9762+Sens!$G$9763)</f>
        <v>0</v>
      </c>
      <c r="H9768" s="41" t="n">
        <f aca="false">Sens!$H$9755+Sens!$H$9756+Sens!$H$9757+Sens!$H$9758+Sens!$H$9759+Sens!$H$9760-(Sens!$H$9762+Sens!$H$9763)</f>
        <v>0</v>
      </c>
      <c r="I9768" s="41" t="n">
        <f aca="false">Sens!$I$9755+Sens!$I$9756+Sens!$I$9757+Sens!$I$9758+Sens!$I$9759+Sens!$I$9760-(Sens!$I$9762+Sens!$I$9763)</f>
        <v>0</v>
      </c>
      <c r="J9768" s="41" t="n">
        <f aca="false">Sens!$J$9755+Sens!$J$9756+Sens!$J$9757+Sens!$J$9758+Sens!$J$9759+Sens!$J$9760-(Sens!$J$9762+Sens!$J$9763)</f>
        <v>0</v>
      </c>
      <c r="K9768" s="41" t="n">
        <f aca="false">Sens!$K$9755+Sens!$K$9756+Sens!$K$9757+Sens!$K$9758+Sens!$K$9759+Sens!$K$9760-(Sens!$K$9762+Sens!$K$9763)</f>
        <v>0</v>
      </c>
      <c r="L9768" s="41" t="n">
        <f aca="false">Sens!$L$9755+Sens!$L$9756+Sens!$L$9757+Sens!$L$9758+Sens!$L$9759+Sens!$L$9760-(Sens!$L$9762+Sens!$L$9763)</f>
        <v>0</v>
      </c>
      <c r="M9768" s="41" t="n">
        <f aca="false">Sens!$M$9755+Sens!$M$9756+Sens!$M$9757+Sens!$M$9758+Sens!$M$9759+Sens!$M$9760-(Sens!$M$9762+Sens!$M$9763)</f>
        <v>0</v>
      </c>
      <c r="N9768" s="41" t="n">
        <f aca="false">Sens!$N$9755+Sens!$N$9756+Sens!$N$9757+Sens!$N$9758+Sens!$N$9759+Sens!$N$9760-(Sens!$N$9762+Sens!$N$9763)</f>
        <v>0</v>
      </c>
      <c r="O9768" s="41" t="n">
        <f aca="false">Sens!$O$9755+Sens!$O$9756+Sens!$O$9757+Sens!$O$9758+Sens!$O$9759+Sens!$O$9760-(Sens!$O$9762+Sens!$O$9763)</f>
        <v>0</v>
      </c>
    </row>
    <row r="9769" customFormat="false" ht="17.15" hidden="false" customHeight="false" outlineLevel="0" collapsed="false">
      <c r="A9769" s="24" t="s">
        <v>715</v>
      </c>
      <c r="B9769" s="25" t="s">
        <v>86</v>
      </c>
      <c r="C9769" s="41" t="n">
        <f aca="false">Sens!$C$9765+Sens!$C$9766-Sens!$C$9764</f>
        <v>0</v>
      </c>
      <c r="D9769" s="41" t="n">
        <f aca="false">Sens!$D$9765+Sens!$D$9766-Sens!$D$9764</f>
        <v>0</v>
      </c>
      <c r="E9769" s="41" t="n">
        <f aca="false">Sens!$E$9765+Sens!$E$9766-Sens!$E$9764</f>
        <v>0</v>
      </c>
      <c r="F9769" s="41" t="n">
        <f aca="false">Sens!$F$9765+Sens!$F$9766-Sens!$F$9764</f>
        <v>0</v>
      </c>
      <c r="G9769" s="41" t="n">
        <f aca="false">Sens!$G$9765+Sens!$G$9766-Sens!$G$9764</f>
        <v>0</v>
      </c>
      <c r="H9769" s="41" t="n">
        <f aca="false">Sens!$H$9765+Sens!$H$9766-Sens!$H$9764</f>
        <v>0</v>
      </c>
      <c r="I9769" s="41" t="n">
        <f aca="false">Sens!$I$9765+Sens!$I$9766-Sens!$I$9764</f>
        <v>0</v>
      </c>
      <c r="J9769" s="41" t="n">
        <f aca="false">Sens!$J$9765+Sens!$J$9766-Sens!$J$9764</f>
        <v>0</v>
      </c>
      <c r="K9769" s="41" t="n">
        <f aca="false">Sens!$K$9765+Sens!$K$9766-Sens!$K$9764</f>
        <v>0</v>
      </c>
      <c r="L9769" s="41" t="n">
        <f aca="false">Sens!$L$9765+Sens!$L$9766-Sens!$L$9764</f>
        <v>0</v>
      </c>
      <c r="M9769" s="41" t="n">
        <f aca="false">Sens!$M$9765+Sens!$M$9766-Sens!$M$9764</f>
        <v>0</v>
      </c>
      <c r="N9769" s="41" t="n">
        <f aca="false">Sens!$N$9765+Sens!$N$9766-Sens!$N$9764</f>
        <v>0</v>
      </c>
      <c r="O9769" s="41" t="n">
        <f aca="false">Sens!$O$9765+Sens!$O$9766-Sens!$O$9764</f>
        <v>0</v>
      </c>
    </row>
    <row r="9770" customFormat="false" ht="17.15" hidden="false" customHeight="false" outlineLevel="0" collapsed="false">
      <c r="A9770" s="24" t="s">
        <v>774</v>
      </c>
      <c r="B9770" s="25" t="s">
        <v>86</v>
      </c>
      <c r="C9770" s="41" t="n">
        <f aca="false">Sens!$C$9755+Sens!$C$9756+Sens!$C$9757+Sens!$C$9758+Sens!$C$9759+Sens!$C$9760+Sens!$C$9761-Sens!$C$9767</f>
        <v>0</v>
      </c>
      <c r="D9770" s="41" t="n">
        <f aca="false">Sens!$D$9755+Sens!$D$9756+Sens!$D$9757+Sens!$D$9758+Sens!$D$9759+Sens!$D$9760+Sens!$D$9761-Sens!$D$9767</f>
        <v>0</v>
      </c>
      <c r="E9770" s="41" t="n">
        <f aca="false">Sens!$E$9755+Sens!$E$9756+Sens!$E$9757+Sens!$E$9758+Sens!$E$9759+Sens!$E$9760+Sens!$E$9761-Sens!$E$9767</f>
        <v>0</v>
      </c>
      <c r="F9770" s="41" t="n">
        <f aca="false">Sens!$F$9755+Sens!$F$9756+Sens!$F$9757+Sens!$F$9758+Sens!$F$9759+Sens!$F$9760+Sens!$F$9761-Sens!$F$9767</f>
        <v>0</v>
      </c>
      <c r="G9770" s="41" t="n">
        <f aca="false">Sens!$G$9755+Sens!$G$9756+Sens!$G$9757+Sens!$G$9758+Sens!$G$9759+Sens!$G$9760+Sens!$G$9761-Sens!$G$9767</f>
        <v>0</v>
      </c>
      <c r="H9770" s="41" t="n">
        <f aca="false">Sens!$H$9755+Sens!$H$9756+Sens!$H$9757+Sens!$H$9758+Sens!$H$9759+Sens!$H$9760+Sens!$H$9761-Sens!$H$9767</f>
        <v>0</v>
      </c>
      <c r="I9770" s="41" t="n">
        <f aca="false">Sens!$I$9755+Sens!$I$9756+Sens!$I$9757+Sens!$I$9758+Sens!$I$9759+Sens!$I$9760+Sens!$I$9761-Sens!$I$9767</f>
        <v>0</v>
      </c>
      <c r="J9770" s="41" t="n">
        <f aca="false">Sens!$J$9755+Sens!$J$9756+Sens!$J$9757+Sens!$J$9758+Sens!$J$9759+Sens!$J$9760+Sens!$J$9761-Sens!$J$9767</f>
        <v>0</v>
      </c>
      <c r="K9770" s="41" t="n">
        <f aca="false">Sens!$K$9755+Sens!$K$9756+Sens!$K$9757+Sens!$K$9758+Sens!$K$9759+Sens!$K$9760+Sens!$K$9761-Sens!$K$9767</f>
        <v>0</v>
      </c>
      <c r="L9770" s="41" t="n">
        <f aca="false">Sens!$L$9755+Sens!$L$9756+Sens!$L$9757+Sens!$L$9758+Sens!$L$9759+Sens!$L$9760+Sens!$L$9761-Sens!$L$9767</f>
        <v>0</v>
      </c>
      <c r="M9770" s="41" t="n">
        <f aca="false">Sens!$M$9755+Sens!$M$9756+Sens!$M$9757+Sens!$M$9758+Sens!$M$9759+Sens!$M$9760+Sens!$M$9761-Sens!$M$9767</f>
        <v>0</v>
      </c>
      <c r="N9770" s="41" t="n">
        <f aca="false">Sens!$N$9755+Sens!$N$9756+Sens!$N$9757+Sens!$N$9758+Sens!$N$9759+Sens!$N$9760+Sens!$N$9761-Sens!$N$9767</f>
        <v>0</v>
      </c>
      <c r="O9770" s="41" t="n">
        <f aca="false">Sens!$O$9755+Sens!$O$9756+Sens!$O$9757+Sens!$O$9758+Sens!$O$9759+Sens!$O$9760+Sens!$O$9761-Sens!$O$9767</f>
        <v>0</v>
      </c>
    </row>
    <row r="9771" customFormat="false" ht="17.15" hidden="false" customHeight="false" outlineLevel="0" collapsed="false">
      <c r="A9771" s="24" t="s">
        <v>716</v>
      </c>
      <c r="B9771" s="25" t="s">
        <v>86</v>
      </c>
      <c r="C9771" s="41" t="n">
        <f aca="false">Sens!$C$9762+Sens!$C$9763+Sens!$C$9764-Sens!$C$9767</f>
        <v>0</v>
      </c>
      <c r="D9771" s="41" t="n">
        <f aca="false">Sens!$D$9762+Sens!$D$9763+Sens!$D$9764-Sens!$D$9767</f>
        <v>0</v>
      </c>
      <c r="E9771" s="41" t="n">
        <f aca="false">Sens!$E$9762+Sens!$E$9763+Sens!$E$9764-Sens!$E$9767</f>
        <v>0</v>
      </c>
      <c r="F9771" s="41" t="n">
        <f aca="false">Sens!$F$9762+Sens!$F$9763+Sens!$F$9764-Sens!$F$9767</f>
        <v>0</v>
      </c>
      <c r="G9771" s="41" t="n">
        <f aca="false">Sens!$G$9762+Sens!$G$9763+Sens!$G$9764-Sens!$G$9767</f>
        <v>0</v>
      </c>
      <c r="H9771" s="41" t="n">
        <f aca="false">Sens!$H$9762+Sens!$H$9763+Sens!$H$9764-Sens!$H$9767</f>
        <v>0</v>
      </c>
      <c r="I9771" s="41" t="n">
        <f aca="false">Sens!$I$9762+Sens!$I$9763+Sens!$I$9764-Sens!$I$9767</f>
        <v>0</v>
      </c>
      <c r="J9771" s="41" t="n">
        <f aca="false">Sens!$J$9762+Sens!$J$9763+Sens!$J$9764-Sens!$J$9767</f>
        <v>0</v>
      </c>
      <c r="K9771" s="41" t="n">
        <f aca="false">Sens!$K$9762+Sens!$K$9763+Sens!$K$9764-Sens!$K$9767</f>
        <v>0</v>
      </c>
      <c r="L9771" s="41" t="n">
        <f aca="false">Sens!$L$9762+Sens!$L$9763+Sens!$L$9764-Sens!$L$9767</f>
        <v>0</v>
      </c>
      <c r="M9771" s="41" t="n">
        <f aca="false">Sens!$M$9762+Sens!$M$9763+Sens!$M$9764-Sens!$M$9767</f>
        <v>0</v>
      </c>
      <c r="N9771" s="41" t="n">
        <f aca="false">Sens!$N$9762+Sens!$N$9763+Sens!$N$9764-Sens!$N$9767</f>
        <v>0</v>
      </c>
      <c r="O9771" s="41" t="n">
        <f aca="false">Sens!$O$9762+Sens!$O$9763+Sens!$O$9764-Sens!$O$9767</f>
        <v>0</v>
      </c>
    </row>
    <row r="9772" customFormat="false" ht="17.15" hidden="false" customHeight="false" outlineLevel="0" collapsed="false">
      <c r="A9772" s="1" t="s">
        <v>730</v>
      </c>
    </row>
    <row r="9773" customFormat="false" ht="17.15" hidden="false" customHeight="false" outlineLevel="0" collapsed="false">
      <c r="A9773" s="0" t="s">
        <v>731</v>
      </c>
      <c r="B9773" s="0" t="s">
        <v>86</v>
      </c>
      <c r="C9773" s="38" t="n">
        <f aca="false">Sens!$C$9674*m_ad</f>
        <v>20.5341564414228</v>
      </c>
      <c r="D9773" s="38" t="n">
        <f aca="false">Sens!$D$9674*m_ad</f>
        <v>24.8720617299587</v>
      </c>
      <c r="E9773" s="38" t="n">
        <f aca="false">Sens!$E$9674*m_ad</f>
        <v>13.5017112462207</v>
      </c>
      <c r="F9773" s="38" t="n">
        <f aca="false">Sens!$F$9674*m_ad</f>
        <v>16.5719724165257</v>
      </c>
      <c r="G9773" s="38" t="n">
        <f aca="false">Sens!$G$9674*m_ad</f>
        <v>30.0820919220415</v>
      </c>
      <c r="H9773" s="38" t="n">
        <f aca="false">Sens!$H$9674*m_ad</f>
        <v>36.1150883276314</v>
      </c>
      <c r="I9773" s="38" t="n">
        <f aca="false">Sens!$I$9674*m_ad</f>
        <v>42.1475382231996</v>
      </c>
      <c r="J9773" s="38" t="n">
        <f aca="false">Sens!$J$9674*m_ad</f>
        <v>47.7749523864693</v>
      </c>
      <c r="K9773" s="38" t="n">
        <f aca="false">Sens!$K$9674*m_ad</f>
        <v>52.5524476251162</v>
      </c>
      <c r="L9773" s="38" t="n">
        <f aca="false">Sens!$L$9674*m_ad</f>
        <v>57.8076923876279</v>
      </c>
      <c r="M9773" s="38" t="n">
        <f aca="false">Sens!$M$9674*m_ad</f>
        <v>63.5884616263907</v>
      </c>
      <c r="N9773" s="38" t="n">
        <f aca="false">Sens!$N$9674*m_ad</f>
        <v>10.8543555706248</v>
      </c>
      <c r="O9773" s="38" t="n">
        <f aca="false">Sens!$O$9674*m_ad</f>
        <v>14.0094731821399</v>
      </c>
    </row>
    <row r="9774" customFormat="false" ht="17.15" hidden="false" customHeight="false" outlineLevel="0" collapsed="false">
      <c r="A9774" s="0" t="s">
        <v>732</v>
      </c>
      <c r="B9774" s="0" t="s">
        <v>86</v>
      </c>
      <c r="C9774" s="38" t="n">
        <f aca="false">Sens!$C$9672-Sens!$C$9674</f>
        <v>346.428687117154</v>
      </c>
      <c r="D9774" s="38" t="n">
        <f aca="false">Sens!$D$9672-Sens!$D$9674</f>
        <v>376.560876540083</v>
      </c>
      <c r="E9774" s="38" t="n">
        <f aca="false">Sens!$E$9672-Sens!$E$9674</f>
        <v>193.316577507559</v>
      </c>
      <c r="F9774" s="38" t="n">
        <f aca="false">Sens!$F$9672-Sens!$F$9674</f>
        <v>217.495828647535</v>
      </c>
      <c r="G9774" s="38" t="n">
        <f aca="false">Sens!$G$9672-Sens!$G$9674</f>
        <v>410.795589636503</v>
      </c>
      <c r="H9774" s="38" t="n">
        <f aca="false">Sens!$H$9672-Sens!$H$9674</f>
        <v>449.156813761174</v>
      </c>
      <c r="I9774" s="38" t="n">
        <f aca="false">Sens!$I$9672-Sens!$I$9674</f>
        <v>485.848786441156</v>
      </c>
      <c r="J9774" s="38" t="n">
        <f aca="false">Sens!$J$9672-Sens!$J$9674</f>
        <v>519.841531018994</v>
      </c>
      <c r="K9774" s="38" t="n">
        <f aca="false">Sens!$K$9672-Sens!$K$9674</f>
        <v>550.103332311311</v>
      </c>
      <c r="L9774" s="38" t="n">
        <f aca="false">Sens!$L$9672-Sens!$L$9674</f>
        <v>582.192354474511</v>
      </c>
      <c r="M9774" s="38" t="n">
        <f aca="false">Sens!$M$9672-Sens!$M$9674</f>
        <v>616.22240521081</v>
      </c>
      <c r="N9774" s="38" t="n">
        <f aca="false">Sens!$N$9672-Sens!$N$9674</f>
        <v>171.24628885875</v>
      </c>
      <c r="O9774" s="38" t="n">
        <f aca="false">Sens!$O$9672-Sens!$O$9674</f>
        <v>205.33105363572</v>
      </c>
    </row>
    <row r="9775" customFormat="false" ht="17.15" hidden="false" customHeight="false" outlineLevel="0" collapsed="false">
      <c r="A9775" s="0" t="s">
        <v>733</v>
      </c>
      <c r="B9775" s="0" t="s">
        <v>86</v>
      </c>
      <c r="C9775" s="38" t="n">
        <f aca="false">Sens!$C$9726*Sens!$C$9671</f>
        <v>0.123617442257179</v>
      </c>
      <c r="D9775" s="38" t="n">
        <f aca="false">Sens!$D$9726*Sens!$D$9671</f>
        <v>0.600198046024689</v>
      </c>
      <c r="E9775" s="38" t="n">
        <f aca="false">Sens!$E$9726*Sens!$E$9671</f>
        <v>1.10840000750276</v>
      </c>
      <c r="F9775" s="38" t="n">
        <f aca="false">Sens!$F$9726*Sens!$F$9671</f>
        <v>1.33595298721025</v>
      </c>
      <c r="G9775" s="38" t="n">
        <f aca="false">Sens!$G$9726*Sens!$G$9671</f>
        <v>2.44487335052545</v>
      </c>
      <c r="H9775" s="38" t="n">
        <f aca="false">Sens!$H$9726*Sens!$H$9671</f>
        <v>6.63132711939388</v>
      </c>
      <c r="I9775" s="38" t="n">
        <f aca="false">Sens!$I$9726*Sens!$I$9671</f>
        <v>12.7486799258504</v>
      </c>
      <c r="J9775" s="38" t="n">
        <f aca="false">Sens!$J$9726*Sens!$J$9671</f>
        <v>18.4074045299415</v>
      </c>
      <c r="K9775" s="38" t="n">
        <f aca="false">Sens!$K$9726*Sens!$K$9671</f>
        <v>23.9455472348705</v>
      </c>
      <c r="L9775" s="38" t="n">
        <f aca="false">Sens!$L$9726*Sens!$L$9671</f>
        <v>27.78179156216</v>
      </c>
      <c r="M9775" s="38" t="n">
        <f aca="false">Sens!$M$9726*Sens!$M$9671</f>
        <v>29.9029027327362</v>
      </c>
      <c r="N9775" s="38" t="n">
        <f aca="false">Sens!$N$9726*Sens!$N$9671</f>
        <v>0.25053229484398</v>
      </c>
      <c r="O9775" s="38" t="n">
        <f aca="false">Sens!$O$9726*Sens!$O$9671</f>
        <v>0.349234376756897</v>
      </c>
    </row>
    <row r="9776" customFormat="false" ht="17.15" hidden="false" customHeight="false" outlineLevel="0" collapsed="false">
      <c r="A9776" s="0" t="s">
        <v>734</v>
      </c>
      <c r="B9776" s="0" t="s">
        <v>52</v>
      </c>
      <c r="C9776" s="28" t="n">
        <f aca="false">(Sens!$C$9777-Sens!$C$9773+Sens!$C$9775)/Sens!$C$9774</f>
        <v>0.0131526665379575</v>
      </c>
      <c r="D9776" s="28" t="n">
        <f aca="false">(Sens!$D$9777-Sens!$D$9773+Sens!$D$9775)/Sens!$D$9774</f>
        <v>0.0141999252954702</v>
      </c>
      <c r="E9776" s="28" t="n">
        <f aca="false">(Sens!$E$9777-Sens!$E$9773+Sens!$E$9775)/Sens!$E$9774</f>
        <v>0.0258471819939326</v>
      </c>
      <c r="F9776" s="28" t="n">
        <f aca="false">Sens!$O$9776+(Sens!$E$9776-Sens!$N$9776)</f>
        <v>0.0224302350712874</v>
      </c>
      <c r="G9776" s="28" t="n">
        <f aca="false">(Sens!$G$9777-Sens!$G$9773+Sens!$G$9775)/Sens!$G$9774</f>
        <v>0.0240199351461372</v>
      </c>
      <c r="H9776" s="28" t="n">
        <f aca="false">Sens!$G$9776+step_na</f>
        <v>0.0270199351461372</v>
      </c>
      <c r="I9776" s="28" t="n">
        <f aca="false">Sens!$H$9776+step_na</f>
        <v>0.0300199351461372</v>
      </c>
      <c r="J9776" s="28" t="n">
        <f aca="false">Sens!$I$9776+step_na</f>
        <v>0.0330199351461372</v>
      </c>
      <c r="K9776" s="28" t="n">
        <f aca="false">Sens!$J$9776+step_na</f>
        <v>0.0360199351461372</v>
      </c>
      <c r="L9776" s="28" t="n">
        <f aca="false">Sens!$K$9776</f>
        <v>0.0360199351461372</v>
      </c>
      <c r="M9776" s="28" t="n">
        <f aca="false">Sens!$L$9776</f>
        <v>0.0360199351461372</v>
      </c>
      <c r="N9776" s="28" t="n">
        <f aca="false">(Sens!$N$9777-Sens!$N$9773+Sens!$N$9775)/Sens!$N$9774</f>
        <v>0.0160831323269779</v>
      </c>
      <c r="O9776" s="28" t="n">
        <f aca="false">(Sens!$O$9777-Sens!$O$9773+Sens!$O$9775)/Sens!$O$9774</f>
        <v>0.0126661854043327</v>
      </c>
      <c r="P9776" s="8" t="s">
        <v>735</v>
      </c>
    </row>
    <row r="9777" customFormat="false" ht="17.15" hidden="false" customHeight="false" outlineLevel="0" collapsed="false">
      <c r="A9777" s="1" t="s">
        <v>736</v>
      </c>
      <c r="B9777" s="8" t="s">
        <v>86</v>
      </c>
      <c r="C9777" s="38" t="n">
        <f aca="false">Q!$D$22</f>
        <v>24.967</v>
      </c>
      <c r="D9777" s="38" t="n">
        <f aca="false">Q!$E$22</f>
        <v>29.619</v>
      </c>
      <c r="E9777" s="38" t="n">
        <f aca="false">Q!$P$22</f>
        <v>17.39</v>
      </c>
      <c r="F9777" s="38" t="n">
        <f aca="false">Sens!$F$9773+Sens!$F$9774*Sens!$F$9776-Sens!$F$9775</f>
        <v>20.1145019929041</v>
      </c>
      <c r="G9777" s="38" t="n">
        <f aca="false">Sens!$E$9777+Sens!$F$9777</f>
        <v>37.5045019929041</v>
      </c>
      <c r="H9777" s="38" t="n">
        <f aca="false">Sens!$H$9773+Sens!$H$9774*Sens!$H$9776-Sens!$H$9775</f>
        <v>41.6199491865101</v>
      </c>
      <c r="I9777" s="38" t="n">
        <f aca="false">Sens!$I$9773+Sens!$I$9774*Sens!$I$9776-Sens!$I$9775</f>
        <v>43.9840073571422</v>
      </c>
      <c r="J9777" s="38" t="n">
        <f aca="false">Sens!$J$9773+Sens!$J$9774*Sens!$J$9776-Sens!$J$9775</f>
        <v>46.5326814970436</v>
      </c>
      <c r="K9777" s="38" t="n">
        <f aca="false">Sens!$K$9773+Sens!$K$9774*Sens!$K$9776-Sens!$K$9775</f>
        <v>48.4215867437731</v>
      </c>
      <c r="L9777" s="38" t="n">
        <f aca="false">Sens!$L$9773+Sens!$L$9774*Sens!$L$9776-Sens!$L$9775</f>
        <v>50.9964316762167</v>
      </c>
      <c r="M9777" s="38" t="n">
        <f aca="false">Sens!$M$9773+Sens!$M$9774*Sens!$M$9776-Sens!$M$9775</f>
        <v>55.8818499649445</v>
      </c>
      <c r="N9777" s="38" t="n">
        <f aca="false">Q!$N$22</f>
        <v>13.358</v>
      </c>
      <c r="O9777" s="38" t="n">
        <f aca="false">Q!$O$22</f>
        <v>16.261</v>
      </c>
    </row>
    <row r="9778" customFormat="false" ht="17.15" hidden="false" customHeight="false" outlineLevel="0" collapsed="false">
      <c r="A9778" s="0" t="s">
        <v>737</v>
      </c>
      <c r="B9778" s="0" t="s">
        <v>86</v>
      </c>
      <c r="C9778" s="38" t="n">
        <f aca="false">Sens!$C$9675*m_ad</f>
        <v>7.57284355857716</v>
      </c>
      <c r="D9778" s="38" t="n">
        <f aca="false">Sens!$D$9675*m_ad</f>
        <v>9.44543827004127</v>
      </c>
      <c r="E9778" s="38" t="n">
        <f aca="false">Sens!$E$9675*m_ad</f>
        <v>5.02428875377928</v>
      </c>
      <c r="F9778" s="38" t="n">
        <f aca="false">Sens!$F$9675*m_ad</f>
        <v>6.50663858068173</v>
      </c>
      <c r="G9778" s="38" t="n">
        <f aca="false">Sens!$G$9675*m_ad</f>
        <v>11.5225190751659</v>
      </c>
      <c r="H9778" s="38" t="n">
        <f aca="false">Sens!$H$9675*m_ad</f>
        <v>13.8333728663174</v>
      </c>
      <c r="I9778" s="38" t="n">
        <f aca="false">Sens!$I$9675*m_ad</f>
        <v>16.1440173245485</v>
      </c>
      <c r="J9778" s="38" t="n">
        <f aca="false">Sens!$J$9675*m_ad</f>
        <v>18.2995185845066</v>
      </c>
      <c r="K9778" s="38" t="n">
        <f aca="false">Sens!$K$9675*m_ad</f>
        <v>20.1294704429572</v>
      </c>
      <c r="L9778" s="38" t="n">
        <f aca="false">Sens!$L$9675*m_ad</f>
        <v>22.142417487253</v>
      </c>
      <c r="M9778" s="38" t="n">
        <f aca="false">Sens!$M$9675*m_ad</f>
        <v>24.3566592359783</v>
      </c>
      <c r="N9778" s="38" t="n">
        <f aca="false">Sens!$N$9675*m_ad</f>
        <v>3.95314442937518</v>
      </c>
      <c r="O9778" s="38" t="n">
        <f aca="false">Sens!$O$9675*m_ad</f>
        <v>5.50052681786011</v>
      </c>
    </row>
    <row r="9779" customFormat="false" ht="17.15" hidden="false" customHeight="false" outlineLevel="0" collapsed="false">
      <c r="A9779" s="0" t="s">
        <v>738</v>
      </c>
      <c r="B9779" s="0" t="s">
        <v>86</v>
      </c>
      <c r="C9779" s="38" t="n">
        <f aca="false">Sens!$C$9673-Sens!$C$9675</f>
        <v>127.760312882846</v>
      </c>
      <c r="D9779" s="38" t="n">
        <f aca="false">Sens!$D$9673-Sens!$D$9675</f>
        <v>143.003123459917</v>
      </c>
      <c r="E9779" s="38" t="n">
        <f aca="false">Sens!$E$9673-Sens!$E$9675</f>
        <v>71.9374224924414</v>
      </c>
      <c r="F9779" s="38" t="n">
        <f aca="false">Sens!$F$9673-Sens!$F$9675</f>
        <v>85.3951910035875</v>
      </c>
      <c r="G9779" s="38" t="n">
        <f aca="false">Sens!$G$9673-Sens!$G$9675</f>
        <v>157.349430014619</v>
      </c>
      <c r="H9779" s="38" t="n">
        <f aca="false">Sens!$H$9673-Sens!$H$9675</f>
        <v>172.043153372315</v>
      </c>
      <c r="I9779" s="38" t="n">
        <f aca="false">Sens!$I$9673-Sens!$I$9675</f>
        <v>186.097493615879</v>
      </c>
      <c r="J9779" s="38" t="n">
        <f aca="false">Sens!$J$9673-Sens!$J$9675</f>
        <v>199.117932780497</v>
      </c>
      <c r="K9779" s="38" t="n">
        <f aca="false">Sens!$K$9673-Sens!$K$9675</f>
        <v>210.70928698363</v>
      </c>
      <c r="L9779" s="38" t="n">
        <f aca="false">Sens!$L$9673-Sens!$L$9675</f>
        <v>223.000532251316</v>
      </c>
      <c r="M9779" s="38" t="n">
        <f aca="false">Sens!$M$9673-Sens!$M$9675</f>
        <v>236.035261011339</v>
      </c>
      <c r="N9779" s="38" t="n">
        <f aca="false">Sens!$N$9673-Sens!$N$9675</f>
        <v>62.3677111412496</v>
      </c>
      <c r="O9779" s="38" t="n">
        <f aca="false">Sens!$O$9673-Sens!$O$9675</f>
        <v>80.6189463642798</v>
      </c>
    </row>
    <row r="9780" customFormat="false" ht="17.15" hidden="false" customHeight="false" outlineLevel="0" collapsed="false">
      <c r="A9780" s="0" t="s">
        <v>739</v>
      </c>
      <c r="B9780" s="0" t="s">
        <v>86</v>
      </c>
      <c r="C9780" s="38" t="n">
        <f aca="false">Sens!$C$9726*(1-Sens!$C$9671)</f>
        <v>0.0455891896019953</v>
      </c>
      <c r="D9780" s="38" t="n">
        <f aca="false">Sens!$D$9726*(1-Sens!$D$9671)</f>
        <v>0.227931791705753</v>
      </c>
      <c r="E9780" s="38" t="n">
        <f aca="false">Sens!$E$9726*(1-Sens!$E$9671)</f>
        <v>0.412460434890711</v>
      </c>
      <c r="F9780" s="38" t="n">
        <f aca="false">Sens!$F$9726*(1-Sens!$F$9671)</f>
        <v>0.524534016233997</v>
      </c>
      <c r="G9780" s="38" t="n">
        <f aca="false">Sens!$G$9726*(1-Sens!$G$9671)</f>
        <v>0.936474095312266</v>
      </c>
      <c r="H9780" s="38" t="n">
        <f aca="false">Sens!$H$9726*(1-Sens!$H$9671)</f>
        <v>2.54003589327823</v>
      </c>
      <c r="I9780" s="38" t="n">
        <f aca="false">Sens!$I$9726*(1-Sens!$I$9671)</f>
        <v>4.88320120852905</v>
      </c>
      <c r="J9780" s="38" t="n">
        <f aca="false">Sens!$J$9726*(1-Sens!$J$9671)</f>
        <v>7.05069548920359</v>
      </c>
      <c r="K9780" s="38" t="n">
        <f aca="false">Sens!$K$9726*(1-Sens!$K$9671)</f>
        <v>9.17200258193867</v>
      </c>
      <c r="L9780" s="38" t="n">
        <f aca="false">Sens!$L$9726*(1-Sens!$L$9671)</f>
        <v>10.6414216154535</v>
      </c>
      <c r="M9780" s="38" t="n">
        <f aca="false">Sens!$M$9726*(1-Sens!$M$9671)</f>
        <v>11.4538831951485</v>
      </c>
      <c r="N9780" s="38" t="n">
        <f aca="false">Sens!$N$9726*(1-Sens!$N$9671)</f>
        <v>0.0912435878202994</v>
      </c>
      <c r="O9780" s="38" t="n">
        <f aca="false">Sens!$O$9726*(1-Sens!$O$9671)</f>
        <v>0.137119578309265</v>
      </c>
    </row>
    <row r="9781" customFormat="false" ht="17.15" hidden="false" customHeight="false" outlineLevel="0" collapsed="false">
      <c r="A9781" s="0" t="s">
        <v>740</v>
      </c>
      <c r="B9781" s="0" t="s">
        <v>52</v>
      </c>
      <c r="C9781" s="28" t="n">
        <f aca="false">(Sens!$C$9782-Sens!$C$9778+Sens!$C$9780)/Sens!$C$9779</f>
        <v>-0.0292364215826579</v>
      </c>
      <c r="D9781" s="28" t="n">
        <f aca="false">(Sens!$D$9782-Sens!$D$9778+Sens!$D$9780)/Sens!$D$9779</f>
        <v>-0.0312406216748665</v>
      </c>
      <c r="E9781" s="28" t="n">
        <f aca="false">(Sens!$E$9782-Sens!$E$9778+Sens!$E$9780)/Sens!$E$9779</f>
        <v>-0.0204459413185552</v>
      </c>
      <c r="F9781" s="28" t="n">
        <f aca="false">Sens!$O$9781+(Sens!$E$9781-Sens!$N$9781)</f>
        <v>-0.0375409290246314</v>
      </c>
      <c r="G9781" s="28" t="n">
        <f aca="false">(Sens!$G$9782-Sens!$G$9778+Sens!$G$9780)/Sens!$G$9779</f>
        <v>-0.0296712560031684</v>
      </c>
      <c r="H9781" s="28" t="n">
        <f aca="false">Sens!$G$9781+step_in</f>
        <v>-0.0296712560031684</v>
      </c>
      <c r="I9781" s="28" t="n">
        <f aca="false">Sens!$H$9781+step_in</f>
        <v>-0.0296712560031684</v>
      </c>
      <c r="J9781" s="28" t="n">
        <f aca="false">Sens!$I$9781+step_in</f>
        <v>-0.0296712560031684</v>
      </c>
      <c r="K9781" s="28" t="n">
        <f aca="false">Sens!$J$9781+step_in</f>
        <v>-0.0296712560031684</v>
      </c>
      <c r="L9781" s="28" t="n">
        <f aca="false">Sens!$K$9781</f>
        <v>-0.0296712560031684</v>
      </c>
      <c r="M9781" s="28" t="n">
        <f aca="false">Sens!$L$9781</f>
        <v>-0.0296712560031684</v>
      </c>
      <c r="N9781" s="28" t="n">
        <f aca="false">(Sens!$N$9782-Sens!$N$9778+Sens!$N$9780)/Sens!$N$9779</f>
        <v>-0.0216602600421776</v>
      </c>
      <c r="O9781" s="28" t="n">
        <f aca="false">(Sens!$O$9782-Sens!$O$9778+Sens!$O$9780)/Sens!$O$9779</f>
        <v>-0.0387552477482538</v>
      </c>
      <c r="P9781" s="8" t="s">
        <v>735</v>
      </c>
    </row>
    <row r="9782" customFormat="false" ht="17.15" hidden="false" customHeight="false" outlineLevel="0" collapsed="false">
      <c r="A9782" s="1" t="s">
        <v>741</v>
      </c>
      <c r="B9782" s="8" t="s">
        <v>86</v>
      </c>
      <c r="C9782" s="38" t="n">
        <f aca="false">Q!$D$23</f>
        <v>3.792</v>
      </c>
      <c r="D9782" s="38" t="n">
        <f aca="false">Q!$E$23</f>
        <v>4.75</v>
      </c>
      <c r="E9782" s="38" t="n">
        <f aca="false">Q!$P$23</f>
        <v>3.141</v>
      </c>
      <c r="F9782" s="38" t="n">
        <f aca="false">Sens!$F$9778+Sens!$F$9779*Sens!$F$9781-Sens!$F$9780</f>
        <v>2.77628975993721</v>
      </c>
      <c r="G9782" s="38" t="n">
        <f aca="false">Sens!$E$9782+Sens!$F$9782</f>
        <v>5.91728975993721</v>
      </c>
      <c r="H9782" s="38" t="n">
        <f aca="false">Sens!$H$9778+Sens!$H$9779*Sens!$H$9781-Sens!$H$9780</f>
        <v>6.18860052573681</v>
      </c>
      <c r="I9782" s="38" t="n">
        <f aca="false">Sens!$I$9778+Sens!$I$9779*Sens!$I$9781-Sens!$I$9780</f>
        <v>5.73906974139474</v>
      </c>
      <c r="J9782" s="38" t="n">
        <f aca="false">Sens!$J$9778+Sens!$J$9779*Sens!$J$9781-Sens!$J$9780</f>
        <v>5.34074393695119</v>
      </c>
      <c r="K9782" s="38" t="n">
        <f aca="false">Sens!$K$9778+Sens!$K$9779*Sens!$K$9781-Sens!$K$9780</f>
        <v>4.7054586646822</v>
      </c>
      <c r="L9782" s="38" t="n">
        <f aca="false">Sens!$L$9778+Sens!$L$9779*Sens!$L$9781-Sens!$L$9780</f>
        <v>4.88428999052786</v>
      </c>
      <c r="M9782" s="38" t="n">
        <f aca="false">Sens!$M$9778+Sens!$M$9779*Sens!$M$9781-Sens!$M$9780</f>
        <v>5.89931338558769</v>
      </c>
      <c r="N9782" s="38" t="n">
        <f aca="false">Q!$N$23</f>
        <v>2.511</v>
      </c>
      <c r="O9782" s="38" t="n">
        <f aca="false">Q!$O$23</f>
        <v>2.239</v>
      </c>
    </row>
    <row r="9783" customFormat="false" ht="17.15" hidden="false" customHeight="false" outlineLevel="0" collapsed="false">
      <c r="A9783" s="0" t="s">
        <v>742</v>
      </c>
      <c r="B9783" s="0" t="s">
        <v>86</v>
      </c>
      <c r="C9783" s="38" t="n">
        <f aca="false">Sens!$C$9723</f>
        <v>1.64417882953695</v>
      </c>
      <c r="D9783" s="38" t="n">
        <f aca="false">Sens!$D$9723</f>
        <v>5.39125073772939</v>
      </c>
      <c r="E9783" s="38" t="n">
        <f aca="false">Sens!$E$9723</f>
        <v>2.42691120599613</v>
      </c>
      <c r="F9783" s="38" t="n">
        <f aca="false">Sens!$F$9723</f>
        <v>7.52148563094346</v>
      </c>
      <c r="G9783" s="38" t="n">
        <f aca="false">Sens!$G$9723</f>
        <v>9.94839683693959</v>
      </c>
      <c r="H9783" s="38" t="n">
        <f aca="false">Sens!$H$9723</f>
        <v>23.4804386990861</v>
      </c>
      <c r="I9783" s="38" t="n">
        <f aca="false">Sens!$I$9723</f>
        <v>30.9761745989143</v>
      </c>
      <c r="J9783" s="38" t="n">
        <f aca="false">Sens!$J$9723</f>
        <v>41.1930070746977</v>
      </c>
      <c r="K9783" s="38" t="n">
        <f aca="false">Sens!$K$9723</f>
        <v>45.9779211159428</v>
      </c>
      <c r="L9783" s="38" t="n">
        <f aca="false">Sens!$L$9723</f>
        <v>48.0352490919424</v>
      </c>
      <c r="M9783" s="38" t="n">
        <f aca="false">Sens!$M$9723</f>
        <v>47.4082976573265</v>
      </c>
      <c r="N9783" s="38" t="n">
        <f aca="false">Sens!$N$9723</f>
        <v>1.67921600037079</v>
      </c>
      <c r="O9783" s="38" t="n">
        <f aca="false">Sens!$O$9723</f>
        <v>3.71203473735861</v>
      </c>
    </row>
    <row r="9784" customFormat="false" ht="17.15" hidden="false" customHeight="false" outlineLevel="0" collapsed="false">
      <c r="A9784" s="0" t="s">
        <v>660</v>
      </c>
      <c r="B9784" s="0" t="s">
        <v>86</v>
      </c>
      <c r="C9784" s="38" t="n">
        <f aca="false">Sens!$C$9728</f>
        <v>38.1898211704631</v>
      </c>
      <c r="D9784" s="38" t="n">
        <f aca="false">Sens!$D$9728</f>
        <v>40.2147492622706</v>
      </c>
      <c r="E9784" s="38" t="n">
        <f aca="false">Sens!$E$9728</f>
        <v>28.3550887940039</v>
      </c>
      <c r="F9784" s="38" t="n">
        <f aca="false">Sens!$F$9728</f>
        <v>25.9529793149447</v>
      </c>
      <c r="G9784" s="38" t="n">
        <f aca="false">Sens!$G$9728</f>
        <v>54.3080681089486</v>
      </c>
      <c r="H9784" s="38" t="n">
        <f aca="false">Sens!$H$9728</f>
        <v>58.2264684589333</v>
      </c>
      <c r="I9784" s="38" t="n">
        <f aca="false">Sens!$I$9728</f>
        <v>64.6461353851744</v>
      </c>
      <c r="J9784" s="38" t="n">
        <f aca="false">Sens!$J$9728</f>
        <v>70.7957093610231</v>
      </c>
      <c r="K9784" s="38" t="n">
        <f aca="false">Sens!$K$9728</f>
        <v>76.4593661099049</v>
      </c>
      <c r="L9784" s="38" t="n">
        <f aca="false">Sens!$L$9728</f>
        <v>82.5761153986973</v>
      </c>
      <c r="M9784" s="38" t="n">
        <f aca="false">Sens!$M$9728</f>
        <v>89.1822046305931</v>
      </c>
      <c r="N9784" s="38" t="n">
        <f aca="false">Sens!$N$9728</f>
        <v>20.0277839996292</v>
      </c>
      <c r="O9784" s="38" t="n">
        <f aca="false">Sens!$O$9728</f>
        <v>20.1869652626414</v>
      </c>
    </row>
    <row r="9785" customFormat="false" ht="17.15" hidden="false" customHeight="false" outlineLevel="0" collapsed="false">
      <c r="A9785" s="1" t="s">
        <v>743</v>
      </c>
      <c r="B9785" s="8" t="s">
        <v>86</v>
      </c>
      <c r="C9785" s="38" t="n">
        <f aca="false">Q!$D$24</f>
        <v>39.834</v>
      </c>
      <c r="D9785" s="38" t="n">
        <f aca="false">Q!$E$24</f>
        <v>45.606</v>
      </c>
      <c r="E9785" s="38" t="n">
        <f aca="false">Q!$P$24</f>
        <v>30.782</v>
      </c>
      <c r="F9785" s="38" t="n">
        <f aca="false">Sens!$F$9783+Sens!$F$9784</f>
        <v>33.4744649458882</v>
      </c>
      <c r="G9785" s="38" t="n">
        <f aca="false">Sens!$G$9783+Sens!$G$9784</f>
        <v>64.2564649458882</v>
      </c>
      <c r="H9785" s="38" t="n">
        <f aca="false">Sens!$H$9783+Sens!$H$9784</f>
        <v>81.7069071580194</v>
      </c>
      <c r="I9785" s="38" t="n">
        <f aca="false">Sens!$I$9783+Sens!$I$9784</f>
        <v>95.6223099840887</v>
      </c>
      <c r="J9785" s="38" t="n">
        <f aca="false">Sens!$J$9783+Sens!$J$9784</f>
        <v>111.988716435721</v>
      </c>
      <c r="K9785" s="38" t="n">
        <f aca="false">Sens!$K$9783+Sens!$K$9784</f>
        <v>122.437287225848</v>
      </c>
      <c r="L9785" s="38" t="n">
        <f aca="false">Sens!$L$9783+Sens!$L$9784</f>
        <v>130.61136449064</v>
      </c>
      <c r="M9785" s="38" t="n">
        <f aca="false">Sens!$M$9783+Sens!$M$9784</f>
        <v>136.59050228792</v>
      </c>
      <c r="N9785" s="38" t="n">
        <f aca="false">Q!$N$24</f>
        <v>21.707</v>
      </c>
      <c r="O9785" s="38" t="n">
        <f aca="false">Q!$O$24</f>
        <v>23.899</v>
      </c>
    </row>
    <row r="9786" customFormat="false" ht="17.15" hidden="false" customHeight="false" outlineLevel="0" collapsed="false">
      <c r="A9786" s="5" t="s">
        <v>744</v>
      </c>
      <c r="B9786" s="0" t="s">
        <v>86</v>
      </c>
      <c r="C9786" s="38" t="n">
        <f aca="false">Q!$D$26</f>
        <v>0</v>
      </c>
      <c r="D9786" s="38" t="n">
        <f aca="false">Q!$E$26</f>
        <v>0</v>
      </c>
      <c r="E9786" s="38" t="n">
        <f aca="false">Q!$P$26</f>
        <v>0</v>
      </c>
      <c r="F9786" s="39" t="n">
        <v>0</v>
      </c>
      <c r="G9786" s="38" t="n">
        <f aca="false">Sens!$E$9786+Sens!$F$9786</f>
        <v>0</v>
      </c>
      <c r="H9786" s="39" t="n">
        <v>0</v>
      </c>
      <c r="I9786" s="39" t="n">
        <v>0</v>
      </c>
      <c r="J9786" s="39" t="n">
        <v>0</v>
      </c>
      <c r="K9786" s="39" t="n">
        <v>0</v>
      </c>
      <c r="L9786" s="39" t="n">
        <v>0</v>
      </c>
      <c r="M9786" s="39" t="n">
        <v>0</v>
      </c>
      <c r="N9786" s="38" t="n">
        <f aca="false">Q!$N$26</f>
        <v>0</v>
      </c>
      <c r="O9786" s="38" t="n">
        <f aca="false">Q!$O$26</f>
        <v>0</v>
      </c>
    </row>
    <row r="9787" customFormat="false" ht="15" hidden="false" customHeight="false" outlineLevel="0" collapsed="false">
      <c r="A9787" s="3" t="s">
        <v>541</v>
      </c>
      <c r="B9787" s="8" t="s">
        <v>86</v>
      </c>
      <c r="C9787" s="38" t="n">
        <f aca="false">Q!$D$25</f>
        <v>68.593</v>
      </c>
      <c r="D9787" s="38" t="n">
        <f aca="false">Q!$E$25</f>
        <v>79.975</v>
      </c>
      <c r="E9787" s="38" t="n">
        <f aca="false">Q!$P$25</f>
        <v>51.313</v>
      </c>
      <c r="F9787" s="38" t="n">
        <f aca="false">Sens!$F$9777+Sens!$F$9782+Sens!$F$9785+Sens!$F$9786</f>
        <v>56.3652566987294</v>
      </c>
      <c r="G9787" s="38" t="n">
        <f aca="false">Sens!$G$9777+Sens!$G$9782+Sens!$G$9785+Sens!$G$9786</f>
        <v>107.678256698729</v>
      </c>
      <c r="H9787" s="38" t="n">
        <f aca="false">Sens!$H$9777+Sens!$H$9782+Sens!$H$9785+Sens!$H$9786</f>
        <v>129.515456870266</v>
      </c>
      <c r="I9787" s="38" t="n">
        <f aca="false">Sens!$I$9777+Sens!$I$9782+Sens!$I$9785+Sens!$I$9786</f>
        <v>145.345387082626</v>
      </c>
      <c r="J9787" s="38" t="n">
        <f aca="false">Sens!$J$9777+Sens!$J$9782+Sens!$J$9785+Sens!$J$9786</f>
        <v>163.862141869716</v>
      </c>
      <c r="K9787" s="38" t="n">
        <f aca="false">Sens!$K$9777+Sens!$K$9782+Sens!$K$9785+Sens!$K$9786</f>
        <v>175.564332634303</v>
      </c>
      <c r="L9787" s="38" t="n">
        <f aca="false">Sens!$L$9777+Sens!$L$9782+Sens!$L$9785+Sens!$L$9786</f>
        <v>186.492086157384</v>
      </c>
      <c r="M9787" s="38" t="n">
        <f aca="false">Sens!$M$9777+Sens!$M$9782+Sens!$M$9785+Sens!$M$9786</f>
        <v>198.371665638452</v>
      </c>
      <c r="N9787" s="38" t="n">
        <f aca="false">Q!$N$25</f>
        <v>37.576</v>
      </c>
      <c r="O9787" s="38" t="n">
        <f aca="false">Q!$O$25</f>
        <v>42.399</v>
      </c>
    </row>
    <row r="9788" customFormat="false" ht="17.15" hidden="false" customHeight="false" outlineLevel="0" collapsed="false">
      <c r="A9788" s="24" t="s">
        <v>775</v>
      </c>
      <c r="B9788" s="25" t="s">
        <v>86</v>
      </c>
      <c r="C9788" s="41" t="n">
        <f aca="false">Sens!$C$9777+Sens!$C$9782+Sens!$C$9785+Sens!$C$9786-Sens!$C$9787</f>
        <v>0</v>
      </c>
      <c r="D9788" s="41" t="n">
        <f aca="false">Sens!$D$9777+Sens!$D$9782+Sens!$D$9785+Sens!$D$9786-Sens!$D$9787</f>
        <v>0</v>
      </c>
      <c r="E9788" s="41" t="n">
        <f aca="false">Sens!$E$9777+Sens!$E$9782+Sens!$E$9785+Sens!$E$9786-Sens!$E$9787</f>
        <v>0</v>
      </c>
      <c r="F9788" s="41" t="n">
        <f aca="false">Sens!$F$9777+Sens!$F$9782+Sens!$F$9785+Sens!$F$9786-Sens!$F$9787</f>
        <v>0</v>
      </c>
      <c r="G9788" s="41" t="n">
        <f aca="false">Sens!$G$9777+Sens!$G$9782+Sens!$G$9785+Sens!$G$9786-Sens!$G$9787</f>
        <v>0</v>
      </c>
      <c r="H9788" s="41" t="n">
        <f aca="false">Sens!$H$9777+Sens!$H$9782+Sens!$H$9785+Sens!$H$9786-Sens!$H$9787</f>
        <v>0</v>
      </c>
      <c r="I9788" s="41" t="n">
        <f aca="false">Sens!$I$9777+Sens!$I$9782+Sens!$I$9785+Sens!$I$9786-Sens!$I$9787</f>
        <v>0</v>
      </c>
      <c r="J9788" s="41" t="n">
        <f aca="false">Sens!$J$9777+Sens!$J$9782+Sens!$J$9785+Sens!$J$9786-Sens!$J$9787</f>
        <v>0</v>
      </c>
      <c r="K9788" s="41" t="n">
        <f aca="false">Sens!$K$9777+Sens!$K$9782+Sens!$K$9785+Sens!$K$9786-Sens!$K$9787</f>
        <v>0</v>
      </c>
      <c r="L9788" s="41" t="n">
        <f aca="false">Sens!$L$9777+Sens!$L$9782+Sens!$L$9785+Sens!$L$9786-Sens!$L$9787</f>
        <v>0</v>
      </c>
      <c r="M9788" s="41" t="n">
        <f aca="false">Sens!$M$9777+Sens!$M$9782+Sens!$M$9785+Sens!$M$9786-Sens!$M$9787</f>
        <v>0</v>
      </c>
      <c r="N9788" s="41" t="n">
        <f aca="false">Sens!$N$9777+Sens!$N$9782+Sens!$N$9785+Sens!$N$9786-Sens!$N$9787</f>
        <v>0</v>
      </c>
      <c r="O9788" s="41" t="n">
        <f aca="false">Sens!$O$9777+Sens!$O$9782+Sens!$O$9785+Sens!$O$9786-Sens!$O$9787</f>
        <v>0</v>
      </c>
    </row>
    <row r="9789" customFormat="false" ht="17.15" hidden="false" customHeight="false" outlineLevel="0" collapsed="false">
      <c r="A9789" s="5" t="s">
        <v>746</v>
      </c>
      <c r="B9789" s="0" t="s">
        <v>86</v>
      </c>
      <c r="C9789" s="38" t="n">
        <f aca="false">Sens!$C$9725</f>
        <v>0</v>
      </c>
      <c r="D9789" s="38" t="n">
        <f aca="false">Sens!$D$9725</f>
        <v>0</v>
      </c>
      <c r="E9789" s="38" t="n">
        <f aca="false">Sens!$E$9725</f>
        <v>0</v>
      </c>
      <c r="F9789" s="38" t="n">
        <f aca="false">Sens!$F$9725</f>
        <v>3.77122048175818</v>
      </c>
      <c r="G9789" s="38" t="n">
        <f aca="false">Sens!$G$9725</f>
        <v>3.77122048175818</v>
      </c>
      <c r="H9789" s="38" t="n">
        <f aca="false">Sens!$H$9725</f>
        <v>15.1635543609893</v>
      </c>
      <c r="I9789" s="38" t="n">
        <f aca="false">Sens!$I$9725</f>
        <v>25.5818843619889</v>
      </c>
      <c r="J9789" s="38" t="n">
        <f aca="false">Sens!$J$9725</f>
        <v>36.0465624179122</v>
      </c>
      <c r="K9789" s="38" t="n">
        <f aca="false">Sens!$K$9725</f>
        <v>44.9741164026038</v>
      </c>
      <c r="L9789" s="38" t="n">
        <f aca="false">Sens!$L$9725</f>
        <v>50.8413488057813</v>
      </c>
      <c r="M9789" s="38" t="n">
        <f aca="false">Sens!$M$9725</f>
        <v>53.6407214274315</v>
      </c>
      <c r="N9789" s="38" t="n">
        <f aca="false">Sens!$N$9725</f>
        <v>0</v>
      </c>
      <c r="O9789" s="38" t="n">
        <f aca="false">Sens!$O$9725</f>
        <v>0</v>
      </c>
      <c r="P9789" s="5" t="s">
        <v>747</v>
      </c>
    </row>
    <row r="9790" customFormat="false" ht="17.15" hidden="false" customHeight="false" outlineLevel="0" collapsed="false">
      <c r="A9790" s="5" t="s">
        <v>748</v>
      </c>
      <c r="B9790" s="0" t="s">
        <v>86</v>
      </c>
      <c r="C9790" s="38" t="n">
        <f aca="false">Sens!$C$9787+Sens!$C$9789</f>
        <v>68.593</v>
      </c>
      <c r="D9790" s="38" t="n">
        <f aca="false">Sens!$D$9787+Sens!$D$9789</f>
        <v>79.975</v>
      </c>
      <c r="E9790" s="38" t="n">
        <f aca="false">Sens!$E$9787+Sens!$E$9789</f>
        <v>51.313</v>
      </c>
      <c r="F9790" s="38" t="n">
        <f aca="false">Sens!$F$9787+Sens!$F$9789</f>
        <v>60.1364771804876</v>
      </c>
      <c r="G9790" s="38" t="n">
        <f aca="false">Sens!$G$9787+Sens!$G$9789</f>
        <v>111.449477180488</v>
      </c>
      <c r="H9790" s="38" t="n">
        <f aca="false">Sens!$H$9787+Sens!$H$9789</f>
        <v>144.679011231256</v>
      </c>
      <c r="I9790" s="38" t="n">
        <f aca="false">Sens!$I$9787+Sens!$I$9789</f>
        <v>170.927271444615</v>
      </c>
      <c r="J9790" s="38" t="n">
        <f aca="false">Sens!$J$9787+Sens!$J$9789</f>
        <v>199.908704287628</v>
      </c>
      <c r="K9790" s="38" t="n">
        <f aca="false">Sens!$K$9787+Sens!$K$9789</f>
        <v>220.538449036907</v>
      </c>
      <c r="L9790" s="38" t="n">
        <f aca="false">Sens!$L$9787+Sens!$L$9789</f>
        <v>237.333434963166</v>
      </c>
      <c r="M9790" s="38" t="n">
        <f aca="false">Sens!$M$9787+Sens!$M$9789</f>
        <v>252.012387065883</v>
      </c>
      <c r="N9790" s="38" t="n">
        <f aca="false">Sens!$N$9787+Sens!$N$9789</f>
        <v>37.576</v>
      </c>
      <c r="O9790" s="38" t="n">
        <f aca="false">Sens!$O$9787+Sens!$O$9789</f>
        <v>42.399</v>
      </c>
    </row>
    <row r="9791" customFormat="false" ht="17.15" hidden="false" customHeight="false" outlineLevel="0" collapsed="false">
      <c r="A9791" s="0" t="s">
        <v>749</v>
      </c>
      <c r="B9791" s="0" t="s">
        <v>52</v>
      </c>
      <c r="C9791" s="13" t="n">
        <f aca="false">Sens!$C$9777/Sens!$C$9762</f>
        <v>0.0644314665661928</v>
      </c>
      <c r="D9791" s="13" t="n">
        <f aca="false">Sens!$D$9777/Sens!$D$9762</f>
        <v>0.0694784250712518</v>
      </c>
      <c r="E9791" s="13" t="n">
        <f aca="false">Sens!$E$9777/Sens!$E$9762</f>
        <v>0.0789306463326071</v>
      </c>
      <c r="F9791" s="13" t="n">
        <f aca="false">Sens!$F$9777/Sens!$F$9762</f>
        <v>0.0802526339438384</v>
      </c>
      <c r="G9791" s="13" t="n">
        <f aca="false">Sens!$G$9777/Sens!$G$9762</f>
        <v>0.0796341940538369</v>
      </c>
      <c r="H9791" s="13" t="n">
        <f aca="false">Sens!$H$9777/Sens!$H$9762</f>
        <v>0.0798254462645258</v>
      </c>
      <c r="I9791" s="13" t="n">
        <f aca="false">Sens!$I$9777/Sens!$I$9762</f>
        <v>0.0771454543672196</v>
      </c>
      <c r="J9791" s="13" t="n">
        <f aca="false">Sens!$J$9777/Sens!$J$9762</f>
        <v>0.0756147693819656</v>
      </c>
      <c r="K9791" s="13" t="n">
        <f aca="false">Sens!$K$9777/Sens!$K$9762</f>
        <v>0.0739025926520816</v>
      </c>
      <c r="L9791" s="13" t="n">
        <f aca="false">Sens!$L$9777/Sens!$L$9762</f>
        <v>0.0730809201558074</v>
      </c>
      <c r="M9791" s="13" t="n">
        <f aca="false">Sens!$M$9777/Sens!$M$9762</f>
        <v>0.0751707027775199</v>
      </c>
      <c r="N9791" s="13" t="n">
        <f aca="false">Sens!$N$9777/Sens!$N$9762</f>
        <v>0.069228576611127</v>
      </c>
      <c r="O9791" s="13" t="n">
        <f aca="false">Sens!$O$9777/Sens!$O$9762</f>
        <v>0.069685022498393</v>
      </c>
    </row>
    <row r="9792" customFormat="false" ht="17.15" hidden="false" customHeight="false" outlineLevel="0" collapsed="false">
      <c r="A9792" s="0" t="s">
        <v>750</v>
      </c>
      <c r="B9792" s="0" t="s">
        <v>52</v>
      </c>
      <c r="C9792" s="13" t="n">
        <f aca="false">Sens!$C$9782/Sens!$C$9763</f>
        <v>0.026534925055631</v>
      </c>
      <c r="D9792" s="13" t="n">
        <f aca="false">Sens!$D$9782/Sens!$D$9763</f>
        <v>0.0293401855535103</v>
      </c>
      <c r="E9792" s="13" t="n">
        <f aca="false">Sens!$E$9782/Sens!$E$9763</f>
        <v>0.03831141902276</v>
      </c>
      <c r="F9792" s="13" t="n">
        <f aca="false">Sens!$F$9782/Sens!$F$9763</f>
        <v>0.0282118989524726</v>
      </c>
      <c r="G9792" s="13" t="n">
        <f aca="false">Sens!$G$9782/Sens!$G$9763</f>
        <v>0.0328019468674976</v>
      </c>
      <c r="H9792" s="13" t="n">
        <f aca="false">Sens!$H$9782/Sens!$H$9763</f>
        <v>0.0309879507899839</v>
      </c>
      <c r="I9792" s="13" t="n">
        <f aca="false">Sens!$I$9782/Sens!$I$9763</f>
        <v>0.0262795332043765</v>
      </c>
      <c r="J9792" s="13" t="n">
        <f aca="false">Sens!$J$9782/Sens!$J$9763</f>
        <v>0.0226574435353346</v>
      </c>
      <c r="K9792" s="13" t="n">
        <f aca="false">Sens!$K$9782/Sens!$K$9763</f>
        <v>0.0187492205871101</v>
      </c>
      <c r="L9792" s="13" t="n">
        <f aca="false">Sens!$L$9782/Sens!$L$9763</f>
        <v>0.018273690180732</v>
      </c>
      <c r="M9792" s="13" t="n">
        <f aca="false">Sens!$M$9782/Sens!$M$9763</f>
        <v>0.0207176218272716</v>
      </c>
      <c r="N9792" s="13" t="n">
        <f aca="false">Sens!$N$9782/Sens!$N$9763</f>
        <v>0.0357315650169337</v>
      </c>
      <c r="O9792" s="13" t="n">
        <f aca="false">Sens!$O$9782/Sens!$O$9763</f>
        <v>0.0244378956559703</v>
      </c>
    </row>
    <row r="9793" customFormat="false" ht="17.15" hidden="false" customHeight="false" outlineLevel="0" collapsed="false">
      <c r="A9793" s="14" t="s">
        <v>751</v>
      </c>
      <c r="B9793" s="14" t="s">
        <v>52</v>
      </c>
      <c r="C9793" s="17" t="n">
        <f aca="false">Sens!$C$9785/Sens!$C$9764</f>
        <v>0.370355907620217</v>
      </c>
      <c r="D9793" s="17" t="n">
        <f aca="false">Sens!$D$9785/Sens!$D$9764</f>
        <v>0.35429015342785</v>
      </c>
      <c r="E9793" s="17" t="n">
        <f aca="false">Sens!$E$9785/Sens!$E$9764</f>
        <v>0.385647527531039</v>
      </c>
      <c r="F9793" s="17" t="n">
        <f aca="false">Sens!$F$9785/Sens!$F$9764</f>
        <v>0.385949613469105</v>
      </c>
      <c r="G9793" s="17" t="n">
        <f aca="false">Sens!$G$9785/Sens!$G$9764</f>
        <v>0.385804840448779</v>
      </c>
      <c r="H9793" s="17" t="n">
        <f aca="false">Sens!$H$9785/Sens!$H$9764</f>
        <v>0.369408675360557</v>
      </c>
      <c r="I9793" s="17" t="n">
        <f aca="false">Sens!$I$9785/Sens!$I$9764</f>
        <v>0.34117504540738</v>
      </c>
      <c r="J9793" s="17" t="n">
        <f aca="false">Sens!$J$9785/Sens!$J$9764</f>
        <v>0.330544285732563</v>
      </c>
      <c r="K9793" s="17" t="n">
        <f aca="false">Sens!$K$9785/Sens!$K$9764</f>
        <v>0.314033796990635</v>
      </c>
      <c r="L9793" s="17" t="n">
        <f aca="false">Sens!$L$9785/Sens!$L$9764</f>
        <v>0.303690371867633</v>
      </c>
      <c r="M9793" s="17" t="n">
        <f aca="false">Sens!$M$9785/Sens!$M$9764</f>
        <v>0.297287296590884</v>
      </c>
      <c r="N9793" s="17" t="n">
        <f aca="false">Sens!$N$9785/Sens!$N$9764</f>
        <v>0.360941137346192</v>
      </c>
      <c r="O9793" s="17" t="n">
        <f aca="false">Sens!$O$9785/Sens!$O$9764</f>
        <v>0.348458117664212</v>
      </c>
    </row>
    <row r="9794" customFormat="false" ht="17.15" hidden="false" customHeight="false" outlineLevel="0" collapsed="false">
      <c r="A9794" s="0" t="s">
        <v>752</v>
      </c>
      <c r="B9794" s="0" t="s">
        <v>52</v>
      </c>
      <c r="C9794" s="13" t="n">
        <f aca="false">Sens!$C$9783/Sens!$C$9765</f>
        <v>0.708390794789371</v>
      </c>
      <c r="D9794" s="13" t="n">
        <f aca="false">Sens!$D$9783/Sens!$D$9765</f>
        <v>0.619415573115729</v>
      </c>
      <c r="E9794" s="13" t="n">
        <f aca="false">Sens!$E$9783/Sens!$E$9765</f>
        <v>0.285171627189009</v>
      </c>
      <c r="F9794" s="13" t="n">
        <f aca="false">Sens!$F$9783/Sens!$F$9765</f>
        <v>0.502657732812366</v>
      </c>
      <c r="G9794" s="13" t="n">
        <f aca="false">Sens!$G$9783/Sens!$G$9765</f>
        <v>0.423808778611812</v>
      </c>
      <c r="H9794" s="13" t="n">
        <f aca="false">Sens!$H$9783/Sens!$H$9765</f>
        <v>0.390261631739809</v>
      </c>
      <c r="I9794" s="13" t="n">
        <f aca="false">Sens!$I$9783/Sens!$I$9765</f>
        <v>0.305172864264572</v>
      </c>
      <c r="J9794" s="13" t="n">
        <f aca="false">Sens!$J$9783/Sens!$J$9765</f>
        <v>0.288011814789856</v>
      </c>
      <c r="K9794" s="13" t="n">
        <f aca="false">Sens!$K$9783/Sens!$K$9765</f>
        <v>0.25765427518774</v>
      </c>
      <c r="L9794" s="13" t="n">
        <f aca="false">Sens!$L$9783/Sens!$L$9765</f>
        <v>0.238118778012374</v>
      </c>
      <c r="M9794" s="13" t="n">
        <f aca="false">Sens!$M$9783/Sens!$M$9765</f>
        <v>0.222746255757109</v>
      </c>
      <c r="N9794" s="13" t="n">
        <f aca="false">Sens!$N$9783/Sens!$N$9765</f>
        <v>0.551227795793364</v>
      </c>
      <c r="O9794" s="13" t="n">
        <f aca="false">Sens!$O$9783/Sens!$O$9765</f>
        <v>0.656132068597002</v>
      </c>
    </row>
    <row r="9795" customFormat="false" ht="15" hidden="false" customHeight="false" outlineLevel="0" collapsed="false">
      <c r="A9795" s="5" t="s">
        <v>753</v>
      </c>
      <c r="B9795" s="0" t="s">
        <v>52</v>
      </c>
      <c r="C9795" s="13" t="n">
        <f aca="false">Sens!$C$9787/Sens!$C$9767</f>
        <v>0.107519448742004</v>
      </c>
      <c r="D9795" s="13" t="n">
        <f aca="false">Sens!$D$9787/Sens!$D$9767</f>
        <v>0.111552967957552</v>
      </c>
      <c r="E9795" s="13" t="n">
        <f aca="false">Sens!$E$9787/Sens!$E$9767</f>
        <v>0.13428328426562</v>
      </c>
      <c r="F9795" s="13" t="n">
        <f aca="false">Sens!$F$9787/Sens!$F$9767</f>
        <v>0.129343087287827</v>
      </c>
      <c r="G9795" s="13" t="n">
        <f aca="false">Sens!$G$9787/Sens!$G$9767</f>
        <v>0.131651143259596</v>
      </c>
      <c r="H9795" s="13" t="n">
        <f aca="false">Sens!$H$9787/Sens!$H$9767</f>
        <v>0.137449034763893</v>
      </c>
      <c r="I9795" s="13" t="n">
        <f aca="false">Sens!$I$9787/Sens!$I$9767</f>
        <v>0.13598895915033</v>
      </c>
      <c r="J9795" s="13" t="n">
        <f aca="false">Sens!$J$9787/Sens!$J$9767</f>
        <v>0.137709769017663</v>
      </c>
      <c r="K9795" s="13" t="n">
        <f aca="false">Sens!$K$9787/Sens!$K$9767</f>
        <v>0.135459809314784</v>
      </c>
      <c r="L9795" s="13" t="n">
        <f aca="false">Sens!$L$9787/Sens!$L$9767</f>
        <v>0.133669430082102</v>
      </c>
      <c r="M9795" s="13" t="n">
        <f aca="false">Sens!$M$9787/Sens!$M$9767</f>
        <v>0.133349766772341</v>
      </c>
      <c r="N9795" s="13" t="n">
        <f aca="false">Sens!$N$9787/Sens!$N$9767</f>
        <v>0.116201614873411</v>
      </c>
      <c r="O9795" s="13" t="n">
        <f aca="false">Sens!$O$9787/Sens!$O$9767</f>
        <v>0.107733353660861</v>
      </c>
    </row>
    <row r="9796" customFormat="false" ht="17.15" hidden="false" customHeight="false" outlineLevel="0" collapsed="false">
      <c r="A9796" s="1" t="s">
        <v>754</v>
      </c>
    </row>
    <row r="9797" customFormat="false" ht="17.15" hidden="false" customHeight="false" outlineLevel="0" collapsed="false">
      <c r="A9797" s="5" t="s">
        <v>755</v>
      </c>
      <c r="B9797" s="0" t="s">
        <v>52</v>
      </c>
      <c r="D9797" s="28" t="n">
        <f aca="false">(Q!$E$29+Q!$E$30-(1-ext_sh)*Sens!$D$9719)/Sens!$D$9670</f>
        <v>0.0341105596409988</v>
      </c>
    </row>
    <row r="9798" customFormat="false" ht="17.15" hidden="false" customHeight="false" outlineLevel="0" collapsed="false">
      <c r="A9798" s="0" t="s">
        <v>545</v>
      </c>
      <c r="B9798" s="0" t="s">
        <v>86</v>
      </c>
      <c r="C9798" s="38" t="n">
        <f aca="false">Q!$D$29</f>
        <v>14.285</v>
      </c>
      <c r="D9798" s="38" t="n">
        <f aca="false">Q!$E$29</f>
        <v>15.503</v>
      </c>
      <c r="E9798" s="38" t="n">
        <f aca="false">Q!$P$29</f>
        <v>8.78</v>
      </c>
      <c r="F9798" s="38" t="n">
        <f aca="false">(Sens!$D$9797*Sens!$F$9670+(1-ext_sh)*Sens!$F$9719)*Sens!$F$9671</f>
        <v>9.30317620449232</v>
      </c>
      <c r="G9798" s="38" t="n">
        <f aca="false">Sens!$E$9798+Sens!$F$9798</f>
        <v>18.0831762044923</v>
      </c>
      <c r="H9798" s="38" t="n">
        <f aca="false">(Sens!$D$9797*Sens!$H$9670+(1-ext_sh)*Sens!$H$9719)*Sens!$H$9671</f>
        <v>22.1297245338482</v>
      </c>
      <c r="I9798" s="38" t="n">
        <f aca="false">(Sens!$D$9797*Sens!$I$9670+(1-ext_sh)*Sens!$I$9719)*Sens!$I$9671</f>
        <v>28.409695984391</v>
      </c>
      <c r="J9798" s="38" t="n">
        <f aca="false">(Sens!$D$9797*Sens!$J$9670+(1-ext_sh)*Sens!$J$9719)*Sens!$J$9671</f>
        <v>34.1085606174579</v>
      </c>
      <c r="K9798" s="38" t="n">
        <f aca="false">(Sens!$D$9797*Sens!$K$9670+(1-ext_sh)*Sens!$K$9719)*Sens!$K$9671</f>
        <v>39.7218983009068</v>
      </c>
      <c r="L9798" s="38" t="n">
        <f aca="false">(Sens!$D$9797*Sens!$L$9670+(1-ext_sh)*Sens!$L$9719)*Sens!$L$9671</f>
        <v>44.1680279486684</v>
      </c>
      <c r="M9798" s="38" t="n">
        <f aca="false">(Sens!$D$9797*Sens!$M$9670+(1-ext_sh)*Sens!$M$9719)*Sens!$M$9671</f>
        <v>47.4413073313286</v>
      </c>
      <c r="N9798" s="38" t="n">
        <f aca="false">Q!$N$29</f>
        <v>7.272</v>
      </c>
      <c r="O9798" s="38" t="n">
        <f aca="false">Q!$O$29</f>
        <v>8.231</v>
      </c>
    </row>
    <row r="9799" customFormat="false" ht="17.15" hidden="false" customHeight="false" outlineLevel="0" collapsed="false">
      <c r="A9799" s="0" t="s">
        <v>547</v>
      </c>
      <c r="B9799" s="0" t="s">
        <v>86</v>
      </c>
      <c r="C9799" s="38" t="n">
        <f aca="false">Q!$D$30</f>
        <v>4.462</v>
      </c>
      <c r="D9799" s="38" t="n">
        <f aca="false">Q!$E$30</f>
        <v>4.907</v>
      </c>
      <c r="E9799" s="38" t="n">
        <f aca="false">Q!$P$30</f>
        <v>2.57</v>
      </c>
      <c r="F9799" s="38" t="n">
        <f aca="false">(Sens!$D$9797*Sens!$F$9670+(1-ext_sh)*Sens!$F$9719)*(1-Sens!$F$9671)</f>
        <v>3.6526976809753</v>
      </c>
      <c r="G9799" s="38" t="n">
        <f aca="false">Sens!$E$9799+Sens!$F$9799</f>
        <v>6.2226976809753</v>
      </c>
      <c r="H9799" s="38" t="n">
        <f aca="false">(Sens!$D$9797*Sens!$H$9670+(1-ext_sh)*Sens!$H$9719)*(1-Sens!$H$9671)</f>
        <v>8.4764774248495</v>
      </c>
      <c r="I9799" s="38" t="n">
        <f aca="false">(Sens!$D$9797*Sens!$I$9670+(1-ext_sh)*Sens!$I$9719)*(1-Sens!$I$9671)</f>
        <v>10.881931507561</v>
      </c>
      <c r="J9799" s="38" t="n">
        <f aca="false">(Sens!$D$9797*Sens!$J$9670+(1-ext_sh)*Sens!$J$9719)*(1-Sens!$J$9671)</f>
        <v>13.0648008575874</v>
      </c>
      <c r="K9799" s="38" t="n">
        <f aca="false">(Sens!$D$9797*Sens!$K$9670+(1-ext_sh)*Sens!$K$9719)*(1-Sens!$K$9671)</f>
        <v>15.2149103214008</v>
      </c>
      <c r="L9799" s="38" t="n">
        <f aca="false">(Sens!$D$9797*Sens!$L$9670+(1-ext_sh)*Sens!$L$9719)*(1-Sens!$L$9671)</f>
        <v>16.9179372854085</v>
      </c>
      <c r="M9799" s="38" t="n">
        <f aca="false">(Sens!$D$9797*Sens!$M$9670+(1-ext_sh)*Sens!$M$9719)*(1-Sens!$M$9671)</f>
        <v>18.1717205735785</v>
      </c>
      <c r="N9799" s="38" t="n">
        <f aca="false">Q!$N$30</f>
        <v>2.316</v>
      </c>
      <c r="O9799" s="38" t="n">
        <f aca="false">Q!$O$30</f>
        <v>2.591</v>
      </c>
    </row>
    <row r="9800" customFormat="false" ht="17.15" hidden="false" customHeight="false" outlineLevel="0" collapsed="false">
      <c r="A9800" s="0" t="s">
        <v>548</v>
      </c>
      <c r="B9800" s="0" t="s">
        <v>86</v>
      </c>
      <c r="C9800" s="38" t="n">
        <f aca="false">Sens!$C$9731</f>
        <v>13.32</v>
      </c>
      <c r="D9800" s="38" t="n">
        <f aca="false">Sens!$D$9731</f>
        <v>21.45</v>
      </c>
      <c r="E9800" s="38" t="n">
        <f aca="false">Sens!$E$9731</f>
        <v>15.353</v>
      </c>
      <c r="F9800" s="38" t="n">
        <f aca="false">Sens!$F$9731</f>
        <v>16.1969869840094</v>
      </c>
      <c r="G9800" s="38" t="n">
        <f aca="false">Sens!$G$9731</f>
        <v>31.5499869840094</v>
      </c>
      <c r="H9800" s="38" t="n">
        <f aca="false">Sens!$H$9731</f>
        <v>50.9556213609176</v>
      </c>
      <c r="I9800" s="38" t="n">
        <f aca="false">Sens!$I$9731</f>
        <v>79.464581248252</v>
      </c>
      <c r="J9800" s="38" t="n">
        <f aca="false">Sens!$J$9731</f>
        <v>105.296127931746</v>
      </c>
      <c r="K9800" s="38" t="n">
        <f aca="false">Sens!$K$9731</f>
        <v>131.454694001511</v>
      </c>
      <c r="L9800" s="38" t="n">
        <f aca="false">Sens!$L$9731</f>
        <v>150.840456981405</v>
      </c>
      <c r="M9800" s="38" t="n">
        <f aca="false">Sens!$M$9731</f>
        <v>163.399454192999</v>
      </c>
      <c r="N9800" s="38" t="n">
        <f aca="false">Sens!$N$9731</f>
        <v>9.234</v>
      </c>
      <c r="O9800" s="38" t="n">
        <f aca="false">Sens!$O$9731</f>
        <v>12.216</v>
      </c>
    </row>
    <row r="9801" customFormat="false" ht="17.15" hidden="false" customHeight="false" outlineLevel="0" collapsed="false">
      <c r="A9801" s="5" t="s">
        <v>756</v>
      </c>
      <c r="B9801" s="0" t="s">
        <v>86</v>
      </c>
      <c r="C9801" s="38" t="n">
        <f aca="false">Sens!$C$9798+Sens!$C$9799+Sens!$C$9800</f>
        <v>32.067</v>
      </c>
      <c r="D9801" s="38" t="n">
        <f aca="false">Sens!$D$9798+Sens!$D$9799+Sens!$D$9800</f>
        <v>41.86</v>
      </c>
      <c r="E9801" s="38" t="n">
        <f aca="false">Sens!$E$9798+Sens!$E$9799+Sens!$E$9800</f>
        <v>26.703</v>
      </c>
      <c r="F9801" s="38" t="n">
        <f aca="false">Sens!$F$9798+Sens!$F$9799+Sens!$F$9800</f>
        <v>29.152860869477</v>
      </c>
      <c r="G9801" s="38" t="n">
        <f aca="false">Sens!$G$9798+Sens!$G$9799+Sens!$G$9800</f>
        <v>55.855860869477</v>
      </c>
      <c r="H9801" s="38" t="n">
        <f aca="false">Sens!$H$9798+Sens!$H$9799+Sens!$H$9800</f>
        <v>81.5618233196153</v>
      </c>
      <c r="I9801" s="38" t="n">
        <f aca="false">Sens!$I$9798+Sens!$I$9799+Sens!$I$9800</f>
        <v>118.756208740204</v>
      </c>
      <c r="J9801" s="38" t="n">
        <f aca="false">Sens!$J$9798+Sens!$J$9799+Sens!$J$9800</f>
        <v>152.469489406791</v>
      </c>
      <c r="K9801" s="38" t="n">
        <f aca="false">Sens!$K$9798+Sens!$K$9799+Sens!$K$9800</f>
        <v>186.391502623819</v>
      </c>
      <c r="L9801" s="38" t="n">
        <f aca="false">Sens!$L$9798+Sens!$L$9799+Sens!$L$9800</f>
        <v>211.926422215482</v>
      </c>
      <c r="M9801" s="38" t="n">
        <f aca="false">Sens!$M$9798+Sens!$M$9799+Sens!$M$9800</f>
        <v>229.012482097906</v>
      </c>
      <c r="N9801" s="38" t="n">
        <f aca="false">Sens!$N$9798+Sens!$N$9799+Sens!$N$9800</f>
        <v>18.822</v>
      </c>
      <c r="O9801" s="38" t="n">
        <f aca="false">Sens!$O$9798+Sens!$O$9799+Sens!$O$9800</f>
        <v>23.038</v>
      </c>
    </row>
    <row r="9802" customFormat="false" ht="17.15" hidden="false" customHeight="false" outlineLevel="0" collapsed="false">
      <c r="A9802" s="0" t="s">
        <v>757</v>
      </c>
      <c r="B9802" s="0" t="s">
        <v>86</v>
      </c>
      <c r="C9802" s="38" t="n">
        <f aca="false">Sens!$C$9773+Sens!$C$9778</f>
        <v>28.107</v>
      </c>
      <c r="D9802" s="38" t="n">
        <f aca="false">Sens!$D$9773+Sens!$D$9778</f>
        <v>34.3175</v>
      </c>
      <c r="E9802" s="38" t="n">
        <f aca="false">Sens!$E$9773+Sens!$E$9778</f>
        <v>18.526</v>
      </c>
      <c r="F9802" s="38" t="n">
        <f aca="false">Sens!$F$9773+Sens!$F$9778</f>
        <v>23.0786109972074</v>
      </c>
      <c r="G9802" s="38" t="n">
        <f aca="false">Sens!$G$9773+Sens!$G$9778</f>
        <v>41.6046109972074</v>
      </c>
      <c r="H9802" s="38" t="n">
        <f aca="false">Sens!$H$9773+Sens!$H$9778</f>
        <v>49.9484611939488</v>
      </c>
      <c r="I9802" s="38" t="n">
        <f aca="false">Sens!$I$9773+Sens!$I$9778</f>
        <v>58.2915555477481</v>
      </c>
      <c r="J9802" s="38" t="n">
        <f aca="false">Sens!$J$9773+Sens!$J$9778</f>
        <v>66.0744709709759</v>
      </c>
      <c r="K9802" s="38" t="n">
        <f aca="false">Sens!$K$9773+Sens!$K$9778</f>
        <v>72.6819180680735</v>
      </c>
      <c r="L9802" s="38" t="n">
        <f aca="false">Sens!$L$9773+Sens!$L$9778</f>
        <v>79.9501098748808</v>
      </c>
      <c r="M9802" s="38" t="n">
        <f aca="false">Sens!$M$9773+Sens!$M$9778</f>
        <v>87.9451208623689</v>
      </c>
      <c r="N9802" s="38" t="n">
        <f aca="false">Sens!$N$9773+Sens!$N$9778</f>
        <v>14.8075</v>
      </c>
      <c r="O9802" s="38" t="n">
        <f aca="false">Sens!$O$9773+Sens!$O$9778</f>
        <v>19.51</v>
      </c>
    </row>
    <row r="9803" customFormat="false" ht="17.15" hidden="false" customHeight="false" outlineLevel="0" collapsed="false">
      <c r="A9803" s="0" t="s">
        <v>758</v>
      </c>
      <c r="B9803" s="0" t="s">
        <v>86</v>
      </c>
      <c r="C9803" s="38" t="n">
        <f aca="false">Sens!$C$9777+Sens!$C$9782+Sens!$C$9798+Sens!$C$9799-Sens!$C$9802</f>
        <v>19.399</v>
      </c>
      <c r="D9803" s="38" t="n">
        <f aca="false">Sens!$D$9777+Sens!$D$9782+Sens!$D$9798+Sens!$D$9799-Sens!$D$9802</f>
        <v>20.4615</v>
      </c>
      <c r="E9803" s="38" t="n">
        <f aca="false">Sens!$E$9777+Sens!$E$9782+Sens!$E$9798+Sens!$E$9799-Sens!$E$9802</f>
        <v>13.355</v>
      </c>
      <c r="F9803" s="38" t="n">
        <f aca="false">Sens!$F$9777+Sens!$F$9782+Sens!$F$9798+Sens!$F$9799-Sens!$F$9802</f>
        <v>12.7680546411015</v>
      </c>
      <c r="G9803" s="38" t="n">
        <f aca="false">Sens!$G$9777+Sens!$G$9782+Sens!$G$9798+Sens!$G$9799-Sens!$G$9802</f>
        <v>26.1230546411015</v>
      </c>
      <c r="H9803" s="38" t="n">
        <f aca="false">Sens!$H$9777+Sens!$H$9782+Sens!$H$9798+Sens!$H$9799-Sens!$H$9802</f>
        <v>28.4662904769959</v>
      </c>
      <c r="I9803" s="38" t="n">
        <f aca="false">Sens!$I$9777+Sens!$I$9782+Sens!$I$9798+Sens!$I$9799-Sens!$I$9802</f>
        <v>30.7231490427408</v>
      </c>
      <c r="J9803" s="38" t="n">
        <f aca="false">Sens!$J$9777+Sens!$J$9782+Sens!$J$9798+Sens!$J$9799-Sens!$J$9802</f>
        <v>32.9723159380642</v>
      </c>
      <c r="K9803" s="38" t="n">
        <f aca="false">Sens!$K$9777+Sens!$K$9782+Sens!$K$9798+Sens!$K$9799-Sens!$K$9802</f>
        <v>35.3819359626894</v>
      </c>
      <c r="L9803" s="38" t="n">
        <f aca="false">Sens!$L$9777+Sens!$L$9782+Sens!$L$9798+Sens!$L$9799-Sens!$L$9802</f>
        <v>37.0165770259405</v>
      </c>
      <c r="M9803" s="38" t="n">
        <f aca="false">Sens!$M$9777+Sens!$M$9782+Sens!$M$9798+Sens!$M$9799-Sens!$M$9802</f>
        <v>39.4490703930704</v>
      </c>
      <c r="N9803" s="38" t="n">
        <f aca="false">Sens!$N$9777+Sens!$N$9782+Sens!$N$9798+Sens!$N$9799-Sens!$N$9802</f>
        <v>10.6495</v>
      </c>
      <c r="O9803" s="38" t="n">
        <f aca="false">Sens!$O$9777+Sens!$O$9782+Sens!$O$9798+Sens!$O$9799-Sens!$O$9802</f>
        <v>9.81200000000001</v>
      </c>
    </row>
    <row r="9804" customFormat="false" ht="17.15" hidden="false" customHeight="false" outlineLevel="0" collapsed="false">
      <c r="A9804" s="0" t="s">
        <v>759</v>
      </c>
      <c r="B9804" s="0" t="s">
        <v>86</v>
      </c>
      <c r="C9804" s="38" t="n">
        <f aca="false">Sens!$C$9784+Sens!$C$9800-ext_sh*Sens!$C$9719</f>
        <v>51.3470500115664</v>
      </c>
      <c r="D9804" s="38" t="n">
        <f aca="false">Sens!$D$9784+Sens!$D$9800-ext_sh*Sens!$D$9719</f>
        <v>60.2799375433739</v>
      </c>
      <c r="E9804" s="38" t="n">
        <f aca="false">Sens!$E$9784+Sens!$E$9800-ext_sh*Sens!$E$9719</f>
        <v>39.5095167090767</v>
      </c>
      <c r="F9804" s="38" t="n">
        <f aca="false">Sens!$F$9784+Sens!$F$9800-ext_sh*Sens!$F$9719</f>
        <v>37.951394214027</v>
      </c>
      <c r="G9804" s="38" t="n">
        <f aca="false">Sens!$G$9784+Sens!$G$9800-ext_sh*Sens!$G$9719</f>
        <v>77.4609109231037</v>
      </c>
      <c r="H9804" s="38" t="n">
        <f aca="false">Sens!$H$9784+Sens!$H$9800-ext_sh*Sens!$H$9719</f>
        <v>85.1453558128916</v>
      </c>
      <c r="I9804" s="38" t="n">
        <f aca="false">Sens!$I$9784+Sens!$I$9800-ext_sh*Sens!$I$9719</f>
        <v>94.532921967974</v>
      </c>
      <c r="J9804" s="38" t="n">
        <f aca="false">Sens!$J$9784+Sens!$J$9800-ext_sh*Sens!$J$9719</f>
        <v>103.525527532583</v>
      </c>
      <c r="K9804" s="38" t="n">
        <f aca="false">Sens!$K$9784+Sens!$K$9800-ext_sh*Sens!$K$9719</f>
        <v>111.80756973519</v>
      </c>
      <c r="L9804" s="38" t="n">
        <f aca="false">Sens!$L$9784+Sens!$L$9800-ext_sh*Sens!$L$9719</f>
        <v>120.752175314005</v>
      </c>
      <c r="M9804" s="38" t="n">
        <f aca="false">Sens!$M$9784+Sens!$M$9800-ext_sh*Sens!$M$9719</f>
        <v>130.412349339125</v>
      </c>
      <c r="N9804" s="38" t="n">
        <f aca="false">Sens!$N$9784+Sens!$N$9800-ext_sh*Sens!$N$9719</f>
        <v>28.5693781401809</v>
      </c>
      <c r="O9804" s="38" t="n">
        <f aca="false">Sens!$O$9784+Sens!$O$9800-ext_sh*Sens!$O$9719</f>
        <v>31.7105594031931</v>
      </c>
    </row>
    <row r="9805" customFormat="false" ht="17.15" hidden="false" customHeight="false" outlineLevel="0" collapsed="false">
      <c r="A9805" s="0" t="s">
        <v>760</v>
      </c>
      <c r="B9805" s="0" t="s">
        <v>86</v>
      </c>
      <c r="C9805" s="38" t="n">
        <f aca="false">Sens!$C$9722</f>
        <v>1.80694998843362</v>
      </c>
      <c r="D9805" s="38" t="n">
        <f aca="false">Sens!$D$9722</f>
        <v>6.77606245662607</v>
      </c>
      <c r="E9805" s="38" t="n">
        <f aca="false">Sens!$E$9722</f>
        <v>6.62548329092326</v>
      </c>
      <c r="F9805" s="38" t="n">
        <f aca="false">Sens!$F$9722</f>
        <v>11.7200577158706</v>
      </c>
      <c r="G9805" s="38" t="n">
        <f aca="false">Sens!$G$9722</f>
        <v>18.3455410067939</v>
      </c>
      <c r="H9805" s="38" t="n">
        <f aca="false">Sens!$H$9722</f>
        <v>47.5171727060453</v>
      </c>
      <c r="I9805" s="38" t="n">
        <f aca="false">Sens!$I$9722</f>
        <v>80.5539692643667</v>
      </c>
      <c r="J9805" s="38" t="n">
        <f aca="false">Sens!$J$9722</f>
        <v>113.759316834883</v>
      </c>
      <c r="K9805" s="38" t="n">
        <f aca="false">Sens!$K$9722</f>
        <v>142.084411492169</v>
      </c>
      <c r="L9805" s="38" t="n">
        <f aca="false">Sens!$L$9722</f>
        <v>160.69964615804</v>
      </c>
      <c r="M9805" s="38" t="n">
        <f aca="false">Sens!$M$9722</f>
        <v>169.577607141793</v>
      </c>
      <c r="N9805" s="38" t="n">
        <f aca="false">Sens!$N$9722</f>
        <v>2.37162185981912</v>
      </c>
      <c r="O9805" s="38" t="n">
        <f aca="false">Sens!$O$9722</f>
        <v>4.40444059680694</v>
      </c>
    </row>
    <row r="9806" customFormat="false" ht="17.15" hidden="false" customHeight="false" outlineLevel="0" collapsed="false">
      <c r="A9806" s="0" t="s">
        <v>761</v>
      </c>
      <c r="B9806" s="0" t="s">
        <v>86</v>
      </c>
      <c r="C9806" s="38" t="n">
        <f aca="false">Sens!$C$9787+Sens!$C$9801</f>
        <v>100.66</v>
      </c>
      <c r="D9806" s="38" t="n">
        <f aca="false">Sens!$D$9787+Sens!$D$9801</f>
        <v>121.835</v>
      </c>
      <c r="E9806" s="38" t="n">
        <f aca="false">Sens!$E$9787+Sens!$E$9801</f>
        <v>78.016</v>
      </c>
      <c r="F9806" s="38" t="n">
        <f aca="false">Sens!$F$9787+Sens!$F$9801</f>
        <v>85.5181175682064</v>
      </c>
      <c r="G9806" s="38" t="n">
        <f aca="false">Sens!$G$9787+Sens!$G$9801</f>
        <v>163.534117568206</v>
      </c>
      <c r="H9806" s="38" t="n">
        <f aca="false">Sens!$H$9787+Sens!$H$9801</f>
        <v>211.077280189882</v>
      </c>
      <c r="I9806" s="38" t="n">
        <f aca="false">Sens!$I$9787+Sens!$I$9801</f>
        <v>264.10159582283</v>
      </c>
      <c r="J9806" s="38" t="n">
        <f aca="false">Sens!$J$9787+Sens!$J$9801</f>
        <v>316.331631276507</v>
      </c>
      <c r="K9806" s="38" t="n">
        <f aca="false">Sens!$K$9787+Sens!$K$9801</f>
        <v>361.955835258122</v>
      </c>
      <c r="L9806" s="38" t="n">
        <f aca="false">Sens!$L$9787+Sens!$L$9801</f>
        <v>398.418508372866</v>
      </c>
      <c r="M9806" s="38" t="n">
        <f aca="false">Sens!$M$9787+Sens!$M$9801</f>
        <v>427.384147736358</v>
      </c>
      <c r="N9806" s="38" t="n">
        <f aca="false">Sens!$N$9787+Sens!$N$9801</f>
        <v>56.398</v>
      </c>
      <c r="O9806" s="38" t="n">
        <f aca="false">Sens!$O$9787+Sens!$O$9801</f>
        <v>65.437</v>
      </c>
    </row>
    <row r="9807" customFormat="false" ht="17.15" hidden="false" customHeight="false" outlineLevel="0" collapsed="false">
      <c r="A9807" s="1" t="s">
        <v>762</v>
      </c>
    </row>
    <row r="9808" customFormat="false" ht="15" hidden="false" customHeight="false" outlineLevel="0" collapsed="false">
      <c r="A9808" s="5" t="s">
        <v>551</v>
      </c>
      <c r="B9808" s="0" t="s">
        <v>86</v>
      </c>
      <c r="C9808" s="38" t="n">
        <f aca="false">Q!$D$34</f>
        <v>2.406</v>
      </c>
      <c r="D9808" s="38" t="n">
        <f aca="false">Q!$E$34</f>
        <v>2.274</v>
      </c>
      <c r="E9808" s="38" t="n">
        <f aca="false">Q!$P$34</f>
        <v>2.114</v>
      </c>
      <c r="F9808" s="38" t="n">
        <f aca="false">Sens!$F$9846</f>
        <v>3.24888962733561</v>
      </c>
      <c r="G9808" s="38" t="n">
        <f aca="false">Sens!$E$9808+Sens!$F$9808</f>
        <v>5.36288962733561</v>
      </c>
      <c r="H9808" s="38" t="n">
        <f aca="false">Sens!$H$9846</f>
        <v>7.42354172302123</v>
      </c>
      <c r="I9808" s="38" t="n">
        <f aca="false">Sens!$I$9846</f>
        <v>7.84418947693382</v>
      </c>
      <c r="J9808" s="38" t="n">
        <f aca="false">Sens!$J$9846</f>
        <v>8.79561318891235</v>
      </c>
      <c r="K9808" s="38" t="n">
        <f aca="false">Sens!$K$9846</f>
        <v>8.79561318891235</v>
      </c>
      <c r="L9808" s="38" t="n">
        <f aca="false">Sens!$L$9846</f>
        <v>8.79561318891235</v>
      </c>
      <c r="M9808" s="38" t="n">
        <f aca="false">Sens!$M$9846</f>
        <v>8.79561318891235</v>
      </c>
      <c r="N9808" s="38" t="n">
        <f aca="false">Q!$N$34</f>
        <v>1.057</v>
      </c>
      <c r="O9808" s="38" t="n">
        <f aca="false">Q!$O$34</f>
        <v>1.217</v>
      </c>
    </row>
    <row r="9809" customFormat="false" ht="15" hidden="false" customHeight="false" outlineLevel="0" collapsed="false">
      <c r="A9809" s="5" t="s">
        <v>763</v>
      </c>
      <c r="B9809" s="0" t="s">
        <v>86</v>
      </c>
      <c r="F9809" s="38" t="n">
        <f aca="false">Sens!$F$9847</f>
        <v>2.59</v>
      </c>
      <c r="H9809" s="38" t="n">
        <f aca="false">Sens!$H$9847</f>
        <v>4.1153774832261</v>
      </c>
      <c r="I9809" s="38" t="n">
        <f aca="false">Sens!$I$9847</f>
        <v>2.10589651022864</v>
      </c>
      <c r="J9809" s="38" t="n">
        <f aca="false">Sens!$J$9847</f>
        <v>2.10589651022864</v>
      </c>
      <c r="K9809" s="38" t="n">
        <f aca="false">Sens!$K$9847</f>
        <v>3.172800358404</v>
      </c>
      <c r="L9809" s="38" t="n">
        <f aca="false">Sens!$L$9847</f>
        <v>8.31037272592208</v>
      </c>
      <c r="M9809" s="38" t="n">
        <f aca="false">Sens!$M$9847</f>
        <v>15.9256588704093</v>
      </c>
    </row>
    <row r="9810" customFormat="false" ht="17.15" hidden="false" customHeight="false" outlineLevel="0" collapsed="false">
      <c r="A9810" s="5" t="s">
        <v>764</v>
      </c>
      <c r="B9810" s="0" t="s">
        <v>86</v>
      </c>
      <c r="C9810" s="38" t="n">
        <f aca="false">Q!$D$39</f>
        <v>2.427</v>
      </c>
      <c r="D9810" s="38" t="n">
        <f aca="false">Q!$E$39</f>
        <v>19.61</v>
      </c>
      <c r="E9810" s="38" t="n">
        <f aca="false">Q!$P$39</f>
        <v>71.492</v>
      </c>
      <c r="F9810" s="39" t="n">
        <v>0</v>
      </c>
      <c r="G9810" s="38" t="n">
        <f aca="false">Sens!$E$9810+Sens!$F$9810</f>
        <v>71.492</v>
      </c>
      <c r="H9810" s="39" t="n">
        <v>0</v>
      </c>
      <c r="I9810" s="39" t="n">
        <v>0</v>
      </c>
      <c r="J9810" s="39" t="n">
        <v>0</v>
      </c>
      <c r="K9810" s="39" t="n">
        <v>0</v>
      </c>
      <c r="L9810" s="39" t="n">
        <v>0</v>
      </c>
      <c r="M9810" s="39" t="n">
        <v>0</v>
      </c>
      <c r="N9810" s="38" t="n">
        <f aca="false">Q!$N$39</f>
        <v>6.017</v>
      </c>
      <c r="O9810" s="38" t="n">
        <f aca="false">Q!$O$39</f>
        <v>13.593</v>
      </c>
      <c r="P9810" s="5" t="s">
        <v>765</v>
      </c>
    </row>
    <row r="9811" customFormat="false" ht="15" hidden="false" customHeight="false" outlineLevel="0" collapsed="false">
      <c r="A9811" s="5" t="s">
        <v>554</v>
      </c>
      <c r="B9811" s="0" t="s">
        <v>86</v>
      </c>
      <c r="C9811" s="38" t="n">
        <f aca="false">Q!$D$36</f>
        <v>68.614</v>
      </c>
      <c r="D9811" s="38" t="n">
        <f aca="false">Q!$E$36</f>
        <v>97.311</v>
      </c>
      <c r="E9811" s="38" t="n">
        <f aca="false">Q!$P$36</f>
        <v>120.691</v>
      </c>
      <c r="F9811" s="38" t="n">
        <f aca="false">Sens!$F$9787-Sens!$F$9808+Sens!$F$9809+Sens!$F$9810</f>
        <v>55.7063670713938</v>
      </c>
      <c r="G9811" s="38" t="n">
        <f aca="false">Sens!$E$9811+Sens!$F$9811</f>
        <v>176.397367071394</v>
      </c>
      <c r="H9811" s="38" t="n">
        <f aca="false">Sens!$H$9787-Sens!$H$9808+Sens!$H$9809+Sens!$H$9810</f>
        <v>126.207292630471</v>
      </c>
      <c r="I9811" s="38" t="n">
        <f aca="false">Sens!$I$9787-Sens!$I$9808+Sens!$I$9809+Sens!$I$9810</f>
        <v>139.60709411592</v>
      </c>
      <c r="J9811" s="38" t="n">
        <f aca="false">Sens!$J$9787-Sens!$J$9808+Sens!$J$9809+Sens!$J$9810</f>
        <v>157.172425191032</v>
      </c>
      <c r="K9811" s="38" t="n">
        <f aca="false">Sens!$K$9787-Sens!$K$9808+Sens!$K$9809+Sens!$K$9810</f>
        <v>169.941519803795</v>
      </c>
      <c r="L9811" s="38" t="n">
        <f aca="false">Sens!$L$9787-Sens!$L$9808+Sens!$L$9809+Sens!$L$9810</f>
        <v>186.006845694394</v>
      </c>
      <c r="M9811" s="38" t="n">
        <f aca="false">Sens!$M$9787-Sens!$M$9808+Sens!$M$9809+Sens!$M$9810</f>
        <v>205.501711319949</v>
      </c>
      <c r="N9811" s="38" t="n">
        <f aca="false">Q!$N$36</f>
        <v>42.536</v>
      </c>
      <c r="O9811" s="38" t="n">
        <f aca="false">Q!$O$36</f>
        <v>54.775</v>
      </c>
    </row>
    <row r="9812" customFormat="false" ht="15" hidden="false" customHeight="false" outlineLevel="0" collapsed="false">
      <c r="A9812" s="5" t="s">
        <v>555</v>
      </c>
      <c r="B9812" s="0" t="s">
        <v>86</v>
      </c>
      <c r="C9812" s="38" t="n">
        <f aca="false">Q!$D$37</f>
        <v>9.265</v>
      </c>
      <c r="D9812" s="38" t="n">
        <f aca="false">Q!$E$37</f>
        <v>19.087</v>
      </c>
      <c r="E9812" s="38" t="n">
        <f aca="false">Q!$P$37</f>
        <v>27.759</v>
      </c>
      <c r="F9812" s="38" t="n">
        <f aca="false">Sens!$F$9811*tax</f>
        <v>9.669763357865</v>
      </c>
      <c r="G9812" s="38" t="n">
        <f aca="false">Sens!$E$9812+Sens!$F$9812</f>
        <v>37.428763357865</v>
      </c>
      <c r="H9812" s="38" t="n">
        <f aca="false">Sens!$H$9811*tax</f>
        <v>21.9076331473816</v>
      </c>
      <c r="I9812" s="38" t="n">
        <f aca="false">Sens!$I$9811*tax</f>
        <v>24.2336313450491</v>
      </c>
      <c r="J9812" s="38" t="n">
        <f aca="false">Sens!$J$9811*tax</f>
        <v>27.2827010246639</v>
      </c>
      <c r="K9812" s="38" t="n">
        <f aca="false">Sens!$K$9811*tax</f>
        <v>29.4992182683994</v>
      </c>
      <c r="L9812" s="38" t="n">
        <f aca="false">Sens!$L$9811*tax</f>
        <v>32.2879102581316</v>
      </c>
      <c r="M9812" s="38" t="n">
        <f aca="false">Sens!$M$9811*tax</f>
        <v>35.671917279284</v>
      </c>
      <c r="N9812" s="38" t="n">
        <f aca="false">Q!$N$37</f>
        <v>7.231</v>
      </c>
      <c r="O9812" s="38" t="n">
        <f aca="false">Q!$O$37</f>
        <v>11.856</v>
      </c>
    </row>
    <row r="9813" customFormat="false" ht="15" hidden="false" customHeight="false" outlineLevel="0" collapsed="false">
      <c r="A9813" s="3" t="s">
        <v>556</v>
      </c>
      <c r="B9813" s="8" t="s">
        <v>86</v>
      </c>
      <c r="C9813" s="38" t="n">
        <f aca="false">Q!$D$38</f>
        <v>59.248</v>
      </c>
      <c r="D9813" s="38" t="n">
        <f aca="false">Q!$E$38</f>
        <v>77.67</v>
      </c>
      <c r="E9813" s="38" t="n">
        <f aca="false">Q!$P$38</f>
        <v>92.902</v>
      </c>
      <c r="F9813" s="38" t="n">
        <f aca="false">Sens!$F$9811-Sens!$F$9812</f>
        <v>46.0366037135288</v>
      </c>
      <c r="G9813" s="38" t="n">
        <f aca="false">Sens!$E$9813+Sens!$F$9813</f>
        <v>138.938603713529</v>
      </c>
      <c r="H9813" s="38" t="n">
        <f aca="false">Sens!$H$9811-Sens!$H$9812</f>
        <v>104.29965948309</v>
      </c>
      <c r="I9813" s="38" t="n">
        <f aca="false">Sens!$I$9811-Sens!$I$9812</f>
        <v>115.373462770871</v>
      </c>
      <c r="J9813" s="38" t="n">
        <f aca="false">Sens!$J$9811-Sens!$J$9812</f>
        <v>129.889724166368</v>
      </c>
      <c r="K9813" s="38" t="n">
        <f aca="false">Sens!$K$9811-Sens!$K$9812</f>
        <v>140.442301535395</v>
      </c>
      <c r="L9813" s="38" t="n">
        <f aca="false">Sens!$L$9811-Sens!$L$9812</f>
        <v>153.718935436262</v>
      </c>
      <c r="M9813" s="38" t="n">
        <f aca="false">Sens!$M$9811-Sens!$M$9812</f>
        <v>169.829794040665</v>
      </c>
      <c r="N9813" s="38" t="n">
        <f aca="false">Q!$N$38</f>
        <v>35.291</v>
      </c>
      <c r="O9813" s="38" t="n">
        <f aca="false">Q!$O$38</f>
        <v>42.379</v>
      </c>
    </row>
    <row r="9814" customFormat="false" ht="17.15" hidden="false" customHeight="false" outlineLevel="0" collapsed="false">
      <c r="A9814" s="5" t="s">
        <v>559</v>
      </c>
      <c r="B9814" s="5" t="s">
        <v>33</v>
      </c>
      <c r="C9814" s="22" t="n">
        <f aca="false">Q!$D$41</f>
        <v>10.721</v>
      </c>
      <c r="D9814" s="22" t="n">
        <f aca="false">Q!$E$41</f>
        <v>10.827</v>
      </c>
      <c r="E9814" s="22" t="n">
        <f aca="false">(Q!$L$41+Q!$M$41)/2</f>
        <v>10.8885</v>
      </c>
      <c r="F9814" s="22" t="n">
        <f aca="false">Sens!$G$9814</f>
        <v>10.924806</v>
      </c>
      <c r="G9814" s="22" t="n">
        <f aca="false">Q!$M$41*(1+sh_g*0.25)</f>
        <v>10.924806</v>
      </c>
      <c r="H9814" s="22" t="n">
        <f aca="false">Sens!$G$9814*(1+sh_g)</f>
        <v>11.012204448</v>
      </c>
      <c r="I9814" s="22" t="n">
        <f aca="false">Sens!$H$9814*(1+sh_g)</f>
        <v>11.100302083584</v>
      </c>
      <c r="J9814" s="22" t="n">
        <f aca="false">Sens!$I$9814*(1+sh_g)</f>
        <v>11.1891045002527</v>
      </c>
      <c r="K9814" s="22" t="n">
        <f aca="false">Sens!$J$9814*(1+sh_g)</f>
        <v>11.2786173362547</v>
      </c>
      <c r="L9814" s="22" t="n">
        <f aca="false">Sens!$K$9814*(1+sh_g)</f>
        <v>11.3688462749447</v>
      </c>
      <c r="M9814" s="22" t="n">
        <f aca="false">Sens!$L$9814*(1+sh_g)</f>
        <v>11.4597970451443</v>
      </c>
      <c r="P9814" s="5" t="s">
        <v>766</v>
      </c>
    </row>
    <row r="9815" customFormat="false" ht="17.15" hidden="false" customHeight="false" outlineLevel="0" collapsed="false">
      <c r="A9815" s="5" t="s">
        <v>767</v>
      </c>
      <c r="B9815" s="0" t="s">
        <v>86</v>
      </c>
      <c r="C9815" s="38" t="n">
        <f aca="false">Sens!$C$9813+Sens!$C$9789*(1-tax)</f>
        <v>59.248</v>
      </c>
      <c r="D9815" s="38" t="n">
        <f aca="false">Sens!$D$9813+Sens!$D$9789*(1-tax)</f>
        <v>77.67</v>
      </c>
      <c r="E9815" s="38" t="n">
        <f aca="false">Sens!$E$9813+Sens!$E$9789*(1-tax)</f>
        <v>92.902</v>
      </c>
      <c r="F9815" s="38" t="n">
        <f aca="false">Sens!$F$9813+Sens!$F$9789*(1-tax)</f>
        <v>49.1531986731775</v>
      </c>
      <c r="G9815" s="38" t="n">
        <f aca="false">Sens!$G$9813+Sens!$G$9789*(1-tax)</f>
        <v>142.055198673178</v>
      </c>
      <c r="H9815" s="38" t="n">
        <f aca="false">Sens!$H$9813+Sens!$H$9789*(1-tax)</f>
        <v>116.831055438434</v>
      </c>
      <c r="I9815" s="38" t="n">
        <f aca="false">Sens!$I$9813+Sens!$I$9789*(1-tax)</f>
        <v>136.514727845811</v>
      </c>
      <c r="J9815" s="38" t="n">
        <f aca="false">Sens!$J$9813+Sens!$J$9789*(1-tax)</f>
        <v>159.679161110652</v>
      </c>
      <c r="K9815" s="38" t="n">
        <f aca="false">Sens!$K$9813+Sens!$K$9789*(1-tax)</f>
        <v>177.609607232054</v>
      </c>
      <c r="L9815" s="38" t="n">
        <f aca="false">Sens!$L$9813+Sens!$L$9789*(1-tax)</f>
        <v>195.735012776818</v>
      </c>
      <c r="M9815" s="38" t="n">
        <f aca="false">Sens!$M$9813+Sens!$M$9789*(1-tax)</f>
        <v>214.159316231505</v>
      </c>
      <c r="N9815" s="38" t="n">
        <f aca="false">Sens!$N$9813+Sens!$N$9789*(1-tax)</f>
        <v>35.291</v>
      </c>
      <c r="O9815" s="38" t="n">
        <f aca="false">Sens!$O$9813+Sens!$O$9789*(1-tax)</f>
        <v>42.379</v>
      </c>
    </row>
    <row r="9816" customFormat="false" ht="17.15" hidden="false" customHeight="false" outlineLevel="0" collapsed="false">
      <c r="A9816" s="43" t="s">
        <v>768</v>
      </c>
      <c r="B9816" s="14" t="s">
        <v>27</v>
      </c>
      <c r="C9816" s="44" t="n">
        <f aca="false">Sens!$C$9815/Sens!$C$9814</f>
        <v>5.52635015390355</v>
      </c>
      <c r="D9816" s="44" t="n">
        <f aca="false">Sens!$D$9815/Sens!$D$9814</f>
        <v>7.1737323358271</v>
      </c>
      <c r="E9816" s="44" t="n">
        <f aca="false">Sens!$E$9815/Sens!$E$9814</f>
        <v>8.53212104513937</v>
      </c>
      <c r="F9816" s="14"/>
      <c r="G9816" s="44" t="n">
        <f aca="false">Sens!$G$9815/Sens!$G$9814</f>
        <v>13.0029950804781</v>
      </c>
      <c r="H9816" s="44" t="n">
        <f aca="false">Sens!$H$9815/Sens!$H$9814</f>
        <v>10.6092341447268</v>
      </c>
      <c r="I9816" s="44" t="n">
        <f aca="false">Sens!$I$9815/Sens!$I$9814</f>
        <v>12.298289435537</v>
      </c>
      <c r="J9816" s="44" t="n">
        <f aca="false">Sens!$J$9815/Sens!$J$9814</f>
        <v>14.2709509154236</v>
      </c>
      <c r="K9816" s="44" t="n">
        <f aca="false">Sens!$K$9815/Sens!$K$9814</f>
        <v>15.7474628260624</v>
      </c>
      <c r="L9816" s="44" t="n">
        <f aca="false">Sens!$L$9815/Sens!$L$9814</f>
        <v>17.2167877059072</v>
      </c>
      <c r="M9816" s="44" t="n">
        <f aca="false">Sens!$M$9815/Sens!$M$9814</f>
        <v>18.6878803688978</v>
      </c>
      <c r="N9816" s="14"/>
      <c r="O9816" s="14"/>
    </row>
    <row r="9817" customFormat="false" ht="17.15" hidden="false" customHeight="false" outlineLevel="0" collapsed="false">
      <c r="A9817" s="0" t="s">
        <v>769</v>
      </c>
      <c r="B9817" s="0" t="s">
        <v>27</v>
      </c>
      <c r="C9817" s="30" t="n">
        <f aca="false">Sens!$C$9813/Sens!$C$9814</f>
        <v>5.52635015390355</v>
      </c>
      <c r="D9817" s="30" t="n">
        <f aca="false">Sens!$D$9813/Sens!$D$9814</f>
        <v>7.1737323358271</v>
      </c>
      <c r="E9817" s="30" t="n">
        <f aca="false">Sens!$E$9813/Sens!$E$9814</f>
        <v>8.53212104513937</v>
      </c>
      <c r="G9817" s="30" t="n">
        <f aca="false">Sens!$G$9813/Sens!$G$9814</f>
        <v>12.7177181648378</v>
      </c>
      <c r="H9817" s="30" t="n">
        <f aca="false">Sens!$H$9813/Sens!$H$9814</f>
        <v>9.47127888658407</v>
      </c>
      <c r="I9817" s="30" t="n">
        <f aca="false">Sens!$I$9813/Sens!$I$9814</f>
        <v>10.3937227925981</v>
      </c>
      <c r="J9817" s="30" t="n">
        <f aca="false">Sens!$J$9813/Sens!$J$9814</f>
        <v>11.6085897815536</v>
      </c>
      <c r="K9817" s="30" t="n">
        <f aca="false">Sens!$K$9813/Sens!$K$9814</f>
        <v>12.4520849806606</v>
      </c>
      <c r="L9817" s="30" t="n">
        <f aca="false">Sens!$L$9813/Sens!$L$9814</f>
        <v>13.5210672849924</v>
      </c>
      <c r="M9817" s="30" t="n">
        <f aca="false">Sens!$M$9813/Sens!$M$9814</f>
        <v>14.8196162088773</v>
      </c>
    </row>
    <row r="9818" customFormat="false" ht="17.15" hidden="false" customHeight="false" outlineLevel="0" collapsed="false">
      <c r="A9818" s="0" t="s">
        <v>770</v>
      </c>
      <c r="B9818" s="0" t="s">
        <v>27</v>
      </c>
      <c r="C9818" s="30" t="n">
        <f aca="false">(Sens!$C$9813-Sens!$C$9810*(1-tax))/Sens!$C$9814</f>
        <v>5.33926775917445</v>
      </c>
      <c r="D9818" s="30" t="n">
        <f aca="false">(Sens!$D$9813-Sens!$D$9810*(1-tax))/Sens!$D$9814</f>
        <v>5.67691812755503</v>
      </c>
      <c r="E9818" s="30" t="n">
        <f aca="false">(Sens!$E$9813-Sens!$E$9810*(1-tax))/Sens!$E$9814</f>
        <v>3.10602057006846</v>
      </c>
      <c r="G9818" s="30" t="n">
        <f aca="false">(Sens!$G$9813-Sens!$G$9810*(1-tax))/Sens!$G$9814</f>
        <v>7.30965004694081</v>
      </c>
      <c r="H9818" s="30" t="n">
        <f aca="false">(Sens!$H$9813-Sens!$H$9810*(1-tax))/Sens!$H$9814</f>
        <v>9.47127888658407</v>
      </c>
      <c r="I9818" s="30" t="n">
        <f aca="false">(Sens!$I$9813-Sens!$I$9810*(1-tax))/Sens!$I$9814</f>
        <v>10.3937227925981</v>
      </c>
      <c r="J9818" s="30" t="n">
        <f aca="false">(Sens!$J$9813-Sens!$J$9810*(1-tax))/Sens!$J$9814</f>
        <v>11.6085897815536</v>
      </c>
      <c r="K9818" s="30" t="n">
        <f aca="false">(Sens!$K$9813-Sens!$K$9810*(1-tax))/Sens!$K$9814</f>
        <v>12.4520849806606</v>
      </c>
      <c r="L9818" s="30" t="n">
        <f aca="false">(Sens!$L$9813-Sens!$L$9810*(1-tax))/Sens!$L$9814</f>
        <v>13.5210672849924</v>
      </c>
      <c r="M9818" s="30" t="n">
        <f aca="false">(Sens!$M$9813-Sens!$M$9810*(1-tax))/Sens!$M$9814</f>
        <v>14.8196162088773</v>
      </c>
      <c r="P9818" s="5" t="s">
        <v>771</v>
      </c>
    </row>
    <row r="9819" customFormat="false" ht="17.15" hidden="false" customHeight="false" outlineLevel="0" collapsed="false">
      <c r="A9819" s="0" t="s">
        <v>772</v>
      </c>
      <c r="B9819" s="0" t="s">
        <v>52</v>
      </c>
      <c r="H9819" s="13" t="n">
        <f aca="false">Sens!$H$9816/Sens!$G$9816-1</f>
        <v>-0.184093043251635</v>
      </c>
      <c r="I9819" s="13" t="n">
        <f aca="false">Sens!$I$9816/Sens!$H$9816-1</f>
        <v>0.159206147000695</v>
      </c>
      <c r="J9819" s="13" t="n">
        <f aca="false">Sens!$J$9816/Sens!$I$9816-1</f>
        <v>0.160401289157047</v>
      </c>
      <c r="K9819" s="13" t="n">
        <f aca="false">Sens!$K$9816/Sens!$J$9816-1</f>
        <v>0.103462755873053</v>
      </c>
      <c r="L9819" s="13" t="n">
        <f aca="false">Sens!$L$9816/Sens!$K$9816-1</f>
        <v>0.093305499182575</v>
      </c>
      <c r="M9819" s="13" t="n">
        <f aca="false">Sens!$M$9816/Sens!$L$9816-1</f>
        <v>0.0854452461236912</v>
      </c>
    </row>
    <row r="9822" customFormat="false" ht="19.4" hidden="false" customHeight="false" outlineLevel="0" collapsed="false">
      <c r="A9822" s="31" t="s">
        <v>1350</v>
      </c>
    </row>
    <row r="9823" customFormat="false" ht="17.15" hidden="false" customHeight="false" outlineLevel="0" collapsed="false">
      <c r="A9823" s="6" t="s">
        <v>16</v>
      </c>
      <c r="B9823" s="6" t="s">
        <v>17</v>
      </c>
      <c r="C9823" s="20" t="s">
        <v>504</v>
      </c>
      <c r="D9823" s="20" t="s">
        <v>505</v>
      </c>
      <c r="E9823" s="20" t="s">
        <v>587</v>
      </c>
      <c r="F9823" s="20" t="s">
        <v>588</v>
      </c>
      <c r="G9823" s="20" t="s">
        <v>589</v>
      </c>
      <c r="H9823" s="20" t="s">
        <v>590</v>
      </c>
      <c r="I9823" s="20" t="s">
        <v>591</v>
      </c>
      <c r="J9823" s="20" t="s">
        <v>592</v>
      </c>
      <c r="K9823" s="20" t="s">
        <v>593</v>
      </c>
      <c r="L9823" s="20" t="s">
        <v>594</v>
      </c>
      <c r="M9823" s="20" t="s">
        <v>595</v>
      </c>
      <c r="N9823" s="20" t="s">
        <v>596</v>
      </c>
      <c r="O9823" s="20" t="s">
        <v>597</v>
      </c>
      <c r="P9823" s="6" t="s">
        <v>23</v>
      </c>
      <c r="R9823" s="20" t="n">
        <v>2023</v>
      </c>
      <c r="S9823" s="20" t="n">
        <v>2024</v>
      </c>
      <c r="T9823" s="20" t="n">
        <v>2025</v>
      </c>
      <c r="U9823" s="20" t="n">
        <v>2026</v>
      </c>
      <c r="V9823" s="20" t="n">
        <v>2027</v>
      </c>
      <c r="W9823" s="20" t="n">
        <v>2028</v>
      </c>
      <c r="X9823" s="20" t="n">
        <v>2029</v>
      </c>
      <c r="Y9823" s="20" t="n">
        <v>2030</v>
      </c>
      <c r="Z9823" s="20" t="n">
        <v>2031</v>
      </c>
      <c r="AA9823" s="20" t="n">
        <v>2032</v>
      </c>
    </row>
    <row r="9824" customFormat="false" ht="15" hidden="false" customHeight="false" outlineLevel="0" collapsed="false">
      <c r="A9824" s="5" t="s">
        <v>556</v>
      </c>
      <c r="B9824" s="0" t="s">
        <v>86</v>
      </c>
      <c r="C9824" s="38" t="n">
        <f aca="false">Sens!$C$9813</f>
        <v>59.248</v>
      </c>
      <c r="D9824" s="38" t="n">
        <f aca="false">Sens!$D$9813</f>
        <v>77.67</v>
      </c>
      <c r="E9824" s="38" t="n">
        <f aca="false">Sens!$E$9813</f>
        <v>92.902</v>
      </c>
      <c r="F9824" s="38" t="n">
        <f aca="false">Sens!$F$9813</f>
        <v>46.0366037135288</v>
      </c>
      <c r="G9824" s="38" t="n">
        <f aca="false">Sens!$G$9813</f>
        <v>138.938603713529</v>
      </c>
      <c r="H9824" s="38" t="n">
        <f aca="false">Sens!$H$9813</f>
        <v>104.29965948309</v>
      </c>
      <c r="I9824" s="38" t="n">
        <f aca="false">Sens!$I$9813</f>
        <v>115.373462770871</v>
      </c>
      <c r="J9824" s="38" t="n">
        <f aca="false">Sens!$J$9813</f>
        <v>129.889724166368</v>
      </c>
      <c r="K9824" s="38" t="n">
        <f aca="false">Sens!$K$9813</f>
        <v>140.442301535395</v>
      </c>
      <c r="L9824" s="38" t="n">
        <f aca="false">Sens!$L$9813</f>
        <v>153.718935436262</v>
      </c>
      <c r="M9824" s="38" t="n">
        <f aca="false">Sens!$M$9813</f>
        <v>169.829794040665</v>
      </c>
    </row>
    <row r="9825" customFormat="false" ht="17.15" hidden="false" customHeight="false" outlineLevel="0" collapsed="false">
      <c r="A9825" s="5" t="s">
        <v>795</v>
      </c>
      <c r="B9825" s="0" t="s">
        <v>86</v>
      </c>
      <c r="C9825" s="38" t="n">
        <f aca="false">Sens!$C$9801</f>
        <v>32.067</v>
      </c>
      <c r="D9825" s="38" t="n">
        <f aca="false">Sens!$D$9801</f>
        <v>41.86</v>
      </c>
      <c r="E9825" s="38" t="n">
        <f aca="false">Sens!$E$9801</f>
        <v>26.703</v>
      </c>
      <c r="F9825" s="38" t="n">
        <f aca="false">Sens!$F$9801</f>
        <v>29.152860869477</v>
      </c>
      <c r="G9825" s="38" t="n">
        <f aca="false">Sens!$G$9801</f>
        <v>55.855860869477</v>
      </c>
      <c r="H9825" s="38" t="n">
        <f aca="false">Sens!$H$9801</f>
        <v>81.5618233196153</v>
      </c>
      <c r="I9825" s="38" t="n">
        <f aca="false">Sens!$I$9801</f>
        <v>118.756208740204</v>
      </c>
      <c r="J9825" s="38" t="n">
        <f aca="false">Sens!$J$9801</f>
        <v>152.469489406791</v>
      </c>
      <c r="K9825" s="38" t="n">
        <f aca="false">Sens!$K$9801</f>
        <v>186.391502623819</v>
      </c>
      <c r="L9825" s="38" t="n">
        <f aca="false">Sens!$L$9801</f>
        <v>211.926422215482</v>
      </c>
      <c r="M9825" s="38" t="n">
        <f aca="false">Sens!$M$9801</f>
        <v>229.012482097906</v>
      </c>
    </row>
    <row r="9826" customFormat="false" ht="15" hidden="false" customHeight="false" outlineLevel="0" collapsed="false">
      <c r="A9826" s="5" t="s">
        <v>796</v>
      </c>
      <c r="B9826" s="0" t="s">
        <v>86</v>
      </c>
      <c r="C9826" s="38" t="n">
        <f aca="false">Q!$D$48</f>
        <v>22.011</v>
      </c>
      <c r="D9826" s="38" t="n">
        <f aca="false">Q!$E$48</f>
        <v>19.467</v>
      </c>
      <c r="E9826" s="38" t="n">
        <f aca="false">Q!$P$48</f>
        <v>10.07</v>
      </c>
      <c r="F9826" s="38" t="n">
        <f aca="false">sbc_r*Sens!$F$9743</f>
        <v>10.8507035798037</v>
      </c>
      <c r="G9826" s="38" t="n">
        <f aca="false">Sens!$E$9826+Sens!$F$9826</f>
        <v>20.9207035798037</v>
      </c>
      <c r="H9826" s="38" t="n">
        <f aca="false">sbc_r*Sens!$H$9743</f>
        <v>23.46224366345</v>
      </c>
      <c r="I9826" s="38" t="n">
        <f aca="false">sbc_r*Sens!$I$9743</f>
        <v>26.6125957111676</v>
      </c>
      <c r="J9826" s="38" t="n">
        <f aca="false">sbc_r*Sens!$J$9743</f>
        <v>29.6280801413323</v>
      </c>
      <c r="K9826" s="38" t="n">
        <f aca="false">sbc_r*Sens!$K$9743</f>
        <v>32.2712258901105</v>
      </c>
      <c r="L9826" s="38" t="n">
        <f aca="false">sbc_r*Sens!$L$9743</f>
        <v>34.7390505016737</v>
      </c>
      <c r="M9826" s="38" t="n">
        <f aca="false">sbc_r*Sens!$M$9743</f>
        <v>37.0405146906692</v>
      </c>
    </row>
    <row r="9827" customFormat="false" ht="17.15" hidden="false" customHeight="false" outlineLevel="0" collapsed="false">
      <c r="A9827" s="5" t="s">
        <v>797</v>
      </c>
      <c r="B9827" s="0" t="s">
        <v>86</v>
      </c>
      <c r="C9827" s="38" t="n">
        <f aca="false">Q!$D$44-Sens!$C$9824-Sens!$C$9825-Sens!$C$9826</f>
        <v>2.551</v>
      </c>
      <c r="D9827" s="38" t="n">
        <f aca="false">Q!$E$44-Sens!$D$9824-Sens!$D$9825-Sens!$D$9826</f>
        <v>0.51700000000001</v>
      </c>
      <c r="E9827" s="38" t="n">
        <f aca="false">Q!$P$44-Sens!$E$9824-Sens!$E$9825-Sens!$E$9826</f>
        <v>-58.256</v>
      </c>
      <c r="F9827" s="38" t="n">
        <f aca="false">oth_r*Sens!$F$9743</f>
        <v>5.22265251035878</v>
      </c>
      <c r="G9827" s="38" t="n">
        <f aca="false">Sens!$E$9827+Sens!$F$9827</f>
        <v>-53.0333474896412</v>
      </c>
      <c r="H9827" s="38" t="n">
        <f aca="false">oth_r*Sens!$H$9743</f>
        <v>11.2928295263397</v>
      </c>
      <c r="I9827" s="38" t="n">
        <f aca="false">oth_r*Sens!$I$9743</f>
        <v>12.8091546115766</v>
      </c>
      <c r="J9827" s="38" t="n">
        <f aca="false">oth_r*Sens!$J$9743</f>
        <v>14.2605653162668</v>
      </c>
      <c r="K9827" s="38" t="n">
        <f aca="false">oth_r*Sens!$K$9743</f>
        <v>15.5327622460396</v>
      </c>
      <c r="L9827" s="38" t="n">
        <f aca="false">oth_r*Sens!$L$9743</f>
        <v>16.720573737517</v>
      </c>
      <c r="M9827" s="38" t="n">
        <f aca="false">oth_r*Sens!$M$9743</f>
        <v>17.8283127551536</v>
      </c>
      <c r="P9827" s="8" t="s">
        <v>798</v>
      </c>
    </row>
    <row r="9828" customFormat="false" ht="15" hidden="false" customHeight="false" outlineLevel="0" collapsed="false">
      <c r="A9828" s="3" t="s">
        <v>562</v>
      </c>
      <c r="B9828" s="8" t="s">
        <v>86</v>
      </c>
      <c r="C9828" s="38" t="n">
        <f aca="false">Q!$D$44</f>
        <v>115.877</v>
      </c>
      <c r="D9828" s="38" t="n">
        <f aca="false">Q!$E$44</f>
        <v>139.514</v>
      </c>
      <c r="E9828" s="38" t="n">
        <f aca="false">Q!$P$44</f>
        <v>71.419</v>
      </c>
      <c r="F9828" s="38" t="n">
        <f aca="false">Sens!$F$9824+Sens!$F$9825+Sens!$F$9826+Sens!$F$9827</f>
        <v>91.2628206731683</v>
      </c>
      <c r="G9828" s="38" t="n">
        <f aca="false">Sens!$E$9828+Sens!$F$9828</f>
        <v>162.681820673168</v>
      </c>
      <c r="H9828" s="38" t="n">
        <f aca="false">Sens!$H$9824+Sens!$H$9825+Sens!$H$9826+Sens!$H$9827</f>
        <v>220.616555992495</v>
      </c>
      <c r="I9828" s="38" t="n">
        <f aca="false">Sens!$I$9824+Sens!$I$9825+Sens!$I$9826+Sens!$I$9827</f>
        <v>273.55142183382</v>
      </c>
      <c r="J9828" s="38" t="n">
        <f aca="false">Sens!$J$9824+Sens!$J$9825+Sens!$J$9826+Sens!$J$9827</f>
        <v>326.247859030758</v>
      </c>
      <c r="K9828" s="38" t="n">
        <f aca="false">Sens!$K$9824+Sens!$K$9825+Sens!$K$9826+Sens!$K$9827</f>
        <v>374.637792295364</v>
      </c>
      <c r="L9828" s="38" t="n">
        <f aca="false">Sens!$L$9824+Sens!$L$9825+Sens!$L$9826+Sens!$L$9827</f>
        <v>417.104981890935</v>
      </c>
      <c r="M9828" s="38" t="n">
        <f aca="false">Sens!$M$9824+Sens!$M$9825+Sens!$M$9826+Sens!$M$9827</f>
        <v>453.711103584394</v>
      </c>
    </row>
    <row r="9829" customFormat="false" ht="17.15" hidden="false" customHeight="false" outlineLevel="0" collapsed="false">
      <c r="A9829" s="5" t="s">
        <v>799</v>
      </c>
      <c r="B9829" s="0" t="s">
        <v>86</v>
      </c>
      <c r="C9829" s="38" t="n">
        <f aca="false">Sens!$C$9707</f>
        <v>25.2781053077374</v>
      </c>
      <c r="D9829" s="38" t="n">
        <f aca="false">Sens!$D$9707</f>
        <v>69.5686316310026</v>
      </c>
      <c r="E9829" s="38" t="n">
        <f aca="false">Sens!$E$9707</f>
        <v>64.1899206485108</v>
      </c>
      <c r="F9829" s="38" t="n">
        <f aca="false">Sens!$F$9707</f>
        <v>88.7165504612134</v>
      </c>
      <c r="G9829" s="38" t="n">
        <f aca="false">Sens!$G$9707</f>
        <v>152.906471109724</v>
      </c>
      <c r="H9829" s="38" t="n">
        <f aca="false">Sens!$H$9707</f>
        <v>198.57136494475</v>
      </c>
      <c r="I9829" s="38" t="n">
        <f aca="false">Sens!$I$9707</f>
        <v>204.6464699105</v>
      </c>
      <c r="J9829" s="38" t="n">
        <f aca="false">Sens!$J$9707</f>
        <v>209.8832381105</v>
      </c>
      <c r="K9829" s="38" t="n">
        <f aca="false">Sens!$K$9707</f>
        <v>155.238385275201</v>
      </c>
      <c r="L9829" s="38" t="n">
        <f aca="false">Sens!$L$9707</f>
        <v>132.014141639902</v>
      </c>
      <c r="M9829" s="38" t="n">
        <f aca="false">Sens!$M$9707</f>
        <v>132.230981659852</v>
      </c>
    </row>
    <row r="9830" customFormat="false" ht="17.15" hidden="false" customHeight="false" outlineLevel="0" collapsed="false">
      <c r="A9830" s="5" t="s">
        <v>800</v>
      </c>
      <c r="B9830" s="0" t="s">
        <v>86</v>
      </c>
      <c r="C9830" s="38" t="n">
        <f aca="false">cx_awso*Sens!$C$9741</f>
        <v>21.0469989286053</v>
      </c>
      <c r="D9830" s="38" t="n">
        <f aca="false">cx_awso*Sens!$D$9741</f>
        <v>24.0042459822698</v>
      </c>
      <c r="E9830" s="38" t="n">
        <f aca="false">cx_awso*Sens!$E$9741</f>
        <v>14.261729404886</v>
      </c>
      <c r="F9830" s="38" t="n">
        <f aca="false">cx_awso*Sens!$F$9741</f>
        <v>14.3538599588493</v>
      </c>
      <c r="G9830" s="38" t="n">
        <f aca="false">Sens!$E$9830+Sens!$F$9830</f>
        <v>28.6155893637353</v>
      </c>
      <c r="H9830" s="38" t="n">
        <f aca="false">cx_awso*Sens!$H$9741</f>
        <v>32.2034154158406</v>
      </c>
      <c r="I9830" s="38" t="n">
        <f aca="false">cx_awso*Sens!$I$9741</f>
        <v>35.7539519042915</v>
      </c>
      <c r="J9830" s="38" t="n">
        <f aca="false">cx_awso*Sens!$J$9741</f>
        <v>39.1551076091815</v>
      </c>
      <c r="K9830" s="38" t="n">
        <f aca="false">cx_awso*Sens!$K$9741</f>
        <v>42.287516217916</v>
      </c>
      <c r="L9830" s="38" t="n">
        <f aca="false">cx_awso*Sens!$L$9741</f>
        <v>45.6705175153492</v>
      </c>
      <c r="M9830" s="38" t="n">
        <f aca="false">cx_awso*Sens!$M$9741</f>
        <v>49.3241589165772</v>
      </c>
    </row>
    <row r="9831" customFormat="false" ht="17.15" hidden="false" customHeight="false" outlineLevel="0" collapsed="false">
      <c r="A9831" s="5" t="s">
        <v>801</v>
      </c>
      <c r="B9831" s="0" t="s">
        <v>86</v>
      </c>
      <c r="C9831" s="38" t="n">
        <f aca="false">Q!$D$46-Sens!$C$9829-Sens!$C$9830</f>
        <v>31.3328957636573</v>
      </c>
      <c r="D9831" s="38" t="n">
        <f aca="false">Q!$E$46-Sens!$D$9829-Sens!$D$9830</f>
        <v>34.7471223867276</v>
      </c>
      <c r="E9831" s="38" t="n">
        <f aca="false">Q!$P$46-Sens!$E$9829-Sens!$E$9830</f>
        <v>17.8583499466032</v>
      </c>
      <c r="F9831" s="38" t="n">
        <f aca="false">cx_rt*Sens!$F$9670</f>
        <v>20.6195895799373</v>
      </c>
      <c r="G9831" s="38" t="n">
        <f aca="false">Sens!$E$9831+Sens!$F$9831</f>
        <v>38.4779395265405</v>
      </c>
      <c r="H9831" s="38" t="n">
        <f aca="false">cx_rt*Sens!$H$9670</f>
        <v>42.5978994743075</v>
      </c>
      <c r="I9831" s="38" t="n">
        <f aca="false">cx_rt*Sens!$I$9670</f>
        <v>46.5813904136335</v>
      </c>
      <c r="J9831" s="38" t="n">
        <f aca="false">cx_rt*Sens!$J$9670</f>
        <v>50.2781676586844</v>
      </c>
      <c r="K9831" s="38" t="n">
        <f aca="false">cx_rt*Sens!$K$9670</f>
        <v>53.5312440191755</v>
      </c>
      <c r="L9831" s="38" t="n">
        <f aca="false">cx_rt*Sens!$L$9670</f>
        <v>57.0116717051447</v>
      </c>
      <c r="M9831" s="38" t="n">
        <f aca="false">cx_rt*Sens!$M$9670</f>
        <v>60.7365554669226</v>
      </c>
    </row>
    <row r="9832" customFormat="false" ht="15" hidden="false" customHeight="false" outlineLevel="0" collapsed="false">
      <c r="A9832" s="3" t="s">
        <v>802</v>
      </c>
      <c r="B9832" s="8" t="s">
        <v>86</v>
      </c>
      <c r="C9832" s="38" t="n">
        <f aca="false">Q!$D$46</f>
        <v>77.658</v>
      </c>
      <c r="D9832" s="38" t="n">
        <f aca="false">Q!$E$46</f>
        <v>128.32</v>
      </c>
      <c r="E9832" s="38" t="n">
        <f aca="false">Q!$P$46</f>
        <v>96.31</v>
      </c>
      <c r="F9832" s="38" t="n">
        <f aca="false">Sens!$F$9829+Sens!$F$9830+Sens!$F$9831</f>
        <v>123.69</v>
      </c>
      <c r="G9832" s="38" t="n">
        <f aca="false">Sens!$E$9832+Sens!$F$9832</f>
        <v>220</v>
      </c>
      <c r="H9832" s="38" t="n">
        <f aca="false">Sens!$H$9829+Sens!$H$9830+Sens!$H$9831</f>
        <v>273.372679834898</v>
      </c>
      <c r="I9832" s="38" t="n">
        <f aca="false">Sens!$I$9829+Sens!$I$9830+Sens!$I$9831</f>
        <v>286.981812228425</v>
      </c>
      <c r="J9832" s="38" t="n">
        <f aca="false">Sens!$J$9829+Sens!$J$9830+Sens!$J$9831</f>
        <v>299.316513378366</v>
      </c>
      <c r="K9832" s="38" t="n">
        <f aca="false">Sens!$K$9829+Sens!$K$9830+Sens!$K$9831</f>
        <v>251.057145512292</v>
      </c>
      <c r="L9832" s="38" t="n">
        <f aca="false">Sens!$L$9829+Sens!$L$9830+Sens!$L$9831</f>
        <v>234.696330860396</v>
      </c>
      <c r="M9832" s="38" t="n">
        <f aca="false">Sens!$M$9829+Sens!$M$9830+Sens!$M$9831</f>
        <v>242.291696043352</v>
      </c>
    </row>
    <row r="9833" customFormat="false" ht="17.15" hidden="false" customHeight="false" outlineLevel="0" collapsed="false">
      <c r="A9833" s="5" t="s">
        <v>570</v>
      </c>
      <c r="B9833" s="0" t="s">
        <v>86</v>
      </c>
      <c r="C9833" s="38" t="n">
        <f aca="false">Q!$D$50</f>
        <v>2.043</v>
      </c>
      <c r="D9833" s="38" t="n">
        <f aca="false">Q!$E$50</f>
        <v>1.557</v>
      </c>
      <c r="E9833" s="38" t="n">
        <f aca="false">lease_pr/2</f>
        <v>0.8</v>
      </c>
      <c r="F9833" s="38" t="n">
        <f aca="false">lease_pr/2</f>
        <v>0.8</v>
      </c>
      <c r="G9833" s="38" t="n">
        <f aca="false">Sens!$E$9833+Sens!$F$9833</f>
        <v>1.6</v>
      </c>
      <c r="H9833" s="38" t="n">
        <f aca="false">lease_pr</f>
        <v>1.6</v>
      </c>
      <c r="I9833" s="38" t="n">
        <f aca="false">lease_pr</f>
        <v>1.6</v>
      </c>
      <c r="J9833" s="38" t="n">
        <f aca="false">lease_pr</f>
        <v>1.6</v>
      </c>
      <c r="K9833" s="38" t="n">
        <f aca="false">lease_pr</f>
        <v>1.6</v>
      </c>
      <c r="L9833" s="38" t="n">
        <f aca="false">lease_pr</f>
        <v>1.6</v>
      </c>
      <c r="M9833" s="38" t="n">
        <f aca="false">lease_pr</f>
        <v>1.6</v>
      </c>
      <c r="P9833" s="8" t="s">
        <v>803</v>
      </c>
    </row>
    <row r="9834" customFormat="false" ht="15" hidden="false" customHeight="false" outlineLevel="0" collapsed="false">
      <c r="A9834" s="47" t="s">
        <v>804</v>
      </c>
      <c r="B9834" s="14" t="s">
        <v>86</v>
      </c>
      <c r="C9834" s="48" t="n">
        <f aca="false">Sens!$C$9828-Sens!$C$9832-Sens!$C$9833</f>
        <v>36.176</v>
      </c>
      <c r="D9834" s="48" t="n">
        <f aca="false">Sens!$D$9828-Sens!$D$9832-Sens!$D$9833</f>
        <v>9.63700000000002</v>
      </c>
      <c r="E9834" s="48" t="n">
        <f aca="false">Sens!$E$9828-Sens!$E$9832-Sens!$E$9833</f>
        <v>-25.691</v>
      </c>
      <c r="F9834" s="48" t="n">
        <f aca="false">Sens!$F$9828-Sens!$F$9832-Sens!$F$9833</f>
        <v>-33.2271793268317</v>
      </c>
      <c r="G9834" s="48" t="n">
        <f aca="false">Sens!$G$9828-Sens!$G$9832-Sens!$G$9833</f>
        <v>-58.9181793268317</v>
      </c>
      <c r="H9834" s="48" t="n">
        <f aca="false">Sens!$H$9828-Sens!$H$9832-Sens!$H$9833</f>
        <v>-54.3561238424036</v>
      </c>
      <c r="I9834" s="48" t="n">
        <f aca="false">Sens!$I$9828-Sens!$I$9832-Sens!$I$9833</f>
        <v>-15.0303903946055</v>
      </c>
      <c r="J9834" s="48" t="n">
        <f aca="false">Sens!$J$9828-Sens!$J$9832-Sens!$J$9833</f>
        <v>25.3313456523922</v>
      </c>
      <c r="K9834" s="48" t="n">
        <f aca="false">Sens!$K$9828-Sens!$K$9832-Sens!$K$9833</f>
        <v>121.980646783072</v>
      </c>
      <c r="L9834" s="48" t="n">
        <f aca="false">Sens!$L$9828-Sens!$L$9832-Sens!$L$9833</f>
        <v>180.80865103054</v>
      </c>
      <c r="M9834" s="48" t="n">
        <f aca="false">Sens!$M$9828-Sens!$M$9832-Sens!$M$9833</f>
        <v>209.819407541041</v>
      </c>
      <c r="N9834" s="14"/>
      <c r="O9834" s="14"/>
    </row>
    <row r="9835" customFormat="false" ht="17.15" hidden="false" customHeight="false" outlineLevel="0" collapsed="false">
      <c r="A9835" s="5" t="s">
        <v>805</v>
      </c>
      <c r="B9835" s="0" t="s">
        <v>86</v>
      </c>
      <c r="C9835" s="38" t="n">
        <f aca="false">dps*Sens!$C$9814</f>
        <v>0</v>
      </c>
      <c r="D9835" s="38" t="n">
        <f aca="false">dps*Sens!$D$9814</f>
        <v>0</v>
      </c>
      <c r="E9835" s="38" t="n">
        <f aca="false">dps*Sens!$E$9814</f>
        <v>0</v>
      </c>
      <c r="F9835" s="38" t="n">
        <f aca="false">0</f>
        <v>0</v>
      </c>
      <c r="G9835" s="38" t="n">
        <f aca="false">dps*Sens!$G$9814</f>
        <v>0</v>
      </c>
      <c r="H9835" s="38" t="n">
        <f aca="false">dps*Sens!$H$9814</f>
        <v>0</v>
      </c>
      <c r="I9835" s="38" t="n">
        <f aca="false">dps*Sens!$I$9814</f>
        <v>0</v>
      </c>
      <c r="J9835" s="38" t="n">
        <f aca="false">dps*Sens!$J$9814</f>
        <v>0</v>
      </c>
      <c r="K9835" s="38" t="n">
        <f aca="false">dps*Sens!$K$9814</f>
        <v>0</v>
      </c>
      <c r="L9835" s="38" t="n">
        <f aca="false">dps*Sens!$L$9814</f>
        <v>0</v>
      </c>
      <c r="M9835" s="38" t="n">
        <f aca="false">dps*Sens!$M$9814</f>
        <v>0</v>
      </c>
      <c r="P9835" s="8" t="s">
        <v>806</v>
      </c>
    </row>
    <row r="9836" customFormat="false" ht="17.15" hidden="false" customHeight="false" outlineLevel="0" collapsed="false">
      <c r="A9836" s="5" t="s">
        <v>807</v>
      </c>
      <c r="B9836" s="0" t="s">
        <v>86</v>
      </c>
      <c r="C9836" s="38" t="n">
        <f aca="false">0</f>
        <v>0</v>
      </c>
      <c r="D9836" s="38" t="n">
        <f aca="false">0</f>
        <v>0</v>
      </c>
      <c r="E9836" s="38" t="n">
        <f aca="false">0</f>
        <v>0</v>
      </c>
      <c r="F9836" s="38" t="n">
        <f aca="false">0</f>
        <v>0</v>
      </c>
      <c r="G9836" s="38" t="n">
        <f aca="false">0</f>
        <v>0</v>
      </c>
      <c r="H9836" s="38" t="n">
        <f aca="false">0</f>
        <v>0</v>
      </c>
      <c r="I9836" s="38" t="n">
        <f aca="false">0</f>
        <v>0</v>
      </c>
      <c r="J9836" s="38" t="n">
        <f aca="false">0</f>
        <v>0</v>
      </c>
      <c r="K9836" s="38" t="n">
        <f aca="false">0</f>
        <v>0</v>
      </c>
      <c r="L9836" s="38" t="n">
        <f aca="false">0</f>
        <v>0</v>
      </c>
      <c r="M9836" s="38" t="n">
        <f aca="false">0</f>
        <v>0</v>
      </c>
      <c r="P9836" s="8" t="s">
        <v>808</v>
      </c>
    </row>
    <row r="9837" customFormat="false" ht="15" hidden="false" customHeight="false" outlineLevel="0" collapsed="false">
      <c r="A9837" s="3" t="s">
        <v>809</v>
      </c>
      <c r="B9837" s="8" t="s">
        <v>86</v>
      </c>
      <c r="C9837" s="38" t="n">
        <f aca="false">Sens!$C$9834-Sens!$C$9835</f>
        <v>36.176</v>
      </c>
      <c r="D9837" s="38" t="n">
        <f aca="false">Sens!$D$9834-Sens!$D$9835</f>
        <v>9.63700000000002</v>
      </c>
      <c r="E9837" s="38" t="n">
        <f aca="false">Sens!$E$9834-Sens!$E$9835</f>
        <v>-25.691</v>
      </c>
      <c r="F9837" s="38" t="n">
        <f aca="false">Sens!$F$9834-Sens!$F$9835</f>
        <v>-33.2271793268317</v>
      </c>
      <c r="G9837" s="38" t="n">
        <f aca="false">Sens!$G$9834-Sens!$G$9835</f>
        <v>-58.9181793268317</v>
      </c>
      <c r="H9837" s="38" t="n">
        <f aca="false">Sens!$H$9834-Sens!$H$9835</f>
        <v>-54.3561238424036</v>
      </c>
      <c r="I9837" s="38" t="n">
        <f aca="false">Sens!$I$9834-Sens!$I$9835</f>
        <v>-15.0303903946055</v>
      </c>
      <c r="J9837" s="38" t="n">
        <f aca="false">Sens!$J$9834-Sens!$J$9835</f>
        <v>25.3313456523922</v>
      </c>
      <c r="K9837" s="38" t="n">
        <f aca="false">Sens!$K$9834-Sens!$K$9835</f>
        <v>121.980646783072</v>
      </c>
      <c r="L9837" s="38" t="n">
        <f aca="false">Sens!$L$9834-Sens!$L$9835</f>
        <v>180.80865103054</v>
      </c>
      <c r="M9837" s="38" t="n">
        <f aca="false">Sens!$M$9834-Sens!$M$9835</f>
        <v>209.819407541041</v>
      </c>
    </row>
    <row r="9838" customFormat="false" ht="17.15" hidden="false" customHeight="false" outlineLevel="0" collapsed="false">
      <c r="A9838" s="5" t="s">
        <v>810</v>
      </c>
      <c r="B9838" s="0" t="s">
        <v>86</v>
      </c>
      <c r="E9838" s="38" t="n">
        <f aca="false">Q!$P$53</f>
        <v>39.767</v>
      </c>
      <c r="F9838" s="38" t="n">
        <f aca="false">inv_2h26</f>
        <v>21.3</v>
      </c>
      <c r="G9838" s="38" t="n">
        <f aca="false">Sens!$E$9838+Sens!$F$9838</f>
        <v>61.067</v>
      </c>
      <c r="H9838" s="39" t="n">
        <v>0</v>
      </c>
      <c r="I9838" s="39" t="n">
        <v>0</v>
      </c>
      <c r="J9838" s="39" t="n">
        <v>0</v>
      </c>
      <c r="K9838" s="39" t="n">
        <v>0</v>
      </c>
      <c r="L9838" s="39" t="n">
        <v>0</v>
      </c>
      <c r="M9838" s="39" t="n">
        <v>0</v>
      </c>
    </row>
    <row r="9839" customFormat="false" ht="17.15" hidden="false" customHeight="false" outlineLevel="0" collapsed="false">
      <c r="A9839" s="5" t="s">
        <v>811</v>
      </c>
      <c r="B9839" s="0" t="s">
        <v>86</v>
      </c>
      <c r="F9839" s="38" t="n">
        <f aca="false">iss_2h26</f>
        <v>29.249999</v>
      </c>
      <c r="G9839" s="38" t="n">
        <f aca="false">Sens!$F$9839</f>
        <v>29.249999</v>
      </c>
      <c r="H9839" s="39" t="n">
        <v>0</v>
      </c>
      <c r="I9839" s="39" t="n">
        <v>0</v>
      </c>
      <c r="J9839" s="39" t="n">
        <v>0</v>
      </c>
      <c r="K9839" s="39" t="n">
        <v>0</v>
      </c>
      <c r="L9839" s="39" t="n">
        <v>0</v>
      </c>
      <c r="M9839" s="39" t="n">
        <v>0</v>
      </c>
    </row>
    <row r="9840" customFormat="false" ht="17.15" hidden="false" customHeight="false" outlineLevel="0" collapsed="false">
      <c r="A9840" s="5" t="s">
        <v>812</v>
      </c>
      <c r="B9840" s="0" t="s">
        <v>86</v>
      </c>
      <c r="F9840" s="38" t="n">
        <f aca="false">cash_q2</f>
        <v>122.988</v>
      </c>
      <c r="G9840" s="38" t="n">
        <f aca="false">cash_q2</f>
        <v>122.988</v>
      </c>
      <c r="H9840" s="38" t="n">
        <f aca="false">Sens!$G$9843</f>
        <v>97.7108196731683</v>
      </c>
      <c r="I9840" s="38" t="n">
        <f aca="false">Sens!$H$9843</f>
        <v>50</v>
      </c>
      <c r="J9840" s="38" t="n">
        <f aca="false">Sens!$I$9843</f>
        <v>50</v>
      </c>
      <c r="K9840" s="38" t="n">
        <f aca="false">Sens!$J$9843</f>
        <v>75.3313456523922</v>
      </c>
      <c r="L9840" s="38" t="n">
        <f aca="false">Sens!$K$9843</f>
        <v>197.311992435464</v>
      </c>
      <c r="M9840" s="38" t="n">
        <f aca="false">Sens!$L$9843</f>
        <v>378.120643466004</v>
      </c>
    </row>
    <row r="9841" customFormat="false" ht="15" hidden="false" customHeight="false" outlineLevel="0" collapsed="false">
      <c r="A9841" s="5" t="s">
        <v>813</v>
      </c>
      <c r="B9841" s="0" t="s">
        <v>86</v>
      </c>
      <c r="F9841" s="38" t="n">
        <f aca="false">Sens!$F$9840+Sens!$F$9837-Sens!$F$9836-Sens!$F$9838+Sens!$F$9839</f>
        <v>97.7108196731683</v>
      </c>
      <c r="H9841" s="38" t="n">
        <f aca="false">Sens!$H$9840+Sens!$H$9837-Sens!$H$9836-Sens!$H$9838+Sens!$H$9839</f>
        <v>43.3546958307647</v>
      </c>
      <c r="I9841" s="38" t="n">
        <f aca="false">Sens!$I$9840+Sens!$I$9837-Sens!$I$9836-Sens!$I$9838+Sens!$I$9839</f>
        <v>34.9696096053945</v>
      </c>
      <c r="J9841" s="38" t="n">
        <f aca="false">Sens!$J$9840+Sens!$J$9837-Sens!$J$9836-Sens!$J$9838+Sens!$J$9839</f>
        <v>75.3313456523922</v>
      </c>
      <c r="K9841" s="38" t="n">
        <f aca="false">Sens!$K$9840+Sens!$K$9837-Sens!$K$9836-Sens!$K$9838+Sens!$K$9839</f>
        <v>197.311992435464</v>
      </c>
      <c r="L9841" s="38" t="n">
        <f aca="false">Sens!$L$9840+Sens!$L$9837-Sens!$L$9836-Sens!$L$9838+Sens!$L$9839</f>
        <v>378.120643466004</v>
      </c>
      <c r="M9841" s="38" t="n">
        <f aca="false">Sens!$M$9840+Sens!$M$9837-Sens!$M$9836-Sens!$M$9838+Sens!$M$9839</f>
        <v>587.940051007045</v>
      </c>
    </row>
    <row r="9842" customFormat="false" ht="17.15" hidden="false" customHeight="false" outlineLevel="0" collapsed="false">
      <c r="A9842" s="5" t="s">
        <v>814</v>
      </c>
      <c r="B9842" s="0" t="s">
        <v>86</v>
      </c>
      <c r="F9842" s="38" t="n">
        <f aca="false">MAX(0,min_cash-Sens!$F$9841)</f>
        <v>0</v>
      </c>
      <c r="G9842" s="38" t="n">
        <f aca="false">Sens!$F$9842</f>
        <v>0</v>
      </c>
      <c r="H9842" s="38" t="n">
        <f aca="false">MAX(0,min_cash-Sens!$H$9841)</f>
        <v>6.64530416923528</v>
      </c>
      <c r="I9842" s="38" t="n">
        <f aca="false">MAX(0,min_cash-Sens!$I$9841)</f>
        <v>15.0303903946055</v>
      </c>
      <c r="J9842" s="38" t="n">
        <f aca="false">MAX(0,min_cash-Sens!$J$9841)</f>
        <v>0</v>
      </c>
      <c r="K9842" s="38" t="n">
        <f aca="false">MAX(0,min_cash-Sens!$K$9841)</f>
        <v>0</v>
      </c>
      <c r="L9842" s="38" t="n">
        <f aca="false">MAX(0,min_cash-Sens!$L$9841)</f>
        <v>0</v>
      </c>
      <c r="M9842" s="38" t="n">
        <f aca="false">MAX(0,min_cash-Sens!$M$9841)</f>
        <v>0</v>
      </c>
      <c r="P9842" s="5" t="s">
        <v>815</v>
      </c>
    </row>
    <row r="9843" customFormat="false" ht="15" hidden="false" customHeight="false" outlineLevel="0" collapsed="false">
      <c r="A9843" s="5" t="s">
        <v>816</v>
      </c>
      <c r="B9843" s="0" t="s">
        <v>86</v>
      </c>
      <c r="D9843" s="38" t="n">
        <f aca="false">Q!$E$61</f>
        <v>123.029</v>
      </c>
      <c r="E9843" s="38" t="n">
        <f aca="false">Q!$M$61</f>
        <v>122.988</v>
      </c>
      <c r="F9843" s="38" t="n">
        <f aca="false">Sens!$F$9841+Sens!$F$9842</f>
        <v>97.7108196731683</v>
      </c>
      <c r="G9843" s="38" t="n">
        <f aca="false">Sens!$F$9843</f>
        <v>97.7108196731683</v>
      </c>
      <c r="H9843" s="38" t="n">
        <f aca="false">Sens!$H$9841+Sens!$H$9842</f>
        <v>50</v>
      </c>
      <c r="I9843" s="38" t="n">
        <f aca="false">Sens!$I$9841+Sens!$I$9842</f>
        <v>50</v>
      </c>
      <c r="J9843" s="38" t="n">
        <f aca="false">Sens!$J$9841+Sens!$J$9842</f>
        <v>75.3313456523922</v>
      </c>
      <c r="K9843" s="38" t="n">
        <f aca="false">Sens!$K$9841+Sens!$K$9842</f>
        <v>197.311992435464</v>
      </c>
      <c r="L9843" s="38" t="n">
        <f aca="false">Sens!$L$9841+Sens!$L$9842</f>
        <v>378.120643466004</v>
      </c>
      <c r="M9843" s="38" t="n">
        <f aca="false">Sens!$M$9841+Sens!$M$9842</f>
        <v>587.940051007045</v>
      </c>
    </row>
    <row r="9844" customFormat="false" ht="15" hidden="false" customHeight="false" outlineLevel="0" collapsed="false">
      <c r="A9844" s="5" t="s">
        <v>817</v>
      </c>
      <c r="B9844" s="0" t="s">
        <v>86</v>
      </c>
      <c r="D9844" s="38" t="n">
        <f aca="false">Q!$E$62</f>
        <v>68.836</v>
      </c>
      <c r="E9844" s="38" t="n">
        <f aca="false">Q!$M$62</f>
        <v>132.995</v>
      </c>
      <c r="F9844" s="38" t="n">
        <f aca="false">debt_q2+Sens!$F$9839+Sens!$F$9842</f>
        <v>162.244999</v>
      </c>
      <c r="G9844" s="38" t="n">
        <f aca="false">Sens!$F$9844</f>
        <v>162.244999</v>
      </c>
      <c r="H9844" s="38" t="n">
        <f aca="false">Sens!$G$9844+Sens!$H$9842</f>
        <v>168.890303169235</v>
      </c>
      <c r="I9844" s="38" t="n">
        <f aca="false">Sens!$H$9844+Sens!$I$9842</f>
        <v>183.920693563841</v>
      </c>
      <c r="J9844" s="38" t="n">
        <f aca="false">Sens!$I$9844+Sens!$J$9842</f>
        <v>183.920693563841</v>
      </c>
      <c r="K9844" s="38" t="n">
        <f aca="false">Sens!$J$9844+Sens!$K$9842</f>
        <v>183.920693563841</v>
      </c>
      <c r="L9844" s="38" t="n">
        <f aca="false">Sens!$K$9844+Sens!$L$9842</f>
        <v>183.920693563841</v>
      </c>
      <c r="M9844" s="38" t="n">
        <f aca="false">Sens!$L$9844+Sens!$M$9842</f>
        <v>183.920693563841</v>
      </c>
    </row>
    <row r="9845" customFormat="false" ht="15" hidden="false" customHeight="false" outlineLevel="0" collapsed="false">
      <c r="A9845" s="5" t="s">
        <v>818</v>
      </c>
      <c r="B9845" s="0" t="s">
        <v>86</v>
      </c>
      <c r="D9845" s="38" t="n">
        <f aca="false">Sens!$D$9844-Sens!$D$9843</f>
        <v>-54.193</v>
      </c>
      <c r="E9845" s="38" t="n">
        <f aca="false">Sens!$E$9844-Sens!$E$9843</f>
        <v>10.007</v>
      </c>
      <c r="F9845" s="38" t="n">
        <f aca="false">Sens!$F$9844-Sens!$F$9843</f>
        <v>64.5341793268317</v>
      </c>
      <c r="G9845" s="38" t="n">
        <f aca="false">Sens!$G$9844-Sens!$G$9843</f>
        <v>64.5341793268317</v>
      </c>
      <c r="H9845" s="38" t="n">
        <f aca="false">Sens!$H$9844-Sens!$H$9843</f>
        <v>118.890303169235</v>
      </c>
      <c r="I9845" s="38" t="n">
        <f aca="false">Sens!$I$9844-Sens!$I$9843</f>
        <v>133.920693563841</v>
      </c>
      <c r="J9845" s="38" t="n">
        <f aca="false">Sens!$J$9844-Sens!$J$9843</f>
        <v>108.589347911449</v>
      </c>
      <c r="K9845" s="38" t="n">
        <f aca="false">Sens!$K$9844-Sens!$K$9843</f>
        <v>-13.3912988716235</v>
      </c>
      <c r="L9845" s="38" t="n">
        <f aca="false">Sens!$L$9844-Sens!$L$9843</f>
        <v>-194.199949902163</v>
      </c>
      <c r="M9845" s="38" t="n">
        <f aca="false">Sens!$M$9844-Sens!$M$9843</f>
        <v>-404.019357443204</v>
      </c>
    </row>
    <row r="9846" customFormat="false" ht="17.15" hidden="false" customHeight="false" outlineLevel="0" collapsed="false">
      <c r="A9846" s="5" t="s">
        <v>819</v>
      </c>
      <c r="B9846" s="0" t="s">
        <v>86</v>
      </c>
      <c r="F9846" s="38" t="n">
        <f aca="false">debt_q2*kd_book*0.5+iss_2h26*kd_new*iss_t</f>
        <v>3.24888962733561</v>
      </c>
      <c r="H9846" s="38" t="n">
        <f aca="false">debt_q2*kd_book+(Sens!$G$9844-debt_q2)*kd_new</f>
        <v>7.42354172302123</v>
      </c>
      <c r="I9846" s="38" t="n">
        <f aca="false">debt_q2*kd_book+(Sens!$H$9844-debt_q2)*kd_new</f>
        <v>7.84418947693382</v>
      </c>
      <c r="J9846" s="38" t="n">
        <f aca="false">debt_q2*kd_book+(Sens!$I$9844-debt_q2)*kd_new</f>
        <v>8.79561318891235</v>
      </c>
      <c r="K9846" s="38" t="n">
        <f aca="false">debt_q2*kd_book+(Sens!$J$9844-debt_q2)*kd_new</f>
        <v>8.79561318891235</v>
      </c>
      <c r="L9846" s="38" t="n">
        <f aca="false">debt_q2*kd_book+(Sens!$K$9844-debt_q2)*kd_new</f>
        <v>8.79561318891235</v>
      </c>
      <c r="M9846" s="38" t="n">
        <f aca="false">debt_q2*kd_book+(Sens!$L$9844-debt_q2)*kd_new</f>
        <v>8.79561318891235</v>
      </c>
    </row>
    <row r="9847" customFormat="false" ht="17.15" hidden="false" customHeight="false" outlineLevel="0" collapsed="false">
      <c r="A9847" s="5" t="s">
        <v>820</v>
      </c>
      <c r="B9847" s="0" t="s">
        <v>86</v>
      </c>
      <c r="F9847" s="38" t="n">
        <f aca="false">cash_q2*y_cash*0.5</f>
        <v>2.59</v>
      </c>
      <c r="H9847" s="38" t="n">
        <f aca="false">Sens!$G$9843*y_cash</f>
        <v>4.1153774832261</v>
      </c>
      <c r="I9847" s="38" t="n">
        <f aca="false">Sens!$H$9843*y_cash</f>
        <v>2.10589651022864</v>
      </c>
      <c r="J9847" s="38" t="n">
        <f aca="false">Sens!$I$9843*y_cash</f>
        <v>2.10589651022864</v>
      </c>
      <c r="K9847" s="38" t="n">
        <f aca="false">Sens!$J$9843*y_cash</f>
        <v>3.172800358404</v>
      </c>
      <c r="L9847" s="38" t="n">
        <f aca="false">Sens!$K$9843*y_cash</f>
        <v>8.31037272592208</v>
      </c>
      <c r="M9847" s="38" t="n">
        <f aca="false">Sens!$L$9843*y_cash</f>
        <v>15.9256588704093</v>
      </c>
    </row>
    <row r="9848" customFormat="false" ht="17.15" hidden="false" customHeight="false" outlineLevel="0" collapsed="false">
      <c r="A9848" s="47" t="s">
        <v>821</v>
      </c>
      <c r="B9848" s="14" t="s">
        <v>86</v>
      </c>
      <c r="C9848" s="14"/>
      <c r="D9848" s="14"/>
      <c r="E9848" s="14"/>
      <c r="F9848" s="14"/>
      <c r="G9848" s="48" t="n">
        <f aca="false">SUM(Sens!$G$9837:$K$9837)</f>
        <v>19.0072988716234</v>
      </c>
      <c r="H9848" s="14"/>
      <c r="I9848" s="14"/>
      <c r="J9848" s="14"/>
      <c r="K9848" s="14"/>
      <c r="L9848" s="14"/>
      <c r="M9848" s="14"/>
      <c r="N9848" s="14"/>
      <c r="O9848" s="14"/>
    </row>
    <row r="9849" customFormat="false" ht="17.15" hidden="false" customHeight="false" outlineLevel="0" collapsed="false">
      <c r="A9849" s="0" t="s">
        <v>787</v>
      </c>
      <c r="B9849" s="0" t="s">
        <v>86</v>
      </c>
      <c r="G9849" s="38" t="n">
        <f aca="false">SUM(Sens!$G$9842:$K$9842)</f>
        <v>21.6756945638408</v>
      </c>
    </row>
    <row r="9850" customFormat="false" ht="17.15" hidden="false" customHeight="false" outlineLevel="0" collapsed="false">
      <c r="A9850" s="24" t="s">
        <v>824</v>
      </c>
      <c r="B9850" s="25" t="s">
        <v>86</v>
      </c>
      <c r="C9850" s="25"/>
      <c r="D9850" s="25"/>
      <c r="E9850" s="25"/>
      <c r="F9850" s="25"/>
      <c r="G9850" s="41" t="n">
        <f aca="false">Sens!$G$9848-(Sens!$G$9837+Sens!$H$9837+Sens!$I$9837+Sens!$J$9837+Sens!$K$9837)</f>
        <v>0</v>
      </c>
      <c r="H9850" s="25"/>
      <c r="I9850" s="25"/>
      <c r="J9850" s="25"/>
      <c r="K9850" s="25"/>
      <c r="L9850" s="25"/>
      <c r="M9850" s="25"/>
      <c r="N9850" s="25"/>
      <c r="O9850" s="25"/>
    </row>
    <row r="9853" customFormat="false" ht="19.4" hidden="false" customHeight="false" outlineLevel="0" collapsed="false">
      <c r="A9853" s="31" t="s">
        <v>1351</v>
      </c>
    </row>
    <row r="9854" customFormat="false" ht="17.15" hidden="false" customHeight="false" outlineLevel="0" collapsed="false">
      <c r="A9854" s="6" t="s">
        <v>16</v>
      </c>
      <c r="B9854" s="6" t="s">
        <v>17</v>
      </c>
      <c r="C9854" s="20" t="s">
        <v>504</v>
      </c>
      <c r="D9854" s="20" t="s">
        <v>505</v>
      </c>
      <c r="E9854" s="20" t="s">
        <v>587</v>
      </c>
      <c r="F9854" s="20" t="s">
        <v>588</v>
      </c>
      <c r="G9854" s="20" t="s">
        <v>589</v>
      </c>
      <c r="H9854" s="20" t="s">
        <v>590</v>
      </c>
      <c r="I9854" s="20" t="s">
        <v>591</v>
      </c>
      <c r="J9854" s="20" t="s">
        <v>592</v>
      </c>
      <c r="K9854" s="20" t="s">
        <v>593</v>
      </c>
      <c r="L9854" s="20" t="s">
        <v>594</v>
      </c>
      <c r="M9854" s="20" t="s">
        <v>595</v>
      </c>
      <c r="N9854" s="20" t="s">
        <v>596</v>
      </c>
      <c r="O9854" s="20" t="s">
        <v>597</v>
      </c>
      <c r="P9854" s="6" t="s">
        <v>23</v>
      </c>
      <c r="R9854" s="20" t="n">
        <v>2023</v>
      </c>
      <c r="S9854" s="20" t="n">
        <v>2024</v>
      </c>
      <c r="T9854" s="20" t="n">
        <v>2025</v>
      </c>
      <c r="U9854" s="20" t="n">
        <v>2026</v>
      </c>
      <c r="V9854" s="20" t="n">
        <v>2027</v>
      </c>
      <c r="W9854" s="20" t="n">
        <v>2028</v>
      </c>
      <c r="X9854" s="20" t="n">
        <v>2029</v>
      </c>
      <c r="Y9854" s="20" t="n">
        <v>2030</v>
      </c>
      <c r="Z9854" s="20" t="n">
        <v>2031</v>
      </c>
      <c r="AA9854" s="20" t="n">
        <v>2032</v>
      </c>
    </row>
    <row r="9855" customFormat="false" ht="17.15" hidden="false" customHeight="false" outlineLevel="0" collapsed="false">
      <c r="A9855" s="1" t="s">
        <v>926</v>
      </c>
    </row>
    <row r="9856" customFormat="false" ht="17.15" hidden="false" customHeight="false" outlineLevel="0" collapsed="false">
      <c r="A9856" s="0" t="s">
        <v>927</v>
      </c>
      <c r="B9856" s="0" t="s">
        <v>86</v>
      </c>
      <c r="H9856" s="38" t="n">
        <f aca="false">Sens!$H$9790*(1-tax)</f>
        <v>119.56497355468</v>
      </c>
      <c r="I9856" s="38" t="n">
        <f aca="false">Sens!$I$9790*(1-tax)</f>
        <v>141.256941944278</v>
      </c>
      <c r="J9856" s="38" t="n">
        <f aca="false">Sens!$J$9790*(1-tax)</f>
        <v>165.207646486437</v>
      </c>
      <c r="K9856" s="38" t="n">
        <f aca="false">Sens!$K$9790*(1-tax)</f>
        <v>182.2563867591</v>
      </c>
      <c r="L9856" s="38" t="n">
        <f aca="false">Sens!$L$9790*(1-tax)</f>
        <v>196.136023003742</v>
      </c>
      <c r="M9856" s="38" t="n">
        <f aca="false">Sens!$M$9790*(1-tax)</f>
        <v>208.266936154417</v>
      </c>
    </row>
    <row r="9857" customFormat="false" ht="15" hidden="false" customHeight="false" outlineLevel="0" collapsed="false">
      <c r="A9857" s="5" t="s">
        <v>928</v>
      </c>
      <c r="B9857" s="0" t="s">
        <v>86</v>
      </c>
      <c r="H9857" s="38" t="n">
        <f aca="false">Sens!$H$9801</f>
        <v>81.5618233196153</v>
      </c>
      <c r="I9857" s="38" t="n">
        <f aca="false">Sens!$I$9801</f>
        <v>118.756208740204</v>
      </c>
      <c r="J9857" s="38" t="n">
        <f aca="false">Sens!$J$9801</f>
        <v>152.469489406791</v>
      </c>
      <c r="K9857" s="38" t="n">
        <f aca="false">Sens!$K$9801</f>
        <v>186.391502623819</v>
      </c>
      <c r="L9857" s="38" t="n">
        <f aca="false">Sens!$L$9801</f>
        <v>211.926422215482</v>
      </c>
      <c r="M9857" s="38" t="n">
        <f aca="false">Sens!$M$9801</f>
        <v>229.012482097906</v>
      </c>
    </row>
    <row r="9858" customFormat="false" ht="15" hidden="false" customHeight="false" outlineLevel="0" collapsed="false">
      <c r="A9858" s="5" t="s">
        <v>929</v>
      </c>
      <c r="B9858" s="0" t="s">
        <v>86</v>
      </c>
      <c r="H9858" s="38" t="n">
        <f aca="false">Sens!$H$9832</f>
        <v>273.372679834898</v>
      </c>
      <c r="I9858" s="38" t="n">
        <f aca="false">Sens!$I$9832</f>
        <v>286.981812228425</v>
      </c>
      <c r="J9858" s="38" t="n">
        <f aca="false">Sens!$J$9832</f>
        <v>299.316513378366</v>
      </c>
      <c r="K9858" s="38" t="n">
        <f aca="false">Sens!$K$9832</f>
        <v>251.057145512292</v>
      </c>
      <c r="L9858" s="38" t="n">
        <f aca="false">Sens!$L$9832</f>
        <v>234.696330860396</v>
      </c>
      <c r="M9858" s="38" t="n">
        <f aca="false">Sens!$M$9832</f>
        <v>242.291696043352</v>
      </c>
    </row>
    <row r="9859" customFormat="false" ht="15" hidden="false" customHeight="false" outlineLevel="0" collapsed="false">
      <c r="A9859" s="5" t="s">
        <v>930</v>
      </c>
      <c r="B9859" s="0" t="s">
        <v>86</v>
      </c>
      <c r="H9859" s="38" t="n">
        <f aca="false">Sens!$H$9833</f>
        <v>1.6</v>
      </c>
      <c r="I9859" s="38" t="n">
        <f aca="false">Sens!$I$9833</f>
        <v>1.6</v>
      </c>
      <c r="J9859" s="38" t="n">
        <f aca="false">Sens!$J$9833</f>
        <v>1.6</v>
      </c>
      <c r="K9859" s="38" t="n">
        <f aca="false">Sens!$K$9833</f>
        <v>1.6</v>
      </c>
      <c r="L9859" s="38" t="n">
        <f aca="false">Sens!$L$9833</f>
        <v>1.6</v>
      </c>
      <c r="M9859" s="38" t="n">
        <f aca="false">Sens!$M$9833</f>
        <v>1.6</v>
      </c>
    </row>
    <row r="9860" customFormat="false" ht="15" hidden="false" customHeight="false" outlineLevel="0" collapsed="false">
      <c r="A9860" s="5" t="s">
        <v>931</v>
      </c>
      <c r="B9860" s="0" t="s">
        <v>86</v>
      </c>
      <c r="H9860" s="38" t="n">
        <f aca="false">Sens!$H$9827</f>
        <v>11.2928295263397</v>
      </c>
      <c r="I9860" s="38" t="n">
        <f aca="false">Sens!$I$9827</f>
        <v>12.8091546115766</v>
      </c>
      <c r="J9860" s="38" t="n">
        <f aca="false">Sens!$J$9827</f>
        <v>14.2605653162668</v>
      </c>
      <c r="K9860" s="38" t="n">
        <f aca="false">Sens!$K$9827</f>
        <v>15.5327622460396</v>
      </c>
      <c r="L9860" s="38" t="n">
        <f aca="false">Sens!$L$9827</f>
        <v>16.720573737517</v>
      </c>
      <c r="M9860" s="38" t="n">
        <f aca="false">Sens!$M$9827</f>
        <v>17.8283127551536</v>
      </c>
    </row>
    <row r="9861" customFormat="false" ht="17.15" hidden="false" customHeight="false" outlineLevel="0" collapsed="false">
      <c r="A9861" s="1" t="s">
        <v>932</v>
      </c>
      <c r="B9861" s="8" t="s">
        <v>86</v>
      </c>
      <c r="H9861" s="38" t="n">
        <f aca="false">Sens!$H$9856+Sens!$H$9857-Sens!$H$9858-Sens!$H$9859+Sens!$H$9860</f>
        <v>-62.5530534342631</v>
      </c>
      <c r="I9861" s="38" t="n">
        <f aca="false">Sens!$I$9856+Sens!$I$9857-Sens!$I$9858-Sens!$I$9859+Sens!$I$9860</f>
        <v>-15.7595069323669</v>
      </c>
      <c r="J9861" s="38" t="n">
        <f aca="false">Sens!$J$9856+Sens!$J$9857-Sens!$J$9858-Sens!$J$9859+Sens!$J$9860</f>
        <v>31.0211878311291</v>
      </c>
      <c r="K9861" s="38" t="n">
        <f aca="false">Sens!$K$9856+Sens!$K$9857-Sens!$K$9858-Sens!$K$9859+Sens!$K$9860</f>
        <v>131.523506116666</v>
      </c>
      <c r="L9861" s="38" t="n">
        <f aca="false">Sens!$L$9856+Sens!$L$9857-Sens!$L$9858-Sens!$L$9859+Sens!$L$9860</f>
        <v>188.486688096346</v>
      </c>
      <c r="M9861" s="38" t="n">
        <f aca="false">Sens!$M$9856+Sens!$M$9857-Sens!$M$9858-Sens!$M$9859+Sens!$M$9860</f>
        <v>211.216034964125</v>
      </c>
    </row>
    <row r="9862" customFormat="false" ht="15" hidden="false" customHeight="false" outlineLevel="0" collapsed="false">
      <c r="A9862" s="5" t="s">
        <v>933</v>
      </c>
      <c r="B9862" s="0" t="s">
        <v>57</v>
      </c>
      <c r="H9862" s="40" t="n">
        <f aca="false">1/(1+wacc)^(2027-2026-0.5)</f>
        <v>0.947751320380232</v>
      </c>
      <c r="I9862" s="40" t="n">
        <f aca="false">1/(1+wacc)^(2028-2026-0.5)</f>
        <v>0.851301099754987</v>
      </c>
      <c r="J9862" s="40" t="n">
        <f aca="false">1/(1+wacc)^(2029-2026-0.5)</f>
        <v>0.764666370660713</v>
      </c>
      <c r="K9862" s="40" t="n">
        <f aca="false">1/(1+wacc)^(2030-2026-0.5)</f>
        <v>0.686848235703811</v>
      </c>
      <c r="L9862" s="40" t="n">
        <f aca="false">1/(1+wacc)^(2031-2026-0.5)</f>
        <v>0.616949452715975</v>
      </c>
      <c r="M9862" s="40" t="n">
        <f aca="false">1/(1+wacc)^(2032-2026-0.5)</f>
        <v>0.554164089562688</v>
      </c>
    </row>
    <row r="9863" customFormat="false" ht="15" hidden="false" customHeight="false" outlineLevel="0" collapsed="false">
      <c r="A9863" s="5" t="s">
        <v>934</v>
      </c>
      <c r="B9863" s="0" t="s">
        <v>86</v>
      </c>
      <c r="H9863" s="38" t="n">
        <f aca="false">Sens!$H$9861*Sens!$H$9862</f>
        <v>-59.2847389861381</v>
      </c>
      <c r="I9863" s="38" t="n">
        <f aca="false">Sens!$I$9861*Sens!$I$9862</f>
        <v>-13.4160855831203</v>
      </c>
      <c r="J9863" s="38" t="n">
        <f aca="false">Sens!$J$9861*Sens!$J$9862</f>
        <v>23.7208591124138</v>
      </c>
      <c r="K9863" s="38" t="n">
        <f aca="false">Sens!$K$9861*Sens!$K$9862</f>
        <v>90.3366881298116</v>
      </c>
      <c r="L9863" s="38" t="n">
        <f aca="false">Sens!$L$9861*Sens!$L$9862</f>
        <v>116.286759065287</v>
      </c>
      <c r="M9863" s="38" t="n">
        <f aca="false">Sens!$M$9861*Sens!$M$9862</f>
        <v>117.048341716935</v>
      </c>
    </row>
    <row r="9864" customFormat="false" ht="15" hidden="false" customHeight="false" outlineLevel="0" collapsed="false">
      <c r="A9864" s="5" t="s">
        <v>935</v>
      </c>
      <c r="B9864" s="0" t="s">
        <v>86</v>
      </c>
      <c r="C9864" s="38" t="n">
        <f aca="false">SUM(Sens!$H$9863:$M$9863)</f>
        <v>274.691823455189</v>
      </c>
    </row>
    <row r="9865" customFormat="false" ht="17.15" hidden="false" customHeight="false" outlineLevel="0" collapsed="false">
      <c r="A9865" s="5" t="s">
        <v>936</v>
      </c>
      <c r="B9865" s="0" t="s">
        <v>86</v>
      </c>
      <c r="C9865" s="38" t="n">
        <f aca="false">Sens!$M$9856*(1+tg)*(1-tg/ronic)/(wacc-tg)</f>
        <v>1893.37885139876</v>
      </c>
    </row>
    <row r="9866" customFormat="false" ht="15" hidden="false" customHeight="false" outlineLevel="0" collapsed="false">
      <c r="A9866" s="5" t="s">
        <v>937</v>
      </c>
      <c r="B9866" s="0" t="s">
        <v>86</v>
      </c>
      <c r="C9866" s="38" t="n">
        <f aca="false">Sens!$C$9865/(1+wacc)^6</f>
        <v>994.421028636041</v>
      </c>
    </row>
    <row r="9867" customFormat="false" ht="17.15" hidden="false" customHeight="false" outlineLevel="0" collapsed="false">
      <c r="A9867" s="5" t="s">
        <v>938</v>
      </c>
      <c r="B9867" s="0" t="s">
        <v>86</v>
      </c>
      <c r="C9867" s="38" t="n">
        <f aca="false">Sens!$C$9864+Sens!$C$9866</f>
        <v>1269.11285209123</v>
      </c>
    </row>
    <row r="9868" customFormat="false" ht="17.15" hidden="false" customHeight="false" outlineLevel="0" collapsed="false">
      <c r="A9868" s="5" t="s">
        <v>939</v>
      </c>
      <c r="B9868" s="0" t="s">
        <v>52</v>
      </c>
      <c r="C9868" s="13" t="n">
        <f aca="false">Sens!$C$9866/Sens!$C$9867</f>
        <v>0.783556030495984</v>
      </c>
    </row>
    <row r="9869" customFormat="false" ht="17.15" hidden="false" customHeight="false" outlineLevel="0" collapsed="false">
      <c r="A9869" s="5" t="s">
        <v>940</v>
      </c>
      <c r="B9869" s="0" t="s">
        <v>86</v>
      </c>
      <c r="C9869" s="38" t="n">
        <f aca="false">Sens!$G$9845+fin_debt</f>
        <v>89.0551793268317</v>
      </c>
    </row>
    <row r="9870" customFormat="false" ht="17.15" hidden="false" customHeight="false" outlineLevel="0" collapsed="false">
      <c r="A9870" s="5" t="s">
        <v>941</v>
      </c>
      <c r="B9870" s="0" t="s">
        <v>86</v>
      </c>
      <c r="C9870" s="38" t="n">
        <f aca="false">(ant_val*ant_sh+oai_val*oai_sh)*(1-liq_disc)</f>
        <v>178.944</v>
      </c>
    </row>
    <row r="9871" customFormat="false" ht="15" hidden="false" customHeight="false" outlineLevel="0" collapsed="false">
      <c r="A9871" s="5" t="s">
        <v>942</v>
      </c>
      <c r="B9871" s="0" t="s">
        <v>86</v>
      </c>
      <c r="C9871" s="38" t="n">
        <f aca="false">Sens!$C$9867-Sens!$C$9869+Sens!$C$9870</f>
        <v>1359.0016727644</v>
      </c>
    </row>
    <row r="9872" customFormat="false" ht="17.15" hidden="false" customHeight="false" outlineLevel="0" collapsed="false">
      <c r="A9872" s="5" t="s">
        <v>943</v>
      </c>
      <c r="B9872" s="0" t="s">
        <v>27</v>
      </c>
      <c r="C9872" s="30" t="n">
        <f aca="false">Sens!$C$9871/sh_out</f>
        <v>125.993149537868</v>
      </c>
    </row>
    <row r="9873" customFormat="false" ht="17.15" hidden="false" customHeight="false" outlineLevel="0" collapsed="false">
      <c r="A9873" s="1" t="s">
        <v>944</v>
      </c>
      <c r="B9873" s="8" t="s">
        <v>27</v>
      </c>
      <c r="C9873" s="30" t="n">
        <f aca="false">Sens!$C$9872*(1+ke)^tp_yf-dps*tp_yf</f>
        <v>138.008970873001</v>
      </c>
    </row>
    <row r="9874" customFormat="false" ht="17.15" hidden="false" customHeight="false" outlineLevel="0" collapsed="false">
      <c r="A9874" s="3" t="s">
        <v>945</v>
      </c>
    </row>
    <row r="9875" customFormat="false" ht="17.15" hidden="false" customHeight="false" outlineLevel="0" collapsed="false">
      <c r="A9875" s="5" t="s">
        <v>946</v>
      </c>
      <c r="B9875" s="0" t="s">
        <v>86</v>
      </c>
      <c r="C9875" s="38" t="n">
        <f aca="false">(1-tp_yf)*(Sens!$H$9802+sbc_ab*Sens!$H$9826*Sens!$H$9663/Sens!$H$9743)+tp_yf*(Sens!$I$9802+sbc_ab*Sens!$I$9826*Sens!$I$9663/Sens!$I$9743)</f>
        <v>59.634664536349</v>
      </c>
    </row>
    <row r="9876" customFormat="false" ht="15" hidden="false" customHeight="false" outlineLevel="0" collapsed="false">
      <c r="A9876" s="5" t="s">
        <v>947</v>
      </c>
      <c r="B9876" s="0" t="s">
        <v>57</v>
      </c>
      <c r="C9876" s="30" t="n">
        <f aca="false">m_ads*m_x</f>
        <v>9.11</v>
      </c>
    </row>
    <row r="9877" customFormat="false" ht="17.15" hidden="false" customHeight="false" outlineLevel="0" collapsed="false">
      <c r="A9877" s="5" t="s">
        <v>948</v>
      </c>
      <c r="B9877" s="0" t="s">
        <v>86</v>
      </c>
      <c r="C9877" s="38" t="n">
        <f aca="false">Sens!$C$9875*Sens!$C$9876</f>
        <v>543.271793926139</v>
      </c>
    </row>
    <row r="9878" customFormat="false" ht="17.15" hidden="false" customHeight="false" outlineLevel="0" collapsed="false">
      <c r="A9878" s="5" t="s">
        <v>949</v>
      </c>
      <c r="B9878" s="0" t="s">
        <v>86</v>
      </c>
      <c r="C9878" s="38" t="n">
        <f aca="false">(1-tp_yf)*(Sens!$H$9803+sbc_ab*Sens!$H$9826*(Sens!$H$9670-Sens!$H$9663)/Sens!$H$9743+IF(internal_ai_reading=2,1,0)*(1-ext_sh)*Sens!$H$9700)+tp_yf*(Sens!$I$9803+sbc_ab*Sens!$I$9826*(Sens!$I$9670-Sens!$I$9663)/Sens!$I$9743+IF(internal_ai_reading=2,1,0)*(1-ext_sh)*Sens!$I$9700)</f>
        <v>51.6951811103438</v>
      </c>
    </row>
    <row r="9879" customFormat="false" ht="17.15" hidden="false" customHeight="false" outlineLevel="0" collapsed="false">
      <c r="A9879" s="5" t="s">
        <v>950</v>
      </c>
      <c r="B9879" s="0" t="s">
        <v>57</v>
      </c>
      <c r="C9879" s="30" t="n">
        <f aca="false">m_retail*m_x</f>
        <v>17.72</v>
      </c>
    </row>
    <row r="9880" customFormat="false" ht="17.15" hidden="false" customHeight="false" outlineLevel="0" collapsed="false">
      <c r="A9880" s="5" t="s">
        <v>951</v>
      </c>
      <c r="B9880" s="0" t="s">
        <v>86</v>
      </c>
      <c r="C9880" s="38" t="n">
        <f aca="false">Sens!$C$9878*Sens!$C$9879</f>
        <v>916.038609275292</v>
      </c>
    </row>
    <row r="9881" customFormat="false" ht="17.15" hidden="false" customHeight="false" outlineLevel="0" collapsed="false">
      <c r="A9881" s="0" t="s">
        <v>952</v>
      </c>
      <c r="B9881" s="0" t="s">
        <v>86</v>
      </c>
      <c r="C9881" s="38" t="n">
        <f aca="false">(1-tp_yf)*(Sens!$H$9804+sbc_ab*Sens!$H$9826*Sens!$H$9741/Sens!$H$9743)+tp_yf*(Sens!$I$9804+sbc_ab*Sens!$I$9826*Sens!$I$9741/Sens!$I$9743)</f>
        <v>97.2337130506861</v>
      </c>
    </row>
    <row r="9882" customFormat="false" ht="17.15" hidden="false" customHeight="false" outlineLevel="0" collapsed="false">
      <c r="A9882" s="0" t="s">
        <v>953</v>
      </c>
      <c r="B9882" s="0" t="s">
        <v>57</v>
      </c>
      <c r="C9882" s="30" t="n">
        <f aca="false">m_cloud*m_x</f>
        <v>13.82</v>
      </c>
    </row>
    <row r="9883" customFormat="false" ht="17.15" hidden="false" customHeight="false" outlineLevel="0" collapsed="false">
      <c r="A9883" s="0" t="s">
        <v>954</v>
      </c>
      <c r="B9883" s="0" t="s">
        <v>86</v>
      </c>
      <c r="C9883" s="38" t="n">
        <f aca="false">Sens!$C$9881*Sens!$C$9882</f>
        <v>1343.76991436048</v>
      </c>
    </row>
    <row r="9884" customFormat="false" ht="17.15" hidden="false" customHeight="false" outlineLevel="0" collapsed="false">
      <c r="A9884" s="0" t="s">
        <v>955</v>
      </c>
      <c r="B9884" s="0" t="s">
        <v>86</v>
      </c>
      <c r="H9884" s="38" t="n">
        <f aca="false">Sens!$H$9722-tax*Sens!$H$9723-ext_sh*Sens!$H$9707</f>
        <v>-115.41576008619</v>
      </c>
      <c r="I9884" s="38" t="n">
        <f aca="false">Sens!$I$9722-tax*Sens!$I$9723-ext_sh*Sens!$I$9707</f>
        <v>-88.5401912683161</v>
      </c>
      <c r="J9884" s="38" t="n">
        <f aca="false">Sens!$J$9722-tax*Sens!$J$9723-ext_sh*Sens!$J$9707</f>
        <v>-61.2977422866746</v>
      </c>
      <c r="K9884" s="38" t="n">
        <f aca="false">Sens!$K$9722-tax*Sens!$K$9723-ext_sh*Sens!$K$9707</f>
        <v>9.91264760007891</v>
      </c>
      <c r="L9884" s="38" t="n">
        <f aca="false">Sens!$L$9722-tax*Sens!$L$9723-ext_sh*Sens!$L$9707</f>
        <v>46.750156871371</v>
      </c>
      <c r="M9884" s="38" t="n">
        <f aca="false">Sens!$M$9722-tax*Sens!$M$9723-ext_sh*Sens!$M$9707</f>
        <v>55.5634749071557</v>
      </c>
    </row>
    <row r="9885" customFormat="false" ht="17.15" hidden="false" customHeight="false" outlineLevel="0" collapsed="false">
      <c r="A9885" s="5" t="s">
        <v>956</v>
      </c>
      <c r="B9885" s="0" t="s">
        <v>86</v>
      </c>
      <c r="H9885" s="38" t="n">
        <f aca="false">Sens!$H$9884*Sens!$H$9862</f>
        <v>-109.385439014374</v>
      </c>
      <c r="I9885" s="38" t="n">
        <f aca="false">Sens!$I$9884*Sens!$I$9862</f>
        <v>-75.3743621992344</v>
      </c>
      <c r="J9885" s="38" t="n">
        <f aca="false">Sens!$J$9884*Sens!$J$9862</f>
        <v>-46.8723221240472</v>
      </c>
      <c r="K9885" s="38" t="n">
        <f aca="false">Sens!$K$9884*Sens!$K$9862</f>
        <v>6.80848451526782</v>
      </c>
      <c r="L9885" s="38" t="n">
        <f aca="false">Sens!$L$9884*Sens!$L$9862</f>
        <v>28.8424836961783</v>
      </c>
      <c r="M9885" s="38" t="n">
        <f aca="false">Sens!$M$9884*Sens!$M$9862</f>
        <v>30.7912824848632</v>
      </c>
    </row>
    <row r="9886" customFormat="false" ht="17.15" hidden="false" customHeight="false" outlineLevel="0" collapsed="false">
      <c r="A9886" s="5" t="s">
        <v>957</v>
      </c>
      <c r="B9886" s="0" t="s">
        <v>86</v>
      </c>
      <c r="C9886" s="38" t="n">
        <f aca="false">Sens!$M$9723*(1-tax)*(1+tg)*(1-tg/ronic)/(wacc-tg)</f>
        <v>356.180381489473</v>
      </c>
    </row>
    <row r="9887" customFormat="false" ht="17.15" hidden="false" customHeight="false" outlineLevel="0" collapsed="false">
      <c r="A9887" s="0" t="s">
        <v>958</v>
      </c>
      <c r="B9887" s="0" t="s">
        <v>86</v>
      </c>
      <c r="C9887" s="38" t="n">
        <f aca="false">(SUM(Sens!$I$9885:$M$9885)+Sens!$C$9886/(1+wacc)^6)*(1+wacc)^tp_yf</f>
        <v>143.3703803388</v>
      </c>
    </row>
    <row r="9888" customFormat="false" ht="17.15" hidden="false" customHeight="false" outlineLevel="0" collapsed="false">
      <c r="A9888" s="5" t="s">
        <v>959</v>
      </c>
      <c r="B9888" s="0" t="s">
        <v>86</v>
      </c>
      <c r="C9888" s="38" t="n">
        <f aca="false">(1-tp_yf)*(Sens!$H$9805)+tp_yf*(Sens!$I$9805)</f>
        <v>74.6707041238437</v>
      </c>
    </row>
    <row r="9889" customFormat="false" ht="17.15" hidden="false" customHeight="false" outlineLevel="0" collapsed="false">
      <c r="A9889" s="5" t="s">
        <v>960</v>
      </c>
      <c r="B9889" s="0" t="s">
        <v>86</v>
      </c>
      <c r="C9889" s="38" t="n">
        <f aca="false">Sens!$C$9888*m_ai</f>
        <v>448.024224743062</v>
      </c>
    </row>
    <row r="9890" customFormat="false" ht="17.15" hidden="false" customHeight="false" outlineLevel="0" collapsed="false">
      <c r="A9890" s="0" t="s">
        <v>961</v>
      </c>
      <c r="B9890" s="0" t="s">
        <v>86</v>
      </c>
      <c r="C9890" s="38" t="n">
        <f aca="false">IF(ai_leg=1,Sens!$C$9887,Sens!$C$9889)</f>
        <v>143.3703803388</v>
      </c>
    </row>
    <row r="9891" customFormat="false" ht="17.15" hidden="false" customHeight="false" outlineLevel="0" collapsed="false">
      <c r="A9891" s="5" t="s">
        <v>962</v>
      </c>
      <c r="B9891" s="0" t="s">
        <v>86</v>
      </c>
      <c r="C9891" s="38" t="n">
        <f aca="false">Sens!$C$9877+Sens!$C$9880+Sens!$C$9883+Sens!$C$9890</f>
        <v>2946.45069790071</v>
      </c>
    </row>
    <row r="9892" customFormat="false" ht="17.15" hidden="false" customHeight="false" outlineLevel="0" collapsed="false">
      <c r="A9892" s="5" t="s">
        <v>963</v>
      </c>
      <c r="B9892" s="0" t="s">
        <v>86</v>
      </c>
      <c r="C9892" s="38" t="n">
        <f aca="false">Sens!$H$9845+fin_debt</f>
        <v>143.411303169235</v>
      </c>
    </row>
    <row r="9893" customFormat="false" ht="15" hidden="false" customHeight="false" outlineLevel="0" collapsed="false">
      <c r="A9893" s="5" t="s">
        <v>964</v>
      </c>
      <c r="B9893" s="0" t="s">
        <v>86</v>
      </c>
      <c r="C9893" s="38" t="n">
        <f aca="false">Sens!$C$9891-Sens!$C$9892+Sens!$C$9870</f>
        <v>2981.98339473148</v>
      </c>
    </row>
    <row r="9894" customFormat="false" ht="15" hidden="false" customHeight="false" outlineLevel="0" collapsed="false">
      <c r="A9894" s="3" t="s">
        <v>965</v>
      </c>
      <c r="B9894" s="8" t="s">
        <v>27</v>
      </c>
      <c r="C9894" s="30" t="n">
        <f aca="false">Sens!$C$9893/sh_val</f>
        <v>270.344379564487</v>
      </c>
    </row>
    <row r="9895" customFormat="false" ht="17.15" hidden="false" customHeight="false" outlineLevel="0" collapsed="false">
      <c r="A9895" s="47" t="s">
        <v>966</v>
      </c>
      <c r="B9895" s="14" t="s">
        <v>27</v>
      </c>
      <c r="C9895" s="44" t="n">
        <f aca="false">w_dcf*Sens!$C$9873+(1-w_dcf)*Sens!$C$9894</f>
        <v>204.176675218744</v>
      </c>
      <c r="D9895" s="14"/>
      <c r="E9895" s="14"/>
      <c r="F9895" s="14"/>
      <c r="G9895" s="14"/>
      <c r="H9895" s="14"/>
      <c r="I9895" s="14"/>
      <c r="J9895" s="14"/>
      <c r="K9895" s="14"/>
      <c r="L9895" s="14"/>
      <c r="M9895" s="14"/>
      <c r="N9895" s="14"/>
      <c r="O9895" s="14"/>
    </row>
    <row r="9896" customFormat="false" ht="17.15" hidden="false" customHeight="false" outlineLevel="0" collapsed="false">
      <c r="A9896" s="5" t="s">
        <v>967</v>
      </c>
      <c r="B9896" s="0" t="s">
        <v>27</v>
      </c>
      <c r="C9896" s="30" t="n">
        <f aca="false">v022_wdcf*Sens!$C$9873+(1-v022_wdcf)*Sens!$C$9894</f>
        <v>210.793445653318</v>
      </c>
    </row>
    <row r="9897" customFormat="false" ht="17.15" hidden="false" customHeight="false" outlineLevel="0" collapsed="false">
      <c r="A9897" s="5" t="s">
        <v>968</v>
      </c>
      <c r="B9897" s="0" t="s">
        <v>27</v>
      </c>
      <c r="C9897" s="30" t="n">
        <f aca="false">(Sens!$C$9893-Sens!$C$9890+Sens!$C$9889)/sh_val</f>
        <v>297.964068759578</v>
      </c>
    </row>
    <row r="9900" customFormat="false" ht="19.4" hidden="false" customHeight="false" outlineLevel="0" collapsed="false">
      <c r="A9900" s="31" t="s">
        <v>1352</v>
      </c>
    </row>
    <row r="9901" customFormat="false" ht="17.15" hidden="false" customHeight="false" outlineLevel="0" collapsed="false">
      <c r="A9901" s="6" t="s">
        <v>16</v>
      </c>
      <c r="B9901" s="6" t="s">
        <v>17</v>
      </c>
      <c r="C9901" s="20" t="s">
        <v>504</v>
      </c>
      <c r="D9901" s="20" t="s">
        <v>505</v>
      </c>
      <c r="E9901" s="20" t="s">
        <v>587</v>
      </c>
      <c r="F9901" s="20" t="s">
        <v>588</v>
      </c>
      <c r="G9901" s="20" t="s">
        <v>589</v>
      </c>
      <c r="H9901" s="20" t="s">
        <v>590</v>
      </c>
      <c r="I9901" s="20" t="s">
        <v>591</v>
      </c>
      <c r="J9901" s="20" t="s">
        <v>592</v>
      </c>
      <c r="K9901" s="20" t="s">
        <v>593</v>
      </c>
      <c r="L9901" s="20" t="s">
        <v>594</v>
      </c>
      <c r="M9901" s="20" t="s">
        <v>595</v>
      </c>
      <c r="N9901" s="20" t="s">
        <v>596</v>
      </c>
      <c r="O9901" s="20" t="s">
        <v>597</v>
      </c>
      <c r="P9901" s="6" t="s">
        <v>23</v>
      </c>
      <c r="R9901" s="20" t="n">
        <v>2023</v>
      </c>
      <c r="S9901" s="20" t="n">
        <v>2024</v>
      </c>
      <c r="T9901" s="20" t="n">
        <v>2025</v>
      </c>
      <c r="U9901" s="20" t="n">
        <v>2026</v>
      </c>
      <c r="V9901" s="20" t="n">
        <v>2027</v>
      </c>
      <c r="W9901" s="20" t="n">
        <v>2028</v>
      </c>
      <c r="X9901" s="20" t="n">
        <v>2029</v>
      </c>
      <c r="Y9901" s="20" t="n">
        <v>2030</v>
      </c>
      <c r="Z9901" s="20" t="n">
        <v>2031</v>
      </c>
      <c r="AA9901" s="20" t="n">
        <v>2032</v>
      </c>
    </row>
    <row r="9902" customFormat="false" ht="17.15" hidden="false" customHeight="false" outlineLevel="0" collapsed="false">
      <c r="A9902" s="1" t="s">
        <v>677</v>
      </c>
    </row>
    <row r="9903" customFormat="false" ht="17.15" hidden="false" customHeight="false" outlineLevel="0" collapsed="false">
      <c r="A9903" s="0" t="s">
        <v>526</v>
      </c>
      <c r="B9903" s="0" t="s">
        <v>86</v>
      </c>
      <c r="C9903" s="38" t="n">
        <f aca="false">Q!$D$10</f>
        <v>247.029</v>
      </c>
      <c r="D9903" s="38" t="n">
        <f aca="false">Q!$E$10</f>
        <v>269.287</v>
      </c>
      <c r="E9903" s="38" t="n">
        <f aca="false">Q!$P$10</f>
        <v>134.686</v>
      </c>
      <c r="F9903" s="38" t="n">
        <f aca="false">Sens!$O$9903*(1+Sens!$F$9904)*Sens!$F$9915</f>
        <v>158.293876822267</v>
      </c>
      <c r="G9903" s="38" t="n">
        <f aca="false">Sens!$E$9903+Sens!$F$9903</f>
        <v>292.979876822267</v>
      </c>
      <c r="H9903" s="38" t="n">
        <f aca="false">Sens!$G$9903*(1+Sens!$H$9904)</f>
        <v>318.184543087396</v>
      </c>
      <c r="I9903" s="38" t="n">
        <f aca="false">Sens!$H$9903*(1+Sens!$I$9904)</f>
        <v>341.736278761793</v>
      </c>
      <c r="J9903" s="38" t="n">
        <f aca="false">Sens!$I$9903*(1+Sens!$J$9904)</f>
        <v>362.927192787048</v>
      </c>
      <c r="K9903" s="38" t="n">
        <f aca="false">Sens!$J$9903*(1+Sens!$K$9904)</f>
        <v>381.0735524264</v>
      </c>
      <c r="L9903" s="38" t="n">
        <f aca="false">Sens!$K$9903*(1+Sens!$L$9904)</f>
        <v>400.12723004772</v>
      </c>
      <c r="M9903" s="38" t="n">
        <f aca="false">Sens!$L$9903*(1+Sens!$M$9904)</f>
        <v>420.133591550106</v>
      </c>
      <c r="N9903" s="38" t="n">
        <f aca="false">Q!$N$10</f>
        <v>118.892</v>
      </c>
      <c r="O9903" s="38" t="n">
        <f aca="false">Q!$O$10</f>
        <v>150.395</v>
      </c>
      <c r="P9903" s="8" t="s">
        <v>678</v>
      </c>
    </row>
    <row r="9904" customFormat="false" ht="17.15" hidden="false" customHeight="false" outlineLevel="0" collapsed="false">
      <c r="A9904" s="0" t="s">
        <v>679</v>
      </c>
      <c r="B9904" s="0" t="s">
        <v>52</v>
      </c>
      <c r="E9904" s="13" t="n">
        <f aca="false">Sens!$E$9903/Sens!$N$9903-1</f>
        <v>0.132843252699929</v>
      </c>
      <c r="F9904" s="13" t="n">
        <f aca="false">Sens!$O$9903/(Q!$F$10+Q!$G$10)-1</f>
        <v>0.0980382135842941</v>
      </c>
      <c r="G9904" s="13" t="n">
        <f aca="false">Sens!$G$9903/Sens!$D$9903-1</f>
        <v>0.0879837378791657</v>
      </c>
      <c r="H9904" s="13" t="n">
        <f aca="false">Sens!$F$9904+(g_os-Sens!$F$9904)*1/4</f>
        <v>0.0860286601882206</v>
      </c>
      <c r="I9904" s="13" t="n">
        <f aca="false">Sens!$F$9904+(g_os-Sens!$F$9904)*2/4</f>
        <v>0.074019106792147</v>
      </c>
      <c r="J9904" s="13" t="n">
        <f aca="false">Sens!$F$9904+(g_os-Sens!$F$9904)*3/4</f>
        <v>0.0620095533960735</v>
      </c>
      <c r="K9904" s="13" t="n">
        <f aca="false">Sens!$F$9904+(g_os-Sens!$F$9904)*4/4</f>
        <v>0.05</v>
      </c>
      <c r="L9904" s="13" t="n">
        <f aca="false">g_os</f>
        <v>0.05</v>
      </c>
      <c r="M9904" s="13" t="n">
        <f aca="false">g_os</f>
        <v>0.05</v>
      </c>
      <c r="P9904" s="8" t="s">
        <v>680</v>
      </c>
    </row>
    <row r="9905" customFormat="false" ht="17.15" hidden="false" customHeight="false" outlineLevel="0" collapsed="false">
      <c r="A9905" s="0" t="s">
        <v>527</v>
      </c>
      <c r="B9905" s="0" t="s">
        <v>86</v>
      </c>
      <c r="C9905" s="38" t="n">
        <f aca="false">Q!$D$11</f>
        <v>21.215</v>
      </c>
      <c r="D9905" s="38" t="n">
        <f aca="false">Q!$E$11</f>
        <v>22.561</v>
      </c>
      <c r="E9905" s="38" t="n">
        <f aca="false">Q!$P$11</f>
        <v>11.579</v>
      </c>
      <c r="F9905" s="38" t="n">
        <f aca="false">Sens!$O$9905*(1+Sens!$F$9906)*Sens!$F$9915</f>
        <v>11.5938724610325</v>
      </c>
      <c r="G9905" s="38" t="n">
        <f aca="false">Sens!$E$9905+Sens!$F$9905</f>
        <v>23.1728724610325</v>
      </c>
      <c r="H9905" s="38" t="n">
        <f aca="false">Sens!$G$9905*(1+Sens!$H$9906)</f>
        <v>24.353392759506</v>
      </c>
      <c r="I9905" s="38" t="n">
        <f aca="false">Sens!$H$9905*(1+Sens!$I$9906)</f>
        <v>25.4240338872015</v>
      </c>
      <c r="J9905" s="38" t="n">
        <f aca="false">Sens!$I$9905*(1+Sens!$J$9906)</f>
        <v>26.3642491017174</v>
      </c>
      <c r="K9905" s="38" t="n">
        <f aca="false">Sens!$J$9905*(1+Sens!$K$9906)</f>
        <v>27.155176574769</v>
      </c>
      <c r="L9905" s="38" t="n">
        <f aca="false">Sens!$K$9905*(1+Sens!$L$9906)</f>
        <v>27.969831872012</v>
      </c>
      <c r="M9905" s="38" t="n">
        <f aca="false">Sens!$L$9905*(1+Sens!$M$9906)</f>
        <v>28.8089268281724</v>
      </c>
      <c r="N9905" s="38" t="n">
        <f aca="false">Q!$N$11</f>
        <v>11.128</v>
      </c>
      <c r="O9905" s="38" t="n">
        <f aca="false">Q!$O$11</f>
        <v>11.433</v>
      </c>
      <c r="P9905" s="8" t="s">
        <v>678</v>
      </c>
    </row>
    <row r="9906" customFormat="false" ht="17.15" hidden="false" customHeight="false" outlineLevel="0" collapsed="false">
      <c r="A9906" s="0" t="s">
        <v>681</v>
      </c>
      <c r="B9906" s="0" t="s">
        <v>52</v>
      </c>
      <c r="E9906" s="13" t="n">
        <f aca="false">Sens!$E$9905/Sens!$N$9905-1</f>
        <v>0.0405283968368082</v>
      </c>
      <c r="F9906" s="13" t="n">
        <f aca="false">Sens!$O$9905/(Q!$F$11+Q!$G$11)-1</f>
        <v>0.0579254187100955</v>
      </c>
      <c r="G9906" s="13" t="n">
        <f aca="false">Sens!$G$9905/Sens!$D$9905-1</f>
        <v>0.0271208040881397</v>
      </c>
      <c r="H9906" s="13" t="n">
        <f aca="false">Sens!$F$9906+(g_ps-Sens!$F$9906)*1/4</f>
        <v>0.0509440640325716</v>
      </c>
      <c r="I9906" s="13" t="n">
        <f aca="false">Sens!$F$9906+(g_ps-Sens!$F$9906)*2/4</f>
        <v>0.0439627093550477</v>
      </c>
      <c r="J9906" s="13" t="n">
        <f aca="false">Sens!$F$9906+(g_ps-Sens!$F$9906)*3/4</f>
        <v>0.0369813546775239</v>
      </c>
      <c r="K9906" s="13" t="n">
        <f aca="false">Sens!$F$9906+(g_ps-Sens!$F$9906)*4/4</f>
        <v>0.03</v>
      </c>
      <c r="L9906" s="13" t="n">
        <f aca="false">g_ps</f>
        <v>0.03</v>
      </c>
      <c r="M9906" s="13" t="n">
        <f aca="false">g_ps</f>
        <v>0.03</v>
      </c>
      <c r="P9906" s="8" t="s">
        <v>682</v>
      </c>
    </row>
    <row r="9907" customFormat="false" ht="17.15" hidden="false" customHeight="false" outlineLevel="0" collapsed="false">
      <c r="A9907" s="0" t="s">
        <v>528</v>
      </c>
      <c r="B9907" s="0" t="s">
        <v>86</v>
      </c>
      <c r="C9907" s="38" t="n">
        <f aca="false">Q!$D$12</f>
        <v>156.146</v>
      </c>
      <c r="D9907" s="38" t="n">
        <f aca="false">Q!$E$12</f>
        <v>172.162</v>
      </c>
      <c r="E9907" s="38" t="n">
        <f aca="false">Q!$P$12</f>
        <v>88.358</v>
      </c>
      <c r="F9907" s="38" t="n">
        <f aca="false">Sens!$O$9907*(1+Sens!$F$9908)*Sens!$F$9915</f>
        <v>102.004388260171</v>
      </c>
      <c r="G9907" s="38" t="n">
        <f aca="false">Sens!$E$9907+Sens!$F$9907</f>
        <v>190.362388260171</v>
      </c>
      <c r="H9907" s="38" t="n">
        <f aca="false">Sens!$G$9907*(1+Sens!$H$9908)</f>
        <v>210.343106588311</v>
      </c>
      <c r="I9907" s="38" t="n">
        <f aca="false">Sens!$H$9907*(1+Sens!$I$9908)</f>
        <v>229.969728494648</v>
      </c>
      <c r="J9907" s="38" t="n">
        <f aca="false">Sens!$I$9907*(1+Sens!$J$9908)</f>
        <v>248.747636972598</v>
      </c>
      <c r="K9907" s="38" t="n">
        <f aca="false">Sens!$J$9907*(1+Sens!$K$9908)</f>
        <v>266.15997156068</v>
      </c>
      <c r="L9907" s="38" t="n">
        <f aca="false">Sens!$K$9907*(1+Sens!$L$9908)</f>
        <v>284.791169569927</v>
      </c>
      <c r="M9907" s="38" t="n">
        <f aca="false">Sens!$L$9907*(1+Sens!$M$9908)</f>
        <v>304.726551439822</v>
      </c>
      <c r="N9907" s="38" t="n">
        <f aca="false">Q!$N$12</f>
        <v>76.86</v>
      </c>
      <c r="O9907" s="38" t="n">
        <f aca="false">Q!$O$12</f>
        <v>95.302</v>
      </c>
      <c r="P9907" s="8" t="s">
        <v>678</v>
      </c>
    </row>
    <row r="9908" customFormat="false" ht="17.15" hidden="false" customHeight="false" outlineLevel="0" collapsed="false">
      <c r="A9908" s="0" t="s">
        <v>683</v>
      </c>
      <c r="B9908" s="0" t="s">
        <v>52</v>
      </c>
      <c r="E9908" s="13" t="n">
        <f aca="false">Sens!$E$9907/Sens!$N$9907-1</f>
        <v>0.1495966692688</v>
      </c>
      <c r="F9908" s="13" t="n">
        <f aca="false">Sens!$O$9907/(Q!$F$12+Q!$G$12)-1</f>
        <v>0.11661530890813</v>
      </c>
      <c r="G9908" s="13" t="n">
        <f aca="false">Sens!$G$9907/Sens!$D$9907-1</f>
        <v>0.105716640490767</v>
      </c>
      <c r="H9908" s="13" t="n">
        <f aca="false">Sens!$F$9908+(g_sp-Sens!$F$9908)*1/4</f>
        <v>0.104961481681098</v>
      </c>
      <c r="I9908" s="13" t="n">
        <f aca="false">Sens!$F$9908+(g_sp-Sens!$F$9908)*2/4</f>
        <v>0.0933076544540651</v>
      </c>
      <c r="J9908" s="13" t="n">
        <f aca="false">Sens!$F$9908+(g_sp-Sens!$F$9908)*3/4</f>
        <v>0.0816538272270325</v>
      </c>
      <c r="K9908" s="13" t="n">
        <f aca="false">Sens!$F$9908+(g_sp-Sens!$F$9908)*4/4</f>
        <v>0.07</v>
      </c>
      <c r="L9908" s="13" t="n">
        <f aca="false">g_sp</f>
        <v>0.07</v>
      </c>
      <c r="M9908" s="13" t="n">
        <f aca="false">g_sp</f>
        <v>0.07</v>
      </c>
      <c r="P9908" s="8" t="s">
        <v>684</v>
      </c>
    </row>
    <row r="9909" customFormat="false" ht="17.15" hidden="false" customHeight="false" outlineLevel="0" collapsed="false">
      <c r="A9909" s="0" t="s">
        <v>529</v>
      </c>
      <c r="B9909" s="0" t="s">
        <v>86</v>
      </c>
      <c r="C9909" s="38" t="n">
        <f aca="false">Q!$D$13</f>
        <v>56.214</v>
      </c>
      <c r="D9909" s="38" t="n">
        <f aca="false">Q!$E$13</f>
        <v>68.635</v>
      </c>
      <c r="E9909" s="38" t="n">
        <f aca="false">Q!$P$13</f>
        <v>37.052</v>
      </c>
      <c r="F9909" s="38" t="n">
        <f aca="false">Sens!$O$9909*(1+Sens!$F$9910)*Sens!$F$9915</f>
        <v>46.1572219944148</v>
      </c>
      <c r="G9909" s="38" t="n">
        <f aca="false">Sens!$E$9909+Sens!$F$9909</f>
        <v>83.2092219944148</v>
      </c>
      <c r="H9909" s="38" t="n">
        <f aca="false">Sens!$G$9909*(1+Sens!$H$9910)</f>
        <v>99.8969223878976</v>
      </c>
      <c r="I9909" s="38" t="n">
        <f aca="false">Sens!$H$9909*(1+Sens!$I$9910)</f>
        <v>116.583111095496</v>
      </c>
      <c r="J9909" s="38" t="n">
        <f aca="false">Sens!$I$9909*(1+Sens!$J$9910)</f>
        <v>132.148941941952</v>
      </c>
      <c r="K9909" s="38" t="n">
        <f aca="false">Sens!$J$9909*(1+Sens!$K$9910)</f>
        <v>145.363836136147</v>
      </c>
      <c r="L9909" s="38" t="n">
        <f aca="false">Sens!$K$9909*(1+Sens!$L$9910)</f>
        <v>159.900219749762</v>
      </c>
      <c r="M9909" s="38" t="n">
        <f aca="false">Sens!$L$9909*(1+Sens!$M$9910)</f>
        <v>175.890241724738</v>
      </c>
      <c r="N9909" s="38" t="n">
        <f aca="false">Q!$N$13</f>
        <v>29.615</v>
      </c>
      <c r="O9909" s="38" t="n">
        <f aca="false">Q!$O$13</f>
        <v>39.02</v>
      </c>
      <c r="P9909" s="8" t="s">
        <v>678</v>
      </c>
    </row>
    <row r="9910" customFormat="false" ht="17.15" hidden="false" customHeight="false" outlineLevel="0" collapsed="false">
      <c r="A9910" s="0" t="s">
        <v>685</v>
      </c>
      <c r="B9910" s="0" t="s">
        <v>52</v>
      </c>
      <c r="E9910" s="13" t="n">
        <f aca="false">Sens!$E$9909/Sens!$N$9909-1</f>
        <v>0.25112274185379</v>
      </c>
      <c r="F9910" s="13" t="n">
        <f aca="false">Sens!$O$9909/(Q!$F$13+Q!$G$13)-1</f>
        <v>0.234068123596572</v>
      </c>
      <c r="G9910" s="13" t="n">
        <f aca="false">Sens!$G$9909/Sens!$D$9909-1</f>
        <v>0.212343876949294</v>
      </c>
      <c r="H9910" s="13" t="n">
        <f aca="false">Sens!$F$9910+(g_ad-Sens!$F$9910)*1/4</f>
        <v>0.200551092697429</v>
      </c>
      <c r="I9910" s="13" t="n">
        <f aca="false">Sens!$F$9910+(g_ad-Sens!$F$9910)*2/4</f>
        <v>0.167034061798286</v>
      </c>
      <c r="J9910" s="13" t="n">
        <f aca="false">Sens!$F$9910+(g_ad-Sens!$F$9910)*3/4</f>
        <v>0.133517030899143</v>
      </c>
      <c r="K9910" s="13" t="n">
        <f aca="false">Sens!$F$9910+(g_ad-Sens!$F$9910)*4/4</f>
        <v>0.1</v>
      </c>
      <c r="L9910" s="13" t="n">
        <f aca="false">g_ad</f>
        <v>0.1</v>
      </c>
      <c r="M9910" s="13" t="n">
        <f aca="false">g_ad</f>
        <v>0.1</v>
      </c>
      <c r="P9910" s="8" t="s">
        <v>686</v>
      </c>
    </row>
    <row r="9911" customFormat="false" ht="17.15" hidden="false" customHeight="false" outlineLevel="0" collapsed="false">
      <c r="A9911" s="0" t="s">
        <v>530</v>
      </c>
      <c r="B9911" s="0" t="s">
        <v>86</v>
      </c>
      <c r="C9911" s="38" t="n">
        <f aca="false">Q!$D$14</f>
        <v>44.374</v>
      </c>
      <c r="D9911" s="38" t="n">
        <f aca="false">Q!$E$14</f>
        <v>49.619</v>
      </c>
      <c r="E9911" s="38" t="n">
        <f aca="false">Q!$P$14</f>
        <v>27.157</v>
      </c>
      <c r="F9911" s="38" t="n">
        <f aca="false">Sens!$O$9911*(1+Sens!$F$9912)*Sens!$F$9915</f>
        <v>27.7764165988154</v>
      </c>
      <c r="G9911" s="38" t="n">
        <f aca="false">Sens!$E$9911+Sens!$F$9911</f>
        <v>54.9334165988154</v>
      </c>
      <c r="H9911" s="38" t="n">
        <f aca="false">Sens!$G$9911*(1+Sens!$H$9912)</f>
        <v>61.1564112561829</v>
      </c>
      <c r="I9911" s="38" t="n">
        <f aca="false">Sens!$H$9911*(1+Sens!$I$9912)</f>
        <v>67.2020282103945</v>
      </c>
      <c r="J9911" s="38" t="n">
        <f aca="false">Sens!$I$9911*(1+Sens!$J$9912)</f>
        <v>72.8757274028885</v>
      </c>
      <c r="K9911" s="38" t="n">
        <f aca="false">Sens!$J$9911*(1+Sens!$K$9912)</f>
        <v>77.9770283210907</v>
      </c>
      <c r="L9911" s="38" t="n">
        <f aca="false">Sens!$K$9911*(1+Sens!$L$9912)</f>
        <v>83.4354203035671</v>
      </c>
      <c r="M9911" s="38" t="n">
        <f aca="false">Sens!$L$9911*(1+Sens!$M$9912)</f>
        <v>89.2758997248168</v>
      </c>
      <c r="N9911" s="38" t="n">
        <f aca="false">Q!$N$14</f>
        <v>23.923</v>
      </c>
      <c r="O9911" s="38" t="n">
        <f aca="false">Q!$O$14</f>
        <v>25.696</v>
      </c>
      <c r="P9911" s="8" t="s">
        <v>678</v>
      </c>
    </row>
    <row r="9912" customFormat="false" ht="17.15" hidden="false" customHeight="false" outlineLevel="0" collapsed="false">
      <c r="A9912" s="0" t="s">
        <v>687</v>
      </c>
      <c r="B9912" s="0" t="s">
        <v>52</v>
      </c>
      <c r="E9912" s="13" t="n">
        <f aca="false">Sens!$E$9911/Sens!$N$9911-1</f>
        <v>0.135183714417088</v>
      </c>
      <c r="F9912" s="13" t="n">
        <f aca="false">Sens!$O$9911/(Q!$F$14+Q!$G$14)-1</f>
        <v>0.127709997366804</v>
      </c>
      <c r="G9912" s="13" t="n">
        <f aca="false">Sens!$G$9911/Sens!$D$9911-1</f>
        <v>0.107104468022641</v>
      </c>
      <c r="H9912" s="13" t="n">
        <f aca="false">Sens!$F$9912+(g_sub-Sens!$F$9912)*1/4</f>
        <v>0.113282498025103</v>
      </c>
      <c r="I9912" s="13" t="n">
        <f aca="false">Sens!$F$9912+(g_sub-Sens!$F$9912)*2/4</f>
        <v>0.0988549986834021</v>
      </c>
      <c r="J9912" s="13" t="n">
        <f aca="false">Sens!$F$9912+(g_sub-Sens!$F$9912)*3/4</f>
        <v>0.084427499341701</v>
      </c>
      <c r="K9912" s="13" t="n">
        <f aca="false">Sens!$F$9912+(g_sub-Sens!$F$9912)*4/4</f>
        <v>0.07</v>
      </c>
      <c r="L9912" s="13" t="n">
        <f aca="false">g_sub</f>
        <v>0.07</v>
      </c>
      <c r="M9912" s="13" t="n">
        <f aca="false">g_sub</f>
        <v>0.07</v>
      </c>
      <c r="P9912" s="8" t="s">
        <v>688</v>
      </c>
    </row>
    <row r="9913" customFormat="false" ht="17.15" hidden="false" customHeight="false" outlineLevel="0" collapsed="false">
      <c r="A9913" s="0" t="s">
        <v>531</v>
      </c>
      <c r="B9913" s="0" t="s">
        <v>86</v>
      </c>
      <c r="C9913" s="38" t="n">
        <f aca="false">Q!$D$15</f>
        <v>5.425</v>
      </c>
      <c r="D9913" s="38" t="n">
        <f aca="false">Q!$E$15</f>
        <v>5.935</v>
      </c>
      <c r="E9913" s="38" t="n">
        <f aca="false">Q!$P$15</f>
        <v>3.474</v>
      </c>
      <c r="F9913" s="38" t="n">
        <f aca="false">Sens!$O$9913*(1+Sens!$F$9914)*Sens!$F$9915</f>
        <v>3.22246550883619</v>
      </c>
      <c r="G9913" s="38" t="n">
        <f aca="false">Sens!$E$9913+Sens!$F$9913</f>
        <v>6.69646550883619</v>
      </c>
      <c r="H9913" s="38" t="n">
        <f aca="false">Sens!$G$9913*(1+Sens!$H$9914)</f>
        <v>7.16251344209196</v>
      </c>
      <c r="I9913" s="38" t="n">
        <f aca="false">Sens!$H$9913*(1+Sens!$I$9914)</f>
        <v>7.61421070299826</v>
      </c>
      <c r="J9913" s="38" t="n">
        <f aca="false">Sens!$I$9913*(1+Sens!$J$9914)</f>
        <v>8.04465753523932</v>
      </c>
      <c r="K9913" s="38" t="n">
        <f aca="false">Sens!$J$9913*(1+Sens!$K$9914)</f>
        <v>8.44689041200128</v>
      </c>
      <c r="L9913" s="38" t="n">
        <f aca="false">Sens!$K$9913*(1+Sens!$L$9914)</f>
        <v>8.86923493260135</v>
      </c>
      <c r="M9913" s="38" t="n">
        <f aca="false">Sens!$L$9913*(1+Sens!$M$9914)</f>
        <v>9.31269667923142</v>
      </c>
      <c r="N9913" s="38" t="n">
        <f aca="false">Q!$N$15</f>
        <v>2.811</v>
      </c>
      <c r="O9913" s="38" t="n">
        <f aca="false">Q!$O$15</f>
        <v>3.124</v>
      </c>
      <c r="P9913" s="8" t="s">
        <v>678</v>
      </c>
    </row>
    <row r="9914" customFormat="false" ht="17.15" hidden="false" customHeight="false" outlineLevel="0" collapsed="false">
      <c r="A9914" s="0" t="s">
        <v>689</v>
      </c>
      <c r="B9914" s="0" t="s">
        <v>52</v>
      </c>
      <c r="E9914" s="13" t="n">
        <f aca="false">Sens!$E$9913/Sens!$N$9913-1</f>
        <v>0.235859124866596</v>
      </c>
      <c r="F9914" s="13" t="n">
        <f aca="false">Sens!$O$9913/(Q!$F$15+Q!$G$15)-1</f>
        <v>0.0761281433000345</v>
      </c>
      <c r="G9914" s="13" t="n">
        <f aca="false">Sens!$G$9913/Sens!$D$9913-1</f>
        <v>0.128300843948811</v>
      </c>
      <c r="H9914" s="13" t="n">
        <f aca="false">Sens!$F$9914+(g_ot-Sens!$F$9914)*1/4</f>
        <v>0.0695961074750259</v>
      </c>
      <c r="I9914" s="13" t="n">
        <f aca="false">Sens!$F$9914+(g_ot-Sens!$F$9914)*2/4</f>
        <v>0.0630640716500172</v>
      </c>
      <c r="J9914" s="13" t="n">
        <f aca="false">Sens!$F$9914+(g_ot-Sens!$F$9914)*3/4</f>
        <v>0.0565320358250086</v>
      </c>
      <c r="K9914" s="13" t="n">
        <f aca="false">Sens!$F$9914+(g_ot-Sens!$F$9914)*4/4</f>
        <v>0.05</v>
      </c>
      <c r="L9914" s="13" t="n">
        <f aca="false">g_ot</f>
        <v>0.05</v>
      </c>
      <c r="M9914" s="13" t="n">
        <f aca="false">g_ot</f>
        <v>0.05</v>
      </c>
      <c r="P9914" s="8" t="s">
        <v>690</v>
      </c>
    </row>
    <row r="9915" customFormat="false" ht="17.15" hidden="false" customHeight="false" outlineLevel="0" collapsed="false">
      <c r="A9915" s="0" t="s">
        <v>691</v>
      </c>
      <c r="B9915" s="0" t="s">
        <v>57</v>
      </c>
      <c r="F9915" s="40" t="n">
        <f aca="false">(g26q3_mid*Q!$O$8/Q!$J$8-Thesis!$F$89-Thesis!$F$93)/(Sens!$O$9903*(1+Sens!$F$9904)+Sens!$O$9905*(1+Sens!$F$9906)+Sens!$O$9907*(1+Sens!$F$9908)+Sens!$O$9909*(1+Sens!$F$9910)+Sens!$O$9911*(1+Sens!$F$9912)+Sens!$O$9913*(1+Sens!$F$9914))</f>
        <v>0.958546670622329</v>
      </c>
      <c r="P9915" s="8" t="s">
        <v>692</v>
      </c>
    </row>
    <row r="9916" customFormat="false" ht="17.15" hidden="false" customHeight="false" outlineLevel="0" collapsed="false">
      <c r="A9916" s="3" t="s">
        <v>693</v>
      </c>
      <c r="B9916" s="8" t="s">
        <v>86</v>
      </c>
      <c r="C9916" s="38" t="n">
        <f aca="false">Sens!$C$9903+Sens!$C$9905+Sens!$C$9907+Sens!$C$9909+Sens!$C$9911+Sens!$C$9913</f>
        <v>530.403</v>
      </c>
      <c r="D9916" s="38" t="n">
        <f aca="false">Sens!$D$9903+Sens!$D$9905+Sens!$D$9907+Sens!$D$9909+Sens!$D$9911+Sens!$D$9913</f>
        <v>588.199</v>
      </c>
      <c r="E9916" s="38" t="n">
        <f aca="false">Sens!$E$9903+Sens!$E$9905+Sens!$E$9907+Sens!$E$9909+Sens!$E$9911+Sens!$E$9913</f>
        <v>302.306</v>
      </c>
      <c r="F9916" s="38" t="n">
        <f aca="false">Sens!$F$9903+Sens!$F$9905+Sens!$F$9907+Sens!$F$9909+Sens!$F$9911+Sens!$F$9913</f>
        <v>349.048241645537</v>
      </c>
      <c r="G9916" s="38" t="n">
        <f aca="false">Sens!$G$9903+Sens!$G$9905+Sens!$G$9907+Sens!$G$9909+Sens!$G$9911+Sens!$G$9913</f>
        <v>651.354241645537</v>
      </c>
      <c r="H9916" s="38" t="n">
        <f aca="false">Sens!$H$9903+Sens!$H$9905+Sens!$H$9907+Sens!$H$9909+Sens!$H$9911+Sens!$H$9913</f>
        <v>721.096889521386</v>
      </c>
      <c r="I9916" s="38" t="n">
        <f aca="false">Sens!$I$9903+Sens!$I$9905+Sens!$I$9907+Sens!$I$9909+Sens!$I$9911+Sens!$I$9913</f>
        <v>788.529391152531</v>
      </c>
      <c r="J9916" s="38" t="n">
        <f aca="false">Sens!$J$9903+Sens!$J$9905+Sens!$J$9907+Sens!$J$9909+Sens!$J$9911+Sens!$J$9913</f>
        <v>851.108405741443</v>
      </c>
      <c r="K9916" s="38" t="n">
        <f aca="false">Sens!$K$9903+Sens!$K$9905+Sens!$K$9907+Sens!$K$9909+Sens!$K$9911+Sens!$K$9913</f>
        <v>906.176455431088</v>
      </c>
      <c r="L9916" s="38" t="n">
        <f aca="false">Sens!$L$9903+Sens!$L$9905+Sens!$L$9907+Sens!$L$9909+Sens!$L$9911+Sens!$L$9913</f>
        <v>965.093106475589</v>
      </c>
      <c r="M9916" s="38" t="n">
        <f aca="false">Sens!$M$9903+Sens!$M$9905+Sens!$M$9907+Sens!$M$9909+Sens!$M$9911+Sens!$M$9913</f>
        <v>1028.14790794689</v>
      </c>
      <c r="N9916" s="38" t="n">
        <f aca="false">Sens!$N$9903+Sens!$N$9905+Sens!$N$9907+Sens!$N$9909+Sens!$N$9911+Sens!$N$9913</f>
        <v>263.229</v>
      </c>
      <c r="O9916" s="38" t="n">
        <f aca="false">Sens!$O$9903+Sens!$O$9905+Sens!$O$9907+Sens!$O$9909+Sens!$O$9911+Sens!$O$9913</f>
        <v>324.97</v>
      </c>
    </row>
    <row r="9917" customFormat="false" ht="17.15" hidden="false" customHeight="false" outlineLevel="0" collapsed="false">
      <c r="A9917" s="5" t="s">
        <v>694</v>
      </c>
      <c r="B9917" s="0" t="s">
        <v>52</v>
      </c>
      <c r="C9917" s="13" t="n">
        <f aca="false">Q!$D$5/(Q!$D$5+Q!$D$6)</f>
        <v>0.730570905519011</v>
      </c>
      <c r="D9917" s="13" t="n">
        <f aca="false">Q!$E$5/(Q!$E$5+Q!$E$6)</f>
        <v>0.724763217890544</v>
      </c>
      <c r="E9917" s="13" t="n">
        <f aca="false">Q!$P$5/(Q!$P$5+Q!$P$6)</f>
        <v>0.728797972914861</v>
      </c>
      <c r="F9917" s="13" t="n">
        <f aca="false">Sens!$O$9917</f>
        <v>0.718066283041511</v>
      </c>
      <c r="G9917" s="13" t="n">
        <f aca="false">Sens!$G$9918/Sens!$G$9916</f>
        <v>0.723047066202847</v>
      </c>
      <c r="H9917" s="13" t="n">
        <f aca="false">Sens!$G$9917</f>
        <v>0.723047066202847</v>
      </c>
      <c r="I9917" s="13" t="n">
        <f aca="false">Sens!$G$9917</f>
        <v>0.723047066202847</v>
      </c>
      <c r="J9917" s="13" t="n">
        <f aca="false">Sens!$G$9917</f>
        <v>0.723047066202847</v>
      </c>
      <c r="K9917" s="13" t="n">
        <f aca="false">Sens!$G$9917</f>
        <v>0.723047066202847</v>
      </c>
      <c r="L9917" s="13" t="n">
        <f aca="false">Sens!$G$9917</f>
        <v>0.723047066202847</v>
      </c>
      <c r="M9917" s="13" t="n">
        <f aca="false">Sens!$G$9917</f>
        <v>0.723047066202847</v>
      </c>
      <c r="N9917" s="13" t="n">
        <f aca="false">Q!$N$5/(Q!$N$5+Q!$N$6)</f>
        <v>0.733030935041352</v>
      </c>
      <c r="O9917" s="13" t="n">
        <f aca="false">Q!$O$5/(Q!$O$5+Q!$O$6)</f>
        <v>0.718066283041511</v>
      </c>
      <c r="P9917" s="8" t="s">
        <v>695</v>
      </c>
    </row>
    <row r="9918" customFormat="false" ht="17.15" hidden="false" customHeight="false" outlineLevel="0" collapsed="false">
      <c r="A9918" s="1" t="s">
        <v>519</v>
      </c>
      <c r="B9918" s="8" t="s">
        <v>86</v>
      </c>
      <c r="C9918" s="38" t="n">
        <f aca="false">Q!$D$5</f>
        <v>387.497</v>
      </c>
      <c r="D9918" s="38" t="n">
        <f aca="false">Q!$E$5</f>
        <v>426.305</v>
      </c>
      <c r="E9918" s="38" t="n">
        <f aca="false">Q!$P$5</f>
        <v>220.32</v>
      </c>
      <c r="F9918" s="38" t="n">
        <f aca="false">Sens!$F$9916*Sens!$F$9917</f>
        <v>250.639773480586</v>
      </c>
      <c r="G9918" s="38" t="n">
        <f aca="false">Sens!$E$9918+Sens!$F$9918</f>
        <v>470.959773480586</v>
      </c>
      <c r="H9918" s="38" t="n">
        <f aca="false">Sens!$H$9916*Sens!$H$9917</f>
        <v>521.386990416437</v>
      </c>
      <c r="I9918" s="38" t="n">
        <f aca="false">Sens!$I$9916*Sens!$I$9917</f>
        <v>570.143862887555</v>
      </c>
      <c r="J9918" s="38" t="n">
        <f aca="false">Sens!$J$9916*Sens!$J$9917</f>
        <v>615.391435791933</v>
      </c>
      <c r="K9918" s="38" t="n">
        <f aca="false">Sens!$K$9916*Sens!$K$9917</f>
        <v>655.208227561543</v>
      </c>
      <c r="L9918" s="38" t="n">
        <f aca="false">Sens!$L$9916*Sens!$L$9917</f>
        <v>697.807739249767</v>
      </c>
      <c r="M9918" s="38" t="n">
        <f aca="false">Sens!$M$9916*Sens!$M$9917</f>
        <v>743.399328463592</v>
      </c>
      <c r="N9918" s="38" t="n">
        <f aca="false">Q!$N$5</f>
        <v>192.955</v>
      </c>
      <c r="O9918" s="38" t="n">
        <f aca="false">Q!$O$5</f>
        <v>233.35</v>
      </c>
      <c r="P9918" s="5" t="s">
        <v>696</v>
      </c>
    </row>
    <row r="9919" customFormat="false" ht="17.15" hidden="false" customHeight="false" outlineLevel="0" collapsed="false">
      <c r="A9919" s="1" t="s">
        <v>522</v>
      </c>
      <c r="B9919" s="8" t="s">
        <v>86</v>
      </c>
      <c r="C9919" s="38" t="n">
        <f aca="false">Q!$D$6</f>
        <v>142.906</v>
      </c>
      <c r="D9919" s="38" t="n">
        <f aca="false">Q!$E$6</f>
        <v>161.894</v>
      </c>
      <c r="E9919" s="38" t="n">
        <f aca="false">Q!$P$6</f>
        <v>81.986</v>
      </c>
      <c r="F9919" s="38" t="n">
        <f aca="false">Sens!$F$9916*(1-Sens!$F$9917)</f>
        <v>98.408468164951</v>
      </c>
      <c r="G9919" s="38" t="n">
        <f aca="false">Sens!$E$9919+Sens!$F$9919</f>
        <v>180.394468164951</v>
      </c>
      <c r="H9919" s="38" t="n">
        <f aca="false">Sens!$H$9916*(1-Sens!$H$9917)</f>
        <v>199.709899104949</v>
      </c>
      <c r="I9919" s="38" t="n">
        <f aca="false">Sens!$I$9916*(1-Sens!$I$9917)</f>
        <v>218.385528264976</v>
      </c>
      <c r="J9919" s="38" t="n">
        <f aca="false">Sens!$J$9916*(1-Sens!$J$9917)</f>
        <v>235.71696994951</v>
      </c>
      <c r="K9919" s="38" t="n">
        <f aca="false">Sens!$K$9916*(1-Sens!$K$9917)</f>
        <v>250.968227869545</v>
      </c>
      <c r="L9919" s="38" t="n">
        <f aca="false">Sens!$L$9916*(1-Sens!$L$9917)</f>
        <v>267.285367225822</v>
      </c>
      <c r="M9919" s="38" t="n">
        <f aca="false">Sens!$M$9916*(1-Sens!$M$9917)</f>
        <v>284.748579483295</v>
      </c>
      <c r="N9919" s="38" t="n">
        <f aca="false">Q!$N$6</f>
        <v>70.274</v>
      </c>
      <c r="O9919" s="38" t="n">
        <f aca="false">Q!$O$6</f>
        <v>91.62</v>
      </c>
      <c r="P9919" s="5" t="s">
        <v>697</v>
      </c>
    </row>
    <row r="9920" customFormat="false" ht="17.15" hidden="false" customHeight="false" outlineLevel="0" collapsed="false">
      <c r="A9920" s="5" t="s">
        <v>698</v>
      </c>
      <c r="B9920" s="0" t="s">
        <v>86</v>
      </c>
      <c r="C9920" s="38" t="n">
        <f aca="false">Sens!$C$9909*Sens!$C$9917</f>
        <v>41.0683128828457</v>
      </c>
      <c r="D9920" s="38" t="n">
        <f aca="false">Sens!$D$9909*Sens!$D$9917</f>
        <v>49.7441234599175</v>
      </c>
      <c r="E9920" s="38" t="n">
        <f aca="false">Sens!$E$9909*Sens!$E$9917</f>
        <v>27.0034224924414</v>
      </c>
      <c r="F9920" s="38" t="n">
        <f aca="false">Sens!$F$9909*Sens!$F$9917</f>
        <v>33.1439448330513</v>
      </c>
      <c r="G9920" s="38" t="n">
        <f aca="false">Sens!$G$9909*Sens!$G$9917</f>
        <v>60.164183844083</v>
      </c>
      <c r="H9920" s="38" t="n">
        <f aca="false">Sens!$H$9909*Sens!$H$9917</f>
        <v>72.2301766552629</v>
      </c>
      <c r="I9920" s="38" t="n">
        <f aca="false">Sens!$I$9909*Sens!$I$9917</f>
        <v>84.2950764463991</v>
      </c>
      <c r="J9920" s="38" t="n">
        <f aca="false">Sens!$J$9909*Sens!$J$9917</f>
        <v>95.5499047729386</v>
      </c>
      <c r="K9920" s="38" t="n">
        <f aca="false">Sens!$K$9909*Sens!$K$9917</f>
        <v>105.104895250232</v>
      </c>
      <c r="L9920" s="38" t="n">
        <f aca="false">Sens!$L$9909*Sens!$L$9917</f>
        <v>115.615384775256</v>
      </c>
      <c r="M9920" s="38" t="n">
        <f aca="false">Sens!$M$9909*Sens!$M$9917</f>
        <v>127.176923252781</v>
      </c>
      <c r="N9920" s="38" t="n">
        <f aca="false">Sens!$N$9909*Sens!$N$9917</f>
        <v>21.7087111412496</v>
      </c>
      <c r="O9920" s="38" t="n">
        <f aca="false">Sens!$O$9909*Sens!$O$9917</f>
        <v>28.0189463642798</v>
      </c>
      <c r="P9920" s="5" t="s">
        <v>699</v>
      </c>
    </row>
    <row r="9921" customFormat="false" ht="15" hidden="false" customHeight="false" outlineLevel="0" collapsed="false">
      <c r="A9921" s="5" t="s">
        <v>700</v>
      </c>
      <c r="B9921" s="0" t="s">
        <v>86</v>
      </c>
      <c r="C9921" s="38" t="n">
        <f aca="false">Sens!$C$9909-Sens!$C$9920</f>
        <v>15.1456871171543</v>
      </c>
      <c r="D9921" s="38" t="n">
        <f aca="false">Sens!$D$9909-Sens!$D$9920</f>
        <v>18.8908765400825</v>
      </c>
      <c r="E9921" s="38" t="n">
        <f aca="false">Sens!$E$9909-Sens!$E$9920</f>
        <v>10.0485775075586</v>
      </c>
      <c r="F9921" s="38" t="n">
        <f aca="false">Sens!$F$9909-Sens!$F$9920</f>
        <v>13.0132771613635</v>
      </c>
      <c r="G9921" s="38" t="n">
        <f aca="false">Sens!$G$9909-Sens!$G$9920</f>
        <v>23.0450381503318</v>
      </c>
      <c r="H9921" s="38" t="n">
        <f aca="false">Sens!$H$9909-Sens!$H$9920</f>
        <v>27.6667457326347</v>
      </c>
      <c r="I9921" s="38" t="n">
        <f aca="false">Sens!$I$9909-Sens!$I$9920</f>
        <v>32.2880346490971</v>
      </c>
      <c r="J9921" s="38" t="n">
        <f aca="false">Sens!$J$9909-Sens!$J$9920</f>
        <v>36.5990371690132</v>
      </c>
      <c r="K9921" s="38" t="n">
        <f aca="false">Sens!$K$9909-Sens!$K$9920</f>
        <v>40.2589408859145</v>
      </c>
      <c r="L9921" s="38" t="n">
        <f aca="false">Sens!$L$9909-Sens!$L$9920</f>
        <v>44.2848349745059</v>
      </c>
      <c r="M9921" s="38" t="n">
        <f aca="false">Sens!$M$9909-Sens!$M$9920</f>
        <v>48.7133184719565</v>
      </c>
      <c r="N9921" s="38" t="n">
        <f aca="false">Sens!$N$9909-Sens!$N$9920</f>
        <v>7.90628885875037</v>
      </c>
      <c r="O9921" s="38" t="n">
        <f aca="false">Sens!$O$9909-Sens!$O$9920</f>
        <v>11.0010536357202</v>
      </c>
    </row>
    <row r="9922" customFormat="false" ht="19.4" hidden="false" customHeight="false" outlineLevel="0" collapsed="false">
      <c r="A9922" s="31" t="s">
        <v>1353</v>
      </c>
    </row>
    <row r="9923" customFormat="false" ht="17.15" hidden="false" customHeight="false" outlineLevel="0" collapsed="false">
      <c r="A9923" s="6" t="s">
        <v>16</v>
      </c>
      <c r="B9923" s="6" t="s">
        <v>17</v>
      </c>
      <c r="C9923" s="20" t="s">
        <v>504</v>
      </c>
      <c r="D9923" s="20" t="s">
        <v>505</v>
      </c>
      <c r="E9923" s="20" t="s">
        <v>587</v>
      </c>
      <c r="F9923" s="20" t="s">
        <v>588</v>
      </c>
      <c r="G9923" s="20" t="s">
        <v>589</v>
      </c>
      <c r="H9923" s="20" t="s">
        <v>590</v>
      </c>
      <c r="I9923" s="20" t="s">
        <v>591</v>
      </c>
      <c r="J9923" s="20" t="s">
        <v>592</v>
      </c>
      <c r="K9923" s="20" t="s">
        <v>593</v>
      </c>
      <c r="L9923" s="20" t="s">
        <v>594</v>
      </c>
      <c r="M9923" s="20" t="s">
        <v>595</v>
      </c>
      <c r="N9923" s="20" t="s">
        <v>596</v>
      </c>
      <c r="O9923" s="20" t="s">
        <v>597</v>
      </c>
      <c r="P9923" s="6" t="s">
        <v>23</v>
      </c>
      <c r="R9923" s="20" t="n">
        <v>2023</v>
      </c>
      <c r="S9923" s="20" t="n">
        <v>2024</v>
      </c>
      <c r="T9923" s="20" t="n">
        <v>2025</v>
      </c>
      <c r="U9923" s="20" t="n">
        <v>2026</v>
      </c>
      <c r="V9923" s="20" t="n">
        <v>2027</v>
      </c>
      <c r="W9923" s="20" t="n">
        <v>2028</v>
      </c>
      <c r="X9923" s="20" t="n">
        <v>2029</v>
      </c>
      <c r="Y9923" s="20" t="n">
        <v>2030</v>
      </c>
      <c r="Z9923" s="20" t="n">
        <v>2031</v>
      </c>
      <c r="AA9923" s="20" t="n">
        <v>2032</v>
      </c>
    </row>
    <row r="9924" customFormat="false" ht="17.15" hidden="false" customHeight="false" outlineLevel="0" collapsed="false">
      <c r="A9924" s="1" t="s">
        <v>598</v>
      </c>
    </row>
    <row r="9925" customFormat="false" ht="17.15" hidden="false" customHeight="false" outlineLevel="0" collapsed="false">
      <c r="A9925" s="5" t="s">
        <v>599</v>
      </c>
      <c r="B9925" s="0" t="s">
        <v>144</v>
      </c>
      <c r="H9925" s="32" t="n">
        <f aca="false">pace_B</f>
        <v>3634.3</v>
      </c>
      <c r="I9925" s="32" t="n">
        <f aca="false">pace_B</f>
        <v>3634.3</v>
      </c>
      <c r="J9925" s="32" t="n">
        <f aca="false">pace_B</f>
        <v>3634.3</v>
      </c>
      <c r="K9925" s="32" t="n">
        <f aca="false">pace_B+(Sens!$J$9926*tg_hi-pace_B)*1/3</f>
        <v>2620.20066666667</v>
      </c>
      <c r="L9925" s="32" t="n">
        <f aca="false">pace_B+(Sens!$J$9926*tg_hi-pace_B)*2/3</f>
        <v>1606.10133333333</v>
      </c>
      <c r="M9925" s="32" t="n">
        <f aca="false">pace_B+(Sens!$J$9926*tg_hi-pace_B)*3/3</f>
        <v>592.002</v>
      </c>
      <c r="P9925" s="5" t="s">
        <v>600</v>
      </c>
    </row>
    <row r="9926" customFormat="false" ht="17.15" hidden="false" customHeight="false" outlineLevel="0" collapsed="false">
      <c r="A9926" s="15" t="s">
        <v>601</v>
      </c>
      <c r="B9926" s="14" t="s">
        <v>129</v>
      </c>
      <c r="C9926" s="33" t="n">
        <f aca="false">mw_ye24</f>
        <v>360</v>
      </c>
      <c r="D9926" s="33" t="n">
        <f aca="false">mw_ye25</f>
        <v>1440</v>
      </c>
      <c r="E9926" s="33" t="n">
        <f aca="false">mw_open</f>
        <v>2080</v>
      </c>
      <c r="F9926" s="33" t="n">
        <f aca="false">Sens!$E$9926+pace_B*0.5</f>
        <v>3897.15</v>
      </c>
      <c r="G9926" s="33" t="n">
        <f aca="false">Sens!$F$9926</f>
        <v>3897.15</v>
      </c>
      <c r="H9926" s="33" t="n">
        <f aca="false">Sens!$G$9926+Sens!$H$9925</f>
        <v>7531.45</v>
      </c>
      <c r="I9926" s="33" t="n">
        <f aca="false">Sens!$H$9926+Sens!$I$9925</f>
        <v>11165.75</v>
      </c>
      <c r="J9926" s="33" t="n">
        <f aca="false">Sens!$I$9926+Sens!$J$9925</f>
        <v>14800.05</v>
      </c>
      <c r="K9926" s="33" t="n">
        <f aca="false">Sens!$J$9926+Sens!$K$9925</f>
        <v>17420.2506666667</v>
      </c>
      <c r="L9926" s="33" t="n">
        <f aca="false">Sens!$K$9926+Sens!$L$9925</f>
        <v>19026.352</v>
      </c>
      <c r="M9926" s="33" t="n">
        <f aca="false">Sens!$L$9926+Sens!$M$9925</f>
        <v>19618.354</v>
      </c>
      <c r="N9926" s="33" t="n">
        <f aca="false">(mw_ye24+mw_ye25)/2</f>
        <v>900</v>
      </c>
      <c r="O9926" s="33" t="n">
        <f aca="false">mw_ye25</f>
        <v>1440</v>
      </c>
      <c r="P9926" s="5" t="s">
        <v>602</v>
      </c>
    </row>
    <row r="9927" customFormat="false" ht="17.15" hidden="false" customHeight="false" outlineLevel="0" collapsed="false">
      <c r="A9927" s="5" t="s">
        <v>603</v>
      </c>
      <c r="B9927" s="0" t="s">
        <v>129</v>
      </c>
      <c r="C9927" s="32" t="n">
        <f aca="false">(mw_ye23+mw_ye24)/2</f>
        <v>240</v>
      </c>
      <c r="D9927" s="32" t="n">
        <f aca="false">(Sens!$C$9926+Sens!$D$9926)/2</f>
        <v>900</v>
      </c>
      <c r="E9927" s="32" t="n">
        <f aca="false">(Sens!$D$9926+Sens!$E$9926)/2</f>
        <v>1760</v>
      </c>
      <c r="F9927" s="32" t="n">
        <f aca="false">(Sens!$E$9926+Sens!$F$9926)/2</f>
        <v>2988.575</v>
      </c>
      <c r="G9927" s="32" t="n">
        <f aca="false">(Sens!$E$9927+Sens!$F$9927)/2</f>
        <v>2374.2875</v>
      </c>
      <c r="H9927" s="32" t="n">
        <f aca="false">(Sens!$G$9926+Sens!$H$9926)/2</f>
        <v>5714.3</v>
      </c>
      <c r="I9927" s="32" t="n">
        <f aca="false">(Sens!$H$9926+Sens!$I$9926)/2</f>
        <v>9348.6</v>
      </c>
      <c r="J9927" s="32" t="n">
        <f aca="false">(Sens!$I$9926+Sens!$J$9926)/2</f>
        <v>12982.9</v>
      </c>
      <c r="K9927" s="32" t="n">
        <f aca="false">(Sens!$J$9926+Sens!$K$9926)/2</f>
        <v>16110.1503333333</v>
      </c>
      <c r="L9927" s="32" t="n">
        <f aca="false">(Sens!$K$9926+Sens!$L$9926)/2</f>
        <v>18223.3013333333</v>
      </c>
      <c r="M9927" s="32" t="n">
        <f aca="false">(Sens!$L$9926+Sens!$M$9926)/2</f>
        <v>19322.353</v>
      </c>
      <c r="N9927" s="32" t="n">
        <f aca="false">(Sens!$C$9926+Sens!$N$9926)/2</f>
        <v>630</v>
      </c>
      <c r="O9927" s="32" t="n">
        <f aca="false">(Sens!$N$9926+Sens!$O$9926)/2</f>
        <v>1170</v>
      </c>
    </row>
    <row r="9928" customFormat="false" ht="15" hidden="false" customHeight="false" outlineLevel="0" collapsed="false">
      <c r="A9928" s="5" t="s">
        <v>604</v>
      </c>
      <c r="B9928" s="5" t="s">
        <v>123</v>
      </c>
      <c r="C9928" s="34" t="n">
        <v>1</v>
      </c>
      <c r="D9928" s="34" t="n">
        <v>1</v>
      </c>
      <c r="E9928" s="34" t="n">
        <v>0.5</v>
      </c>
      <c r="F9928" s="34" t="n">
        <v>0.5</v>
      </c>
      <c r="G9928" s="34" t="n">
        <v>1</v>
      </c>
      <c r="H9928" s="34" t="n">
        <v>1</v>
      </c>
      <c r="I9928" s="34" t="n">
        <v>1</v>
      </c>
      <c r="J9928" s="34" t="n">
        <v>1</v>
      </c>
      <c r="K9928" s="34" t="n">
        <v>1</v>
      </c>
      <c r="L9928" s="34" t="n">
        <v>1</v>
      </c>
      <c r="M9928" s="34" t="n">
        <v>1</v>
      </c>
      <c r="N9928" s="34" t="n">
        <v>0.5</v>
      </c>
      <c r="O9928" s="34" t="n">
        <v>0.5</v>
      </c>
    </row>
    <row r="9929" customFormat="false" ht="17.15" hidden="false" customHeight="false" outlineLevel="0" collapsed="false">
      <c r="A9929" s="5" t="s">
        <v>605</v>
      </c>
      <c r="B9929" s="0" t="s">
        <v>129</v>
      </c>
      <c r="C9929" s="32" t="n">
        <f aca="false">Sens!$C$9926-mw_ye23</f>
        <v>240</v>
      </c>
      <c r="D9929" s="32" t="n">
        <f aca="false">Sens!$D$9926-Sens!$C$9926</f>
        <v>1080</v>
      </c>
      <c r="E9929" s="32" t="n">
        <f aca="false">Sens!$E$9926-Sens!$D$9926</f>
        <v>640</v>
      </c>
      <c r="F9929" s="32" t="n">
        <f aca="false">Sens!$F$9926-Sens!$E$9926</f>
        <v>1817.15</v>
      </c>
      <c r="G9929" s="32" t="n">
        <f aca="false">Sens!$E$9929+Sens!$F$9929</f>
        <v>2457.15</v>
      </c>
      <c r="H9929" s="32" t="n">
        <f aca="false">Sens!$H$9926-Sens!$G$9926</f>
        <v>3634.3</v>
      </c>
      <c r="I9929" s="32" t="n">
        <f aca="false">Sens!$I$9926-Sens!$H$9926</f>
        <v>3634.3</v>
      </c>
      <c r="J9929" s="32" t="n">
        <f aca="false">Sens!$J$9926-Sens!$I$9926</f>
        <v>3634.3</v>
      </c>
      <c r="K9929" s="32" t="n">
        <f aca="false">Sens!$K$9926-Sens!$J$9926</f>
        <v>2620.20066666667</v>
      </c>
      <c r="L9929" s="32" t="n">
        <f aca="false">Sens!$L$9926-Sens!$K$9926</f>
        <v>1606.10133333333</v>
      </c>
      <c r="M9929" s="32" t="n">
        <f aca="false">Sens!$M$9926-Sens!$L$9926</f>
        <v>592.002</v>
      </c>
      <c r="N9929" s="32" t="n">
        <f aca="false">Sens!$N$9926-Sens!$C$9926</f>
        <v>540</v>
      </c>
      <c r="O9929" s="32" t="n">
        <f aca="false">Sens!$O$9926-Sens!$N$9926</f>
        <v>540</v>
      </c>
    </row>
    <row r="9930" customFormat="false" ht="17.15" hidden="false" customHeight="false" outlineLevel="0" collapsed="false">
      <c r="A9930" s="5" t="s">
        <v>606</v>
      </c>
      <c r="B9930" s="0" t="s">
        <v>129</v>
      </c>
      <c r="C9930" s="32" t="n">
        <f aca="false">Sens!$C$9929/ext_sh</f>
        <v>300</v>
      </c>
      <c r="D9930" s="32" t="n">
        <f aca="false">Sens!$D$9929/ext_sh</f>
        <v>1350</v>
      </c>
      <c r="E9930" s="32" t="n">
        <f aca="false">Sens!$E$9929/ext_sh</f>
        <v>800</v>
      </c>
      <c r="F9930" s="32" t="n">
        <f aca="false">Sens!$F$9929/ext_sh</f>
        <v>2271.4375</v>
      </c>
      <c r="G9930" s="32" t="n">
        <f aca="false">Sens!$G$9929/ext_sh</f>
        <v>3071.4375</v>
      </c>
      <c r="H9930" s="32" t="n">
        <f aca="false">Sens!$H$9929/ext_sh</f>
        <v>4542.875</v>
      </c>
      <c r="I9930" s="32" t="n">
        <f aca="false">Sens!$I$9929/ext_sh</f>
        <v>4542.875</v>
      </c>
      <c r="J9930" s="32" t="n">
        <f aca="false">Sens!$J$9929/ext_sh</f>
        <v>4542.875</v>
      </c>
      <c r="K9930" s="32" t="n">
        <f aca="false">Sens!$K$9929/ext_sh</f>
        <v>3275.25083333333</v>
      </c>
      <c r="L9930" s="32" t="n">
        <f aca="false">Sens!$L$9929/ext_sh</f>
        <v>2007.62666666667</v>
      </c>
      <c r="M9930" s="32" t="n">
        <f aca="false">Sens!$M$9929/ext_sh</f>
        <v>740.002500000001</v>
      </c>
      <c r="N9930" s="32" t="n">
        <f aca="false">Sens!$N$9929/ext_sh</f>
        <v>675</v>
      </c>
      <c r="O9930" s="32" t="n">
        <f aca="false">Sens!$O$9929/ext_sh</f>
        <v>675</v>
      </c>
      <c r="P9930" s="8" t="s">
        <v>607</v>
      </c>
      <c r="R9930" s="32" t="n">
        <f aca="false">mw_ye23/ext_sh</f>
        <v>150</v>
      </c>
      <c r="S9930" s="32" t="n">
        <f aca="false">Sens!$C$9930</f>
        <v>300</v>
      </c>
      <c r="T9930" s="32" t="n">
        <f aca="false">Sens!$D$9930</f>
        <v>1350</v>
      </c>
      <c r="U9930" s="32" t="n">
        <f aca="false">Sens!$G$9930</f>
        <v>3071.4375</v>
      </c>
      <c r="V9930" s="32" t="n">
        <f aca="false">Sens!$H$9930</f>
        <v>4542.875</v>
      </c>
      <c r="W9930" s="32" t="n">
        <f aca="false">Sens!$I$9930</f>
        <v>4542.875</v>
      </c>
      <c r="X9930" s="32" t="n">
        <f aca="false">Sens!$J$9930</f>
        <v>4542.875</v>
      </c>
      <c r="Y9930" s="32" t="n">
        <f aca="false">Sens!$K$9930</f>
        <v>3275.25083333333</v>
      </c>
      <c r="Z9930" s="32" t="n">
        <f aca="false">Sens!$L$9930</f>
        <v>2007.62666666667</v>
      </c>
      <c r="AA9930" s="32" t="n">
        <f aca="false">Sens!$M$9930</f>
        <v>740.002500000001</v>
      </c>
    </row>
    <row r="9931" customFormat="false" ht="17.15" hidden="false" customHeight="false" outlineLevel="0" collapsed="false">
      <c r="A9931" s="1" t="s">
        <v>608</v>
      </c>
    </row>
    <row r="9932" customFormat="false" ht="17.15" hidden="false" customHeight="false" outlineLevel="0" collapsed="false">
      <c r="A9932" s="0" t="s">
        <v>609</v>
      </c>
      <c r="B9932" s="0" t="s">
        <v>52</v>
      </c>
      <c r="F9932" s="35" t="n">
        <f aca="false">na_vr26</f>
        <v>0</v>
      </c>
      <c r="G9932" s="35" t="n">
        <f aca="false">na_vr26</f>
        <v>0</v>
      </c>
      <c r="H9932" s="35" t="n">
        <f aca="false">na_vr27</f>
        <v>0.5</v>
      </c>
      <c r="I9932" s="35" t="n">
        <f aca="false">na_vr28</f>
        <v>1</v>
      </c>
      <c r="J9932" s="35" t="n">
        <f aca="false">na_vr28</f>
        <v>1</v>
      </c>
      <c r="K9932" s="35" t="n">
        <f aca="false">na_vr28</f>
        <v>1</v>
      </c>
      <c r="L9932" s="35" t="n">
        <f aca="false">na_vr28</f>
        <v>1</v>
      </c>
      <c r="M9932" s="35" t="n">
        <f aca="false">na_vr28</f>
        <v>1</v>
      </c>
    </row>
    <row r="9933" customFormat="false" ht="17.15" hidden="false" customHeight="false" outlineLevel="0" collapsed="false">
      <c r="A9933" s="5" t="s">
        <v>610</v>
      </c>
      <c r="B9933" s="0" t="s">
        <v>173</v>
      </c>
      <c r="F9933" s="36" t="n">
        <f aca="false">cust_sh*tk_he_gb300*cf_chip+(1-cust_sh)*((1-Sens!$F$9932)*tk_he_gb300+Sens!$F$9932*tk_he_vr200)</f>
        <v>10.8864110021101</v>
      </c>
      <c r="G9933" s="36" t="n">
        <f aca="false">cust_sh*tk_he_gb300*cf_chip+(1-cust_sh)*((1-Sens!$G$9932)*tk_he_gb300+Sens!$G$9932*tk_he_vr200)</f>
        <v>10.8864110021101</v>
      </c>
      <c r="H9933" s="36" t="n">
        <f aca="false">cust_sh*tk_he_gb300*cf_chip+(1-cust_sh)*((1-Sens!$H$9932)*tk_he_gb300+Sens!$H$9932*tk_he_vr200)</f>
        <v>11.2211760027286</v>
      </c>
      <c r="I9933" s="36" t="n">
        <f aca="false">cust_sh*tk_he_gb300*cf_chip+(1-cust_sh)*((1-Sens!$I$9932)*tk_he_gb300+Sens!$I$9932*tk_he_vr200)</f>
        <v>11.5559410033471</v>
      </c>
      <c r="J9933" s="36" t="n">
        <f aca="false">cust_sh*tk_he_gb300*cf_chip+(1-cust_sh)*((1-Sens!$J$9932)*tk_he_gb300+Sens!$J$9932*tk_he_vr200)</f>
        <v>11.5559410033471</v>
      </c>
      <c r="K9933" s="36" t="n">
        <f aca="false">cust_sh*tk_he_gb300*cf_chip+(1-cust_sh)*((1-Sens!$K$9932)*tk_he_gb300+Sens!$K$9932*tk_he_vr200)</f>
        <v>11.5559410033471</v>
      </c>
      <c r="L9933" s="36" t="n">
        <f aca="false">cust_sh*tk_he_gb300*cf_chip+(1-cust_sh)*((1-Sens!$L$9932)*tk_he_gb300+Sens!$L$9932*tk_he_vr200)</f>
        <v>11.5559410033471</v>
      </c>
      <c r="M9933" s="36" t="n">
        <f aca="false">cust_sh*tk_he_gb300*cf_chip+(1-cust_sh)*((1-Sens!$M$9932)*tk_he_gb300+Sens!$M$9932*tk_he_vr200)</f>
        <v>11.5559410033471</v>
      </c>
    </row>
    <row r="9934" customFormat="false" ht="17.15" hidden="false" customHeight="false" outlineLevel="0" collapsed="false">
      <c r="A9934" s="5" t="s">
        <v>611</v>
      </c>
      <c r="B9934" s="0" t="s">
        <v>173</v>
      </c>
      <c r="F9934" s="36" t="n">
        <f aca="false">cust_sh*tk_ox_gb300+(1-cust_sh)*((1-Sens!$F$9932)*tk_ox_gb300+Sens!$F$9932*tk_ox_vr200)</f>
        <v>1.98263481314457</v>
      </c>
      <c r="G9934" s="36" t="n">
        <f aca="false">cust_sh*tk_ox_gb300+(1-cust_sh)*((1-Sens!$G$9932)*tk_ox_gb300+Sens!$G$9932*tk_ox_vr200)</f>
        <v>1.98263481314457</v>
      </c>
      <c r="H9934" s="36" t="n">
        <f aca="false">cust_sh*tk_ox_gb300+(1-cust_sh)*((1-Sens!$H$9932)*tk_ox_gb300+Sens!$H$9932*tk_ox_vr200)</f>
        <v>2.01034999693694</v>
      </c>
      <c r="I9934" s="36" t="n">
        <f aca="false">cust_sh*tk_ox_gb300+(1-cust_sh)*((1-Sens!$I$9932)*tk_ox_gb300+Sens!$I$9932*tk_ox_vr200)</f>
        <v>2.0380651807293</v>
      </c>
      <c r="J9934" s="36" t="n">
        <f aca="false">cust_sh*tk_ox_gb300+(1-cust_sh)*((1-Sens!$J$9932)*tk_ox_gb300+Sens!$J$9932*tk_ox_vr200)</f>
        <v>2.0380651807293</v>
      </c>
      <c r="K9934" s="36" t="n">
        <f aca="false">cust_sh*tk_ox_gb300+(1-cust_sh)*((1-Sens!$K$9932)*tk_ox_gb300+Sens!$K$9932*tk_ox_vr200)</f>
        <v>2.0380651807293</v>
      </c>
      <c r="L9934" s="36" t="n">
        <f aca="false">cust_sh*tk_ox_gb300+(1-cust_sh)*((1-Sens!$L$9932)*tk_ox_gb300+Sens!$L$9932*tk_ox_vr200)</f>
        <v>2.0380651807293</v>
      </c>
      <c r="M9934" s="36" t="n">
        <f aca="false">cust_sh*tk_ox_gb300+(1-cust_sh)*((1-Sens!$M$9932)*tk_ox_gb300+Sens!$M$9932*tk_ox_vr200)</f>
        <v>2.0380651807293</v>
      </c>
    </row>
    <row r="9935" customFormat="false" ht="17.15" hidden="false" customHeight="false" outlineLevel="0" collapsed="false">
      <c r="A9935" s="5" t="s">
        <v>612</v>
      </c>
      <c r="B9935" s="0" t="s">
        <v>192</v>
      </c>
      <c r="F9935" s="36" t="n">
        <f aca="false">cust_sh*tk_cx_gb300*cf_cx+(1-cust_sh)*((1-Sens!$F$9932)*tk_cx_gb300+Sens!$F$9932*tk_cx_vr200)</f>
        <v>32.237224</v>
      </c>
      <c r="G9935" s="36" t="n">
        <f aca="false">cust_sh*tk_cx_gb300*cf_cx+(1-cust_sh)*((1-Sens!$G$9932)*tk_cx_gb300+Sens!$G$9932*tk_cx_vr200)</f>
        <v>32.237224</v>
      </c>
      <c r="H9935" s="36" t="n">
        <f aca="false">cust_sh*tk_cx_gb300*cf_cx+(1-cust_sh)*((1-Sens!$H$9932)*tk_cx_gb300+Sens!$H$9932*tk_cx_vr200)</f>
        <v>33.574506</v>
      </c>
      <c r="I9935" s="36" t="n">
        <f aca="false">cust_sh*tk_cx_gb300*cf_cx+(1-cust_sh)*((1-Sens!$I$9932)*tk_cx_gb300+Sens!$I$9932*tk_cx_vr200)</f>
        <v>34.911788</v>
      </c>
      <c r="J9935" s="36" t="n">
        <f aca="false">cust_sh*tk_cx_gb300*cf_cx+(1-cust_sh)*((1-Sens!$J$9932)*tk_cx_gb300+Sens!$J$9932*tk_cx_vr200)</f>
        <v>34.911788</v>
      </c>
      <c r="K9935" s="36" t="n">
        <f aca="false">cust_sh*tk_cx_gb300*cf_cx+(1-cust_sh)*((1-Sens!$K$9932)*tk_cx_gb300+Sens!$K$9932*tk_cx_vr200)</f>
        <v>34.911788</v>
      </c>
      <c r="L9935" s="36" t="n">
        <f aca="false">cust_sh*tk_cx_gb300*cf_cx+(1-cust_sh)*((1-Sens!$L$9932)*tk_cx_gb300+Sens!$L$9932*tk_cx_vr200)</f>
        <v>34.911788</v>
      </c>
      <c r="M9935" s="36" t="n">
        <f aca="false">cust_sh*tk_cx_gb300*cf_cx+(1-cust_sh)*((1-Sens!$M$9932)*tk_cx_gb300+Sens!$M$9932*tk_cx_vr200)</f>
        <v>34.911788</v>
      </c>
    </row>
    <row r="9936" customFormat="false" ht="17.15" hidden="false" customHeight="false" outlineLevel="0" collapsed="false">
      <c r="A9936" s="5" t="s">
        <v>613</v>
      </c>
      <c r="B9936" s="0" t="s">
        <v>129</v>
      </c>
      <c r="F9936" s="32" t="n">
        <f aca="false">Sens!$F$9926-mw_open</f>
        <v>1817.15</v>
      </c>
      <c r="G9936" s="32" t="n">
        <f aca="false">Sens!$F$9936</f>
        <v>1817.15</v>
      </c>
      <c r="H9936" s="32" t="n">
        <f aca="false">Sens!$H$9926-mw_open</f>
        <v>5451.45</v>
      </c>
      <c r="I9936" s="32" t="n">
        <f aca="false">Sens!$I$9926-mw_open</f>
        <v>9085.75</v>
      </c>
      <c r="J9936" s="32" t="n">
        <f aca="false">Sens!$J$9926-mw_open</f>
        <v>12720.05</v>
      </c>
      <c r="K9936" s="32" t="n">
        <f aca="false">Sens!$K$9926-mw_open</f>
        <v>15340.2506666667</v>
      </c>
      <c r="L9936" s="32" t="n">
        <f aca="false">Sens!$L$9926-mw_open</f>
        <v>16946.352</v>
      </c>
      <c r="M9936" s="32" t="n">
        <f aca="false">Sens!$M$9926-mw_open</f>
        <v>17538.354</v>
      </c>
    </row>
    <row r="9937" customFormat="false" ht="17.15" hidden="false" customHeight="false" outlineLevel="0" collapsed="false">
      <c r="A9937" s="0" t="s">
        <v>614</v>
      </c>
      <c r="B9937" s="0" t="s">
        <v>615</v>
      </c>
      <c r="F9937" s="32" t="n">
        <f aca="false">Sens!$F$9929*Sens!$F$9933</f>
        <v>19782.2417524844</v>
      </c>
      <c r="G9937" s="32" t="n">
        <f aca="false">Sens!$F$9937</f>
        <v>19782.2417524844</v>
      </c>
      <c r="H9937" s="32" t="n">
        <f aca="false">Sens!$G$9937+Sens!$H$9929*Sens!$H$9933</f>
        <v>60563.3616992009</v>
      </c>
      <c r="I9937" s="32" t="n">
        <f aca="false">Sens!$H$9937+Sens!$I$9929*Sens!$I$9933</f>
        <v>102561.118087665</v>
      </c>
      <c r="J9937" s="32" t="n">
        <f aca="false">Sens!$I$9937+Sens!$J$9929*Sens!$J$9933</f>
        <v>144558.87447613</v>
      </c>
      <c r="K9937" s="32" t="n">
        <f aca="false">Sens!$J$9937+Sens!$K$9929*Sens!$K$9933</f>
        <v>174837.75879706</v>
      </c>
      <c r="L9937" s="32" t="n">
        <f aca="false">Sens!$K$9937+Sens!$L$9929*Sens!$L$9933</f>
        <v>193397.771050458</v>
      </c>
      <c r="M9937" s="32" t="n">
        <f aca="false">Sens!$L$9937+Sens!$M$9929*Sens!$M$9933</f>
        <v>200238.911236321</v>
      </c>
    </row>
    <row r="9938" customFormat="false" ht="17.15" hidden="false" customHeight="false" outlineLevel="0" collapsed="false">
      <c r="A9938" s="0" t="s">
        <v>616</v>
      </c>
      <c r="B9938" s="0" t="s">
        <v>615</v>
      </c>
      <c r="F9938" s="32" t="n">
        <f aca="false">Sens!$F$9929*Sens!$F$9934</f>
        <v>3602.74485070566</v>
      </c>
      <c r="G9938" s="32" t="n">
        <f aca="false">Sens!$F$9938</f>
        <v>3602.74485070566</v>
      </c>
      <c r="H9938" s="32" t="n">
        <f aca="false">Sens!$G$9938+Sens!$H$9929*Sens!$H$9934</f>
        <v>10908.9598445736</v>
      </c>
      <c r="I9938" s="32" t="n">
        <f aca="false">Sens!$H$9938+Sens!$I$9929*Sens!$I$9934</f>
        <v>18315.9001308981</v>
      </c>
      <c r="J9938" s="32" t="n">
        <f aca="false">Sens!$I$9938+Sens!$J$9929*Sens!$J$9934</f>
        <v>25722.8404172225</v>
      </c>
      <c r="K9938" s="32" t="n">
        <f aca="false">Sens!$J$9938+Sens!$K$9929*Sens!$K$9934</f>
        <v>31062.9801624796</v>
      </c>
      <c r="L9938" s="32" t="n">
        <f aca="false">Sens!$K$9938+Sens!$L$9929*Sens!$L$9934</f>
        <v>34336.3193666691</v>
      </c>
      <c r="M9938" s="32" t="n">
        <f aca="false">Sens!$L$9938+Sens!$M$9929*Sens!$M$9934</f>
        <v>35542.8580297913</v>
      </c>
    </row>
    <row r="9939" customFormat="false" ht="17.15" hidden="false" customHeight="false" outlineLevel="0" collapsed="false">
      <c r="A9939" s="5" t="s">
        <v>617</v>
      </c>
      <c r="B9939" s="0" t="s">
        <v>173</v>
      </c>
      <c r="F9939" s="36" t="n">
        <f aca="false">IF(Sens!$F$9936&gt;0,Sens!$F$9937/Sens!$F$9936,Sens!$F$9933)</f>
        <v>10.8864110021101</v>
      </c>
      <c r="G9939" s="36" t="n">
        <f aca="false">IF(Sens!$G$9936&gt;0,Sens!$G$9937/Sens!$G$9936,Sens!$G$9933)</f>
        <v>10.8864110021101</v>
      </c>
      <c r="H9939" s="36" t="n">
        <f aca="false">IF(Sens!$H$9936&gt;0,Sens!$H$9937/Sens!$H$9936,Sens!$H$9933)</f>
        <v>11.1095876691891</v>
      </c>
      <c r="I9939" s="36" t="n">
        <f aca="false">IF(Sens!$I$9936&gt;0,Sens!$I$9937/Sens!$I$9936,Sens!$I$9933)</f>
        <v>11.2881290028523</v>
      </c>
      <c r="J9939" s="36" t="n">
        <f aca="false">IF(Sens!$J$9936&gt;0,Sens!$J$9937/Sens!$J$9936,Sens!$J$9933)</f>
        <v>11.3646467172794</v>
      </c>
      <c r="K9939" s="36" t="n">
        <f aca="false">IF(Sens!$K$9936&gt;0,Sens!$K$9937/Sens!$K$9936,Sens!$K$9933)</f>
        <v>11.3973208519318</v>
      </c>
      <c r="L9939" s="36" t="n">
        <f aca="false">IF(Sens!$L$9936&gt;0,Sens!$L$9937/Sens!$L$9936,Sens!$L$9933)</f>
        <v>11.4123541780825</v>
      </c>
      <c r="M9939" s="36" t="n">
        <f aca="false">IF(Sens!$M$9936&gt;0,Sens!$M$9937/Sens!$M$9936,Sens!$M$9933)</f>
        <v>11.4172009092941</v>
      </c>
    </row>
    <row r="9940" customFormat="false" ht="17.15" hidden="false" customHeight="false" outlineLevel="0" collapsed="false">
      <c r="A9940" s="5" t="s">
        <v>618</v>
      </c>
      <c r="B9940" s="0" t="s">
        <v>173</v>
      </c>
      <c r="F9940" s="36" t="n">
        <f aca="false">IF(Sens!$F$9936&gt;0,Sens!$F$9938/Sens!$F$9936,Sens!$F$9934)</f>
        <v>1.98263481314457</v>
      </c>
      <c r="G9940" s="36" t="n">
        <f aca="false">IF(Sens!$G$9936&gt;0,Sens!$G$9938/Sens!$G$9936,Sens!$G$9934)</f>
        <v>1.98263481314457</v>
      </c>
      <c r="H9940" s="36" t="n">
        <f aca="false">IF(Sens!$H$9936&gt;0,Sens!$H$9938/Sens!$H$9936,Sens!$H$9934)</f>
        <v>2.00111160233948</v>
      </c>
      <c r="I9940" s="36" t="n">
        <f aca="false">IF(Sens!$I$9936&gt;0,Sens!$I$9938/Sens!$I$9936,Sens!$I$9934)</f>
        <v>2.01589303369541</v>
      </c>
      <c r="J9940" s="36" t="n">
        <f aca="false">IF(Sens!$J$9936&gt;0,Sens!$J$9938/Sens!$J$9936,Sens!$J$9934)</f>
        <v>2.02222793284795</v>
      </c>
      <c r="K9940" s="36" t="n">
        <f aca="false">IF(Sens!$K$9936&gt;0,Sens!$K$9938/Sens!$K$9936,Sens!$K$9934)</f>
        <v>2.02493302342036</v>
      </c>
      <c r="L9940" s="36" t="n">
        <f aca="false">IF(Sens!$L$9936&gt;0,Sens!$L$9938/Sens!$L$9936,Sens!$L$9934)</f>
        <v>2.02617763201597</v>
      </c>
      <c r="M9940" s="36" t="n">
        <f aca="false">IF(Sens!$M$9936&gt;0,Sens!$M$9938/Sens!$M$9936,Sens!$M$9934)</f>
        <v>2.02657889273938</v>
      </c>
    </row>
    <row r="9941" customFormat="false" ht="17.15" hidden="false" customHeight="false" outlineLevel="0" collapsed="false">
      <c r="A9941" s="15" t="s">
        <v>619</v>
      </c>
      <c r="B9941" s="14" t="s">
        <v>173</v>
      </c>
      <c r="C9941" s="14"/>
      <c r="D9941" s="14"/>
      <c r="E9941" s="14"/>
      <c r="F9941" s="37" t="n">
        <f aca="false">Sens!$F$9939*k_B</f>
        <v>10.7987645808025</v>
      </c>
      <c r="G9941" s="37" t="n">
        <f aca="false">Sens!$G$9939*k_B</f>
        <v>10.7987645808025</v>
      </c>
      <c r="H9941" s="37" t="n">
        <f aca="false">Sens!$H$9939*k_B</f>
        <v>11.0201444540452</v>
      </c>
      <c r="I9941" s="37" t="n">
        <f aca="false">Sens!$I$9939*k_B</f>
        <v>11.1972483526393</v>
      </c>
      <c r="J9941" s="37" t="n">
        <f aca="false">Sens!$J$9939*k_B</f>
        <v>11.2731500234653</v>
      </c>
      <c r="K9941" s="37" t="n">
        <f aca="false">Sens!$K$9939*k_B</f>
        <v>11.3055610988807</v>
      </c>
      <c r="L9941" s="37" t="n">
        <f aca="false">Sens!$L$9939*k_B</f>
        <v>11.3204733918244</v>
      </c>
      <c r="M9941" s="37" t="n">
        <f aca="false">Sens!$M$9939*k_B</f>
        <v>11.3252811020357</v>
      </c>
      <c r="N9941" s="14"/>
      <c r="O9941" s="14"/>
      <c r="P9941" s="5" t="s">
        <v>620</v>
      </c>
    </row>
    <row r="9942" customFormat="false" ht="17.15" hidden="false" customHeight="false" outlineLevel="0" collapsed="false">
      <c r="A9942" s="5" t="s">
        <v>621</v>
      </c>
      <c r="B9942" s="0" t="s">
        <v>129</v>
      </c>
      <c r="F9942" s="32" t="n">
        <f aca="false">Sens!$F$9936/2</f>
        <v>908.575</v>
      </c>
      <c r="H9942" s="32" t="n">
        <f aca="false">(Sens!$G$9936+Sens!$H$9936)/2</f>
        <v>3634.3</v>
      </c>
      <c r="I9942" s="32" t="n">
        <f aca="false">(Sens!$H$9936+Sens!$I$9936)/2</f>
        <v>7268.6</v>
      </c>
      <c r="J9942" s="32" t="n">
        <f aca="false">(Sens!$I$9936+Sens!$J$9936)/2</f>
        <v>10902.9</v>
      </c>
      <c r="K9942" s="32" t="n">
        <f aca="false">(Sens!$J$9936+Sens!$K$9936)/2</f>
        <v>14030.1503333333</v>
      </c>
      <c r="L9942" s="32" t="n">
        <f aca="false">(Sens!$K$9936+Sens!$L$9936)/2</f>
        <v>16143.3013333333</v>
      </c>
      <c r="M9942" s="32" t="n">
        <f aca="false">(Sens!$L$9936+Sens!$M$9936)/2</f>
        <v>17242.353</v>
      </c>
    </row>
    <row r="9943" customFormat="false" ht="17.15" hidden="false" customHeight="false" outlineLevel="0" collapsed="false">
      <c r="A9943" s="1" t="s">
        <v>622</v>
      </c>
    </row>
    <row r="9944" customFormat="false" ht="17.15" hidden="false" customHeight="false" outlineLevel="0" collapsed="false">
      <c r="A9944" s="1" t="s">
        <v>623</v>
      </c>
      <c r="B9944" s="8" t="s">
        <v>86</v>
      </c>
      <c r="C9944" s="38" t="n">
        <f aca="false">Sens!$C$9927*rpm_open*Sens!$C$9928/1000</f>
        <v>2.32100535697364</v>
      </c>
      <c r="D9944" s="38" t="n">
        <f aca="false">Sens!$D$9927*rpm_open*Sens!$D$9928/1000</f>
        <v>8.70377008865116</v>
      </c>
      <c r="E9944" s="38" t="n">
        <f aca="false">Sens!$E$9927*rpm_open*Sens!$E$9928/1000</f>
        <v>8.51035297557002</v>
      </c>
      <c r="F9944" s="38" t="n">
        <f aca="false">(mw_open*rpm_open+Sens!$F$9942*Sens!$F$9941)*Sens!$F$9928/1000</f>
        <v>14.9634336447205</v>
      </c>
      <c r="G9944" s="38" t="n">
        <f aca="false">Sens!$E$9944+Sens!$F$9944</f>
        <v>23.4737866202905</v>
      </c>
      <c r="H9944" s="38" t="n">
        <f aca="false">(mw_open*rpm_open+Sens!$H$9942*Sens!$H$9941)/1000</f>
        <v>60.1658907497746</v>
      </c>
      <c r="I9944" s="38" t="n">
        <f aca="false">(mw_open*rpm_open+Sens!$I$9942*Sens!$I$9941)/1000</f>
        <v>101.503699136432</v>
      </c>
      <c r="J9944" s="38" t="n">
        <f aca="false">(mw_open*rpm_open+Sens!$J$9942*Sens!$J$9941)/1000</f>
        <v>143.025407151278</v>
      </c>
      <c r="K9944" s="38" t="n">
        <f aca="false">(mw_open*rpm_open+Sens!$K$9942*Sens!$K$9941)/1000</f>
        <v>178.73410158042</v>
      </c>
      <c r="L9944" s="38" t="n">
        <f aca="false">(mw_open*rpm_open+Sens!$L$9942*Sens!$L$9941)/1000</f>
        <v>202.865192960641</v>
      </c>
      <c r="M9944" s="38" t="n">
        <f aca="false">(mw_open*rpm_open+Sens!$M$9942*Sens!$M$9941)/1000</f>
        <v>215.389874345967</v>
      </c>
      <c r="N9944" s="38" t="n">
        <f aca="false">Sens!$N$9927*rpm_open*Sens!$N$9928/1000</f>
        <v>3.04631953102791</v>
      </c>
      <c r="O9944" s="38" t="n">
        <f aca="false">Sens!$O$9927*rpm_open*Sens!$O$9928/1000</f>
        <v>5.65745055762326</v>
      </c>
      <c r="P9944" s="5" t="s">
        <v>624</v>
      </c>
    </row>
    <row r="9945" customFormat="false" ht="17.15" hidden="false" customHeight="false" outlineLevel="0" collapsed="false">
      <c r="A9945" s="5" t="s">
        <v>625</v>
      </c>
      <c r="B9945" s="0" t="s">
        <v>173</v>
      </c>
      <c r="C9945" s="36" t="n">
        <f aca="false">Sens!$C$9944*1000/(Sens!$C$9927*Sens!$C$9928)</f>
        <v>9.67085565405685</v>
      </c>
      <c r="D9945" s="36" t="n">
        <f aca="false">Sens!$D$9944*1000/(Sens!$D$9927*Sens!$D$9928)</f>
        <v>9.67085565405685</v>
      </c>
      <c r="E9945" s="36" t="n">
        <f aca="false">Sens!$E$9944*1000/(Sens!$E$9927*Sens!$E$9928)</f>
        <v>9.67085565405685</v>
      </c>
      <c r="F9945" s="36" t="n">
        <f aca="false">Sens!$F$9944*1000/(Sens!$F$9927*Sens!$F$9928)</f>
        <v>10.0137581588017</v>
      </c>
      <c r="G9945" s="36" t="n">
        <f aca="false">Sens!$G$9944*1000/(Sens!$G$9927*Sens!$G$9928)</f>
        <v>9.88666562928478</v>
      </c>
      <c r="H9945" s="36" t="n">
        <f aca="false">Sens!$H$9944*1000/(Sens!$H$9927*Sens!$H$9928)</f>
        <v>10.5290045586992</v>
      </c>
      <c r="I9945" s="36" t="n">
        <f aca="false">Sens!$I$9944*1000/(Sens!$I$9927*Sens!$I$9928)</f>
        <v>10.8576363451674</v>
      </c>
      <c r="J9945" s="36" t="n">
        <f aca="false">Sens!$J$9944*1000/(Sens!$J$9927*Sens!$J$9928)</f>
        <v>11.0164452588619</v>
      </c>
      <c r="K9945" s="36" t="n">
        <f aca="false">Sens!$K$9944*1000/(Sens!$K$9927*Sens!$K$9928)</f>
        <v>11.0945024026625</v>
      </c>
      <c r="L9945" s="36" t="n">
        <f aca="false">Sens!$L$9944*1000/(Sens!$L$9927*Sens!$L$9928)</f>
        <v>11.1321867124904</v>
      </c>
      <c r="M9945" s="36" t="n">
        <f aca="false">Sens!$M$9944*1000/(Sens!$M$9927*Sens!$M$9928)</f>
        <v>11.1471865950263</v>
      </c>
      <c r="N9945" s="36" t="n">
        <f aca="false">Sens!$N$9944*1000/(Sens!$N$9927*Sens!$N$9928)</f>
        <v>9.67085565405685</v>
      </c>
      <c r="O9945" s="36" t="n">
        <f aca="false">Sens!$O$9944*1000/(Sens!$O$9927*Sens!$O$9928)</f>
        <v>9.67085565405685</v>
      </c>
    </row>
    <row r="9946" customFormat="false" ht="17.15" hidden="false" customHeight="false" outlineLevel="0" collapsed="false">
      <c r="A9946" s="0" t="s">
        <v>626</v>
      </c>
      <c r="B9946" s="0" t="s">
        <v>86</v>
      </c>
      <c r="C9946" s="38" t="n">
        <f aca="false">Sens!$C$9927/ext_sh*(ox_open+rent_mw)*Sens!$C$9928/1000</f>
        <v>0.642569210675032</v>
      </c>
      <c r="D9946" s="38" t="n">
        <f aca="false">Sens!$D$9927/ext_sh*(ox_open+rent_mw)*Sens!$D$9928/1000</f>
        <v>2.40963454003137</v>
      </c>
      <c r="E9946" s="38" t="n">
        <f aca="false">Sens!$E$9927/ext_sh*(ox_open+rent_mw)*Sens!$E$9928/1000</f>
        <v>2.35608710580845</v>
      </c>
      <c r="F9946" s="38" t="n">
        <f aca="false">((mw_open*ox_open+Sens!$F$9942*Sens!$F$9940)/ext_sh+Sens!$F$9927/ext_sh*rent_mw)*Sens!$F$9928/1000</f>
        <v>4.05421991106232</v>
      </c>
      <c r="G9946" s="38" t="n">
        <f aca="false">Sens!$E$9946+Sens!$F$9946</f>
        <v>6.41030701687077</v>
      </c>
      <c r="H9946" s="38" t="n">
        <f aca="false">((mw_open*ox_open+Sens!$H$9942*Sens!$H$9940)/ext_sh+Sens!$H$9927/ext_sh*rent_mw)*Sens!$H$9928/1000</f>
        <v>15.8108975546616</v>
      </c>
      <c r="I9946" s="38" t="n">
        <f aca="false">((mw_open*ox_open+Sens!$I$9942*Sens!$I$9940)/ext_sh+Sens!$I$9927/ext_sh*rent_mw)*Sens!$I$9928/1000</f>
        <v>26.1871623400817</v>
      </c>
      <c r="J9946" s="38" t="n">
        <f aca="false">((mw_open*ox_open+Sens!$J$9942*Sens!$J$9940)/ext_sh+Sens!$J$9927/ext_sh*rent_mw)*Sens!$J$9928/1000</f>
        <v>36.5826128954935</v>
      </c>
      <c r="K9946" s="38" t="n">
        <f aca="false">((mw_open*ox_open+Sens!$K$9942*Sens!$K$9940)/ext_sh+Sens!$K$9927/ext_sh*rent_mw)*Sens!$K$9928/1000</f>
        <v>45.5256266941655</v>
      </c>
      <c r="L9946" s="38" t="n">
        <f aca="false">((mw_open*ox_open+Sens!$L$9942*Sens!$L$9940)/ext_sh+Sens!$L$9927/ext_sh*rent_mw)*Sens!$L$9928/1000</f>
        <v>51.568818942134</v>
      </c>
      <c r="M9946" s="38" t="n">
        <f aca="false">((mw_open*ox_open+Sens!$M$9942*Sens!$M$9940)/ext_sh+Sens!$M$9927/ext_sh*rent_mw)*Sens!$M$9928/1000</f>
        <v>54.7091842856355</v>
      </c>
      <c r="N9946" s="38" t="n">
        <f aca="false">Sens!$N$9927/ext_sh*(ox_open+rent_mw)*Sens!$N$9928/1000</f>
        <v>0.84337208901098</v>
      </c>
      <c r="O9946" s="38" t="n">
        <f aca="false">Sens!$O$9927/ext_sh*(ox_open+rent_mw)*Sens!$O$9928/1000</f>
        <v>1.56626245102039</v>
      </c>
    </row>
    <row r="9947" customFormat="false" ht="17.15" hidden="false" customHeight="false" outlineLevel="0" collapsed="false">
      <c r="A9947" s="0" t="s">
        <v>627</v>
      </c>
      <c r="B9947" s="0" t="s">
        <v>86</v>
      </c>
      <c r="C9947" s="38" t="n">
        <f aca="false">Q!$D$7</f>
        <v>107.556</v>
      </c>
      <c r="D9947" s="38" t="n">
        <f aca="false">Q!$E$7</f>
        <v>128.725</v>
      </c>
      <c r="E9947" s="38" t="n">
        <f aca="false">Q!$P$7</f>
        <v>79.819</v>
      </c>
      <c r="N9947" s="38" t="n">
        <f aca="false">Q!$N$7</f>
        <v>60.14</v>
      </c>
      <c r="O9947" s="38" t="n">
        <f aca="false">Q!$O$7</f>
        <v>68.585</v>
      </c>
    </row>
    <row r="9948" customFormat="false" ht="17.15" hidden="false" customHeight="false" outlineLevel="0" collapsed="false">
      <c r="A9948" s="1" t="s">
        <v>628</v>
      </c>
      <c r="B9948" s="8" t="s">
        <v>86</v>
      </c>
      <c r="C9948" s="38" t="n">
        <f aca="false">Sens!$C$9947-Sens!$C$9944</f>
        <v>105.234994643026</v>
      </c>
      <c r="D9948" s="38" t="n">
        <f aca="false">Sens!$D$9947-Sens!$D$9944</f>
        <v>120.021229911349</v>
      </c>
      <c r="E9948" s="38" t="n">
        <f aca="false">Sens!$E$9947-Sens!$E$9944</f>
        <v>71.30864702443</v>
      </c>
      <c r="F9948" s="38" t="n">
        <f aca="false">Sens!$O$9948*(1+Sens!$F$9949)</f>
        <v>71.7692997942464</v>
      </c>
      <c r="G9948" s="38" t="n">
        <f aca="false">Sens!$E$9948+Sens!$F$9948</f>
        <v>143.077946818676</v>
      </c>
      <c r="H9948" s="38" t="n">
        <f aca="false">Sens!$G$9948*(1+Sens!$H$9949)</f>
        <v>161.017077079203</v>
      </c>
      <c r="I9948" s="38" t="n">
        <f aca="false">Sens!$H$9948*(1+Sens!$I$9949)</f>
        <v>178.769759521457</v>
      </c>
      <c r="J9948" s="38" t="n">
        <f aca="false">Sens!$I$9948*(1+Sens!$J$9949)</f>
        <v>195.775538045907</v>
      </c>
      <c r="K9948" s="38" t="n">
        <f aca="false">Sens!$J$9948*(1+Sens!$K$9949)</f>
        <v>211.43758108958</v>
      </c>
      <c r="L9948" s="38" t="n">
        <f aca="false">Sens!$K$9948*(1+Sens!$L$9949)</f>
        <v>228.352587576746</v>
      </c>
      <c r="M9948" s="38" t="n">
        <f aca="false">Sens!$L$9948*(1+Sens!$M$9949)</f>
        <v>246.620794582886</v>
      </c>
      <c r="N9948" s="38" t="n">
        <f aca="false">Sens!$N$9947-Sens!$N$9944</f>
        <v>57.0936804689721</v>
      </c>
      <c r="O9948" s="38" t="n">
        <f aca="false">Sens!$O$9947-Sens!$O$9944</f>
        <v>62.9275494423768</v>
      </c>
      <c r="P9948" s="5" t="s">
        <v>629</v>
      </c>
    </row>
    <row r="9949" customFormat="false" ht="17.15" hidden="false" customHeight="false" outlineLevel="0" collapsed="false">
      <c r="A9949" s="0" t="s">
        <v>630</v>
      </c>
      <c r="B9949" s="0" t="s">
        <v>52</v>
      </c>
      <c r="D9949" s="13" t="n">
        <f aca="false">Sens!$D$9948/Sens!$C$9948-1</f>
        <v>0.140506827776062</v>
      </c>
      <c r="E9949" s="13" t="n">
        <f aca="false">Sens!$E$9948/Sens!$N$9948-1</f>
        <v>0.248976181579029</v>
      </c>
      <c r="F9949" s="13" t="n">
        <f aca="false">Sens!$D$9949</f>
        <v>0.140506827776062</v>
      </c>
      <c r="G9949" s="13" t="n">
        <f aca="false">Sens!$G$9948/Sens!$D$9948-1</f>
        <v>0.19210532106993</v>
      </c>
      <c r="H9949" s="13" t="n">
        <f aca="false">Sens!$F$9949+(g_awso_lt-Sens!$F$9949)*1/4</f>
        <v>0.125380120832046</v>
      </c>
      <c r="I9949" s="13" t="n">
        <f aca="false">Sens!$F$9949+(g_awso_lt-Sens!$F$9949)*2/4</f>
        <v>0.110253413888031</v>
      </c>
      <c r="J9949" s="13" t="n">
        <f aca="false">Sens!$F$9949+(g_awso_lt-Sens!$F$9949)*3/4</f>
        <v>0.0951267069440154</v>
      </c>
      <c r="K9949" s="13" t="n">
        <f aca="false">Sens!$F$9949+(g_awso_lt-Sens!$F$9949)*4/4</f>
        <v>0.08</v>
      </c>
      <c r="L9949" s="13" t="n">
        <f aca="false">g_awso_lt</f>
        <v>0.08</v>
      </c>
      <c r="M9949" s="13" t="n">
        <f aca="false">g_awso_lt</f>
        <v>0.08</v>
      </c>
      <c r="P9949" s="5" t="s">
        <v>631</v>
      </c>
    </row>
    <row r="9950" customFormat="false" ht="17.15" hidden="false" customHeight="false" outlineLevel="0" collapsed="false">
      <c r="A9950" s="1" t="s">
        <v>632</v>
      </c>
    </row>
    <row r="9951" customFormat="false" ht="17.15" hidden="false" customHeight="false" outlineLevel="0" collapsed="false">
      <c r="A9951" s="0" t="s">
        <v>633</v>
      </c>
      <c r="B9951" s="0" t="s">
        <v>86</v>
      </c>
      <c r="F9951" s="38" t="n">
        <f aca="false">cx_rt*Sens!$F$9916+cx_awso*Sens!$F$9948</f>
        <v>34.9734495387866</v>
      </c>
    </row>
    <row r="9952" customFormat="false" ht="17.15" hidden="false" customHeight="false" outlineLevel="0" collapsed="false">
      <c r="A9952" s="0" t="s">
        <v>634</v>
      </c>
      <c r="B9952" s="0" t="s">
        <v>52</v>
      </c>
      <c r="C9952" s="13" t="n">
        <f aca="false">tk_cx_h100/(tk_cx_h100+tk_fac*(1-colo_sh))</f>
        <v>0.730756458006641</v>
      </c>
      <c r="D9952" s="13" t="n">
        <f aca="false">tk_cx_h100/(tk_cx_h100+tk_fac*(1-colo_sh))</f>
        <v>0.730756458006641</v>
      </c>
      <c r="E9952" s="13" t="n">
        <f aca="false">Sens!$F$9952</f>
        <v>0.760792334328868</v>
      </c>
      <c r="F9952" s="13" t="n">
        <f aca="false">Sens!$F$9935/(Sens!$F$9935+tk_fac*(1-colo_sh))</f>
        <v>0.760792334328868</v>
      </c>
      <c r="G9952" s="13" t="n">
        <f aca="false">Sens!$G$9935/(Sens!$G$9935+tk_fac*(1-colo_sh))</f>
        <v>0.760792334328868</v>
      </c>
      <c r="H9952" s="13" t="n">
        <f aca="false">Sens!$H$9935/(Sens!$H$9935+tk_fac*(1-colo_sh))</f>
        <v>0.768110668862996</v>
      </c>
      <c r="I9952" s="13" t="n">
        <f aca="false">Sens!$I$9935/(Sens!$I$9935+tk_fac*(1-colo_sh))</f>
        <v>0.77499450139483</v>
      </c>
      <c r="J9952" s="13" t="n">
        <f aca="false">Sens!$J$9935/(Sens!$J$9935+tk_fac*(1-colo_sh))</f>
        <v>0.77499450139483</v>
      </c>
      <c r="K9952" s="13" t="n">
        <f aca="false">Sens!$K$9935/(Sens!$K$9935+tk_fac*(1-colo_sh))</f>
        <v>0.77499450139483</v>
      </c>
      <c r="L9952" s="13" t="n">
        <f aca="false">Sens!$L$9935/(Sens!$L$9935+tk_fac*(1-colo_sh))</f>
        <v>0.77499450139483</v>
      </c>
      <c r="M9952" s="13" t="n">
        <f aca="false">Sens!$M$9935/(Sens!$M$9935+tk_fac*(1-colo_sh))</f>
        <v>0.77499450139483</v>
      </c>
    </row>
    <row r="9953" customFormat="false" ht="17.15" hidden="false" customHeight="false" outlineLevel="0" collapsed="false">
      <c r="A9953" s="1" t="s">
        <v>635</v>
      </c>
      <c r="B9953" s="8" t="s">
        <v>86</v>
      </c>
      <c r="C9953" s="38" t="n">
        <f aca="false">Q!$D$46-cx_rt*Q!$D$16-cx_awso*Sens!$C$9948</f>
        <v>25.2781053077374</v>
      </c>
      <c r="D9953" s="38" t="n">
        <f aca="false">Q!$E$46-cx_rt*Q!$E$16-cx_awso*Sens!$D$9948</f>
        <v>69.5686316310026</v>
      </c>
      <c r="E9953" s="38" t="n">
        <f aca="false">Q!$P$46-cx_rt*Q!$P$16-cx_awso*Sens!$E$9948</f>
        <v>64.1899206485108</v>
      </c>
      <c r="F9953" s="38" t="n">
        <f aca="false">capex_g26-Q!$P$46-Sens!$F$9951</f>
        <v>88.7165504612134</v>
      </c>
      <c r="G9953" s="38" t="n">
        <f aca="false">Sens!$E$9953+Sens!$F$9953</f>
        <v>152.906471109724</v>
      </c>
      <c r="H9953" s="38" t="n">
        <f aca="false">Sens!$H$9930*(Sens!$H$9935+tk_fac*(1-colo_sh))/1000+Sens!$H$9954</f>
        <v>198.57136494475</v>
      </c>
      <c r="I9953" s="38" t="n">
        <f aca="false">Sens!$I$9930*(Sens!$I$9935+tk_fac*(1-colo_sh))/1000+Sens!$I$9954</f>
        <v>204.6464699105</v>
      </c>
      <c r="J9953" s="38" t="n">
        <f aca="false">Sens!$J$9930*(Sens!$J$9935+tk_fac*(1-colo_sh))/1000+Sens!$J$9954</f>
        <v>209.8832381105</v>
      </c>
      <c r="K9953" s="38" t="n">
        <f aca="false">Sens!$K$9930*(Sens!$K$9935+tk_fac*(1-colo_sh))/1000+Sens!$K$9954</f>
        <v>158.016341586823</v>
      </c>
      <c r="L9953" s="38" t="n">
        <f aca="false">Sens!$L$9930*(Sens!$L$9935+tk_fac*(1-colo_sh))/1000+Sens!$L$9954</f>
        <v>137.570054263147</v>
      </c>
      <c r="M9953" s="38" t="n">
        <f aca="false">Sens!$M$9930*(Sens!$M$9935+tk_fac*(1-colo_sh))/1000+Sens!$M$9954</f>
        <v>140.56485059472</v>
      </c>
      <c r="P9953" s="5" t="s">
        <v>636</v>
      </c>
      <c r="R9953" s="38" t="n">
        <f aca="false">Q!$C$46-cx_rt*Q!$C$16-cx_awso*(Q!$C$7-mw_ye23/2*rpm_open/1000)</f>
        <v>1.50429979529945</v>
      </c>
      <c r="S9953" s="38" t="n">
        <f aca="false">Sens!$C$9953</f>
        <v>25.2781053077374</v>
      </c>
      <c r="T9953" s="38" t="n">
        <f aca="false">Sens!$D$9953</f>
        <v>69.5686316310026</v>
      </c>
      <c r="U9953" s="38" t="n">
        <f aca="false">Sens!$G$9953</f>
        <v>152.906471109724</v>
      </c>
      <c r="V9953" s="38" t="n">
        <f aca="false">Sens!$H$9953</f>
        <v>198.57136494475</v>
      </c>
      <c r="W9953" s="38" t="n">
        <f aca="false">Sens!$I$9953</f>
        <v>204.6464699105</v>
      </c>
      <c r="X9953" s="38" t="n">
        <f aca="false">Sens!$J$9953</f>
        <v>209.8832381105</v>
      </c>
      <c r="Y9953" s="38" t="n">
        <f aca="false">Sens!$K$9953</f>
        <v>158.016341586823</v>
      </c>
      <c r="Z9953" s="38" t="n">
        <f aca="false">Sens!$L$9953</f>
        <v>137.570054263147</v>
      </c>
      <c r="AA9953" s="38" t="n">
        <f aca="false">Sens!$M$9953</f>
        <v>140.56485059472</v>
      </c>
    </row>
    <row r="9954" customFormat="false" ht="17.15" hidden="false" customHeight="false" outlineLevel="0" collapsed="false">
      <c r="A9954" s="0" t="s">
        <v>637</v>
      </c>
      <c r="B9954" s="0" t="s">
        <v>86</v>
      </c>
      <c r="H9954" s="38" t="n">
        <f aca="false">SUMPRODUCT(--(Sens!$R$9923:$AA$9923=2027-tk_life),Sens!$R$9930:$AA$9930)*Sens!$H$9935/1000</f>
        <v>0</v>
      </c>
      <c r="I9954" s="38" t="n">
        <f aca="false">SUMPRODUCT(--(Sens!$R$9923:$AA$9923=2028-tk_life),Sens!$R$9930:$AA$9930)*Sens!$I$9935/1000</f>
        <v>0</v>
      </c>
      <c r="J9954" s="38" t="n">
        <f aca="false">SUMPRODUCT(--(Sens!$R$9923:$AA$9923=2029-tk_life),Sens!$R$9930:$AA$9930)*Sens!$J$9935/1000</f>
        <v>5.2367682</v>
      </c>
      <c r="K9954" s="38" t="n">
        <f aca="false">SUMPRODUCT(--(Sens!$R$9923:$AA$9923=2030-tk_life),Sens!$R$9930:$AA$9930)*Sens!$K$9935/1000</f>
        <v>10.4735364</v>
      </c>
      <c r="L9954" s="38" t="n">
        <f aca="false">SUMPRODUCT(--(Sens!$R$9923:$AA$9923=2031-tk_life),Sens!$R$9930:$AA$9930)*Sens!$L$9935/1000</f>
        <v>47.1309138</v>
      </c>
      <c r="M9954" s="38" t="n">
        <f aca="false">SUMPRODUCT(--(Sens!$R$9923:$AA$9923=2032-tk_life),Sens!$R$9930:$AA$9930)*Sens!$M$9935/1000</f>
        <v>107.22937485525</v>
      </c>
    </row>
    <row r="9955" customFormat="false" ht="17.15" hidden="false" customHeight="false" outlineLevel="0" collapsed="false">
      <c r="A9955" s="0" t="s">
        <v>638</v>
      </c>
      <c r="B9955" s="0" t="s">
        <v>86</v>
      </c>
      <c r="C9955" s="38" t="n">
        <f aca="false">MIN(Sens!$C$9953,Sens!$C$9930*(tk_cx_h100+tk_fac*(1-colo_sh))/1000)</f>
        <v>11.2938642</v>
      </c>
      <c r="D9955" s="38" t="n">
        <f aca="false">MIN(Sens!$D$9953,Sens!$D$9930*(tk_cx_h100+tk_fac*(1-colo_sh))/1000)</f>
        <v>50.8223889</v>
      </c>
      <c r="E9955" s="38" t="n">
        <f aca="false">MIN(Sens!$E$9953,Sens!$E$9930*(Sens!$F$9935+tk_fac*(1-colo_sh))/1000)</f>
        <v>33.8985792</v>
      </c>
      <c r="F9955" s="38" t="n">
        <f aca="false">Sens!$F$9953</f>
        <v>88.7165504612134</v>
      </c>
      <c r="G9955" s="38" t="n">
        <f aca="false">Sens!$E$9955+Sens!$F$9955</f>
        <v>122.615129661213</v>
      </c>
      <c r="H9955" s="38" t="n">
        <f aca="false">Sens!$H$9953</f>
        <v>198.57136494475</v>
      </c>
      <c r="I9955" s="38" t="n">
        <f aca="false">Sens!$I$9953</f>
        <v>204.6464699105</v>
      </c>
      <c r="J9955" s="38" t="n">
        <f aca="false">Sens!$J$9953</f>
        <v>209.8832381105</v>
      </c>
      <c r="K9955" s="38" t="n">
        <f aca="false">Sens!$K$9953</f>
        <v>158.016341586823</v>
      </c>
      <c r="L9955" s="38" t="n">
        <f aca="false">Sens!$L$9953</f>
        <v>137.570054263147</v>
      </c>
      <c r="M9955" s="38" t="n">
        <f aca="false">Sens!$M$9953</f>
        <v>140.56485059472</v>
      </c>
      <c r="P9955" s="5" t="s">
        <v>639</v>
      </c>
      <c r="R9955" s="38" t="n">
        <f aca="false">MIN(Sens!$R$9953,Sens!$R$9930*(tk_cx_h100+tk_fac*(1-colo_sh))/1000)</f>
        <v>1.50429979529945</v>
      </c>
      <c r="S9955" s="38" t="n">
        <f aca="false">Sens!$C$9955</f>
        <v>11.2938642</v>
      </c>
      <c r="T9955" s="38" t="n">
        <f aca="false">Sens!$D$9955</f>
        <v>50.8223889</v>
      </c>
      <c r="U9955" s="38" t="n">
        <f aca="false">Sens!$G$9955</f>
        <v>122.615129661213</v>
      </c>
      <c r="V9955" s="38" t="n">
        <f aca="false">Sens!$H$9955</f>
        <v>198.57136494475</v>
      </c>
      <c r="W9955" s="38" t="n">
        <f aca="false">Sens!$I$9955</f>
        <v>204.6464699105</v>
      </c>
      <c r="X9955" s="38" t="n">
        <f aca="false">Sens!$J$9955</f>
        <v>209.8832381105</v>
      </c>
      <c r="Y9955" s="38" t="n">
        <f aca="false">Sens!$K$9955</f>
        <v>158.016341586823</v>
      </c>
      <c r="Z9955" s="38" t="n">
        <f aca="false">Sens!$L$9955</f>
        <v>137.570054263147</v>
      </c>
      <c r="AA9955" s="38" t="n">
        <f aca="false">Sens!$M$9955</f>
        <v>140.56485059472</v>
      </c>
    </row>
    <row r="9956" customFormat="false" ht="17.15" hidden="false" customHeight="false" outlineLevel="0" collapsed="false">
      <c r="A9956" s="5" t="s">
        <v>640</v>
      </c>
      <c r="B9956" s="0" t="s">
        <v>86</v>
      </c>
      <c r="C9956" s="38" t="n">
        <f aca="false">Sens!$C$9953-Sens!$C$9955</f>
        <v>13.9842411077374</v>
      </c>
      <c r="D9956" s="38" t="n">
        <f aca="false">Sens!$D$9953-Sens!$D$9955</f>
        <v>18.7462427310026</v>
      </c>
      <c r="E9956" s="38" t="n">
        <f aca="false">Sens!$E$9953-Sens!$E$9955</f>
        <v>30.2913414485108</v>
      </c>
      <c r="F9956" s="38" t="n">
        <f aca="false">Sens!$F$9953-Sens!$F$9955</f>
        <v>0</v>
      </c>
      <c r="G9956" s="38" t="n">
        <f aca="false">Sens!$G$9953-Sens!$G$9955</f>
        <v>30.2913414485108</v>
      </c>
      <c r="H9956" s="38" t="n">
        <f aca="false">Sens!$H$9953-Sens!$H$9955</f>
        <v>0</v>
      </c>
      <c r="I9956" s="38" t="n">
        <f aca="false">Sens!$I$9953-Sens!$I$9955</f>
        <v>0</v>
      </c>
      <c r="J9956" s="38" t="n">
        <f aca="false">Sens!$J$9953-Sens!$J$9955</f>
        <v>0</v>
      </c>
      <c r="K9956" s="38" t="n">
        <f aca="false">Sens!$K$9953-Sens!$K$9955</f>
        <v>0</v>
      </c>
      <c r="L9956" s="38" t="n">
        <f aca="false">Sens!$L$9953-Sens!$L$9955</f>
        <v>0</v>
      </c>
      <c r="M9956" s="38" t="n">
        <f aca="false">Sens!$M$9953-Sens!$M$9955</f>
        <v>0</v>
      </c>
      <c r="P9956" s="5" t="s">
        <v>641</v>
      </c>
      <c r="R9956" s="38" t="n">
        <f aca="false">Sens!$R$9953-Sens!$R$9955</f>
        <v>0</v>
      </c>
      <c r="S9956" s="38" t="n">
        <f aca="false">Sens!$S$9953-Sens!$S$9955</f>
        <v>13.9842411077374</v>
      </c>
      <c r="T9956" s="38" t="n">
        <f aca="false">Sens!$T$9953-Sens!$T$9955</f>
        <v>18.7462427310026</v>
      </c>
      <c r="U9956" s="38" t="n">
        <f aca="false">Sens!$U$9953-Sens!$U$9955</f>
        <v>30.2913414485108</v>
      </c>
      <c r="V9956" s="38" t="n">
        <f aca="false">Sens!$V$9953-Sens!$V$9955</f>
        <v>0</v>
      </c>
      <c r="W9956" s="38" t="n">
        <f aca="false">Sens!$W$9953-Sens!$W$9955</f>
        <v>0</v>
      </c>
      <c r="X9956" s="38" t="n">
        <f aca="false">Sens!$X$9953-Sens!$X$9955</f>
        <v>0</v>
      </c>
      <c r="Y9956" s="38" t="n">
        <f aca="false">Sens!$Y$9953-Sens!$Y$9955</f>
        <v>0</v>
      </c>
      <c r="Z9956" s="38" t="n">
        <f aca="false">Sens!$Z$9953-Sens!$Z$9955</f>
        <v>0</v>
      </c>
      <c r="AA9956" s="38" t="n">
        <f aca="false">Sens!$AA$9953-Sens!$AA$9955</f>
        <v>0</v>
      </c>
    </row>
    <row r="9957" customFormat="false" ht="17.15" hidden="false" customHeight="false" outlineLevel="0" collapsed="false">
      <c r="A9957" s="5" t="s">
        <v>642</v>
      </c>
      <c r="B9957" s="0" t="s">
        <v>86</v>
      </c>
      <c r="R9957" s="38" t="n">
        <f aca="false">Sens!$R$9956*Sens!$C$9952</f>
        <v>0</v>
      </c>
      <c r="S9957" s="38" t="n">
        <f aca="false">Sens!$S$9956*Sens!$C$9952</f>
        <v>10.219074499801</v>
      </c>
      <c r="T9957" s="38" t="n">
        <f aca="false">Sens!$T$9956*Sens!$C$9952</f>
        <v>13.6989379390402</v>
      </c>
      <c r="U9957" s="38" t="n">
        <f aca="false">Sens!$U$9956*Sens!$E$9952</f>
        <v>23.0454203705653</v>
      </c>
      <c r="V9957" s="38" t="n">
        <f aca="false">Sens!$V$9956*Sens!$E$9952</f>
        <v>0</v>
      </c>
      <c r="W9957" s="38" t="n">
        <f aca="false">Sens!$W$9956*Sens!$E$9952</f>
        <v>0</v>
      </c>
      <c r="X9957" s="38" t="n">
        <f aca="false">Sens!$X$9956*Sens!$E$9952</f>
        <v>0</v>
      </c>
      <c r="Y9957" s="38" t="n">
        <f aca="false">Sens!$Y$9956*Sens!$E$9952</f>
        <v>0</v>
      </c>
      <c r="Z9957" s="38" t="n">
        <f aca="false">Sens!$Z$9956*Sens!$E$9952</f>
        <v>0</v>
      </c>
      <c r="AA9957" s="38" t="n">
        <f aca="false">Sens!$AA$9956*Sens!$E$9952</f>
        <v>0</v>
      </c>
    </row>
    <row r="9958" customFormat="false" ht="17.15" hidden="false" customHeight="false" outlineLevel="0" collapsed="false">
      <c r="A9958" s="5" t="s">
        <v>643</v>
      </c>
      <c r="B9958" s="0" t="s">
        <v>86</v>
      </c>
      <c r="R9958" s="38" t="n">
        <f aca="false">SUMPRODUCT(--(Sens!$R$9923:$AA$9923=2023-cip_lag),Sens!$R$9957:$AA$9957)</f>
        <v>0</v>
      </c>
      <c r="S9958" s="38" t="n">
        <f aca="false">SUMPRODUCT(--(Sens!$R$9923:$AA$9923=2024-cip_lag),Sens!$R$9957:$AA$9957)</f>
        <v>0</v>
      </c>
      <c r="T9958" s="38" t="n">
        <f aca="false">SUMPRODUCT(--(Sens!$R$9923:$AA$9923=2025-cip_lag),Sens!$R$9957:$AA$9957)</f>
        <v>10.219074499801</v>
      </c>
      <c r="U9958" s="38" t="n">
        <f aca="false">SUMPRODUCT(--(Sens!$R$9923:$AA$9923=2026-cip_lag),Sens!$R$9957:$AA$9957)</f>
        <v>13.6989379390402</v>
      </c>
      <c r="V9958" s="38" t="n">
        <f aca="false">SUMPRODUCT(--(Sens!$R$9923:$AA$9923=2027-cip_lag),Sens!$R$9957:$AA$9957)</f>
        <v>23.0454203705653</v>
      </c>
      <c r="W9958" s="38" t="n">
        <f aca="false">SUMPRODUCT(--(Sens!$R$9923:$AA$9923=2028-cip_lag),Sens!$R$9957:$AA$9957)</f>
        <v>0</v>
      </c>
      <c r="X9958" s="38" t="n">
        <f aca="false">SUMPRODUCT(--(Sens!$R$9923:$AA$9923=2029-cip_lag),Sens!$R$9957:$AA$9957)</f>
        <v>0</v>
      </c>
      <c r="Y9958" s="38" t="n">
        <f aca="false">SUMPRODUCT(--(Sens!$R$9923:$AA$9923=2030-cip_lag),Sens!$R$9957:$AA$9957)</f>
        <v>0</v>
      </c>
      <c r="Z9958" s="38" t="n">
        <f aca="false">SUMPRODUCT(--(Sens!$R$9923:$AA$9923=2031-cip_lag),Sens!$R$9957:$AA$9957)</f>
        <v>0</v>
      </c>
      <c r="AA9958" s="38" t="n">
        <f aca="false">SUMPRODUCT(--(Sens!$R$9923:$AA$9923=2032-cip_lag),Sens!$R$9957:$AA$9957)</f>
        <v>0</v>
      </c>
    </row>
    <row r="9959" customFormat="false" ht="15" hidden="false" customHeight="false" outlineLevel="0" collapsed="false">
      <c r="A9959" s="5" t="s">
        <v>644</v>
      </c>
      <c r="B9959" s="0" t="s">
        <v>86</v>
      </c>
      <c r="R9959" s="38" t="n">
        <f aca="false">SUMPRODUCT(--(Sens!$R$9923:$AA$9923=2023-cip_lag),Sens!$R$9956:$AA$9956)-Sens!$R$9958</f>
        <v>0</v>
      </c>
      <c r="S9959" s="38" t="n">
        <f aca="false">SUMPRODUCT(--(Sens!$R$9923:$AA$9923=2024-cip_lag),Sens!$R$9956:$AA$9956)-Sens!$S$9958</f>
        <v>0</v>
      </c>
      <c r="T9959" s="38" t="n">
        <f aca="false">SUMPRODUCT(--(Sens!$R$9923:$AA$9923=2025-cip_lag),Sens!$R$9956:$AA$9956)-Sens!$T$9958</f>
        <v>3.76516660793636</v>
      </c>
      <c r="U9959" s="38" t="n">
        <f aca="false">SUMPRODUCT(--(Sens!$R$9923:$AA$9923=2026-cip_lag),Sens!$R$9956:$AA$9956)-Sens!$U$9958</f>
        <v>5.04730479196242</v>
      </c>
      <c r="V9959" s="38" t="n">
        <f aca="false">SUMPRODUCT(--(Sens!$R$9923:$AA$9923=2027-cip_lag),Sens!$R$9956:$AA$9956)-Sens!$V$9958</f>
        <v>7.24592107794548</v>
      </c>
      <c r="W9959" s="38" t="n">
        <f aca="false">SUMPRODUCT(--(Sens!$R$9923:$AA$9923=2028-cip_lag),Sens!$R$9956:$AA$9956)-Sens!$W$9958</f>
        <v>0</v>
      </c>
      <c r="X9959" s="38" t="n">
        <f aca="false">SUMPRODUCT(--(Sens!$R$9923:$AA$9923=2029-cip_lag),Sens!$R$9956:$AA$9956)-Sens!$X$9958</f>
        <v>0</v>
      </c>
      <c r="Y9959" s="38" t="n">
        <f aca="false">SUMPRODUCT(--(Sens!$R$9923:$AA$9923=2030-cip_lag),Sens!$R$9956:$AA$9956)-Sens!$Y$9958</f>
        <v>0</v>
      </c>
      <c r="Z9959" s="38" t="n">
        <f aca="false">SUMPRODUCT(--(Sens!$R$9923:$AA$9923=2031-cip_lag),Sens!$R$9956:$AA$9956)-Sens!$Z$9958</f>
        <v>0</v>
      </c>
      <c r="AA9959" s="38" t="n">
        <f aca="false">SUMPRODUCT(--(Sens!$R$9923:$AA$9923=2032-cip_lag),Sens!$R$9956:$AA$9956)-Sens!$AA$9958</f>
        <v>0</v>
      </c>
    </row>
    <row r="9960" customFormat="false" ht="17.15" hidden="false" customHeight="false" outlineLevel="0" collapsed="false">
      <c r="A9960" s="5" t="s">
        <v>645</v>
      </c>
      <c r="B9960" s="0" t="s">
        <v>86</v>
      </c>
      <c r="C9960" s="38" t="n">
        <f aca="false">Sens!$C$9955*Sens!$C$9952</f>
        <v>8.2530642</v>
      </c>
      <c r="D9960" s="38" t="n">
        <f aca="false">Sens!$D$9955*Sens!$D$9952</f>
        <v>37.1387889</v>
      </c>
      <c r="E9960" s="38" t="n">
        <f aca="false">Sens!$E$9955*Sens!$E$9952</f>
        <v>25.7897792</v>
      </c>
      <c r="F9960" s="38" t="n">
        <f aca="false">Sens!$F$9955*Sens!$F$9952</f>
        <v>67.4948715189913</v>
      </c>
      <c r="G9960" s="38" t="n">
        <f aca="false">Sens!$E$9960+Sens!$F$9960</f>
        <v>93.2846507189913</v>
      </c>
      <c r="H9960" s="38" t="n">
        <f aca="false">(Sens!$H$9955-Sens!$H$9954)*Sens!$H$9952+Sens!$H$9954</f>
        <v>152.52478394475</v>
      </c>
      <c r="I9960" s="38" t="n">
        <f aca="false">(Sens!$I$9955-Sens!$I$9954)*Sens!$I$9952+Sens!$I$9954</f>
        <v>158.5998889105</v>
      </c>
      <c r="J9960" s="38" t="n">
        <f aca="false">(Sens!$J$9955-Sens!$J$9954)*Sens!$J$9952+Sens!$J$9954</f>
        <v>163.8366571105</v>
      </c>
      <c r="K9960" s="38" t="n">
        <f aca="false">(Sens!$K$9955-Sens!$K$9954)*Sens!$K$9952+Sens!$K$9954</f>
        <v>124.818399140157</v>
      </c>
      <c r="L9960" s="38" t="n">
        <f aca="false">(Sens!$L$9955-Sens!$L$9954)*Sens!$L$9952+Sens!$L$9954</f>
        <v>117.220750369813</v>
      </c>
      <c r="M9960" s="38" t="n">
        <f aca="false">(Sens!$M$9955-Sens!$M$9954)*Sens!$M$9952+Sens!$M$9954</f>
        <v>133.06418525472</v>
      </c>
      <c r="R9960" s="38" t="n">
        <f aca="false">Sens!$R$9955*Sens!$C$9952</f>
        <v>1.09927679019314</v>
      </c>
      <c r="S9960" s="38" t="n">
        <f aca="false">Sens!$C$9960</f>
        <v>8.2530642</v>
      </c>
      <c r="T9960" s="38" t="n">
        <f aca="false">Sens!$D$9960</f>
        <v>37.1387889</v>
      </c>
      <c r="U9960" s="38" t="n">
        <f aca="false">Sens!$G$9960</f>
        <v>93.2846507189913</v>
      </c>
      <c r="V9960" s="38" t="n">
        <f aca="false">Sens!$H$9960</f>
        <v>152.52478394475</v>
      </c>
      <c r="W9960" s="38" t="n">
        <f aca="false">Sens!$I$9960</f>
        <v>158.5998889105</v>
      </c>
      <c r="X9960" s="38" t="n">
        <f aca="false">Sens!$J$9960</f>
        <v>163.8366571105</v>
      </c>
      <c r="Y9960" s="38" t="n">
        <f aca="false">Sens!$K$9960</f>
        <v>124.818399140157</v>
      </c>
      <c r="Z9960" s="38" t="n">
        <f aca="false">Sens!$L$9960</f>
        <v>117.220750369813</v>
      </c>
      <c r="AA9960" s="38" t="n">
        <f aca="false">Sens!$M$9960</f>
        <v>133.06418525472</v>
      </c>
    </row>
    <row r="9961" customFormat="false" ht="15" hidden="false" customHeight="false" outlineLevel="0" collapsed="false">
      <c r="A9961" s="5" t="s">
        <v>646</v>
      </c>
      <c r="B9961" s="0" t="s">
        <v>86</v>
      </c>
      <c r="C9961" s="38" t="n">
        <f aca="false">Sens!$C$9955-Sens!$C$9960</f>
        <v>3.0408</v>
      </c>
      <c r="D9961" s="38" t="n">
        <f aca="false">Sens!$D$9955-Sens!$D$9960</f>
        <v>13.6836</v>
      </c>
      <c r="E9961" s="38" t="n">
        <f aca="false">Sens!$E$9955-Sens!$E$9960</f>
        <v>8.1088</v>
      </c>
      <c r="F9961" s="38" t="n">
        <f aca="false">Sens!$F$9955-Sens!$F$9960</f>
        <v>21.2216789422221</v>
      </c>
      <c r="G9961" s="38" t="n">
        <f aca="false">Sens!$G$9955-Sens!$G$9960</f>
        <v>29.3304789422221</v>
      </c>
      <c r="H9961" s="38" t="n">
        <f aca="false">Sens!$H$9955-Sens!$H$9960</f>
        <v>46.046581</v>
      </c>
      <c r="I9961" s="38" t="n">
        <f aca="false">Sens!$I$9955-Sens!$I$9960</f>
        <v>46.046581</v>
      </c>
      <c r="J9961" s="38" t="n">
        <f aca="false">Sens!$J$9955-Sens!$J$9960</f>
        <v>46.046581</v>
      </c>
      <c r="K9961" s="38" t="n">
        <f aca="false">Sens!$K$9955-Sens!$K$9960</f>
        <v>33.1979424466667</v>
      </c>
      <c r="L9961" s="38" t="n">
        <f aca="false">Sens!$L$9955-Sens!$L$9960</f>
        <v>20.3493038933333</v>
      </c>
      <c r="M9961" s="38" t="n">
        <f aca="false">Sens!$M$9955-Sens!$M$9960</f>
        <v>7.50066534000001</v>
      </c>
      <c r="R9961" s="38" t="n">
        <f aca="false">Sens!$R$9955-Sens!$R$9960</f>
        <v>0.405023005106309</v>
      </c>
      <c r="S9961" s="38" t="n">
        <f aca="false">Sens!$S$9955-Sens!$S$9960</f>
        <v>3.0408</v>
      </c>
      <c r="T9961" s="38" t="n">
        <f aca="false">Sens!$T$9955-Sens!$T$9960</f>
        <v>13.6836</v>
      </c>
      <c r="U9961" s="38" t="n">
        <f aca="false">Sens!$U$9955-Sens!$U$9960</f>
        <v>29.3304789422221</v>
      </c>
      <c r="V9961" s="38" t="n">
        <f aca="false">Sens!$V$9955-Sens!$V$9960</f>
        <v>46.046581</v>
      </c>
      <c r="W9961" s="38" t="n">
        <f aca="false">Sens!$W$9955-Sens!$W$9960</f>
        <v>46.046581</v>
      </c>
      <c r="X9961" s="38" t="n">
        <f aca="false">Sens!$X$9955-Sens!$X$9960</f>
        <v>46.046581</v>
      </c>
      <c r="Y9961" s="38" t="n">
        <f aca="false">Sens!$Y$9955-Sens!$Y$9960</f>
        <v>33.1979424466667</v>
      </c>
      <c r="Z9961" s="38" t="n">
        <f aca="false">Sens!$Z$9955-Sens!$Z$9960</f>
        <v>20.3493038933333</v>
      </c>
      <c r="AA9961" s="38" t="n">
        <f aca="false">Sens!$AA$9955-Sens!$AA$9960</f>
        <v>7.50066534000001</v>
      </c>
    </row>
    <row r="9962" customFormat="false" ht="17.15" hidden="false" customHeight="false" outlineLevel="0" collapsed="false">
      <c r="A9962" s="0" t="s">
        <v>647</v>
      </c>
      <c r="B9962" s="0" t="s">
        <v>52</v>
      </c>
      <c r="C9962" s="13" t="n">
        <f aca="false">Sens!$C$9953/Sens!$C$10078</f>
        <v>0.325505489553393</v>
      </c>
      <c r="D9962" s="13" t="n">
        <f aca="false">Sens!$D$9953/Sens!$D$10078</f>
        <v>0.54214956071542</v>
      </c>
      <c r="E9962" s="13" t="n">
        <f aca="false">Sens!$E$9953/Sens!$E$10078</f>
        <v>0.666492790452817</v>
      </c>
      <c r="F9962" s="13" t="n">
        <f aca="false">Sens!$F$9953/Sens!$F$10078</f>
        <v>0.71724917504417</v>
      </c>
      <c r="G9962" s="13" t="n">
        <f aca="false">Sens!$G$9953/Sens!$G$10078</f>
        <v>0.69502941413511</v>
      </c>
      <c r="H9962" s="13" t="n">
        <f aca="false">Sens!$H$9953/Sens!$H$10078</f>
        <v>0.726376041178204</v>
      </c>
      <c r="I9962" s="13" t="n">
        <f aca="false">Sens!$I$9953/Sens!$I$10078</f>
        <v>0.713099092661699</v>
      </c>
      <c r="J9962" s="13" t="n">
        <f aca="false">Sens!$J$9953/Sens!$J$10078</f>
        <v>0.701208348786245</v>
      </c>
      <c r="K9962" s="13" t="n">
        <f aca="false">Sens!$K$9953/Sens!$K$10078</f>
        <v>0.622515721629545</v>
      </c>
      <c r="L9962" s="13" t="n">
        <f aca="false">Sens!$L$9953/Sens!$L$10078</f>
        <v>0.572606741433048</v>
      </c>
      <c r="M9962" s="13" t="n">
        <f aca="false">Sens!$M$9953/Sens!$M$10078</f>
        <v>0.560855994905929</v>
      </c>
    </row>
    <row r="9963" customFormat="false" ht="17.15" hidden="false" customHeight="false" outlineLevel="0" collapsed="false">
      <c r="A9963" s="0" t="s">
        <v>648</v>
      </c>
      <c r="B9963" s="0" t="s">
        <v>86</v>
      </c>
      <c r="C9963" s="38" t="n">
        <f aca="false">Sens!$S$9963</f>
        <v>0.183212798365523</v>
      </c>
      <c r="D9963" s="38" t="n">
        <f aca="false">Sens!$T$9963</f>
        <v>1.55872349836552</v>
      </c>
      <c r="E9963" s="38" t="n">
        <f aca="false">Sens!$G$9963/2</f>
        <v>4.72585036583285</v>
      </c>
      <c r="F9963" s="38" t="n">
        <f aca="false">Sens!$G$9963/2</f>
        <v>4.72585036583285</v>
      </c>
      <c r="G9963" s="38" t="n">
        <f aca="false">Sens!$U$9963</f>
        <v>9.4517007316657</v>
      </c>
      <c r="H9963" s="38" t="n">
        <f aca="false">Sens!$V$9963</f>
        <v>27.2822988413376</v>
      </c>
      <c r="I9963" s="38" t="n">
        <f aca="false">Sens!$W$9963</f>
        <v>56.5439995605568</v>
      </c>
      <c r="J9963" s="38" t="n">
        <f aca="false">Sens!$X$9963</f>
        <v>82.9773143789735</v>
      </c>
      <c r="K9963" s="38" t="n">
        <f aca="false">Sens!$Y$9963</f>
        <v>110.100211099025</v>
      </c>
      <c r="L9963" s="38" t="n">
        <f aca="false">Sens!$Z$9963</f>
        <v>129.527766922384</v>
      </c>
      <c r="M9963" s="38" t="n">
        <f aca="false">Sens!$AA$9963</f>
        <v>141.171581417386</v>
      </c>
      <c r="N9963" s="38" t="n">
        <f aca="false">Sens!$D$9963/2</f>
        <v>0.779361749182762</v>
      </c>
      <c r="O9963" s="38" t="n">
        <f aca="false">Sens!$D$9963/2</f>
        <v>0.779361749182762</v>
      </c>
      <c r="R9963" s="38" t="n">
        <f aca="false">(SUMPRODUCT(--(Sens!$R$9923:$AA$9923&lt;Sens!R$9923),--(Sens!$R$9923:$AA$9923&gt;=Sens!R$9923-tk_life),Sens!$R$9960:$AA$9960)+SUMPRODUCT(--(Sens!$R$9923:$AA$9923&lt;Sens!R$9923),--(Sens!$R$9923:$AA$9923&gt;=Sens!R$9923-tk_life),Sens!$R$9958:$AA$9958))/tk_life</f>
        <v>0</v>
      </c>
      <c r="S9963" s="38" t="n">
        <f aca="false">(SUMPRODUCT(--(Sens!$R$9923:$AA$9923&lt;Sens!S$9923),--(Sens!$R$9923:$AA$9923&gt;=Sens!S$9923-tk_life),Sens!$R$9960:$AA$9960)+SUMPRODUCT(--(Sens!$R$9923:$AA$9923&lt;Sens!S$9923),--(Sens!$R$9923:$AA$9923&gt;=Sens!S$9923-tk_life),Sens!$R$9958:$AA$9958))/tk_life</f>
        <v>0.183212798365523</v>
      </c>
      <c r="T9963" s="38" t="n">
        <f aca="false">(SUMPRODUCT(--(Sens!$R$9923:$AA$9923&lt;Sens!T$9923),--(Sens!$R$9923:$AA$9923&gt;=Sens!T$9923-tk_life),Sens!$R$9960:$AA$9960)+SUMPRODUCT(--(Sens!$R$9923:$AA$9923&lt;Sens!T$9923),--(Sens!$R$9923:$AA$9923&gt;=Sens!T$9923-tk_life),Sens!$R$9958:$AA$9958))/tk_life</f>
        <v>1.55872349836552</v>
      </c>
      <c r="U9963" s="38" t="n">
        <f aca="false">(SUMPRODUCT(--(Sens!$R$9923:$AA$9923&lt;Sens!U$9923),--(Sens!$R$9923:$AA$9923&gt;=Sens!U$9923-tk_life),Sens!$R$9960:$AA$9960)+SUMPRODUCT(--(Sens!$R$9923:$AA$9923&lt;Sens!U$9923),--(Sens!$R$9923:$AA$9923&gt;=Sens!U$9923-tk_life),Sens!$R$9958:$AA$9958))/tk_life</f>
        <v>9.4517007316657</v>
      </c>
      <c r="V9963" s="38" t="n">
        <f aca="false">(SUMPRODUCT(--(Sens!$R$9923:$AA$9923&lt;Sens!V$9923),--(Sens!$R$9923:$AA$9923&gt;=Sens!V$9923-tk_life),Sens!$R$9960:$AA$9960)+SUMPRODUCT(--(Sens!$R$9923:$AA$9923&lt;Sens!V$9923),--(Sens!$R$9923:$AA$9923&gt;=Sens!V$9923-tk_life),Sens!$R$9958:$AA$9958))/tk_life</f>
        <v>27.2822988413376</v>
      </c>
      <c r="W9963" s="38" t="n">
        <f aca="false">(SUMPRODUCT(--(Sens!$R$9923:$AA$9923&lt;Sens!W$9923),--(Sens!$R$9923:$AA$9923&gt;=Sens!W$9923-tk_life),Sens!$R$9960:$AA$9960)+SUMPRODUCT(--(Sens!$R$9923:$AA$9923&lt;Sens!W$9923),--(Sens!$R$9923:$AA$9923&gt;=Sens!W$9923-tk_life),Sens!$R$9958:$AA$9958))/tk_life</f>
        <v>56.5439995605568</v>
      </c>
      <c r="X9963" s="38" t="n">
        <f aca="false">(SUMPRODUCT(--(Sens!$R$9923:$AA$9923&lt;Sens!X$9923),--(Sens!$R$9923:$AA$9923&gt;=Sens!X$9923-tk_life),Sens!$R$9960:$AA$9960)+SUMPRODUCT(--(Sens!$R$9923:$AA$9923&lt;Sens!X$9923),--(Sens!$R$9923:$AA$9923&gt;=Sens!X$9923-tk_life),Sens!$R$9958:$AA$9958))/tk_life</f>
        <v>82.9773143789735</v>
      </c>
      <c r="Y9963" s="38" t="n">
        <f aca="false">(SUMPRODUCT(--(Sens!$R$9923:$AA$9923&lt;Sens!Y$9923),--(Sens!$R$9923:$AA$9923&gt;=Sens!Y$9923-tk_life),Sens!$R$9960:$AA$9960)+SUMPRODUCT(--(Sens!$R$9923:$AA$9923&lt;Sens!Y$9923),--(Sens!$R$9923:$AA$9923&gt;=Sens!Y$9923-tk_life),Sens!$R$9958:$AA$9958))/tk_life</f>
        <v>110.100211099025</v>
      </c>
      <c r="Z9963" s="38" t="n">
        <f aca="false">(SUMPRODUCT(--(Sens!$R$9923:$AA$9923&lt;Sens!Z$9923),--(Sens!$R$9923:$AA$9923&gt;=Sens!Z$9923-tk_life),Sens!$R$9960:$AA$9960)+SUMPRODUCT(--(Sens!$R$9923:$AA$9923&lt;Sens!Z$9923),--(Sens!$R$9923:$AA$9923&gt;=Sens!Z$9923-tk_life),Sens!$R$9958:$AA$9958))/tk_life</f>
        <v>129.527766922384</v>
      </c>
      <c r="AA9963" s="38" t="n">
        <f aca="false">(SUMPRODUCT(--(Sens!$R$9923:$AA$9923&lt;Sens!AA$9923),--(Sens!$R$9923:$AA$9923&gt;=Sens!AA$9923-tk_life),Sens!$R$9960:$AA$9960)+SUMPRODUCT(--(Sens!$R$9923:$AA$9923&lt;Sens!AA$9923),--(Sens!$R$9923:$AA$9923&gt;=Sens!AA$9923-tk_life),Sens!$R$9958:$AA$9958))/tk_life</f>
        <v>141.171581417386</v>
      </c>
    </row>
    <row r="9964" customFormat="false" ht="17.15" hidden="false" customHeight="false" outlineLevel="0" collapsed="false">
      <c r="A9964" s="0" t="s">
        <v>649</v>
      </c>
      <c r="B9964" s="0" t="s">
        <v>86</v>
      </c>
      <c r="C9964" s="38" t="n">
        <f aca="false">Sens!$S$9964</f>
        <v>0.0202511502553155</v>
      </c>
      <c r="D9964" s="38" t="n">
        <f aca="false">Sens!$T$9964</f>
        <v>0.172291150255315</v>
      </c>
      <c r="E9964" s="38" t="n">
        <f aca="false">Sens!$G$9964/2</f>
        <v>0.522364740326067</v>
      </c>
      <c r="F9964" s="38" t="n">
        <f aca="false">Sens!$G$9964/2</f>
        <v>0.522364740326067</v>
      </c>
      <c r="G9964" s="38" t="n">
        <f aca="false">Sens!$U$9964</f>
        <v>1.04472948065213</v>
      </c>
      <c r="H9964" s="38" t="n">
        <f aca="false">Sens!$V$9964</f>
        <v>2.76361866736136</v>
      </c>
      <c r="I9964" s="38" t="n">
        <f aca="false">Sens!$W$9964</f>
        <v>5.42824377125863</v>
      </c>
      <c r="J9964" s="38" t="n">
        <f aca="false">Sens!$X$9964</f>
        <v>7.73057282125864</v>
      </c>
      <c r="K9964" s="38" t="n">
        <f aca="false">Sens!$Y$9964</f>
        <v>10.0329018712586</v>
      </c>
      <c r="L9964" s="38" t="n">
        <f aca="false">Sens!$Z$9964</f>
        <v>11.692798993592</v>
      </c>
      <c r="M9964" s="38" t="n">
        <f aca="false">Sens!$AA$9964</f>
        <v>12.7102641882586</v>
      </c>
      <c r="N9964" s="38" t="n">
        <f aca="false">Sens!$D$9964/2</f>
        <v>0.0861455751276577</v>
      </c>
      <c r="O9964" s="38" t="n">
        <f aca="false">Sens!$D$9964/2</f>
        <v>0.0861455751276577</v>
      </c>
      <c r="R9964" s="38" t="n">
        <f aca="false">(SUMPRODUCT(--(Sens!$R$9923:$AA$9923&lt;Sens!R$9923),Sens!$R$9961:$AA$9961)+SUMPRODUCT(--(Sens!$R$9923:$AA$9923&lt;Sens!R$9923),Sens!$R$9959:$AA$9959))/fac_life</f>
        <v>0</v>
      </c>
      <c r="S9964" s="38" t="n">
        <f aca="false">(SUMPRODUCT(--(Sens!$R$9923:$AA$9923&lt;Sens!S$9923),Sens!$R$9961:$AA$9961)+SUMPRODUCT(--(Sens!$R$9923:$AA$9923&lt;Sens!S$9923),Sens!$R$9959:$AA$9959))/fac_life</f>
        <v>0.0202511502553155</v>
      </c>
      <c r="T9964" s="38" t="n">
        <f aca="false">(SUMPRODUCT(--(Sens!$R$9923:$AA$9923&lt;Sens!T$9923),Sens!$R$9961:$AA$9961)+SUMPRODUCT(--(Sens!$R$9923:$AA$9923&lt;Sens!T$9923),Sens!$R$9959:$AA$9959))/fac_life</f>
        <v>0.172291150255315</v>
      </c>
      <c r="U9964" s="38" t="n">
        <f aca="false">(SUMPRODUCT(--(Sens!$R$9923:$AA$9923&lt;Sens!U$9923),Sens!$R$9961:$AA$9961)+SUMPRODUCT(--(Sens!$R$9923:$AA$9923&lt;Sens!U$9923),Sens!$R$9959:$AA$9959))/fac_life</f>
        <v>1.04472948065213</v>
      </c>
      <c r="V9964" s="38" t="n">
        <f aca="false">(SUMPRODUCT(--(Sens!$R$9923:$AA$9923&lt;Sens!V$9923),Sens!$R$9961:$AA$9961)+SUMPRODUCT(--(Sens!$R$9923:$AA$9923&lt;Sens!V$9923),Sens!$R$9959:$AA$9959))/fac_life</f>
        <v>2.76361866736136</v>
      </c>
      <c r="W9964" s="38" t="n">
        <f aca="false">(SUMPRODUCT(--(Sens!$R$9923:$AA$9923&lt;Sens!W$9923),Sens!$R$9961:$AA$9961)+SUMPRODUCT(--(Sens!$R$9923:$AA$9923&lt;Sens!W$9923),Sens!$R$9959:$AA$9959))/fac_life</f>
        <v>5.42824377125863</v>
      </c>
      <c r="X9964" s="38" t="n">
        <f aca="false">(SUMPRODUCT(--(Sens!$R$9923:$AA$9923&lt;Sens!X$9923),Sens!$R$9961:$AA$9961)+SUMPRODUCT(--(Sens!$R$9923:$AA$9923&lt;Sens!X$9923),Sens!$R$9959:$AA$9959))/fac_life</f>
        <v>7.73057282125864</v>
      </c>
      <c r="Y9964" s="38" t="n">
        <f aca="false">(SUMPRODUCT(--(Sens!$R$9923:$AA$9923&lt;Sens!Y$9923),Sens!$R$9961:$AA$9961)+SUMPRODUCT(--(Sens!$R$9923:$AA$9923&lt;Sens!Y$9923),Sens!$R$9959:$AA$9959))/fac_life</f>
        <v>10.0329018712586</v>
      </c>
      <c r="Z9964" s="38" t="n">
        <f aca="false">(SUMPRODUCT(--(Sens!$R$9923:$AA$9923&lt;Sens!Z$9923),Sens!$R$9961:$AA$9961)+SUMPRODUCT(--(Sens!$R$9923:$AA$9923&lt;Sens!Z$9923),Sens!$R$9959:$AA$9959))/fac_life</f>
        <v>11.692798993592</v>
      </c>
      <c r="AA9964" s="38" t="n">
        <f aca="false">(SUMPRODUCT(--(Sens!$R$9923:$AA$9923&lt;Sens!AA$9923),Sens!$R$9961:$AA$9961)+SUMPRODUCT(--(Sens!$R$9923:$AA$9923&lt;Sens!AA$9923),Sens!$R$9959:$AA$9959))/fac_life</f>
        <v>12.7102641882586</v>
      </c>
    </row>
    <row r="9965" customFormat="false" ht="17.15" hidden="false" customHeight="false" outlineLevel="0" collapsed="false">
      <c r="A9965" s="1" t="s">
        <v>650</v>
      </c>
      <c r="B9965" s="8" t="s">
        <v>86</v>
      </c>
      <c r="C9965" s="38" t="n">
        <f aca="false">Sens!$C$9963+Sens!$C$9964</f>
        <v>0.203463948620839</v>
      </c>
      <c r="D9965" s="38" t="n">
        <f aca="false">Sens!$D$9963+Sens!$D$9964</f>
        <v>1.73101464862084</v>
      </c>
      <c r="E9965" s="38" t="n">
        <f aca="false">Sens!$E$9963+Sens!$E$9964</f>
        <v>5.24821510615892</v>
      </c>
      <c r="F9965" s="38" t="n">
        <f aca="false">Sens!$F$9963+Sens!$F$9964</f>
        <v>5.24821510615892</v>
      </c>
      <c r="G9965" s="38" t="n">
        <f aca="false">Sens!$G$9963+Sens!$G$9964</f>
        <v>10.4964302123178</v>
      </c>
      <c r="H9965" s="38" t="n">
        <f aca="false">Sens!$H$9963+Sens!$H$9964</f>
        <v>30.045917508699</v>
      </c>
      <c r="I9965" s="38" t="n">
        <f aca="false">Sens!$I$9963+Sens!$I$9964</f>
        <v>61.9722433318155</v>
      </c>
      <c r="J9965" s="38" t="n">
        <f aca="false">Sens!$J$9963+Sens!$J$9964</f>
        <v>90.7078872002321</v>
      </c>
      <c r="K9965" s="38" t="n">
        <f aca="false">Sens!$K$9963+Sens!$K$9964</f>
        <v>120.133112970283</v>
      </c>
      <c r="L9965" s="38" t="n">
        <f aca="false">Sens!$L$9963+Sens!$L$9964</f>
        <v>141.220565915976</v>
      </c>
      <c r="M9965" s="38" t="n">
        <f aca="false">Sens!$M$9963+Sens!$M$9964</f>
        <v>153.881845605645</v>
      </c>
      <c r="N9965" s="38" t="n">
        <f aca="false">Sens!$N$9963+Sens!$N$9964</f>
        <v>0.865507324310419</v>
      </c>
      <c r="O9965" s="38" t="n">
        <f aca="false">Sens!$O$9963+Sens!$O$9964</f>
        <v>0.865507324310419</v>
      </c>
      <c r="R9965" s="38" t="n">
        <f aca="false">Sens!$R$9963+Sens!$R$9964</f>
        <v>0</v>
      </c>
      <c r="S9965" s="38" t="n">
        <f aca="false">Sens!$S$9963+Sens!$S$9964</f>
        <v>0.203463948620839</v>
      </c>
      <c r="T9965" s="38" t="n">
        <f aca="false">Sens!$T$9963+Sens!$T$9964</f>
        <v>1.73101464862084</v>
      </c>
      <c r="U9965" s="38" t="n">
        <f aca="false">Sens!$U$9963+Sens!$U$9964</f>
        <v>10.4964302123178</v>
      </c>
      <c r="V9965" s="38" t="n">
        <f aca="false">Sens!$V$9963+Sens!$V$9964</f>
        <v>30.045917508699</v>
      </c>
      <c r="W9965" s="38" t="n">
        <f aca="false">Sens!$W$9963+Sens!$W$9964</f>
        <v>61.9722433318155</v>
      </c>
      <c r="X9965" s="38" t="n">
        <f aca="false">Sens!$X$9963+Sens!$X$9964</f>
        <v>90.7078872002321</v>
      </c>
      <c r="Y9965" s="38" t="n">
        <f aca="false">Sens!$Y$9963+Sens!$Y$9964</f>
        <v>120.133112970283</v>
      </c>
      <c r="Z9965" s="38" t="n">
        <f aca="false">Sens!$Z$9963+Sens!$Z$9964</f>
        <v>141.220565915976</v>
      </c>
      <c r="AA9965" s="38" t="n">
        <f aca="false">Sens!$AA$9963+Sens!$AA$9964</f>
        <v>153.881845605645</v>
      </c>
    </row>
    <row r="9966" customFormat="false" ht="17.15" hidden="false" customHeight="false" outlineLevel="0" collapsed="false">
      <c r="A9966" s="0" t="s">
        <v>651</v>
      </c>
      <c r="B9966" s="0" t="s">
        <v>86</v>
      </c>
      <c r="C9966" s="38" t="n">
        <f aca="false">Sens!$S$9966</f>
        <v>26.578941154416</v>
      </c>
      <c r="D9966" s="38" t="n">
        <f aca="false">Sens!$T$9966</f>
        <v>94.4165581367978</v>
      </c>
      <c r="G9966" s="38" t="n">
        <f aca="false">Sens!$U$9966</f>
        <v>236.826599034204</v>
      </c>
      <c r="H9966" s="38" t="n">
        <f aca="false">Sens!$V$9966</f>
        <v>405.352046470255</v>
      </c>
      <c r="I9966" s="38" t="n">
        <f aca="false">Sens!$W$9966</f>
        <v>548.02627304894</v>
      </c>
      <c r="J9966" s="38" t="n">
        <f aca="false">Sens!$X$9966</f>
        <v>667.201623959208</v>
      </c>
      <c r="K9966" s="38" t="n">
        <f aca="false">Sens!$Y$9966</f>
        <v>705.084852575748</v>
      </c>
      <c r="L9966" s="38" t="n">
        <f aca="false">Sens!$Z$9966</f>
        <v>701.434340922918</v>
      </c>
      <c r="M9966" s="38" t="n">
        <f aca="false">Sens!$AA$9966</f>
        <v>688.117345911993</v>
      </c>
      <c r="R9966" s="38" t="n">
        <f aca="false">SUM(Sens!$R$9953:$R$9953)-SUM(Sens!$R$9965:$R$9965)</f>
        <v>1.50429979529945</v>
      </c>
      <c r="S9966" s="38" t="n">
        <f aca="false">SUM(Sens!$R$9953:$S$9953)-SUM(Sens!$R$9965:$S$9965)</f>
        <v>26.578941154416</v>
      </c>
      <c r="T9966" s="38" t="n">
        <f aca="false">SUM(Sens!$R$9953:$T$9953)-SUM(Sens!$R$9965:$T$9965)</f>
        <v>94.4165581367978</v>
      </c>
      <c r="U9966" s="38" t="n">
        <f aca="false">SUM(Sens!$R$9953:$U$9953)-SUM(Sens!$R$9965:$U$9965)</f>
        <v>236.826599034204</v>
      </c>
      <c r="V9966" s="38" t="n">
        <f aca="false">SUM(Sens!$R$9953:$V$9953)-SUM(Sens!$R$9965:$V$9965)</f>
        <v>405.352046470255</v>
      </c>
      <c r="W9966" s="38" t="n">
        <f aca="false">SUM(Sens!$R$9953:$W$9953)-SUM(Sens!$R$9965:$W$9965)</f>
        <v>548.02627304894</v>
      </c>
      <c r="X9966" s="38" t="n">
        <f aca="false">SUM(Sens!$R$9953:$X$9953)-SUM(Sens!$R$9965:$X$9965)</f>
        <v>667.201623959208</v>
      </c>
      <c r="Y9966" s="38" t="n">
        <f aca="false">SUM(Sens!$R$9953:$Y$9953)-SUM(Sens!$R$9965:$Y$9965)</f>
        <v>705.084852575748</v>
      </c>
      <c r="Z9966" s="38" t="n">
        <f aca="false">SUM(Sens!$R$9953:$Z$9953)-SUM(Sens!$R$9965:$Z$9965)</f>
        <v>701.434340922918</v>
      </c>
      <c r="AA9966" s="38" t="n">
        <f aca="false">SUM(Sens!$R$9953:$AA$9953)-SUM(Sens!$R$9965:$AA$9965)</f>
        <v>688.117345911993</v>
      </c>
    </row>
    <row r="9967" customFormat="false" ht="17.15" hidden="false" customHeight="false" outlineLevel="0" collapsed="false">
      <c r="A9967" s="1" t="s">
        <v>652</v>
      </c>
    </row>
    <row r="9968" customFormat="false" ht="17.15" hidden="false" customHeight="false" outlineLevel="0" collapsed="false">
      <c r="A9968" s="0" t="s">
        <v>653</v>
      </c>
      <c r="B9968" s="0" t="s">
        <v>86</v>
      </c>
      <c r="C9968" s="38" t="n">
        <f aca="false">Sens!$C$9944-ext_sh*Sens!$C$9946</f>
        <v>1.80694998843362</v>
      </c>
      <c r="D9968" s="38" t="n">
        <f aca="false">Sens!$D$9944-ext_sh*Sens!$D$9946</f>
        <v>6.77606245662607</v>
      </c>
      <c r="E9968" s="38" t="n">
        <f aca="false">Sens!$E$9944-ext_sh*Sens!$E$9946</f>
        <v>6.62548329092326</v>
      </c>
      <c r="F9968" s="38" t="n">
        <f aca="false">Sens!$F$9944-ext_sh*Sens!$F$9946</f>
        <v>11.7200577158706</v>
      </c>
      <c r="G9968" s="38" t="n">
        <f aca="false">Sens!$G$9944-ext_sh*Sens!$G$9946</f>
        <v>18.3455410067939</v>
      </c>
      <c r="H9968" s="38" t="n">
        <f aca="false">Sens!$H$9944-ext_sh*Sens!$H$9946</f>
        <v>47.5171727060453</v>
      </c>
      <c r="I9968" s="38" t="n">
        <f aca="false">Sens!$I$9944-ext_sh*Sens!$I$9946</f>
        <v>80.5539692643667</v>
      </c>
      <c r="J9968" s="38" t="n">
        <f aca="false">Sens!$J$9944-ext_sh*Sens!$J$9946</f>
        <v>113.759316834883</v>
      </c>
      <c r="K9968" s="38" t="n">
        <f aca="false">Sens!$K$9944-ext_sh*Sens!$K$9946</f>
        <v>142.313600225088</v>
      </c>
      <c r="L9968" s="38" t="n">
        <f aca="false">Sens!$L$9944-ext_sh*Sens!$L$9946</f>
        <v>161.610137806934</v>
      </c>
      <c r="M9968" s="38" t="n">
        <f aca="false">Sens!$M$9944-ext_sh*Sens!$M$9946</f>
        <v>171.622526917459</v>
      </c>
      <c r="N9968" s="38" t="n">
        <f aca="false">Sens!$N$9944-ext_sh*Sens!$N$9946</f>
        <v>2.37162185981912</v>
      </c>
      <c r="O9968" s="38" t="n">
        <f aca="false">Sens!$O$9944-ext_sh*Sens!$O$9946</f>
        <v>4.40444059680694</v>
      </c>
    </row>
    <row r="9969" customFormat="false" ht="17.15" hidden="false" customHeight="false" outlineLevel="0" collapsed="false">
      <c r="A9969" s="1" t="s">
        <v>654</v>
      </c>
      <c r="B9969" s="8" t="s">
        <v>86</v>
      </c>
      <c r="C9969" s="38" t="n">
        <f aca="false">Sens!$C$9968-ext_sh*Sens!$C$9965</f>
        <v>1.64417882953695</v>
      </c>
      <c r="D9969" s="38" t="n">
        <f aca="false">Sens!$D$9968-ext_sh*Sens!$D$9965</f>
        <v>5.39125073772939</v>
      </c>
      <c r="E9969" s="38" t="n">
        <f aca="false">Sens!$E$9968-ext_sh*Sens!$E$9965</f>
        <v>2.42691120599613</v>
      </c>
      <c r="F9969" s="38" t="n">
        <f aca="false">Sens!$F$9968-ext_sh*Sens!$F$9965</f>
        <v>7.52148563094346</v>
      </c>
      <c r="G9969" s="38" t="n">
        <f aca="false">Sens!$G$9968-ext_sh*Sens!$G$9965</f>
        <v>9.94839683693959</v>
      </c>
      <c r="H9969" s="38" t="n">
        <f aca="false">Sens!$H$9968-ext_sh*Sens!$H$9965</f>
        <v>23.4804386990861</v>
      </c>
      <c r="I9969" s="38" t="n">
        <f aca="false">Sens!$I$9968-ext_sh*Sens!$I$9965</f>
        <v>30.9761745989143</v>
      </c>
      <c r="J9969" s="38" t="n">
        <f aca="false">Sens!$J$9968-ext_sh*Sens!$J$9965</f>
        <v>41.1930070746977</v>
      </c>
      <c r="K9969" s="38" t="n">
        <f aca="false">Sens!$K$9968-ext_sh*Sens!$K$9965</f>
        <v>46.207109848861</v>
      </c>
      <c r="L9969" s="38" t="n">
        <f aca="false">Sens!$L$9968-ext_sh*Sens!$L$9965</f>
        <v>48.6336850741534</v>
      </c>
      <c r="M9969" s="38" t="n">
        <f aca="false">Sens!$M$9968-ext_sh*Sens!$M$9965</f>
        <v>48.5170504329428</v>
      </c>
      <c r="N9969" s="38" t="n">
        <f aca="false">Sens!$N$9968-ext_sh*Sens!$N$9965</f>
        <v>1.67921600037079</v>
      </c>
      <c r="O9969" s="38" t="n">
        <f aca="false">Sens!$O$9968-ext_sh*Sens!$O$9965</f>
        <v>3.71203473735861</v>
      </c>
    </row>
    <row r="9970" customFormat="false" ht="17.15" hidden="false" customHeight="false" outlineLevel="0" collapsed="false">
      <c r="A9970" s="0" t="s">
        <v>655</v>
      </c>
      <c r="B9970" s="0" t="s">
        <v>52</v>
      </c>
      <c r="C9970" s="13" t="n">
        <f aca="false">Sens!$C$9969/Sens!$C$9944</f>
        <v>0.708390794789371</v>
      </c>
      <c r="D9970" s="13" t="n">
        <f aca="false">Sens!$D$9969/Sens!$D$9944</f>
        <v>0.619415573115729</v>
      </c>
      <c r="E9970" s="13" t="n">
        <f aca="false">Sens!$E$9969/Sens!$E$9944</f>
        <v>0.285171627189009</v>
      </c>
      <c r="F9970" s="13" t="n">
        <f aca="false">Sens!$F$9969/Sens!$F$9944</f>
        <v>0.502657732812366</v>
      </c>
      <c r="G9970" s="13" t="n">
        <f aca="false">Sens!$G$9969/Sens!$G$9944</f>
        <v>0.423808778611812</v>
      </c>
      <c r="H9970" s="13" t="n">
        <f aca="false">Sens!$H$9969/Sens!$H$9944</f>
        <v>0.390261631739809</v>
      </c>
      <c r="I9970" s="13" t="n">
        <f aca="false">Sens!$I$9969/Sens!$I$9944</f>
        <v>0.305172864264572</v>
      </c>
      <c r="J9970" s="13" t="n">
        <f aca="false">Sens!$J$9969/Sens!$J$9944</f>
        <v>0.288011814789856</v>
      </c>
      <c r="K9970" s="13" t="n">
        <f aca="false">Sens!$K$9969/Sens!$K$9944</f>
        <v>0.258524307562373</v>
      </c>
      <c r="L9970" s="13" t="n">
        <f aca="false">Sens!$L$9969/Sens!$L$9944</f>
        <v>0.23973400446073</v>
      </c>
      <c r="M9970" s="13" t="n">
        <f aca="false">Sens!$M$9969/Sens!$M$9944</f>
        <v>0.225252234257832</v>
      </c>
      <c r="N9970" s="13" t="n">
        <f aca="false">Sens!$N$9969/Sens!$N$9944</f>
        <v>0.551227795793364</v>
      </c>
      <c r="O9970" s="13" t="n">
        <f aca="false">Sens!$O$9969/Sens!$O$9944</f>
        <v>0.656132068597002</v>
      </c>
    </row>
    <row r="9971" customFormat="false" ht="17.15" hidden="false" customHeight="false" outlineLevel="0" collapsed="false">
      <c r="A9971" s="5" t="s">
        <v>656</v>
      </c>
      <c r="B9971" s="0" t="s">
        <v>86</v>
      </c>
      <c r="C9971" s="39" t="n">
        <v>0</v>
      </c>
      <c r="D9971" s="39" t="n">
        <v>0</v>
      </c>
      <c r="E9971" s="39" t="n">
        <v>0</v>
      </c>
      <c r="F9971" s="38" t="n">
        <f aca="false">IF(internal_ai_reading=2,1,0)*(1-ext_sh)/ext_sh*(mw_open*he_open+Sens!$F$9942*Sens!$F$9939)*Sens!$F$9928/1000</f>
        <v>3.77122048175818</v>
      </c>
      <c r="G9971" s="38" t="n">
        <f aca="false">Sens!$E$9971+Sens!$F$9971</f>
        <v>3.77122048175818</v>
      </c>
      <c r="H9971" s="38" t="n">
        <f aca="false">IF(internal_ai_reading=2,1,0)*(1-ext_sh)/ext_sh*(mw_open*he_open+Sens!$H$9942*Sens!$H$9939)*Sens!$H$9928/1000</f>
        <v>15.1635543609893</v>
      </c>
      <c r="I9971" s="38" t="n">
        <f aca="false">IF(internal_ai_reading=2,1,0)*(1-ext_sh)/ext_sh*(mw_open*he_open+Sens!$I$9942*Sens!$I$9939)*Sens!$I$9928/1000</f>
        <v>25.5818843619889</v>
      </c>
      <c r="J9971" s="38" t="n">
        <f aca="false">IF(internal_ai_reading=2,1,0)*(1-ext_sh)/ext_sh*(mw_open*he_open+Sens!$J$9942*Sens!$J$9939)*Sens!$J$9928/1000</f>
        <v>36.0465624179122</v>
      </c>
      <c r="K9971" s="38" t="n">
        <f aca="false">IF(internal_ai_reading=2,1,0)*(1-ext_sh)/ext_sh*(mw_open*he_open+Sens!$K$9942*Sens!$K$9939)*Sens!$K$9928/1000</f>
        <v>45.0461919819152</v>
      </c>
      <c r="L9971" s="38" t="n">
        <f aca="false">IF(internal_ai_reading=2,1,0)*(1-ext_sh)/ext_sh*(mw_open*he_open+Sens!$L$9942*Sens!$L$9939)*Sens!$L$9928/1000</f>
        <v>51.1279288493339</v>
      </c>
      <c r="M9971" s="38" t="n">
        <f aca="false">IF(internal_ai_reading=2,1,0)*(1-ext_sh)/ext_sh*(mw_open*he_open+Sens!$M$9942*Sens!$M$9939)*Sens!$M$9928/1000</f>
        <v>54.2845128319481</v>
      </c>
      <c r="N9971" s="39" t="n">
        <v>0</v>
      </c>
      <c r="O9971" s="39" t="n">
        <v>0</v>
      </c>
      <c r="P9971" s="8" t="s">
        <v>657</v>
      </c>
    </row>
    <row r="9972" customFormat="false" ht="17.15" hidden="false" customHeight="false" outlineLevel="0" collapsed="false">
      <c r="A9972" s="5" t="s">
        <v>658</v>
      </c>
      <c r="B9972" s="0" t="s">
        <v>86</v>
      </c>
      <c r="C9972" s="38" t="n">
        <f aca="false">(1-ext_sh)*(Sens!$C$9946+Sens!$C$9965)</f>
        <v>0.169206631859174</v>
      </c>
      <c r="D9972" s="38" t="n">
        <f aca="false">(1-ext_sh)*(Sens!$D$9946+Sens!$D$9965)</f>
        <v>0.828129837730442</v>
      </c>
      <c r="E9972" s="38" t="n">
        <f aca="false">(1-ext_sh)*(Sens!$E$9946+Sens!$E$9965)</f>
        <v>1.52086044239347</v>
      </c>
      <c r="F9972" s="38" t="n">
        <f aca="false">(1-ext_sh)*(Sens!$F$9946+Sens!$F$9965)</f>
        <v>1.86048700344425</v>
      </c>
      <c r="G9972" s="38" t="n">
        <f aca="false">(1-ext_sh)*(Sens!$G$9946+Sens!$G$9965)</f>
        <v>3.38134744583772</v>
      </c>
      <c r="H9972" s="38" t="n">
        <f aca="false">(1-ext_sh)*(Sens!$H$9946+Sens!$H$9965)</f>
        <v>9.17136301267211</v>
      </c>
      <c r="I9972" s="38" t="n">
        <f aca="false">(1-ext_sh)*(Sens!$I$9946+Sens!$I$9965)</f>
        <v>17.6318811343794</v>
      </c>
      <c r="J9972" s="38" t="n">
        <f aca="false">(1-ext_sh)*(Sens!$J$9946+Sens!$J$9965)</f>
        <v>25.4581000191451</v>
      </c>
      <c r="K9972" s="38" t="n">
        <f aca="false">(1-ext_sh)*(Sens!$K$9946+Sens!$K$9965)</f>
        <v>33.1317479328898</v>
      </c>
      <c r="L9972" s="38" t="n">
        <f aca="false">(1-ext_sh)*(Sens!$L$9946+Sens!$L$9965)</f>
        <v>38.557876971622</v>
      </c>
      <c r="M9972" s="38" t="n">
        <f aca="false">(1-ext_sh)*(Sens!$M$9946+Sens!$M$9965)</f>
        <v>41.718205978256</v>
      </c>
      <c r="N9972" s="38" t="n">
        <f aca="false">(1-ext_sh)*(Sens!$N$9946+Sens!$N$9965)</f>
        <v>0.34177588266428</v>
      </c>
      <c r="O9972" s="38" t="n">
        <f aca="false">(1-ext_sh)*(Sens!$O$9946+Sens!$O$9965)</f>
        <v>0.486353955066162</v>
      </c>
    </row>
    <row r="9973" customFormat="false" ht="17.15" hidden="false" customHeight="false" outlineLevel="0" collapsed="false">
      <c r="A9973" s="0" t="s">
        <v>659</v>
      </c>
      <c r="B9973" s="0" t="s">
        <v>86</v>
      </c>
      <c r="C9973" s="38" t="n">
        <f aca="false">Q!$D$24</f>
        <v>39.834</v>
      </c>
      <c r="D9973" s="38" t="n">
        <f aca="false">Q!$E$24</f>
        <v>45.606</v>
      </c>
      <c r="E9973" s="38" t="n">
        <f aca="false">Q!$P$24</f>
        <v>30.782</v>
      </c>
      <c r="N9973" s="38" t="n">
        <f aca="false">Q!$N$24</f>
        <v>21.707</v>
      </c>
      <c r="O9973" s="38" t="n">
        <f aca="false">Q!$O$24</f>
        <v>23.899</v>
      </c>
    </row>
    <row r="9974" customFormat="false" ht="17.15" hidden="false" customHeight="false" outlineLevel="0" collapsed="false">
      <c r="A9974" s="0" t="s">
        <v>660</v>
      </c>
      <c r="B9974" s="0" t="s">
        <v>86</v>
      </c>
      <c r="C9974" s="38" t="n">
        <f aca="false">Sens!$C$9973-Sens!$C$9969</f>
        <v>38.1898211704631</v>
      </c>
      <c r="D9974" s="38" t="n">
        <f aca="false">Sens!$D$9973-Sens!$D$9969</f>
        <v>40.2147492622706</v>
      </c>
      <c r="E9974" s="38" t="n">
        <f aca="false">Sens!$E$9973-Sens!$E$9969</f>
        <v>28.3550887940039</v>
      </c>
      <c r="F9974" s="38" t="n">
        <f aca="false">Sens!$F$9948*Sens!$F$9975</f>
        <v>25.9529793149447</v>
      </c>
      <c r="G9974" s="38" t="n">
        <f aca="false">Sens!$E$9974+Sens!$F$9974</f>
        <v>54.3080681089486</v>
      </c>
      <c r="H9974" s="38" t="n">
        <f aca="false">Sens!$H$9948*Sens!$H$9975</f>
        <v>58.2264684589333</v>
      </c>
      <c r="I9974" s="38" t="n">
        <f aca="false">Sens!$I$9948*Sens!$I$9975</f>
        <v>64.6461353851744</v>
      </c>
      <c r="J9974" s="38" t="n">
        <f aca="false">Sens!$J$9948*Sens!$J$9975</f>
        <v>70.7957093610231</v>
      </c>
      <c r="K9974" s="38" t="n">
        <f aca="false">Sens!$K$9948*Sens!$K$9975</f>
        <v>76.4593661099049</v>
      </c>
      <c r="L9974" s="38" t="n">
        <f aca="false">Sens!$L$9948*Sens!$L$9975</f>
        <v>82.5761153986973</v>
      </c>
      <c r="M9974" s="38" t="n">
        <f aca="false">Sens!$M$9948*Sens!$M$9975</f>
        <v>89.1822046305931</v>
      </c>
      <c r="N9974" s="38" t="n">
        <f aca="false">Sens!$N$9973-Sens!$N$9969</f>
        <v>20.0277839996292</v>
      </c>
      <c r="O9974" s="38" t="n">
        <f aca="false">Sens!$O$9973-Sens!$O$9969</f>
        <v>20.1869652626414</v>
      </c>
      <c r="P9974" s="5" t="s">
        <v>661</v>
      </c>
    </row>
    <row r="9975" customFormat="false" ht="17.15" hidden="false" customHeight="false" outlineLevel="0" collapsed="false">
      <c r="A9975" s="0" t="s">
        <v>662</v>
      </c>
      <c r="B9975" s="0" t="s">
        <v>52</v>
      </c>
      <c r="C9975" s="13" t="n">
        <f aca="false">Sens!$C$9974/Sens!$C$9948</f>
        <v>0.362900395443635</v>
      </c>
      <c r="D9975" s="13" t="n">
        <f aca="false">Sens!$D$9974/Sens!$D$9948</f>
        <v>0.335063632425483</v>
      </c>
      <c r="E9975" s="13" t="n">
        <f aca="false">Sens!$E$9974/Sens!$E$9948</f>
        <v>0.397638855555478</v>
      </c>
      <c r="F9975" s="13" t="n">
        <f aca="false">(Sens!$O$9974+Sens!$E$9974)/(Sens!$O$9948+Sens!$E$9948)</f>
        <v>0.361616727338133</v>
      </c>
      <c r="G9975" s="13" t="n">
        <f aca="false">Sens!$G$9974/Sens!$G$9948</f>
        <v>0.379569803149143</v>
      </c>
      <c r="H9975" s="13" t="n">
        <f aca="false">Sens!$F$9975</f>
        <v>0.361616727338133</v>
      </c>
      <c r="I9975" s="13" t="n">
        <f aca="false">Sens!$F$9975</f>
        <v>0.361616727338133</v>
      </c>
      <c r="J9975" s="13" t="n">
        <f aca="false">Sens!$F$9975</f>
        <v>0.361616727338133</v>
      </c>
      <c r="K9975" s="13" t="n">
        <f aca="false">Sens!$F$9975</f>
        <v>0.361616727338133</v>
      </c>
      <c r="L9975" s="13" t="n">
        <f aca="false">Sens!$F$9975</f>
        <v>0.361616727338133</v>
      </c>
      <c r="M9975" s="13" t="n">
        <f aca="false">Sens!$F$9975</f>
        <v>0.361616727338133</v>
      </c>
      <c r="N9975" s="13" t="n">
        <f aca="false">Sens!$N$9974/Sens!$N$9948</f>
        <v>0.35078810535806</v>
      </c>
      <c r="O9975" s="13" t="n">
        <f aca="false">Sens!$O$9974/Sens!$O$9948</f>
        <v>0.320796939361619</v>
      </c>
      <c r="P9975" s="8" t="s">
        <v>663</v>
      </c>
    </row>
    <row r="9976" customFormat="false" ht="17.15" hidden="false" customHeight="false" outlineLevel="0" collapsed="false">
      <c r="A9976" s="0" t="s">
        <v>664</v>
      </c>
      <c r="B9976" s="0" t="s">
        <v>52</v>
      </c>
      <c r="D9976" s="13" t="n">
        <f aca="false">(Q!$E$31-ext_sh*Sens!$D$9965)/Sens!$D$9948</f>
        <v>0.167180325480118</v>
      </c>
    </row>
    <row r="9977" customFormat="false" ht="17.15" hidden="false" customHeight="false" outlineLevel="0" collapsed="false">
      <c r="A9977" s="0" t="s">
        <v>665</v>
      </c>
      <c r="B9977" s="0" t="s">
        <v>86</v>
      </c>
      <c r="C9977" s="38" t="n">
        <f aca="false">Q!$D$31</f>
        <v>13.32</v>
      </c>
      <c r="D9977" s="38" t="n">
        <f aca="false">Q!$E$31</f>
        <v>21.45</v>
      </c>
      <c r="E9977" s="38" t="n">
        <f aca="false">Q!$P$31</f>
        <v>15.353</v>
      </c>
      <c r="F9977" s="38" t="n">
        <f aca="false">ext_sh*Sens!$F$9965+Sens!$D$9976*Sens!$F$9948</f>
        <v>16.1969869840094</v>
      </c>
      <c r="G9977" s="38" t="n">
        <f aca="false">Sens!$E$9977+Sens!$F$9977</f>
        <v>31.5499869840094</v>
      </c>
      <c r="H9977" s="38" t="n">
        <f aca="false">ext_sh*Sens!$H$9965+Sens!$D$9976*Sens!$H$9948</f>
        <v>50.9556213609176</v>
      </c>
      <c r="I9977" s="38" t="n">
        <f aca="false">ext_sh*Sens!$I$9965+Sens!$D$9976*Sens!$I$9948</f>
        <v>79.464581248252</v>
      </c>
      <c r="J9977" s="38" t="n">
        <f aca="false">ext_sh*Sens!$J$9965+Sens!$D$9976*Sens!$J$9948</f>
        <v>105.296127931746</v>
      </c>
      <c r="K9977" s="38" t="n">
        <f aca="false">ext_sh*Sens!$K$9965+Sens!$D$9976*Sens!$K$9948</f>
        <v>131.454694001511</v>
      </c>
      <c r="L9977" s="38" t="n">
        <f aca="false">ext_sh*Sens!$L$9965+Sens!$D$9976*Sens!$L$9948</f>
        <v>151.152512648088</v>
      </c>
      <c r="M9977" s="38" t="n">
        <f aca="false">ext_sh*Sens!$M$9965+Sens!$D$9976*Sens!$M$9948</f>
        <v>164.335621193048</v>
      </c>
      <c r="N9977" s="38" t="n">
        <f aca="false">Q!$N$31</f>
        <v>9.234</v>
      </c>
      <c r="O9977" s="38" t="n">
        <f aca="false">Q!$O$31</f>
        <v>12.216</v>
      </c>
    </row>
    <row r="9978" customFormat="false" ht="17.15" hidden="false" customHeight="false" outlineLevel="0" collapsed="false">
      <c r="A9978" s="1" t="s">
        <v>666</v>
      </c>
    </row>
    <row r="9979" customFormat="false" ht="17.15" hidden="false" customHeight="false" outlineLevel="0" collapsed="false">
      <c r="A9979" s="15" t="s">
        <v>667</v>
      </c>
      <c r="B9979" s="14" t="s">
        <v>52</v>
      </c>
      <c r="C9979" s="14"/>
      <c r="D9979" s="14"/>
      <c r="E9979" s="14"/>
      <c r="F9979" s="14"/>
      <c r="G9979" s="17" t="n">
        <f aca="false">Sens!$G$9969*(1-tax)/(ext_sh*(Sens!$D$9966+Sens!$G$9966)/2)</f>
        <v>0.0620504069546486</v>
      </c>
      <c r="H9979" s="17" t="n">
        <f aca="false">Sens!$H$9969*(1-tax)/(ext_sh*(Sens!$G$9966+Sens!$H$9966)/2)</f>
        <v>0.0755420551527686</v>
      </c>
      <c r="I9979" s="17" t="n">
        <f aca="false">Sens!$I$9969*(1-tax)/(ext_sh*(Sens!$H$9966+Sens!$I$9966)/2)</f>
        <v>0.067127575356291</v>
      </c>
      <c r="J9979" s="17" t="n">
        <f aca="false">Sens!$J$9969*(1-tax)/(ext_sh*(Sens!$I$9966+Sens!$J$9966)/2)</f>
        <v>0.0700332392906535</v>
      </c>
      <c r="K9979" s="17" t="n">
        <f aca="false">Sens!$K$9969*(1-tax)/(ext_sh*(Sens!$J$9966+Sens!$K$9966)/2)</f>
        <v>0.0695668710800853</v>
      </c>
      <c r="L9979" s="17" t="n">
        <f aca="false">Sens!$L$9969*(1-tax)/(ext_sh*(Sens!$K$9966+Sens!$L$9966)/2)</f>
        <v>0.0714381112936418</v>
      </c>
      <c r="M9979" s="17" t="n">
        <f aca="false">Sens!$M$9969*(1-tax)/(ext_sh*(Sens!$L$9966+Sens!$M$9966)/2)</f>
        <v>0.0721370093325208</v>
      </c>
      <c r="N9979" s="14"/>
      <c r="O9979" s="14"/>
      <c r="P9979" s="8" t="s">
        <v>668</v>
      </c>
    </row>
    <row r="9980" customFormat="false" ht="17.15" hidden="false" customHeight="false" outlineLevel="0" collapsed="false">
      <c r="A9980" s="5" t="s">
        <v>669</v>
      </c>
      <c r="B9980" s="0" t="s">
        <v>57</v>
      </c>
      <c r="H9980" s="36" t="n">
        <f aca="false">Sens!$H$9944*1000/(mw_open*he_open+Sens!$H$9942*Sens!$H$9939)</f>
        <v>0.991949006767191</v>
      </c>
      <c r="I9980" s="36" t="n">
        <f aca="false">Sens!$I$9944*1000/(mw_open*he_open+Sens!$I$9942*Sens!$I$9939)</f>
        <v>0.991949006767191</v>
      </c>
      <c r="J9980" s="36" t="n">
        <f aca="false">Sens!$J$9944*1000/(mw_open*he_open+Sens!$J$9942*Sens!$J$9939)</f>
        <v>0.991949006767191</v>
      </c>
      <c r="K9980" s="36" t="n">
        <f aca="false">Sens!$K$9944*1000/(mw_open*he_open+Sens!$K$9942*Sens!$K$9939)</f>
        <v>0.991949006767191</v>
      </c>
      <c r="L9980" s="36" t="n">
        <f aca="false">Sens!$L$9944*1000/(mw_open*he_open+Sens!$L$9942*Sens!$L$9939)</f>
        <v>0.991949006767191</v>
      </c>
      <c r="M9980" s="36" t="n">
        <f aca="false">Sens!$M$9944*1000/(mw_open*he_open+Sens!$M$9942*Sens!$M$9939)</f>
        <v>0.991949006767191</v>
      </c>
    </row>
    <row r="9981" customFormat="false" ht="17.15" hidden="false" customHeight="false" outlineLevel="0" collapsed="false">
      <c r="A9981" s="5" t="s">
        <v>670</v>
      </c>
      <c r="B9981" s="0" t="s">
        <v>57</v>
      </c>
      <c r="H9981" s="36" t="n">
        <f aca="false">Sens!$H$9980*(Sens!$H$9944+wacc*ext_sh*(Sens!$G$9966+Sens!$H$9966)/2/(1-tax)-Sens!$H$9969)/Sens!$H$9944</f>
        <v>1.18542857552197</v>
      </c>
      <c r="I9981" s="36" t="n">
        <f aca="false">Sens!$I$9980*(Sens!$I$9944+wacc*ext_sh*(Sens!$H$9966+Sens!$I$9966)/2/(1-tax)-Sens!$I$9969)/Sens!$I$9944</f>
        <v>1.20015476648903</v>
      </c>
      <c r="J9981" s="36" t="n">
        <f aca="false">Sens!$J$9980*(Sens!$J$9944+wacc*ext_sh*(Sens!$I$9966+Sens!$J$9966)/2/(1-tax)-Sens!$J$9969)/Sens!$J$9944</f>
        <v>1.16844056931249</v>
      </c>
      <c r="K9981" s="36" t="n">
        <f aca="false">Sens!$K$9980*(Sens!$K$9944+wacc*ext_sh*(Sens!$J$9966+Sens!$K$9966)/2/(1-tax)-Sens!$K$9969)/Sens!$K$9944</f>
        <v>1.15315204268353</v>
      </c>
      <c r="L9981" s="36" t="n">
        <f aca="false">Sens!$L$9980*(Sens!$L$9944+wacc*ext_sh*(Sens!$K$9966+Sens!$L$9966)/2/(1-tax)-Sens!$L$9969)/Sens!$L$9944</f>
        <v>1.13129070638505</v>
      </c>
      <c r="M9981" s="36" t="n">
        <f aca="false">Sens!$M$9980*(Sens!$M$9944+wacc*ext_sh*(Sens!$L$9966+Sens!$M$9966)/2/(1-tax)-Sens!$M$9969)/Sens!$M$9944</f>
        <v>1.11944016002355</v>
      </c>
    </row>
    <row r="9982" customFormat="false" ht="17.15" hidden="false" customHeight="false" outlineLevel="0" collapsed="false">
      <c r="A9982" s="5" t="s">
        <v>671</v>
      </c>
      <c r="B9982" s="0" t="s">
        <v>52</v>
      </c>
      <c r="C9982" s="13" t="n">
        <f aca="false">Sens!$C$9945/tk_pq</f>
        <v>0.195316432429398</v>
      </c>
      <c r="D9982" s="13" t="n">
        <f aca="false">Sens!$D$9945/tk_pq</f>
        <v>0.195316432429398</v>
      </c>
      <c r="E9982" s="13" t="n">
        <f aca="false">Sens!$E$9945/tk_pq</f>
        <v>0.195316432429398</v>
      </c>
      <c r="F9982" s="13" t="n">
        <f aca="false">Sens!$F$9945/tk_pq</f>
        <v>0.202241827274866</v>
      </c>
      <c r="G9982" s="13" t="n">
        <f aca="false">Sens!$G$9945/tk_pq</f>
        <v>0.199675016194063</v>
      </c>
      <c r="H9982" s="13" t="n">
        <f aca="false">Sens!$H$9945/tk_pq</f>
        <v>0.212647947710325</v>
      </c>
      <c r="I9982" s="13" t="n">
        <f aca="false">Sens!$I$9945/tk_pq</f>
        <v>0.219285125475351</v>
      </c>
      <c r="J9982" s="13" t="n">
        <f aca="false">Sens!$J$9945/tk_pq</f>
        <v>0.222492493217189</v>
      </c>
      <c r="K9982" s="13" t="n">
        <f aca="false">Sens!$K$9945/tk_pq</f>
        <v>0.224068966220005</v>
      </c>
      <c r="L9982" s="13" t="n">
        <f aca="false">Sens!$L$9945/tk_pq</f>
        <v>0.224830053471997</v>
      </c>
      <c r="M9982" s="13" t="n">
        <f aca="false">Sens!$M$9945/tk_pq</f>
        <v>0.22513299704272</v>
      </c>
      <c r="N9982" s="13" t="n">
        <f aca="false">Sens!$N$9945/tk_pq</f>
        <v>0.195316432429398</v>
      </c>
      <c r="O9982" s="13" t="n">
        <f aca="false">Sens!$O$9945/tk_pq</f>
        <v>0.195316432429398</v>
      </c>
      <c r="P9982" s="5" t="s">
        <v>672</v>
      </c>
    </row>
    <row r="9985" customFormat="false" ht="17.15" hidden="false" customHeight="false" outlineLevel="0" collapsed="false">
      <c r="A9985" s="1" t="s">
        <v>701</v>
      </c>
    </row>
    <row r="9986" customFormat="false" ht="17.15" hidden="false" customHeight="false" outlineLevel="0" collapsed="false">
      <c r="A9986" s="0" t="s">
        <v>702</v>
      </c>
      <c r="B9986" s="0" t="s">
        <v>86</v>
      </c>
      <c r="C9986" s="38" t="n">
        <f aca="false">Sens!$C$9944</f>
        <v>2.32100535697364</v>
      </c>
      <c r="D9986" s="38" t="n">
        <f aca="false">Sens!$D$9944</f>
        <v>8.70377008865116</v>
      </c>
      <c r="E9986" s="38" t="n">
        <f aca="false">Sens!$E$9944</f>
        <v>8.51035297557002</v>
      </c>
      <c r="F9986" s="38" t="n">
        <f aca="false">Sens!$F$9944</f>
        <v>14.9634336447205</v>
      </c>
      <c r="G9986" s="38" t="n">
        <f aca="false">Sens!$G$9944</f>
        <v>23.4737866202905</v>
      </c>
      <c r="H9986" s="38" t="n">
        <f aca="false">Sens!$H$9944</f>
        <v>60.1658907497746</v>
      </c>
      <c r="I9986" s="38" t="n">
        <f aca="false">Sens!$I$9944</f>
        <v>101.503699136432</v>
      </c>
      <c r="J9986" s="38" t="n">
        <f aca="false">Sens!$J$9944</f>
        <v>143.025407151278</v>
      </c>
      <c r="K9986" s="38" t="n">
        <f aca="false">Sens!$K$9944</f>
        <v>178.73410158042</v>
      </c>
      <c r="L9986" s="38" t="n">
        <f aca="false">Sens!$L$9944</f>
        <v>202.865192960641</v>
      </c>
      <c r="M9986" s="38" t="n">
        <f aca="false">Sens!$M$9944</f>
        <v>215.389874345967</v>
      </c>
      <c r="N9986" s="38" t="n">
        <f aca="false">Sens!$N$9944</f>
        <v>3.04631953102791</v>
      </c>
      <c r="O9986" s="38" t="n">
        <f aca="false">Sens!$O$9944</f>
        <v>5.65745055762326</v>
      </c>
      <c r="P9986" s="8" t="s">
        <v>703</v>
      </c>
    </row>
    <row r="9987" customFormat="false" ht="17.15" hidden="false" customHeight="false" outlineLevel="0" collapsed="false">
      <c r="A9987" s="0" t="s">
        <v>704</v>
      </c>
      <c r="B9987" s="0" t="s">
        <v>86</v>
      </c>
      <c r="C9987" s="38" t="n">
        <f aca="false">Sens!$C$9948</f>
        <v>105.234994643026</v>
      </c>
      <c r="D9987" s="38" t="n">
        <f aca="false">Sens!$D$9948</f>
        <v>120.021229911349</v>
      </c>
      <c r="E9987" s="38" t="n">
        <f aca="false">Sens!$E$9948</f>
        <v>71.30864702443</v>
      </c>
      <c r="F9987" s="38" t="n">
        <f aca="false">Sens!$F$9948</f>
        <v>71.7692997942464</v>
      </c>
      <c r="G9987" s="38" t="n">
        <f aca="false">Sens!$G$9948</f>
        <v>143.077946818676</v>
      </c>
      <c r="H9987" s="38" t="n">
        <f aca="false">Sens!$H$9948</f>
        <v>161.017077079203</v>
      </c>
      <c r="I9987" s="38" t="n">
        <f aca="false">Sens!$I$9948</f>
        <v>178.769759521457</v>
      </c>
      <c r="J9987" s="38" t="n">
        <f aca="false">Sens!$J$9948</f>
        <v>195.775538045907</v>
      </c>
      <c r="K9987" s="38" t="n">
        <f aca="false">Sens!$K$9948</f>
        <v>211.43758108958</v>
      </c>
      <c r="L9987" s="38" t="n">
        <f aca="false">Sens!$L$9948</f>
        <v>228.352587576746</v>
      </c>
      <c r="M9987" s="38" t="n">
        <f aca="false">Sens!$M$9948</f>
        <v>246.620794582886</v>
      </c>
      <c r="N9987" s="38" t="n">
        <f aca="false">Sens!$N$9948</f>
        <v>57.0936804689721</v>
      </c>
      <c r="O9987" s="38" t="n">
        <f aca="false">Sens!$O$9948</f>
        <v>62.9275494423768</v>
      </c>
      <c r="P9987" s="8" t="s">
        <v>703</v>
      </c>
    </row>
    <row r="9988" customFormat="false" ht="17.15" hidden="false" customHeight="false" outlineLevel="0" collapsed="false">
      <c r="A9988" s="1" t="s">
        <v>523</v>
      </c>
      <c r="B9988" s="8" t="s">
        <v>86</v>
      </c>
      <c r="C9988" s="38" t="n">
        <f aca="false">Q!$D$7</f>
        <v>107.556</v>
      </c>
      <c r="D9988" s="38" t="n">
        <f aca="false">Q!$E$7</f>
        <v>128.725</v>
      </c>
      <c r="E9988" s="38" t="n">
        <f aca="false">Q!$P$7</f>
        <v>79.819</v>
      </c>
      <c r="F9988" s="38" t="n">
        <f aca="false">Sens!$F$9986+Sens!$F$9987</f>
        <v>86.7327334389669</v>
      </c>
      <c r="G9988" s="38" t="n">
        <f aca="false">Sens!$G$9986+Sens!$G$9987</f>
        <v>166.551733438967</v>
      </c>
      <c r="H9988" s="38" t="n">
        <f aca="false">Sens!$H$9986+Sens!$H$9987</f>
        <v>221.182967828978</v>
      </c>
      <c r="I9988" s="38" t="n">
        <f aca="false">Sens!$I$9986+Sens!$I$9987</f>
        <v>280.27345865789</v>
      </c>
      <c r="J9988" s="38" t="n">
        <f aca="false">Sens!$J$9986+Sens!$J$9987</f>
        <v>338.800945197185</v>
      </c>
      <c r="K9988" s="38" t="n">
        <f aca="false">Sens!$K$9986+Sens!$K$9987</f>
        <v>390.17168267</v>
      </c>
      <c r="L9988" s="38" t="n">
        <f aca="false">Sens!$L$9986+Sens!$L$9987</f>
        <v>431.217780537388</v>
      </c>
      <c r="M9988" s="38" t="n">
        <f aca="false">Sens!$M$9986+Sens!$M$9987</f>
        <v>462.010668928853</v>
      </c>
      <c r="N9988" s="38" t="n">
        <f aca="false">Q!$N$7</f>
        <v>60.14</v>
      </c>
      <c r="O9988" s="38" t="n">
        <f aca="false">Q!$O$7</f>
        <v>68.585</v>
      </c>
      <c r="P9988" s="5" t="s">
        <v>705</v>
      </c>
    </row>
    <row r="9989" customFormat="false" ht="15" hidden="false" customHeight="false" outlineLevel="0" collapsed="false">
      <c r="A9989" s="3" t="s">
        <v>706</v>
      </c>
      <c r="B9989" s="8" t="s">
        <v>86</v>
      </c>
      <c r="C9989" s="38" t="n">
        <f aca="false">Q!$D$8</f>
        <v>637.959</v>
      </c>
      <c r="D9989" s="38" t="n">
        <f aca="false">Q!$E$8</f>
        <v>716.924</v>
      </c>
      <c r="E9989" s="38" t="n">
        <f aca="false">Q!$P$8</f>
        <v>382.125</v>
      </c>
      <c r="F9989" s="38" t="n">
        <f aca="false">Sens!$F$9916+Sens!$F$9988</f>
        <v>435.780975084504</v>
      </c>
      <c r="G9989" s="38" t="n">
        <f aca="false">Sens!$G$9916+Sens!$G$9988</f>
        <v>817.905975084504</v>
      </c>
      <c r="H9989" s="38" t="n">
        <f aca="false">Sens!$H$9916+Sens!$H$9988</f>
        <v>942.279857350364</v>
      </c>
      <c r="I9989" s="38" t="n">
        <f aca="false">Sens!$I$9916+Sens!$I$9988</f>
        <v>1068.80284981042</v>
      </c>
      <c r="J9989" s="38" t="n">
        <f aca="false">Sens!$J$9916+Sens!$J$9988</f>
        <v>1189.90935093863</v>
      </c>
      <c r="K9989" s="38" t="n">
        <f aca="false">Sens!$K$9916+Sens!$K$9988</f>
        <v>1296.34813810109</v>
      </c>
      <c r="L9989" s="38" t="n">
        <f aca="false">Sens!$L$9916+Sens!$L$9988</f>
        <v>1396.31088701298</v>
      </c>
      <c r="M9989" s="38" t="n">
        <f aca="false">Sens!$M$9916+Sens!$M$9988</f>
        <v>1490.15857687574</v>
      </c>
      <c r="N9989" s="38" t="n">
        <f aca="false">Q!$N$8</f>
        <v>323.369</v>
      </c>
      <c r="O9989" s="38" t="n">
        <f aca="false">Q!$O$8</f>
        <v>393.555</v>
      </c>
    </row>
    <row r="9990" customFormat="false" ht="17.15" hidden="false" customHeight="false" outlineLevel="0" collapsed="false">
      <c r="A9990" s="24" t="s">
        <v>714</v>
      </c>
      <c r="B9990" s="25" t="s">
        <v>86</v>
      </c>
      <c r="C9990" s="41" t="n">
        <f aca="false">Sens!$C$9916-(Sens!$C$9918+Sens!$C$9919)</f>
        <v>0</v>
      </c>
      <c r="D9990" s="41" t="n">
        <f aca="false">Sens!$D$9916-(Sens!$D$9918+Sens!$D$9919)</f>
        <v>0</v>
      </c>
      <c r="E9990" s="41" t="n">
        <f aca="false">Sens!$E$9916-(Sens!$E$9918+Sens!$E$9919)</f>
        <v>0</v>
      </c>
      <c r="F9990" s="41" t="n">
        <f aca="false">Sens!$F$9916-(Sens!$F$9918+Sens!$F$9919)</f>
        <v>0</v>
      </c>
      <c r="G9990" s="41" t="n">
        <f aca="false">Sens!$G$9916-(Sens!$G$9918+Sens!$G$9919)</f>
        <v>0</v>
      </c>
      <c r="H9990" s="41" t="n">
        <f aca="false">Sens!$H$9916-(Sens!$H$9918+Sens!$H$9919)</f>
        <v>0</v>
      </c>
      <c r="I9990" s="41" t="n">
        <f aca="false">Sens!$I$9916-(Sens!$I$9918+Sens!$I$9919)</f>
        <v>0</v>
      </c>
      <c r="J9990" s="41" t="n">
        <f aca="false">Sens!$J$9916-(Sens!$J$9918+Sens!$J$9919)</f>
        <v>0</v>
      </c>
      <c r="K9990" s="41" t="n">
        <f aca="false">Sens!$K$9916-(Sens!$K$9918+Sens!$K$9919)</f>
        <v>0</v>
      </c>
      <c r="L9990" s="41" t="n">
        <f aca="false">Sens!$L$9916-(Sens!$L$9918+Sens!$L$9919)</f>
        <v>0</v>
      </c>
      <c r="M9990" s="41" t="n">
        <f aca="false">Sens!$M$9916-(Sens!$M$9918+Sens!$M$9919)</f>
        <v>0</v>
      </c>
      <c r="N9990" s="41" t="n">
        <f aca="false">Sens!$N$9916-(Sens!$N$9918+Sens!$N$9919)</f>
        <v>0</v>
      </c>
      <c r="O9990" s="41" t="n">
        <f aca="false">Sens!$O$9916-(Sens!$O$9918+Sens!$O$9919)</f>
        <v>0</v>
      </c>
    </row>
    <row r="9991" customFormat="false" ht="17.15" hidden="false" customHeight="false" outlineLevel="0" collapsed="false">
      <c r="A9991" s="24" t="s">
        <v>715</v>
      </c>
      <c r="B9991" s="25" t="s">
        <v>86</v>
      </c>
      <c r="C9991" s="41" t="n">
        <f aca="false">Sens!$C$9986+Sens!$C$9987-Sens!$C$9988</f>
        <v>0</v>
      </c>
      <c r="D9991" s="41" t="n">
        <f aca="false">Sens!$D$9986+Sens!$D$9987-Sens!$D$9988</f>
        <v>0</v>
      </c>
      <c r="E9991" s="41" t="n">
        <f aca="false">Sens!$E$9986+Sens!$E$9987-Sens!$E$9988</f>
        <v>0</v>
      </c>
      <c r="F9991" s="41" t="n">
        <f aca="false">Sens!$F$9986+Sens!$F$9987-Sens!$F$9988</f>
        <v>0</v>
      </c>
      <c r="G9991" s="41" t="n">
        <f aca="false">Sens!$G$9986+Sens!$G$9987-Sens!$G$9988</f>
        <v>0</v>
      </c>
      <c r="H9991" s="41" t="n">
        <f aca="false">Sens!$H$9986+Sens!$H$9987-Sens!$H$9988</f>
        <v>0</v>
      </c>
      <c r="I9991" s="41" t="n">
        <f aca="false">Sens!$I$9986+Sens!$I$9987-Sens!$I$9988</f>
        <v>0</v>
      </c>
      <c r="J9991" s="41" t="n">
        <f aca="false">Sens!$J$9986+Sens!$J$9987-Sens!$J$9988</f>
        <v>0</v>
      </c>
      <c r="K9991" s="41" t="n">
        <f aca="false">Sens!$K$9986+Sens!$K$9987-Sens!$K$9988</f>
        <v>0</v>
      </c>
      <c r="L9991" s="41" t="n">
        <f aca="false">Sens!$L$9986+Sens!$L$9987-Sens!$L$9988</f>
        <v>0</v>
      </c>
      <c r="M9991" s="41" t="n">
        <f aca="false">Sens!$M$9986+Sens!$M$9987-Sens!$M$9988</f>
        <v>0</v>
      </c>
      <c r="N9991" s="41" t="n">
        <f aca="false">Sens!$N$9986+Sens!$N$9987-Sens!$N$9988</f>
        <v>0</v>
      </c>
      <c r="O9991" s="41" t="n">
        <f aca="false">Sens!$O$9986+Sens!$O$9987-Sens!$O$9988</f>
        <v>0</v>
      </c>
    </row>
    <row r="9992" customFormat="false" ht="17.15" hidden="false" customHeight="false" outlineLevel="0" collapsed="false">
      <c r="A9992" s="24" t="s">
        <v>716</v>
      </c>
      <c r="B9992" s="25" t="s">
        <v>86</v>
      </c>
      <c r="C9992" s="41" t="n">
        <f aca="false">Sens!$C$9918+Sens!$C$9919+Sens!$C$9988-Sens!$C$9989</f>
        <v>0</v>
      </c>
      <c r="D9992" s="41" t="n">
        <f aca="false">Sens!$D$9918+Sens!$D$9919+Sens!$D$9988-Sens!$D$9989</f>
        <v>0</v>
      </c>
      <c r="E9992" s="41" t="n">
        <f aca="false">Sens!$E$9918+Sens!$E$9919+Sens!$E$9988-Sens!$E$9989</f>
        <v>0</v>
      </c>
      <c r="F9992" s="41" t="n">
        <f aca="false">Sens!$F$9918+Sens!$F$9919+Sens!$F$9988-Sens!$F$9989</f>
        <v>0</v>
      </c>
      <c r="G9992" s="41" t="n">
        <f aca="false">Sens!$G$9918+Sens!$G$9919+Sens!$G$9988-Sens!$G$9989</f>
        <v>0</v>
      </c>
      <c r="H9992" s="41" t="n">
        <f aca="false">Sens!$H$9918+Sens!$H$9919+Sens!$H$9988-Sens!$H$9989</f>
        <v>0</v>
      </c>
      <c r="I9992" s="41" t="n">
        <f aca="false">Sens!$I$9918+Sens!$I$9919+Sens!$I$9988-Sens!$I$9989</f>
        <v>0</v>
      </c>
      <c r="J9992" s="41" t="n">
        <f aca="false">Sens!$J$9918+Sens!$J$9919+Sens!$J$9988-Sens!$J$9989</f>
        <v>0</v>
      </c>
      <c r="K9992" s="41" t="n">
        <f aca="false">Sens!$K$9918+Sens!$K$9919+Sens!$K$9988-Sens!$K$9989</f>
        <v>0</v>
      </c>
      <c r="L9992" s="41" t="n">
        <f aca="false">Sens!$L$9918+Sens!$L$9919+Sens!$L$9988-Sens!$L$9989</f>
        <v>0</v>
      </c>
      <c r="M9992" s="41" t="n">
        <f aca="false">Sens!$M$9918+Sens!$M$9919+Sens!$M$9988-Sens!$M$9989</f>
        <v>0</v>
      </c>
      <c r="N9992" s="41" t="n">
        <f aca="false">Sens!$N$9918+Sens!$N$9919+Sens!$N$9988-Sens!$N$9989</f>
        <v>0</v>
      </c>
      <c r="O9992" s="41" t="n">
        <f aca="false">Sens!$O$9918+Sens!$O$9919+Sens!$O$9988-Sens!$O$9989</f>
        <v>0</v>
      </c>
    </row>
    <row r="9993" customFormat="false" ht="15" hidden="false" customHeight="false" outlineLevel="0" collapsed="false">
      <c r="A9993" s="5" t="s">
        <v>710</v>
      </c>
      <c r="B9993" s="0" t="s">
        <v>52</v>
      </c>
      <c r="G9993" s="13" t="n">
        <f aca="false">Sens!$G$9989/Sens!$D$9989-1</f>
        <v>0.140854504918937</v>
      </c>
      <c r="H9993" s="13" t="n">
        <f aca="false">Sens!$H$9989/Sens!$G$9989-1</f>
        <v>0.152063789793209</v>
      </c>
      <c r="I9993" s="13" t="n">
        <f aca="false">Sens!$I$9989/Sens!$H$9989-1</f>
        <v>0.134273264437417</v>
      </c>
      <c r="J9993" s="13" t="n">
        <f aca="false">Sens!$J$9989/Sens!$I$9989-1</f>
        <v>0.113310421234083</v>
      </c>
      <c r="K9993" s="13" t="n">
        <f aca="false">Sens!$K$9989/Sens!$J$9989-1</f>
        <v>0.0894511729641407</v>
      </c>
      <c r="L9993" s="13" t="n">
        <f aca="false">Sens!$L$9989/Sens!$K$9989-1</f>
        <v>0.077111036745358</v>
      </c>
      <c r="M9993" s="13" t="n">
        <f aca="false">Sens!$M$9989/Sens!$L$9989-1</f>
        <v>0.067211171047677</v>
      </c>
    </row>
    <row r="9994" customFormat="false" ht="17.15" hidden="false" customHeight="false" outlineLevel="0" collapsed="false">
      <c r="A9994" s="0" t="s">
        <v>711</v>
      </c>
      <c r="B9994" s="0" t="s">
        <v>52</v>
      </c>
      <c r="C9994" s="13" t="n">
        <f aca="false">Sens!$C$9988/Sens!$C$9989</f>
        <v>0.168593906504964</v>
      </c>
      <c r="D9994" s="13" t="n">
        <f aca="false">Sens!$D$9988/Sens!$D$9989</f>
        <v>0.179551807444025</v>
      </c>
      <c r="E9994" s="13" t="n">
        <f aca="false">Sens!$E$9988/Sens!$E$9989</f>
        <v>0.208881910369643</v>
      </c>
      <c r="F9994" s="13" t="n">
        <f aca="false">Sens!$F$9988/Sens!$F$9989</f>
        <v>0.199028269699356</v>
      </c>
      <c r="G9994" s="13" t="n">
        <f aca="false">Sens!$G$9988/Sens!$G$9989</f>
        <v>0.203631882529968</v>
      </c>
      <c r="H9994" s="13" t="n">
        <f aca="false">Sens!$H$9988/Sens!$H$9989</f>
        <v>0.234731715958496</v>
      </c>
      <c r="I9994" s="13" t="n">
        <f aca="false">Sens!$I$9988/Sens!$I$9989</f>
        <v>0.262231204480418</v>
      </c>
      <c r="J9994" s="13" t="n">
        <f aca="false">Sens!$J$9988/Sens!$J$9989</f>
        <v>0.284728366013706</v>
      </c>
      <c r="K9994" s="13" t="n">
        <f aca="false">Sens!$K$9988/Sens!$K$9989</f>
        <v>0.300977547004873</v>
      </c>
      <c r="L9994" s="13" t="n">
        <f aca="false">Sens!$L$9988/Sens!$L$9989</f>
        <v>0.308826483090639</v>
      </c>
      <c r="M9994" s="13" t="n">
        <f aca="false">Sens!$M$9988/Sens!$M$9989</f>
        <v>0.310041277551482</v>
      </c>
      <c r="N9994" s="13" t="n">
        <f aca="false">Sens!$N$9988/Sens!$N$9989</f>
        <v>0.185979484737251</v>
      </c>
      <c r="O9994" s="13" t="n">
        <f aca="false">Sens!$O$9988/Sens!$O$9989</f>
        <v>0.174270432341096</v>
      </c>
    </row>
    <row r="9995" customFormat="false" ht="17.15" hidden="false" customHeight="false" outlineLevel="0" collapsed="false">
      <c r="A9995" s="0" t="s">
        <v>712</v>
      </c>
      <c r="B9995" s="0" t="s">
        <v>52</v>
      </c>
      <c r="C9995" s="13" t="n">
        <f aca="false">Sens!$C$9986/Sens!$C$9988</f>
        <v>0.0215795060896058</v>
      </c>
      <c r="D9995" s="13" t="n">
        <f aca="false">Sens!$D$9986/Sens!$D$9988</f>
        <v>0.0676152269462122</v>
      </c>
      <c r="E9995" s="13" t="n">
        <f aca="false">Sens!$E$9986/Sens!$E$9988</f>
        <v>0.106620641395783</v>
      </c>
      <c r="F9995" s="13" t="n">
        <f aca="false">Sens!$F$9986/Sens!$F$9988</f>
        <v>0.172523487401099</v>
      </c>
      <c r="G9995" s="13" t="n">
        <f aca="false">Sens!$G$9986/Sens!$G$9988</f>
        <v>0.140939911795589</v>
      </c>
      <c r="H9995" s="13" t="n">
        <f aca="false">Sens!$H$9986/Sens!$H$9988</f>
        <v>0.272018642937714</v>
      </c>
      <c r="I9995" s="13" t="n">
        <f aca="false">Sens!$I$9986/Sens!$I$9988</f>
        <v>0.362159512436497</v>
      </c>
      <c r="J9995" s="13" t="n">
        <f aca="false">Sens!$J$9986/Sens!$J$9988</f>
        <v>0.422151735934609</v>
      </c>
      <c r="K9995" s="13" t="n">
        <f aca="false">Sens!$K$9986/Sens!$K$9988</f>
        <v>0.458090911050534</v>
      </c>
      <c r="L9995" s="13" t="n">
        <f aca="false">Sens!$L$9986/Sens!$L$9988</f>
        <v>0.470447189602963</v>
      </c>
      <c r="M9995" s="13" t="n">
        <f aca="false">Sens!$M$9986/Sens!$M$9988</f>
        <v>0.466201083289563</v>
      </c>
      <c r="N9995" s="13" t="n">
        <f aca="false">Sens!$N$9986/Sens!$N$9988</f>
        <v>0.0506537999838362</v>
      </c>
      <c r="O9995" s="13" t="n">
        <f aca="false">Sens!$O$9986/Sens!$O$9988</f>
        <v>0.0824881615167056</v>
      </c>
    </row>
    <row r="9998" customFormat="false" ht="19.4" hidden="false" customHeight="false" outlineLevel="0" collapsed="false">
      <c r="A9998" s="31" t="s">
        <v>1354</v>
      </c>
    </row>
    <row r="9999" customFormat="false" ht="17.15" hidden="false" customHeight="false" outlineLevel="0" collapsed="false">
      <c r="A9999" s="6" t="s">
        <v>16</v>
      </c>
      <c r="B9999" s="6" t="s">
        <v>17</v>
      </c>
      <c r="C9999" s="20" t="s">
        <v>504</v>
      </c>
      <c r="D9999" s="20" t="s">
        <v>505</v>
      </c>
      <c r="E9999" s="20" t="s">
        <v>587</v>
      </c>
      <c r="F9999" s="20" t="s">
        <v>588</v>
      </c>
      <c r="G9999" s="20" t="s">
        <v>589</v>
      </c>
      <c r="H9999" s="20" t="s">
        <v>590</v>
      </c>
      <c r="I9999" s="20" t="s">
        <v>591</v>
      </c>
      <c r="J9999" s="20" t="s">
        <v>592</v>
      </c>
      <c r="K9999" s="20" t="s">
        <v>593</v>
      </c>
      <c r="L9999" s="20" t="s">
        <v>594</v>
      </c>
      <c r="M9999" s="20" t="s">
        <v>595</v>
      </c>
      <c r="N9999" s="20" t="s">
        <v>596</v>
      </c>
      <c r="O9999" s="20" t="s">
        <v>597</v>
      </c>
      <c r="P9999" s="6" t="s">
        <v>23</v>
      </c>
      <c r="R9999" s="20" t="n">
        <v>2023</v>
      </c>
      <c r="S9999" s="20" t="n">
        <v>2024</v>
      </c>
      <c r="T9999" s="20" t="n">
        <v>2025</v>
      </c>
      <c r="U9999" s="20" t="n">
        <v>2026</v>
      </c>
      <c r="V9999" s="20" t="n">
        <v>2027</v>
      </c>
      <c r="W9999" s="20" t="n">
        <v>2028</v>
      </c>
      <c r="X9999" s="20" t="n">
        <v>2029</v>
      </c>
      <c r="Y9999" s="20" t="n">
        <v>2030</v>
      </c>
      <c r="Z9999" s="20" t="n">
        <v>2031</v>
      </c>
      <c r="AA9999" s="20" t="n">
        <v>2032</v>
      </c>
    </row>
    <row r="10000" customFormat="false" ht="17.15" hidden="false" customHeight="false" outlineLevel="0" collapsed="false">
      <c r="A10000" s="1" t="s">
        <v>727</v>
      </c>
    </row>
    <row r="10001" customFormat="false" ht="15" hidden="false" customHeight="false" outlineLevel="0" collapsed="false">
      <c r="A10001" s="0" t="s">
        <v>526</v>
      </c>
      <c r="B10001" s="0" t="s">
        <v>86</v>
      </c>
      <c r="C10001" s="38" t="n">
        <f aca="false">Sens!$C$9903</f>
        <v>247.029</v>
      </c>
      <c r="D10001" s="38" t="n">
        <f aca="false">Sens!$D$9903</f>
        <v>269.287</v>
      </c>
      <c r="E10001" s="38" t="n">
        <f aca="false">Sens!$E$9903</f>
        <v>134.686</v>
      </c>
      <c r="F10001" s="38" t="n">
        <f aca="false">Sens!$F$9903</f>
        <v>158.293876822267</v>
      </c>
      <c r="G10001" s="38" t="n">
        <f aca="false">Sens!$G$9903</f>
        <v>292.979876822267</v>
      </c>
      <c r="H10001" s="38" t="n">
        <f aca="false">Sens!$H$9903</f>
        <v>318.184543087396</v>
      </c>
      <c r="I10001" s="38" t="n">
        <f aca="false">Sens!$I$9903</f>
        <v>341.736278761793</v>
      </c>
      <c r="J10001" s="38" t="n">
        <f aca="false">Sens!$J$9903</f>
        <v>362.927192787048</v>
      </c>
      <c r="K10001" s="38" t="n">
        <f aca="false">Sens!$K$9903</f>
        <v>381.0735524264</v>
      </c>
      <c r="L10001" s="38" t="n">
        <f aca="false">Sens!$L$9903</f>
        <v>400.12723004772</v>
      </c>
      <c r="M10001" s="38" t="n">
        <f aca="false">Sens!$M$9903</f>
        <v>420.133591550106</v>
      </c>
      <c r="N10001" s="38" t="n">
        <f aca="false">Sens!$N$9903</f>
        <v>118.892</v>
      </c>
      <c r="O10001" s="38" t="n">
        <f aca="false">Sens!$O$9903</f>
        <v>150.395</v>
      </c>
    </row>
    <row r="10002" customFormat="false" ht="15" hidden="false" customHeight="false" outlineLevel="0" collapsed="false">
      <c r="A10002" s="0" t="s">
        <v>527</v>
      </c>
      <c r="B10002" s="0" t="s">
        <v>86</v>
      </c>
      <c r="C10002" s="38" t="n">
        <f aca="false">Sens!$C$9905</f>
        <v>21.215</v>
      </c>
      <c r="D10002" s="38" t="n">
        <f aca="false">Sens!$D$9905</f>
        <v>22.561</v>
      </c>
      <c r="E10002" s="38" t="n">
        <f aca="false">Sens!$E$9905</f>
        <v>11.579</v>
      </c>
      <c r="F10002" s="38" t="n">
        <f aca="false">Sens!$F$9905</f>
        <v>11.5938724610325</v>
      </c>
      <c r="G10002" s="38" t="n">
        <f aca="false">Sens!$G$9905</f>
        <v>23.1728724610325</v>
      </c>
      <c r="H10002" s="38" t="n">
        <f aca="false">Sens!$H$9905</f>
        <v>24.353392759506</v>
      </c>
      <c r="I10002" s="38" t="n">
        <f aca="false">Sens!$I$9905</f>
        <v>25.4240338872015</v>
      </c>
      <c r="J10002" s="38" t="n">
        <f aca="false">Sens!$J$9905</f>
        <v>26.3642491017174</v>
      </c>
      <c r="K10002" s="38" t="n">
        <f aca="false">Sens!$K$9905</f>
        <v>27.155176574769</v>
      </c>
      <c r="L10002" s="38" t="n">
        <f aca="false">Sens!$L$9905</f>
        <v>27.969831872012</v>
      </c>
      <c r="M10002" s="38" t="n">
        <f aca="false">Sens!$M$9905</f>
        <v>28.8089268281724</v>
      </c>
      <c r="N10002" s="38" t="n">
        <f aca="false">Sens!$N$9905</f>
        <v>11.128</v>
      </c>
      <c r="O10002" s="38" t="n">
        <f aca="false">Sens!$O$9905</f>
        <v>11.433</v>
      </c>
    </row>
    <row r="10003" customFormat="false" ht="15" hidden="false" customHeight="false" outlineLevel="0" collapsed="false">
      <c r="A10003" s="0" t="s">
        <v>528</v>
      </c>
      <c r="B10003" s="0" t="s">
        <v>86</v>
      </c>
      <c r="C10003" s="38" t="n">
        <f aca="false">Sens!$C$9907</f>
        <v>156.146</v>
      </c>
      <c r="D10003" s="38" t="n">
        <f aca="false">Sens!$D$9907</f>
        <v>172.162</v>
      </c>
      <c r="E10003" s="38" t="n">
        <f aca="false">Sens!$E$9907</f>
        <v>88.358</v>
      </c>
      <c r="F10003" s="38" t="n">
        <f aca="false">Sens!$F$9907</f>
        <v>102.004388260171</v>
      </c>
      <c r="G10003" s="38" t="n">
        <f aca="false">Sens!$G$9907</f>
        <v>190.362388260171</v>
      </c>
      <c r="H10003" s="38" t="n">
        <f aca="false">Sens!$H$9907</f>
        <v>210.343106588311</v>
      </c>
      <c r="I10003" s="38" t="n">
        <f aca="false">Sens!$I$9907</f>
        <v>229.969728494648</v>
      </c>
      <c r="J10003" s="38" t="n">
        <f aca="false">Sens!$J$9907</f>
        <v>248.747636972598</v>
      </c>
      <c r="K10003" s="38" t="n">
        <f aca="false">Sens!$K$9907</f>
        <v>266.15997156068</v>
      </c>
      <c r="L10003" s="38" t="n">
        <f aca="false">Sens!$L$9907</f>
        <v>284.791169569927</v>
      </c>
      <c r="M10003" s="38" t="n">
        <f aca="false">Sens!$M$9907</f>
        <v>304.726551439822</v>
      </c>
      <c r="N10003" s="38" t="n">
        <f aca="false">Sens!$N$9907</f>
        <v>76.86</v>
      </c>
      <c r="O10003" s="38" t="n">
        <f aca="false">Sens!$O$9907</f>
        <v>95.302</v>
      </c>
    </row>
    <row r="10004" customFormat="false" ht="15" hidden="false" customHeight="false" outlineLevel="0" collapsed="false">
      <c r="A10004" s="0" t="s">
        <v>529</v>
      </c>
      <c r="B10004" s="0" t="s">
        <v>86</v>
      </c>
      <c r="C10004" s="38" t="n">
        <f aca="false">Sens!$C$9909</f>
        <v>56.214</v>
      </c>
      <c r="D10004" s="38" t="n">
        <f aca="false">Sens!$D$9909</f>
        <v>68.635</v>
      </c>
      <c r="E10004" s="38" t="n">
        <f aca="false">Sens!$E$9909</f>
        <v>37.052</v>
      </c>
      <c r="F10004" s="38" t="n">
        <f aca="false">Sens!$F$9909</f>
        <v>46.1572219944148</v>
      </c>
      <c r="G10004" s="38" t="n">
        <f aca="false">Sens!$G$9909</f>
        <v>83.2092219944148</v>
      </c>
      <c r="H10004" s="38" t="n">
        <f aca="false">Sens!$H$9909</f>
        <v>99.8969223878976</v>
      </c>
      <c r="I10004" s="38" t="n">
        <f aca="false">Sens!$I$9909</f>
        <v>116.583111095496</v>
      </c>
      <c r="J10004" s="38" t="n">
        <f aca="false">Sens!$J$9909</f>
        <v>132.148941941952</v>
      </c>
      <c r="K10004" s="38" t="n">
        <f aca="false">Sens!$K$9909</f>
        <v>145.363836136147</v>
      </c>
      <c r="L10004" s="38" t="n">
        <f aca="false">Sens!$L$9909</f>
        <v>159.900219749762</v>
      </c>
      <c r="M10004" s="38" t="n">
        <f aca="false">Sens!$M$9909</f>
        <v>175.890241724738</v>
      </c>
      <c r="N10004" s="38" t="n">
        <f aca="false">Sens!$N$9909</f>
        <v>29.615</v>
      </c>
      <c r="O10004" s="38" t="n">
        <f aca="false">Sens!$O$9909</f>
        <v>39.02</v>
      </c>
    </row>
    <row r="10005" customFormat="false" ht="15" hidden="false" customHeight="false" outlineLevel="0" collapsed="false">
      <c r="A10005" s="0" t="s">
        <v>530</v>
      </c>
      <c r="B10005" s="0" t="s">
        <v>86</v>
      </c>
      <c r="C10005" s="38" t="n">
        <f aca="false">Sens!$C$9911</f>
        <v>44.374</v>
      </c>
      <c r="D10005" s="38" t="n">
        <f aca="false">Sens!$D$9911</f>
        <v>49.619</v>
      </c>
      <c r="E10005" s="38" t="n">
        <f aca="false">Sens!$E$9911</f>
        <v>27.157</v>
      </c>
      <c r="F10005" s="38" t="n">
        <f aca="false">Sens!$F$9911</f>
        <v>27.7764165988154</v>
      </c>
      <c r="G10005" s="38" t="n">
        <f aca="false">Sens!$G$9911</f>
        <v>54.9334165988154</v>
      </c>
      <c r="H10005" s="38" t="n">
        <f aca="false">Sens!$H$9911</f>
        <v>61.1564112561829</v>
      </c>
      <c r="I10005" s="38" t="n">
        <f aca="false">Sens!$I$9911</f>
        <v>67.2020282103945</v>
      </c>
      <c r="J10005" s="38" t="n">
        <f aca="false">Sens!$J$9911</f>
        <v>72.8757274028885</v>
      </c>
      <c r="K10005" s="38" t="n">
        <f aca="false">Sens!$K$9911</f>
        <v>77.9770283210907</v>
      </c>
      <c r="L10005" s="38" t="n">
        <f aca="false">Sens!$L$9911</f>
        <v>83.4354203035671</v>
      </c>
      <c r="M10005" s="38" t="n">
        <f aca="false">Sens!$M$9911</f>
        <v>89.2758997248168</v>
      </c>
      <c r="N10005" s="38" t="n">
        <f aca="false">Sens!$N$9911</f>
        <v>23.923</v>
      </c>
      <c r="O10005" s="38" t="n">
        <f aca="false">Sens!$O$9911</f>
        <v>25.696</v>
      </c>
    </row>
    <row r="10006" customFormat="false" ht="15" hidden="false" customHeight="false" outlineLevel="0" collapsed="false">
      <c r="A10006" s="0" t="s">
        <v>531</v>
      </c>
      <c r="B10006" s="0" t="s">
        <v>86</v>
      </c>
      <c r="C10006" s="38" t="n">
        <f aca="false">Sens!$C$9913</f>
        <v>5.425</v>
      </c>
      <c r="D10006" s="38" t="n">
        <f aca="false">Sens!$D$9913</f>
        <v>5.935</v>
      </c>
      <c r="E10006" s="38" t="n">
        <f aca="false">Sens!$E$9913</f>
        <v>3.474</v>
      </c>
      <c r="F10006" s="38" t="n">
        <f aca="false">Sens!$F$9913</f>
        <v>3.22246550883619</v>
      </c>
      <c r="G10006" s="38" t="n">
        <f aca="false">Sens!$G$9913</f>
        <v>6.69646550883619</v>
      </c>
      <c r="H10006" s="38" t="n">
        <f aca="false">Sens!$H$9913</f>
        <v>7.16251344209196</v>
      </c>
      <c r="I10006" s="38" t="n">
        <f aca="false">Sens!$I$9913</f>
        <v>7.61421070299826</v>
      </c>
      <c r="J10006" s="38" t="n">
        <f aca="false">Sens!$J$9913</f>
        <v>8.04465753523932</v>
      </c>
      <c r="K10006" s="38" t="n">
        <f aca="false">Sens!$K$9913</f>
        <v>8.44689041200128</v>
      </c>
      <c r="L10006" s="38" t="n">
        <f aca="false">Sens!$L$9913</f>
        <v>8.86923493260135</v>
      </c>
      <c r="M10006" s="38" t="n">
        <f aca="false">Sens!$M$9913</f>
        <v>9.31269667923142</v>
      </c>
      <c r="N10006" s="38" t="n">
        <f aca="false">Sens!$N$9913</f>
        <v>2.811</v>
      </c>
      <c r="O10006" s="38" t="n">
        <f aca="false">Sens!$O$9913</f>
        <v>3.124</v>
      </c>
    </row>
    <row r="10007" customFormat="false" ht="17.15" hidden="false" customHeight="false" outlineLevel="0" collapsed="false">
      <c r="A10007" s="0" t="s">
        <v>728</v>
      </c>
      <c r="B10007" s="0" t="s">
        <v>86</v>
      </c>
      <c r="C10007" s="38" t="n">
        <f aca="false">Sens!$C$9988</f>
        <v>107.556</v>
      </c>
      <c r="D10007" s="38" t="n">
        <f aca="false">Sens!$D$9988</f>
        <v>128.725</v>
      </c>
      <c r="E10007" s="38" t="n">
        <f aca="false">Sens!$E$9988</f>
        <v>79.819</v>
      </c>
      <c r="F10007" s="38" t="n">
        <f aca="false">Sens!$F$9988</f>
        <v>86.7327334389669</v>
      </c>
      <c r="G10007" s="38" t="n">
        <f aca="false">Sens!$G$9988</f>
        <v>166.551733438967</v>
      </c>
      <c r="H10007" s="38" t="n">
        <f aca="false">Sens!$H$9988</f>
        <v>221.182967828978</v>
      </c>
      <c r="I10007" s="38" t="n">
        <f aca="false">Sens!$I$9988</f>
        <v>280.27345865789</v>
      </c>
      <c r="J10007" s="38" t="n">
        <f aca="false">Sens!$J$9988</f>
        <v>338.800945197185</v>
      </c>
      <c r="K10007" s="38" t="n">
        <f aca="false">Sens!$K$9988</f>
        <v>390.17168267</v>
      </c>
      <c r="L10007" s="38" t="n">
        <f aca="false">Sens!$L$9988</f>
        <v>431.217780537388</v>
      </c>
      <c r="M10007" s="38" t="n">
        <f aca="false">Sens!$M$9988</f>
        <v>462.010668928853</v>
      </c>
      <c r="N10007" s="38" t="n">
        <f aca="false">Sens!$N$9988</f>
        <v>60.14</v>
      </c>
      <c r="O10007" s="38" t="n">
        <f aca="false">Sens!$O$9988</f>
        <v>68.585</v>
      </c>
    </row>
    <row r="10008" customFormat="false" ht="15" hidden="false" customHeight="false" outlineLevel="0" collapsed="false">
      <c r="A10008" s="1" t="s">
        <v>519</v>
      </c>
      <c r="B10008" s="8" t="s">
        <v>86</v>
      </c>
      <c r="C10008" s="38" t="n">
        <f aca="false">Sens!$C$9918</f>
        <v>387.497</v>
      </c>
      <c r="D10008" s="38" t="n">
        <f aca="false">Sens!$D$9918</f>
        <v>426.305</v>
      </c>
      <c r="E10008" s="38" t="n">
        <f aca="false">Sens!$E$9918</f>
        <v>220.32</v>
      </c>
      <c r="F10008" s="38" t="n">
        <f aca="false">Sens!$F$9918</f>
        <v>250.639773480586</v>
      </c>
      <c r="G10008" s="38" t="n">
        <f aca="false">Sens!$G$9918</f>
        <v>470.959773480586</v>
      </c>
      <c r="H10008" s="38" t="n">
        <f aca="false">Sens!$H$9918</f>
        <v>521.386990416437</v>
      </c>
      <c r="I10008" s="38" t="n">
        <f aca="false">Sens!$I$9918</f>
        <v>570.143862887555</v>
      </c>
      <c r="J10008" s="38" t="n">
        <f aca="false">Sens!$J$9918</f>
        <v>615.391435791933</v>
      </c>
      <c r="K10008" s="38" t="n">
        <f aca="false">Sens!$K$9918</f>
        <v>655.208227561543</v>
      </c>
      <c r="L10008" s="38" t="n">
        <f aca="false">Sens!$L$9918</f>
        <v>697.807739249767</v>
      </c>
      <c r="M10008" s="38" t="n">
        <f aca="false">Sens!$M$9918</f>
        <v>743.399328463592</v>
      </c>
      <c r="N10008" s="38" t="n">
        <f aca="false">Sens!$N$9918</f>
        <v>192.955</v>
      </c>
      <c r="O10008" s="38" t="n">
        <f aca="false">Sens!$O$9918</f>
        <v>233.35</v>
      </c>
    </row>
    <row r="10009" customFormat="false" ht="15" hidden="false" customHeight="false" outlineLevel="0" collapsed="false">
      <c r="A10009" s="1" t="s">
        <v>522</v>
      </c>
      <c r="B10009" s="8" t="s">
        <v>86</v>
      </c>
      <c r="C10009" s="38" t="n">
        <f aca="false">Sens!$C$9919</f>
        <v>142.906</v>
      </c>
      <c r="D10009" s="38" t="n">
        <f aca="false">Sens!$D$9919</f>
        <v>161.894</v>
      </c>
      <c r="E10009" s="38" t="n">
        <f aca="false">Sens!$E$9919</f>
        <v>81.986</v>
      </c>
      <c r="F10009" s="38" t="n">
        <f aca="false">Sens!$F$9919</f>
        <v>98.408468164951</v>
      </c>
      <c r="G10009" s="38" t="n">
        <f aca="false">Sens!$G$9919</f>
        <v>180.394468164951</v>
      </c>
      <c r="H10009" s="38" t="n">
        <f aca="false">Sens!$H$9919</f>
        <v>199.709899104949</v>
      </c>
      <c r="I10009" s="38" t="n">
        <f aca="false">Sens!$I$9919</f>
        <v>218.385528264976</v>
      </c>
      <c r="J10009" s="38" t="n">
        <f aca="false">Sens!$J$9919</f>
        <v>235.71696994951</v>
      </c>
      <c r="K10009" s="38" t="n">
        <f aca="false">Sens!$K$9919</f>
        <v>250.968227869545</v>
      </c>
      <c r="L10009" s="38" t="n">
        <f aca="false">Sens!$L$9919</f>
        <v>267.285367225822</v>
      </c>
      <c r="M10009" s="38" t="n">
        <f aca="false">Sens!$M$9919</f>
        <v>284.748579483295</v>
      </c>
      <c r="N10009" s="38" t="n">
        <f aca="false">Sens!$N$9919</f>
        <v>70.274</v>
      </c>
      <c r="O10009" s="38" t="n">
        <f aca="false">Sens!$O$9919</f>
        <v>91.62</v>
      </c>
    </row>
    <row r="10010" customFormat="false" ht="15" hidden="false" customHeight="false" outlineLevel="0" collapsed="false">
      <c r="A10010" s="1" t="s">
        <v>523</v>
      </c>
      <c r="B10010" s="8" t="s">
        <v>86</v>
      </c>
      <c r="C10010" s="38" t="n">
        <f aca="false">Sens!$C$9988</f>
        <v>107.556</v>
      </c>
      <c r="D10010" s="38" t="n">
        <f aca="false">Sens!$D$9988</f>
        <v>128.725</v>
      </c>
      <c r="E10010" s="38" t="n">
        <f aca="false">Sens!$E$9988</f>
        <v>79.819</v>
      </c>
      <c r="F10010" s="38" t="n">
        <f aca="false">Sens!$F$9988</f>
        <v>86.7327334389669</v>
      </c>
      <c r="G10010" s="38" t="n">
        <f aca="false">Sens!$G$9988</f>
        <v>166.551733438967</v>
      </c>
      <c r="H10010" s="38" t="n">
        <f aca="false">Sens!$H$9988</f>
        <v>221.182967828978</v>
      </c>
      <c r="I10010" s="38" t="n">
        <f aca="false">Sens!$I$9988</f>
        <v>280.27345865789</v>
      </c>
      <c r="J10010" s="38" t="n">
        <f aca="false">Sens!$J$9988</f>
        <v>338.800945197185</v>
      </c>
      <c r="K10010" s="38" t="n">
        <f aca="false">Sens!$K$9988</f>
        <v>390.17168267</v>
      </c>
      <c r="L10010" s="38" t="n">
        <f aca="false">Sens!$L$9988</f>
        <v>431.217780537388</v>
      </c>
      <c r="M10010" s="38" t="n">
        <f aca="false">Sens!$M$9988</f>
        <v>462.010668928853</v>
      </c>
      <c r="N10010" s="38" t="n">
        <f aca="false">Sens!$N$9988</f>
        <v>60.14</v>
      </c>
      <c r="O10010" s="38" t="n">
        <f aca="false">Sens!$O$9988</f>
        <v>68.585</v>
      </c>
    </row>
    <row r="10011" customFormat="false" ht="17.15" hidden="false" customHeight="false" outlineLevel="0" collapsed="false">
      <c r="A10011" s="0" t="s">
        <v>702</v>
      </c>
      <c r="B10011" s="0" t="s">
        <v>86</v>
      </c>
      <c r="C10011" s="38" t="n">
        <f aca="false">Sens!$C$9986</f>
        <v>2.32100535697364</v>
      </c>
      <c r="D10011" s="38" t="n">
        <f aca="false">Sens!$D$9986</f>
        <v>8.70377008865116</v>
      </c>
      <c r="E10011" s="38" t="n">
        <f aca="false">Sens!$E$9986</f>
        <v>8.51035297557002</v>
      </c>
      <c r="F10011" s="38" t="n">
        <f aca="false">Sens!$F$9986</f>
        <v>14.9634336447205</v>
      </c>
      <c r="G10011" s="38" t="n">
        <f aca="false">Sens!$G$9986</f>
        <v>23.4737866202905</v>
      </c>
      <c r="H10011" s="38" t="n">
        <f aca="false">Sens!$H$9986</f>
        <v>60.1658907497746</v>
      </c>
      <c r="I10011" s="38" t="n">
        <f aca="false">Sens!$I$9986</f>
        <v>101.503699136432</v>
      </c>
      <c r="J10011" s="38" t="n">
        <f aca="false">Sens!$J$9986</f>
        <v>143.025407151278</v>
      </c>
      <c r="K10011" s="38" t="n">
        <f aca="false">Sens!$K$9986</f>
        <v>178.73410158042</v>
      </c>
      <c r="L10011" s="38" t="n">
        <f aca="false">Sens!$L$9986</f>
        <v>202.865192960641</v>
      </c>
      <c r="M10011" s="38" t="n">
        <f aca="false">Sens!$M$9986</f>
        <v>215.389874345967</v>
      </c>
      <c r="N10011" s="38" t="n">
        <f aca="false">Sens!$N$9986</f>
        <v>3.04631953102791</v>
      </c>
      <c r="O10011" s="38" t="n">
        <f aca="false">Sens!$O$9986</f>
        <v>5.65745055762326</v>
      </c>
    </row>
    <row r="10012" customFormat="false" ht="17.15" hidden="false" customHeight="false" outlineLevel="0" collapsed="false">
      <c r="A10012" s="0" t="s">
        <v>704</v>
      </c>
      <c r="B10012" s="0" t="s">
        <v>86</v>
      </c>
      <c r="C10012" s="38" t="n">
        <f aca="false">Sens!$C$9987</f>
        <v>105.234994643026</v>
      </c>
      <c r="D10012" s="38" t="n">
        <f aca="false">Sens!$D$9987</f>
        <v>120.021229911349</v>
      </c>
      <c r="E10012" s="38" t="n">
        <f aca="false">Sens!$E$9987</f>
        <v>71.30864702443</v>
      </c>
      <c r="F10012" s="38" t="n">
        <f aca="false">Sens!$F$9987</f>
        <v>71.7692997942464</v>
      </c>
      <c r="G10012" s="38" t="n">
        <f aca="false">Sens!$G$9987</f>
        <v>143.077946818676</v>
      </c>
      <c r="H10012" s="38" t="n">
        <f aca="false">Sens!$H$9987</f>
        <v>161.017077079203</v>
      </c>
      <c r="I10012" s="38" t="n">
        <f aca="false">Sens!$I$9987</f>
        <v>178.769759521457</v>
      </c>
      <c r="J10012" s="38" t="n">
        <f aca="false">Sens!$J$9987</f>
        <v>195.775538045907</v>
      </c>
      <c r="K10012" s="38" t="n">
        <f aca="false">Sens!$K$9987</f>
        <v>211.43758108958</v>
      </c>
      <c r="L10012" s="38" t="n">
        <f aca="false">Sens!$L$9987</f>
        <v>228.352587576746</v>
      </c>
      <c r="M10012" s="38" t="n">
        <f aca="false">Sens!$M$9987</f>
        <v>246.620794582886</v>
      </c>
      <c r="N10012" s="38" t="n">
        <f aca="false">Sens!$N$9987</f>
        <v>57.0936804689721</v>
      </c>
      <c r="O10012" s="38" t="n">
        <f aca="false">Sens!$O$9987</f>
        <v>62.9275494423768</v>
      </c>
    </row>
    <row r="10013" customFormat="false" ht="15" hidden="false" customHeight="false" outlineLevel="0" collapsed="false">
      <c r="A10013" s="3" t="s">
        <v>524</v>
      </c>
      <c r="B10013" s="8" t="s">
        <v>86</v>
      </c>
      <c r="C10013" s="38" t="n">
        <f aca="false">Sens!$C$9989</f>
        <v>637.959</v>
      </c>
      <c r="D10013" s="38" t="n">
        <f aca="false">Sens!$D$9989</f>
        <v>716.924</v>
      </c>
      <c r="E10013" s="38" t="n">
        <f aca="false">Sens!$E$9989</f>
        <v>382.125</v>
      </c>
      <c r="F10013" s="38" t="n">
        <f aca="false">Sens!$F$9989</f>
        <v>435.780975084504</v>
      </c>
      <c r="G10013" s="38" t="n">
        <f aca="false">Sens!$G$9989</f>
        <v>817.905975084504</v>
      </c>
      <c r="H10013" s="38" t="n">
        <f aca="false">Sens!$H$9989</f>
        <v>942.279857350364</v>
      </c>
      <c r="I10013" s="38" t="n">
        <f aca="false">Sens!$I$9989</f>
        <v>1068.80284981042</v>
      </c>
      <c r="J10013" s="38" t="n">
        <f aca="false">Sens!$J$9989</f>
        <v>1189.90935093863</v>
      </c>
      <c r="K10013" s="38" t="n">
        <f aca="false">Sens!$K$9989</f>
        <v>1296.34813810109</v>
      </c>
      <c r="L10013" s="38" t="n">
        <f aca="false">Sens!$L$9989</f>
        <v>1396.31088701298</v>
      </c>
      <c r="M10013" s="38" t="n">
        <f aca="false">Sens!$M$9989</f>
        <v>1490.15857687574</v>
      </c>
      <c r="N10013" s="38" t="n">
        <f aca="false">Sens!$N$9989</f>
        <v>323.369</v>
      </c>
      <c r="O10013" s="38" t="n">
        <f aca="false">Sens!$O$9989</f>
        <v>393.555</v>
      </c>
    </row>
    <row r="10014" customFormat="false" ht="17.15" hidden="false" customHeight="false" outlineLevel="0" collapsed="false">
      <c r="A10014" s="24" t="s">
        <v>714</v>
      </c>
      <c r="B10014" s="25" t="s">
        <v>86</v>
      </c>
      <c r="C10014" s="41" t="n">
        <f aca="false">Sens!$C$10001+Sens!$C$10002+Sens!$C$10003+Sens!$C$10004+Sens!$C$10005+Sens!$C$10006-(Sens!$C$10008+Sens!$C$10009)</f>
        <v>0</v>
      </c>
      <c r="D10014" s="41" t="n">
        <f aca="false">Sens!$D$10001+Sens!$D$10002+Sens!$D$10003+Sens!$D$10004+Sens!$D$10005+Sens!$D$10006-(Sens!$D$10008+Sens!$D$10009)</f>
        <v>0</v>
      </c>
      <c r="E10014" s="41" t="n">
        <f aca="false">Sens!$E$10001+Sens!$E$10002+Sens!$E$10003+Sens!$E$10004+Sens!$E$10005+Sens!$E$10006-(Sens!$E$10008+Sens!$E$10009)</f>
        <v>0</v>
      </c>
      <c r="F10014" s="41" t="n">
        <f aca="false">Sens!$F$10001+Sens!$F$10002+Sens!$F$10003+Sens!$F$10004+Sens!$F$10005+Sens!$F$10006-(Sens!$F$10008+Sens!$F$10009)</f>
        <v>0</v>
      </c>
      <c r="G10014" s="41" t="n">
        <f aca="false">Sens!$G$10001+Sens!$G$10002+Sens!$G$10003+Sens!$G$10004+Sens!$G$10005+Sens!$G$10006-(Sens!$G$10008+Sens!$G$10009)</f>
        <v>0</v>
      </c>
      <c r="H10014" s="41" t="n">
        <f aca="false">Sens!$H$10001+Sens!$H$10002+Sens!$H$10003+Sens!$H$10004+Sens!$H$10005+Sens!$H$10006-(Sens!$H$10008+Sens!$H$10009)</f>
        <v>0</v>
      </c>
      <c r="I10014" s="41" t="n">
        <f aca="false">Sens!$I$10001+Sens!$I$10002+Sens!$I$10003+Sens!$I$10004+Sens!$I$10005+Sens!$I$10006-(Sens!$I$10008+Sens!$I$10009)</f>
        <v>0</v>
      </c>
      <c r="J10014" s="41" t="n">
        <f aca="false">Sens!$J$10001+Sens!$J$10002+Sens!$J$10003+Sens!$J$10004+Sens!$J$10005+Sens!$J$10006-(Sens!$J$10008+Sens!$J$10009)</f>
        <v>0</v>
      </c>
      <c r="K10014" s="41" t="n">
        <f aca="false">Sens!$K$10001+Sens!$K$10002+Sens!$K$10003+Sens!$K$10004+Sens!$K$10005+Sens!$K$10006-(Sens!$K$10008+Sens!$K$10009)</f>
        <v>0</v>
      </c>
      <c r="L10014" s="41" t="n">
        <f aca="false">Sens!$L$10001+Sens!$L$10002+Sens!$L$10003+Sens!$L$10004+Sens!$L$10005+Sens!$L$10006-(Sens!$L$10008+Sens!$L$10009)</f>
        <v>0</v>
      </c>
      <c r="M10014" s="41" t="n">
        <f aca="false">Sens!$M$10001+Sens!$M$10002+Sens!$M$10003+Sens!$M$10004+Sens!$M$10005+Sens!$M$10006-(Sens!$M$10008+Sens!$M$10009)</f>
        <v>0</v>
      </c>
      <c r="N10014" s="41" t="n">
        <f aca="false">Sens!$N$10001+Sens!$N$10002+Sens!$N$10003+Sens!$N$10004+Sens!$N$10005+Sens!$N$10006-(Sens!$N$10008+Sens!$N$10009)</f>
        <v>0</v>
      </c>
      <c r="O10014" s="41" t="n">
        <f aca="false">Sens!$O$10001+Sens!$O$10002+Sens!$O$10003+Sens!$O$10004+Sens!$O$10005+Sens!$O$10006-(Sens!$O$10008+Sens!$O$10009)</f>
        <v>0</v>
      </c>
    </row>
    <row r="10015" customFormat="false" ht="17.15" hidden="false" customHeight="false" outlineLevel="0" collapsed="false">
      <c r="A10015" s="24" t="s">
        <v>715</v>
      </c>
      <c r="B10015" s="25" t="s">
        <v>86</v>
      </c>
      <c r="C10015" s="41" t="n">
        <f aca="false">Sens!$C$10011+Sens!$C$10012-Sens!$C$10010</f>
        <v>0</v>
      </c>
      <c r="D10015" s="41" t="n">
        <f aca="false">Sens!$D$10011+Sens!$D$10012-Sens!$D$10010</f>
        <v>0</v>
      </c>
      <c r="E10015" s="41" t="n">
        <f aca="false">Sens!$E$10011+Sens!$E$10012-Sens!$E$10010</f>
        <v>0</v>
      </c>
      <c r="F10015" s="41" t="n">
        <f aca="false">Sens!$F$10011+Sens!$F$10012-Sens!$F$10010</f>
        <v>0</v>
      </c>
      <c r="G10015" s="41" t="n">
        <f aca="false">Sens!$G$10011+Sens!$G$10012-Sens!$G$10010</f>
        <v>0</v>
      </c>
      <c r="H10015" s="41" t="n">
        <f aca="false">Sens!$H$10011+Sens!$H$10012-Sens!$H$10010</f>
        <v>0</v>
      </c>
      <c r="I10015" s="41" t="n">
        <f aca="false">Sens!$I$10011+Sens!$I$10012-Sens!$I$10010</f>
        <v>0</v>
      </c>
      <c r="J10015" s="41" t="n">
        <f aca="false">Sens!$J$10011+Sens!$J$10012-Sens!$J$10010</f>
        <v>0</v>
      </c>
      <c r="K10015" s="41" t="n">
        <f aca="false">Sens!$K$10011+Sens!$K$10012-Sens!$K$10010</f>
        <v>0</v>
      </c>
      <c r="L10015" s="41" t="n">
        <f aca="false">Sens!$L$10011+Sens!$L$10012-Sens!$L$10010</f>
        <v>0</v>
      </c>
      <c r="M10015" s="41" t="n">
        <f aca="false">Sens!$M$10011+Sens!$M$10012-Sens!$M$10010</f>
        <v>0</v>
      </c>
      <c r="N10015" s="41" t="n">
        <f aca="false">Sens!$N$10011+Sens!$N$10012-Sens!$N$10010</f>
        <v>0</v>
      </c>
      <c r="O10015" s="41" t="n">
        <f aca="false">Sens!$O$10011+Sens!$O$10012-Sens!$O$10010</f>
        <v>0</v>
      </c>
    </row>
    <row r="10016" customFormat="false" ht="17.15" hidden="false" customHeight="false" outlineLevel="0" collapsed="false">
      <c r="A10016" s="24" t="s">
        <v>774</v>
      </c>
      <c r="B10016" s="25" t="s">
        <v>86</v>
      </c>
      <c r="C10016" s="41" t="n">
        <f aca="false">Sens!$C$10001+Sens!$C$10002+Sens!$C$10003+Sens!$C$10004+Sens!$C$10005+Sens!$C$10006+Sens!$C$10007-Sens!$C$10013</f>
        <v>0</v>
      </c>
      <c r="D10016" s="41" t="n">
        <f aca="false">Sens!$D$10001+Sens!$D$10002+Sens!$D$10003+Sens!$D$10004+Sens!$D$10005+Sens!$D$10006+Sens!$D$10007-Sens!$D$10013</f>
        <v>0</v>
      </c>
      <c r="E10016" s="41" t="n">
        <f aca="false">Sens!$E$10001+Sens!$E$10002+Sens!$E$10003+Sens!$E$10004+Sens!$E$10005+Sens!$E$10006+Sens!$E$10007-Sens!$E$10013</f>
        <v>0</v>
      </c>
      <c r="F10016" s="41" t="n">
        <f aca="false">Sens!$F$10001+Sens!$F$10002+Sens!$F$10003+Sens!$F$10004+Sens!$F$10005+Sens!$F$10006+Sens!$F$10007-Sens!$F$10013</f>
        <v>0</v>
      </c>
      <c r="G10016" s="41" t="n">
        <f aca="false">Sens!$G$10001+Sens!$G$10002+Sens!$G$10003+Sens!$G$10004+Sens!$G$10005+Sens!$G$10006+Sens!$G$10007-Sens!$G$10013</f>
        <v>0</v>
      </c>
      <c r="H10016" s="41" t="n">
        <f aca="false">Sens!$H$10001+Sens!$H$10002+Sens!$H$10003+Sens!$H$10004+Sens!$H$10005+Sens!$H$10006+Sens!$H$10007-Sens!$H$10013</f>
        <v>0</v>
      </c>
      <c r="I10016" s="41" t="n">
        <f aca="false">Sens!$I$10001+Sens!$I$10002+Sens!$I$10003+Sens!$I$10004+Sens!$I$10005+Sens!$I$10006+Sens!$I$10007-Sens!$I$10013</f>
        <v>0</v>
      </c>
      <c r="J10016" s="41" t="n">
        <f aca="false">Sens!$J$10001+Sens!$J$10002+Sens!$J$10003+Sens!$J$10004+Sens!$J$10005+Sens!$J$10006+Sens!$J$10007-Sens!$J$10013</f>
        <v>0</v>
      </c>
      <c r="K10016" s="41" t="n">
        <f aca="false">Sens!$K$10001+Sens!$K$10002+Sens!$K$10003+Sens!$K$10004+Sens!$K$10005+Sens!$K$10006+Sens!$K$10007-Sens!$K$10013</f>
        <v>0</v>
      </c>
      <c r="L10016" s="41" t="n">
        <f aca="false">Sens!$L$10001+Sens!$L$10002+Sens!$L$10003+Sens!$L$10004+Sens!$L$10005+Sens!$L$10006+Sens!$L$10007-Sens!$L$10013</f>
        <v>0</v>
      </c>
      <c r="M10016" s="41" t="n">
        <f aca="false">Sens!$M$10001+Sens!$M$10002+Sens!$M$10003+Sens!$M$10004+Sens!$M$10005+Sens!$M$10006+Sens!$M$10007-Sens!$M$10013</f>
        <v>0</v>
      </c>
      <c r="N10016" s="41" t="n">
        <f aca="false">Sens!$N$10001+Sens!$N$10002+Sens!$N$10003+Sens!$N$10004+Sens!$N$10005+Sens!$N$10006+Sens!$N$10007-Sens!$N$10013</f>
        <v>0</v>
      </c>
      <c r="O10016" s="41" t="n">
        <f aca="false">Sens!$O$10001+Sens!$O$10002+Sens!$O$10003+Sens!$O$10004+Sens!$O$10005+Sens!$O$10006+Sens!$O$10007-Sens!$O$10013</f>
        <v>0</v>
      </c>
    </row>
    <row r="10017" customFormat="false" ht="17.15" hidden="false" customHeight="false" outlineLevel="0" collapsed="false">
      <c r="A10017" s="24" t="s">
        <v>716</v>
      </c>
      <c r="B10017" s="25" t="s">
        <v>86</v>
      </c>
      <c r="C10017" s="41" t="n">
        <f aca="false">Sens!$C$10008+Sens!$C$10009+Sens!$C$10010-Sens!$C$10013</f>
        <v>0</v>
      </c>
      <c r="D10017" s="41" t="n">
        <f aca="false">Sens!$D$10008+Sens!$D$10009+Sens!$D$10010-Sens!$D$10013</f>
        <v>0</v>
      </c>
      <c r="E10017" s="41" t="n">
        <f aca="false">Sens!$E$10008+Sens!$E$10009+Sens!$E$10010-Sens!$E$10013</f>
        <v>0</v>
      </c>
      <c r="F10017" s="41" t="n">
        <f aca="false">Sens!$F$10008+Sens!$F$10009+Sens!$F$10010-Sens!$F$10013</f>
        <v>0</v>
      </c>
      <c r="G10017" s="41" t="n">
        <f aca="false">Sens!$G$10008+Sens!$G$10009+Sens!$G$10010-Sens!$G$10013</f>
        <v>0</v>
      </c>
      <c r="H10017" s="41" t="n">
        <f aca="false">Sens!$H$10008+Sens!$H$10009+Sens!$H$10010-Sens!$H$10013</f>
        <v>0</v>
      </c>
      <c r="I10017" s="41" t="n">
        <f aca="false">Sens!$I$10008+Sens!$I$10009+Sens!$I$10010-Sens!$I$10013</f>
        <v>0</v>
      </c>
      <c r="J10017" s="41" t="n">
        <f aca="false">Sens!$J$10008+Sens!$J$10009+Sens!$J$10010-Sens!$J$10013</f>
        <v>0</v>
      </c>
      <c r="K10017" s="41" t="n">
        <f aca="false">Sens!$K$10008+Sens!$K$10009+Sens!$K$10010-Sens!$K$10013</f>
        <v>0</v>
      </c>
      <c r="L10017" s="41" t="n">
        <f aca="false">Sens!$L$10008+Sens!$L$10009+Sens!$L$10010-Sens!$L$10013</f>
        <v>0</v>
      </c>
      <c r="M10017" s="41" t="n">
        <f aca="false">Sens!$M$10008+Sens!$M$10009+Sens!$M$10010-Sens!$M$10013</f>
        <v>0</v>
      </c>
      <c r="N10017" s="41" t="n">
        <f aca="false">Sens!$N$10008+Sens!$N$10009+Sens!$N$10010-Sens!$N$10013</f>
        <v>0</v>
      </c>
      <c r="O10017" s="41" t="n">
        <f aca="false">Sens!$O$10008+Sens!$O$10009+Sens!$O$10010-Sens!$O$10013</f>
        <v>0</v>
      </c>
    </row>
    <row r="10018" customFormat="false" ht="17.15" hidden="false" customHeight="false" outlineLevel="0" collapsed="false">
      <c r="A10018" s="1" t="s">
        <v>730</v>
      </c>
    </row>
    <row r="10019" customFormat="false" ht="17.15" hidden="false" customHeight="false" outlineLevel="0" collapsed="false">
      <c r="A10019" s="0" t="s">
        <v>731</v>
      </c>
      <c r="B10019" s="0" t="s">
        <v>86</v>
      </c>
      <c r="C10019" s="38" t="n">
        <f aca="false">Sens!$C$9920*m_ad</f>
        <v>20.5341564414228</v>
      </c>
      <c r="D10019" s="38" t="n">
        <f aca="false">Sens!$D$9920*m_ad</f>
        <v>24.8720617299587</v>
      </c>
      <c r="E10019" s="38" t="n">
        <f aca="false">Sens!$E$9920*m_ad</f>
        <v>13.5017112462207</v>
      </c>
      <c r="F10019" s="38" t="n">
        <f aca="false">Sens!$F$9920*m_ad</f>
        <v>16.5719724165257</v>
      </c>
      <c r="G10019" s="38" t="n">
        <f aca="false">Sens!$G$9920*m_ad</f>
        <v>30.0820919220415</v>
      </c>
      <c r="H10019" s="38" t="n">
        <f aca="false">Sens!$H$9920*m_ad</f>
        <v>36.1150883276314</v>
      </c>
      <c r="I10019" s="38" t="n">
        <f aca="false">Sens!$I$9920*m_ad</f>
        <v>42.1475382231996</v>
      </c>
      <c r="J10019" s="38" t="n">
        <f aca="false">Sens!$J$9920*m_ad</f>
        <v>47.7749523864693</v>
      </c>
      <c r="K10019" s="38" t="n">
        <f aca="false">Sens!$K$9920*m_ad</f>
        <v>52.5524476251162</v>
      </c>
      <c r="L10019" s="38" t="n">
        <f aca="false">Sens!$L$9920*m_ad</f>
        <v>57.8076923876279</v>
      </c>
      <c r="M10019" s="38" t="n">
        <f aca="false">Sens!$M$9920*m_ad</f>
        <v>63.5884616263907</v>
      </c>
      <c r="N10019" s="38" t="n">
        <f aca="false">Sens!$N$9920*m_ad</f>
        <v>10.8543555706248</v>
      </c>
      <c r="O10019" s="38" t="n">
        <f aca="false">Sens!$O$9920*m_ad</f>
        <v>14.0094731821399</v>
      </c>
    </row>
    <row r="10020" customFormat="false" ht="17.15" hidden="false" customHeight="false" outlineLevel="0" collapsed="false">
      <c r="A10020" s="0" t="s">
        <v>732</v>
      </c>
      <c r="B10020" s="0" t="s">
        <v>86</v>
      </c>
      <c r="C10020" s="38" t="n">
        <f aca="false">Sens!$C$9918-Sens!$C$9920</f>
        <v>346.428687117154</v>
      </c>
      <c r="D10020" s="38" t="n">
        <f aca="false">Sens!$D$9918-Sens!$D$9920</f>
        <v>376.560876540083</v>
      </c>
      <c r="E10020" s="38" t="n">
        <f aca="false">Sens!$E$9918-Sens!$E$9920</f>
        <v>193.316577507559</v>
      </c>
      <c r="F10020" s="38" t="n">
        <f aca="false">Sens!$F$9918-Sens!$F$9920</f>
        <v>217.495828647535</v>
      </c>
      <c r="G10020" s="38" t="n">
        <f aca="false">Sens!$G$9918-Sens!$G$9920</f>
        <v>410.795589636503</v>
      </c>
      <c r="H10020" s="38" t="n">
        <f aca="false">Sens!$H$9918-Sens!$H$9920</f>
        <v>449.156813761174</v>
      </c>
      <c r="I10020" s="38" t="n">
        <f aca="false">Sens!$I$9918-Sens!$I$9920</f>
        <v>485.848786441156</v>
      </c>
      <c r="J10020" s="38" t="n">
        <f aca="false">Sens!$J$9918-Sens!$J$9920</f>
        <v>519.841531018994</v>
      </c>
      <c r="K10020" s="38" t="n">
        <f aca="false">Sens!$K$9918-Sens!$K$9920</f>
        <v>550.103332311311</v>
      </c>
      <c r="L10020" s="38" t="n">
        <f aca="false">Sens!$L$9918-Sens!$L$9920</f>
        <v>582.192354474511</v>
      </c>
      <c r="M10020" s="38" t="n">
        <f aca="false">Sens!$M$9918-Sens!$M$9920</f>
        <v>616.22240521081</v>
      </c>
      <c r="N10020" s="38" t="n">
        <f aca="false">Sens!$N$9918-Sens!$N$9920</f>
        <v>171.24628885875</v>
      </c>
      <c r="O10020" s="38" t="n">
        <f aca="false">Sens!$O$9918-Sens!$O$9920</f>
        <v>205.33105363572</v>
      </c>
    </row>
    <row r="10021" customFormat="false" ht="17.15" hidden="false" customHeight="false" outlineLevel="0" collapsed="false">
      <c r="A10021" s="0" t="s">
        <v>733</v>
      </c>
      <c r="B10021" s="0" t="s">
        <v>86</v>
      </c>
      <c r="C10021" s="38" t="n">
        <f aca="false">Sens!$C$9972*Sens!$C$9917</f>
        <v>0.123617442257179</v>
      </c>
      <c r="D10021" s="38" t="n">
        <f aca="false">Sens!$D$9972*Sens!$D$9917</f>
        <v>0.600198046024689</v>
      </c>
      <c r="E10021" s="38" t="n">
        <f aca="false">Sens!$E$9972*Sens!$E$9917</f>
        <v>1.10840000750276</v>
      </c>
      <c r="F10021" s="38" t="n">
        <f aca="false">Sens!$F$9972*Sens!$F$9917</f>
        <v>1.33595298721025</v>
      </c>
      <c r="G10021" s="38" t="n">
        <f aca="false">Sens!$G$9972*Sens!$G$9917</f>
        <v>2.44487335052545</v>
      </c>
      <c r="H10021" s="38" t="n">
        <f aca="false">Sens!$H$9972*Sens!$H$9917</f>
        <v>6.63132711939388</v>
      </c>
      <c r="I10021" s="38" t="n">
        <f aca="false">Sens!$I$9972*Sens!$I$9917</f>
        <v>12.7486799258504</v>
      </c>
      <c r="J10021" s="38" t="n">
        <f aca="false">Sens!$J$9972*Sens!$J$9917</f>
        <v>18.4074045299415</v>
      </c>
      <c r="K10021" s="38" t="n">
        <f aca="false">Sens!$K$9972*Sens!$K$9917</f>
        <v>23.9558131410482</v>
      </c>
      <c r="L10021" s="38" t="n">
        <f aca="false">Sens!$L$9972*Sens!$L$9917</f>
        <v>27.8791598233416</v>
      </c>
      <c r="M10021" s="38" t="n">
        <f aca="false">Sens!$M$9972*Sens!$M$9917</f>
        <v>30.1642264398241</v>
      </c>
      <c r="N10021" s="38" t="n">
        <f aca="false">Sens!$N$9972*Sens!$N$9917</f>
        <v>0.25053229484398</v>
      </c>
      <c r="O10021" s="38" t="n">
        <f aca="false">Sens!$O$9972*Sens!$O$9917</f>
        <v>0.349234376756897</v>
      </c>
    </row>
    <row r="10022" customFormat="false" ht="17.15" hidden="false" customHeight="false" outlineLevel="0" collapsed="false">
      <c r="A10022" s="0" t="s">
        <v>734</v>
      </c>
      <c r="B10022" s="0" t="s">
        <v>52</v>
      </c>
      <c r="C10022" s="28" t="n">
        <f aca="false">(Sens!$C$10023-Sens!$C$10019+Sens!$C$10021)/Sens!$C$10020</f>
        <v>0.0131526665379575</v>
      </c>
      <c r="D10022" s="28" t="n">
        <f aca="false">(Sens!$D$10023-Sens!$D$10019+Sens!$D$10021)/Sens!$D$10020</f>
        <v>0.0141999252954702</v>
      </c>
      <c r="E10022" s="28" t="n">
        <f aca="false">(Sens!$E$10023-Sens!$E$10019+Sens!$E$10021)/Sens!$E$10020</f>
        <v>0.0258471819939326</v>
      </c>
      <c r="F10022" s="28" t="n">
        <f aca="false">Sens!$O$10022+(Sens!$E$10022-Sens!$N$10022)</f>
        <v>0.0224302350712874</v>
      </c>
      <c r="G10022" s="28" t="n">
        <f aca="false">(Sens!$G$10023-Sens!$G$10019+Sens!$G$10021)/Sens!$G$10020</f>
        <v>0.0240199351461372</v>
      </c>
      <c r="H10022" s="28" t="n">
        <f aca="false">Sens!$G$10022+step_na</f>
        <v>0.0270199351461372</v>
      </c>
      <c r="I10022" s="28" t="n">
        <f aca="false">Sens!$H$10022+step_na</f>
        <v>0.0300199351461372</v>
      </c>
      <c r="J10022" s="28" t="n">
        <f aca="false">Sens!$I$10022+step_na</f>
        <v>0.0330199351461372</v>
      </c>
      <c r="K10022" s="28" t="n">
        <f aca="false">Sens!$J$10022+step_na</f>
        <v>0.0360199351461372</v>
      </c>
      <c r="L10022" s="28" t="n">
        <f aca="false">Sens!$K$10022</f>
        <v>0.0360199351461372</v>
      </c>
      <c r="M10022" s="28" t="n">
        <f aca="false">Sens!$L$10022</f>
        <v>0.0360199351461372</v>
      </c>
      <c r="N10022" s="28" t="n">
        <f aca="false">(Sens!$N$10023-Sens!$N$10019+Sens!$N$10021)/Sens!$N$10020</f>
        <v>0.0160831323269779</v>
      </c>
      <c r="O10022" s="28" t="n">
        <f aca="false">(Sens!$O$10023-Sens!$O$10019+Sens!$O$10021)/Sens!$O$10020</f>
        <v>0.0126661854043327</v>
      </c>
      <c r="P10022" s="8" t="s">
        <v>735</v>
      </c>
    </row>
    <row r="10023" customFormat="false" ht="17.15" hidden="false" customHeight="false" outlineLevel="0" collapsed="false">
      <c r="A10023" s="1" t="s">
        <v>736</v>
      </c>
      <c r="B10023" s="8" t="s">
        <v>86</v>
      </c>
      <c r="C10023" s="38" t="n">
        <f aca="false">Q!$D$22</f>
        <v>24.967</v>
      </c>
      <c r="D10023" s="38" t="n">
        <f aca="false">Q!$E$22</f>
        <v>29.619</v>
      </c>
      <c r="E10023" s="38" t="n">
        <f aca="false">Q!$P$22</f>
        <v>17.39</v>
      </c>
      <c r="F10023" s="38" t="n">
        <f aca="false">Sens!$F$10019+Sens!$F$10020*Sens!$F$10022-Sens!$F$10021</f>
        <v>20.1145019929041</v>
      </c>
      <c r="G10023" s="38" t="n">
        <f aca="false">Sens!$E$10023+Sens!$F$10023</f>
        <v>37.5045019929041</v>
      </c>
      <c r="H10023" s="38" t="n">
        <f aca="false">Sens!$H$10019+Sens!$H$10020*Sens!$H$10022-Sens!$H$10021</f>
        <v>41.6199491865101</v>
      </c>
      <c r="I10023" s="38" t="n">
        <f aca="false">Sens!$I$10019+Sens!$I$10020*Sens!$I$10022-Sens!$I$10021</f>
        <v>43.9840073571422</v>
      </c>
      <c r="J10023" s="38" t="n">
        <f aca="false">Sens!$J$10019+Sens!$J$10020*Sens!$J$10022-Sens!$J$10021</f>
        <v>46.5326814970436</v>
      </c>
      <c r="K10023" s="38" t="n">
        <f aca="false">Sens!$K$10019+Sens!$K$10020*Sens!$K$10022-Sens!$K$10021</f>
        <v>48.4113208375954</v>
      </c>
      <c r="L10023" s="38" t="n">
        <f aca="false">Sens!$L$10019+Sens!$L$10020*Sens!$L$10022-Sens!$L$10021</f>
        <v>50.8990634150351</v>
      </c>
      <c r="M10023" s="38" t="n">
        <f aca="false">Sens!$M$10019+Sens!$M$10020*Sens!$M$10022-Sens!$M$10021</f>
        <v>55.6205262578566</v>
      </c>
      <c r="N10023" s="38" t="n">
        <f aca="false">Q!$N$22</f>
        <v>13.358</v>
      </c>
      <c r="O10023" s="38" t="n">
        <f aca="false">Q!$O$22</f>
        <v>16.261</v>
      </c>
    </row>
    <row r="10024" customFormat="false" ht="17.15" hidden="false" customHeight="false" outlineLevel="0" collapsed="false">
      <c r="A10024" s="0" t="s">
        <v>737</v>
      </c>
      <c r="B10024" s="0" t="s">
        <v>86</v>
      </c>
      <c r="C10024" s="38" t="n">
        <f aca="false">Sens!$C$9921*m_ad</f>
        <v>7.57284355857716</v>
      </c>
      <c r="D10024" s="38" t="n">
        <f aca="false">Sens!$D$9921*m_ad</f>
        <v>9.44543827004127</v>
      </c>
      <c r="E10024" s="38" t="n">
        <f aca="false">Sens!$E$9921*m_ad</f>
        <v>5.02428875377928</v>
      </c>
      <c r="F10024" s="38" t="n">
        <f aca="false">Sens!$F$9921*m_ad</f>
        <v>6.50663858068173</v>
      </c>
      <c r="G10024" s="38" t="n">
        <f aca="false">Sens!$G$9921*m_ad</f>
        <v>11.5225190751659</v>
      </c>
      <c r="H10024" s="38" t="n">
        <f aca="false">Sens!$H$9921*m_ad</f>
        <v>13.8333728663174</v>
      </c>
      <c r="I10024" s="38" t="n">
        <f aca="false">Sens!$I$9921*m_ad</f>
        <v>16.1440173245485</v>
      </c>
      <c r="J10024" s="38" t="n">
        <f aca="false">Sens!$J$9921*m_ad</f>
        <v>18.2995185845066</v>
      </c>
      <c r="K10024" s="38" t="n">
        <f aca="false">Sens!$K$9921*m_ad</f>
        <v>20.1294704429572</v>
      </c>
      <c r="L10024" s="38" t="n">
        <f aca="false">Sens!$L$9921*m_ad</f>
        <v>22.142417487253</v>
      </c>
      <c r="M10024" s="38" t="n">
        <f aca="false">Sens!$M$9921*m_ad</f>
        <v>24.3566592359783</v>
      </c>
      <c r="N10024" s="38" t="n">
        <f aca="false">Sens!$N$9921*m_ad</f>
        <v>3.95314442937518</v>
      </c>
      <c r="O10024" s="38" t="n">
        <f aca="false">Sens!$O$9921*m_ad</f>
        <v>5.50052681786011</v>
      </c>
    </row>
    <row r="10025" customFormat="false" ht="17.15" hidden="false" customHeight="false" outlineLevel="0" collapsed="false">
      <c r="A10025" s="0" t="s">
        <v>738</v>
      </c>
      <c r="B10025" s="0" t="s">
        <v>86</v>
      </c>
      <c r="C10025" s="38" t="n">
        <f aca="false">Sens!$C$9919-Sens!$C$9921</f>
        <v>127.760312882846</v>
      </c>
      <c r="D10025" s="38" t="n">
        <f aca="false">Sens!$D$9919-Sens!$D$9921</f>
        <v>143.003123459917</v>
      </c>
      <c r="E10025" s="38" t="n">
        <f aca="false">Sens!$E$9919-Sens!$E$9921</f>
        <v>71.9374224924414</v>
      </c>
      <c r="F10025" s="38" t="n">
        <f aca="false">Sens!$F$9919-Sens!$F$9921</f>
        <v>85.3951910035875</v>
      </c>
      <c r="G10025" s="38" t="n">
        <f aca="false">Sens!$G$9919-Sens!$G$9921</f>
        <v>157.349430014619</v>
      </c>
      <c r="H10025" s="38" t="n">
        <f aca="false">Sens!$H$9919-Sens!$H$9921</f>
        <v>172.043153372315</v>
      </c>
      <c r="I10025" s="38" t="n">
        <f aca="false">Sens!$I$9919-Sens!$I$9921</f>
        <v>186.097493615879</v>
      </c>
      <c r="J10025" s="38" t="n">
        <f aca="false">Sens!$J$9919-Sens!$J$9921</f>
        <v>199.117932780497</v>
      </c>
      <c r="K10025" s="38" t="n">
        <f aca="false">Sens!$K$9919-Sens!$K$9921</f>
        <v>210.70928698363</v>
      </c>
      <c r="L10025" s="38" t="n">
        <f aca="false">Sens!$L$9919-Sens!$L$9921</f>
        <v>223.000532251316</v>
      </c>
      <c r="M10025" s="38" t="n">
        <f aca="false">Sens!$M$9919-Sens!$M$9921</f>
        <v>236.035261011339</v>
      </c>
      <c r="N10025" s="38" t="n">
        <f aca="false">Sens!$N$9919-Sens!$N$9921</f>
        <v>62.3677111412496</v>
      </c>
      <c r="O10025" s="38" t="n">
        <f aca="false">Sens!$O$9919-Sens!$O$9921</f>
        <v>80.6189463642798</v>
      </c>
    </row>
    <row r="10026" customFormat="false" ht="17.15" hidden="false" customHeight="false" outlineLevel="0" collapsed="false">
      <c r="A10026" s="0" t="s">
        <v>739</v>
      </c>
      <c r="B10026" s="0" t="s">
        <v>86</v>
      </c>
      <c r="C10026" s="38" t="n">
        <f aca="false">Sens!$C$9972*(1-Sens!$C$9917)</f>
        <v>0.0455891896019953</v>
      </c>
      <c r="D10026" s="38" t="n">
        <f aca="false">Sens!$D$9972*(1-Sens!$D$9917)</f>
        <v>0.227931791705753</v>
      </c>
      <c r="E10026" s="38" t="n">
        <f aca="false">Sens!$E$9972*(1-Sens!$E$9917)</f>
        <v>0.412460434890711</v>
      </c>
      <c r="F10026" s="38" t="n">
        <f aca="false">Sens!$F$9972*(1-Sens!$F$9917)</f>
        <v>0.524534016233997</v>
      </c>
      <c r="G10026" s="38" t="n">
        <f aca="false">Sens!$G$9972*(1-Sens!$G$9917)</f>
        <v>0.936474095312266</v>
      </c>
      <c r="H10026" s="38" t="n">
        <f aca="false">Sens!$H$9972*(1-Sens!$H$9917)</f>
        <v>2.54003589327823</v>
      </c>
      <c r="I10026" s="38" t="n">
        <f aca="false">Sens!$I$9972*(1-Sens!$I$9917)</f>
        <v>4.88320120852905</v>
      </c>
      <c r="J10026" s="38" t="n">
        <f aca="false">Sens!$J$9972*(1-Sens!$J$9917)</f>
        <v>7.05069548920359</v>
      </c>
      <c r="K10026" s="38" t="n">
        <f aca="false">Sens!$K$9972*(1-Sens!$K$9917)</f>
        <v>9.17593479184157</v>
      </c>
      <c r="L10026" s="38" t="n">
        <f aca="false">Sens!$L$9972*(1-Sens!$L$9917)</f>
        <v>10.6787171482804</v>
      </c>
      <c r="M10026" s="38" t="n">
        <f aca="false">Sens!$M$9972*(1-Sens!$M$9917)</f>
        <v>11.5539795384319</v>
      </c>
      <c r="N10026" s="38" t="n">
        <f aca="false">Sens!$N$9972*(1-Sens!$N$9917)</f>
        <v>0.0912435878202994</v>
      </c>
      <c r="O10026" s="38" t="n">
        <f aca="false">Sens!$O$9972*(1-Sens!$O$9917)</f>
        <v>0.137119578309265</v>
      </c>
    </row>
    <row r="10027" customFormat="false" ht="17.15" hidden="false" customHeight="false" outlineLevel="0" collapsed="false">
      <c r="A10027" s="0" t="s">
        <v>740</v>
      </c>
      <c r="B10027" s="0" t="s">
        <v>52</v>
      </c>
      <c r="C10027" s="28" t="n">
        <f aca="false">(Sens!$C$10028-Sens!$C$10024+Sens!$C$10026)/Sens!$C$10025</f>
        <v>-0.0292364215826579</v>
      </c>
      <c r="D10027" s="28" t="n">
        <f aca="false">(Sens!$D$10028-Sens!$D$10024+Sens!$D$10026)/Sens!$D$10025</f>
        <v>-0.0312406216748665</v>
      </c>
      <c r="E10027" s="28" t="n">
        <f aca="false">(Sens!$E$10028-Sens!$E$10024+Sens!$E$10026)/Sens!$E$10025</f>
        <v>-0.0204459413185552</v>
      </c>
      <c r="F10027" s="28" t="n">
        <f aca="false">Sens!$O$10027+(Sens!$E$10027-Sens!$N$10027)</f>
        <v>-0.0375409290246314</v>
      </c>
      <c r="G10027" s="28" t="n">
        <f aca="false">(Sens!$G$10028-Sens!$G$10024+Sens!$G$10026)/Sens!$G$10025</f>
        <v>-0.0296712560031684</v>
      </c>
      <c r="H10027" s="28" t="n">
        <f aca="false">Sens!$G$10027+step_in</f>
        <v>-0.0296712560031684</v>
      </c>
      <c r="I10027" s="28" t="n">
        <f aca="false">Sens!$H$10027+step_in</f>
        <v>-0.0296712560031684</v>
      </c>
      <c r="J10027" s="28" t="n">
        <f aca="false">Sens!$I$10027+step_in</f>
        <v>-0.0296712560031684</v>
      </c>
      <c r="K10027" s="28" t="n">
        <f aca="false">Sens!$J$10027+step_in</f>
        <v>-0.0296712560031684</v>
      </c>
      <c r="L10027" s="28" t="n">
        <f aca="false">Sens!$K$10027</f>
        <v>-0.0296712560031684</v>
      </c>
      <c r="M10027" s="28" t="n">
        <f aca="false">Sens!$L$10027</f>
        <v>-0.0296712560031684</v>
      </c>
      <c r="N10027" s="28" t="n">
        <f aca="false">(Sens!$N$10028-Sens!$N$10024+Sens!$N$10026)/Sens!$N$10025</f>
        <v>-0.0216602600421776</v>
      </c>
      <c r="O10027" s="28" t="n">
        <f aca="false">(Sens!$O$10028-Sens!$O$10024+Sens!$O$10026)/Sens!$O$10025</f>
        <v>-0.0387552477482538</v>
      </c>
      <c r="P10027" s="8" t="s">
        <v>735</v>
      </c>
    </row>
    <row r="10028" customFormat="false" ht="17.15" hidden="false" customHeight="false" outlineLevel="0" collapsed="false">
      <c r="A10028" s="1" t="s">
        <v>741</v>
      </c>
      <c r="B10028" s="8" t="s">
        <v>86</v>
      </c>
      <c r="C10028" s="38" t="n">
        <f aca="false">Q!$D$23</f>
        <v>3.792</v>
      </c>
      <c r="D10028" s="38" t="n">
        <f aca="false">Q!$E$23</f>
        <v>4.75</v>
      </c>
      <c r="E10028" s="38" t="n">
        <f aca="false">Q!$P$23</f>
        <v>3.141</v>
      </c>
      <c r="F10028" s="38" t="n">
        <f aca="false">Sens!$F$10024+Sens!$F$10025*Sens!$F$10027-Sens!$F$10026</f>
        <v>2.77628975993721</v>
      </c>
      <c r="G10028" s="38" t="n">
        <f aca="false">Sens!$E$10028+Sens!$F$10028</f>
        <v>5.91728975993721</v>
      </c>
      <c r="H10028" s="38" t="n">
        <f aca="false">Sens!$H$10024+Sens!$H$10025*Sens!$H$10027-Sens!$H$10026</f>
        <v>6.18860052573681</v>
      </c>
      <c r="I10028" s="38" t="n">
        <f aca="false">Sens!$I$10024+Sens!$I$10025*Sens!$I$10027-Sens!$I$10026</f>
        <v>5.73906974139474</v>
      </c>
      <c r="J10028" s="38" t="n">
        <f aca="false">Sens!$J$10024+Sens!$J$10025*Sens!$J$10027-Sens!$J$10026</f>
        <v>5.34074393695119</v>
      </c>
      <c r="K10028" s="38" t="n">
        <f aca="false">Sens!$K$10024+Sens!$K$10025*Sens!$K$10027-Sens!$K$10026</f>
        <v>4.7015264547793</v>
      </c>
      <c r="L10028" s="38" t="n">
        <f aca="false">Sens!$L$10024+Sens!$L$10025*Sens!$L$10027-Sens!$L$10026</f>
        <v>4.84699445770095</v>
      </c>
      <c r="M10028" s="38" t="n">
        <f aca="false">Sens!$M$10024+Sens!$M$10025*Sens!$M$10027-Sens!$M$10026</f>
        <v>5.79921704230423</v>
      </c>
      <c r="N10028" s="38" t="n">
        <f aca="false">Q!$N$23</f>
        <v>2.511</v>
      </c>
      <c r="O10028" s="38" t="n">
        <f aca="false">Q!$O$23</f>
        <v>2.239</v>
      </c>
    </row>
    <row r="10029" customFormat="false" ht="17.15" hidden="false" customHeight="false" outlineLevel="0" collapsed="false">
      <c r="A10029" s="0" t="s">
        <v>742</v>
      </c>
      <c r="B10029" s="0" t="s">
        <v>86</v>
      </c>
      <c r="C10029" s="38" t="n">
        <f aca="false">Sens!$C$9969</f>
        <v>1.64417882953695</v>
      </c>
      <c r="D10029" s="38" t="n">
        <f aca="false">Sens!$D$9969</f>
        <v>5.39125073772939</v>
      </c>
      <c r="E10029" s="38" t="n">
        <f aca="false">Sens!$E$9969</f>
        <v>2.42691120599613</v>
      </c>
      <c r="F10029" s="38" t="n">
        <f aca="false">Sens!$F$9969</f>
        <v>7.52148563094346</v>
      </c>
      <c r="G10029" s="38" t="n">
        <f aca="false">Sens!$G$9969</f>
        <v>9.94839683693959</v>
      </c>
      <c r="H10029" s="38" t="n">
        <f aca="false">Sens!$H$9969</f>
        <v>23.4804386990861</v>
      </c>
      <c r="I10029" s="38" t="n">
        <f aca="false">Sens!$I$9969</f>
        <v>30.9761745989143</v>
      </c>
      <c r="J10029" s="38" t="n">
        <f aca="false">Sens!$J$9969</f>
        <v>41.1930070746977</v>
      </c>
      <c r="K10029" s="38" t="n">
        <f aca="false">Sens!$K$9969</f>
        <v>46.207109848861</v>
      </c>
      <c r="L10029" s="38" t="n">
        <f aca="false">Sens!$L$9969</f>
        <v>48.6336850741534</v>
      </c>
      <c r="M10029" s="38" t="n">
        <f aca="false">Sens!$M$9969</f>
        <v>48.5170504329428</v>
      </c>
      <c r="N10029" s="38" t="n">
        <f aca="false">Sens!$N$9969</f>
        <v>1.67921600037079</v>
      </c>
      <c r="O10029" s="38" t="n">
        <f aca="false">Sens!$O$9969</f>
        <v>3.71203473735861</v>
      </c>
    </row>
    <row r="10030" customFormat="false" ht="17.15" hidden="false" customHeight="false" outlineLevel="0" collapsed="false">
      <c r="A10030" s="0" t="s">
        <v>660</v>
      </c>
      <c r="B10030" s="0" t="s">
        <v>86</v>
      </c>
      <c r="C10030" s="38" t="n">
        <f aca="false">Sens!$C$9974</f>
        <v>38.1898211704631</v>
      </c>
      <c r="D10030" s="38" t="n">
        <f aca="false">Sens!$D$9974</f>
        <v>40.2147492622706</v>
      </c>
      <c r="E10030" s="38" t="n">
        <f aca="false">Sens!$E$9974</f>
        <v>28.3550887940039</v>
      </c>
      <c r="F10030" s="38" t="n">
        <f aca="false">Sens!$F$9974</f>
        <v>25.9529793149447</v>
      </c>
      <c r="G10030" s="38" t="n">
        <f aca="false">Sens!$G$9974</f>
        <v>54.3080681089486</v>
      </c>
      <c r="H10030" s="38" t="n">
        <f aca="false">Sens!$H$9974</f>
        <v>58.2264684589333</v>
      </c>
      <c r="I10030" s="38" t="n">
        <f aca="false">Sens!$I$9974</f>
        <v>64.6461353851744</v>
      </c>
      <c r="J10030" s="38" t="n">
        <f aca="false">Sens!$J$9974</f>
        <v>70.7957093610231</v>
      </c>
      <c r="K10030" s="38" t="n">
        <f aca="false">Sens!$K$9974</f>
        <v>76.4593661099049</v>
      </c>
      <c r="L10030" s="38" t="n">
        <f aca="false">Sens!$L$9974</f>
        <v>82.5761153986973</v>
      </c>
      <c r="M10030" s="38" t="n">
        <f aca="false">Sens!$M$9974</f>
        <v>89.1822046305931</v>
      </c>
      <c r="N10030" s="38" t="n">
        <f aca="false">Sens!$N$9974</f>
        <v>20.0277839996292</v>
      </c>
      <c r="O10030" s="38" t="n">
        <f aca="false">Sens!$O$9974</f>
        <v>20.1869652626414</v>
      </c>
    </row>
    <row r="10031" customFormat="false" ht="17.15" hidden="false" customHeight="false" outlineLevel="0" collapsed="false">
      <c r="A10031" s="1" t="s">
        <v>743</v>
      </c>
      <c r="B10031" s="8" t="s">
        <v>86</v>
      </c>
      <c r="C10031" s="38" t="n">
        <f aca="false">Q!$D$24</f>
        <v>39.834</v>
      </c>
      <c r="D10031" s="38" t="n">
        <f aca="false">Q!$E$24</f>
        <v>45.606</v>
      </c>
      <c r="E10031" s="38" t="n">
        <f aca="false">Q!$P$24</f>
        <v>30.782</v>
      </c>
      <c r="F10031" s="38" t="n">
        <f aca="false">Sens!$F$10029+Sens!$F$10030</f>
        <v>33.4744649458882</v>
      </c>
      <c r="G10031" s="38" t="n">
        <f aca="false">Sens!$G$10029+Sens!$G$10030</f>
        <v>64.2564649458882</v>
      </c>
      <c r="H10031" s="38" t="n">
        <f aca="false">Sens!$H$10029+Sens!$H$10030</f>
        <v>81.7069071580194</v>
      </c>
      <c r="I10031" s="38" t="n">
        <f aca="false">Sens!$I$10029+Sens!$I$10030</f>
        <v>95.6223099840887</v>
      </c>
      <c r="J10031" s="38" t="n">
        <f aca="false">Sens!$J$10029+Sens!$J$10030</f>
        <v>111.988716435721</v>
      </c>
      <c r="K10031" s="38" t="n">
        <f aca="false">Sens!$K$10029+Sens!$K$10030</f>
        <v>122.666475958766</v>
      </c>
      <c r="L10031" s="38" t="n">
        <f aca="false">Sens!$L$10029+Sens!$L$10030</f>
        <v>131.209800472851</v>
      </c>
      <c r="M10031" s="38" t="n">
        <f aca="false">Sens!$M$10029+Sens!$M$10030</f>
        <v>137.699255063536</v>
      </c>
      <c r="N10031" s="38" t="n">
        <f aca="false">Q!$N$24</f>
        <v>21.707</v>
      </c>
      <c r="O10031" s="38" t="n">
        <f aca="false">Q!$O$24</f>
        <v>23.899</v>
      </c>
    </row>
    <row r="10032" customFormat="false" ht="17.15" hidden="false" customHeight="false" outlineLevel="0" collapsed="false">
      <c r="A10032" s="5" t="s">
        <v>744</v>
      </c>
      <c r="B10032" s="0" t="s">
        <v>86</v>
      </c>
      <c r="C10032" s="38" t="n">
        <f aca="false">Q!$D$26</f>
        <v>0</v>
      </c>
      <c r="D10032" s="38" t="n">
        <f aca="false">Q!$E$26</f>
        <v>0</v>
      </c>
      <c r="E10032" s="38" t="n">
        <f aca="false">Q!$P$26</f>
        <v>0</v>
      </c>
      <c r="F10032" s="39" t="n">
        <v>0</v>
      </c>
      <c r="G10032" s="38" t="n">
        <f aca="false">Sens!$E$10032+Sens!$F$10032</f>
        <v>0</v>
      </c>
      <c r="H10032" s="39" t="n">
        <v>0</v>
      </c>
      <c r="I10032" s="39" t="n">
        <v>0</v>
      </c>
      <c r="J10032" s="39" t="n">
        <v>0</v>
      </c>
      <c r="K10032" s="39" t="n">
        <v>0</v>
      </c>
      <c r="L10032" s="39" t="n">
        <v>0</v>
      </c>
      <c r="M10032" s="39" t="n">
        <v>0</v>
      </c>
      <c r="N10032" s="38" t="n">
        <f aca="false">Q!$N$26</f>
        <v>0</v>
      </c>
      <c r="O10032" s="38" t="n">
        <f aca="false">Q!$O$26</f>
        <v>0</v>
      </c>
    </row>
    <row r="10033" customFormat="false" ht="15" hidden="false" customHeight="false" outlineLevel="0" collapsed="false">
      <c r="A10033" s="3" t="s">
        <v>541</v>
      </c>
      <c r="B10033" s="8" t="s">
        <v>86</v>
      </c>
      <c r="C10033" s="38" t="n">
        <f aca="false">Q!$D$25</f>
        <v>68.593</v>
      </c>
      <c r="D10033" s="38" t="n">
        <f aca="false">Q!$E$25</f>
        <v>79.975</v>
      </c>
      <c r="E10033" s="38" t="n">
        <f aca="false">Q!$P$25</f>
        <v>51.313</v>
      </c>
      <c r="F10033" s="38" t="n">
        <f aca="false">Sens!$F$10023+Sens!$F$10028+Sens!$F$10031+Sens!$F$10032</f>
        <v>56.3652566987294</v>
      </c>
      <c r="G10033" s="38" t="n">
        <f aca="false">Sens!$G$10023+Sens!$G$10028+Sens!$G$10031+Sens!$G$10032</f>
        <v>107.678256698729</v>
      </c>
      <c r="H10033" s="38" t="n">
        <f aca="false">Sens!$H$10023+Sens!$H$10028+Sens!$H$10031+Sens!$H$10032</f>
        <v>129.515456870266</v>
      </c>
      <c r="I10033" s="38" t="n">
        <f aca="false">Sens!$I$10023+Sens!$I$10028+Sens!$I$10031+Sens!$I$10032</f>
        <v>145.345387082626</v>
      </c>
      <c r="J10033" s="38" t="n">
        <f aca="false">Sens!$J$10023+Sens!$J$10028+Sens!$J$10031+Sens!$J$10032</f>
        <v>163.862141869716</v>
      </c>
      <c r="K10033" s="38" t="n">
        <f aca="false">Sens!$K$10023+Sens!$K$10028+Sens!$K$10031+Sens!$K$10032</f>
        <v>175.779323251141</v>
      </c>
      <c r="L10033" s="38" t="n">
        <f aca="false">Sens!$L$10023+Sens!$L$10028+Sens!$L$10031+Sens!$L$10032</f>
        <v>186.955858345587</v>
      </c>
      <c r="M10033" s="38" t="n">
        <f aca="false">Sens!$M$10023+Sens!$M$10028+Sens!$M$10031+Sens!$M$10032</f>
        <v>199.118998363697</v>
      </c>
      <c r="N10033" s="38" t="n">
        <f aca="false">Q!$N$25</f>
        <v>37.576</v>
      </c>
      <c r="O10033" s="38" t="n">
        <f aca="false">Q!$O$25</f>
        <v>42.399</v>
      </c>
    </row>
    <row r="10034" customFormat="false" ht="17.15" hidden="false" customHeight="false" outlineLevel="0" collapsed="false">
      <c r="A10034" s="24" t="s">
        <v>775</v>
      </c>
      <c r="B10034" s="25" t="s">
        <v>86</v>
      </c>
      <c r="C10034" s="41" t="n">
        <f aca="false">Sens!$C$10023+Sens!$C$10028+Sens!$C$10031+Sens!$C$10032-Sens!$C$10033</f>
        <v>0</v>
      </c>
      <c r="D10034" s="41" t="n">
        <f aca="false">Sens!$D$10023+Sens!$D$10028+Sens!$D$10031+Sens!$D$10032-Sens!$D$10033</f>
        <v>0</v>
      </c>
      <c r="E10034" s="41" t="n">
        <f aca="false">Sens!$E$10023+Sens!$E$10028+Sens!$E$10031+Sens!$E$10032-Sens!$E$10033</f>
        <v>0</v>
      </c>
      <c r="F10034" s="41" t="n">
        <f aca="false">Sens!$F$10023+Sens!$F$10028+Sens!$F$10031+Sens!$F$10032-Sens!$F$10033</f>
        <v>0</v>
      </c>
      <c r="G10034" s="41" t="n">
        <f aca="false">Sens!$G$10023+Sens!$G$10028+Sens!$G$10031+Sens!$G$10032-Sens!$G$10033</f>
        <v>0</v>
      </c>
      <c r="H10034" s="41" t="n">
        <f aca="false">Sens!$H$10023+Sens!$H$10028+Sens!$H$10031+Sens!$H$10032-Sens!$H$10033</f>
        <v>0</v>
      </c>
      <c r="I10034" s="41" t="n">
        <f aca="false">Sens!$I$10023+Sens!$I$10028+Sens!$I$10031+Sens!$I$10032-Sens!$I$10033</f>
        <v>0</v>
      </c>
      <c r="J10034" s="41" t="n">
        <f aca="false">Sens!$J$10023+Sens!$J$10028+Sens!$J$10031+Sens!$J$10032-Sens!$J$10033</f>
        <v>0</v>
      </c>
      <c r="K10034" s="41" t="n">
        <f aca="false">Sens!$K$10023+Sens!$K$10028+Sens!$K$10031+Sens!$K$10032-Sens!$K$10033</f>
        <v>0</v>
      </c>
      <c r="L10034" s="41" t="n">
        <f aca="false">Sens!$L$10023+Sens!$L$10028+Sens!$L$10031+Sens!$L$10032-Sens!$L$10033</f>
        <v>0</v>
      </c>
      <c r="M10034" s="41" t="n">
        <f aca="false">Sens!$M$10023+Sens!$M$10028+Sens!$M$10031+Sens!$M$10032-Sens!$M$10033</f>
        <v>0</v>
      </c>
      <c r="N10034" s="41" t="n">
        <f aca="false">Sens!$N$10023+Sens!$N$10028+Sens!$N$10031+Sens!$N$10032-Sens!$N$10033</f>
        <v>0</v>
      </c>
      <c r="O10034" s="41" t="n">
        <f aca="false">Sens!$O$10023+Sens!$O$10028+Sens!$O$10031+Sens!$O$10032-Sens!$O$10033</f>
        <v>0</v>
      </c>
    </row>
    <row r="10035" customFormat="false" ht="17.15" hidden="false" customHeight="false" outlineLevel="0" collapsed="false">
      <c r="A10035" s="5" t="s">
        <v>746</v>
      </c>
      <c r="B10035" s="0" t="s">
        <v>86</v>
      </c>
      <c r="C10035" s="38" t="n">
        <f aca="false">Sens!$C$9971</f>
        <v>0</v>
      </c>
      <c r="D10035" s="38" t="n">
        <f aca="false">Sens!$D$9971</f>
        <v>0</v>
      </c>
      <c r="E10035" s="38" t="n">
        <f aca="false">Sens!$E$9971</f>
        <v>0</v>
      </c>
      <c r="F10035" s="38" t="n">
        <f aca="false">Sens!$F$9971</f>
        <v>3.77122048175818</v>
      </c>
      <c r="G10035" s="38" t="n">
        <f aca="false">Sens!$G$9971</f>
        <v>3.77122048175818</v>
      </c>
      <c r="H10035" s="38" t="n">
        <f aca="false">Sens!$H$9971</f>
        <v>15.1635543609893</v>
      </c>
      <c r="I10035" s="38" t="n">
        <f aca="false">Sens!$I$9971</f>
        <v>25.5818843619889</v>
      </c>
      <c r="J10035" s="38" t="n">
        <f aca="false">Sens!$J$9971</f>
        <v>36.0465624179122</v>
      </c>
      <c r="K10035" s="38" t="n">
        <f aca="false">Sens!$K$9971</f>
        <v>45.0461919819152</v>
      </c>
      <c r="L10035" s="38" t="n">
        <f aca="false">Sens!$L$9971</f>
        <v>51.1279288493339</v>
      </c>
      <c r="M10035" s="38" t="n">
        <f aca="false">Sens!$M$9971</f>
        <v>54.2845128319481</v>
      </c>
      <c r="N10035" s="38" t="n">
        <f aca="false">Sens!$N$9971</f>
        <v>0</v>
      </c>
      <c r="O10035" s="38" t="n">
        <f aca="false">Sens!$O$9971</f>
        <v>0</v>
      </c>
      <c r="P10035" s="5" t="s">
        <v>747</v>
      </c>
    </row>
    <row r="10036" customFormat="false" ht="17.15" hidden="false" customHeight="false" outlineLevel="0" collapsed="false">
      <c r="A10036" s="5" t="s">
        <v>748</v>
      </c>
      <c r="B10036" s="0" t="s">
        <v>86</v>
      </c>
      <c r="C10036" s="38" t="n">
        <f aca="false">Sens!$C$10033+Sens!$C$10035</f>
        <v>68.593</v>
      </c>
      <c r="D10036" s="38" t="n">
        <f aca="false">Sens!$D$10033+Sens!$D$10035</f>
        <v>79.975</v>
      </c>
      <c r="E10036" s="38" t="n">
        <f aca="false">Sens!$E$10033+Sens!$E$10035</f>
        <v>51.313</v>
      </c>
      <c r="F10036" s="38" t="n">
        <f aca="false">Sens!$F$10033+Sens!$F$10035</f>
        <v>60.1364771804876</v>
      </c>
      <c r="G10036" s="38" t="n">
        <f aca="false">Sens!$G$10033+Sens!$G$10035</f>
        <v>111.449477180488</v>
      </c>
      <c r="H10036" s="38" t="n">
        <f aca="false">Sens!$H$10033+Sens!$H$10035</f>
        <v>144.679011231256</v>
      </c>
      <c r="I10036" s="38" t="n">
        <f aca="false">Sens!$I$10033+Sens!$I$10035</f>
        <v>170.927271444615</v>
      </c>
      <c r="J10036" s="38" t="n">
        <f aca="false">Sens!$J$10033+Sens!$J$10035</f>
        <v>199.908704287628</v>
      </c>
      <c r="K10036" s="38" t="n">
        <f aca="false">Sens!$K$10033+Sens!$K$10035</f>
        <v>220.825515233056</v>
      </c>
      <c r="L10036" s="38" t="n">
        <f aca="false">Sens!$L$10033+Sens!$L$10035</f>
        <v>238.083787194921</v>
      </c>
      <c r="M10036" s="38" t="n">
        <f aca="false">Sens!$M$10033+Sens!$M$10035</f>
        <v>253.403511195645</v>
      </c>
      <c r="N10036" s="38" t="n">
        <f aca="false">Sens!$N$10033+Sens!$N$10035</f>
        <v>37.576</v>
      </c>
      <c r="O10036" s="38" t="n">
        <f aca="false">Sens!$O$10033+Sens!$O$10035</f>
        <v>42.399</v>
      </c>
    </row>
    <row r="10037" customFormat="false" ht="17.15" hidden="false" customHeight="false" outlineLevel="0" collapsed="false">
      <c r="A10037" s="0" t="s">
        <v>749</v>
      </c>
      <c r="B10037" s="0" t="s">
        <v>52</v>
      </c>
      <c r="C10037" s="13" t="n">
        <f aca="false">Sens!$C$10023/Sens!$C$10008</f>
        <v>0.0644314665661928</v>
      </c>
      <c r="D10037" s="13" t="n">
        <f aca="false">Sens!$D$10023/Sens!$D$10008</f>
        <v>0.0694784250712518</v>
      </c>
      <c r="E10037" s="13" t="n">
        <f aca="false">Sens!$E$10023/Sens!$E$10008</f>
        <v>0.0789306463326071</v>
      </c>
      <c r="F10037" s="13" t="n">
        <f aca="false">Sens!$F$10023/Sens!$F$10008</f>
        <v>0.0802526339438384</v>
      </c>
      <c r="G10037" s="13" t="n">
        <f aca="false">Sens!$G$10023/Sens!$G$10008</f>
        <v>0.0796341940538369</v>
      </c>
      <c r="H10037" s="13" t="n">
        <f aca="false">Sens!$H$10023/Sens!$H$10008</f>
        <v>0.0798254462645258</v>
      </c>
      <c r="I10037" s="13" t="n">
        <f aca="false">Sens!$I$10023/Sens!$I$10008</f>
        <v>0.0771454543672196</v>
      </c>
      <c r="J10037" s="13" t="n">
        <f aca="false">Sens!$J$10023/Sens!$J$10008</f>
        <v>0.0756147693819656</v>
      </c>
      <c r="K10037" s="13" t="n">
        <f aca="false">Sens!$K$10023/Sens!$K$10008</f>
        <v>0.0738869244938598</v>
      </c>
      <c r="L10037" s="13" t="n">
        <f aca="false">Sens!$L$10023/Sens!$L$10008</f>
        <v>0.0729413856455048</v>
      </c>
      <c r="M10037" s="13" t="n">
        <f aca="false">Sens!$M$10023/Sens!$M$10008</f>
        <v>0.0748191774302641</v>
      </c>
      <c r="N10037" s="13" t="n">
        <f aca="false">Sens!$N$10023/Sens!$N$10008</f>
        <v>0.069228576611127</v>
      </c>
      <c r="O10037" s="13" t="n">
        <f aca="false">Sens!$O$10023/Sens!$O$10008</f>
        <v>0.069685022498393</v>
      </c>
    </row>
    <row r="10038" customFormat="false" ht="17.15" hidden="false" customHeight="false" outlineLevel="0" collapsed="false">
      <c r="A10038" s="0" t="s">
        <v>750</v>
      </c>
      <c r="B10038" s="0" t="s">
        <v>52</v>
      </c>
      <c r="C10038" s="13" t="n">
        <f aca="false">Sens!$C$10028/Sens!$C$10009</f>
        <v>0.026534925055631</v>
      </c>
      <c r="D10038" s="13" t="n">
        <f aca="false">Sens!$D$10028/Sens!$D$10009</f>
        <v>0.0293401855535103</v>
      </c>
      <c r="E10038" s="13" t="n">
        <f aca="false">Sens!$E$10028/Sens!$E$10009</f>
        <v>0.03831141902276</v>
      </c>
      <c r="F10038" s="13" t="n">
        <f aca="false">Sens!$F$10028/Sens!$F$10009</f>
        <v>0.0282118989524726</v>
      </c>
      <c r="G10038" s="13" t="n">
        <f aca="false">Sens!$G$10028/Sens!$G$10009</f>
        <v>0.0328019468674976</v>
      </c>
      <c r="H10038" s="13" t="n">
        <f aca="false">Sens!$H$10028/Sens!$H$10009</f>
        <v>0.0309879507899839</v>
      </c>
      <c r="I10038" s="13" t="n">
        <f aca="false">Sens!$I$10028/Sens!$I$10009</f>
        <v>0.0262795332043765</v>
      </c>
      <c r="J10038" s="13" t="n">
        <f aca="false">Sens!$J$10028/Sens!$J$10009</f>
        <v>0.0226574435353346</v>
      </c>
      <c r="K10038" s="13" t="n">
        <f aca="false">Sens!$K$10028/Sens!$K$10009</f>
        <v>0.0187335524288883</v>
      </c>
      <c r="L10038" s="13" t="n">
        <f aca="false">Sens!$L$10028/Sens!$L$10009</f>
        <v>0.0181341556704294</v>
      </c>
      <c r="M10038" s="13" t="n">
        <f aca="false">Sens!$M$10028/Sens!$M$10009</f>
        <v>0.0203660964800158</v>
      </c>
      <c r="N10038" s="13" t="n">
        <f aca="false">Sens!$N$10028/Sens!$N$10009</f>
        <v>0.0357315650169337</v>
      </c>
      <c r="O10038" s="13" t="n">
        <f aca="false">Sens!$O$10028/Sens!$O$10009</f>
        <v>0.0244378956559703</v>
      </c>
    </row>
    <row r="10039" customFormat="false" ht="17.15" hidden="false" customHeight="false" outlineLevel="0" collapsed="false">
      <c r="A10039" s="14" t="s">
        <v>751</v>
      </c>
      <c r="B10039" s="14" t="s">
        <v>52</v>
      </c>
      <c r="C10039" s="17" t="n">
        <f aca="false">Sens!$C$10031/Sens!$C$10010</f>
        <v>0.370355907620217</v>
      </c>
      <c r="D10039" s="17" t="n">
        <f aca="false">Sens!$D$10031/Sens!$D$10010</f>
        <v>0.35429015342785</v>
      </c>
      <c r="E10039" s="17" t="n">
        <f aca="false">Sens!$E$10031/Sens!$E$10010</f>
        <v>0.385647527531039</v>
      </c>
      <c r="F10039" s="17" t="n">
        <f aca="false">Sens!$F$10031/Sens!$F$10010</f>
        <v>0.385949613469105</v>
      </c>
      <c r="G10039" s="17" t="n">
        <f aca="false">Sens!$G$10031/Sens!$G$10010</f>
        <v>0.385804840448779</v>
      </c>
      <c r="H10039" s="17" t="n">
        <f aca="false">Sens!$H$10031/Sens!$H$10010</f>
        <v>0.369408675360557</v>
      </c>
      <c r="I10039" s="17" t="n">
        <f aca="false">Sens!$I$10031/Sens!$I$10010</f>
        <v>0.34117504540738</v>
      </c>
      <c r="J10039" s="17" t="n">
        <f aca="false">Sens!$J$10031/Sens!$J$10010</f>
        <v>0.330544285732563</v>
      </c>
      <c r="K10039" s="17" t="n">
        <f aca="false">Sens!$K$10031/Sens!$K$10010</f>
        <v>0.314391026840651</v>
      </c>
      <c r="L10039" s="17" t="n">
        <f aca="false">Sens!$L$10031/Sens!$L$10010</f>
        <v>0.304277342899302</v>
      </c>
      <c r="M10039" s="17" t="n">
        <f aca="false">Sens!$M$10031/Sens!$M$10010</f>
        <v>0.298043452941865</v>
      </c>
      <c r="N10039" s="17" t="n">
        <f aca="false">Sens!$N$10031/Sens!$N$10010</f>
        <v>0.360941137346192</v>
      </c>
      <c r="O10039" s="17" t="n">
        <f aca="false">Sens!$O$10031/Sens!$O$10010</f>
        <v>0.348458117664212</v>
      </c>
    </row>
    <row r="10040" customFormat="false" ht="17.15" hidden="false" customHeight="false" outlineLevel="0" collapsed="false">
      <c r="A10040" s="0" t="s">
        <v>752</v>
      </c>
      <c r="B10040" s="0" t="s">
        <v>52</v>
      </c>
      <c r="C10040" s="13" t="n">
        <f aca="false">Sens!$C$10029/Sens!$C$10011</f>
        <v>0.708390794789371</v>
      </c>
      <c r="D10040" s="13" t="n">
        <f aca="false">Sens!$D$10029/Sens!$D$10011</f>
        <v>0.619415573115729</v>
      </c>
      <c r="E10040" s="13" t="n">
        <f aca="false">Sens!$E$10029/Sens!$E$10011</f>
        <v>0.285171627189009</v>
      </c>
      <c r="F10040" s="13" t="n">
        <f aca="false">Sens!$F$10029/Sens!$F$10011</f>
        <v>0.502657732812366</v>
      </c>
      <c r="G10040" s="13" t="n">
        <f aca="false">Sens!$G$10029/Sens!$G$10011</f>
        <v>0.423808778611812</v>
      </c>
      <c r="H10040" s="13" t="n">
        <f aca="false">Sens!$H$10029/Sens!$H$10011</f>
        <v>0.390261631739809</v>
      </c>
      <c r="I10040" s="13" t="n">
        <f aca="false">Sens!$I$10029/Sens!$I$10011</f>
        <v>0.305172864264572</v>
      </c>
      <c r="J10040" s="13" t="n">
        <f aca="false">Sens!$J$10029/Sens!$J$10011</f>
        <v>0.288011814789856</v>
      </c>
      <c r="K10040" s="13" t="n">
        <f aca="false">Sens!$K$10029/Sens!$K$10011</f>
        <v>0.258524307562373</v>
      </c>
      <c r="L10040" s="13" t="n">
        <f aca="false">Sens!$L$10029/Sens!$L$10011</f>
        <v>0.23973400446073</v>
      </c>
      <c r="M10040" s="13" t="n">
        <f aca="false">Sens!$M$10029/Sens!$M$10011</f>
        <v>0.225252234257832</v>
      </c>
      <c r="N10040" s="13" t="n">
        <f aca="false">Sens!$N$10029/Sens!$N$10011</f>
        <v>0.551227795793364</v>
      </c>
      <c r="O10040" s="13" t="n">
        <f aca="false">Sens!$O$10029/Sens!$O$10011</f>
        <v>0.656132068597002</v>
      </c>
    </row>
    <row r="10041" customFormat="false" ht="15" hidden="false" customHeight="false" outlineLevel="0" collapsed="false">
      <c r="A10041" s="5" t="s">
        <v>753</v>
      </c>
      <c r="B10041" s="0" t="s">
        <v>52</v>
      </c>
      <c r="C10041" s="13" t="n">
        <f aca="false">Sens!$C$10033/Sens!$C$10013</f>
        <v>0.107519448742004</v>
      </c>
      <c r="D10041" s="13" t="n">
        <f aca="false">Sens!$D$10033/Sens!$D$10013</f>
        <v>0.111552967957552</v>
      </c>
      <c r="E10041" s="13" t="n">
        <f aca="false">Sens!$E$10033/Sens!$E$10013</f>
        <v>0.13428328426562</v>
      </c>
      <c r="F10041" s="13" t="n">
        <f aca="false">Sens!$F$10033/Sens!$F$10013</f>
        <v>0.129343087287827</v>
      </c>
      <c r="G10041" s="13" t="n">
        <f aca="false">Sens!$G$10033/Sens!$G$10013</f>
        <v>0.131651143259596</v>
      </c>
      <c r="H10041" s="13" t="n">
        <f aca="false">Sens!$H$10033/Sens!$H$10013</f>
        <v>0.137449034763893</v>
      </c>
      <c r="I10041" s="13" t="n">
        <f aca="false">Sens!$I$10033/Sens!$I$10013</f>
        <v>0.13598895915033</v>
      </c>
      <c r="J10041" s="13" t="n">
        <f aca="false">Sens!$J$10033/Sens!$J$10013</f>
        <v>0.137709769017663</v>
      </c>
      <c r="K10041" s="13" t="n">
        <f aca="false">Sens!$K$10033/Sens!$K$10013</f>
        <v>0.135595769442478</v>
      </c>
      <c r="L10041" s="13" t="n">
        <f aca="false">Sens!$L$10033/Sens!$L$10013</f>
        <v>0.133892716933209</v>
      </c>
      <c r="M10041" s="13" t="n">
        <f aca="false">Sens!$M$10033/Sens!$M$10013</f>
        <v>0.133622690533493</v>
      </c>
      <c r="N10041" s="13" t="n">
        <f aca="false">Sens!$N$10033/Sens!$N$10013</f>
        <v>0.116201614873411</v>
      </c>
      <c r="O10041" s="13" t="n">
        <f aca="false">Sens!$O$10033/Sens!$O$10013</f>
        <v>0.107733353660861</v>
      </c>
    </row>
    <row r="10042" customFormat="false" ht="17.15" hidden="false" customHeight="false" outlineLevel="0" collapsed="false">
      <c r="A10042" s="1" t="s">
        <v>754</v>
      </c>
    </row>
    <row r="10043" customFormat="false" ht="17.15" hidden="false" customHeight="false" outlineLevel="0" collapsed="false">
      <c r="A10043" s="5" t="s">
        <v>755</v>
      </c>
      <c r="B10043" s="0" t="s">
        <v>52</v>
      </c>
      <c r="D10043" s="28" t="n">
        <f aca="false">(Q!$E$29+Q!$E$30-(1-ext_sh)*Sens!$D$9965)/Sens!$D$9916</f>
        <v>0.0341105596409988</v>
      </c>
    </row>
    <row r="10044" customFormat="false" ht="17.15" hidden="false" customHeight="false" outlineLevel="0" collapsed="false">
      <c r="A10044" s="0" t="s">
        <v>545</v>
      </c>
      <c r="B10044" s="0" t="s">
        <v>86</v>
      </c>
      <c r="C10044" s="38" t="n">
        <f aca="false">Q!$D$29</f>
        <v>14.285</v>
      </c>
      <c r="D10044" s="38" t="n">
        <f aca="false">Q!$E$29</f>
        <v>15.503</v>
      </c>
      <c r="E10044" s="38" t="n">
        <f aca="false">Q!$P$29</f>
        <v>8.78</v>
      </c>
      <c r="F10044" s="38" t="n">
        <f aca="false">(Sens!$D$10043*Sens!$F$9916+(1-ext_sh)*Sens!$F$9965)*Sens!$F$9917</f>
        <v>9.30317620449232</v>
      </c>
      <c r="G10044" s="38" t="n">
        <f aca="false">Sens!$E$10044+Sens!$F$10044</f>
        <v>18.0831762044923</v>
      </c>
      <c r="H10044" s="38" t="n">
        <f aca="false">(Sens!$D$10043*Sens!$H$9916+(1-ext_sh)*Sens!$H$9965)*Sens!$H$9917</f>
        <v>22.1297245338482</v>
      </c>
      <c r="I10044" s="38" t="n">
        <f aca="false">(Sens!$D$10043*Sens!$I$9916+(1-ext_sh)*Sens!$I$9965)*Sens!$I$9917</f>
        <v>28.409695984391</v>
      </c>
      <c r="J10044" s="38" t="n">
        <f aca="false">(Sens!$D$10043*Sens!$J$9916+(1-ext_sh)*Sens!$J$9965)*Sens!$J$9917</f>
        <v>34.1085606174579</v>
      </c>
      <c r="K10044" s="38" t="n">
        <f aca="false">(Sens!$D$10043*Sens!$K$9916+(1-ext_sh)*Sens!$K$9965)*Sens!$K$9917</f>
        <v>39.7218983009068</v>
      </c>
      <c r="L10044" s="38" t="n">
        <f aca="false">(Sens!$D$10043*Sens!$L$9916+(1-ext_sh)*Sens!$L$9965)*Sens!$L$9917</f>
        <v>44.2244356822401</v>
      </c>
      <c r="M10044" s="38" t="n">
        <f aca="false">(Sens!$D$10043*Sens!$M$9916+(1-ext_sh)*Sens!$M$9965)*Sens!$M$9917</f>
        <v>47.610530532044</v>
      </c>
      <c r="N10044" s="38" t="n">
        <f aca="false">Q!$N$29</f>
        <v>7.272</v>
      </c>
      <c r="O10044" s="38" t="n">
        <f aca="false">Q!$O$29</f>
        <v>8.231</v>
      </c>
    </row>
    <row r="10045" customFormat="false" ht="17.15" hidden="false" customHeight="false" outlineLevel="0" collapsed="false">
      <c r="A10045" s="0" t="s">
        <v>547</v>
      </c>
      <c r="B10045" s="0" t="s">
        <v>86</v>
      </c>
      <c r="C10045" s="38" t="n">
        <f aca="false">Q!$D$30</f>
        <v>4.462</v>
      </c>
      <c r="D10045" s="38" t="n">
        <f aca="false">Q!$E$30</f>
        <v>4.907</v>
      </c>
      <c r="E10045" s="38" t="n">
        <f aca="false">Q!$P$30</f>
        <v>2.57</v>
      </c>
      <c r="F10045" s="38" t="n">
        <f aca="false">(Sens!$D$10043*Sens!$F$9916+(1-ext_sh)*Sens!$F$9965)*(1-Sens!$F$9917)</f>
        <v>3.6526976809753</v>
      </c>
      <c r="G10045" s="38" t="n">
        <f aca="false">Sens!$E$10045+Sens!$F$10045</f>
        <v>6.2226976809753</v>
      </c>
      <c r="H10045" s="38" t="n">
        <f aca="false">(Sens!$D$10043*Sens!$H$9916+(1-ext_sh)*Sens!$H$9965)*(1-Sens!$H$9917)</f>
        <v>8.4764774248495</v>
      </c>
      <c r="I10045" s="38" t="n">
        <f aca="false">(Sens!$D$10043*Sens!$I$9916+(1-ext_sh)*Sens!$I$9965)*(1-Sens!$I$9917)</f>
        <v>10.881931507561</v>
      </c>
      <c r="J10045" s="38" t="n">
        <f aca="false">(Sens!$D$10043*Sens!$J$9916+(1-ext_sh)*Sens!$J$9965)*(1-Sens!$J$9917)</f>
        <v>13.0648008575874</v>
      </c>
      <c r="K10045" s="38" t="n">
        <f aca="false">(Sens!$D$10043*Sens!$K$9916+(1-ext_sh)*Sens!$K$9965)*(1-Sens!$K$9917)</f>
        <v>15.2149103214008</v>
      </c>
      <c r="L10045" s="38" t="n">
        <f aca="false">(Sens!$D$10043*Sens!$L$9916+(1-ext_sh)*Sens!$L$9965)*(1-Sens!$L$9917)</f>
        <v>16.9395434685074</v>
      </c>
      <c r="M10045" s="38" t="n">
        <f aca="false">(Sens!$D$10043*Sens!$M$9916+(1-ext_sh)*Sens!$M$9965)*(1-Sens!$M$9917)</f>
        <v>18.2365391228754</v>
      </c>
      <c r="N10045" s="38" t="n">
        <f aca="false">Q!$N$30</f>
        <v>2.316</v>
      </c>
      <c r="O10045" s="38" t="n">
        <f aca="false">Q!$O$30</f>
        <v>2.591</v>
      </c>
    </row>
    <row r="10046" customFormat="false" ht="17.15" hidden="false" customHeight="false" outlineLevel="0" collapsed="false">
      <c r="A10046" s="0" t="s">
        <v>548</v>
      </c>
      <c r="B10046" s="0" t="s">
        <v>86</v>
      </c>
      <c r="C10046" s="38" t="n">
        <f aca="false">Sens!$C$9977</f>
        <v>13.32</v>
      </c>
      <c r="D10046" s="38" t="n">
        <f aca="false">Sens!$D$9977</f>
        <v>21.45</v>
      </c>
      <c r="E10046" s="38" t="n">
        <f aca="false">Sens!$E$9977</f>
        <v>15.353</v>
      </c>
      <c r="F10046" s="38" t="n">
        <f aca="false">Sens!$F$9977</f>
        <v>16.1969869840094</v>
      </c>
      <c r="G10046" s="38" t="n">
        <f aca="false">Sens!$G$9977</f>
        <v>31.5499869840094</v>
      </c>
      <c r="H10046" s="38" t="n">
        <f aca="false">Sens!$H$9977</f>
        <v>50.9556213609176</v>
      </c>
      <c r="I10046" s="38" t="n">
        <f aca="false">Sens!$I$9977</f>
        <v>79.464581248252</v>
      </c>
      <c r="J10046" s="38" t="n">
        <f aca="false">Sens!$J$9977</f>
        <v>105.296127931746</v>
      </c>
      <c r="K10046" s="38" t="n">
        <f aca="false">Sens!$K$9977</f>
        <v>131.454694001511</v>
      </c>
      <c r="L10046" s="38" t="n">
        <f aca="false">Sens!$L$9977</f>
        <v>151.152512648088</v>
      </c>
      <c r="M10046" s="38" t="n">
        <f aca="false">Sens!$M$9977</f>
        <v>164.335621193048</v>
      </c>
      <c r="N10046" s="38" t="n">
        <f aca="false">Sens!$N$9977</f>
        <v>9.234</v>
      </c>
      <c r="O10046" s="38" t="n">
        <f aca="false">Sens!$O$9977</f>
        <v>12.216</v>
      </c>
    </row>
    <row r="10047" customFormat="false" ht="17.15" hidden="false" customHeight="false" outlineLevel="0" collapsed="false">
      <c r="A10047" s="5" t="s">
        <v>756</v>
      </c>
      <c r="B10047" s="0" t="s">
        <v>86</v>
      </c>
      <c r="C10047" s="38" t="n">
        <f aca="false">Sens!$C$10044+Sens!$C$10045+Sens!$C$10046</f>
        <v>32.067</v>
      </c>
      <c r="D10047" s="38" t="n">
        <f aca="false">Sens!$D$10044+Sens!$D$10045+Sens!$D$10046</f>
        <v>41.86</v>
      </c>
      <c r="E10047" s="38" t="n">
        <f aca="false">Sens!$E$10044+Sens!$E$10045+Sens!$E$10046</f>
        <v>26.703</v>
      </c>
      <c r="F10047" s="38" t="n">
        <f aca="false">Sens!$F$10044+Sens!$F$10045+Sens!$F$10046</f>
        <v>29.152860869477</v>
      </c>
      <c r="G10047" s="38" t="n">
        <f aca="false">Sens!$G$10044+Sens!$G$10045+Sens!$G$10046</f>
        <v>55.855860869477</v>
      </c>
      <c r="H10047" s="38" t="n">
        <f aca="false">Sens!$H$10044+Sens!$H$10045+Sens!$H$10046</f>
        <v>81.5618233196153</v>
      </c>
      <c r="I10047" s="38" t="n">
        <f aca="false">Sens!$I$10044+Sens!$I$10045+Sens!$I$10046</f>
        <v>118.756208740204</v>
      </c>
      <c r="J10047" s="38" t="n">
        <f aca="false">Sens!$J$10044+Sens!$J$10045+Sens!$J$10046</f>
        <v>152.469489406791</v>
      </c>
      <c r="K10047" s="38" t="n">
        <f aca="false">Sens!$K$10044+Sens!$K$10045+Sens!$K$10046</f>
        <v>186.391502623819</v>
      </c>
      <c r="L10047" s="38" t="n">
        <f aca="false">Sens!$L$10044+Sens!$L$10045+Sens!$L$10046</f>
        <v>212.316491798836</v>
      </c>
      <c r="M10047" s="38" t="n">
        <f aca="false">Sens!$M$10044+Sens!$M$10045+Sens!$M$10046</f>
        <v>230.182690847967</v>
      </c>
      <c r="N10047" s="38" t="n">
        <f aca="false">Sens!$N$10044+Sens!$N$10045+Sens!$N$10046</f>
        <v>18.822</v>
      </c>
      <c r="O10047" s="38" t="n">
        <f aca="false">Sens!$O$10044+Sens!$O$10045+Sens!$O$10046</f>
        <v>23.038</v>
      </c>
    </row>
    <row r="10048" customFormat="false" ht="17.15" hidden="false" customHeight="false" outlineLevel="0" collapsed="false">
      <c r="A10048" s="0" t="s">
        <v>757</v>
      </c>
      <c r="B10048" s="0" t="s">
        <v>86</v>
      </c>
      <c r="C10048" s="38" t="n">
        <f aca="false">Sens!$C$10019+Sens!$C$10024</f>
        <v>28.107</v>
      </c>
      <c r="D10048" s="38" t="n">
        <f aca="false">Sens!$D$10019+Sens!$D$10024</f>
        <v>34.3175</v>
      </c>
      <c r="E10048" s="38" t="n">
        <f aca="false">Sens!$E$10019+Sens!$E$10024</f>
        <v>18.526</v>
      </c>
      <c r="F10048" s="38" t="n">
        <f aca="false">Sens!$F$10019+Sens!$F$10024</f>
        <v>23.0786109972074</v>
      </c>
      <c r="G10048" s="38" t="n">
        <f aca="false">Sens!$G$10019+Sens!$G$10024</f>
        <v>41.6046109972074</v>
      </c>
      <c r="H10048" s="38" t="n">
        <f aca="false">Sens!$H$10019+Sens!$H$10024</f>
        <v>49.9484611939488</v>
      </c>
      <c r="I10048" s="38" t="n">
        <f aca="false">Sens!$I$10019+Sens!$I$10024</f>
        <v>58.2915555477481</v>
      </c>
      <c r="J10048" s="38" t="n">
        <f aca="false">Sens!$J$10019+Sens!$J$10024</f>
        <v>66.0744709709759</v>
      </c>
      <c r="K10048" s="38" t="n">
        <f aca="false">Sens!$K$10019+Sens!$K$10024</f>
        <v>72.6819180680735</v>
      </c>
      <c r="L10048" s="38" t="n">
        <f aca="false">Sens!$L$10019+Sens!$L$10024</f>
        <v>79.9501098748808</v>
      </c>
      <c r="M10048" s="38" t="n">
        <f aca="false">Sens!$M$10019+Sens!$M$10024</f>
        <v>87.9451208623689</v>
      </c>
      <c r="N10048" s="38" t="n">
        <f aca="false">Sens!$N$10019+Sens!$N$10024</f>
        <v>14.8075</v>
      </c>
      <c r="O10048" s="38" t="n">
        <f aca="false">Sens!$O$10019+Sens!$O$10024</f>
        <v>19.51</v>
      </c>
    </row>
    <row r="10049" customFormat="false" ht="17.15" hidden="false" customHeight="false" outlineLevel="0" collapsed="false">
      <c r="A10049" s="0" t="s">
        <v>758</v>
      </c>
      <c r="B10049" s="0" t="s">
        <v>86</v>
      </c>
      <c r="C10049" s="38" t="n">
        <f aca="false">Sens!$C$10023+Sens!$C$10028+Sens!$C$10044+Sens!$C$10045-Sens!$C$10048</f>
        <v>19.399</v>
      </c>
      <c r="D10049" s="38" t="n">
        <f aca="false">Sens!$D$10023+Sens!$D$10028+Sens!$D$10044+Sens!$D$10045-Sens!$D$10048</f>
        <v>20.4615</v>
      </c>
      <c r="E10049" s="38" t="n">
        <f aca="false">Sens!$E$10023+Sens!$E$10028+Sens!$E$10044+Sens!$E$10045-Sens!$E$10048</f>
        <v>13.355</v>
      </c>
      <c r="F10049" s="38" t="n">
        <f aca="false">Sens!$F$10023+Sens!$F$10028+Sens!$F$10044+Sens!$F$10045-Sens!$F$10048</f>
        <v>12.7680546411015</v>
      </c>
      <c r="G10049" s="38" t="n">
        <f aca="false">Sens!$G$10023+Sens!$G$10028+Sens!$G$10044+Sens!$G$10045-Sens!$G$10048</f>
        <v>26.1230546411015</v>
      </c>
      <c r="H10049" s="38" t="n">
        <f aca="false">Sens!$H$10023+Sens!$H$10028+Sens!$H$10044+Sens!$H$10045-Sens!$H$10048</f>
        <v>28.4662904769959</v>
      </c>
      <c r="I10049" s="38" t="n">
        <f aca="false">Sens!$I$10023+Sens!$I$10028+Sens!$I$10044+Sens!$I$10045-Sens!$I$10048</f>
        <v>30.7231490427408</v>
      </c>
      <c r="J10049" s="38" t="n">
        <f aca="false">Sens!$J$10023+Sens!$J$10028+Sens!$J$10044+Sens!$J$10045-Sens!$J$10048</f>
        <v>32.9723159380642</v>
      </c>
      <c r="K10049" s="38" t="n">
        <f aca="false">Sens!$K$10023+Sens!$K$10028+Sens!$K$10044+Sens!$K$10045-Sens!$K$10048</f>
        <v>35.3677378466089</v>
      </c>
      <c r="L10049" s="38" t="n">
        <f aca="false">Sens!$L$10023+Sens!$L$10028+Sens!$L$10044+Sens!$L$10045-Sens!$L$10048</f>
        <v>36.9599271486027</v>
      </c>
      <c r="M10049" s="38" t="n">
        <f aca="false">Sens!$M$10023+Sens!$M$10028+Sens!$M$10044+Sens!$M$10045-Sens!$M$10048</f>
        <v>39.3216920927112</v>
      </c>
      <c r="N10049" s="38" t="n">
        <f aca="false">Sens!$N$10023+Sens!$N$10028+Sens!$N$10044+Sens!$N$10045-Sens!$N$10048</f>
        <v>10.6495</v>
      </c>
      <c r="O10049" s="38" t="n">
        <f aca="false">Sens!$O$10023+Sens!$O$10028+Sens!$O$10044+Sens!$O$10045-Sens!$O$10048</f>
        <v>9.81200000000001</v>
      </c>
    </row>
    <row r="10050" customFormat="false" ht="17.15" hidden="false" customHeight="false" outlineLevel="0" collapsed="false">
      <c r="A10050" s="0" t="s">
        <v>759</v>
      </c>
      <c r="B10050" s="0" t="s">
        <v>86</v>
      </c>
      <c r="C10050" s="38" t="n">
        <f aca="false">Sens!$C$10030+Sens!$C$10046-ext_sh*Sens!$C$9965</f>
        <v>51.3470500115664</v>
      </c>
      <c r="D10050" s="38" t="n">
        <f aca="false">Sens!$D$10030+Sens!$D$10046-ext_sh*Sens!$D$9965</f>
        <v>60.2799375433739</v>
      </c>
      <c r="E10050" s="38" t="n">
        <f aca="false">Sens!$E$10030+Sens!$E$10046-ext_sh*Sens!$E$9965</f>
        <v>39.5095167090767</v>
      </c>
      <c r="F10050" s="38" t="n">
        <f aca="false">Sens!$F$10030+Sens!$F$10046-ext_sh*Sens!$F$9965</f>
        <v>37.951394214027</v>
      </c>
      <c r="G10050" s="38" t="n">
        <f aca="false">Sens!$G$10030+Sens!$G$10046-ext_sh*Sens!$G$9965</f>
        <v>77.4609109231037</v>
      </c>
      <c r="H10050" s="38" t="n">
        <f aca="false">Sens!$H$10030+Sens!$H$10046-ext_sh*Sens!$H$9965</f>
        <v>85.1453558128916</v>
      </c>
      <c r="I10050" s="38" t="n">
        <f aca="false">Sens!$I$10030+Sens!$I$10046-ext_sh*Sens!$I$9965</f>
        <v>94.532921967974</v>
      </c>
      <c r="J10050" s="38" t="n">
        <f aca="false">Sens!$J$10030+Sens!$J$10046-ext_sh*Sens!$J$9965</f>
        <v>103.525527532583</v>
      </c>
      <c r="K10050" s="38" t="n">
        <f aca="false">Sens!$K$10030+Sens!$K$10046-ext_sh*Sens!$K$9965</f>
        <v>111.80756973519</v>
      </c>
      <c r="L10050" s="38" t="n">
        <f aca="false">Sens!$L$10030+Sens!$L$10046-ext_sh*Sens!$L$9965</f>
        <v>120.752175314005</v>
      </c>
      <c r="M10050" s="38" t="n">
        <f aca="false">Sens!$M$10030+Sens!$M$10046-ext_sh*Sens!$M$9965</f>
        <v>130.412349339125</v>
      </c>
      <c r="N10050" s="38" t="n">
        <f aca="false">Sens!$N$10030+Sens!$N$10046-ext_sh*Sens!$N$9965</f>
        <v>28.5693781401809</v>
      </c>
      <c r="O10050" s="38" t="n">
        <f aca="false">Sens!$O$10030+Sens!$O$10046-ext_sh*Sens!$O$9965</f>
        <v>31.7105594031931</v>
      </c>
    </row>
    <row r="10051" customFormat="false" ht="17.15" hidden="false" customHeight="false" outlineLevel="0" collapsed="false">
      <c r="A10051" s="0" t="s">
        <v>760</v>
      </c>
      <c r="B10051" s="0" t="s">
        <v>86</v>
      </c>
      <c r="C10051" s="38" t="n">
        <f aca="false">Sens!$C$9968</f>
        <v>1.80694998843362</v>
      </c>
      <c r="D10051" s="38" t="n">
        <f aca="false">Sens!$D$9968</f>
        <v>6.77606245662607</v>
      </c>
      <c r="E10051" s="38" t="n">
        <f aca="false">Sens!$E$9968</f>
        <v>6.62548329092326</v>
      </c>
      <c r="F10051" s="38" t="n">
        <f aca="false">Sens!$F$9968</f>
        <v>11.7200577158706</v>
      </c>
      <c r="G10051" s="38" t="n">
        <f aca="false">Sens!$G$9968</f>
        <v>18.3455410067939</v>
      </c>
      <c r="H10051" s="38" t="n">
        <f aca="false">Sens!$H$9968</f>
        <v>47.5171727060453</v>
      </c>
      <c r="I10051" s="38" t="n">
        <f aca="false">Sens!$I$9968</f>
        <v>80.5539692643667</v>
      </c>
      <c r="J10051" s="38" t="n">
        <f aca="false">Sens!$J$9968</f>
        <v>113.759316834883</v>
      </c>
      <c r="K10051" s="38" t="n">
        <f aca="false">Sens!$K$9968</f>
        <v>142.313600225088</v>
      </c>
      <c r="L10051" s="38" t="n">
        <f aca="false">Sens!$L$9968</f>
        <v>161.610137806934</v>
      </c>
      <c r="M10051" s="38" t="n">
        <f aca="false">Sens!$M$9968</f>
        <v>171.622526917459</v>
      </c>
      <c r="N10051" s="38" t="n">
        <f aca="false">Sens!$N$9968</f>
        <v>2.37162185981912</v>
      </c>
      <c r="O10051" s="38" t="n">
        <f aca="false">Sens!$O$9968</f>
        <v>4.40444059680694</v>
      </c>
    </row>
    <row r="10052" customFormat="false" ht="17.15" hidden="false" customHeight="false" outlineLevel="0" collapsed="false">
      <c r="A10052" s="0" t="s">
        <v>761</v>
      </c>
      <c r="B10052" s="0" t="s">
        <v>86</v>
      </c>
      <c r="C10052" s="38" t="n">
        <f aca="false">Sens!$C$10033+Sens!$C$10047</f>
        <v>100.66</v>
      </c>
      <c r="D10052" s="38" t="n">
        <f aca="false">Sens!$D$10033+Sens!$D$10047</f>
        <v>121.835</v>
      </c>
      <c r="E10052" s="38" t="n">
        <f aca="false">Sens!$E$10033+Sens!$E$10047</f>
        <v>78.016</v>
      </c>
      <c r="F10052" s="38" t="n">
        <f aca="false">Sens!$F$10033+Sens!$F$10047</f>
        <v>85.5181175682064</v>
      </c>
      <c r="G10052" s="38" t="n">
        <f aca="false">Sens!$G$10033+Sens!$G$10047</f>
        <v>163.534117568206</v>
      </c>
      <c r="H10052" s="38" t="n">
        <f aca="false">Sens!$H$10033+Sens!$H$10047</f>
        <v>211.077280189882</v>
      </c>
      <c r="I10052" s="38" t="n">
        <f aca="false">Sens!$I$10033+Sens!$I$10047</f>
        <v>264.10159582283</v>
      </c>
      <c r="J10052" s="38" t="n">
        <f aca="false">Sens!$J$10033+Sens!$J$10047</f>
        <v>316.331631276507</v>
      </c>
      <c r="K10052" s="38" t="n">
        <f aca="false">Sens!$K$10033+Sens!$K$10047</f>
        <v>362.17082587496</v>
      </c>
      <c r="L10052" s="38" t="n">
        <f aca="false">Sens!$L$10033+Sens!$L$10047</f>
        <v>399.272350144423</v>
      </c>
      <c r="M10052" s="38" t="n">
        <f aca="false">Sens!$M$10033+Sens!$M$10047</f>
        <v>429.301689211664</v>
      </c>
      <c r="N10052" s="38" t="n">
        <f aca="false">Sens!$N$10033+Sens!$N$10047</f>
        <v>56.398</v>
      </c>
      <c r="O10052" s="38" t="n">
        <f aca="false">Sens!$O$10033+Sens!$O$10047</f>
        <v>65.437</v>
      </c>
    </row>
    <row r="10053" customFormat="false" ht="17.15" hidden="false" customHeight="false" outlineLevel="0" collapsed="false">
      <c r="A10053" s="1" t="s">
        <v>762</v>
      </c>
    </row>
    <row r="10054" customFormat="false" ht="15" hidden="false" customHeight="false" outlineLevel="0" collapsed="false">
      <c r="A10054" s="5" t="s">
        <v>551</v>
      </c>
      <c r="B10054" s="0" t="s">
        <v>86</v>
      </c>
      <c r="C10054" s="38" t="n">
        <f aca="false">Q!$D$34</f>
        <v>2.406</v>
      </c>
      <c r="D10054" s="38" t="n">
        <f aca="false">Q!$E$34</f>
        <v>2.274</v>
      </c>
      <c r="E10054" s="38" t="n">
        <f aca="false">Q!$P$34</f>
        <v>2.114</v>
      </c>
      <c r="F10054" s="38" t="n">
        <f aca="false">Sens!$F$10092</f>
        <v>3.24888962733561</v>
      </c>
      <c r="G10054" s="38" t="n">
        <f aca="false">Sens!$E$10054+Sens!$F$10054</f>
        <v>5.36288962733561</v>
      </c>
      <c r="H10054" s="38" t="n">
        <f aca="false">Sens!$H$10092</f>
        <v>7.42354172302123</v>
      </c>
      <c r="I10054" s="38" t="n">
        <f aca="false">Sens!$I$10092</f>
        <v>7.84418947693382</v>
      </c>
      <c r="J10054" s="38" t="n">
        <f aca="false">Sens!$J$10092</f>
        <v>8.79561318891235</v>
      </c>
      <c r="K10054" s="38" t="n">
        <f aca="false">Sens!$K$10092</f>
        <v>8.79561318891235</v>
      </c>
      <c r="L10054" s="38" t="n">
        <f aca="false">Sens!$L$10092</f>
        <v>8.79561318891235</v>
      </c>
      <c r="M10054" s="38" t="n">
        <f aca="false">Sens!$M$10092</f>
        <v>8.79561318891235</v>
      </c>
      <c r="N10054" s="38" t="n">
        <f aca="false">Q!$N$34</f>
        <v>1.057</v>
      </c>
      <c r="O10054" s="38" t="n">
        <f aca="false">Q!$O$34</f>
        <v>1.217</v>
      </c>
    </row>
    <row r="10055" customFormat="false" ht="15" hidden="false" customHeight="false" outlineLevel="0" collapsed="false">
      <c r="A10055" s="5" t="s">
        <v>763</v>
      </c>
      <c r="B10055" s="0" t="s">
        <v>86</v>
      </c>
      <c r="F10055" s="38" t="n">
        <f aca="false">Sens!$F$10093</f>
        <v>2.59</v>
      </c>
      <c r="H10055" s="38" t="n">
        <f aca="false">Sens!$H$10093</f>
        <v>4.1153774832261</v>
      </c>
      <c r="I10055" s="38" t="n">
        <f aca="false">Sens!$I$10093</f>
        <v>2.10589651022864</v>
      </c>
      <c r="J10055" s="38" t="n">
        <f aca="false">Sens!$J$10093</f>
        <v>2.10589651022864</v>
      </c>
      <c r="K10055" s="38" t="n">
        <f aca="false">Sens!$K$10093</f>
        <v>3.172800358404</v>
      </c>
      <c r="L10055" s="38" t="n">
        <f aca="false">Sens!$L$10093</f>
        <v>8.20129838047933</v>
      </c>
      <c r="M10055" s="38" t="n">
        <f aca="false">Sens!$M$10093</f>
        <v>15.6131222909464</v>
      </c>
    </row>
    <row r="10056" customFormat="false" ht="17.15" hidden="false" customHeight="false" outlineLevel="0" collapsed="false">
      <c r="A10056" s="5" t="s">
        <v>764</v>
      </c>
      <c r="B10056" s="0" t="s">
        <v>86</v>
      </c>
      <c r="C10056" s="38" t="n">
        <f aca="false">Q!$D$39</f>
        <v>2.427</v>
      </c>
      <c r="D10056" s="38" t="n">
        <f aca="false">Q!$E$39</f>
        <v>19.61</v>
      </c>
      <c r="E10056" s="38" t="n">
        <f aca="false">Q!$P$39</f>
        <v>71.492</v>
      </c>
      <c r="F10056" s="39" t="n">
        <v>0</v>
      </c>
      <c r="G10056" s="38" t="n">
        <f aca="false">Sens!$E$10056+Sens!$F$10056</f>
        <v>71.492</v>
      </c>
      <c r="H10056" s="39" t="n">
        <v>0</v>
      </c>
      <c r="I10056" s="39" t="n">
        <v>0</v>
      </c>
      <c r="J10056" s="39" t="n">
        <v>0</v>
      </c>
      <c r="K10056" s="39" t="n">
        <v>0</v>
      </c>
      <c r="L10056" s="39" t="n">
        <v>0</v>
      </c>
      <c r="M10056" s="39" t="n">
        <v>0</v>
      </c>
      <c r="N10056" s="38" t="n">
        <f aca="false">Q!$N$39</f>
        <v>6.017</v>
      </c>
      <c r="O10056" s="38" t="n">
        <f aca="false">Q!$O$39</f>
        <v>13.593</v>
      </c>
      <c r="P10056" s="5" t="s">
        <v>765</v>
      </c>
    </row>
    <row r="10057" customFormat="false" ht="15" hidden="false" customHeight="false" outlineLevel="0" collapsed="false">
      <c r="A10057" s="5" t="s">
        <v>554</v>
      </c>
      <c r="B10057" s="0" t="s">
        <v>86</v>
      </c>
      <c r="C10057" s="38" t="n">
        <f aca="false">Q!$D$36</f>
        <v>68.614</v>
      </c>
      <c r="D10057" s="38" t="n">
        <f aca="false">Q!$E$36</f>
        <v>97.311</v>
      </c>
      <c r="E10057" s="38" t="n">
        <f aca="false">Q!$P$36</f>
        <v>120.691</v>
      </c>
      <c r="F10057" s="38" t="n">
        <f aca="false">Sens!$F$10033-Sens!$F$10054+Sens!$F$10055+Sens!$F$10056</f>
        <v>55.7063670713938</v>
      </c>
      <c r="G10057" s="38" t="n">
        <f aca="false">Sens!$E$10057+Sens!$F$10057</f>
        <v>176.397367071394</v>
      </c>
      <c r="H10057" s="38" t="n">
        <f aca="false">Sens!$H$10033-Sens!$H$10054+Sens!$H$10055+Sens!$H$10056</f>
        <v>126.207292630471</v>
      </c>
      <c r="I10057" s="38" t="n">
        <f aca="false">Sens!$I$10033-Sens!$I$10054+Sens!$I$10055+Sens!$I$10056</f>
        <v>139.60709411592</v>
      </c>
      <c r="J10057" s="38" t="n">
        <f aca="false">Sens!$J$10033-Sens!$J$10054+Sens!$J$10055+Sens!$J$10056</f>
        <v>157.172425191032</v>
      </c>
      <c r="K10057" s="38" t="n">
        <f aca="false">Sens!$K$10033-Sens!$K$10054+Sens!$K$10055+Sens!$K$10056</f>
        <v>170.156510420632</v>
      </c>
      <c r="L10057" s="38" t="n">
        <f aca="false">Sens!$L$10033-Sens!$L$10054+Sens!$L$10055+Sens!$L$10056</f>
        <v>186.361543537154</v>
      </c>
      <c r="M10057" s="38" t="n">
        <f aca="false">Sens!$M$10033-Sens!$M$10054+Sens!$M$10055+Sens!$M$10056</f>
        <v>205.936507465731</v>
      </c>
      <c r="N10057" s="38" t="n">
        <f aca="false">Q!$N$36</f>
        <v>42.536</v>
      </c>
      <c r="O10057" s="38" t="n">
        <f aca="false">Q!$O$36</f>
        <v>54.775</v>
      </c>
    </row>
    <row r="10058" customFormat="false" ht="15" hidden="false" customHeight="false" outlineLevel="0" collapsed="false">
      <c r="A10058" s="5" t="s">
        <v>555</v>
      </c>
      <c r="B10058" s="0" t="s">
        <v>86</v>
      </c>
      <c r="C10058" s="38" t="n">
        <f aca="false">Q!$D$37</f>
        <v>9.265</v>
      </c>
      <c r="D10058" s="38" t="n">
        <f aca="false">Q!$E$37</f>
        <v>19.087</v>
      </c>
      <c r="E10058" s="38" t="n">
        <f aca="false">Q!$P$37</f>
        <v>27.759</v>
      </c>
      <c r="F10058" s="38" t="n">
        <f aca="false">Sens!$F$10057*tax</f>
        <v>9.669763357865</v>
      </c>
      <c r="G10058" s="38" t="n">
        <f aca="false">Sens!$E$10058+Sens!$F$10058</f>
        <v>37.428763357865</v>
      </c>
      <c r="H10058" s="38" t="n">
        <f aca="false">Sens!$H$10057*tax</f>
        <v>21.9076331473816</v>
      </c>
      <c r="I10058" s="38" t="n">
        <f aca="false">Sens!$I$10057*tax</f>
        <v>24.2336313450491</v>
      </c>
      <c r="J10058" s="38" t="n">
        <f aca="false">Sens!$J$10057*tax</f>
        <v>27.2827010246639</v>
      </c>
      <c r="K10058" s="38" t="n">
        <f aca="false">Sens!$K$10057*tax</f>
        <v>29.5365373128511</v>
      </c>
      <c r="L10058" s="38" t="n">
        <f aca="false">Sens!$L$10057*tax</f>
        <v>32.3494803152605</v>
      </c>
      <c r="M10058" s="38" t="n">
        <f aca="false">Sens!$M$10057*tax</f>
        <v>35.7473911624262</v>
      </c>
      <c r="N10058" s="38" t="n">
        <f aca="false">Q!$N$37</f>
        <v>7.231</v>
      </c>
      <c r="O10058" s="38" t="n">
        <f aca="false">Q!$O$37</f>
        <v>11.856</v>
      </c>
    </row>
    <row r="10059" customFormat="false" ht="15" hidden="false" customHeight="false" outlineLevel="0" collapsed="false">
      <c r="A10059" s="3" t="s">
        <v>556</v>
      </c>
      <c r="B10059" s="8" t="s">
        <v>86</v>
      </c>
      <c r="C10059" s="38" t="n">
        <f aca="false">Q!$D$38</f>
        <v>59.248</v>
      </c>
      <c r="D10059" s="38" t="n">
        <f aca="false">Q!$E$38</f>
        <v>77.67</v>
      </c>
      <c r="E10059" s="38" t="n">
        <f aca="false">Q!$P$38</f>
        <v>92.902</v>
      </c>
      <c r="F10059" s="38" t="n">
        <f aca="false">Sens!$F$10057-Sens!$F$10058</f>
        <v>46.0366037135288</v>
      </c>
      <c r="G10059" s="38" t="n">
        <f aca="false">Sens!$E$10059+Sens!$F$10059</f>
        <v>138.938603713529</v>
      </c>
      <c r="H10059" s="38" t="n">
        <f aca="false">Sens!$H$10057-Sens!$H$10058</f>
        <v>104.29965948309</v>
      </c>
      <c r="I10059" s="38" t="n">
        <f aca="false">Sens!$I$10057-Sens!$I$10058</f>
        <v>115.373462770871</v>
      </c>
      <c r="J10059" s="38" t="n">
        <f aca="false">Sens!$J$10057-Sens!$J$10058</f>
        <v>129.889724166368</v>
      </c>
      <c r="K10059" s="38" t="n">
        <f aca="false">Sens!$K$10057-Sens!$K$10058</f>
        <v>140.619973107781</v>
      </c>
      <c r="L10059" s="38" t="n">
        <f aca="false">Sens!$L$10057-Sens!$L$10058</f>
        <v>154.012063221893</v>
      </c>
      <c r="M10059" s="38" t="n">
        <f aca="false">Sens!$M$10057-Sens!$M$10058</f>
        <v>170.189116303305</v>
      </c>
      <c r="N10059" s="38" t="n">
        <f aca="false">Q!$N$38</f>
        <v>35.291</v>
      </c>
      <c r="O10059" s="38" t="n">
        <f aca="false">Q!$O$38</f>
        <v>42.379</v>
      </c>
    </row>
    <row r="10060" customFormat="false" ht="17.15" hidden="false" customHeight="false" outlineLevel="0" collapsed="false">
      <c r="A10060" s="5" t="s">
        <v>559</v>
      </c>
      <c r="B10060" s="5" t="s">
        <v>33</v>
      </c>
      <c r="C10060" s="22" t="n">
        <f aca="false">Q!$D$41</f>
        <v>10.721</v>
      </c>
      <c r="D10060" s="22" t="n">
        <f aca="false">Q!$E$41</f>
        <v>10.827</v>
      </c>
      <c r="E10060" s="22" t="n">
        <f aca="false">(Q!$L$41+Q!$M$41)/2</f>
        <v>10.8885</v>
      </c>
      <c r="F10060" s="22" t="n">
        <f aca="false">Sens!$G$10060</f>
        <v>10.924806</v>
      </c>
      <c r="G10060" s="22" t="n">
        <f aca="false">Q!$M$41*(1+sh_g*0.25)</f>
        <v>10.924806</v>
      </c>
      <c r="H10060" s="22" t="n">
        <f aca="false">Sens!$G$10060*(1+sh_g)</f>
        <v>11.012204448</v>
      </c>
      <c r="I10060" s="22" t="n">
        <f aca="false">Sens!$H$10060*(1+sh_g)</f>
        <v>11.100302083584</v>
      </c>
      <c r="J10060" s="22" t="n">
        <f aca="false">Sens!$I$10060*(1+sh_g)</f>
        <v>11.1891045002527</v>
      </c>
      <c r="K10060" s="22" t="n">
        <f aca="false">Sens!$J$10060*(1+sh_g)</f>
        <v>11.2786173362547</v>
      </c>
      <c r="L10060" s="22" t="n">
        <f aca="false">Sens!$K$10060*(1+sh_g)</f>
        <v>11.3688462749447</v>
      </c>
      <c r="M10060" s="22" t="n">
        <f aca="false">Sens!$L$10060*(1+sh_g)</f>
        <v>11.4597970451443</v>
      </c>
      <c r="P10060" s="5" t="s">
        <v>766</v>
      </c>
    </row>
    <row r="10061" customFormat="false" ht="17.15" hidden="false" customHeight="false" outlineLevel="0" collapsed="false">
      <c r="A10061" s="5" t="s">
        <v>767</v>
      </c>
      <c r="B10061" s="0" t="s">
        <v>86</v>
      </c>
      <c r="C10061" s="38" t="n">
        <f aca="false">Sens!$C$10059+Sens!$C$10035*(1-tax)</f>
        <v>59.248</v>
      </c>
      <c r="D10061" s="38" t="n">
        <f aca="false">Sens!$D$10059+Sens!$D$10035*(1-tax)</f>
        <v>77.67</v>
      </c>
      <c r="E10061" s="38" t="n">
        <f aca="false">Sens!$E$10059+Sens!$E$10035*(1-tax)</f>
        <v>92.902</v>
      </c>
      <c r="F10061" s="38" t="n">
        <f aca="false">Sens!$F$10059+Sens!$F$10035*(1-tax)</f>
        <v>49.1531986731775</v>
      </c>
      <c r="G10061" s="38" t="n">
        <f aca="false">Sens!$G$10059+Sens!$G$10035*(1-tax)</f>
        <v>142.055198673178</v>
      </c>
      <c r="H10061" s="38" t="n">
        <f aca="false">Sens!$H$10059+Sens!$H$10035*(1-tax)</f>
        <v>116.831055438434</v>
      </c>
      <c r="I10061" s="38" t="n">
        <f aca="false">Sens!$I$10059+Sens!$I$10035*(1-tax)</f>
        <v>136.514727845811</v>
      </c>
      <c r="J10061" s="38" t="n">
        <f aca="false">Sens!$J$10059+Sens!$J$10035*(1-tax)</f>
        <v>159.679161110652</v>
      </c>
      <c r="K10061" s="38" t="n">
        <f aca="false">Sens!$K$10059+Sens!$K$10035*(1-tax)</f>
        <v>177.846843178436</v>
      </c>
      <c r="L10061" s="38" t="n">
        <f aca="false">Sens!$L$10059+Sens!$L$10035*(1-tax)</f>
        <v>196.264974744802</v>
      </c>
      <c r="M10061" s="38" t="n">
        <f aca="false">Sens!$M$10059+Sens!$M$10035*(1-tax)</f>
        <v>215.050677672466</v>
      </c>
      <c r="N10061" s="38" t="n">
        <f aca="false">Sens!$N$10059+Sens!$N$10035*(1-tax)</f>
        <v>35.291</v>
      </c>
      <c r="O10061" s="38" t="n">
        <f aca="false">Sens!$O$10059+Sens!$O$10035*(1-tax)</f>
        <v>42.379</v>
      </c>
    </row>
    <row r="10062" customFormat="false" ht="17.15" hidden="false" customHeight="false" outlineLevel="0" collapsed="false">
      <c r="A10062" s="43" t="s">
        <v>768</v>
      </c>
      <c r="B10062" s="14" t="s">
        <v>27</v>
      </c>
      <c r="C10062" s="44" t="n">
        <f aca="false">Sens!$C$10061/Sens!$C$10060</f>
        <v>5.52635015390355</v>
      </c>
      <c r="D10062" s="44" t="n">
        <f aca="false">Sens!$D$10061/Sens!$D$10060</f>
        <v>7.1737323358271</v>
      </c>
      <c r="E10062" s="44" t="n">
        <f aca="false">Sens!$E$10061/Sens!$E$10060</f>
        <v>8.53212104513937</v>
      </c>
      <c r="F10062" s="14"/>
      <c r="G10062" s="44" t="n">
        <f aca="false">Sens!$G$10061/Sens!$G$10060</f>
        <v>13.0029950804781</v>
      </c>
      <c r="H10062" s="44" t="n">
        <f aca="false">Sens!$H$10061/Sens!$H$10060</f>
        <v>10.6092341447268</v>
      </c>
      <c r="I10062" s="44" t="n">
        <f aca="false">Sens!$I$10061/Sens!$I$10060</f>
        <v>12.298289435537</v>
      </c>
      <c r="J10062" s="44" t="n">
        <f aca="false">Sens!$J$10061/Sens!$J$10060</f>
        <v>14.2709509154236</v>
      </c>
      <c r="K10062" s="44" t="n">
        <f aca="false">Sens!$K$10061/Sens!$K$10060</f>
        <v>15.7684969598848</v>
      </c>
      <c r="L10062" s="44" t="n">
        <f aca="false">Sens!$L$10061/Sens!$L$10060</f>
        <v>17.2634029872795</v>
      </c>
      <c r="M10062" s="44" t="n">
        <f aca="false">Sens!$M$10061/Sens!$M$10060</f>
        <v>18.7656619768486</v>
      </c>
      <c r="N10062" s="14"/>
      <c r="O10062" s="14"/>
    </row>
    <row r="10063" customFormat="false" ht="17.15" hidden="false" customHeight="false" outlineLevel="0" collapsed="false">
      <c r="A10063" s="0" t="s">
        <v>769</v>
      </c>
      <c r="B10063" s="0" t="s">
        <v>27</v>
      </c>
      <c r="C10063" s="30" t="n">
        <f aca="false">Sens!$C$10059/Sens!$C$10060</f>
        <v>5.52635015390355</v>
      </c>
      <c r="D10063" s="30" t="n">
        <f aca="false">Sens!$D$10059/Sens!$D$10060</f>
        <v>7.1737323358271</v>
      </c>
      <c r="E10063" s="30" t="n">
        <f aca="false">Sens!$E$10059/Sens!$E$10060</f>
        <v>8.53212104513937</v>
      </c>
      <c r="G10063" s="30" t="n">
        <f aca="false">Sens!$G$10059/Sens!$G$10060</f>
        <v>12.7177181648378</v>
      </c>
      <c r="H10063" s="30" t="n">
        <f aca="false">Sens!$H$10059/Sens!$H$10060</f>
        <v>9.47127888658407</v>
      </c>
      <c r="I10063" s="30" t="n">
        <f aca="false">Sens!$I$10059/Sens!$I$10060</f>
        <v>10.3937227925981</v>
      </c>
      <c r="J10063" s="30" t="n">
        <f aca="false">Sens!$J$10059/Sens!$J$10060</f>
        <v>11.6085897815536</v>
      </c>
      <c r="K10063" s="30" t="n">
        <f aca="false">Sens!$K$10059/Sens!$K$10060</f>
        <v>12.4678379375248</v>
      </c>
      <c r="L10063" s="30" t="n">
        <f aca="false">Sens!$L$10059/Sens!$L$10060</f>
        <v>13.5468507091448</v>
      </c>
      <c r="M10063" s="30" t="n">
        <f aca="false">Sens!$M$10059/Sens!$M$10060</f>
        <v>14.8509712373498</v>
      </c>
    </row>
    <row r="10064" customFormat="false" ht="17.15" hidden="false" customHeight="false" outlineLevel="0" collapsed="false">
      <c r="A10064" s="0" t="s">
        <v>770</v>
      </c>
      <c r="B10064" s="0" t="s">
        <v>27</v>
      </c>
      <c r="C10064" s="30" t="n">
        <f aca="false">(Sens!$C$10059-Sens!$C$10056*(1-tax))/Sens!$C$10060</f>
        <v>5.33926775917445</v>
      </c>
      <c r="D10064" s="30" t="n">
        <f aca="false">(Sens!$D$10059-Sens!$D$10056*(1-tax))/Sens!$D$10060</f>
        <v>5.67691812755503</v>
      </c>
      <c r="E10064" s="30" t="n">
        <f aca="false">(Sens!$E$10059-Sens!$E$10056*(1-tax))/Sens!$E$10060</f>
        <v>3.10602057006846</v>
      </c>
      <c r="G10064" s="30" t="n">
        <f aca="false">(Sens!$G$10059-Sens!$G$10056*(1-tax))/Sens!$G$10060</f>
        <v>7.30965004694081</v>
      </c>
      <c r="H10064" s="30" t="n">
        <f aca="false">(Sens!$H$10059-Sens!$H$10056*(1-tax))/Sens!$H$10060</f>
        <v>9.47127888658407</v>
      </c>
      <c r="I10064" s="30" t="n">
        <f aca="false">(Sens!$I$10059-Sens!$I$10056*(1-tax))/Sens!$I$10060</f>
        <v>10.3937227925981</v>
      </c>
      <c r="J10064" s="30" t="n">
        <f aca="false">(Sens!$J$10059-Sens!$J$10056*(1-tax))/Sens!$J$10060</f>
        <v>11.6085897815536</v>
      </c>
      <c r="K10064" s="30" t="n">
        <f aca="false">(Sens!$K$10059-Sens!$K$10056*(1-tax))/Sens!$K$10060</f>
        <v>12.4678379375248</v>
      </c>
      <c r="L10064" s="30" t="n">
        <f aca="false">(Sens!$L$10059-Sens!$L$10056*(1-tax))/Sens!$L$10060</f>
        <v>13.5468507091448</v>
      </c>
      <c r="M10064" s="30" t="n">
        <f aca="false">(Sens!$M$10059-Sens!$M$10056*(1-tax))/Sens!$M$10060</f>
        <v>14.8509712373498</v>
      </c>
      <c r="P10064" s="5" t="s">
        <v>771</v>
      </c>
    </row>
    <row r="10065" customFormat="false" ht="17.15" hidden="false" customHeight="false" outlineLevel="0" collapsed="false">
      <c r="A10065" s="0" t="s">
        <v>772</v>
      </c>
      <c r="B10065" s="0" t="s">
        <v>52</v>
      </c>
      <c r="H10065" s="13" t="n">
        <f aca="false">Sens!$H$10062/Sens!$G$10062-1</f>
        <v>-0.184093043251635</v>
      </c>
      <c r="I10065" s="13" t="n">
        <f aca="false">Sens!$I$10062/Sens!$H$10062-1</f>
        <v>0.159206147000695</v>
      </c>
      <c r="J10065" s="13" t="n">
        <f aca="false">Sens!$J$10062/Sens!$I$10062-1</f>
        <v>0.160401289157047</v>
      </c>
      <c r="K10065" s="13" t="n">
        <f aca="false">Sens!$K$10062/Sens!$J$10062-1</f>
        <v>0.104936668434801</v>
      </c>
      <c r="L10065" s="13" t="n">
        <f aca="false">Sens!$L$10062/Sens!$K$10062-1</f>
        <v>0.0948033304123883</v>
      </c>
      <c r="M10065" s="13" t="n">
        <f aca="false">Sens!$M$10062/Sens!$L$10062-1</f>
        <v>0.0870198645467559</v>
      </c>
    </row>
    <row r="10068" customFormat="false" ht="19.4" hidden="false" customHeight="false" outlineLevel="0" collapsed="false">
      <c r="A10068" s="31" t="s">
        <v>1355</v>
      </c>
    </row>
    <row r="10069" customFormat="false" ht="17.15" hidden="false" customHeight="false" outlineLevel="0" collapsed="false">
      <c r="A10069" s="6" t="s">
        <v>16</v>
      </c>
      <c r="B10069" s="6" t="s">
        <v>17</v>
      </c>
      <c r="C10069" s="20" t="s">
        <v>504</v>
      </c>
      <c r="D10069" s="20" t="s">
        <v>505</v>
      </c>
      <c r="E10069" s="20" t="s">
        <v>587</v>
      </c>
      <c r="F10069" s="20" t="s">
        <v>588</v>
      </c>
      <c r="G10069" s="20" t="s">
        <v>589</v>
      </c>
      <c r="H10069" s="20" t="s">
        <v>590</v>
      </c>
      <c r="I10069" s="20" t="s">
        <v>591</v>
      </c>
      <c r="J10069" s="20" t="s">
        <v>592</v>
      </c>
      <c r="K10069" s="20" t="s">
        <v>593</v>
      </c>
      <c r="L10069" s="20" t="s">
        <v>594</v>
      </c>
      <c r="M10069" s="20" t="s">
        <v>595</v>
      </c>
      <c r="N10069" s="20" t="s">
        <v>596</v>
      </c>
      <c r="O10069" s="20" t="s">
        <v>597</v>
      </c>
      <c r="P10069" s="6" t="s">
        <v>23</v>
      </c>
      <c r="R10069" s="20" t="n">
        <v>2023</v>
      </c>
      <c r="S10069" s="20" t="n">
        <v>2024</v>
      </c>
      <c r="T10069" s="20" t="n">
        <v>2025</v>
      </c>
      <c r="U10069" s="20" t="n">
        <v>2026</v>
      </c>
      <c r="V10069" s="20" t="n">
        <v>2027</v>
      </c>
      <c r="W10069" s="20" t="n">
        <v>2028</v>
      </c>
      <c r="X10069" s="20" t="n">
        <v>2029</v>
      </c>
      <c r="Y10069" s="20" t="n">
        <v>2030</v>
      </c>
      <c r="Z10069" s="20" t="n">
        <v>2031</v>
      </c>
      <c r="AA10069" s="20" t="n">
        <v>2032</v>
      </c>
    </row>
    <row r="10070" customFormat="false" ht="15" hidden="false" customHeight="false" outlineLevel="0" collapsed="false">
      <c r="A10070" s="5" t="s">
        <v>556</v>
      </c>
      <c r="B10070" s="0" t="s">
        <v>86</v>
      </c>
      <c r="C10070" s="38" t="n">
        <f aca="false">Sens!$C$10059</f>
        <v>59.248</v>
      </c>
      <c r="D10070" s="38" t="n">
        <f aca="false">Sens!$D$10059</f>
        <v>77.67</v>
      </c>
      <c r="E10070" s="38" t="n">
        <f aca="false">Sens!$E$10059</f>
        <v>92.902</v>
      </c>
      <c r="F10070" s="38" t="n">
        <f aca="false">Sens!$F$10059</f>
        <v>46.0366037135288</v>
      </c>
      <c r="G10070" s="38" t="n">
        <f aca="false">Sens!$G$10059</f>
        <v>138.938603713529</v>
      </c>
      <c r="H10070" s="38" t="n">
        <f aca="false">Sens!$H$10059</f>
        <v>104.29965948309</v>
      </c>
      <c r="I10070" s="38" t="n">
        <f aca="false">Sens!$I$10059</f>
        <v>115.373462770871</v>
      </c>
      <c r="J10070" s="38" t="n">
        <f aca="false">Sens!$J$10059</f>
        <v>129.889724166368</v>
      </c>
      <c r="K10070" s="38" t="n">
        <f aca="false">Sens!$K$10059</f>
        <v>140.619973107781</v>
      </c>
      <c r="L10070" s="38" t="n">
        <f aca="false">Sens!$L$10059</f>
        <v>154.012063221893</v>
      </c>
      <c r="M10070" s="38" t="n">
        <f aca="false">Sens!$M$10059</f>
        <v>170.189116303305</v>
      </c>
    </row>
    <row r="10071" customFormat="false" ht="17.15" hidden="false" customHeight="false" outlineLevel="0" collapsed="false">
      <c r="A10071" s="5" t="s">
        <v>795</v>
      </c>
      <c r="B10071" s="0" t="s">
        <v>86</v>
      </c>
      <c r="C10071" s="38" t="n">
        <f aca="false">Sens!$C$10047</f>
        <v>32.067</v>
      </c>
      <c r="D10071" s="38" t="n">
        <f aca="false">Sens!$D$10047</f>
        <v>41.86</v>
      </c>
      <c r="E10071" s="38" t="n">
        <f aca="false">Sens!$E$10047</f>
        <v>26.703</v>
      </c>
      <c r="F10071" s="38" t="n">
        <f aca="false">Sens!$F$10047</f>
        <v>29.152860869477</v>
      </c>
      <c r="G10071" s="38" t="n">
        <f aca="false">Sens!$G$10047</f>
        <v>55.855860869477</v>
      </c>
      <c r="H10071" s="38" t="n">
        <f aca="false">Sens!$H$10047</f>
        <v>81.5618233196153</v>
      </c>
      <c r="I10071" s="38" t="n">
        <f aca="false">Sens!$I$10047</f>
        <v>118.756208740204</v>
      </c>
      <c r="J10071" s="38" t="n">
        <f aca="false">Sens!$J$10047</f>
        <v>152.469489406791</v>
      </c>
      <c r="K10071" s="38" t="n">
        <f aca="false">Sens!$K$10047</f>
        <v>186.391502623819</v>
      </c>
      <c r="L10071" s="38" t="n">
        <f aca="false">Sens!$L$10047</f>
        <v>212.316491798836</v>
      </c>
      <c r="M10071" s="38" t="n">
        <f aca="false">Sens!$M$10047</f>
        <v>230.182690847967</v>
      </c>
    </row>
    <row r="10072" customFormat="false" ht="15" hidden="false" customHeight="false" outlineLevel="0" collapsed="false">
      <c r="A10072" s="5" t="s">
        <v>796</v>
      </c>
      <c r="B10072" s="0" t="s">
        <v>86</v>
      </c>
      <c r="C10072" s="38" t="n">
        <f aca="false">Q!$D$48</f>
        <v>22.011</v>
      </c>
      <c r="D10072" s="38" t="n">
        <f aca="false">Q!$E$48</f>
        <v>19.467</v>
      </c>
      <c r="E10072" s="38" t="n">
        <f aca="false">Q!$P$48</f>
        <v>10.07</v>
      </c>
      <c r="F10072" s="38" t="n">
        <f aca="false">sbc_r*Sens!$F$9989</f>
        <v>10.8507035798037</v>
      </c>
      <c r="G10072" s="38" t="n">
        <f aca="false">Sens!$E$10072+Sens!$F$10072</f>
        <v>20.9207035798037</v>
      </c>
      <c r="H10072" s="38" t="n">
        <f aca="false">sbc_r*Sens!$H$9989</f>
        <v>23.46224366345</v>
      </c>
      <c r="I10072" s="38" t="n">
        <f aca="false">sbc_r*Sens!$I$9989</f>
        <v>26.6125957111676</v>
      </c>
      <c r="J10072" s="38" t="n">
        <f aca="false">sbc_r*Sens!$J$9989</f>
        <v>29.6280801413323</v>
      </c>
      <c r="K10072" s="38" t="n">
        <f aca="false">sbc_r*Sens!$K$9989</f>
        <v>32.2783466626501</v>
      </c>
      <c r="L10072" s="38" t="n">
        <f aca="false">sbc_r*Sens!$L$9989</f>
        <v>34.7673634382331</v>
      </c>
      <c r="M10072" s="38" t="n">
        <f aca="false">sbc_r*Sens!$M$9989</f>
        <v>37.1041186491569</v>
      </c>
    </row>
    <row r="10073" customFormat="false" ht="17.15" hidden="false" customHeight="false" outlineLevel="0" collapsed="false">
      <c r="A10073" s="5" t="s">
        <v>797</v>
      </c>
      <c r="B10073" s="0" t="s">
        <v>86</v>
      </c>
      <c r="C10073" s="38" t="n">
        <f aca="false">Q!$D$44-Sens!$C$10070-Sens!$C$10071-Sens!$C$10072</f>
        <v>2.551</v>
      </c>
      <c r="D10073" s="38" t="n">
        <f aca="false">Q!$E$44-Sens!$D$10070-Sens!$D$10071-Sens!$D$10072</f>
        <v>0.51700000000001</v>
      </c>
      <c r="E10073" s="38" t="n">
        <f aca="false">Q!$P$44-Sens!$E$10070-Sens!$E$10071-Sens!$E$10072</f>
        <v>-58.256</v>
      </c>
      <c r="F10073" s="38" t="n">
        <f aca="false">oth_r*Sens!$F$9989</f>
        <v>5.22265251035878</v>
      </c>
      <c r="G10073" s="38" t="n">
        <f aca="false">Sens!$E$10073+Sens!$F$10073</f>
        <v>-53.0333474896412</v>
      </c>
      <c r="H10073" s="38" t="n">
        <f aca="false">oth_r*Sens!$H$9989</f>
        <v>11.2928295263397</v>
      </c>
      <c r="I10073" s="38" t="n">
        <f aca="false">oth_r*Sens!$I$9989</f>
        <v>12.8091546115766</v>
      </c>
      <c r="J10073" s="38" t="n">
        <f aca="false">oth_r*Sens!$J$9989</f>
        <v>14.2605653162668</v>
      </c>
      <c r="K10073" s="38" t="n">
        <f aca="false">oth_r*Sens!$K$9989</f>
        <v>15.5361896109386</v>
      </c>
      <c r="L10073" s="38" t="n">
        <f aca="false">oth_r*Sens!$L$9989</f>
        <v>16.7342012989106</v>
      </c>
      <c r="M10073" s="38" t="n">
        <f aca="false">oth_r*Sens!$M$9989</f>
        <v>17.8589265647579</v>
      </c>
      <c r="P10073" s="8" t="s">
        <v>798</v>
      </c>
    </row>
    <row r="10074" customFormat="false" ht="15" hidden="false" customHeight="false" outlineLevel="0" collapsed="false">
      <c r="A10074" s="3" t="s">
        <v>562</v>
      </c>
      <c r="B10074" s="8" t="s">
        <v>86</v>
      </c>
      <c r="C10074" s="38" t="n">
        <f aca="false">Q!$D$44</f>
        <v>115.877</v>
      </c>
      <c r="D10074" s="38" t="n">
        <f aca="false">Q!$E$44</f>
        <v>139.514</v>
      </c>
      <c r="E10074" s="38" t="n">
        <f aca="false">Q!$P$44</f>
        <v>71.419</v>
      </c>
      <c r="F10074" s="38" t="n">
        <f aca="false">Sens!$F$10070+Sens!$F$10071+Sens!$F$10072+Sens!$F$10073</f>
        <v>91.2628206731683</v>
      </c>
      <c r="G10074" s="38" t="n">
        <f aca="false">Sens!$E$10074+Sens!$F$10074</f>
        <v>162.681820673168</v>
      </c>
      <c r="H10074" s="38" t="n">
        <f aca="false">Sens!$H$10070+Sens!$H$10071+Sens!$H$10072+Sens!$H$10073</f>
        <v>220.616555992495</v>
      </c>
      <c r="I10074" s="38" t="n">
        <f aca="false">Sens!$I$10070+Sens!$I$10071+Sens!$I$10072+Sens!$I$10073</f>
        <v>273.55142183382</v>
      </c>
      <c r="J10074" s="38" t="n">
        <f aca="false">Sens!$J$10070+Sens!$J$10071+Sens!$J$10072+Sens!$J$10073</f>
        <v>326.247859030758</v>
      </c>
      <c r="K10074" s="38" t="n">
        <f aca="false">Sens!$K$10070+Sens!$K$10071+Sens!$K$10072+Sens!$K$10073</f>
        <v>374.826012005189</v>
      </c>
      <c r="L10074" s="38" t="n">
        <f aca="false">Sens!$L$10070+Sens!$L$10071+Sens!$L$10072+Sens!$L$10073</f>
        <v>417.830119757873</v>
      </c>
      <c r="M10074" s="38" t="n">
        <f aca="false">Sens!$M$10070+Sens!$M$10071+Sens!$M$10072+Sens!$M$10073</f>
        <v>455.334852365187</v>
      </c>
    </row>
    <row r="10075" customFormat="false" ht="17.15" hidden="false" customHeight="false" outlineLevel="0" collapsed="false">
      <c r="A10075" s="5" t="s">
        <v>799</v>
      </c>
      <c r="B10075" s="0" t="s">
        <v>86</v>
      </c>
      <c r="C10075" s="38" t="n">
        <f aca="false">Sens!$C$9953</f>
        <v>25.2781053077374</v>
      </c>
      <c r="D10075" s="38" t="n">
        <f aca="false">Sens!$D$9953</f>
        <v>69.5686316310026</v>
      </c>
      <c r="E10075" s="38" t="n">
        <f aca="false">Sens!$E$9953</f>
        <v>64.1899206485108</v>
      </c>
      <c r="F10075" s="38" t="n">
        <f aca="false">Sens!$F$9953</f>
        <v>88.7165504612134</v>
      </c>
      <c r="G10075" s="38" t="n">
        <f aca="false">Sens!$G$9953</f>
        <v>152.906471109724</v>
      </c>
      <c r="H10075" s="38" t="n">
        <f aca="false">Sens!$H$9953</f>
        <v>198.57136494475</v>
      </c>
      <c r="I10075" s="38" t="n">
        <f aca="false">Sens!$I$9953</f>
        <v>204.6464699105</v>
      </c>
      <c r="J10075" s="38" t="n">
        <f aca="false">Sens!$J$9953</f>
        <v>209.8832381105</v>
      </c>
      <c r="K10075" s="38" t="n">
        <f aca="false">Sens!$K$9953</f>
        <v>158.016341586823</v>
      </c>
      <c r="L10075" s="38" t="n">
        <f aca="false">Sens!$L$9953</f>
        <v>137.570054263147</v>
      </c>
      <c r="M10075" s="38" t="n">
        <f aca="false">Sens!$M$9953</f>
        <v>140.56485059472</v>
      </c>
    </row>
    <row r="10076" customFormat="false" ht="17.15" hidden="false" customHeight="false" outlineLevel="0" collapsed="false">
      <c r="A10076" s="5" t="s">
        <v>800</v>
      </c>
      <c r="B10076" s="0" t="s">
        <v>86</v>
      </c>
      <c r="C10076" s="38" t="n">
        <f aca="false">cx_awso*Sens!$C$9987</f>
        <v>21.0469989286053</v>
      </c>
      <c r="D10076" s="38" t="n">
        <f aca="false">cx_awso*Sens!$D$9987</f>
        <v>24.0042459822698</v>
      </c>
      <c r="E10076" s="38" t="n">
        <f aca="false">cx_awso*Sens!$E$9987</f>
        <v>14.261729404886</v>
      </c>
      <c r="F10076" s="38" t="n">
        <f aca="false">cx_awso*Sens!$F$9987</f>
        <v>14.3538599588493</v>
      </c>
      <c r="G10076" s="38" t="n">
        <f aca="false">Sens!$E$10076+Sens!$F$10076</f>
        <v>28.6155893637353</v>
      </c>
      <c r="H10076" s="38" t="n">
        <f aca="false">cx_awso*Sens!$H$9987</f>
        <v>32.2034154158406</v>
      </c>
      <c r="I10076" s="38" t="n">
        <f aca="false">cx_awso*Sens!$I$9987</f>
        <v>35.7539519042915</v>
      </c>
      <c r="J10076" s="38" t="n">
        <f aca="false">cx_awso*Sens!$J$9987</f>
        <v>39.1551076091815</v>
      </c>
      <c r="K10076" s="38" t="n">
        <f aca="false">cx_awso*Sens!$K$9987</f>
        <v>42.287516217916</v>
      </c>
      <c r="L10076" s="38" t="n">
        <f aca="false">cx_awso*Sens!$L$9987</f>
        <v>45.6705175153492</v>
      </c>
      <c r="M10076" s="38" t="n">
        <f aca="false">cx_awso*Sens!$M$9987</f>
        <v>49.3241589165772</v>
      </c>
    </row>
    <row r="10077" customFormat="false" ht="17.15" hidden="false" customHeight="false" outlineLevel="0" collapsed="false">
      <c r="A10077" s="5" t="s">
        <v>801</v>
      </c>
      <c r="B10077" s="0" t="s">
        <v>86</v>
      </c>
      <c r="C10077" s="38" t="n">
        <f aca="false">Q!$D$46-Sens!$C$10075-Sens!$C$10076</f>
        <v>31.3328957636573</v>
      </c>
      <c r="D10077" s="38" t="n">
        <f aca="false">Q!$E$46-Sens!$D$10075-Sens!$D$10076</f>
        <v>34.7471223867276</v>
      </c>
      <c r="E10077" s="38" t="n">
        <f aca="false">Q!$P$46-Sens!$E$10075-Sens!$E$10076</f>
        <v>17.8583499466032</v>
      </c>
      <c r="F10077" s="38" t="n">
        <f aca="false">cx_rt*Sens!$F$9916</f>
        <v>20.6195895799373</v>
      </c>
      <c r="G10077" s="38" t="n">
        <f aca="false">Sens!$E$10077+Sens!$F$10077</f>
        <v>38.4779395265405</v>
      </c>
      <c r="H10077" s="38" t="n">
        <f aca="false">cx_rt*Sens!$H$9916</f>
        <v>42.5978994743075</v>
      </c>
      <c r="I10077" s="38" t="n">
        <f aca="false">cx_rt*Sens!$I$9916</f>
        <v>46.5813904136335</v>
      </c>
      <c r="J10077" s="38" t="n">
        <f aca="false">cx_rt*Sens!$J$9916</f>
        <v>50.2781676586844</v>
      </c>
      <c r="K10077" s="38" t="n">
        <f aca="false">cx_rt*Sens!$K$9916</f>
        <v>53.5312440191755</v>
      </c>
      <c r="L10077" s="38" t="n">
        <f aca="false">cx_rt*Sens!$L$9916</f>
        <v>57.0116717051447</v>
      </c>
      <c r="M10077" s="38" t="n">
        <f aca="false">cx_rt*Sens!$M$9916</f>
        <v>60.7365554669226</v>
      </c>
    </row>
    <row r="10078" customFormat="false" ht="15" hidden="false" customHeight="false" outlineLevel="0" collapsed="false">
      <c r="A10078" s="3" t="s">
        <v>802</v>
      </c>
      <c r="B10078" s="8" t="s">
        <v>86</v>
      </c>
      <c r="C10078" s="38" t="n">
        <f aca="false">Q!$D$46</f>
        <v>77.658</v>
      </c>
      <c r="D10078" s="38" t="n">
        <f aca="false">Q!$E$46</f>
        <v>128.32</v>
      </c>
      <c r="E10078" s="38" t="n">
        <f aca="false">Q!$P$46</f>
        <v>96.31</v>
      </c>
      <c r="F10078" s="38" t="n">
        <f aca="false">Sens!$F$10075+Sens!$F$10076+Sens!$F$10077</f>
        <v>123.69</v>
      </c>
      <c r="G10078" s="38" t="n">
        <f aca="false">Sens!$E$10078+Sens!$F$10078</f>
        <v>220</v>
      </c>
      <c r="H10078" s="38" t="n">
        <f aca="false">Sens!$H$10075+Sens!$H$10076+Sens!$H$10077</f>
        <v>273.372679834898</v>
      </c>
      <c r="I10078" s="38" t="n">
        <f aca="false">Sens!$I$10075+Sens!$I$10076+Sens!$I$10077</f>
        <v>286.981812228425</v>
      </c>
      <c r="J10078" s="38" t="n">
        <f aca="false">Sens!$J$10075+Sens!$J$10076+Sens!$J$10077</f>
        <v>299.316513378366</v>
      </c>
      <c r="K10078" s="38" t="n">
        <f aca="false">Sens!$K$10075+Sens!$K$10076+Sens!$K$10077</f>
        <v>253.835101823915</v>
      </c>
      <c r="L10078" s="38" t="n">
        <f aca="false">Sens!$L$10075+Sens!$L$10076+Sens!$L$10077</f>
        <v>240.252243483641</v>
      </c>
      <c r="M10078" s="38" t="n">
        <f aca="false">Sens!$M$10075+Sens!$M$10076+Sens!$M$10077</f>
        <v>250.62556497822</v>
      </c>
    </row>
    <row r="10079" customFormat="false" ht="17.15" hidden="false" customHeight="false" outlineLevel="0" collapsed="false">
      <c r="A10079" s="5" t="s">
        <v>570</v>
      </c>
      <c r="B10079" s="0" t="s">
        <v>86</v>
      </c>
      <c r="C10079" s="38" t="n">
        <f aca="false">Q!$D$50</f>
        <v>2.043</v>
      </c>
      <c r="D10079" s="38" t="n">
        <f aca="false">Q!$E$50</f>
        <v>1.557</v>
      </c>
      <c r="E10079" s="38" t="n">
        <f aca="false">lease_pr/2</f>
        <v>0.8</v>
      </c>
      <c r="F10079" s="38" t="n">
        <f aca="false">lease_pr/2</f>
        <v>0.8</v>
      </c>
      <c r="G10079" s="38" t="n">
        <f aca="false">Sens!$E$10079+Sens!$F$10079</f>
        <v>1.6</v>
      </c>
      <c r="H10079" s="38" t="n">
        <f aca="false">lease_pr</f>
        <v>1.6</v>
      </c>
      <c r="I10079" s="38" t="n">
        <f aca="false">lease_pr</f>
        <v>1.6</v>
      </c>
      <c r="J10079" s="38" t="n">
        <f aca="false">lease_pr</f>
        <v>1.6</v>
      </c>
      <c r="K10079" s="38" t="n">
        <f aca="false">lease_pr</f>
        <v>1.6</v>
      </c>
      <c r="L10079" s="38" t="n">
        <f aca="false">lease_pr</f>
        <v>1.6</v>
      </c>
      <c r="M10079" s="38" t="n">
        <f aca="false">lease_pr</f>
        <v>1.6</v>
      </c>
      <c r="P10079" s="8" t="s">
        <v>803</v>
      </c>
    </row>
    <row r="10080" customFormat="false" ht="15" hidden="false" customHeight="false" outlineLevel="0" collapsed="false">
      <c r="A10080" s="47" t="s">
        <v>804</v>
      </c>
      <c r="B10080" s="14" t="s">
        <v>86</v>
      </c>
      <c r="C10080" s="48" t="n">
        <f aca="false">Sens!$C$10074-Sens!$C$10078-Sens!$C$10079</f>
        <v>36.176</v>
      </c>
      <c r="D10080" s="48" t="n">
        <f aca="false">Sens!$D$10074-Sens!$D$10078-Sens!$D$10079</f>
        <v>9.63700000000002</v>
      </c>
      <c r="E10080" s="48" t="n">
        <f aca="false">Sens!$E$10074-Sens!$E$10078-Sens!$E$10079</f>
        <v>-25.691</v>
      </c>
      <c r="F10080" s="48" t="n">
        <f aca="false">Sens!$F$10074-Sens!$F$10078-Sens!$F$10079</f>
        <v>-33.2271793268317</v>
      </c>
      <c r="G10080" s="48" t="n">
        <f aca="false">Sens!$G$10074-Sens!$G$10078-Sens!$G$10079</f>
        <v>-58.9181793268317</v>
      </c>
      <c r="H10080" s="48" t="n">
        <f aca="false">Sens!$H$10074-Sens!$H$10078-Sens!$H$10079</f>
        <v>-54.3561238424036</v>
      </c>
      <c r="I10080" s="48" t="n">
        <f aca="false">Sens!$I$10074-Sens!$I$10078-Sens!$I$10079</f>
        <v>-15.0303903946055</v>
      </c>
      <c r="J10080" s="48" t="n">
        <f aca="false">Sens!$J$10074-Sens!$J$10078-Sens!$J$10079</f>
        <v>25.3313456523922</v>
      </c>
      <c r="K10080" s="48" t="n">
        <f aca="false">Sens!$K$10074-Sens!$K$10078-Sens!$K$10079</f>
        <v>119.390910181274</v>
      </c>
      <c r="L10080" s="48" t="n">
        <f aca="false">Sens!$L$10074-Sens!$L$10078-Sens!$L$10079</f>
        <v>175.977876274232</v>
      </c>
      <c r="M10080" s="48" t="n">
        <f aca="false">Sens!$M$10074-Sens!$M$10078-Sens!$M$10079</f>
        <v>203.109287386967</v>
      </c>
      <c r="N10080" s="14"/>
      <c r="O10080" s="14"/>
    </row>
    <row r="10081" customFormat="false" ht="17.15" hidden="false" customHeight="false" outlineLevel="0" collapsed="false">
      <c r="A10081" s="5" t="s">
        <v>805</v>
      </c>
      <c r="B10081" s="0" t="s">
        <v>86</v>
      </c>
      <c r="C10081" s="38" t="n">
        <f aca="false">dps*Sens!$C$10060</f>
        <v>0</v>
      </c>
      <c r="D10081" s="38" t="n">
        <f aca="false">dps*Sens!$D$10060</f>
        <v>0</v>
      </c>
      <c r="E10081" s="38" t="n">
        <f aca="false">dps*Sens!$E$10060</f>
        <v>0</v>
      </c>
      <c r="F10081" s="38" t="n">
        <f aca="false">0</f>
        <v>0</v>
      </c>
      <c r="G10081" s="38" t="n">
        <f aca="false">dps*Sens!$G$10060</f>
        <v>0</v>
      </c>
      <c r="H10081" s="38" t="n">
        <f aca="false">dps*Sens!$H$10060</f>
        <v>0</v>
      </c>
      <c r="I10081" s="38" t="n">
        <f aca="false">dps*Sens!$I$10060</f>
        <v>0</v>
      </c>
      <c r="J10081" s="38" t="n">
        <f aca="false">dps*Sens!$J$10060</f>
        <v>0</v>
      </c>
      <c r="K10081" s="38" t="n">
        <f aca="false">dps*Sens!$K$10060</f>
        <v>0</v>
      </c>
      <c r="L10081" s="38" t="n">
        <f aca="false">dps*Sens!$L$10060</f>
        <v>0</v>
      </c>
      <c r="M10081" s="38" t="n">
        <f aca="false">dps*Sens!$M$10060</f>
        <v>0</v>
      </c>
      <c r="P10081" s="8" t="s">
        <v>806</v>
      </c>
    </row>
    <row r="10082" customFormat="false" ht="17.15" hidden="false" customHeight="false" outlineLevel="0" collapsed="false">
      <c r="A10082" s="5" t="s">
        <v>807</v>
      </c>
      <c r="B10082" s="0" t="s">
        <v>86</v>
      </c>
      <c r="C10082" s="38" t="n">
        <f aca="false">0</f>
        <v>0</v>
      </c>
      <c r="D10082" s="38" t="n">
        <f aca="false">0</f>
        <v>0</v>
      </c>
      <c r="E10082" s="38" t="n">
        <f aca="false">0</f>
        <v>0</v>
      </c>
      <c r="F10082" s="38" t="n">
        <f aca="false">0</f>
        <v>0</v>
      </c>
      <c r="G10082" s="38" t="n">
        <f aca="false">0</f>
        <v>0</v>
      </c>
      <c r="H10082" s="38" t="n">
        <f aca="false">0</f>
        <v>0</v>
      </c>
      <c r="I10082" s="38" t="n">
        <f aca="false">0</f>
        <v>0</v>
      </c>
      <c r="J10082" s="38" t="n">
        <f aca="false">0</f>
        <v>0</v>
      </c>
      <c r="K10082" s="38" t="n">
        <f aca="false">0</f>
        <v>0</v>
      </c>
      <c r="L10082" s="38" t="n">
        <f aca="false">0</f>
        <v>0</v>
      </c>
      <c r="M10082" s="38" t="n">
        <f aca="false">0</f>
        <v>0</v>
      </c>
      <c r="P10082" s="8" t="s">
        <v>808</v>
      </c>
    </row>
    <row r="10083" customFormat="false" ht="15" hidden="false" customHeight="false" outlineLevel="0" collapsed="false">
      <c r="A10083" s="3" t="s">
        <v>809</v>
      </c>
      <c r="B10083" s="8" t="s">
        <v>86</v>
      </c>
      <c r="C10083" s="38" t="n">
        <f aca="false">Sens!$C$10080-Sens!$C$10081</f>
        <v>36.176</v>
      </c>
      <c r="D10083" s="38" t="n">
        <f aca="false">Sens!$D$10080-Sens!$D$10081</f>
        <v>9.63700000000002</v>
      </c>
      <c r="E10083" s="38" t="n">
        <f aca="false">Sens!$E$10080-Sens!$E$10081</f>
        <v>-25.691</v>
      </c>
      <c r="F10083" s="38" t="n">
        <f aca="false">Sens!$F$10080-Sens!$F$10081</f>
        <v>-33.2271793268317</v>
      </c>
      <c r="G10083" s="38" t="n">
        <f aca="false">Sens!$G$10080-Sens!$G$10081</f>
        <v>-58.9181793268317</v>
      </c>
      <c r="H10083" s="38" t="n">
        <f aca="false">Sens!$H$10080-Sens!$H$10081</f>
        <v>-54.3561238424036</v>
      </c>
      <c r="I10083" s="38" t="n">
        <f aca="false">Sens!$I$10080-Sens!$I$10081</f>
        <v>-15.0303903946055</v>
      </c>
      <c r="J10083" s="38" t="n">
        <f aca="false">Sens!$J$10080-Sens!$J$10081</f>
        <v>25.3313456523922</v>
      </c>
      <c r="K10083" s="38" t="n">
        <f aca="false">Sens!$K$10080-Sens!$K$10081</f>
        <v>119.390910181274</v>
      </c>
      <c r="L10083" s="38" t="n">
        <f aca="false">Sens!$L$10080-Sens!$L$10081</f>
        <v>175.977876274232</v>
      </c>
      <c r="M10083" s="38" t="n">
        <f aca="false">Sens!$M$10080-Sens!$M$10081</f>
        <v>203.109287386967</v>
      </c>
    </row>
    <row r="10084" customFormat="false" ht="17.15" hidden="false" customHeight="false" outlineLevel="0" collapsed="false">
      <c r="A10084" s="5" t="s">
        <v>810</v>
      </c>
      <c r="B10084" s="0" t="s">
        <v>86</v>
      </c>
      <c r="E10084" s="38" t="n">
        <f aca="false">Q!$P$53</f>
        <v>39.767</v>
      </c>
      <c r="F10084" s="38" t="n">
        <f aca="false">inv_2h26</f>
        <v>21.3</v>
      </c>
      <c r="G10084" s="38" t="n">
        <f aca="false">Sens!$E$10084+Sens!$F$10084</f>
        <v>61.067</v>
      </c>
      <c r="H10084" s="39" t="n">
        <v>0</v>
      </c>
      <c r="I10084" s="39" t="n">
        <v>0</v>
      </c>
      <c r="J10084" s="39" t="n">
        <v>0</v>
      </c>
      <c r="K10084" s="39" t="n">
        <v>0</v>
      </c>
      <c r="L10084" s="39" t="n">
        <v>0</v>
      </c>
      <c r="M10084" s="39" t="n">
        <v>0</v>
      </c>
    </row>
    <row r="10085" customFormat="false" ht="17.15" hidden="false" customHeight="false" outlineLevel="0" collapsed="false">
      <c r="A10085" s="5" t="s">
        <v>811</v>
      </c>
      <c r="B10085" s="0" t="s">
        <v>86</v>
      </c>
      <c r="F10085" s="38" t="n">
        <f aca="false">iss_2h26</f>
        <v>29.249999</v>
      </c>
      <c r="G10085" s="38" t="n">
        <f aca="false">Sens!$F$10085</f>
        <v>29.249999</v>
      </c>
      <c r="H10085" s="39" t="n">
        <v>0</v>
      </c>
      <c r="I10085" s="39" t="n">
        <v>0</v>
      </c>
      <c r="J10085" s="39" t="n">
        <v>0</v>
      </c>
      <c r="K10085" s="39" t="n">
        <v>0</v>
      </c>
      <c r="L10085" s="39" t="n">
        <v>0</v>
      </c>
      <c r="M10085" s="39" t="n">
        <v>0</v>
      </c>
    </row>
    <row r="10086" customFormat="false" ht="17.15" hidden="false" customHeight="false" outlineLevel="0" collapsed="false">
      <c r="A10086" s="5" t="s">
        <v>812</v>
      </c>
      <c r="B10086" s="0" t="s">
        <v>86</v>
      </c>
      <c r="F10086" s="38" t="n">
        <f aca="false">cash_q2</f>
        <v>122.988</v>
      </c>
      <c r="G10086" s="38" t="n">
        <f aca="false">cash_q2</f>
        <v>122.988</v>
      </c>
      <c r="H10086" s="38" t="n">
        <f aca="false">Sens!$G$10089</f>
        <v>97.7108196731683</v>
      </c>
      <c r="I10086" s="38" t="n">
        <f aca="false">Sens!$H$10089</f>
        <v>50</v>
      </c>
      <c r="J10086" s="38" t="n">
        <f aca="false">Sens!$I$10089</f>
        <v>50</v>
      </c>
      <c r="K10086" s="38" t="n">
        <f aca="false">Sens!$J$10089</f>
        <v>75.3313456523922</v>
      </c>
      <c r="L10086" s="38" t="n">
        <f aca="false">Sens!$K$10089</f>
        <v>194.722255833666</v>
      </c>
      <c r="M10086" s="38" t="n">
        <f aca="false">Sens!$L$10089</f>
        <v>370.700132107898</v>
      </c>
    </row>
    <row r="10087" customFormat="false" ht="15" hidden="false" customHeight="false" outlineLevel="0" collapsed="false">
      <c r="A10087" s="5" t="s">
        <v>813</v>
      </c>
      <c r="B10087" s="0" t="s">
        <v>86</v>
      </c>
      <c r="F10087" s="38" t="n">
        <f aca="false">Sens!$F$10086+Sens!$F$10083-Sens!$F$10082-Sens!$F$10084+Sens!$F$10085</f>
        <v>97.7108196731683</v>
      </c>
      <c r="H10087" s="38" t="n">
        <f aca="false">Sens!$H$10086+Sens!$H$10083-Sens!$H$10082-Sens!$H$10084+Sens!$H$10085</f>
        <v>43.3546958307647</v>
      </c>
      <c r="I10087" s="38" t="n">
        <f aca="false">Sens!$I$10086+Sens!$I$10083-Sens!$I$10082-Sens!$I$10084+Sens!$I$10085</f>
        <v>34.9696096053945</v>
      </c>
      <c r="J10087" s="38" t="n">
        <f aca="false">Sens!$J$10086+Sens!$J$10083-Sens!$J$10082-Sens!$J$10084+Sens!$J$10085</f>
        <v>75.3313456523922</v>
      </c>
      <c r="K10087" s="38" t="n">
        <f aca="false">Sens!$K$10086+Sens!$K$10083-Sens!$K$10082-Sens!$K$10084+Sens!$K$10085</f>
        <v>194.722255833666</v>
      </c>
      <c r="L10087" s="38" t="n">
        <f aca="false">Sens!$L$10086+Sens!$L$10083-Sens!$L$10082-Sens!$L$10084+Sens!$L$10085</f>
        <v>370.700132107898</v>
      </c>
      <c r="M10087" s="38" t="n">
        <f aca="false">Sens!$M$10086+Sens!$M$10083-Sens!$M$10082-Sens!$M$10084+Sens!$M$10085</f>
        <v>573.809419494865</v>
      </c>
    </row>
    <row r="10088" customFormat="false" ht="17.15" hidden="false" customHeight="false" outlineLevel="0" collapsed="false">
      <c r="A10088" s="5" t="s">
        <v>814</v>
      </c>
      <c r="B10088" s="0" t="s">
        <v>86</v>
      </c>
      <c r="F10088" s="38" t="n">
        <f aca="false">MAX(0,min_cash-Sens!$F$10087)</f>
        <v>0</v>
      </c>
      <c r="G10088" s="38" t="n">
        <f aca="false">Sens!$F$10088</f>
        <v>0</v>
      </c>
      <c r="H10088" s="38" t="n">
        <f aca="false">MAX(0,min_cash-Sens!$H$10087)</f>
        <v>6.64530416923528</v>
      </c>
      <c r="I10088" s="38" t="n">
        <f aca="false">MAX(0,min_cash-Sens!$I$10087)</f>
        <v>15.0303903946055</v>
      </c>
      <c r="J10088" s="38" t="n">
        <f aca="false">MAX(0,min_cash-Sens!$J$10087)</f>
        <v>0</v>
      </c>
      <c r="K10088" s="38" t="n">
        <f aca="false">MAX(0,min_cash-Sens!$K$10087)</f>
        <v>0</v>
      </c>
      <c r="L10088" s="38" t="n">
        <f aca="false">MAX(0,min_cash-Sens!$L$10087)</f>
        <v>0</v>
      </c>
      <c r="M10088" s="38" t="n">
        <f aca="false">MAX(0,min_cash-Sens!$M$10087)</f>
        <v>0</v>
      </c>
      <c r="P10088" s="5" t="s">
        <v>815</v>
      </c>
    </row>
    <row r="10089" customFormat="false" ht="15" hidden="false" customHeight="false" outlineLevel="0" collapsed="false">
      <c r="A10089" s="5" t="s">
        <v>816</v>
      </c>
      <c r="B10089" s="0" t="s">
        <v>86</v>
      </c>
      <c r="D10089" s="38" t="n">
        <f aca="false">Q!$E$61</f>
        <v>123.029</v>
      </c>
      <c r="E10089" s="38" t="n">
        <f aca="false">Q!$M$61</f>
        <v>122.988</v>
      </c>
      <c r="F10089" s="38" t="n">
        <f aca="false">Sens!$F$10087+Sens!$F$10088</f>
        <v>97.7108196731683</v>
      </c>
      <c r="G10089" s="38" t="n">
        <f aca="false">Sens!$F$10089</f>
        <v>97.7108196731683</v>
      </c>
      <c r="H10089" s="38" t="n">
        <f aca="false">Sens!$H$10087+Sens!$H$10088</f>
        <v>50</v>
      </c>
      <c r="I10089" s="38" t="n">
        <f aca="false">Sens!$I$10087+Sens!$I$10088</f>
        <v>50</v>
      </c>
      <c r="J10089" s="38" t="n">
        <f aca="false">Sens!$J$10087+Sens!$J$10088</f>
        <v>75.3313456523922</v>
      </c>
      <c r="K10089" s="38" t="n">
        <f aca="false">Sens!$K$10087+Sens!$K$10088</f>
        <v>194.722255833666</v>
      </c>
      <c r="L10089" s="38" t="n">
        <f aca="false">Sens!$L$10087+Sens!$L$10088</f>
        <v>370.700132107898</v>
      </c>
      <c r="M10089" s="38" t="n">
        <f aca="false">Sens!$M$10087+Sens!$M$10088</f>
        <v>573.809419494865</v>
      </c>
    </row>
    <row r="10090" customFormat="false" ht="15" hidden="false" customHeight="false" outlineLevel="0" collapsed="false">
      <c r="A10090" s="5" t="s">
        <v>817</v>
      </c>
      <c r="B10090" s="0" t="s">
        <v>86</v>
      </c>
      <c r="D10090" s="38" t="n">
        <f aca="false">Q!$E$62</f>
        <v>68.836</v>
      </c>
      <c r="E10090" s="38" t="n">
        <f aca="false">Q!$M$62</f>
        <v>132.995</v>
      </c>
      <c r="F10090" s="38" t="n">
        <f aca="false">debt_q2+Sens!$F$10085+Sens!$F$10088</f>
        <v>162.244999</v>
      </c>
      <c r="G10090" s="38" t="n">
        <f aca="false">Sens!$F$10090</f>
        <v>162.244999</v>
      </c>
      <c r="H10090" s="38" t="n">
        <f aca="false">Sens!$G$10090+Sens!$H$10088</f>
        <v>168.890303169235</v>
      </c>
      <c r="I10090" s="38" t="n">
        <f aca="false">Sens!$H$10090+Sens!$I$10088</f>
        <v>183.920693563841</v>
      </c>
      <c r="J10090" s="38" t="n">
        <f aca="false">Sens!$I$10090+Sens!$J$10088</f>
        <v>183.920693563841</v>
      </c>
      <c r="K10090" s="38" t="n">
        <f aca="false">Sens!$J$10090+Sens!$K$10088</f>
        <v>183.920693563841</v>
      </c>
      <c r="L10090" s="38" t="n">
        <f aca="false">Sens!$K$10090+Sens!$L$10088</f>
        <v>183.920693563841</v>
      </c>
      <c r="M10090" s="38" t="n">
        <f aca="false">Sens!$L$10090+Sens!$M$10088</f>
        <v>183.920693563841</v>
      </c>
    </row>
    <row r="10091" customFormat="false" ht="15" hidden="false" customHeight="false" outlineLevel="0" collapsed="false">
      <c r="A10091" s="5" t="s">
        <v>818</v>
      </c>
      <c r="B10091" s="0" t="s">
        <v>86</v>
      </c>
      <c r="D10091" s="38" t="n">
        <f aca="false">Sens!$D$10090-Sens!$D$10089</f>
        <v>-54.193</v>
      </c>
      <c r="E10091" s="38" t="n">
        <f aca="false">Sens!$E$10090-Sens!$E$10089</f>
        <v>10.007</v>
      </c>
      <c r="F10091" s="38" t="n">
        <f aca="false">Sens!$F$10090-Sens!$F$10089</f>
        <v>64.5341793268317</v>
      </c>
      <c r="G10091" s="38" t="n">
        <f aca="false">Sens!$G$10090-Sens!$G$10089</f>
        <v>64.5341793268317</v>
      </c>
      <c r="H10091" s="38" t="n">
        <f aca="false">Sens!$H$10090-Sens!$H$10089</f>
        <v>118.890303169235</v>
      </c>
      <c r="I10091" s="38" t="n">
        <f aca="false">Sens!$I$10090-Sens!$I$10089</f>
        <v>133.920693563841</v>
      </c>
      <c r="J10091" s="38" t="n">
        <f aca="false">Sens!$J$10090-Sens!$J$10089</f>
        <v>108.589347911449</v>
      </c>
      <c r="K10091" s="38" t="n">
        <f aca="false">Sens!$K$10090-Sens!$K$10089</f>
        <v>-10.8015622698255</v>
      </c>
      <c r="L10091" s="38" t="n">
        <f aca="false">Sens!$L$10090-Sens!$L$10089</f>
        <v>-186.779438544058</v>
      </c>
      <c r="M10091" s="38" t="n">
        <f aca="false">Sens!$M$10090-Sens!$M$10089</f>
        <v>-389.888725931024</v>
      </c>
    </row>
    <row r="10092" customFormat="false" ht="17.15" hidden="false" customHeight="false" outlineLevel="0" collapsed="false">
      <c r="A10092" s="5" t="s">
        <v>819</v>
      </c>
      <c r="B10092" s="0" t="s">
        <v>86</v>
      </c>
      <c r="F10092" s="38" t="n">
        <f aca="false">debt_q2*kd_book*0.5+iss_2h26*kd_new*iss_t</f>
        <v>3.24888962733561</v>
      </c>
      <c r="H10092" s="38" t="n">
        <f aca="false">debt_q2*kd_book+(Sens!$G$10090-debt_q2)*kd_new</f>
        <v>7.42354172302123</v>
      </c>
      <c r="I10092" s="38" t="n">
        <f aca="false">debt_q2*kd_book+(Sens!$H$10090-debt_q2)*kd_new</f>
        <v>7.84418947693382</v>
      </c>
      <c r="J10092" s="38" t="n">
        <f aca="false">debt_q2*kd_book+(Sens!$I$10090-debt_q2)*kd_new</f>
        <v>8.79561318891235</v>
      </c>
      <c r="K10092" s="38" t="n">
        <f aca="false">debt_q2*kd_book+(Sens!$J$10090-debt_q2)*kd_new</f>
        <v>8.79561318891235</v>
      </c>
      <c r="L10092" s="38" t="n">
        <f aca="false">debt_q2*kd_book+(Sens!$K$10090-debt_q2)*kd_new</f>
        <v>8.79561318891235</v>
      </c>
      <c r="M10092" s="38" t="n">
        <f aca="false">debt_q2*kd_book+(Sens!$L$10090-debt_q2)*kd_new</f>
        <v>8.79561318891235</v>
      </c>
    </row>
    <row r="10093" customFormat="false" ht="17.15" hidden="false" customHeight="false" outlineLevel="0" collapsed="false">
      <c r="A10093" s="5" t="s">
        <v>820</v>
      </c>
      <c r="B10093" s="0" t="s">
        <v>86</v>
      </c>
      <c r="F10093" s="38" t="n">
        <f aca="false">cash_q2*y_cash*0.5</f>
        <v>2.59</v>
      </c>
      <c r="H10093" s="38" t="n">
        <f aca="false">Sens!$G$10089*y_cash</f>
        <v>4.1153774832261</v>
      </c>
      <c r="I10093" s="38" t="n">
        <f aca="false">Sens!$H$10089*y_cash</f>
        <v>2.10589651022864</v>
      </c>
      <c r="J10093" s="38" t="n">
        <f aca="false">Sens!$I$10089*y_cash</f>
        <v>2.10589651022864</v>
      </c>
      <c r="K10093" s="38" t="n">
        <f aca="false">Sens!$J$10089*y_cash</f>
        <v>3.172800358404</v>
      </c>
      <c r="L10093" s="38" t="n">
        <f aca="false">Sens!$K$10089*y_cash</f>
        <v>8.20129838047933</v>
      </c>
      <c r="M10093" s="38" t="n">
        <f aca="false">Sens!$L$10089*y_cash</f>
        <v>15.6131222909464</v>
      </c>
    </row>
    <row r="10094" customFormat="false" ht="17.15" hidden="false" customHeight="false" outlineLevel="0" collapsed="false">
      <c r="A10094" s="47" t="s">
        <v>821</v>
      </c>
      <c r="B10094" s="14" t="s">
        <v>86</v>
      </c>
      <c r="C10094" s="14"/>
      <c r="D10094" s="14"/>
      <c r="E10094" s="14"/>
      <c r="F10094" s="14"/>
      <c r="G10094" s="48" t="n">
        <f aca="false">SUM(Sens!$G$10083:$K$10083)</f>
        <v>16.4175622698255</v>
      </c>
      <c r="H10094" s="14"/>
      <c r="I10094" s="14"/>
      <c r="J10094" s="14"/>
      <c r="K10094" s="14"/>
      <c r="L10094" s="14"/>
      <c r="M10094" s="14"/>
      <c r="N10094" s="14"/>
      <c r="O10094" s="14"/>
    </row>
    <row r="10095" customFormat="false" ht="17.15" hidden="false" customHeight="false" outlineLevel="0" collapsed="false">
      <c r="A10095" s="0" t="s">
        <v>787</v>
      </c>
      <c r="B10095" s="0" t="s">
        <v>86</v>
      </c>
      <c r="G10095" s="38" t="n">
        <f aca="false">SUM(Sens!$G$10088:$K$10088)</f>
        <v>21.6756945638408</v>
      </c>
    </row>
    <row r="10096" customFormat="false" ht="17.15" hidden="false" customHeight="false" outlineLevel="0" collapsed="false">
      <c r="A10096" s="24" t="s">
        <v>824</v>
      </c>
      <c r="B10096" s="25" t="s">
        <v>86</v>
      </c>
      <c r="C10096" s="25"/>
      <c r="D10096" s="25"/>
      <c r="E10096" s="25"/>
      <c r="F10096" s="25"/>
      <c r="G10096" s="41" t="n">
        <f aca="false">Sens!$G$10094-(Sens!$G$10083+Sens!$H$10083+Sens!$I$10083+Sens!$J$10083+Sens!$K$10083)</f>
        <v>0</v>
      </c>
      <c r="H10096" s="25"/>
      <c r="I10096" s="25"/>
      <c r="J10096" s="25"/>
      <c r="K10096" s="25"/>
      <c r="L10096" s="25"/>
      <c r="M10096" s="25"/>
      <c r="N10096" s="25"/>
      <c r="O10096" s="25"/>
    </row>
    <row r="10099" customFormat="false" ht="19.4" hidden="false" customHeight="false" outlineLevel="0" collapsed="false">
      <c r="A10099" s="31" t="s">
        <v>1356</v>
      </c>
    </row>
    <row r="10100" customFormat="false" ht="17.15" hidden="false" customHeight="false" outlineLevel="0" collapsed="false">
      <c r="A10100" s="6" t="s">
        <v>16</v>
      </c>
      <c r="B10100" s="6" t="s">
        <v>17</v>
      </c>
      <c r="C10100" s="20" t="s">
        <v>504</v>
      </c>
      <c r="D10100" s="20" t="s">
        <v>505</v>
      </c>
      <c r="E10100" s="20" t="s">
        <v>587</v>
      </c>
      <c r="F10100" s="20" t="s">
        <v>588</v>
      </c>
      <c r="G10100" s="20" t="s">
        <v>589</v>
      </c>
      <c r="H10100" s="20" t="s">
        <v>590</v>
      </c>
      <c r="I10100" s="20" t="s">
        <v>591</v>
      </c>
      <c r="J10100" s="20" t="s">
        <v>592</v>
      </c>
      <c r="K10100" s="20" t="s">
        <v>593</v>
      </c>
      <c r="L10100" s="20" t="s">
        <v>594</v>
      </c>
      <c r="M10100" s="20" t="s">
        <v>595</v>
      </c>
      <c r="N10100" s="20" t="s">
        <v>596</v>
      </c>
      <c r="O10100" s="20" t="s">
        <v>597</v>
      </c>
      <c r="P10100" s="6" t="s">
        <v>23</v>
      </c>
      <c r="R10100" s="20" t="n">
        <v>2023</v>
      </c>
      <c r="S10100" s="20" t="n">
        <v>2024</v>
      </c>
      <c r="T10100" s="20" t="n">
        <v>2025</v>
      </c>
      <c r="U10100" s="20" t="n">
        <v>2026</v>
      </c>
      <c r="V10100" s="20" t="n">
        <v>2027</v>
      </c>
      <c r="W10100" s="20" t="n">
        <v>2028</v>
      </c>
      <c r="X10100" s="20" t="n">
        <v>2029</v>
      </c>
      <c r="Y10100" s="20" t="n">
        <v>2030</v>
      </c>
      <c r="Z10100" s="20" t="n">
        <v>2031</v>
      </c>
      <c r="AA10100" s="20" t="n">
        <v>2032</v>
      </c>
    </row>
    <row r="10101" customFormat="false" ht="17.15" hidden="false" customHeight="false" outlineLevel="0" collapsed="false">
      <c r="A10101" s="1" t="s">
        <v>926</v>
      </c>
    </row>
    <row r="10102" customFormat="false" ht="17.15" hidden="false" customHeight="false" outlineLevel="0" collapsed="false">
      <c r="A10102" s="0" t="s">
        <v>927</v>
      </c>
      <c r="B10102" s="0" t="s">
        <v>86</v>
      </c>
      <c r="H10102" s="38" t="n">
        <f aca="false">Sens!$H$10036*(1-tax)</f>
        <v>119.56497355468</v>
      </c>
      <c r="I10102" s="38" t="n">
        <f aca="false">Sens!$I$10036*(1-tax)</f>
        <v>141.256941944278</v>
      </c>
      <c r="J10102" s="38" t="n">
        <f aca="false">Sens!$J$10036*(1-tax)</f>
        <v>165.207646486437</v>
      </c>
      <c r="K10102" s="38" t="n">
        <f aca="false">Sens!$K$10036*(1-tax)</f>
        <v>182.493622705482</v>
      </c>
      <c r="L10102" s="38" t="n">
        <f aca="false">Sens!$L$10036*(1-tax)</f>
        <v>196.756125698549</v>
      </c>
      <c r="M10102" s="38" t="n">
        <f aca="false">Sens!$M$10036*(1-tax)</f>
        <v>209.416582660643</v>
      </c>
    </row>
    <row r="10103" customFormat="false" ht="15" hidden="false" customHeight="false" outlineLevel="0" collapsed="false">
      <c r="A10103" s="5" t="s">
        <v>928</v>
      </c>
      <c r="B10103" s="0" t="s">
        <v>86</v>
      </c>
      <c r="H10103" s="38" t="n">
        <f aca="false">Sens!$H$10047</f>
        <v>81.5618233196153</v>
      </c>
      <c r="I10103" s="38" t="n">
        <f aca="false">Sens!$I$10047</f>
        <v>118.756208740204</v>
      </c>
      <c r="J10103" s="38" t="n">
        <f aca="false">Sens!$J$10047</f>
        <v>152.469489406791</v>
      </c>
      <c r="K10103" s="38" t="n">
        <f aca="false">Sens!$K$10047</f>
        <v>186.391502623819</v>
      </c>
      <c r="L10103" s="38" t="n">
        <f aca="false">Sens!$L$10047</f>
        <v>212.316491798836</v>
      </c>
      <c r="M10103" s="38" t="n">
        <f aca="false">Sens!$M$10047</f>
        <v>230.182690847967</v>
      </c>
    </row>
    <row r="10104" customFormat="false" ht="15" hidden="false" customHeight="false" outlineLevel="0" collapsed="false">
      <c r="A10104" s="5" t="s">
        <v>929</v>
      </c>
      <c r="B10104" s="0" t="s">
        <v>86</v>
      </c>
      <c r="H10104" s="38" t="n">
        <f aca="false">Sens!$H$10078</f>
        <v>273.372679834898</v>
      </c>
      <c r="I10104" s="38" t="n">
        <f aca="false">Sens!$I$10078</f>
        <v>286.981812228425</v>
      </c>
      <c r="J10104" s="38" t="n">
        <f aca="false">Sens!$J$10078</f>
        <v>299.316513378366</v>
      </c>
      <c r="K10104" s="38" t="n">
        <f aca="false">Sens!$K$10078</f>
        <v>253.835101823915</v>
      </c>
      <c r="L10104" s="38" t="n">
        <f aca="false">Sens!$L$10078</f>
        <v>240.252243483641</v>
      </c>
      <c r="M10104" s="38" t="n">
        <f aca="false">Sens!$M$10078</f>
        <v>250.62556497822</v>
      </c>
    </row>
    <row r="10105" customFormat="false" ht="15" hidden="false" customHeight="false" outlineLevel="0" collapsed="false">
      <c r="A10105" s="5" t="s">
        <v>930</v>
      </c>
      <c r="B10105" s="0" t="s">
        <v>86</v>
      </c>
      <c r="H10105" s="38" t="n">
        <f aca="false">Sens!$H$10079</f>
        <v>1.6</v>
      </c>
      <c r="I10105" s="38" t="n">
        <f aca="false">Sens!$I$10079</f>
        <v>1.6</v>
      </c>
      <c r="J10105" s="38" t="n">
        <f aca="false">Sens!$J$10079</f>
        <v>1.6</v>
      </c>
      <c r="K10105" s="38" t="n">
        <f aca="false">Sens!$K$10079</f>
        <v>1.6</v>
      </c>
      <c r="L10105" s="38" t="n">
        <f aca="false">Sens!$L$10079</f>
        <v>1.6</v>
      </c>
      <c r="M10105" s="38" t="n">
        <f aca="false">Sens!$M$10079</f>
        <v>1.6</v>
      </c>
    </row>
    <row r="10106" customFormat="false" ht="15" hidden="false" customHeight="false" outlineLevel="0" collapsed="false">
      <c r="A10106" s="5" t="s">
        <v>931</v>
      </c>
      <c r="B10106" s="0" t="s">
        <v>86</v>
      </c>
      <c r="H10106" s="38" t="n">
        <f aca="false">Sens!$H$10073</f>
        <v>11.2928295263397</v>
      </c>
      <c r="I10106" s="38" t="n">
        <f aca="false">Sens!$I$10073</f>
        <v>12.8091546115766</v>
      </c>
      <c r="J10106" s="38" t="n">
        <f aca="false">Sens!$J$10073</f>
        <v>14.2605653162668</v>
      </c>
      <c r="K10106" s="38" t="n">
        <f aca="false">Sens!$K$10073</f>
        <v>15.5361896109386</v>
      </c>
      <c r="L10106" s="38" t="n">
        <f aca="false">Sens!$L$10073</f>
        <v>16.7342012989106</v>
      </c>
      <c r="M10106" s="38" t="n">
        <f aca="false">Sens!$M$10073</f>
        <v>17.8589265647579</v>
      </c>
    </row>
    <row r="10107" customFormat="false" ht="17.15" hidden="false" customHeight="false" outlineLevel="0" collapsed="false">
      <c r="A10107" s="1" t="s">
        <v>932</v>
      </c>
      <c r="B10107" s="8" t="s">
        <v>86</v>
      </c>
      <c r="H10107" s="38" t="n">
        <f aca="false">Sens!$H$10102+Sens!$H$10103-Sens!$H$10104-Sens!$H$10105+Sens!$H$10106</f>
        <v>-62.5530534342631</v>
      </c>
      <c r="I10107" s="38" t="n">
        <f aca="false">Sens!$I$10102+Sens!$I$10103-Sens!$I$10104-Sens!$I$10105+Sens!$I$10106</f>
        <v>-15.7595069323669</v>
      </c>
      <c r="J10107" s="38" t="n">
        <f aca="false">Sens!$J$10102+Sens!$J$10103-Sens!$J$10104-Sens!$J$10105+Sens!$J$10106</f>
        <v>31.0211878311291</v>
      </c>
      <c r="K10107" s="38" t="n">
        <f aca="false">Sens!$K$10102+Sens!$K$10103-Sens!$K$10104-Sens!$K$10105+Sens!$K$10106</f>
        <v>128.986213116324</v>
      </c>
      <c r="L10107" s="38" t="n">
        <f aca="false">Sens!$L$10102+Sens!$L$10103-Sens!$L$10104-Sens!$L$10105+Sens!$L$10106</f>
        <v>183.954575312655</v>
      </c>
      <c r="M10107" s="38" t="n">
        <f aca="false">Sens!$M$10102+Sens!$M$10103-Sens!$M$10104-Sens!$M$10105+Sens!$M$10106</f>
        <v>205.232635095148</v>
      </c>
    </row>
    <row r="10108" customFormat="false" ht="15" hidden="false" customHeight="false" outlineLevel="0" collapsed="false">
      <c r="A10108" s="5" t="s">
        <v>933</v>
      </c>
      <c r="B10108" s="0" t="s">
        <v>57</v>
      </c>
      <c r="H10108" s="40" t="n">
        <f aca="false">1/(1+wacc)^(2027-2026-0.5)</f>
        <v>0.947751320380232</v>
      </c>
      <c r="I10108" s="40" t="n">
        <f aca="false">1/(1+wacc)^(2028-2026-0.5)</f>
        <v>0.851301099754987</v>
      </c>
      <c r="J10108" s="40" t="n">
        <f aca="false">1/(1+wacc)^(2029-2026-0.5)</f>
        <v>0.764666370660713</v>
      </c>
      <c r="K10108" s="40" t="n">
        <f aca="false">1/(1+wacc)^(2030-2026-0.5)</f>
        <v>0.686848235703811</v>
      </c>
      <c r="L10108" s="40" t="n">
        <f aca="false">1/(1+wacc)^(2031-2026-0.5)</f>
        <v>0.616949452715975</v>
      </c>
      <c r="M10108" s="40" t="n">
        <f aca="false">1/(1+wacc)^(2032-2026-0.5)</f>
        <v>0.554164089562688</v>
      </c>
    </row>
    <row r="10109" customFormat="false" ht="15" hidden="false" customHeight="false" outlineLevel="0" collapsed="false">
      <c r="A10109" s="5" t="s">
        <v>934</v>
      </c>
      <c r="B10109" s="0" t="s">
        <v>86</v>
      </c>
      <c r="H10109" s="38" t="n">
        <f aca="false">Sens!$H$10107*Sens!$H$10108</f>
        <v>-59.2847389861381</v>
      </c>
      <c r="I10109" s="38" t="n">
        <f aca="false">Sens!$I$10107*Sens!$I$10108</f>
        <v>-13.4160855831203</v>
      </c>
      <c r="J10109" s="38" t="n">
        <f aca="false">Sens!$J$10107*Sens!$J$10108</f>
        <v>23.7208591124138</v>
      </c>
      <c r="K10109" s="38" t="n">
        <f aca="false">Sens!$K$10107*Sens!$K$10108</f>
        <v>88.5939529090632</v>
      </c>
      <c r="L10109" s="38" t="n">
        <f aca="false">Sens!$L$10107*Sens!$L$10108</f>
        <v>113.490674563742</v>
      </c>
      <c r="M10109" s="38" t="n">
        <f aca="false">Sens!$M$10107*Sens!$M$10108</f>
        <v>113.732556376054</v>
      </c>
    </row>
    <row r="10110" customFormat="false" ht="15" hidden="false" customHeight="false" outlineLevel="0" collapsed="false">
      <c r="A10110" s="5" t="s">
        <v>935</v>
      </c>
      <c r="B10110" s="0" t="s">
        <v>86</v>
      </c>
      <c r="C10110" s="38" t="n">
        <f aca="false">SUM(Sens!$H$10109:$M$10109)</f>
        <v>266.837218392015</v>
      </c>
    </row>
    <row r="10111" customFormat="false" ht="17.15" hidden="false" customHeight="false" outlineLevel="0" collapsed="false">
      <c r="A10111" s="5" t="s">
        <v>936</v>
      </c>
      <c r="B10111" s="0" t="s">
        <v>86</v>
      </c>
      <c r="C10111" s="38" t="n">
        <f aca="false">Sens!$M$10102*(1+tg_hi)*(1-tg_hi/ronic)/(wacc-tg_hi)</f>
        <v>1922.31421150783</v>
      </c>
    </row>
    <row r="10112" customFormat="false" ht="15" hidden="false" customHeight="false" outlineLevel="0" collapsed="false">
      <c r="A10112" s="5" t="s">
        <v>937</v>
      </c>
      <c r="B10112" s="0" t="s">
        <v>86</v>
      </c>
      <c r="C10112" s="38" t="n">
        <f aca="false">Sens!$C$10111/(1+wacc)^6</f>
        <v>1009.61816181536</v>
      </c>
    </row>
    <row r="10113" customFormat="false" ht="17.15" hidden="false" customHeight="false" outlineLevel="0" collapsed="false">
      <c r="A10113" s="5" t="s">
        <v>938</v>
      </c>
      <c r="B10113" s="0" t="s">
        <v>86</v>
      </c>
      <c r="C10113" s="38" t="n">
        <f aca="false">Sens!$C$10110+Sens!$C$10112</f>
        <v>1276.45538020738</v>
      </c>
    </row>
    <row r="10114" customFormat="false" ht="17.15" hidden="false" customHeight="false" outlineLevel="0" collapsed="false">
      <c r="A10114" s="5" t="s">
        <v>939</v>
      </c>
      <c r="B10114" s="0" t="s">
        <v>52</v>
      </c>
      <c r="C10114" s="13" t="n">
        <f aca="false">Sens!$C$10112/Sens!$C$10113</f>
        <v>0.790954527256046</v>
      </c>
    </row>
    <row r="10115" customFormat="false" ht="17.15" hidden="false" customHeight="false" outlineLevel="0" collapsed="false">
      <c r="A10115" s="5" t="s">
        <v>940</v>
      </c>
      <c r="B10115" s="0" t="s">
        <v>86</v>
      </c>
      <c r="C10115" s="38" t="n">
        <f aca="false">Sens!$G$10091+fin_debt</f>
        <v>89.0551793268317</v>
      </c>
    </row>
    <row r="10116" customFormat="false" ht="17.15" hidden="false" customHeight="false" outlineLevel="0" collapsed="false">
      <c r="A10116" s="5" t="s">
        <v>941</v>
      </c>
      <c r="B10116" s="0" t="s">
        <v>86</v>
      </c>
      <c r="C10116" s="38" t="n">
        <f aca="false">(ant_val*ant_sh+oai_val*oai_sh)*(1-liq_disc)</f>
        <v>178.944</v>
      </c>
    </row>
    <row r="10117" customFormat="false" ht="15" hidden="false" customHeight="false" outlineLevel="0" collapsed="false">
      <c r="A10117" s="5" t="s">
        <v>942</v>
      </c>
      <c r="B10117" s="0" t="s">
        <v>86</v>
      </c>
      <c r="C10117" s="38" t="n">
        <f aca="false">Sens!$C$10113-Sens!$C$10115+Sens!$C$10116</f>
        <v>1366.34420088055</v>
      </c>
    </row>
    <row r="10118" customFormat="false" ht="17.15" hidden="false" customHeight="false" outlineLevel="0" collapsed="false">
      <c r="A10118" s="5" t="s">
        <v>943</v>
      </c>
      <c r="B10118" s="0" t="s">
        <v>27</v>
      </c>
      <c r="C10118" s="30" t="n">
        <f aca="false">Sens!$C$10117/sh_out</f>
        <v>126.673875883879</v>
      </c>
    </row>
    <row r="10119" customFormat="false" ht="17.15" hidden="false" customHeight="false" outlineLevel="0" collapsed="false">
      <c r="A10119" s="1" t="s">
        <v>944</v>
      </c>
      <c r="B10119" s="8" t="s">
        <v>27</v>
      </c>
      <c r="C10119" s="30" t="n">
        <f aca="false">Sens!$C$10118*(1+ke)^tp_yf-dps*tp_yf</f>
        <v>138.754617305396</v>
      </c>
    </row>
    <row r="10120" customFormat="false" ht="17.15" hidden="false" customHeight="false" outlineLevel="0" collapsed="false">
      <c r="A10120" s="3" t="s">
        <v>945</v>
      </c>
    </row>
    <row r="10121" customFormat="false" ht="17.15" hidden="false" customHeight="false" outlineLevel="0" collapsed="false">
      <c r="A10121" s="5" t="s">
        <v>946</v>
      </c>
      <c r="B10121" s="0" t="s">
        <v>86</v>
      </c>
      <c r="C10121" s="38" t="n">
        <f aca="false">(1-tp_yf)*(Sens!$H$10048+sbc_ab*Sens!$H$10072*Sens!$H$9909/Sens!$H$9989)+tp_yf*(Sens!$I$10048+sbc_ab*Sens!$I$10072*Sens!$I$9909/Sens!$I$9989)</f>
        <v>59.634664536349</v>
      </c>
    </row>
    <row r="10122" customFormat="false" ht="15" hidden="false" customHeight="false" outlineLevel="0" collapsed="false">
      <c r="A10122" s="5" t="s">
        <v>947</v>
      </c>
      <c r="B10122" s="0" t="s">
        <v>57</v>
      </c>
      <c r="C10122" s="30" t="n">
        <f aca="false">m_ads*m_x</f>
        <v>9.11</v>
      </c>
    </row>
    <row r="10123" customFormat="false" ht="17.15" hidden="false" customHeight="false" outlineLevel="0" collapsed="false">
      <c r="A10123" s="5" t="s">
        <v>948</v>
      </c>
      <c r="B10123" s="0" t="s">
        <v>86</v>
      </c>
      <c r="C10123" s="38" t="n">
        <f aca="false">Sens!$C$10121*Sens!$C$10122</f>
        <v>543.271793926139</v>
      </c>
    </row>
    <row r="10124" customFormat="false" ht="17.15" hidden="false" customHeight="false" outlineLevel="0" collapsed="false">
      <c r="A10124" s="5" t="s">
        <v>949</v>
      </c>
      <c r="B10124" s="0" t="s">
        <v>86</v>
      </c>
      <c r="C10124" s="38" t="n">
        <f aca="false">(1-tp_yf)*(Sens!$H$10049+sbc_ab*Sens!$H$10072*(Sens!$H$9916-Sens!$H$9909)/Sens!$H$9989+IF(internal_ai_reading=2,1,0)*(1-ext_sh)*Sens!$H$9946)+tp_yf*(Sens!$I$10049+sbc_ab*Sens!$I$10072*(Sens!$I$9916-Sens!$I$9909)/Sens!$I$9989+IF(internal_ai_reading=2,1,0)*(1-ext_sh)*Sens!$I$9946)</f>
        <v>51.6951811103438</v>
      </c>
    </row>
    <row r="10125" customFormat="false" ht="17.15" hidden="false" customHeight="false" outlineLevel="0" collapsed="false">
      <c r="A10125" s="5" t="s">
        <v>950</v>
      </c>
      <c r="B10125" s="0" t="s">
        <v>57</v>
      </c>
      <c r="C10125" s="30" t="n">
        <f aca="false">m_retail*m_x</f>
        <v>17.72</v>
      </c>
    </row>
    <row r="10126" customFormat="false" ht="17.15" hidden="false" customHeight="false" outlineLevel="0" collapsed="false">
      <c r="A10126" s="5" t="s">
        <v>951</v>
      </c>
      <c r="B10126" s="0" t="s">
        <v>86</v>
      </c>
      <c r="C10126" s="38" t="n">
        <f aca="false">Sens!$C$10124*Sens!$C$10125</f>
        <v>916.038609275292</v>
      </c>
    </row>
    <row r="10127" customFormat="false" ht="17.15" hidden="false" customHeight="false" outlineLevel="0" collapsed="false">
      <c r="A10127" s="0" t="s">
        <v>952</v>
      </c>
      <c r="B10127" s="0" t="s">
        <v>86</v>
      </c>
      <c r="C10127" s="38" t="n">
        <f aca="false">(1-tp_yf)*(Sens!$H$10050+sbc_ab*Sens!$H$10072*Sens!$H$9987/Sens!$H$9989)+tp_yf*(Sens!$I$10050+sbc_ab*Sens!$I$10072*Sens!$I$9987/Sens!$I$9989)</f>
        <v>97.2337130506861</v>
      </c>
    </row>
    <row r="10128" customFormat="false" ht="17.15" hidden="false" customHeight="false" outlineLevel="0" collapsed="false">
      <c r="A10128" s="0" t="s">
        <v>953</v>
      </c>
      <c r="B10128" s="0" t="s">
        <v>57</v>
      </c>
      <c r="C10128" s="30" t="n">
        <f aca="false">m_cloud*m_x</f>
        <v>13.82</v>
      </c>
    </row>
    <row r="10129" customFormat="false" ht="17.15" hidden="false" customHeight="false" outlineLevel="0" collapsed="false">
      <c r="A10129" s="0" t="s">
        <v>954</v>
      </c>
      <c r="B10129" s="0" t="s">
        <v>86</v>
      </c>
      <c r="C10129" s="38" t="n">
        <f aca="false">Sens!$C$10127*Sens!$C$10128</f>
        <v>1343.76991436048</v>
      </c>
    </row>
    <row r="10130" customFormat="false" ht="17.15" hidden="false" customHeight="false" outlineLevel="0" collapsed="false">
      <c r="A10130" s="0" t="s">
        <v>955</v>
      </c>
      <c r="B10130" s="0" t="s">
        <v>86</v>
      </c>
      <c r="H10130" s="38" t="n">
        <f aca="false">Sens!$H$9968-tax*Sens!$H$9969-ext_sh*Sens!$H$9953</f>
        <v>-115.41576008619</v>
      </c>
      <c r="I10130" s="38" t="n">
        <f aca="false">Sens!$I$9968-tax*Sens!$I$9969-ext_sh*Sens!$I$9953</f>
        <v>-88.5401912683161</v>
      </c>
      <c r="J10130" s="38" t="n">
        <f aca="false">Sens!$J$9968-tax*Sens!$J$9969-ext_sh*Sens!$J$9953</f>
        <v>-61.2977422866746</v>
      </c>
      <c r="K10130" s="38" t="n">
        <f aca="false">Sens!$K$9968-tax*Sens!$K$9969-ext_sh*Sens!$K$9953</f>
        <v>7.87968766598863</v>
      </c>
      <c r="L10130" s="38" t="n">
        <f aca="false">Sens!$L$9968-tax*Sens!$L$9969-ext_sh*Sens!$L$9953</f>
        <v>43.1120391949839</v>
      </c>
      <c r="M10130" s="38" t="n">
        <f aca="false">Sens!$M$9968-tax*Sens!$M$9969-ext_sh*Sens!$M$9953</f>
        <v>50.7488372092318</v>
      </c>
    </row>
    <row r="10131" customFormat="false" ht="17.15" hidden="false" customHeight="false" outlineLevel="0" collapsed="false">
      <c r="A10131" s="5" t="s">
        <v>956</v>
      </c>
      <c r="B10131" s="0" t="s">
        <v>86</v>
      </c>
      <c r="H10131" s="38" t="n">
        <f aca="false">Sens!$H$10130*Sens!$H$10108</f>
        <v>-109.385439014374</v>
      </c>
      <c r="I10131" s="38" t="n">
        <f aca="false">Sens!$I$10130*Sens!$I$10108</f>
        <v>-75.3743621992344</v>
      </c>
      <c r="J10131" s="38" t="n">
        <f aca="false">Sens!$J$10130*Sens!$J$10108</f>
        <v>-46.8723221240472</v>
      </c>
      <c r="K10131" s="38" t="n">
        <f aca="false">Sens!$K$10130*Sens!$K$10108</f>
        <v>5.41214957128137</v>
      </c>
      <c r="L10131" s="38" t="n">
        <f aca="false">Sens!$L$10130*Sens!$L$10108</f>
        <v>26.597948986815</v>
      </c>
      <c r="M10131" s="38" t="n">
        <f aca="false">Sens!$M$10130*Sens!$M$10108</f>
        <v>28.123183168419</v>
      </c>
    </row>
    <row r="10132" customFormat="false" ht="17.15" hidden="false" customHeight="false" outlineLevel="0" collapsed="false">
      <c r="A10132" s="5" t="s">
        <v>957</v>
      </c>
      <c r="B10132" s="0" t="s">
        <v>86</v>
      </c>
      <c r="C10132" s="38" t="n">
        <f aca="false">Sens!$M$9969*(1-tax)*(1+tg_hi)*(1-tg_hi/ronic)/(wacc-tg_hi)</f>
        <v>368.049420892519</v>
      </c>
    </row>
    <row r="10133" customFormat="false" ht="17.15" hidden="false" customHeight="false" outlineLevel="0" collapsed="false">
      <c r="A10133" s="0" t="s">
        <v>958</v>
      </c>
      <c r="B10133" s="0" t="s">
        <v>86</v>
      </c>
      <c r="C10133" s="38" t="n">
        <f aca="false">(SUM(Sens!$I$10131:$M$10131)+Sens!$C$10132/(1+wacc)^6)*(1+wacc)^tp_yf</f>
        <v>143.28820841293</v>
      </c>
    </row>
    <row r="10134" customFormat="false" ht="17.15" hidden="false" customHeight="false" outlineLevel="0" collapsed="false">
      <c r="A10134" s="5" t="s">
        <v>959</v>
      </c>
      <c r="B10134" s="0" t="s">
        <v>86</v>
      </c>
      <c r="C10134" s="38" t="n">
        <f aca="false">(1-tp_yf)*(Sens!$H$10051)+tp_yf*(Sens!$I$10051)</f>
        <v>74.6707041238437</v>
      </c>
    </row>
    <row r="10135" customFormat="false" ht="17.15" hidden="false" customHeight="false" outlineLevel="0" collapsed="false">
      <c r="A10135" s="5" t="s">
        <v>960</v>
      </c>
      <c r="B10135" s="0" t="s">
        <v>86</v>
      </c>
      <c r="C10135" s="38" t="n">
        <f aca="false">Sens!$C$10134*m_ai</f>
        <v>448.024224743062</v>
      </c>
    </row>
    <row r="10136" customFormat="false" ht="17.15" hidden="false" customHeight="false" outlineLevel="0" collapsed="false">
      <c r="A10136" s="0" t="s">
        <v>961</v>
      </c>
      <c r="B10136" s="0" t="s">
        <v>86</v>
      </c>
      <c r="C10136" s="38" t="n">
        <f aca="false">IF(ai_leg=1,Sens!$C$10133,Sens!$C$10135)</f>
        <v>143.28820841293</v>
      </c>
    </row>
    <row r="10137" customFormat="false" ht="17.15" hidden="false" customHeight="false" outlineLevel="0" collapsed="false">
      <c r="A10137" s="5" t="s">
        <v>962</v>
      </c>
      <c r="B10137" s="0" t="s">
        <v>86</v>
      </c>
      <c r="C10137" s="38" t="n">
        <f aca="false">Sens!$C$10123+Sens!$C$10126+Sens!$C$10129+Sens!$C$10136</f>
        <v>2946.36852597484</v>
      </c>
    </row>
    <row r="10138" customFormat="false" ht="17.15" hidden="false" customHeight="false" outlineLevel="0" collapsed="false">
      <c r="A10138" s="5" t="s">
        <v>963</v>
      </c>
      <c r="B10138" s="0" t="s">
        <v>86</v>
      </c>
      <c r="C10138" s="38" t="n">
        <f aca="false">Sens!$H$10091+fin_debt</f>
        <v>143.411303169235</v>
      </c>
    </row>
    <row r="10139" customFormat="false" ht="15" hidden="false" customHeight="false" outlineLevel="0" collapsed="false">
      <c r="A10139" s="5" t="s">
        <v>964</v>
      </c>
      <c r="B10139" s="0" t="s">
        <v>86</v>
      </c>
      <c r="C10139" s="38" t="n">
        <f aca="false">Sens!$C$10137-Sens!$C$10138+Sens!$C$10116</f>
        <v>2981.90122280561</v>
      </c>
    </row>
    <row r="10140" customFormat="false" ht="15" hidden="false" customHeight="false" outlineLevel="0" collapsed="false">
      <c r="A10140" s="3" t="s">
        <v>965</v>
      </c>
      <c r="B10140" s="8" t="s">
        <v>27</v>
      </c>
      <c r="C10140" s="30" t="n">
        <f aca="false">Sens!$C$10139/sh_val</f>
        <v>270.336929919276</v>
      </c>
    </row>
    <row r="10141" customFormat="false" ht="17.15" hidden="false" customHeight="false" outlineLevel="0" collapsed="false">
      <c r="A10141" s="47" t="s">
        <v>966</v>
      </c>
      <c r="B10141" s="14" t="s">
        <v>27</v>
      </c>
      <c r="C10141" s="44" t="n">
        <f aca="false">w_dcf*Sens!$C$10119+(1-w_dcf)*Sens!$C$10140</f>
        <v>204.545773612336</v>
      </c>
      <c r="D10141" s="14"/>
      <c r="E10141" s="14"/>
      <c r="F10141" s="14"/>
      <c r="G10141" s="14"/>
      <c r="H10141" s="14"/>
      <c r="I10141" s="14"/>
      <c r="J10141" s="14"/>
      <c r="K10141" s="14"/>
      <c r="L10141" s="14"/>
      <c r="M10141" s="14"/>
      <c r="N10141" s="14"/>
      <c r="O10141" s="14"/>
    </row>
    <row r="10142" customFormat="false" ht="17.15" hidden="false" customHeight="false" outlineLevel="0" collapsed="false">
      <c r="A10142" s="5" t="s">
        <v>967</v>
      </c>
      <c r="B10142" s="0" t="s">
        <v>27</v>
      </c>
      <c r="C10142" s="30" t="n">
        <f aca="false">v022_wdcf*Sens!$C$10119+(1-v022_wdcf)*Sens!$C$10140</f>
        <v>211.12488924303</v>
      </c>
    </row>
    <row r="10143" customFormat="false" ht="17.15" hidden="false" customHeight="false" outlineLevel="0" collapsed="false">
      <c r="A10143" s="5" t="s">
        <v>968</v>
      </c>
      <c r="B10143" s="0" t="s">
        <v>27</v>
      </c>
      <c r="C10143" s="30" t="n">
        <f aca="false">(Sens!$C$10139-Sens!$C$10136+Sens!$C$10135)/sh_val</f>
        <v>297.964068759578</v>
      </c>
    </row>
    <row r="10146" customFormat="false" ht="19.4" hidden="false" customHeight="false" outlineLevel="0" collapsed="false">
      <c r="A10146" s="31" t="s">
        <v>1357</v>
      </c>
    </row>
    <row r="10147" customFormat="false" ht="17.15" hidden="false" customHeight="false" outlineLevel="0" collapsed="false">
      <c r="A10147" s="6" t="s">
        <v>16</v>
      </c>
      <c r="B10147" s="6" t="s">
        <v>17</v>
      </c>
      <c r="C10147" s="20" t="s">
        <v>504</v>
      </c>
      <c r="D10147" s="20" t="s">
        <v>505</v>
      </c>
      <c r="E10147" s="20" t="s">
        <v>587</v>
      </c>
      <c r="F10147" s="20" t="s">
        <v>588</v>
      </c>
      <c r="G10147" s="20" t="s">
        <v>589</v>
      </c>
      <c r="H10147" s="20" t="s">
        <v>590</v>
      </c>
      <c r="I10147" s="20" t="s">
        <v>591</v>
      </c>
      <c r="J10147" s="20" t="s">
        <v>592</v>
      </c>
      <c r="K10147" s="20" t="s">
        <v>593</v>
      </c>
      <c r="L10147" s="20" t="s">
        <v>594</v>
      </c>
      <c r="M10147" s="20" t="s">
        <v>595</v>
      </c>
      <c r="N10147" s="20" t="s">
        <v>596</v>
      </c>
      <c r="O10147" s="20" t="s">
        <v>597</v>
      </c>
      <c r="P10147" s="6" t="s">
        <v>23</v>
      </c>
      <c r="R10147" s="20" t="n">
        <v>2023</v>
      </c>
      <c r="S10147" s="20" t="n">
        <v>2024</v>
      </c>
      <c r="T10147" s="20" t="n">
        <v>2025</v>
      </c>
      <c r="U10147" s="20" t="n">
        <v>2026</v>
      </c>
      <c r="V10147" s="20" t="n">
        <v>2027</v>
      </c>
      <c r="W10147" s="20" t="n">
        <v>2028</v>
      </c>
      <c r="X10147" s="20" t="n">
        <v>2029</v>
      </c>
      <c r="Y10147" s="20" t="n">
        <v>2030</v>
      </c>
      <c r="Z10147" s="20" t="n">
        <v>2031</v>
      </c>
      <c r="AA10147" s="20" t="n">
        <v>2032</v>
      </c>
    </row>
    <row r="10148" customFormat="false" ht="17.15" hidden="false" customHeight="false" outlineLevel="0" collapsed="false">
      <c r="A10148" s="1" t="s">
        <v>677</v>
      </c>
    </row>
    <row r="10149" customFormat="false" ht="17.15" hidden="false" customHeight="false" outlineLevel="0" collapsed="false">
      <c r="A10149" s="0" t="s">
        <v>526</v>
      </c>
      <c r="B10149" s="0" t="s">
        <v>86</v>
      </c>
      <c r="C10149" s="38" t="n">
        <f aca="false">Q!$D$10</f>
        <v>247.029</v>
      </c>
      <c r="D10149" s="38" t="n">
        <f aca="false">Q!$E$10</f>
        <v>269.287</v>
      </c>
      <c r="E10149" s="38" t="n">
        <f aca="false">Q!$P$10</f>
        <v>134.686</v>
      </c>
      <c r="F10149" s="38" t="n">
        <f aca="false">Sens!$O$10149*(1+Sens!$F$10150)*Sens!$F$10161</f>
        <v>158.293876822267</v>
      </c>
      <c r="G10149" s="38" t="n">
        <f aca="false">Sens!$E$10149+Sens!$F$10149</f>
        <v>292.979876822267</v>
      </c>
      <c r="H10149" s="38" t="n">
        <f aca="false">Sens!$G$10149*(1+Sens!$H$10150)</f>
        <v>318.184543087396</v>
      </c>
      <c r="I10149" s="38" t="n">
        <f aca="false">Sens!$H$10149*(1+Sens!$I$10150)</f>
        <v>341.736278761793</v>
      </c>
      <c r="J10149" s="38" t="n">
        <f aca="false">Sens!$I$10149*(1+Sens!$J$10150)</f>
        <v>362.927192787048</v>
      </c>
      <c r="K10149" s="38" t="n">
        <f aca="false">Sens!$J$10149*(1+Sens!$K$10150)</f>
        <v>381.0735524264</v>
      </c>
      <c r="L10149" s="38" t="n">
        <f aca="false">Sens!$K$10149*(1+Sens!$L$10150)</f>
        <v>400.12723004772</v>
      </c>
      <c r="M10149" s="38" t="n">
        <f aca="false">Sens!$L$10149*(1+Sens!$M$10150)</f>
        <v>420.133591550106</v>
      </c>
      <c r="N10149" s="38" t="n">
        <f aca="false">Q!$N$10</f>
        <v>118.892</v>
      </c>
      <c r="O10149" s="38" t="n">
        <f aca="false">Q!$O$10</f>
        <v>150.395</v>
      </c>
      <c r="P10149" s="8" t="s">
        <v>678</v>
      </c>
    </row>
    <row r="10150" customFormat="false" ht="17.15" hidden="false" customHeight="false" outlineLevel="0" collapsed="false">
      <c r="A10150" s="0" t="s">
        <v>679</v>
      </c>
      <c r="B10150" s="0" t="s">
        <v>52</v>
      </c>
      <c r="E10150" s="13" t="n">
        <f aca="false">Sens!$E$10149/Sens!$N$10149-1</f>
        <v>0.132843252699929</v>
      </c>
      <c r="F10150" s="13" t="n">
        <f aca="false">Sens!$O$10149/(Q!$F$10+Q!$G$10)-1</f>
        <v>0.0980382135842941</v>
      </c>
      <c r="G10150" s="13" t="n">
        <f aca="false">Sens!$G$10149/Sens!$D$10149-1</f>
        <v>0.0879837378791657</v>
      </c>
      <c r="H10150" s="13" t="n">
        <f aca="false">Sens!$F$10150+(g_os-Sens!$F$10150)*1/4</f>
        <v>0.0860286601882206</v>
      </c>
      <c r="I10150" s="13" t="n">
        <f aca="false">Sens!$F$10150+(g_os-Sens!$F$10150)*2/4</f>
        <v>0.074019106792147</v>
      </c>
      <c r="J10150" s="13" t="n">
        <f aca="false">Sens!$F$10150+(g_os-Sens!$F$10150)*3/4</f>
        <v>0.0620095533960735</v>
      </c>
      <c r="K10150" s="13" t="n">
        <f aca="false">Sens!$F$10150+(g_os-Sens!$F$10150)*4/4</f>
        <v>0.05</v>
      </c>
      <c r="L10150" s="13" t="n">
        <f aca="false">g_os</f>
        <v>0.05</v>
      </c>
      <c r="M10150" s="13" t="n">
        <f aca="false">g_os</f>
        <v>0.05</v>
      </c>
      <c r="P10150" s="8" t="s">
        <v>680</v>
      </c>
    </row>
    <row r="10151" customFormat="false" ht="17.15" hidden="false" customHeight="false" outlineLevel="0" collapsed="false">
      <c r="A10151" s="0" t="s">
        <v>527</v>
      </c>
      <c r="B10151" s="0" t="s">
        <v>86</v>
      </c>
      <c r="C10151" s="38" t="n">
        <f aca="false">Q!$D$11</f>
        <v>21.215</v>
      </c>
      <c r="D10151" s="38" t="n">
        <f aca="false">Q!$E$11</f>
        <v>22.561</v>
      </c>
      <c r="E10151" s="38" t="n">
        <f aca="false">Q!$P$11</f>
        <v>11.579</v>
      </c>
      <c r="F10151" s="38" t="n">
        <f aca="false">Sens!$O$10151*(1+Sens!$F$10152)*Sens!$F$10161</f>
        <v>11.5938724610325</v>
      </c>
      <c r="G10151" s="38" t="n">
        <f aca="false">Sens!$E$10151+Sens!$F$10151</f>
        <v>23.1728724610325</v>
      </c>
      <c r="H10151" s="38" t="n">
        <f aca="false">Sens!$G$10151*(1+Sens!$H$10152)</f>
        <v>24.353392759506</v>
      </c>
      <c r="I10151" s="38" t="n">
        <f aca="false">Sens!$H$10151*(1+Sens!$I$10152)</f>
        <v>25.4240338872015</v>
      </c>
      <c r="J10151" s="38" t="n">
        <f aca="false">Sens!$I$10151*(1+Sens!$J$10152)</f>
        <v>26.3642491017174</v>
      </c>
      <c r="K10151" s="38" t="n">
        <f aca="false">Sens!$J$10151*(1+Sens!$K$10152)</f>
        <v>27.155176574769</v>
      </c>
      <c r="L10151" s="38" t="n">
        <f aca="false">Sens!$K$10151*(1+Sens!$L$10152)</f>
        <v>27.969831872012</v>
      </c>
      <c r="M10151" s="38" t="n">
        <f aca="false">Sens!$L$10151*(1+Sens!$M$10152)</f>
        <v>28.8089268281724</v>
      </c>
      <c r="N10151" s="38" t="n">
        <f aca="false">Q!$N$11</f>
        <v>11.128</v>
      </c>
      <c r="O10151" s="38" t="n">
        <f aca="false">Q!$O$11</f>
        <v>11.433</v>
      </c>
      <c r="P10151" s="8" t="s">
        <v>678</v>
      </c>
    </row>
    <row r="10152" customFormat="false" ht="17.15" hidden="false" customHeight="false" outlineLevel="0" collapsed="false">
      <c r="A10152" s="0" t="s">
        <v>681</v>
      </c>
      <c r="B10152" s="0" t="s">
        <v>52</v>
      </c>
      <c r="E10152" s="13" t="n">
        <f aca="false">Sens!$E$10151/Sens!$N$10151-1</f>
        <v>0.0405283968368082</v>
      </c>
      <c r="F10152" s="13" t="n">
        <f aca="false">Sens!$O$10151/(Q!$F$11+Q!$G$11)-1</f>
        <v>0.0579254187100955</v>
      </c>
      <c r="G10152" s="13" t="n">
        <f aca="false">Sens!$G$10151/Sens!$D$10151-1</f>
        <v>0.0271208040881397</v>
      </c>
      <c r="H10152" s="13" t="n">
        <f aca="false">Sens!$F$10152+(g_ps-Sens!$F$10152)*1/4</f>
        <v>0.0509440640325716</v>
      </c>
      <c r="I10152" s="13" t="n">
        <f aca="false">Sens!$F$10152+(g_ps-Sens!$F$10152)*2/4</f>
        <v>0.0439627093550477</v>
      </c>
      <c r="J10152" s="13" t="n">
        <f aca="false">Sens!$F$10152+(g_ps-Sens!$F$10152)*3/4</f>
        <v>0.0369813546775239</v>
      </c>
      <c r="K10152" s="13" t="n">
        <f aca="false">Sens!$F$10152+(g_ps-Sens!$F$10152)*4/4</f>
        <v>0.03</v>
      </c>
      <c r="L10152" s="13" t="n">
        <f aca="false">g_ps</f>
        <v>0.03</v>
      </c>
      <c r="M10152" s="13" t="n">
        <f aca="false">g_ps</f>
        <v>0.03</v>
      </c>
      <c r="P10152" s="8" t="s">
        <v>682</v>
      </c>
    </row>
    <row r="10153" customFormat="false" ht="17.15" hidden="false" customHeight="false" outlineLevel="0" collapsed="false">
      <c r="A10153" s="0" t="s">
        <v>528</v>
      </c>
      <c r="B10153" s="0" t="s">
        <v>86</v>
      </c>
      <c r="C10153" s="38" t="n">
        <f aca="false">Q!$D$12</f>
        <v>156.146</v>
      </c>
      <c r="D10153" s="38" t="n">
        <f aca="false">Q!$E$12</f>
        <v>172.162</v>
      </c>
      <c r="E10153" s="38" t="n">
        <f aca="false">Q!$P$12</f>
        <v>88.358</v>
      </c>
      <c r="F10153" s="38" t="n">
        <f aca="false">Sens!$O$10153*(1+Sens!$F$10154)*Sens!$F$10161</f>
        <v>102.004388260171</v>
      </c>
      <c r="G10153" s="38" t="n">
        <f aca="false">Sens!$E$10153+Sens!$F$10153</f>
        <v>190.362388260171</v>
      </c>
      <c r="H10153" s="38" t="n">
        <f aca="false">Sens!$G$10153*(1+Sens!$H$10154)</f>
        <v>210.343106588311</v>
      </c>
      <c r="I10153" s="38" t="n">
        <f aca="false">Sens!$H$10153*(1+Sens!$I$10154)</f>
        <v>229.969728494648</v>
      </c>
      <c r="J10153" s="38" t="n">
        <f aca="false">Sens!$I$10153*(1+Sens!$J$10154)</f>
        <v>248.747636972598</v>
      </c>
      <c r="K10153" s="38" t="n">
        <f aca="false">Sens!$J$10153*(1+Sens!$K$10154)</f>
        <v>266.15997156068</v>
      </c>
      <c r="L10153" s="38" t="n">
        <f aca="false">Sens!$K$10153*(1+Sens!$L$10154)</f>
        <v>284.791169569927</v>
      </c>
      <c r="M10153" s="38" t="n">
        <f aca="false">Sens!$L$10153*(1+Sens!$M$10154)</f>
        <v>304.726551439822</v>
      </c>
      <c r="N10153" s="38" t="n">
        <f aca="false">Q!$N$12</f>
        <v>76.86</v>
      </c>
      <c r="O10153" s="38" t="n">
        <f aca="false">Q!$O$12</f>
        <v>95.302</v>
      </c>
      <c r="P10153" s="8" t="s">
        <v>678</v>
      </c>
    </row>
    <row r="10154" customFormat="false" ht="17.15" hidden="false" customHeight="false" outlineLevel="0" collapsed="false">
      <c r="A10154" s="0" t="s">
        <v>683</v>
      </c>
      <c r="B10154" s="0" t="s">
        <v>52</v>
      </c>
      <c r="E10154" s="13" t="n">
        <f aca="false">Sens!$E$10153/Sens!$N$10153-1</f>
        <v>0.1495966692688</v>
      </c>
      <c r="F10154" s="13" t="n">
        <f aca="false">Sens!$O$10153/(Q!$F$12+Q!$G$12)-1</f>
        <v>0.11661530890813</v>
      </c>
      <c r="G10154" s="13" t="n">
        <f aca="false">Sens!$G$10153/Sens!$D$10153-1</f>
        <v>0.105716640490767</v>
      </c>
      <c r="H10154" s="13" t="n">
        <f aca="false">Sens!$F$10154+(g_sp-Sens!$F$10154)*1/4</f>
        <v>0.104961481681098</v>
      </c>
      <c r="I10154" s="13" t="n">
        <f aca="false">Sens!$F$10154+(g_sp-Sens!$F$10154)*2/4</f>
        <v>0.0933076544540651</v>
      </c>
      <c r="J10154" s="13" t="n">
        <f aca="false">Sens!$F$10154+(g_sp-Sens!$F$10154)*3/4</f>
        <v>0.0816538272270325</v>
      </c>
      <c r="K10154" s="13" t="n">
        <f aca="false">Sens!$F$10154+(g_sp-Sens!$F$10154)*4/4</f>
        <v>0.07</v>
      </c>
      <c r="L10154" s="13" t="n">
        <f aca="false">g_sp</f>
        <v>0.07</v>
      </c>
      <c r="M10154" s="13" t="n">
        <f aca="false">g_sp</f>
        <v>0.07</v>
      </c>
      <c r="P10154" s="8" t="s">
        <v>684</v>
      </c>
    </row>
    <row r="10155" customFormat="false" ht="17.15" hidden="false" customHeight="false" outlineLevel="0" collapsed="false">
      <c r="A10155" s="0" t="s">
        <v>529</v>
      </c>
      <c r="B10155" s="0" t="s">
        <v>86</v>
      </c>
      <c r="C10155" s="38" t="n">
        <f aca="false">Q!$D$13</f>
        <v>56.214</v>
      </c>
      <c r="D10155" s="38" t="n">
        <f aca="false">Q!$E$13</f>
        <v>68.635</v>
      </c>
      <c r="E10155" s="38" t="n">
        <f aca="false">Q!$P$13</f>
        <v>37.052</v>
      </c>
      <c r="F10155" s="38" t="n">
        <f aca="false">Sens!$O$10155*(1+Sens!$F$10156)*Sens!$F$10161</f>
        <v>46.1572219944148</v>
      </c>
      <c r="G10155" s="38" t="n">
        <f aca="false">Sens!$E$10155+Sens!$F$10155</f>
        <v>83.2092219944148</v>
      </c>
      <c r="H10155" s="38" t="n">
        <f aca="false">Sens!$G$10155*(1+Sens!$H$10156)</f>
        <v>99.8969223878976</v>
      </c>
      <c r="I10155" s="38" t="n">
        <f aca="false">Sens!$H$10155*(1+Sens!$I$10156)</f>
        <v>116.583111095496</v>
      </c>
      <c r="J10155" s="38" t="n">
        <f aca="false">Sens!$I$10155*(1+Sens!$J$10156)</f>
        <v>132.148941941952</v>
      </c>
      <c r="K10155" s="38" t="n">
        <f aca="false">Sens!$J$10155*(1+Sens!$K$10156)</f>
        <v>145.363836136147</v>
      </c>
      <c r="L10155" s="38" t="n">
        <f aca="false">Sens!$K$10155*(1+Sens!$L$10156)</f>
        <v>159.900219749762</v>
      </c>
      <c r="M10155" s="38" t="n">
        <f aca="false">Sens!$L$10155*(1+Sens!$M$10156)</f>
        <v>175.890241724738</v>
      </c>
      <c r="N10155" s="38" t="n">
        <f aca="false">Q!$N$13</f>
        <v>29.615</v>
      </c>
      <c r="O10155" s="38" t="n">
        <f aca="false">Q!$O$13</f>
        <v>39.02</v>
      </c>
      <c r="P10155" s="8" t="s">
        <v>678</v>
      </c>
    </row>
    <row r="10156" customFormat="false" ht="17.15" hidden="false" customHeight="false" outlineLevel="0" collapsed="false">
      <c r="A10156" s="0" t="s">
        <v>685</v>
      </c>
      <c r="B10156" s="0" t="s">
        <v>52</v>
      </c>
      <c r="E10156" s="13" t="n">
        <f aca="false">Sens!$E$10155/Sens!$N$10155-1</f>
        <v>0.25112274185379</v>
      </c>
      <c r="F10156" s="13" t="n">
        <f aca="false">Sens!$O$10155/(Q!$F$13+Q!$G$13)-1</f>
        <v>0.234068123596572</v>
      </c>
      <c r="G10156" s="13" t="n">
        <f aca="false">Sens!$G$10155/Sens!$D$10155-1</f>
        <v>0.212343876949294</v>
      </c>
      <c r="H10156" s="13" t="n">
        <f aca="false">Sens!$F$10156+(g_ad-Sens!$F$10156)*1/4</f>
        <v>0.200551092697429</v>
      </c>
      <c r="I10156" s="13" t="n">
        <f aca="false">Sens!$F$10156+(g_ad-Sens!$F$10156)*2/4</f>
        <v>0.167034061798286</v>
      </c>
      <c r="J10156" s="13" t="n">
        <f aca="false">Sens!$F$10156+(g_ad-Sens!$F$10156)*3/4</f>
        <v>0.133517030899143</v>
      </c>
      <c r="K10156" s="13" t="n">
        <f aca="false">Sens!$F$10156+(g_ad-Sens!$F$10156)*4/4</f>
        <v>0.1</v>
      </c>
      <c r="L10156" s="13" t="n">
        <f aca="false">g_ad</f>
        <v>0.1</v>
      </c>
      <c r="M10156" s="13" t="n">
        <f aca="false">g_ad</f>
        <v>0.1</v>
      </c>
      <c r="P10156" s="8" t="s">
        <v>686</v>
      </c>
    </row>
    <row r="10157" customFormat="false" ht="17.15" hidden="false" customHeight="false" outlineLevel="0" collapsed="false">
      <c r="A10157" s="0" t="s">
        <v>530</v>
      </c>
      <c r="B10157" s="0" t="s">
        <v>86</v>
      </c>
      <c r="C10157" s="38" t="n">
        <f aca="false">Q!$D$14</f>
        <v>44.374</v>
      </c>
      <c r="D10157" s="38" t="n">
        <f aca="false">Q!$E$14</f>
        <v>49.619</v>
      </c>
      <c r="E10157" s="38" t="n">
        <f aca="false">Q!$P$14</f>
        <v>27.157</v>
      </c>
      <c r="F10157" s="38" t="n">
        <f aca="false">Sens!$O$10157*(1+Sens!$F$10158)*Sens!$F$10161</f>
        <v>27.7764165988154</v>
      </c>
      <c r="G10157" s="38" t="n">
        <f aca="false">Sens!$E$10157+Sens!$F$10157</f>
        <v>54.9334165988154</v>
      </c>
      <c r="H10157" s="38" t="n">
        <f aca="false">Sens!$G$10157*(1+Sens!$H$10158)</f>
        <v>61.1564112561829</v>
      </c>
      <c r="I10157" s="38" t="n">
        <f aca="false">Sens!$H$10157*(1+Sens!$I$10158)</f>
        <v>67.2020282103945</v>
      </c>
      <c r="J10157" s="38" t="n">
        <f aca="false">Sens!$I$10157*(1+Sens!$J$10158)</f>
        <v>72.8757274028885</v>
      </c>
      <c r="K10157" s="38" t="n">
        <f aca="false">Sens!$J$10157*(1+Sens!$K$10158)</f>
        <v>77.9770283210907</v>
      </c>
      <c r="L10157" s="38" t="n">
        <f aca="false">Sens!$K$10157*(1+Sens!$L$10158)</f>
        <v>83.4354203035671</v>
      </c>
      <c r="M10157" s="38" t="n">
        <f aca="false">Sens!$L$10157*(1+Sens!$M$10158)</f>
        <v>89.2758997248168</v>
      </c>
      <c r="N10157" s="38" t="n">
        <f aca="false">Q!$N$14</f>
        <v>23.923</v>
      </c>
      <c r="O10157" s="38" t="n">
        <f aca="false">Q!$O$14</f>
        <v>25.696</v>
      </c>
      <c r="P10157" s="8" t="s">
        <v>678</v>
      </c>
    </row>
    <row r="10158" customFormat="false" ht="17.15" hidden="false" customHeight="false" outlineLevel="0" collapsed="false">
      <c r="A10158" s="0" t="s">
        <v>687</v>
      </c>
      <c r="B10158" s="0" t="s">
        <v>52</v>
      </c>
      <c r="E10158" s="13" t="n">
        <f aca="false">Sens!$E$10157/Sens!$N$10157-1</f>
        <v>0.135183714417088</v>
      </c>
      <c r="F10158" s="13" t="n">
        <f aca="false">Sens!$O$10157/(Q!$F$14+Q!$G$14)-1</f>
        <v>0.127709997366804</v>
      </c>
      <c r="G10158" s="13" t="n">
        <f aca="false">Sens!$G$10157/Sens!$D$10157-1</f>
        <v>0.107104468022641</v>
      </c>
      <c r="H10158" s="13" t="n">
        <f aca="false">Sens!$F$10158+(g_sub-Sens!$F$10158)*1/4</f>
        <v>0.113282498025103</v>
      </c>
      <c r="I10158" s="13" t="n">
        <f aca="false">Sens!$F$10158+(g_sub-Sens!$F$10158)*2/4</f>
        <v>0.0988549986834021</v>
      </c>
      <c r="J10158" s="13" t="n">
        <f aca="false">Sens!$F$10158+(g_sub-Sens!$F$10158)*3/4</f>
        <v>0.084427499341701</v>
      </c>
      <c r="K10158" s="13" t="n">
        <f aca="false">Sens!$F$10158+(g_sub-Sens!$F$10158)*4/4</f>
        <v>0.07</v>
      </c>
      <c r="L10158" s="13" t="n">
        <f aca="false">g_sub</f>
        <v>0.07</v>
      </c>
      <c r="M10158" s="13" t="n">
        <f aca="false">g_sub</f>
        <v>0.07</v>
      </c>
      <c r="P10158" s="8" t="s">
        <v>688</v>
      </c>
    </row>
    <row r="10159" customFormat="false" ht="17.15" hidden="false" customHeight="false" outlineLevel="0" collapsed="false">
      <c r="A10159" s="0" t="s">
        <v>531</v>
      </c>
      <c r="B10159" s="0" t="s">
        <v>86</v>
      </c>
      <c r="C10159" s="38" t="n">
        <f aca="false">Q!$D$15</f>
        <v>5.425</v>
      </c>
      <c r="D10159" s="38" t="n">
        <f aca="false">Q!$E$15</f>
        <v>5.935</v>
      </c>
      <c r="E10159" s="38" t="n">
        <f aca="false">Q!$P$15</f>
        <v>3.474</v>
      </c>
      <c r="F10159" s="38" t="n">
        <f aca="false">Sens!$O$10159*(1+Sens!$F$10160)*Sens!$F$10161</f>
        <v>3.22246550883619</v>
      </c>
      <c r="G10159" s="38" t="n">
        <f aca="false">Sens!$E$10159+Sens!$F$10159</f>
        <v>6.69646550883619</v>
      </c>
      <c r="H10159" s="38" t="n">
        <f aca="false">Sens!$G$10159*(1+Sens!$H$10160)</f>
        <v>7.16251344209196</v>
      </c>
      <c r="I10159" s="38" t="n">
        <f aca="false">Sens!$H$10159*(1+Sens!$I$10160)</f>
        <v>7.61421070299826</v>
      </c>
      <c r="J10159" s="38" t="n">
        <f aca="false">Sens!$I$10159*(1+Sens!$J$10160)</f>
        <v>8.04465753523932</v>
      </c>
      <c r="K10159" s="38" t="n">
        <f aca="false">Sens!$J$10159*(1+Sens!$K$10160)</f>
        <v>8.44689041200128</v>
      </c>
      <c r="L10159" s="38" t="n">
        <f aca="false">Sens!$K$10159*(1+Sens!$L$10160)</f>
        <v>8.86923493260135</v>
      </c>
      <c r="M10159" s="38" t="n">
        <f aca="false">Sens!$L$10159*(1+Sens!$M$10160)</f>
        <v>9.31269667923142</v>
      </c>
      <c r="N10159" s="38" t="n">
        <f aca="false">Q!$N$15</f>
        <v>2.811</v>
      </c>
      <c r="O10159" s="38" t="n">
        <f aca="false">Q!$O$15</f>
        <v>3.124</v>
      </c>
      <c r="P10159" s="8" t="s">
        <v>678</v>
      </c>
    </row>
    <row r="10160" customFormat="false" ht="17.15" hidden="false" customHeight="false" outlineLevel="0" collapsed="false">
      <c r="A10160" s="0" t="s">
        <v>689</v>
      </c>
      <c r="B10160" s="0" t="s">
        <v>52</v>
      </c>
      <c r="E10160" s="13" t="n">
        <f aca="false">Sens!$E$10159/Sens!$N$10159-1</f>
        <v>0.235859124866596</v>
      </c>
      <c r="F10160" s="13" t="n">
        <f aca="false">Sens!$O$10159/(Q!$F$15+Q!$G$15)-1</f>
        <v>0.0761281433000345</v>
      </c>
      <c r="G10160" s="13" t="n">
        <f aca="false">Sens!$G$10159/Sens!$D$10159-1</f>
        <v>0.128300843948811</v>
      </c>
      <c r="H10160" s="13" t="n">
        <f aca="false">Sens!$F$10160+(g_ot-Sens!$F$10160)*1/4</f>
        <v>0.0695961074750259</v>
      </c>
      <c r="I10160" s="13" t="n">
        <f aca="false">Sens!$F$10160+(g_ot-Sens!$F$10160)*2/4</f>
        <v>0.0630640716500172</v>
      </c>
      <c r="J10160" s="13" t="n">
        <f aca="false">Sens!$F$10160+(g_ot-Sens!$F$10160)*3/4</f>
        <v>0.0565320358250086</v>
      </c>
      <c r="K10160" s="13" t="n">
        <f aca="false">Sens!$F$10160+(g_ot-Sens!$F$10160)*4/4</f>
        <v>0.05</v>
      </c>
      <c r="L10160" s="13" t="n">
        <f aca="false">g_ot</f>
        <v>0.05</v>
      </c>
      <c r="M10160" s="13" t="n">
        <f aca="false">g_ot</f>
        <v>0.05</v>
      </c>
      <c r="P10160" s="8" t="s">
        <v>690</v>
      </c>
    </row>
    <row r="10161" customFormat="false" ht="17.15" hidden="false" customHeight="false" outlineLevel="0" collapsed="false">
      <c r="A10161" s="0" t="s">
        <v>691</v>
      </c>
      <c r="B10161" s="0" t="s">
        <v>57</v>
      </c>
      <c r="F10161" s="40" t="n">
        <f aca="false">(g26q3_mid*Q!$O$8/Q!$J$8-Thesis!$F$89-Thesis!$F$93)/(Sens!$O$10149*(1+Sens!$F$10150)+Sens!$O$10151*(1+Sens!$F$10152)+Sens!$O$10153*(1+Sens!$F$10154)+Sens!$O$10155*(1+Sens!$F$10156)+Sens!$O$10157*(1+Sens!$F$10158)+Sens!$O$10159*(1+Sens!$F$10160))</f>
        <v>0.958546670622329</v>
      </c>
      <c r="P10161" s="8" t="s">
        <v>692</v>
      </c>
    </row>
    <row r="10162" customFormat="false" ht="17.15" hidden="false" customHeight="false" outlineLevel="0" collapsed="false">
      <c r="A10162" s="3" t="s">
        <v>693</v>
      </c>
      <c r="B10162" s="8" t="s">
        <v>86</v>
      </c>
      <c r="C10162" s="38" t="n">
        <f aca="false">Sens!$C$10149+Sens!$C$10151+Sens!$C$10153+Sens!$C$10155+Sens!$C$10157+Sens!$C$10159</f>
        <v>530.403</v>
      </c>
      <c r="D10162" s="38" t="n">
        <f aca="false">Sens!$D$10149+Sens!$D$10151+Sens!$D$10153+Sens!$D$10155+Sens!$D$10157+Sens!$D$10159</f>
        <v>588.199</v>
      </c>
      <c r="E10162" s="38" t="n">
        <f aca="false">Sens!$E$10149+Sens!$E$10151+Sens!$E$10153+Sens!$E$10155+Sens!$E$10157+Sens!$E$10159</f>
        <v>302.306</v>
      </c>
      <c r="F10162" s="38" t="n">
        <f aca="false">Sens!$F$10149+Sens!$F$10151+Sens!$F$10153+Sens!$F$10155+Sens!$F$10157+Sens!$F$10159</f>
        <v>349.048241645537</v>
      </c>
      <c r="G10162" s="38" t="n">
        <f aca="false">Sens!$G$10149+Sens!$G$10151+Sens!$G$10153+Sens!$G$10155+Sens!$G$10157+Sens!$G$10159</f>
        <v>651.354241645537</v>
      </c>
      <c r="H10162" s="38" t="n">
        <f aca="false">Sens!$H$10149+Sens!$H$10151+Sens!$H$10153+Sens!$H$10155+Sens!$H$10157+Sens!$H$10159</f>
        <v>721.096889521386</v>
      </c>
      <c r="I10162" s="38" t="n">
        <f aca="false">Sens!$I$10149+Sens!$I$10151+Sens!$I$10153+Sens!$I$10155+Sens!$I$10157+Sens!$I$10159</f>
        <v>788.529391152531</v>
      </c>
      <c r="J10162" s="38" t="n">
        <f aca="false">Sens!$J$10149+Sens!$J$10151+Sens!$J$10153+Sens!$J$10155+Sens!$J$10157+Sens!$J$10159</f>
        <v>851.108405741443</v>
      </c>
      <c r="K10162" s="38" t="n">
        <f aca="false">Sens!$K$10149+Sens!$K$10151+Sens!$K$10153+Sens!$K$10155+Sens!$K$10157+Sens!$K$10159</f>
        <v>906.176455431088</v>
      </c>
      <c r="L10162" s="38" t="n">
        <f aca="false">Sens!$L$10149+Sens!$L$10151+Sens!$L$10153+Sens!$L$10155+Sens!$L$10157+Sens!$L$10159</f>
        <v>965.093106475589</v>
      </c>
      <c r="M10162" s="38" t="n">
        <f aca="false">Sens!$M$10149+Sens!$M$10151+Sens!$M$10153+Sens!$M$10155+Sens!$M$10157+Sens!$M$10159</f>
        <v>1028.14790794689</v>
      </c>
      <c r="N10162" s="38" t="n">
        <f aca="false">Sens!$N$10149+Sens!$N$10151+Sens!$N$10153+Sens!$N$10155+Sens!$N$10157+Sens!$N$10159</f>
        <v>263.229</v>
      </c>
      <c r="O10162" s="38" t="n">
        <f aca="false">Sens!$O$10149+Sens!$O$10151+Sens!$O$10153+Sens!$O$10155+Sens!$O$10157+Sens!$O$10159</f>
        <v>324.97</v>
      </c>
    </row>
    <row r="10163" customFormat="false" ht="17.15" hidden="false" customHeight="false" outlineLevel="0" collapsed="false">
      <c r="A10163" s="5" t="s">
        <v>694</v>
      </c>
      <c r="B10163" s="0" t="s">
        <v>52</v>
      </c>
      <c r="C10163" s="13" t="n">
        <f aca="false">Q!$D$5/(Q!$D$5+Q!$D$6)</f>
        <v>0.730570905519011</v>
      </c>
      <c r="D10163" s="13" t="n">
        <f aca="false">Q!$E$5/(Q!$E$5+Q!$E$6)</f>
        <v>0.724763217890544</v>
      </c>
      <c r="E10163" s="13" t="n">
        <f aca="false">Q!$P$5/(Q!$P$5+Q!$P$6)</f>
        <v>0.728797972914861</v>
      </c>
      <c r="F10163" s="13" t="n">
        <f aca="false">Sens!$O$10163</f>
        <v>0.718066283041511</v>
      </c>
      <c r="G10163" s="13" t="n">
        <f aca="false">Sens!$G$10164/Sens!$G$10162</f>
        <v>0.723047066202847</v>
      </c>
      <c r="H10163" s="13" t="n">
        <f aca="false">Sens!$G$10163</f>
        <v>0.723047066202847</v>
      </c>
      <c r="I10163" s="13" t="n">
        <f aca="false">Sens!$G$10163</f>
        <v>0.723047066202847</v>
      </c>
      <c r="J10163" s="13" t="n">
        <f aca="false">Sens!$G$10163</f>
        <v>0.723047066202847</v>
      </c>
      <c r="K10163" s="13" t="n">
        <f aca="false">Sens!$G$10163</f>
        <v>0.723047066202847</v>
      </c>
      <c r="L10163" s="13" t="n">
        <f aca="false">Sens!$G$10163</f>
        <v>0.723047066202847</v>
      </c>
      <c r="M10163" s="13" t="n">
        <f aca="false">Sens!$G$10163</f>
        <v>0.723047066202847</v>
      </c>
      <c r="N10163" s="13" t="n">
        <f aca="false">Q!$N$5/(Q!$N$5+Q!$N$6)</f>
        <v>0.733030935041352</v>
      </c>
      <c r="O10163" s="13" t="n">
        <f aca="false">Q!$O$5/(Q!$O$5+Q!$O$6)</f>
        <v>0.718066283041511</v>
      </c>
      <c r="P10163" s="8" t="s">
        <v>695</v>
      </c>
    </row>
    <row r="10164" customFormat="false" ht="17.15" hidden="false" customHeight="false" outlineLevel="0" collapsed="false">
      <c r="A10164" s="1" t="s">
        <v>519</v>
      </c>
      <c r="B10164" s="8" t="s">
        <v>86</v>
      </c>
      <c r="C10164" s="38" t="n">
        <f aca="false">Q!$D$5</f>
        <v>387.497</v>
      </c>
      <c r="D10164" s="38" t="n">
        <f aca="false">Q!$E$5</f>
        <v>426.305</v>
      </c>
      <c r="E10164" s="38" t="n">
        <f aca="false">Q!$P$5</f>
        <v>220.32</v>
      </c>
      <c r="F10164" s="38" t="n">
        <f aca="false">Sens!$F$10162*Sens!$F$10163</f>
        <v>250.639773480586</v>
      </c>
      <c r="G10164" s="38" t="n">
        <f aca="false">Sens!$E$10164+Sens!$F$10164</f>
        <v>470.959773480586</v>
      </c>
      <c r="H10164" s="38" t="n">
        <f aca="false">Sens!$H$10162*Sens!$H$10163</f>
        <v>521.386990416437</v>
      </c>
      <c r="I10164" s="38" t="n">
        <f aca="false">Sens!$I$10162*Sens!$I$10163</f>
        <v>570.143862887555</v>
      </c>
      <c r="J10164" s="38" t="n">
        <f aca="false">Sens!$J$10162*Sens!$J$10163</f>
        <v>615.391435791933</v>
      </c>
      <c r="K10164" s="38" t="n">
        <f aca="false">Sens!$K$10162*Sens!$K$10163</f>
        <v>655.208227561543</v>
      </c>
      <c r="L10164" s="38" t="n">
        <f aca="false">Sens!$L$10162*Sens!$L$10163</f>
        <v>697.807739249767</v>
      </c>
      <c r="M10164" s="38" t="n">
        <f aca="false">Sens!$M$10162*Sens!$M$10163</f>
        <v>743.399328463592</v>
      </c>
      <c r="N10164" s="38" t="n">
        <f aca="false">Q!$N$5</f>
        <v>192.955</v>
      </c>
      <c r="O10164" s="38" t="n">
        <f aca="false">Q!$O$5</f>
        <v>233.35</v>
      </c>
      <c r="P10164" s="5" t="s">
        <v>696</v>
      </c>
    </row>
    <row r="10165" customFormat="false" ht="17.15" hidden="false" customHeight="false" outlineLevel="0" collapsed="false">
      <c r="A10165" s="1" t="s">
        <v>522</v>
      </c>
      <c r="B10165" s="8" t="s">
        <v>86</v>
      </c>
      <c r="C10165" s="38" t="n">
        <f aca="false">Q!$D$6</f>
        <v>142.906</v>
      </c>
      <c r="D10165" s="38" t="n">
        <f aca="false">Q!$E$6</f>
        <v>161.894</v>
      </c>
      <c r="E10165" s="38" t="n">
        <f aca="false">Q!$P$6</f>
        <v>81.986</v>
      </c>
      <c r="F10165" s="38" t="n">
        <f aca="false">Sens!$F$10162*(1-Sens!$F$10163)</f>
        <v>98.408468164951</v>
      </c>
      <c r="G10165" s="38" t="n">
        <f aca="false">Sens!$E$10165+Sens!$F$10165</f>
        <v>180.394468164951</v>
      </c>
      <c r="H10165" s="38" t="n">
        <f aca="false">Sens!$H$10162*(1-Sens!$H$10163)</f>
        <v>199.709899104949</v>
      </c>
      <c r="I10165" s="38" t="n">
        <f aca="false">Sens!$I$10162*(1-Sens!$I$10163)</f>
        <v>218.385528264976</v>
      </c>
      <c r="J10165" s="38" t="n">
        <f aca="false">Sens!$J$10162*(1-Sens!$J$10163)</f>
        <v>235.71696994951</v>
      </c>
      <c r="K10165" s="38" t="n">
        <f aca="false">Sens!$K$10162*(1-Sens!$K$10163)</f>
        <v>250.968227869545</v>
      </c>
      <c r="L10165" s="38" t="n">
        <f aca="false">Sens!$L$10162*(1-Sens!$L$10163)</f>
        <v>267.285367225822</v>
      </c>
      <c r="M10165" s="38" t="n">
        <f aca="false">Sens!$M$10162*(1-Sens!$M$10163)</f>
        <v>284.748579483295</v>
      </c>
      <c r="N10165" s="38" t="n">
        <f aca="false">Q!$N$6</f>
        <v>70.274</v>
      </c>
      <c r="O10165" s="38" t="n">
        <f aca="false">Q!$O$6</f>
        <v>91.62</v>
      </c>
      <c r="P10165" s="5" t="s">
        <v>697</v>
      </c>
    </row>
    <row r="10166" customFormat="false" ht="17.15" hidden="false" customHeight="false" outlineLevel="0" collapsed="false">
      <c r="A10166" s="5" t="s">
        <v>698</v>
      </c>
      <c r="B10166" s="0" t="s">
        <v>86</v>
      </c>
      <c r="C10166" s="38" t="n">
        <f aca="false">Sens!$C$10155*Sens!$C$10163</f>
        <v>41.0683128828457</v>
      </c>
      <c r="D10166" s="38" t="n">
        <f aca="false">Sens!$D$10155*Sens!$D$10163</f>
        <v>49.7441234599175</v>
      </c>
      <c r="E10166" s="38" t="n">
        <f aca="false">Sens!$E$10155*Sens!$E$10163</f>
        <v>27.0034224924414</v>
      </c>
      <c r="F10166" s="38" t="n">
        <f aca="false">Sens!$F$10155*Sens!$F$10163</f>
        <v>33.1439448330513</v>
      </c>
      <c r="G10166" s="38" t="n">
        <f aca="false">Sens!$G$10155*Sens!$G$10163</f>
        <v>60.164183844083</v>
      </c>
      <c r="H10166" s="38" t="n">
        <f aca="false">Sens!$H$10155*Sens!$H$10163</f>
        <v>72.2301766552629</v>
      </c>
      <c r="I10166" s="38" t="n">
        <f aca="false">Sens!$I$10155*Sens!$I$10163</f>
        <v>84.2950764463991</v>
      </c>
      <c r="J10166" s="38" t="n">
        <f aca="false">Sens!$J$10155*Sens!$J$10163</f>
        <v>95.5499047729386</v>
      </c>
      <c r="K10166" s="38" t="n">
        <f aca="false">Sens!$K$10155*Sens!$K$10163</f>
        <v>105.104895250232</v>
      </c>
      <c r="L10166" s="38" t="n">
        <f aca="false">Sens!$L$10155*Sens!$L$10163</f>
        <v>115.615384775256</v>
      </c>
      <c r="M10166" s="38" t="n">
        <f aca="false">Sens!$M$10155*Sens!$M$10163</f>
        <v>127.176923252781</v>
      </c>
      <c r="N10166" s="38" t="n">
        <f aca="false">Sens!$N$10155*Sens!$N$10163</f>
        <v>21.7087111412496</v>
      </c>
      <c r="O10166" s="38" t="n">
        <f aca="false">Sens!$O$10155*Sens!$O$10163</f>
        <v>28.0189463642798</v>
      </c>
      <c r="P10166" s="5" t="s">
        <v>699</v>
      </c>
    </row>
    <row r="10167" customFormat="false" ht="15" hidden="false" customHeight="false" outlineLevel="0" collapsed="false">
      <c r="A10167" s="5" t="s">
        <v>700</v>
      </c>
      <c r="B10167" s="0" t="s">
        <v>86</v>
      </c>
      <c r="C10167" s="38" t="n">
        <f aca="false">Sens!$C$10155-Sens!$C$10166</f>
        <v>15.1456871171543</v>
      </c>
      <c r="D10167" s="38" t="n">
        <f aca="false">Sens!$D$10155-Sens!$D$10166</f>
        <v>18.8908765400825</v>
      </c>
      <c r="E10167" s="38" t="n">
        <f aca="false">Sens!$E$10155-Sens!$E$10166</f>
        <v>10.0485775075586</v>
      </c>
      <c r="F10167" s="38" t="n">
        <f aca="false">Sens!$F$10155-Sens!$F$10166</f>
        <v>13.0132771613635</v>
      </c>
      <c r="G10167" s="38" t="n">
        <f aca="false">Sens!$G$10155-Sens!$G$10166</f>
        <v>23.0450381503318</v>
      </c>
      <c r="H10167" s="38" t="n">
        <f aca="false">Sens!$H$10155-Sens!$H$10166</f>
        <v>27.6667457326347</v>
      </c>
      <c r="I10167" s="38" t="n">
        <f aca="false">Sens!$I$10155-Sens!$I$10166</f>
        <v>32.2880346490971</v>
      </c>
      <c r="J10167" s="38" t="n">
        <f aca="false">Sens!$J$10155-Sens!$J$10166</f>
        <v>36.5990371690132</v>
      </c>
      <c r="K10167" s="38" t="n">
        <f aca="false">Sens!$K$10155-Sens!$K$10166</f>
        <v>40.2589408859145</v>
      </c>
      <c r="L10167" s="38" t="n">
        <f aca="false">Sens!$L$10155-Sens!$L$10166</f>
        <v>44.2848349745059</v>
      </c>
      <c r="M10167" s="38" t="n">
        <f aca="false">Sens!$M$10155-Sens!$M$10166</f>
        <v>48.7133184719565</v>
      </c>
      <c r="N10167" s="38" t="n">
        <f aca="false">Sens!$N$10155-Sens!$N$10166</f>
        <v>7.90628885875037</v>
      </c>
      <c r="O10167" s="38" t="n">
        <f aca="false">Sens!$O$10155-Sens!$O$10166</f>
        <v>11.0010536357202</v>
      </c>
    </row>
    <row r="10168" customFormat="false" ht="19.4" hidden="false" customHeight="false" outlineLevel="0" collapsed="false">
      <c r="A10168" s="31" t="s">
        <v>1358</v>
      </c>
    </row>
    <row r="10169" customFormat="false" ht="17.15" hidden="false" customHeight="false" outlineLevel="0" collapsed="false">
      <c r="A10169" s="6" t="s">
        <v>16</v>
      </c>
      <c r="B10169" s="6" t="s">
        <v>17</v>
      </c>
      <c r="C10169" s="20" t="s">
        <v>504</v>
      </c>
      <c r="D10169" s="20" t="s">
        <v>505</v>
      </c>
      <c r="E10169" s="20" t="s">
        <v>587</v>
      </c>
      <c r="F10169" s="20" t="s">
        <v>588</v>
      </c>
      <c r="G10169" s="20" t="s">
        <v>589</v>
      </c>
      <c r="H10169" s="20" t="s">
        <v>590</v>
      </c>
      <c r="I10169" s="20" t="s">
        <v>591</v>
      </c>
      <c r="J10169" s="20" t="s">
        <v>592</v>
      </c>
      <c r="K10169" s="20" t="s">
        <v>593</v>
      </c>
      <c r="L10169" s="20" t="s">
        <v>594</v>
      </c>
      <c r="M10169" s="20" t="s">
        <v>595</v>
      </c>
      <c r="N10169" s="20" t="s">
        <v>596</v>
      </c>
      <c r="O10169" s="20" t="s">
        <v>597</v>
      </c>
      <c r="P10169" s="6" t="s">
        <v>23</v>
      </c>
      <c r="R10169" s="20" t="n">
        <v>2023</v>
      </c>
      <c r="S10169" s="20" t="n">
        <v>2024</v>
      </c>
      <c r="T10169" s="20" t="n">
        <v>2025</v>
      </c>
      <c r="U10169" s="20" t="n">
        <v>2026</v>
      </c>
      <c r="V10169" s="20" t="n">
        <v>2027</v>
      </c>
      <c r="W10169" s="20" t="n">
        <v>2028</v>
      </c>
      <c r="X10169" s="20" t="n">
        <v>2029</v>
      </c>
      <c r="Y10169" s="20" t="n">
        <v>2030</v>
      </c>
      <c r="Z10169" s="20" t="n">
        <v>2031</v>
      </c>
      <c r="AA10169" s="20" t="n">
        <v>2032</v>
      </c>
    </row>
    <row r="10170" customFormat="false" ht="17.15" hidden="false" customHeight="false" outlineLevel="0" collapsed="false">
      <c r="A10170" s="1" t="s">
        <v>598</v>
      </c>
    </row>
    <row r="10171" customFormat="false" ht="17.15" hidden="false" customHeight="false" outlineLevel="0" collapsed="false">
      <c r="A10171" s="5" t="s">
        <v>599</v>
      </c>
      <c r="B10171" s="0" t="s">
        <v>144</v>
      </c>
      <c r="H10171" s="32" t="n">
        <f aca="false">pace_B</f>
        <v>3634.3</v>
      </c>
      <c r="I10171" s="32" t="n">
        <f aca="false">pace_B</f>
        <v>3634.3</v>
      </c>
      <c r="J10171" s="32" t="n">
        <f aca="false">pace_B</f>
        <v>3634.3</v>
      </c>
      <c r="K10171" s="32" t="n">
        <f aca="false">pace_B+(Sens!$J$10172*tg_lo-pace_B)*1/3</f>
        <v>2521.53366666667</v>
      </c>
      <c r="L10171" s="32" t="n">
        <f aca="false">pace_B+(Sens!$J$10172*tg_lo-pace_B)*2/3</f>
        <v>1408.76733333333</v>
      </c>
      <c r="M10171" s="32" t="n">
        <f aca="false">pace_B+(Sens!$J$10172*tg_lo-pace_B)*3/3</f>
        <v>296.001</v>
      </c>
      <c r="P10171" s="5" t="s">
        <v>600</v>
      </c>
    </row>
    <row r="10172" customFormat="false" ht="17.15" hidden="false" customHeight="false" outlineLevel="0" collapsed="false">
      <c r="A10172" s="15" t="s">
        <v>601</v>
      </c>
      <c r="B10172" s="14" t="s">
        <v>129</v>
      </c>
      <c r="C10172" s="33" t="n">
        <f aca="false">mw_ye24</f>
        <v>360</v>
      </c>
      <c r="D10172" s="33" t="n">
        <f aca="false">mw_ye25</f>
        <v>1440</v>
      </c>
      <c r="E10172" s="33" t="n">
        <f aca="false">mw_open</f>
        <v>2080</v>
      </c>
      <c r="F10172" s="33" t="n">
        <f aca="false">Sens!$E$10172+pace_B*0.5</f>
        <v>3897.15</v>
      </c>
      <c r="G10172" s="33" t="n">
        <f aca="false">Sens!$F$10172</f>
        <v>3897.15</v>
      </c>
      <c r="H10172" s="33" t="n">
        <f aca="false">Sens!$G$10172+Sens!$H$10171</f>
        <v>7531.45</v>
      </c>
      <c r="I10172" s="33" t="n">
        <f aca="false">Sens!$H$10172+Sens!$I$10171</f>
        <v>11165.75</v>
      </c>
      <c r="J10172" s="33" t="n">
        <f aca="false">Sens!$I$10172+Sens!$J$10171</f>
        <v>14800.05</v>
      </c>
      <c r="K10172" s="33" t="n">
        <f aca="false">Sens!$J$10172+Sens!$K$10171</f>
        <v>17321.5836666667</v>
      </c>
      <c r="L10172" s="33" t="n">
        <f aca="false">Sens!$K$10172+Sens!$L$10171</f>
        <v>18730.351</v>
      </c>
      <c r="M10172" s="33" t="n">
        <f aca="false">Sens!$L$10172+Sens!$M$10171</f>
        <v>19026.352</v>
      </c>
      <c r="N10172" s="33" t="n">
        <f aca="false">(mw_ye24+mw_ye25)/2</f>
        <v>900</v>
      </c>
      <c r="O10172" s="33" t="n">
        <f aca="false">mw_ye25</f>
        <v>1440</v>
      </c>
      <c r="P10172" s="5" t="s">
        <v>602</v>
      </c>
    </row>
    <row r="10173" customFormat="false" ht="17.15" hidden="false" customHeight="false" outlineLevel="0" collapsed="false">
      <c r="A10173" s="5" t="s">
        <v>603</v>
      </c>
      <c r="B10173" s="0" t="s">
        <v>129</v>
      </c>
      <c r="C10173" s="32" t="n">
        <f aca="false">(mw_ye23+mw_ye24)/2</f>
        <v>240</v>
      </c>
      <c r="D10173" s="32" t="n">
        <f aca="false">(Sens!$C$10172+Sens!$D$10172)/2</f>
        <v>900</v>
      </c>
      <c r="E10173" s="32" t="n">
        <f aca="false">(Sens!$D$10172+Sens!$E$10172)/2</f>
        <v>1760</v>
      </c>
      <c r="F10173" s="32" t="n">
        <f aca="false">(Sens!$E$10172+Sens!$F$10172)/2</f>
        <v>2988.575</v>
      </c>
      <c r="G10173" s="32" t="n">
        <f aca="false">(Sens!$E$10173+Sens!$F$10173)/2</f>
        <v>2374.2875</v>
      </c>
      <c r="H10173" s="32" t="n">
        <f aca="false">(Sens!$G$10172+Sens!$H$10172)/2</f>
        <v>5714.3</v>
      </c>
      <c r="I10173" s="32" t="n">
        <f aca="false">(Sens!$H$10172+Sens!$I$10172)/2</f>
        <v>9348.6</v>
      </c>
      <c r="J10173" s="32" t="n">
        <f aca="false">(Sens!$I$10172+Sens!$J$10172)/2</f>
        <v>12982.9</v>
      </c>
      <c r="K10173" s="32" t="n">
        <f aca="false">(Sens!$J$10172+Sens!$K$10172)/2</f>
        <v>16060.8168333333</v>
      </c>
      <c r="L10173" s="32" t="n">
        <f aca="false">(Sens!$K$10172+Sens!$L$10172)/2</f>
        <v>18025.9673333333</v>
      </c>
      <c r="M10173" s="32" t="n">
        <f aca="false">(Sens!$L$10172+Sens!$M$10172)/2</f>
        <v>18878.3515</v>
      </c>
      <c r="N10173" s="32" t="n">
        <f aca="false">(Sens!$C$10172+Sens!$N$10172)/2</f>
        <v>630</v>
      </c>
      <c r="O10173" s="32" t="n">
        <f aca="false">(Sens!$N$10172+Sens!$O$10172)/2</f>
        <v>1170</v>
      </c>
    </row>
    <row r="10174" customFormat="false" ht="15" hidden="false" customHeight="false" outlineLevel="0" collapsed="false">
      <c r="A10174" s="5" t="s">
        <v>604</v>
      </c>
      <c r="B10174" s="5" t="s">
        <v>123</v>
      </c>
      <c r="C10174" s="34" t="n">
        <v>1</v>
      </c>
      <c r="D10174" s="34" t="n">
        <v>1</v>
      </c>
      <c r="E10174" s="34" t="n">
        <v>0.5</v>
      </c>
      <c r="F10174" s="34" t="n">
        <v>0.5</v>
      </c>
      <c r="G10174" s="34" t="n">
        <v>1</v>
      </c>
      <c r="H10174" s="34" t="n">
        <v>1</v>
      </c>
      <c r="I10174" s="34" t="n">
        <v>1</v>
      </c>
      <c r="J10174" s="34" t="n">
        <v>1</v>
      </c>
      <c r="K10174" s="34" t="n">
        <v>1</v>
      </c>
      <c r="L10174" s="34" t="n">
        <v>1</v>
      </c>
      <c r="M10174" s="34" t="n">
        <v>1</v>
      </c>
      <c r="N10174" s="34" t="n">
        <v>0.5</v>
      </c>
      <c r="O10174" s="34" t="n">
        <v>0.5</v>
      </c>
    </row>
    <row r="10175" customFormat="false" ht="17.15" hidden="false" customHeight="false" outlineLevel="0" collapsed="false">
      <c r="A10175" s="5" t="s">
        <v>605</v>
      </c>
      <c r="B10175" s="0" t="s">
        <v>129</v>
      </c>
      <c r="C10175" s="32" t="n">
        <f aca="false">Sens!$C$10172-mw_ye23</f>
        <v>240</v>
      </c>
      <c r="D10175" s="32" t="n">
        <f aca="false">Sens!$D$10172-Sens!$C$10172</f>
        <v>1080</v>
      </c>
      <c r="E10175" s="32" t="n">
        <f aca="false">Sens!$E$10172-Sens!$D$10172</f>
        <v>640</v>
      </c>
      <c r="F10175" s="32" t="n">
        <f aca="false">Sens!$F$10172-Sens!$E$10172</f>
        <v>1817.15</v>
      </c>
      <c r="G10175" s="32" t="n">
        <f aca="false">Sens!$E$10175+Sens!$F$10175</f>
        <v>2457.15</v>
      </c>
      <c r="H10175" s="32" t="n">
        <f aca="false">Sens!$H$10172-Sens!$G$10172</f>
        <v>3634.3</v>
      </c>
      <c r="I10175" s="32" t="n">
        <f aca="false">Sens!$I$10172-Sens!$H$10172</f>
        <v>3634.3</v>
      </c>
      <c r="J10175" s="32" t="n">
        <f aca="false">Sens!$J$10172-Sens!$I$10172</f>
        <v>3634.3</v>
      </c>
      <c r="K10175" s="32" t="n">
        <f aca="false">Sens!$K$10172-Sens!$J$10172</f>
        <v>2521.53366666667</v>
      </c>
      <c r="L10175" s="32" t="n">
        <f aca="false">Sens!$L$10172-Sens!$K$10172</f>
        <v>1408.76733333333</v>
      </c>
      <c r="M10175" s="32" t="n">
        <f aca="false">Sens!$M$10172-Sens!$L$10172</f>
        <v>296.001</v>
      </c>
      <c r="N10175" s="32" t="n">
        <f aca="false">Sens!$N$10172-Sens!$C$10172</f>
        <v>540</v>
      </c>
      <c r="O10175" s="32" t="n">
        <f aca="false">Sens!$O$10172-Sens!$N$10172</f>
        <v>540</v>
      </c>
    </row>
    <row r="10176" customFormat="false" ht="17.15" hidden="false" customHeight="false" outlineLevel="0" collapsed="false">
      <c r="A10176" s="5" t="s">
        <v>606</v>
      </c>
      <c r="B10176" s="0" t="s">
        <v>129</v>
      </c>
      <c r="C10176" s="32" t="n">
        <f aca="false">Sens!$C$10175/ext_sh</f>
        <v>300</v>
      </c>
      <c r="D10176" s="32" t="n">
        <f aca="false">Sens!$D$10175/ext_sh</f>
        <v>1350</v>
      </c>
      <c r="E10176" s="32" t="n">
        <f aca="false">Sens!$E$10175/ext_sh</f>
        <v>800</v>
      </c>
      <c r="F10176" s="32" t="n">
        <f aca="false">Sens!$F$10175/ext_sh</f>
        <v>2271.4375</v>
      </c>
      <c r="G10176" s="32" t="n">
        <f aca="false">Sens!$G$10175/ext_sh</f>
        <v>3071.4375</v>
      </c>
      <c r="H10176" s="32" t="n">
        <f aca="false">Sens!$H$10175/ext_sh</f>
        <v>4542.875</v>
      </c>
      <c r="I10176" s="32" t="n">
        <f aca="false">Sens!$I$10175/ext_sh</f>
        <v>4542.875</v>
      </c>
      <c r="J10176" s="32" t="n">
        <f aca="false">Sens!$J$10175/ext_sh</f>
        <v>4542.875</v>
      </c>
      <c r="K10176" s="32" t="n">
        <f aca="false">Sens!$K$10175/ext_sh</f>
        <v>3151.91708333333</v>
      </c>
      <c r="L10176" s="32" t="n">
        <f aca="false">Sens!$L$10175/ext_sh</f>
        <v>1760.95916666667</v>
      </c>
      <c r="M10176" s="32" t="n">
        <f aca="false">Sens!$M$10175/ext_sh</f>
        <v>370.00125</v>
      </c>
      <c r="N10176" s="32" t="n">
        <f aca="false">Sens!$N$10175/ext_sh</f>
        <v>675</v>
      </c>
      <c r="O10176" s="32" t="n">
        <f aca="false">Sens!$O$10175/ext_sh</f>
        <v>675</v>
      </c>
      <c r="P10176" s="8" t="s">
        <v>607</v>
      </c>
      <c r="R10176" s="32" t="n">
        <f aca="false">mw_ye23/ext_sh</f>
        <v>150</v>
      </c>
      <c r="S10176" s="32" t="n">
        <f aca="false">Sens!$C$10176</f>
        <v>300</v>
      </c>
      <c r="T10176" s="32" t="n">
        <f aca="false">Sens!$D$10176</f>
        <v>1350</v>
      </c>
      <c r="U10176" s="32" t="n">
        <f aca="false">Sens!$G$10176</f>
        <v>3071.4375</v>
      </c>
      <c r="V10176" s="32" t="n">
        <f aca="false">Sens!$H$10176</f>
        <v>4542.875</v>
      </c>
      <c r="W10176" s="32" t="n">
        <f aca="false">Sens!$I$10176</f>
        <v>4542.875</v>
      </c>
      <c r="X10176" s="32" t="n">
        <f aca="false">Sens!$J$10176</f>
        <v>4542.875</v>
      </c>
      <c r="Y10176" s="32" t="n">
        <f aca="false">Sens!$K$10176</f>
        <v>3151.91708333333</v>
      </c>
      <c r="Z10176" s="32" t="n">
        <f aca="false">Sens!$L$10176</f>
        <v>1760.95916666667</v>
      </c>
      <c r="AA10176" s="32" t="n">
        <f aca="false">Sens!$M$10176</f>
        <v>370.00125</v>
      </c>
    </row>
    <row r="10177" customFormat="false" ht="17.15" hidden="false" customHeight="false" outlineLevel="0" collapsed="false">
      <c r="A10177" s="1" t="s">
        <v>608</v>
      </c>
    </row>
    <row r="10178" customFormat="false" ht="17.15" hidden="false" customHeight="false" outlineLevel="0" collapsed="false">
      <c r="A10178" s="0" t="s">
        <v>609</v>
      </c>
      <c r="B10178" s="0" t="s">
        <v>52</v>
      </c>
      <c r="F10178" s="35" t="n">
        <f aca="false">na_vr26</f>
        <v>0</v>
      </c>
      <c r="G10178" s="35" t="n">
        <f aca="false">na_vr26</f>
        <v>0</v>
      </c>
      <c r="H10178" s="35" t="n">
        <f aca="false">na_vr27</f>
        <v>0.5</v>
      </c>
      <c r="I10178" s="35" t="n">
        <f aca="false">na_vr28</f>
        <v>1</v>
      </c>
      <c r="J10178" s="35" t="n">
        <f aca="false">na_vr28</f>
        <v>1</v>
      </c>
      <c r="K10178" s="35" t="n">
        <f aca="false">na_vr28</f>
        <v>1</v>
      </c>
      <c r="L10178" s="35" t="n">
        <f aca="false">na_vr28</f>
        <v>1</v>
      </c>
      <c r="M10178" s="35" t="n">
        <f aca="false">na_vr28</f>
        <v>1</v>
      </c>
    </row>
    <row r="10179" customFormat="false" ht="17.15" hidden="false" customHeight="false" outlineLevel="0" collapsed="false">
      <c r="A10179" s="5" t="s">
        <v>610</v>
      </c>
      <c r="B10179" s="0" t="s">
        <v>173</v>
      </c>
      <c r="F10179" s="36" t="n">
        <f aca="false">cust_sh*tk_he_gb300*cf_chip+(1-cust_sh)*((1-Sens!$F$10178)*tk_he_gb300+Sens!$F$10178*tk_he_vr200)</f>
        <v>10.8864110021101</v>
      </c>
      <c r="G10179" s="36" t="n">
        <f aca="false">cust_sh*tk_he_gb300*cf_chip+(1-cust_sh)*((1-Sens!$G$10178)*tk_he_gb300+Sens!$G$10178*tk_he_vr200)</f>
        <v>10.8864110021101</v>
      </c>
      <c r="H10179" s="36" t="n">
        <f aca="false">cust_sh*tk_he_gb300*cf_chip+(1-cust_sh)*((1-Sens!$H$10178)*tk_he_gb300+Sens!$H$10178*tk_he_vr200)</f>
        <v>11.2211760027286</v>
      </c>
      <c r="I10179" s="36" t="n">
        <f aca="false">cust_sh*tk_he_gb300*cf_chip+(1-cust_sh)*((1-Sens!$I$10178)*tk_he_gb300+Sens!$I$10178*tk_he_vr200)</f>
        <v>11.5559410033471</v>
      </c>
      <c r="J10179" s="36" t="n">
        <f aca="false">cust_sh*tk_he_gb300*cf_chip+(1-cust_sh)*((1-Sens!$J$10178)*tk_he_gb300+Sens!$J$10178*tk_he_vr200)</f>
        <v>11.5559410033471</v>
      </c>
      <c r="K10179" s="36" t="n">
        <f aca="false">cust_sh*tk_he_gb300*cf_chip+(1-cust_sh)*((1-Sens!$K$10178)*tk_he_gb300+Sens!$K$10178*tk_he_vr200)</f>
        <v>11.5559410033471</v>
      </c>
      <c r="L10179" s="36" t="n">
        <f aca="false">cust_sh*tk_he_gb300*cf_chip+(1-cust_sh)*((1-Sens!$L$10178)*tk_he_gb300+Sens!$L$10178*tk_he_vr200)</f>
        <v>11.5559410033471</v>
      </c>
      <c r="M10179" s="36" t="n">
        <f aca="false">cust_sh*tk_he_gb300*cf_chip+(1-cust_sh)*((1-Sens!$M$10178)*tk_he_gb300+Sens!$M$10178*tk_he_vr200)</f>
        <v>11.5559410033471</v>
      </c>
    </row>
    <row r="10180" customFormat="false" ht="17.15" hidden="false" customHeight="false" outlineLevel="0" collapsed="false">
      <c r="A10180" s="5" t="s">
        <v>611</v>
      </c>
      <c r="B10180" s="0" t="s">
        <v>173</v>
      </c>
      <c r="F10180" s="36" t="n">
        <f aca="false">cust_sh*tk_ox_gb300+(1-cust_sh)*((1-Sens!$F$10178)*tk_ox_gb300+Sens!$F$10178*tk_ox_vr200)</f>
        <v>1.98263481314457</v>
      </c>
      <c r="G10180" s="36" t="n">
        <f aca="false">cust_sh*tk_ox_gb300+(1-cust_sh)*((1-Sens!$G$10178)*tk_ox_gb300+Sens!$G$10178*tk_ox_vr200)</f>
        <v>1.98263481314457</v>
      </c>
      <c r="H10180" s="36" t="n">
        <f aca="false">cust_sh*tk_ox_gb300+(1-cust_sh)*((1-Sens!$H$10178)*tk_ox_gb300+Sens!$H$10178*tk_ox_vr200)</f>
        <v>2.01034999693694</v>
      </c>
      <c r="I10180" s="36" t="n">
        <f aca="false">cust_sh*tk_ox_gb300+(1-cust_sh)*((1-Sens!$I$10178)*tk_ox_gb300+Sens!$I$10178*tk_ox_vr200)</f>
        <v>2.0380651807293</v>
      </c>
      <c r="J10180" s="36" t="n">
        <f aca="false">cust_sh*tk_ox_gb300+(1-cust_sh)*((1-Sens!$J$10178)*tk_ox_gb300+Sens!$J$10178*tk_ox_vr200)</f>
        <v>2.0380651807293</v>
      </c>
      <c r="K10180" s="36" t="n">
        <f aca="false">cust_sh*tk_ox_gb300+(1-cust_sh)*((1-Sens!$K$10178)*tk_ox_gb300+Sens!$K$10178*tk_ox_vr200)</f>
        <v>2.0380651807293</v>
      </c>
      <c r="L10180" s="36" t="n">
        <f aca="false">cust_sh*tk_ox_gb300+(1-cust_sh)*((1-Sens!$L$10178)*tk_ox_gb300+Sens!$L$10178*tk_ox_vr200)</f>
        <v>2.0380651807293</v>
      </c>
      <c r="M10180" s="36" t="n">
        <f aca="false">cust_sh*tk_ox_gb300+(1-cust_sh)*((1-Sens!$M$10178)*tk_ox_gb300+Sens!$M$10178*tk_ox_vr200)</f>
        <v>2.0380651807293</v>
      </c>
    </row>
    <row r="10181" customFormat="false" ht="17.15" hidden="false" customHeight="false" outlineLevel="0" collapsed="false">
      <c r="A10181" s="5" t="s">
        <v>612</v>
      </c>
      <c r="B10181" s="0" t="s">
        <v>192</v>
      </c>
      <c r="F10181" s="36" t="n">
        <f aca="false">cust_sh*tk_cx_gb300*cf_cx+(1-cust_sh)*((1-Sens!$F$10178)*tk_cx_gb300+Sens!$F$10178*tk_cx_vr200)</f>
        <v>32.237224</v>
      </c>
      <c r="G10181" s="36" t="n">
        <f aca="false">cust_sh*tk_cx_gb300*cf_cx+(1-cust_sh)*((1-Sens!$G$10178)*tk_cx_gb300+Sens!$G$10178*tk_cx_vr200)</f>
        <v>32.237224</v>
      </c>
      <c r="H10181" s="36" t="n">
        <f aca="false">cust_sh*tk_cx_gb300*cf_cx+(1-cust_sh)*((1-Sens!$H$10178)*tk_cx_gb300+Sens!$H$10178*tk_cx_vr200)</f>
        <v>33.574506</v>
      </c>
      <c r="I10181" s="36" t="n">
        <f aca="false">cust_sh*tk_cx_gb300*cf_cx+(1-cust_sh)*((1-Sens!$I$10178)*tk_cx_gb300+Sens!$I$10178*tk_cx_vr200)</f>
        <v>34.911788</v>
      </c>
      <c r="J10181" s="36" t="n">
        <f aca="false">cust_sh*tk_cx_gb300*cf_cx+(1-cust_sh)*((1-Sens!$J$10178)*tk_cx_gb300+Sens!$J$10178*tk_cx_vr200)</f>
        <v>34.911788</v>
      </c>
      <c r="K10181" s="36" t="n">
        <f aca="false">cust_sh*tk_cx_gb300*cf_cx+(1-cust_sh)*((1-Sens!$K$10178)*tk_cx_gb300+Sens!$K$10178*tk_cx_vr200)</f>
        <v>34.911788</v>
      </c>
      <c r="L10181" s="36" t="n">
        <f aca="false">cust_sh*tk_cx_gb300*cf_cx+(1-cust_sh)*((1-Sens!$L$10178)*tk_cx_gb300+Sens!$L$10178*tk_cx_vr200)</f>
        <v>34.911788</v>
      </c>
      <c r="M10181" s="36" t="n">
        <f aca="false">cust_sh*tk_cx_gb300*cf_cx+(1-cust_sh)*((1-Sens!$M$10178)*tk_cx_gb300+Sens!$M$10178*tk_cx_vr200)</f>
        <v>34.911788</v>
      </c>
    </row>
    <row r="10182" customFormat="false" ht="17.15" hidden="false" customHeight="false" outlineLevel="0" collapsed="false">
      <c r="A10182" s="5" t="s">
        <v>613</v>
      </c>
      <c r="B10182" s="0" t="s">
        <v>129</v>
      </c>
      <c r="F10182" s="32" t="n">
        <f aca="false">Sens!$F$10172-mw_open</f>
        <v>1817.15</v>
      </c>
      <c r="G10182" s="32" t="n">
        <f aca="false">Sens!$F$10182</f>
        <v>1817.15</v>
      </c>
      <c r="H10182" s="32" t="n">
        <f aca="false">Sens!$H$10172-mw_open</f>
        <v>5451.45</v>
      </c>
      <c r="I10182" s="32" t="n">
        <f aca="false">Sens!$I$10172-mw_open</f>
        <v>9085.75</v>
      </c>
      <c r="J10182" s="32" t="n">
        <f aca="false">Sens!$J$10172-mw_open</f>
        <v>12720.05</v>
      </c>
      <c r="K10182" s="32" t="n">
        <f aca="false">Sens!$K$10172-mw_open</f>
        <v>15241.5836666667</v>
      </c>
      <c r="L10182" s="32" t="n">
        <f aca="false">Sens!$L$10172-mw_open</f>
        <v>16650.351</v>
      </c>
      <c r="M10182" s="32" t="n">
        <f aca="false">Sens!$M$10172-mw_open</f>
        <v>16946.352</v>
      </c>
    </row>
    <row r="10183" customFormat="false" ht="17.15" hidden="false" customHeight="false" outlineLevel="0" collapsed="false">
      <c r="A10183" s="0" t="s">
        <v>614</v>
      </c>
      <c r="B10183" s="0" t="s">
        <v>615</v>
      </c>
      <c r="F10183" s="32" t="n">
        <f aca="false">Sens!$F$10175*Sens!$F$10179</f>
        <v>19782.2417524844</v>
      </c>
      <c r="G10183" s="32" t="n">
        <f aca="false">Sens!$F$10183</f>
        <v>19782.2417524844</v>
      </c>
      <c r="H10183" s="32" t="n">
        <f aca="false">Sens!$G$10183+Sens!$H$10175*Sens!$H$10179</f>
        <v>60563.3616992009</v>
      </c>
      <c r="I10183" s="32" t="n">
        <f aca="false">Sens!$H$10183+Sens!$I$10175*Sens!$I$10179</f>
        <v>102561.118087665</v>
      </c>
      <c r="J10183" s="32" t="n">
        <f aca="false">Sens!$I$10183+Sens!$J$10175*Sens!$J$10179</f>
        <v>144558.87447613</v>
      </c>
      <c r="K10183" s="32" t="n">
        <f aca="false">Sens!$J$10183+Sens!$K$10175*Sens!$K$10179</f>
        <v>173697.568766083</v>
      </c>
      <c r="L10183" s="32" t="n">
        <f aca="false">Sens!$K$10183+Sens!$L$10175*Sens!$L$10179</f>
        <v>189977.200957526</v>
      </c>
      <c r="M10183" s="32" t="n">
        <f aca="false">Sens!$L$10183+Sens!$M$10175*Sens!$M$10179</f>
        <v>193397.771050458</v>
      </c>
    </row>
    <row r="10184" customFormat="false" ht="17.15" hidden="false" customHeight="false" outlineLevel="0" collapsed="false">
      <c r="A10184" s="0" t="s">
        <v>616</v>
      </c>
      <c r="B10184" s="0" t="s">
        <v>615</v>
      </c>
      <c r="F10184" s="32" t="n">
        <f aca="false">Sens!$F$10175*Sens!$F$10180</f>
        <v>3602.74485070566</v>
      </c>
      <c r="G10184" s="32" t="n">
        <f aca="false">Sens!$F$10184</f>
        <v>3602.74485070566</v>
      </c>
      <c r="H10184" s="32" t="n">
        <f aca="false">Sens!$G$10184+Sens!$H$10175*Sens!$H$10180</f>
        <v>10908.9598445736</v>
      </c>
      <c r="I10184" s="32" t="n">
        <f aca="false">Sens!$H$10184+Sens!$I$10175*Sens!$I$10180</f>
        <v>18315.9001308981</v>
      </c>
      <c r="J10184" s="32" t="n">
        <f aca="false">Sens!$I$10184+Sens!$J$10175*Sens!$J$10180</f>
        <v>25722.8404172225</v>
      </c>
      <c r="K10184" s="32" t="n">
        <f aca="false">Sens!$J$10184+Sens!$K$10175*Sens!$K$10180</f>
        <v>30861.8903852926</v>
      </c>
      <c r="L10184" s="32" t="n">
        <f aca="false">Sens!$K$10184+Sens!$L$10175*Sens!$L$10180</f>
        <v>33733.0500351081</v>
      </c>
      <c r="M10184" s="32" t="n">
        <f aca="false">Sens!$L$10184+Sens!$M$10175*Sens!$M$10180</f>
        <v>34336.3193666691</v>
      </c>
    </row>
    <row r="10185" customFormat="false" ht="17.15" hidden="false" customHeight="false" outlineLevel="0" collapsed="false">
      <c r="A10185" s="5" t="s">
        <v>617</v>
      </c>
      <c r="B10185" s="0" t="s">
        <v>173</v>
      </c>
      <c r="F10185" s="36" t="n">
        <f aca="false">IF(Sens!$F$10182&gt;0,Sens!$F$10183/Sens!$F$10182,Sens!$F$10179)</f>
        <v>10.8864110021101</v>
      </c>
      <c r="G10185" s="36" t="n">
        <f aca="false">IF(Sens!$G$10182&gt;0,Sens!$G$10183/Sens!$G$10182,Sens!$G$10179)</f>
        <v>10.8864110021101</v>
      </c>
      <c r="H10185" s="36" t="n">
        <f aca="false">IF(Sens!$H$10182&gt;0,Sens!$H$10183/Sens!$H$10182,Sens!$H$10179)</f>
        <v>11.1095876691891</v>
      </c>
      <c r="I10185" s="36" t="n">
        <f aca="false">IF(Sens!$I$10182&gt;0,Sens!$I$10183/Sens!$I$10182,Sens!$I$10179)</f>
        <v>11.2881290028523</v>
      </c>
      <c r="J10185" s="36" t="n">
        <f aca="false">IF(Sens!$J$10182&gt;0,Sens!$J$10183/Sens!$J$10182,Sens!$J$10179)</f>
        <v>11.3646467172794</v>
      </c>
      <c r="K10185" s="36" t="n">
        <f aca="false">IF(Sens!$K$10182&gt;0,Sens!$K$10183/Sens!$K$10182,Sens!$K$10179)</f>
        <v>11.3962940180527</v>
      </c>
      <c r="L10185" s="36" t="n">
        <f aca="false">IF(Sens!$L$10182&gt;0,Sens!$L$10183/Sens!$L$10182,Sens!$L$10179)</f>
        <v>11.4098015685991</v>
      </c>
      <c r="M10185" s="36" t="n">
        <f aca="false">IF(Sens!$M$10182&gt;0,Sens!$M$10183/Sens!$M$10182,Sens!$M$10179)</f>
        <v>11.4123541780825</v>
      </c>
    </row>
    <row r="10186" customFormat="false" ht="17.15" hidden="false" customHeight="false" outlineLevel="0" collapsed="false">
      <c r="A10186" s="5" t="s">
        <v>618</v>
      </c>
      <c r="B10186" s="0" t="s">
        <v>173</v>
      </c>
      <c r="F10186" s="36" t="n">
        <f aca="false">IF(Sens!$F$10182&gt;0,Sens!$F$10184/Sens!$F$10182,Sens!$F$10180)</f>
        <v>1.98263481314457</v>
      </c>
      <c r="G10186" s="36" t="n">
        <f aca="false">IF(Sens!$G$10182&gt;0,Sens!$G$10184/Sens!$G$10182,Sens!$G$10180)</f>
        <v>1.98263481314457</v>
      </c>
      <c r="H10186" s="36" t="n">
        <f aca="false">IF(Sens!$H$10182&gt;0,Sens!$H$10184/Sens!$H$10182,Sens!$H$10180)</f>
        <v>2.00111160233948</v>
      </c>
      <c r="I10186" s="36" t="n">
        <f aca="false">IF(Sens!$I$10182&gt;0,Sens!$I$10184/Sens!$I$10182,Sens!$I$10180)</f>
        <v>2.01589303369541</v>
      </c>
      <c r="J10186" s="36" t="n">
        <f aca="false">IF(Sens!$J$10182&gt;0,Sens!$J$10184/Sens!$J$10182,Sens!$J$10180)</f>
        <v>2.02222793284795</v>
      </c>
      <c r="K10186" s="36" t="n">
        <f aca="false">IF(Sens!$K$10182&gt;0,Sens!$K$10184/Sens!$K$10182,Sens!$K$10180)</f>
        <v>2.02484801187606</v>
      </c>
      <c r="L10186" s="36" t="n">
        <f aca="false">IF(Sens!$L$10182&gt;0,Sens!$L$10184/Sens!$L$10182,Sens!$L$10180)</f>
        <v>2.02596630155773</v>
      </c>
      <c r="M10186" s="36" t="n">
        <f aca="false">IF(Sens!$M$10182&gt;0,Sens!$M$10184/Sens!$M$10182,Sens!$M$10180)</f>
        <v>2.02617763201597</v>
      </c>
    </row>
    <row r="10187" customFormat="false" ht="17.15" hidden="false" customHeight="false" outlineLevel="0" collapsed="false">
      <c r="A10187" s="15" t="s">
        <v>619</v>
      </c>
      <c r="B10187" s="14" t="s">
        <v>173</v>
      </c>
      <c r="C10187" s="14"/>
      <c r="D10187" s="14"/>
      <c r="E10187" s="14"/>
      <c r="F10187" s="37" t="n">
        <f aca="false">Sens!$F$10185*k_B</f>
        <v>10.7987645808025</v>
      </c>
      <c r="G10187" s="37" t="n">
        <f aca="false">Sens!$G$10185*k_B</f>
        <v>10.7987645808025</v>
      </c>
      <c r="H10187" s="37" t="n">
        <f aca="false">Sens!$H$10185*k_B</f>
        <v>11.0201444540452</v>
      </c>
      <c r="I10187" s="37" t="n">
        <f aca="false">Sens!$I$10185*k_B</f>
        <v>11.1972483526393</v>
      </c>
      <c r="J10187" s="37" t="n">
        <f aca="false">Sens!$J$10185*k_B</f>
        <v>11.2731500234653</v>
      </c>
      <c r="K10187" s="37" t="n">
        <f aca="false">Sens!$K$10185*k_B</f>
        <v>11.3045425320343</v>
      </c>
      <c r="L10187" s="37" t="n">
        <f aca="false">Sens!$L$10185*k_B</f>
        <v>11.3179413333826</v>
      </c>
      <c r="M10187" s="37" t="n">
        <f aca="false">Sens!$M$10185*k_B</f>
        <v>11.3204733918244</v>
      </c>
      <c r="N10187" s="14"/>
      <c r="O10187" s="14"/>
      <c r="P10187" s="5" t="s">
        <v>620</v>
      </c>
    </row>
    <row r="10188" customFormat="false" ht="17.15" hidden="false" customHeight="false" outlineLevel="0" collapsed="false">
      <c r="A10188" s="5" t="s">
        <v>621</v>
      </c>
      <c r="B10188" s="0" t="s">
        <v>129</v>
      </c>
      <c r="F10188" s="32" t="n">
        <f aca="false">Sens!$F$10182/2</f>
        <v>908.575</v>
      </c>
      <c r="H10188" s="32" t="n">
        <f aca="false">(Sens!$G$10182+Sens!$H$10182)/2</f>
        <v>3634.3</v>
      </c>
      <c r="I10188" s="32" t="n">
        <f aca="false">(Sens!$H$10182+Sens!$I$10182)/2</f>
        <v>7268.6</v>
      </c>
      <c r="J10188" s="32" t="n">
        <f aca="false">(Sens!$I$10182+Sens!$J$10182)/2</f>
        <v>10902.9</v>
      </c>
      <c r="K10188" s="32" t="n">
        <f aca="false">(Sens!$J$10182+Sens!$K$10182)/2</f>
        <v>13980.8168333333</v>
      </c>
      <c r="L10188" s="32" t="n">
        <f aca="false">(Sens!$K$10182+Sens!$L$10182)/2</f>
        <v>15945.9673333333</v>
      </c>
      <c r="M10188" s="32" t="n">
        <f aca="false">(Sens!$L$10182+Sens!$M$10182)/2</f>
        <v>16798.3515</v>
      </c>
    </row>
    <row r="10189" customFormat="false" ht="17.15" hidden="false" customHeight="false" outlineLevel="0" collapsed="false">
      <c r="A10189" s="1" t="s">
        <v>622</v>
      </c>
    </row>
    <row r="10190" customFormat="false" ht="17.15" hidden="false" customHeight="false" outlineLevel="0" collapsed="false">
      <c r="A10190" s="1" t="s">
        <v>623</v>
      </c>
      <c r="B10190" s="8" t="s">
        <v>86</v>
      </c>
      <c r="C10190" s="38" t="n">
        <f aca="false">Sens!$C$10173*rpm_open*Sens!$C$10174/1000</f>
        <v>2.32100535697364</v>
      </c>
      <c r="D10190" s="38" t="n">
        <f aca="false">Sens!$D$10173*rpm_open*Sens!$D$10174/1000</f>
        <v>8.70377008865116</v>
      </c>
      <c r="E10190" s="38" t="n">
        <f aca="false">Sens!$E$10173*rpm_open*Sens!$E$10174/1000</f>
        <v>8.51035297557002</v>
      </c>
      <c r="F10190" s="38" t="n">
        <f aca="false">(mw_open*rpm_open+Sens!$F$10188*Sens!$F$10187)*Sens!$F$10174/1000</f>
        <v>14.9634336447205</v>
      </c>
      <c r="G10190" s="38" t="n">
        <f aca="false">Sens!$E$10190+Sens!$F$10190</f>
        <v>23.4737866202905</v>
      </c>
      <c r="H10190" s="38" t="n">
        <f aca="false">(mw_open*rpm_open+Sens!$H$10188*Sens!$H$10187)/1000</f>
        <v>60.1658907497746</v>
      </c>
      <c r="I10190" s="38" t="n">
        <f aca="false">(mw_open*rpm_open+Sens!$I$10188*Sens!$I$10187)/1000</f>
        <v>101.503699136432</v>
      </c>
      <c r="J10190" s="38" t="n">
        <f aca="false">(mw_open*rpm_open+Sens!$J$10188*Sens!$J$10187)/1000</f>
        <v>143.025407151278</v>
      </c>
      <c r="K10190" s="38" t="n">
        <f aca="false">(mw_open*rpm_open+Sens!$K$10188*Sens!$K$10187)/1000</f>
        <v>178.162118285436</v>
      </c>
      <c r="L10190" s="38" t="n">
        <f aca="false">(mw_open*rpm_open+Sens!$L$10188*Sens!$L$10187)/1000</f>
        <v>200.590902543141</v>
      </c>
      <c r="M10190" s="38" t="n">
        <f aca="false">(mw_open*rpm_open+Sens!$M$10188*Sens!$M$10187)/1000</f>
        <v>210.280670942702</v>
      </c>
      <c r="N10190" s="38" t="n">
        <f aca="false">Sens!$N$10173*rpm_open*Sens!$N$10174/1000</f>
        <v>3.04631953102791</v>
      </c>
      <c r="O10190" s="38" t="n">
        <f aca="false">Sens!$O$10173*rpm_open*Sens!$O$10174/1000</f>
        <v>5.65745055762326</v>
      </c>
      <c r="P10190" s="5" t="s">
        <v>624</v>
      </c>
    </row>
    <row r="10191" customFormat="false" ht="17.15" hidden="false" customHeight="false" outlineLevel="0" collapsed="false">
      <c r="A10191" s="5" t="s">
        <v>625</v>
      </c>
      <c r="B10191" s="0" t="s">
        <v>173</v>
      </c>
      <c r="C10191" s="36" t="n">
        <f aca="false">Sens!$C$10190*1000/(Sens!$C$10173*Sens!$C$10174)</f>
        <v>9.67085565405685</v>
      </c>
      <c r="D10191" s="36" t="n">
        <f aca="false">Sens!$D$10190*1000/(Sens!$D$10173*Sens!$D$10174)</f>
        <v>9.67085565405685</v>
      </c>
      <c r="E10191" s="36" t="n">
        <f aca="false">Sens!$E$10190*1000/(Sens!$E$10173*Sens!$E$10174)</f>
        <v>9.67085565405685</v>
      </c>
      <c r="F10191" s="36" t="n">
        <f aca="false">Sens!$F$10190*1000/(Sens!$F$10173*Sens!$F$10174)</f>
        <v>10.0137581588017</v>
      </c>
      <c r="G10191" s="36" t="n">
        <f aca="false">Sens!$G$10190*1000/(Sens!$G$10173*Sens!$G$10174)</f>
        <v>9.88666562928478</v>
      </c>
      <c r="H10191" s="36" t="n">
        <f aca="false">Sens!$H$10190*1000/(Sens!$H$10173*Sens!$H$10174)</f>
        <v>10.5290045586992</v>
      </c>
      <c r="I10191" s="36" t="n">
        <f aca="false">Sens!$I$10190*1000/(Sens!$I$10173*Sens!$I$10174)</f>
        <v>10.8576363451674</v>
      </c>
      <c r="J10191" s="36" t="n">
        <f aca="false">Sens!$J$10190*1000/(Sens!$J$10173*Sens!$J$10174)</f>
        <v>11.0164452588619</v>
      </c>
      <c r="K10191" s="36" t="n">
        <f aca="false">Sens!$K$10190*1000/(Sens!$K$10173*Sens!$K$10174)</f>
        <v>11.0929674458194</v>
      </c>
      <c r="L10191" s="36" t="n">
        <f aca="false">Sens!$L$10190*1000/(Sens!$L$10173*Sens!$L$10174)</f>
        <v>11.1278856126745</v>
      </c>
      <c r="M10191" s="36" t="n">
        <f aca="false">Sens!$M$10190*1000/(Sens!$M$10173*Sens!$M$10174)</f>
        <v>11.1387199747129</v>
      </c>
      <c r="N10191" s="36" t="n">
        <f aca="false">Sens!$N$10190*1000/(Sens!$N$10173*Sens!$N$10174)</f>
        <v>9.67085565405685</v>
      </c>
      <c r="O10191" s="36" t="n">
        <f aca="false">Sens!$O$10190*1000/(Sens!$O$10173*Sens!$O$10174)</f>
        <v>9.67085565405685</v>
      </c>
    </row>
    <row r="10192" customFormat="false" ht="17.15" hidden="false" customHeight="false" outlineLevel="0" collapsed="false">
      <c r="A10192" s="0" t="s">
        <v>626</v>
      </c>
      <c r="B10192" s="0" t="s">
        <v>86</v>
      </c>
      <c r="C10192" s="38" t="n">
        <f aca="false">Sens!$C$10173/ext_sh*(ox_open+rent_mw)*Sens!$C$10174/1000</f>
        <v>0.642569210675032</v>
      </c>
      <c r="D10192" s="38" t="n">
        <f aca="false">Sens!$D$10173/ext_sh*(ox_open+rent_mw)*Sens!$D$10174/1000</f>
        <v>2.40963454003137</v>
      </c>
      <c r="E10192" s="38" t="n">
        <f aca="false">Sens!$E$10173/ext_sh*(ox_open+rent_mw)*Sens!$E$10174/1000</f>
        <v>2.35608710580845</v>
      </c>
      <c r="F10192" s="38" t="n">
        <f aca="false">((mw_open*ox_open+Sens!$F$10188*Sens!$F$10186)/ext_sh+Sens!$F$10173/ext_sh*rent_mw)*Sens!$F$10174/1000</f>
        <v>4.05421991106232</v>
      </c>
      <c r="G10192" s="38" t="n">
        <f aca="false">Sens!$E$10192+Sens!$F$10192</f>
        <v>6.41030701687077</v>
      </c>
      <c r="H10192" s="38" t="n">
        <f aca="false">((mw_open*ox_open+Sens!$H$10188*Sens!$H$10186)/ext_sh+Sens!$H$10173/ext_sh*rent_mw)*Sens!$H$10174/1000</f>
        <v>15.8108975546616</v>
      </c>
      <c r="I10192" s="38" t="n">
        <f aca="false">((mw_open*ox_open+Sens!$I$10188*Sens!$I$10186)/ext_sh+Sens!$I$10173/ext_sh*rent_mw)*Sens!$I$10174/1000</f>
        <v>26.1871623400817</v>
      </c>
      <c r="J10192" s="38" t="n">
        <f aca="false">((mw_open*ox_open+Sens!$J$10188*Sens!$J$10186)/ext_sh+Sens!$J$10173/ext_sh*rent_mw)*Sens!$J$10174/1000</f>
        <v>36.5826128954935</v>
      </c>
      <c r="K10192" s="38" t="n">
        <f aca="false">((mw_open*ox_open+Sens!$K$10188*Sens!$K$10186)/ext_sh+Sens!$K$10173/ext_sh*rent_mw)*Sens!$K$10174/1000</f>
        <v>45.3836433528648</v>
      </c>
      <c r="L10192" s="38" t="n">
        <f aca="false">((mw_open*ox_open+Sens!$L$10188*Sens!$L$10186)/ext_sh+Sens!$L$10173/ext_sh*rent_mw)*Sens!$L$10174/1000</f>
        <v>51.0023088908591</v>
      </c>
      <c r="M10192" s="38" t="n">
        <f aca="false">((mw_open*ox_open+Sens!$M$10188*Sens!$M$10186)/ext_sh+Sens!$M$10173/ext_sh*rent_mw)*Sens!$M$10174/1000</f>
        <v>53.4353660768611</v>
      </c>
      <c r="N10192" s="38" t="n">
        <f aca="false">Sens!$N$10173/ext_sh*(ox_open+rent_mw)*Sens!$N$10174/1000</f>
        <v>0.84337208901098</v>
      </c>
      <c r="O10192" s="38" t="n">
        <f aca="false">Sens!$O$10173/ext_sh*(ox_open+rent_mw)*Sens!$O$10174/1000</f>
        <v>1.56626245102039</v>
      </c>
    </row>
    <row r="10193" customFormat="false" ht="17.15" hidden="false" customHeight="false" outlineLevel="0" collapsed="false">
      <c r="A10193" s="0" t="s">
        <v>627</v>
      </c>
      <c r="B10193" s="0" t="s">
        <v>86</v>
      </c>
      <c r="C10193" s="38" t="n">
        <f aca="false">Q!$D$7</f>
        <v>107.556</v>
      </c>
      <c r="D10193" s="38" t="n">
        <f aca="false">Q!$E$7</f>
        <v>128.725</v>
      </c>
      <c r="E10193" s="38" t="n">
        <f aca="false">Q!$P$7</f>
        <v>79.819</v>
      </c>
      <c r="N10193" s="38" t="n">
        <f aca="false">Q!$N$7</f>
        <v>60.14</v>
      </c>
      <c r="O10193" s="38" t="n">
        <f aca="false">Q!$O$7</f>
        <v>68.585</v>
      </c>
    </row>
    <row r="10194" customFormat="false" ht="17.15" hidden="false" customHeight="false" outlineLevel="0" collapsed="false">
      <c r="A10194" s="1" t="s">
        <v>628</v>
      </c>
      <c r="B10194" s="8" t="s">
        <v>86</v>
      </c>
      <c r="C10194" s="38" t="n">
        <f aca="false">Sens!$C$10193-Sens!$C$10190</f>
        <v>105.234994643026</v>
      </c>
      <c r="D10194" s="38" t="n">
        <f aca="false">Sens!$D$10193-Sens!$D$10190</f>
        <v>120.021229911349</v>
      </c>
      <c r="E10194" s="38" t="n">
        <f aca="false">Sens!$E$10193-Sens!$E$10190</f>
        <v>71.30864702443</v>
      </c>
      <c r="F10194" s="38" t="n">
        <f aca="false">Sens!$O$10194*(1+Sens!$F$10195)</f>
        <v>71.7692997942464</v>
      </c>
      <c r="G10194" s="38" t="n">
        <f aca="false">Sens!$E$10194+Sens!$F$10194</f>
        <v>143.077946818676</v>
      </c>
      <c r="H10194" s="38" t="n">
        <f aca="false">Sens!$G$10194*(1+Sens!$H$10195)</f>
        <v>161.017077079203</v>
      </c>
      <c r="I10194" s="38" t="n">
        <f aca="false">Sens!$H$10194*(1+Sens!$I$10195)</f>
        <v>178.769759521457</v>
      </c>
      <c r="J10194" s="38" t="n">
        <f aca="false">Sens!$I$10194*(1+Sens!$J$10195)</f>
        <v>195.775538045907</v>
      </c>
      <c r="K10194" s="38" t="n">
        <f aca="false">Sens!$J$10194*(1+Sens!$K$10195)</f>
        <v>211.43758108958</v>
      </c>
      <c r="L10194" s="38" t="n">
        <f aca="false">Sens!$K$10194*(1+Sens!$L$10195)</f>
        <v>228.352587576746</v>
      </c>
      <c r="M10194" s="38" t="n">
        <f aca="false">Sens!$L$10194*(1+Sens!$M$10195)</f>
        <v>246.620794582886</v>
      </c>
      <c r="N10194" s="38" t="n">
        <f aca="false">Sens!$N$10193-Sens!$N$10190</f>
        <v>57.0936804689721</v>
      </c>
      <c r="O10194" s="38" t="n">
        <f aca="false">Sens!$O$10193-Sens!$O$10190</f>
        <v>62.9275494423768</v>
      </c>
      <c r="P10194" s="5" t="s">
        <v>629</v>
      </c>
    </row>
    <row r="10195" customFormat="false" ht="17.15" hidden="false" customHeight="false" outlineLevel="0" collapsed="false">
      <c r="A10195" s="0" t="s">
        <v>630</v>
      </c>
      <c r="B10195" s="0" t="s">
        <v>52</v>
      </c>
      <c r="D10195" s="13" t="n">
        <f aca="false">Sens!$D$10194/Sens!$C$10194-1</f>
        <v>0.140506827776062</v>
      </c>
      <c r="E10195" s="13" t="n">
        <f aca="false">Sens!$E$10194/Sens!$N$10194-1</f>
        <v>0.248976181579029</v>
      </c>
      <c r="F10195" s="13" t="n">
        <f aca="false">Sens!$D$10195</f>
        <v>0.140506827776062</v>
      </c>
      <c r="G10195" s="13" t="n">
        <f aca="false">Sens!$G$10194/Sens!$D$10194-1</f>
        <v>0.19210532106993</v>
      </c>
      <c r="H10195" s="13" t="n">
        <f aca="false">Sens!$F$10195+(g_awso_lt-Sens!$F$10195)*1/4</f>
        <v>0.125380120832046</v>
      </c>
      <c r="I10195" s="13" t="n">
        <f aca="false">Sens!$F$10195+(g_awso_lt-Sens!$F$10195)*2/4</f>
        <v>0.110253413888031</v>
      </c>
      <c r="J10195" s="13" t="n">
        <f aca="false">Sens!$F$10195+(g_awso_lt-Sens!$F$10195)*3/4</f>
        <v>0.0951267069440154</v>
      </c>
      <c r="K10195" s="13" t="n">
        <f aca="false">Sens!$F$10195+(g_awso_lt-Sens!$F$10195)*4/4</f>
        <v>0.08</v>
      </c>
      <c r="L10195" s="13" t="n">
        <f aca="false">g_awso_lt</f>
        <v>0.08</v>
      </c>
      <c r="M10195" s="13" t="n">
        <f aca="false">g_awso_lt</f>
        <v>0.08</v>
      </c>
      <c r="P10195" s="5" t="s">
        <v>631</v>
      </c>
    </row>
    <row r="10196" customFormat="false" ht="17.15" hidden="false" customHeight="false" outlineLevel="0" collapsed="false">
      <c r="A10196" s="1" t="s">
        <v>632</v>
      </c>
    </row>
    <row r="10197" customFormat="false" ht="17.15" hidden="false" customHeight="false" outlineLevel="0" collapsed="false">
      <c r="A10197" s="0" t="s">
        <v>633</v>
      </c>
      <c r="B10197" s="0" t="s">
        <v>86</v>
      </c>
      <c r="F10197" s="38" t="n">
        <f aca="false">cx_rt*Sens!$F$10162+cx_awso*Sens!$F$10194</f>
        <v>34.9734495387866</v>
      </c>
    </row>
    <row r="10198" customFormat="false" ht="17.15" hidden="false" customHeight="false" outlineLevel="0" collapsed="false">
      <c r="A10198" s="0" t="s">
        <v>634</v>
      </c>
      <c r="B10198" s="0" t="s">
        <v>52</v>
      </c>
      <c r="C10198" s="13" t="n">
        <f aca="false">tk_cx_h100/(tk_cx_h100+tk_fac*(1-colo_sh))</f>
        <v>0.730756458006641</v>
      </c>
      <c r="D10198" s="13" t="n">
        <f aca="false">tk_cx_h100/(tk_cx_h100+tk_fac*(1-colo_sh))</f>
        <v>0.730756458006641</v>
      </c>
      <c r="E10198" s="13" t="n">
        <f aca="false">Sens!$F$10198</f>
        <v>0.760792334328868</v>
      </c>
      <c r="F10198" s="13" t="n">
        <f aca="false">Sens!$F$10181/(Sens!$F$10181+tk_fac*(1-colo_sh))</f>
        <v>0.760792334328868</v>
      </c>
      <c r="G10198" s="13" t="n">
        <f aca="false">Sens!$G$10181/(Sens!$G$10181+tk_fac*(1-colo_sh))</f>
        <v>0.760792334328868</v>
      </c>
      <c r="H10198" s="13" t="n">
        <f aca="false">Sens!$H$10181/(Sens!$H$10181+tk_fac*(1-colo_sh))</f>
        <v>0.768110668862996</v>
      </c>
      <c r="I10198" s="13" t="n">
        <f aca="false">Sens!$I$10181/(Sens!$I$10181+tk_fac*(1-colo_sh))</f>
        <v>0.77499450139483</v>
      </c>
      <c r="J10198" s="13" t="n">
        <f aca="false">Sens!$J$10181/(Sens!$J$10181+tk_fac*(1-colo_sh))</f>
        <v>0.77499450139483</v>
      </c>
      <c r="K10198" s="13" t="n">
        <f aca="false">Sens!$K$10181/(Sens!$K$10181+tk_fac*(1-colo_sh))</f>
        <v>0.77499450139483</v>
      </c>
      <c r="L10198" s="13" t="n">
        <f aca="false">Sens!$L$10181/(Sens!$L$10181+tk_fac*(1-colo_sh))</f>
        <v>0.77499450139483</v>
      </c>
      <c r="M10198" s="13" t="n">
        <f aca="false">Sens!$M$10181/(Sens!$M$10181+tk_fac*(1-colo_sh))</f>
        <v>0.77499450139483</v>
      </c>
    </row>
    <row r="10199" customFormat="false" ht="17.15" hidden="false" customHeight="false" outlineLevel="0" collapsed="false">
      <c r="A10199" s="1" t="s">
        <v>635</v>
      </c>
      <c r="B10199" s="8" t="s">
        <v>86</v>
      </c>
      <c r="C10199" s="38" t="n">
        <f aca="false">Q!$D$46-cx_rt*Q!$D$16-cx_awso*Sens!$C$10194</f>
        <v>25.2781053077374</v>
      </c>
      <c r="D10199" s="38" t="n">
        <f aca="false">Q!$E$46-cx_rt*Q!$E$16-cx_awso*Sens!$D$10194</f>
        <v>69.5686316310026</v>
      </c>
      <c r="E10199" s="38" t="n">
        <f aca="false">Q!$P$46-cx_rt*Q!$P$16-cx_awso*Sens!$E$10194</f>
        <v>64.1899206485108</v>
      </c>
      <c r="F10199" s="38" t="n">
        <f aca="false">capex_g26-Q!$P$46-Sens!$F$10197</f>
        <v>88.7165504612134</v>
      </c>
      <c r="G10199" s="38" t="n">
        <f aca="false">Sens!$E$10199+Sens!$F$10199</f>
        <v>152.906471109724</v>
      </c>
      <c r="H10199" s="38" t="n">
        <f aca="false">Sens!$H$10176*(Sens!$H$10181+tk_fac*(1-colo_sh))/1000+Sens!$H$10200</f>
        <v>198.57136494475</v>
      </c>
      <c r="I10199" s="38" t="n">
        <f aca="false">Sens!$I$10176*(Sens!$I$10181+tk_fac*(1-colo_sh))/1000+Sens!$I$10200</f>
        <v>204.6464699105</v>
      </c>
      <c r="J10199" s="38" t="n">
        <f aca="false">Sens!$J$10176*(Sens!$J$10181+tk_fac*(1-colo_sh))/1000+Sens!$J$10200</f>
        <v>209.8832381105</v>
      </c>
      <c r="K10199" s="38" t="n">
        <f aca="false">Sens!$K$10176*(Sens!$K$10181+tk_fac*(1-colo_sh))/1000+Sens!$K$10200</f>
        <v>152.460428963578</v>
      </c>
      <c r="L10199" s="38" t="n">
        <f aca="false">Sens!$L$10176*(Sens!$L$10181+tk_fac*(1-colo_sh))/1000+Sens!$L$10200</f>
        <v>126.458229016657</v>
      </c>
      <c r="M10199" s="38" t="n">
        <f aca="false">Sens!$M$10176*(Sens!$M$10181+tk_fac*(1-colo_sh))/1000+Sens!$M$10200</f>
        <v>123.897112724985</v>
      </c>
      <c r="P10199" s="5" t="s">
        <v>636</v>
      </c>
      <c r="R10199" s="38" t="n">
        <f aca="false">Q!$C$46-cx_rt*Q!$C$16-cx_awso*(Q!$C$7-mw_ye23/2*rpm_open/1000)</f>
        <v>1.50429979529945</v>
      </c>
      <c r="S10199" s="38" t="n">
        <f aca="false">Sens!$C$10199</f>
        <v>25.2781053077374</v>
      </c>
      <c r="T10199" s="38" t="n">
        <f aca="false">Sens!$D$10199</f>
        <v>69.5686316310026</v>
      </c>
      <c r="U10199" s="38" t="n">
        <f aca="false">Sens!$G$10199</f>
        <v>152.906471109724</v>
      </c>
      <c r="V10199" s="38" t="n">
        <f aca="false">Sens!$H$10199</f>
        <v>198.57136494475</v>
      </c>
      <c r="W10199" s="38" t="n">
        <f aca="false">Sens!$I$10199</f>
        <v>204.6464699105</v>
      </c>
      <c r="X10199" s="38" t="n">
        <f aca="false">Sens!$J$10199</f>
        <v>209.8832381105</v>
      </c>
      <c r="Y10199" s="38" t="n">
        <f aca="false">Sens!$K$10199</f>
        <v>152.460428963578</v>
      </c>
      <c r="Z10199" s="38" t="n">
        <f aca="false">Sens!$L$10199</f>
        <v>126.458229016657</v>
      </c>
      <c r="AA10199" s="38" t="n">
        <f aca="false">Sens!$M$10199</f>
        <v>123.897112724985</v>
      </c>
    </row>
    <row r="10200" customFormat="false" ht="17.15" hidden="false" customHeight="false" outlineLevel="0" collapsed="false">
      <c r="A10200" s="0" t="s">
        <v>637</v>
      </c>
      <c r="B10200" s="0" t="s">
        <v>86</v>
      </c>
      <c r="H10200" s="38" t="n">
        <f aca="false">SUMPRODUCT(--(Sens!$R$10169:$AA$10169=2027-tk_life),Sens!$R$10176:$AA$10176)*Sens!$H$10181/1000</f>
        <v>0</v>
      </c>
      <c r="I10200" s="38" t="n">
        <f aca="false">SUMPRODUCT(--(Sens!$R$10169:$AA$10169=2028-tk_life),Sens!$R$10176:$AA$10176)*Sens!$I$10181/1000</f>
        <v>0</v>
      </c>
      <c r="J10200" s="38" t="n">
        <f aca="false">SUMPRODUCT(--(Sens!$R$10169:$AA$10169=2029-tk_life),Sens!$R$10176:$AA$10176)*Sens!$J$10181/1000</f>
        <v>5.2367682</v>
      </c>
      <c r="K10200" s="38" t="n">
        <f aca="false">SUMPRODUCT(--(Sens!$R$10169:$AA$10169=2030-tk_life),Sens!$R$10176:$AA$10176)*Sens!$K$10181/1000</f>
        <v>10.4735364</v>
      </c>
      <c r="L10200" s="38" t="n">
        <f aca="false">SUMPRODUCT(--(Sens!$R$10169:$AA$10169=2031-tk_life),Sens!$R$10176:$AA$10176)*Sens!$L$10181/1000</f>
        <v>47.1309138</v>
      </c>
      <c r="M10200" s="38" t="n">
        <f aca="false">SUMPRODUCT(--(Sens!$R$10169:$AA$10169=2032-tk_life),Sens!$R$10176:$AA$10176)*Sens!$M$10181/1000</f>
        <v>107.22937485525</v>
      </c>
    </row>
    <row r="10201" customFormat="false" ht="17.15" hidden="false" customHeight="false" outlineLevel="0" collapsed="false">
      <c r="A10201" s="0" t="s">
        <v>638</v>
      </c>
      <c r="B10201" s="0" t="s">
        <v>86</v>
      </c>
      <c r="C10201" s="38" t="n">
        <f aca="false">MIN(Sens!$C$10199,Sens!$C$10176*(tk_cx_h100+tk_fac*(1-colo_sh))/1000)</f>
        <v>11.2938642</v>
      </c>
      <c r="D10201" s="38" t="n">
        <f aca="false">MIN(Sens!$D$10199,Sens!$D$10176*(tk_cx_h100+tk_fac*(1-colo_sh))/1000)</f>
        <v>50.8223889</v>
      </c>
      <c r="E10201" s="38" t="n">
        <f aca="false">MIN(Sens!$E$10199,Sens!$E$10176*(Sens!$F$10181+tk_fac*(1-colo_sh))/1000)</f>
        <v>33.8985792</v>
      </c>
      <c r="F10201" s="38" t="n">
        <f aca="false">Sens!$F$10199</f>
        <v>88.7165504612134</v>
      </c>
      <c r="G10201" s="38" t="n">
        <f aca="false">Sens!$E$10201+Sens!$F$10201</f>
        <v>122.615129661213</v>
      </c>
      <c r="H10201" s="38" t="n">
        <f aca="false">Sens!$H$10199</f>
        <v>198.57136494475</v>
      </c>
      <c r="I10201" s="38" t="n">
        <f aca="false">Sens!$I$10199</f>
        <v>204.6464699105</v>
      </c>
      <c r="J10201" s="38" t="n">
        <f aca="false">Sens!$J$10199</f>
        <v>209.8832381105</v>
      </c>
      <c r="K10201" s="38" t="n">
        <f aca="false">Sens!$K$10199</f>
        <v>152.460428963578</v>
      </c>
      <c r="L10201" s="38" t="n">
        <f aca="false">Sens!$L$10199</f>
        <v>126.458229016657</v>
      </c>
      <c r="M10201" s="38" t="n">
        <f aca="false">Sens!$M$10199</f>
        <v>123.897112724985</v>
      </c>
      <c r="P10201" s="5" t="s">
        <v>639</v>
      </c>
      <c r="R10201" s="38" t="n">
        <f aca="false">MIN(Sens!$R$10199,Sens!$R$10176*(tk_cx_h100+tk_fac*(1-colo_sh))/1000)</f>
        <v>1.50429979529945</v>
      </c>
      <c r="S10201" s="38" t="n">
        <f aca="false">Sens!$C$10201</f>
        <v>11.2938642</v>
      </c>
      <c r="T10201" s="38" t="n">
        <f aca="false">Sens!$D$10201</f>
        <v>50.8223889</v>
      </c>
      <c r="U10201" s="38" t="n">
        <f aca="false">Sens!$G$10201</f>
        <v>122.615129661213</v>
      </c>
      <c r="V10201" s="38" t="n">
        <f aca="false">Sens!$H$10201</f>
        <v>198.57136494475</v>
      </c>
      <c r="W10201" s="38" t="n">
        <f aca="false">Sens!$I$10201</f>
        <v>204.6464699105</v>
      </c>
      <c r="X10201" s="38" t="n">
        <f aca="false">Sens!$J$10201</f>
        <v>209.8832381105</v>
      </c>
      <c r="Y10201" s="38" t="n">
        <f aca="false">Sens!$K$10201</f>
        <v>152.460428963578</v>
      </c>
      <c r="Z10201" s="38" t="n">
        <f aca="false">Sens!$L$10201</f>
        <v>126.458229016657</v>
      </c>
      <c r="AA10201" s="38" t="n">
        <f aca="false">Sens!$M$10201</f>
        <v>123.897112724985</v>
      </c>
    </row>
    <row r="10202" customFormat="false" ht="17.15" hidden="false" customHeight="false" outlineLevel="0" collapsed="false">
      <c r="A10202" s="5" t="s">
        <v>640</v>
      </c>
      <c r="B10202" s="0" t="s">
        <v>86</v>
      </c>
      <c r="C10202" s="38" t="n">
        <f aca="false">Sens!$C$10199-Sens!$C$10201</f>
        <v>13.9842411077374</v>
      </c>
      <c r="D10202" s="38" t="n">
        <f aca="false">Sens!$D$10199-Sens!$D$10201</f>
        <v>18.7462427310026</v>
      </c>
      <c r="E10202" s="38" t="n">
        <f aca="false">Sens!$E$10199-Sens!$E$10201</f>
        <v>30.2913414485108</v>
      </c>
      <c r="F10202" s="38" t="n">
        <f aca="false">Sens!$F$10199-Sens!$F$10201</f>
        <v>0</v>
      </c>
      <c r="G10202" s="38" t="n">
        <f aca="false">Sens!$G$10199-Sens!$G$10201</f>
        <v>30.2913414485108</v>
      </c>
      <c r="H10202" s="38" t="n">
        <f aca="false">Sens!$H$10199-Sens!$H$10201</f>
        <v>0</v>
      </c>
      <c r="I10202" s="38" t="n">
        <f aca="false">Sens!$I$10199-Sens!$I$10201</f>
        <v>0</v>
      </c>
      <c r="J10202" s="38" t="n">
        <f aca="false">Sens!$J$10199-Sens!$J$10201</f>
        <v>0</v>
      </c>
      <c r="K10202" s="38" t="n">
        <f aca="false">Sens!$K$10199-Sens!$K$10201</f>
        <v>0</v>
      </c>
      <c r="L10202" s="38" t="n">
        <f aca="false">Sens!$L$10199-Sens!$L$10201</f>
        <v>0</v>
      </c>
      <c r="M10202" s="38" t="n">
        <f aca="false">Sens!$M$10199-Sens!$M$10201</f>
        <v>0</v>
      </c>
      <c r="P10202" s="5" t="s">
        <v>641</v>
      </c>
      <c r="R10202" s="38" t="n">
        <f aca="false">Sens!$R$10199-Sens!$R$10201</f>
        <v>0</v>
      </c>
      <c r="S10202" s="38" t="n">
        <f aca="false">Sens!$S$10199-Sens!$S$10201</f>
        <v>13.9842411077374</v>
      </c>
      <c r="T10202" s="38" t="n">
        <f aca="false">Sens!$T$10199-Sens!$T$10201</f>
        <v>18.7462427310026</v>
      </c>
      <c r="U10202" s="38" t="n">
        <f aca="false">Sens!$U$10199-Sens!$U$10201</f>
        <v>30.2913414485108</v>
      </c>
      <c r="V10202" s="38" t="n">
        <f aca="false">Sens!$V$10199-Sens!$V$10201</f>
        <v>0</v>
      </c>
      <c r="W10202" s="38" t="n">
        <f aca="false">Sens!$W$10199-Sens!$W$10201</f>
        <v>0</v>
      </c>
      <c r="X10202" s="38" t="n">
        <f aca="false">Sens!$X$10199-Sens!$X$10201</f>
        <v>0</v>
      </c>
      <c r="Y10202" s="38" t="n">
        <f aca="false">Sens!$Y$10199-Sens!$Y$10201</f>
        <v>0</v>
      </c>
      <c r="Z10202" s="38" t="n">
        <f aca="false">Sens!$Z$10199-Sens!$Z$10201</f>
        <v>0</v>
      </c>
      <c r="AA10202" s="38" t="n">
        <f aca="false">Sens!$AA$10199-Sens!$AA$10201</f>
        <v>0</v>
      </c>
    </row>
    <row r="10203" customFormat="false" ht="17.15" hidden="false" customHeight="false" outlineLevel="0" collapsed="false">
      <c r="A10203" s="5" t="s">
        <v>642</v>
      </c>
      <c r="B10203" s="0" t="s">
        <v>86</v>
      </c>
      <c r="R10203" s="38" t="n">
        <f aca="false">Sens!$R$10202*Sens!$C$10198</f>
        <v>0</v>
      </c>
      <c r="S10203" s="38" t="n">
        <f aca="false">Sens!$S$10202*Sens!$C$10198</f>
        <v>10.219074499801</v>
      </c>
      <c r="T10203" s="38" t="n">
        <f aca="false">Sens!$T$10202*Sens!$C$10198</f>
        <v>13.6989379390402</v>
      </c>
      <c r="U10203" s="38" t="n">
        <f aca="false">Sens!$U$10202*Sens!$E$10198</f>
        <v>23.0454203705653</v>
      </c>
      <c r="V10203" s="38" t="n">
        <f aca="false">Sens!$V$10202*Sens!$E$10198</f>
        <v>0</v>
      </c>
      <c r="W10203" s="38" t="n">
        <f aca="false">Sens!$W$10202*Sens!$E$10198</f>
        <v>0</v>
      </c>
      <c r="X10203" s="38" t="n">
        <f aca="false">Sens!$X$10202*Sens!$E$10198</f>
        <v>0</v>
      </c>
      <c r="Y10203" s="38" t="n">
        <f aca="false">Sens!$Y$10202*Sens!$E$10198</f>
        <v>0</v>
      </c>
      <c r="Z10203" s="38" t="n">
        <f aca="false">Sens!$Z$10202*Sens!$E$10198</f>
        <v>0</v>
      </c>
      <c r="AA10203" s="38" t="n">
        <f aca="false">Sens!$AA$10202*Sens!$E$10198</f>
        <v>0</v>
      </c>
    </row>
    <row r="10204" customFormat="false" ht="17.15" hidden="false" customHeight="false" outlineLevel="0" collapsed="false">
      <c r="A10204" s="5" t="s">
        <v>643</v>
      </c>
      <c r="B10204" s="0" t="s">
        <v>86</v>
      </c>
      <c r="R10204" s="38" t="n">
        <f aca="false">SUMPRODUCT(--(Sens!$R$10169:$AA$10169=2023-cip_lag),Sens!$R$10203:$AA$10203)</f>
        <v>0</v>
      </c>
      <c r="S10204" s="38" t="n">
        <f aca="false">SUMPRODUCT(--(Sens!$R$10169:$AA$10169=2024-cip_lag),Sens!$R$10203:$AA$10203)</f>
        <v>0</v>
      </c>
      <c r="T10204" s="38" t="n">
        <f aca="false">SUMPRODUCT(--(Sens!$R$10169:$AA$10169=2025-cip_lag),Sens!$R$10203:$AA$10203)</f>
        <v>10.219074499801</v>
      </c>
      <c r="U10204" s="38" t="n">
        <f aca="false">SUMPRODUCT(--(Sens!$R$10169:$AA$10169=2026-cip_lag),Sens!$R$10203:$AA$10203)</f>
        <v>13.6989379390402</v>
      </c>
      <c r="V10204" s="38" t="n">
        <f aca="false">SUMPRODUCT(--(Sens!$R$10169:$AA$10169=2027-cip_lag),Sens!$R$10203:$AA$10203)</f>
        <v>23.0454203705653</v>
      </c>
      <c r="W10204" s="38" t="n">
        <f aca="false">SUMPRODUCT(--(Sens!$R$10169:$AA$10169=2028-cip_lag),Sens!$R$10203:$AA$10203)</f>
        <v>0</v>
      </c>
      <c r="X10204" s="38" t="n">
        <f aca="false">SUMPRODUCT(--(Sens!$R$10169:$AA$10169=2029-cip_lag),Sens!$R$10203:$AA$10203)</f>
        <v>0</v>
      </c>
      <c r="Y10204" s="38" t="n">
        <f aca="false">SUMPRODUCT(--(Sens!$R$10169:$AA$10169=2030-cip_lag),Sens!$R$10203:$AA$10203)</f>
        <v>0</v>
      </c>
      <c r="Z10204" s="38" t="n">
        <f aca="false">SUMPRODUCT(--(Sens!$R$10169:$AA$10169=2031-cip_lag),Sens!$R$10203:$AA$10203)</f>
        <v>0</v>
      </c>
      <c r="AA10204" s="38" t="n">
        <f aca="false">SUMPRODUCT(--(Sens!$R$10169:$AA$10169=2032-cip_lag),Sens!$R$10203:$AA$10203)</f>
        <v>0</v>
      </c>
    </row>
    <row r="10205" customFormat="false" ht="15" hidden="false" customHeight="false" outlineLevel="0" collapsed="false">
      <c r="A10205" s="5" t="s">
        <v>644</v>
      </c>
      <c r="B10205" s="0" t="s">
        <v>86</v>
      </c>
      <c r="R10205" s="38" t="n">
        <f aca="false">SUMPRODUCT(--(Sens!$R$10169:$AA$10169=2023-cip_lag),Sens!$R$10202:$AA$10202)-Sens!$R$10204</f>
        <v>0</v>
      </c>
      <c r="S10205" s="38" t="n">
        <f aca="false">SUMPRODUCT(--(Sens!$R$10169:$AA$10169=2024-cip_lag),Sens!$R$10202:$AA$10202)-Sens!$S$10204</f>
        <v>0</v>
      </c>
      <c r="T10205" s="38" t="n">
        <f aca="false">SUMPRODUCT(--(Sens!$R$10169:$AA$10169=2025-cip_lag),Sens!$R$10202:$AA$10202)-Sens!$T$10204</f>
        <v>3.76516660793636</v>
      </c>
      <c r="U10205" s="38" t="n">
        <f aca="false">SUMPRODUCT(--(Sens!$R$10169:$AA$10169=2026-cip_lag),Sens!$R$10202:$AA$10202)-Sens!$U$10204</f>
        <v>5.04730479196242</v>
      </c>
      <c r="V10205" s="38" t="n">
        <f aca="false">SUMPRODUCT(--(Sens!$R$10169:$AA$10169=2027-cip_lag),Sens!$R$10202:$AA$10202)-Sens!$V$10204</f>
        <v>7.24592107794548</v>
      </c>
      <c r="W10205" s="38" t="n">
        <f aca="false">SUMPRODUCT(--(Sens!$R$10169:$AA$10169=2028-cip_lag),Sens!$R$10202:$AA$10202)-Sens!$W$10204</f>
        <v>0</v>
      </c>
      <c r="X10205" s="38" t="n">
        <f aca="false">SUMPRODUCT(--(Sens!$R$10169:$AA$10169=2029-cip_lag),Sens!$R$10202:$AA$10202)-Sens!$X$10204</f>
        <v>0</v>
      </c>
      <c r="Y10205" s="38" t="n">
        <f aca="false">SUMPRODUCT(--(Sens!$R$10169:$AA$10169=2030-cip_lag),Sens!$R$10202:$AA$10202)-Sens!$Y$10204</f>
        <v>0</v>
      </c>
      <c r="Z10205" s="38" t="n">
        <f aca="false">SUMPRODUCT(--(Sens!$R$10169:$AA$10169=2031-cip_lag),Sens!$R$10202:$AA$10202)-Sens!$Z$10204</f>
        <v>0</v>
      </c>
      <c r="AA10205" s="38" t="n">
        <f aca="false">SUMPRODUCT(--(Sens!$R$10169:$AA$10169=2032-cip_lag),Sens!$R$10202:$AA$10202)-Sens!$AA$10204</f>
        <v>0</v>
      </c>
    </row>
    <row r="10206" customFormat="false" ht="17.15" hidden="false" customHeight="false" outlineLevel="0" collapsed="false">
      <c r="A10206" s="5" t="s">
        <v>645</v>
      </c>
      <c r="B10206" s="0" t="s">
        <v>86</v>
      </c>
      <c r="C10206" s="38" t="n">
        <f aca="false">Sens!$C$10201*Sens!$C$10198</f>
        <v>8.2530642</v>
      </c>
      <c r="D10206" s="38" t="n">
        <f aca="false">Sens!$D$10201*Sens!$D$10198</f>
        <v>37.1387889</v>
      </c>
      <c r="E10206" s="38" t="n">
        <f aca="false">Sens!$E$10201*Sens!$E$10198</f>
        <v>25.7897792</v>
      </c>
      <c r="F10206" s="38" t="n">
        <f aca="false">Sens!$F$10201*Sens!$F$10198</f>
        <v>67.4948715189913</v>
      </c>
      <c r="G10206" s="38" t="n">
        <f aca="false">Sens!$E$10206+Sens!$F$10206</f>
        <v>93.2846507189913</v>
      </c>
      <c r="H10206" s="38" t="n">
        <f aca="false">(Sens!$H$10201-Sens!$H$10200)*Sens!$H$10198+Sens!$H$10200</f>
        <v>152.52478394475</v>
      </c>
      <c r="I10206" s="38" t="n">
        <f aca="false">(Sens!$I$10201-Sens!$I$10200)*Sens!$I$10198+Sens!$I$10200</f>
        <v>158.5998889105</v>
      </c>
      <c r="J10206" s="38" t="n">
        <f aca="false">(Sens!$J$10201-Sens!$J$10200)*Sens!$J$10198+Sens!$J$10200</f>
        <v>163.8366571105</v>
      </c>
      <c r="K10206" s="38" t="n">
        <f aca="false">(Sens!$K$10201-Sens!$K$10200)*Sens!$K$10198+Sens!$K$10200</f>
        <v>120.512597406912</v>
      </c>
      <c r="L10206" s="38" t="n">
        <f aca="false">(Sens!$L$10201-Sens!$L$10200)*Sens!$L$10198+Sens!$L$10200</f>
        <v>108.609146903323</v>
      </c>
      <c r="M10206" s="38" t="n">
        <f aca="false">(Sens!$M$10201-Sens!$M$10200)*Sens!$M$10198+Sens!$M$10200</f>
        <v>120.146780054985</v>
      </c>
      <c r="R10206" s="38" t="n">
        <f aca="false">Sens!$R$10201*Sens!$C$10198</f>
        <v>1.09927679019314</v>
      </c>
      <c r="S10206" s="38" t="n">
        <f aca="false">Sens!$C$10206</f>
        <v>8.2530642</v>
      </c>
      <c r="T10206" s="38" t="n">
        <f aca="false">Sens!$D$10206</f>
        <v>37.1387889</v>
      </c>
      <c r="U10206" s="38" t="n">
        <f aca="false">Sens!$G$10206</f>
        <v>93.2846507189913</v>
      </c>
      <c r="V10206" s="38" t="n">
        <f aca="false">Sens!$H$10206</f>
        <v>152.52478394475</v>
      </c>
      <c r="W10206" s="38" t="n">
        <f aca="false">Sens!$I$10206</f>
        <v>158.5998889105</v>
      </c>
      <c r="X10206" s="38" t="n">
        <f aca="false">Sens!$J$10206</f>
        <v>163.8366571105</v>
      </c>
      <c r="Y10206" s="38" t="n">
        <f aca="false">Sens!$K$10206</f>
        <v>120.512597406912</v>
      </c>
      <c r="Z10206" s="38" t="n">
        <f aca="false">Sens!$L$10206</f>
        <v>108.609146903323</v>
      </c>
      <c r="AA10206" s="38" t="n">
        <f aca="false">Sens!$M$10206</f>
        <v>120.146780054985</v>
      </c>
    </row>
    <row r="10207" customFormat="false" ht="15" hidden="false" customHeight="false" outlineLevel="0" collapsed="false">
      <c r="A10207" s="5" t="s">
        <v>646</v>
      </c>
      <c r="B10207" s="0" t="s">
        <v>86</v>
      </c>
      <c r="C10207" s="38" t="n">
        <f aca="false">Sens!$C$10201-Sens!$C$10206</f>
        <v>3.0408</v>
      </c>
      <c r="D10207" s="38" t="n">
        <f aca="false">Sens!$D$10201-Sens!$D$10206</f>
        <v>13.6836</v>
      </c>
      <c r="E10207" s="38" t="n">
        <f aca="false">Sens!$E$10201-Sens!$E$10206</f>
        <v>8.1088</v>
      </c>
      <c r="F10207" s="38" t="n">
        <f aca="false">Sens!$F$10201-Sens!$F$10206</f>
        <v>21.2216789422221</v>
      </c>
      <c r="G10207" s="38" t="n">
        <f aca="false">Sens!$G$10201-Sens!$G$10206</f>
        <v>29.3304789422221</v>
      </c>
      <c r="H10207" s="38" t="n">
        <f aca="false">Sens!$H$10201-Sens!$H$10206</f>
        <v>46.046581</v>
      </c>
      <c r="I10207" s="38" t="n">
        <f aca="false">Sens!$I$10201-Sens!$I$10206</f>
        <v>46.046581</v>
      </c>
      <c r="J10207" s="38" t="n">
        <f aca="false">Sens!$J$10201-Sens!$J$10206</f>
        <v>46.046581</v>
      </c>
      <c r="K10207" s="38" t="n">
        <f aca="false">Sens!$K$10201-Sens!$K$10206</f>
        <v>31.9478315566667</v>
      </c>
      <c r="L10207" s="38" t="n">
        <f aca="false">Sens!$L$10201-Sens!$L$10206</f>
        <v>17.8490821133333</v>
      </c>
      <c r="M10207" s="38" t="n">
        <f aca="false">Sens!$M$10201-Sens!$M$10206</f>
        <v>3.75033267000001</v>
      </c>
      <c r="R10207" s="38" t="n">
        <f aca="false">Sens!$R$10201-Sens!$R$10206</f>
        <v>0.405023005106309</v>
      </c>
      <c r="S10207" s="38" t="n">
        <f aca="false">Sens!$S$10201-Sens!$S$10206</f>
        <v>3.0408</v>
      </c>
      <c r="T10207" s="38" t="n">
        <f aca="false">Sens!$T$10201-Sens!$T$10206</f>
        <v>13.6836</v>
      </c>
      <c r="U10207" s="38" t="n">
        <f aca="false">Sens!$U$10201-Sens!$U$10206</f>
        <v>29.3304789422221</v>
      </c>
      <c r="V10207" s="38" t="n">
        <f aca="false">Sens!$V$10201-Sens!$V$10206</f>
        <v>46.046581</v>
      </c>
      <c r="W10207" s="38" t="n">
        <f aca="false">Sens!$W$10201-Sens!$W$10206</f>
        <v>46.046581</v>
      </c>
      <c r="X10207" s="38" t="n">
        <f aca="false">Sens!$X$10201-Sens!$X$10206</f>
        <v>46.046581</v>
      </c>
      <c r="Y10207" s="38" t="n">
        <f aca="false">Sens!$Y$10201-Sens!$Y$10206</f>
        <v>31.9478315566667</v>
      </c>
      <c r="Z10207" s="38" t="n">
        <f aca="false">Sens!$Z$10201-Sens!$Z$10206</f>
        <v>17.8490821133333</v>
      </c>
      <c r="AA10207" s="38" t="n">
        <f aca="false">Sens!$AA$10201-Sens!$AA$10206</f>
        <v>3.75033267000001</v>
      </c>
    </row>
    <row r="10208" customFormat="false" ht="17.15" hidden="false" customHeight="false" outlineLevel="0" collapsed="false">
      <c r="A10208" s="0" t="s">
        <v>647</v>
      </c>
      <c r="B10208" s="0" t="s">
        <v>52</v>
      </c>
      <c r="C10208" s="13" t="n">
        <f aca="false">Sens!$C$10199/Sens!$C$10324</f>
        <v>0.325505489553393</v>
      </c>
      <c r="D10208" s="13" t="n">
        <f aca="false">Sens!$D$10199/Sens!$D$10324</f>
        <v>0.54214956071542</v>
      </c>
      <c r="E10208" s="13" t="n">
        <f aca="false">Sens!$E$10199/Sens!$E$10324</f>
        <v>0.666492790452817</v>
      </c>
      <c r="F10208" s="13" t="n">
        <f aca="false">Sens!$F$10199/Sens!$F$10324</f>
        <v>0.71724917504417</v>
      </c>
      <c r="G10208" s="13" t="n">
        <f aca="false">Sens!$G$10199/Sens!$G$10324</f>
        <v>0.69502941413511</v>
      </c>
      <c r="H10208" s="13" t="n">
        <f aca="false">Sens!$H$10199/Sens!$H$10324</f>
        <v>0.726376041178204</v>
      </c>
      <c r="I10208" s="13" t="n">
        <f aca="false">Sens!$I$10199/Sens!$I$10324</f>
        <v>0.713099092661699</v>
      </c>
      <c r="J10208" s="13" t="n">
        <f aca="false">Sens!$J$10199/Sens!$J$10324</f>
        <v>0.701208348786245</v>
      </c>
      <c r="K10208" s="13" t="n">
        <f aca="false">Sens!$K$10199/Sens!$K$10324</f>
        <v>0.614068498670476</v>
      </c>
      <c r="L10208" s="13" t="n">
        <f aca="false">Sens!$L$10199/Sens!$L$10324</f>
        <v>0.551880938289018</v>
      </c>
      <c r="M10208" s="13" t="n">
        <f aca="false">Sens!$M$10199/Sens!$M$10324</f>
        <v>0.529570283055906</v>
      </c>
    </row>
    <row r="10209" customFormat="false" ht="17.15" hidden="false" customHeight="false" outlineLevel="0" collapsed="false">
      <c r="A10209" s="0" t="s">
        <v>648</v>
      </c>
      <c r="B10209" s="0" t="s">
        <v>86</v>
      </c>
      <c r="C10209" s="38" t="n">
        <f aca="false">Sens!$S$10209</f>
        <v>0.183212798365523</v>
      </c>
      <c r="D10209" s="38" t="n">
        <f aca="false">Sens!$T$10209</f>
        <v>1.55872349836552</v>
      </c>
      <c r="E10209" s="38" t="n">
        <f aca="false">Sens!$G$10209/2</f>
        <v>4.72585036583285</v>
      </c>
      <c r="F10209" s="38" t="n">
        <f aca="false">Sens!$G$10209/2</f>
        <v>4.72585036583285</v>
      </c>
      <c r="G10209" s="38" t="n">
        <f aca="false">Sens!$U$10209</f>
        <v>9.4517007316657</v>
      </c>
      <c r="H10209" s="38" t="n">
        <f aca="false">Sens!$V$10209</f>
        <v>27.2822988413376</v>
      </c>
      <c r="I10209" s="38" t="n">
        <f aca="false">Sens!$W$10209</f>
        <v>56.5439995605568</v>
      </c>
      <c r="J10209" s="38" t="n">
        <f aca="false">Sens!$X$10209</f>
        <v>82.9773143789735</v>
      </c>
      <c r="K10209" s="38" t="n">
        <f aca="false">Sens!$Y$10209</f>
        <v>110.100211099025</v>
      </c>
      <c r="L10209" s="38" t="n">
        <f aca="false">Sens!$Z$10209</f>
        <v>128.810133300177</v>
      </c>
      <c r="M10209" s="38" t="n">
        <f aca="false">Sens!$AA$10209</f>
        <v>139.018680550764</v>
      </c>
      <c r="N10209" s="38" t="n">
        <f aca="false">Sens!$D$10209/2</f>
        <v>0.779361749182762</v>
      </c>
      <c r="O10209" s="38" t="n">
        <f aca="false">Sens!$D$10209/2</f>
        <v>0.779361749182762</v>
      </c>
      <c r="R10209" s="38" t="n">
        <f aca="false">(SUMPRODUCT(--(Sens!$R$10169:$AA$10169&lt;Sens!R$10169),--(Sens!$R$10169:$AA$10169&gt;=Sens!R$10169-tk_life),Sens!$R$10206:$AA$10206)+SUMPRODUCT(--(Sens!$R$10169:$AA$10169&lt;Sens!R$10169),--(Sens!$R$10169:$AA$10169&gt;=Sens!R$10169-tk_life),Sens!$R$10204:$AA$10204))/tk_life</f>
        <v>0</v>
      </c>
      <c r="S10209" s="38" t="n">
        <f aca="false">(SUMPRODUCT(--(Sens!$R$10169:$AA$10169&lt;Sens!S$10169),--(Sens!$R$10169:$AA$10169&gt;=Sens!S$10169-tk_life),Sens!$R$10206:$AA$10206)+SUMPRODUCT(--(Sens!$R$10169:$AA$10169&lt;Sens!S$10169),--(Sens!$R$10169:$AA$10169&gt;=Sens!S$10169-tk_life),Sens!$R$10204:$AA$10204))/tk_life</f>
        <v>0.183212798365523</v>
      </c>
      <c r="T10209" s="38" t="n">
        <f aca="false">(SUMPRODUCT(--(Sens!$R$10169:$AA$10169&lt;Sens!T$10169),--(Sens!$R$10169:$AA$10169&gt;=Sens!T$10169-tk_life),Sens!$R$10206:$AA$10206)+SUMPRODUCT(--(Sens!$R$10169:$AA$10169&lt;Sens!T$10169),--(Sens!$R$10169:$AA$10169&gt;=Sens!T$10169-tk_life),Sens!$R$10204:$AA$10204))/tk_life</f>
        <v>1.55872349836552</v>
      </c>
      <c r="U10209" s="38" t="n">
        <f aca="false">(SUMPRODUCT(--(Sens!$R$10169:$AA$10169&lt;Sens!U$10169),--(Sens!$R$10169:$AA$10169&gt;=Sens!U$10169-tk_life),Sens!$R$10206:$AA$10206)+SUMPRODUCT(--(Sens!$R$10169:$AA$10169&lt;Sens!U$10169),--(Sens!$R$10169:$AA$10169&gt;=Sens!U$10169-tk_life),Sens!$R$10204:$AA$10204))/tk_life</f>
        <v>9.4517007316657</v>
      </c>
      <c r="V10209" s="38" t="n">
        <f aca="false">(SUMPRODUCT(--(Sens!$R$10169:$AA$10169&lt;Sens!V$10169),--(Sens!$R$10169:$AA$10169&gt;=Sens!V$10169-tk_life),Sens!$R$10206:$AA$10206)+SUMPRODUCT(--(Sens!$R$10169:$AA$10169&lt;Sens!V$10169),--(Sens!$R$10169:$AA$10169&gt;=Sens!V$10169-tk_life),Sens!$R$10204:$AA$10204))/tk_life</f>
        <v>27.2822988413376</v>
      </c>
      <c r="W10209" s="38" t="n">
        <f aca="false">(SUMPRODUCT(--(Sens!$R$10169:$AA$10169&lt;Sens!W$10169),--(Sens!$R$10169:$AA$10169&gt;=Sens!W$10169-tk_life),Sens!$R$10206:$AA$10206)+SUMPRODUCT(--(Sens!$R$10169:$AA$10169&lt;Sens!W$10169),--(Sens!$R$10169:$AA$10169&gt;=Sens!W$10169-tk_life),Sens!$R$10204:$AA$10204))/tk_life</f>
        <v>56.5439995605568</v>
      </c>
      <c r="X10209" s="38" t="n">
        <f aca="false">(SUMPRODUCT(--(Sens!$R$10169:$AA$10169&lt;Sens!X$10169),--(Sens!$R$10169:$AA$10169&gt;=Sens!X$10169-tk_life),Sens!$R$10206:$AA$10206)+SUMPRODUCT(--(Sens!$R$10169:$AA$10169&lt;Sens!X$10169),--(Sens!$R$10169:$AA$10169&gt;=Sens!X$10169-tk_life),Sens!$R$10204:$AA$10204))/tk_life</f>
        <v>82.9773143789735</v>
      </c>
      <c r="Y10209" s="38" t="n">
        <f aca="false">(SUMPRODUCT(--(Sens!$R$10169:$AA$10169&lt;Sens!Y$10169),--(Sens!$R$10169:$AA$10169&gt;=Sens!Y$10169-tk_life),Sens!$R$10206:$AA$10206)+SUMPRODUCT(--(Sens!$R$10169:$AA$10169&lt;Sens!Y$10169),--(Sens!$R$10169:$AA$10169&gt;=Sens!Y$10169-tk_life),Sens!$R$10204:$AA$10204))/tk_life</f>
        <v>110.100211099025</v>
      </c>
      <c r="Z10209" s="38" t="n">
        <f aca="false">(SUMPRODUCT(--(Sens!$R$10169:$AA$10169&lt;Sens!Z$10169),--(Sens!$R$10169:$AA$10169&gt;=Sens!Z$10169-tk_life),Sens!$R$10206:$AA$10206)+SUMPRODUCT(--(Sens!$R$10169:$AA$10169&lt;Sens!Z$10169),--(Sens!$R$10169:$AA$10169&gt;=Sens!Z$10169-tk_life),Sens!$R$10204:$AA$10204))/tk_life</f>
        <v>128.810133300177</v>
      </c>
      <c r="AA10209" s="38" t="n">
        <f aca="false">(SUMPRODUCT(--(Sens!$R$10169:$AA$10169&lt;Sens!AA$10169),--(Sens!$R$10169:$AA$10169&gt;=Sens!AA$10169-tk_life),Sens!$R$10206:$AA$10206)+SUMPRODUCT(--(Sens!$R$10169:$AA$10169&lt;Sens!AA$10169),--(Sens!$R$10169:$AA$10169&gt;=Sens!AA$10169-tk_life),Sens!$R$10204:$AA$10204))/tk_life</f>
        <v>139.018680550764</v>
      </c>
    </row>
    <row r="10210" customFormat="false" ht="17.15" hidden="false" customHeight="false" outlineLevel="0" collapsed="false">
      <c r="A10210" s="0" t="s">
        <v>649</v>
      </c>
      <c r="B10210" s="0" t="s">
        <v>86</v>
      </c>
      <c r="C10210" s="38" t="n">
        <f aca="false">Sens!$S$10210</f>
        <v>0.0202511502553155</v>
      </c>
      <c r="D10210" s="38" t="n">
        <f aca="false">Sens!$T$10210</f>
        <v>0.172291150255315</v>
      </c>
      <c r="E10210" s="38" t="n">
        <f aca="false">Sens!$G$10210/2</f>
        <v>0.522364740326067</v>
      </c>
      <c r="F10210" s="38" t="n">
        <f aca="false">Sens!$G$10210/2</f>
        <v>0.522364740326067</v>
      </c>
      <c r="G10210" s="38" t="n">
        <f aca="false">Sens!$U$10210</f>
        <v>1.04472948065213</v>
      </c>
      <c r="H10210" s="38" t="n">
        <f aca="false">Sens!$V$10210</f>
        <v>2.76361866736136</v>
      </c>
      <c r="I10210" s="38" t="n">
        <f aca="false">Sens!$W$10210</f>
        <v>5.42824377125863</v>
      </c>
      <c r="J10210" s="38" t="n">
        <f aca="false">Sens!$X$10210</f>
        <v>7.73057282125864</v>
      </c>
      <c r="K10210" s="38" t="n">
        <f aca="false">Sens!$Y$10210</f>
        <v>10.0329018712586</v>
      </c>
      <c r="L10210" s="38" t="n">
        <f aca="false">Sens!$Z$10210</f>
        <v>11.630293449092</v>
      </c>
      <c r="M10210" s="38" t="n">
        <f aca="false">Sens!$AA$10210</f>
        <v>12.5227475547586</v>
      </c>
      <c r="N10210" s="38" t="n">
        <f aca="false">Sens!$D$10210/2</f>
        <v>0.0861455751276577</v>
      </c>
      <c r="O10210" s="38" t="n">
        <f aca="false">Sens!$D$10210/2</f>
        <v>0.0861455751276577</v>
      </c>
      <c r="R10210" s="38" t="n">
        <f aca="false">(SUMPRODUCT(--(Sens!$R$10169:$AA$10169&lt;Sens!R$10169),Sens!$R$10207:$AA$10207)+SUMPRODUCT(--(Sens!$R$10169:$AA$10169&lt;Sens!R$10169),Sens!$R$10205:$AA$10205))/fac_life</f>
        <v>0</v>
      </c>
      <c r="S10210" s="38" t="n">
        <f aca="false">(SUMPRODUCT(--(Sens!$R$10169:$AA$10169&lt;Sens!S$10169),Sens!$R$10207:$AA$10207)+SUMPRODUCT(--(Sens!$R$10169:$AA$10169&lt;Sens!S$10169),Sens!$R$10205:$AA$10205))/fac_life</f>
        <v>0.0202511502553155</v>
      </c>
      <c r="T10210" s="38" t="n">
        <f aca="false">(SUMPRODUCT(--(Sens!$R$10169:$AA$10169&lt;Sens!T$10169),Sens!$R$10207:$AA$10207)+SUMPRODUCT(--(Sens!$R$10169:$AA$10169&lt;Sens!T$10169),Sens!$R$10205:$AA$10205))/fac_life</f>
        <v>0.172291150255315</v>
      </c>
      <c r="U10210" s="38" t="n">
        <f aca="false">(SUMPRODUCT(--(Sens!$R$10169:$AA$10169&lt;Sens!U$10169),Sens!$R$10207:$AA$10207)+SUMPRODUCT(--(Sens!$R$10169:$AA$10169&lt;Sens!U$10169),Sens!$R$10205:$AA$10205))/fac_life</f>
        <v>1.04472948065213</v>
      </c>
      <c r="V10210" s="38" t="n">
        <f aca="false">(SUMPRODUCT(--(Sens!$R$10169:$AA$10169&lt;Sens!V$10169),Sens!$R$10207:$AA$10207)+SUMPRODUCT(--(Sens!$R$10169:$AA$10169&lt;Sens!V$10169),Sens!$R$10205:$AA$10205))/fac_life</f>
        <v>2.76361866736136</v>
      </c>
      <c r="W10210" s="38" t="n">
        <f aca="false">(SUMPRODUCT(--(Sens!$R$10169:$AA$10169&lt;Sens!W$10169),Sens!$R$10207:$AA$10207)+SUMPRODUCT(--(Sens!$R$10169:$AA$10169&lt;Sens!W$10169),Sens!$R$10205:$AA$10205))/fac_life</f>
        <v>5.42824377125863</v>
      </c>
      <c r="X10210" s="38" t="n">
        <f aca="false">(SUMPRODUCT(--(Sens!$R$10169:$AA$10169&lt;Sens!X$10169),Sens!$R$10207:$AA$10207)+SUMPRODUCT(--(Sens!$R$10169:$AA$10169&lt;Sens!X$10169),Sens!$R$10205:$AA$10205))/fac_life</f>
        <v>7.73057282125864</v>
      </c>
      <c r="Y10210" s="38" t="n">
        <f aca="false">(SUMPRODUCT(--(Sens!$R$10169:$AA$10169&lt;Sens!Y$10169),Sens!$R$10207:$AA$10207)+SUMPRODUCT(--(Sens!$R$10169:$AA$10169&lt;Sens!Y$10169),Sens!$R$10205:$AA$10205))/fac_life</f>
        <v>10.0329018712586</v>
      </c>
      <c r="Z10210" s="38" t="n">
        <f aca="false">(SUMPRODUCT(--(Sens!$R$10169:$AA$10169&lt;Sens!Z$10169),Sens!$R$10207:$AA$10207)+SUMPRODUCT(--(Sens!$R$10169:$AA$10169&lt;Sens!Z$10169),Sens!$R$10205:$AA$10205))/fac_life</f>
        <v>11.630293449092</v>
      </c>
      <c r="AA10210" s="38" t="n">
        <f aca="false">(SUMPRODUCT(--(Sens!$R$10169:$AA$10169&lt;Sens!AA$10169),Sens!$R$10207:$AA$10207)+SUMPRODUCT(--(Sens!$R$10169:$AA$10169&lt;Sens!AA$10169),Sens!$R$10205:$AA$10205))/fac_life</f>
        <v>12.5227475547586</v>
      </c>
    </row>
    <row r="10211" customFormat="false" ht="17.15" hidden="false" customHeight="false" outlineLevel="0" collapsed="false">
      <c r="A10211" s="1" t="s">
        <v>650</v>
      </c>
      <c r="B10211" s="8" t="s">
        <v>86</v>
      </c>
      <c r="C10211" s="38" t="n">
        <f aca="false">Sens!$C$10209+Sens!$C$10210</f>
        <v>0.203463948620839</v>
      </c>
      <c r="D10211" s="38" t="n">
        <f aca="false">Sens!$D$10209+Sens!$D$10210</f>
        <v>1.73101464862084</v>
      </c>
      <c r="E10211" s="38" t="n">
        <f aca="false">Sens!$E$10209+Sens!$E$10210</f>
        <v>5.24821510615892</v>
      </c>
      <c r="F10211" s="38" t="n">
        <f aca="false">Sens!$F$10209+Sens!$F$10210</f>
        <v>5.24821510615892</v>
      </c>
      <c r="G10211" s="38" t="n">
        <f aca="false">Sens!$G$10209+Sens!$G$10210</f>
        <v>10.4964302123178</v>
      </c>
      <c r="H10211" s="38" t="n">
        <f aca="false">Sens!$H$10209+Sens!$H$10210</f>
        <v>30.045917508699</v>
      </c>
      <c r="I10211" s="38" t="n">
        <f aca="false">Sens!$I$10209+Sens!$I$10210</f>
        <v>61.9722433318155</v>
      </c>
      <c r="J10211" s="38" t="n">
        <f aca="false">Sens!$J$10209+Sens!$J$10210</f>
        <v>90.7078872002321</v>
      </c>
      <c r="K10211" s="38" t="n">
        <f aca="false">Sens!$K$10209+Sens!$K$10210</f>
        <v>120.133112970283</v>
      </c>
      <c r="L10211" s="38" t="n">
        <f aca="false">Sens!$L$10209+Sens!$L$10210</f>
        <v>140.440426749269</v>
      </c>
      <c r="M10211" s="38" t="n">
        <f aca="false">Sens!$M$10209+Sens!$M$10210</f>
        <v>151.541428105522</v>
      </c>
      <c r="N10211" s="38" t="n">
        <f aca="false">Sens!$N$10209+Sens!$N$10210</f>
        <v>0.865507324310419</v>
      </c>
      <c r="O10211" s="38" t="n">
        <f aca="false">Sens!$O$10209+Sens!$O$10210</f>
        <v>0.865507324310419</v>
      </c>
      <c r="R10211" s="38" t="n">
        <f aca="false">Sens!$R$10209+Sens!$R$10210</f>
        <v>0</v>
      </c>
      <c r="S10211" s="38" t="n">
        <f aca="false">Sens!$S$10209+Sens!$S$10210</f>
        <v>0.203463948620839</v>
      </c>
      <c r="T10211" s="38" t="n">
        <f aca="false">Sens!$T$10209+Sens!$T$10210</f>
        <v>1.73101464862084</v>
      </c>
      <c r="U10211" s="38" t="n">
        <f aca="false">Sens!$U$10209+Sens!$U$10210</f>
        <v>10.4964302123178</v>
      </c>
      <c r="V10211" s="38" t="n">
        <f aca="false">Sens!$V$10209+Sens!$V$10210</f>
        <v>30.045917508699</v>
      </c>
      <c r="W10211" s="38" t="n">
        <f aca="false">Sens!$W$10209+Sens!$W$10210</f>
        <v>61.9722433318155</v>
      </c>
      <c r="X10211" s="38" t="n">
        <f aca="false">Sens!$X$10209+Sens!$X$10210</f>
        <v>90.7078872002321</v>
      </c>
      <c r="Y10211" s="38" t="n">
        <f aca="false">Sens!$Y$10209+Sens!$Y$10210</f>
        <v>120.133112970283</v>
      </c>
      <c r="Z10211" s="38" t="n">
        <f aca="false">Sens!$Z$10209+Sens!$Z$10210</f>
        <v>140.440426749269</v>
      </c>
      <c r="AA10211" s="38" t="n">
        <f aca="false">Sens!$AA$10209+Sens!$AA$10210</f>
        <v>151.541428105522</v>
      </c>
    </row>
    <row r="10212" customFormat="false" ht="17.15" hidden="false" customHeight="false" outlineLevel="0" collapsed="false">
      <c r="A10212" s="0" t="s">
        <v>651</v>
      </c>
      <c r="B10212" s="0" t="s">
        <v>86</v>
      </c>
      <c r="C10212" s="38" t="n">
        <f aca="false">Sens!$S$10212</f>
        <v>26.578941154416</v>
      </c>
      <c r="D10212" s="38" t="n">
        <f aca="false">Sens!$T$10212</f>
        <v>94.4165581367978</v>
      </c>
      <c r="G10212" s="38" t="n">
        <f aca="false">Sens!$U$10212</f>
        <v>236.826599034204</v>
      </c>
      <c r="H10212" s="38" t="n">
        <f aca="false">Sens!$V$10212</f>
        <v>405.352046470255</v>
      </c>
      <c r="I10212" s="38" t="n">
        <f aca="false">Sens!$W$10212</f>
        <v>548.02627304894</v>
      </c>
      <c r="J10212" s="38" t="n">
        <f aca="false">Sens!$X$10212</f>
        <v>667.201623959208</v>
      </c>
      <c r="K10212" s="38" t="n">
        <f aca="false">Sens!$Y$10212</f>
        <v>699.528939952503</v>
      </c>
      <c r="L10212" s="38" t="n">
        <f aca="false">Sens!$Z$10212</f>
        <v>685.546742219891</v>
      </c>
      <c r="M10212" s="38" t="n">
        <f aca="false">Sens!$AA$10212</f>
        <v>657.902426839353</v>
      </c>
      <c r="R10212" s="38" t="n">
        <f aca="false">SUM(Sens!$R$10199:$R$10199)-SUM(Sens!$R$10211:$R$10211)</f>
        <v>1.50429979529945</v>
      </c>
      <c r="S10212" s="38" t="n">
        <f aca="false">SUM(Sens!$R$10199:$S$10199)-SUM(Sens!$R$10211:$S$10211)</f>
        <v>26.578941154416</v>
      </c>
      <c r="T10212" s="38" t="n">
        <f aca="false">SUM(Sens!$R$10199:$T$10199)-SUM(Sens!$R$10211:$T$10211)</f>
        <v>94.4165581367978</v>
      </c>
      <c r="U10212" s="38" t="n">
        <f aca="false">SUM(Sens!$R$10199:$U$10199)-SUM(Sens!$R$10211:$U$10211)</f>
        <v>236.826599034204</v>
      </c>
      <c r="V10212" s="38" t="n">
        <f aca="false">SUM(Sens!$R$10199:$V$10199)-SUM(Sens!$R$10211:$V$10211)</f>
        <v>405.352046470255</v>
      </c>
      <c r="W10212" s="38" t="n">
        <f aca="false">SUM(Sens!$R$10199:$W$10199)-SUM(Sens!$R$10211:$W$10211)</f>
        <v>548.02627304894</v>
      </c>
      <c r="X10212" s="38" t="n">
        <f aca="false">SUM(Sens!$R$10199:$X$10199)-SUM(Sens!$R$10211:$X$10211)</f>
        <v>667.201623959208</v>
      </c>
      <c r="Y10212" s="38" t="n">
        <f aca="false">SUM(Sens!$R$10199:$Y$10199)-SUM(Sens!$R$10211:$Y$10211)</f>
        <v>699.528939952503</v>
      </c>
      <c r="Z10212" s="38" t="n">
        <f aca="false">SUM(Sens!$R$10199:$Z$10199)-SUM(Sens!$R$10211:$Z$10211)</f>
        <v>685.546742219891</v>
      </c>
      <c r="AA10212" s="38" t="n">
        <f aca="false">SUM(Sens!$R$10199:$AA$10199)-SUM(Sens!$R$10211:$AA$10211)</f>
        <v>657.902426839353</v>
      </c>
    </row>
    <row r="10213" customFormat="false" ht="17.15" hidden="false" customHeight="false" outlineLevel="0" collapsed="false">
      <c r="A10213" s="1" t="s">
        <v>652</v>
      </c>
    </row>
    <row r="10214" customFormat="false" ht="17.15" hidden="false" customHeight="false" outlineLevel="0" collapsed="false">
      <c r="A10214" s="0" t="s">
        <v>653</v>
      </c>
      <c r="B10214" s="0" t="s">
        <v>86</v>
      </c>
      <c r="C10214" s="38" t="n">
        <f aca="false">Sens!$C$10190-ext_sh*Sens!$C$10192</f>
        <v>1.80694998843362</v>
      </c>
      <c r="D10214" s="38" t="n">
        <f aca="false">Sens!$D$10190-ext_sh*Sens!$D$10192</f>
        <v>6.77606245662607</v>
      </c>
      <c r="E10214" s="38" t="n">
        <f aca="false">Sens!$E$10190-ext_sh*Sens!$E$10192</f>
        <v>6.62548329092326</v>
      </c>
      <c r="F10214" s="38" t="n">
        <f aca="false">Sens!$F$10190-ext_sh*Sens!$F$10192</f>
        <v>11.7200577158706</v>
      </c>
      <c r="G10214" s="38" t="n">
        <f aca="false">Sens!$G$10190-ext_sh*Sens!$G$10192</f>
        <v>18.3455410067939</v>
      </c>
      <c r="H10214" s="38" t="n">
        <f aca="false">Sens!$H$10190-ext_sh*Sens!$H$10192</f>
        <v>47.5171727060453</v>
      </c>
      <c r="I10214" s="38" t="n">
        <f aca="false">Sens!$I$10190-ext_sh*Sens!$I$10192</f>
        <v>80.5539692643667</v>
      </c>
      <c r="J10214" s="38" t="n">
        <f aca="false">Sens!$J$10190-ext_sh*Sens!$J$10192</f>
        <v>113.759316834883</v>
      </c>
      <c r="K10214" s="38" t="n">
        <f aca="false">Sens!$K$10190-ext_sh*Sens!$K$10192</f>
        <v>141.855203603144</v>
      </c>
      <c r="L10214" s="38" t="n">
        <f aca="false">Sens!$L$10190-ext_sh*Sens!$L$10192</f>
        <v>159.789055430453</v>
      </c>
      <c r="M10214" s="38" t="n">
        <f aca="false">Sens!$M$10190-ext_sh*Sens!$M$10192</f>
        <v>167.532378081213</v>
      </c>
      <c r="N10214" s="38" t="n">
        <f aca="false">Sens!$N$10190-ext_sh*Sens!$N$10192</f>
        <v>2.37162185981912</v>
      </c>
      <c r="O10214" s="38" t="n">
        <f aca="false">Sens!$O$10190-ext_sh*Sens!$O$10192</f>
        <v>4.40444059680694</v>
      </c>
    </row>
    <row r="10215" customFormat="false" ht="17.15" hidden="false" customHeight="false" outlineLevel="0" collapsed="false">
      <c r="A10215" s="1" t="s">
        <v>654</v>
      </c>
      <c r="B10215" s="8" t="s">
        <v>86</v>
      </c>
      <c r="C10215" s="38" t="n">
        <f aca="false">Sens!$C$10214-ext_sh*Sens!$C$10211</f>
        <v>1.64417882953695</v>
      </c>
      <c r="D10215" s="38" t="n">
        <f aca="false">Sens!$D$10214-ext_sh*Sens!$D$10211</f>
        <v>5.39125073772939</v>
      </c>
      <c r="E10215" s="38" t="n">
        <f aca="false">Sens!$E$10214-ext_sh*Sens!$E$10211</f>
        <v>2.42691120599613</v>
      </c>
      <c r="F10215" s="38" t="n">
        <f aca="false">Sens!$F$10214-ext_sh*Sens!$F$10211</f>
        <v>7.52148563094346</v>
      </c>
      <c r="G10215" s="38" t="n">
        <f aca="false">Sens!$G$10214-ext_sh*Sens!$G$10211</f>
        <v>9.94839683693959</v>
      </c>
      <c r="H10215" s="38" t="n">
        <f aca="false">Sens!$H$10214-ext_sh*Sens!$H$10211</f>
        <v>23.4804386990861</v>
      </c>
      <c r="I10215" s="38" t="n">
        <f aca="false">Sens!$I$10214-ext_sh*Sens!$I$10211</f>
        <v>30.9761745989143</v>
      </c>
      <c r="J10215" s="38" t="n">
        <f aca="false">Sens!$J$10214-ext_sh*Sens!$J$10211</f>
        <v>41.1930070746977</v>
      </c>
      <c r="K10215" s="38" t="n">
        <f aca="false">Sens!$K$10214-ext_sh*Sens!$K$10211</f>
        <v>45.7487132269171</v>
      </c>
      <c r="L10215" s="38" t="n">
        <f aca="false">Sens!$L$10214-ext_sh*Sens!$L$10211</f>
        <v>47.4367140310386</v>
      </c>
      <c r="M10215" s="38" t="n">
        <f aca="false">Sens!$M$10214-ext_sh*Sens!$M$10211</f>
        <v>46.2992355967948</v>
      </c>
      <c r="N10215" s="38" t="n">
        <f aca="false">Sens!$N$10214-ext_sh*Sens!$N$10211</f>
        <v>1.67921600037079</v>
      </c>
      <c r="O10215" s="38" t="n">
        <f aca="false">Sens!$O$10214-ext_sh*Sens!$O$10211</f>
        <v>3.71203473735861</v>
      </c>
    </row>
    <row r="10216" customFormat="false" ht="17.15" hidden="false" customHeight="false" outlineLevel="0" collapsed="false">
      <c r="A10216" s="0" t="s">
        <v>655</v>
      </c>
      <c r="B10216" s="0" t="s">
        <v>52</v>
      </c>
      <c r="C10216" s="13" t="n">
        <f aca="false">Sens!$C$10215/Sens!$C$10190</f>
        <v>0.708390794789371</v>
      </c>
      <c r="D10216" s="13" t="n">
        <f aca="false">Sens!$D$10215/Sens!$D$10190</f>
        <v>0.619415573115729</v>
      </c>
      <c r="E10216" s="13" t="n">
        <f aca="false">Sens!$E$10215/Sens!$E$10190</f>
        <v>0.285171627189009</v>
      </c>
      <c r="F10216" s="13" t="n">
        <f aca="false">Sens!$F$10215/Sens!$F$10190</f>
        <v>0.502657732812366</v>
      </c>
      <c r="G10216" s="13" t="n">
        <f aca="false">Sens!$G$10215/Sens!$G$10190</f>
        <v>0.423808778611812</v>
      </c>
      <c r="H10216" s="13" t="n">
        <f aca="false">Sens!$H$10215/Sens!$H$10190</f>
        <v>0.390261631739809</v>
      </c>
      <c r="I10216" s="13" t="n">
        <f aca="false">Sens!$I$10215/Sens!$I$10190</f>
        <v>0.305172864264572</v>
      </c>
      <c r="J10216" s="13" t="n">
        <f aca="false">Sens!$J$10215/Sens!$J$10190</f>
        <v>0.288011814789856</v>
      </c>
      <c r="K10216" s="13" t="n">
        <f aca="false">Sens!$K$10215/Sens!$K$10190</f>
        <v>0.256781372309587</v>
      </c>
      <c r="L10216" s="13" t="n">
        <f aca="false">Sens!$L$10215/Sens!$L$10190</f>
        <v>0.236484872592048</v>
      </c>
      <c r="M10216" s="13" t="n">
        <f aca="false">Sens!$M$10215/Sens!$M$10190</f>
        <v>0.220178275964369</v>
      </c>
      <c r="N10216" s="13" t="n">
        <f aca="false">Sens!$N$10215/Sens!$N$10190</f>
        <v>0.551227795793364</v>
      </c>
      <c r="O10216" s="13" t="n">
        <f aca="false">Sens!$O$10215/Sens!$O$10190</f>
        <v>0.656132068597002</v>
      </c>
    </row>
    <row r="10217" customFormat="false" ht="17.15" hidden="false" customHeight="false" outlineLevel="0" collapsed="false">
      <c r="A10217" s="5" t="s">
        <v>656</v>
      </c>
      <c r="B10217" s="0" t="s">
        <v>86</v>
      </c>
      <c r="C10217" s="39" t="n">
        <v>0</v>
      </c>
      <c r="D10217" s="39" t="n">
        <v>0</v>
      </c>
      <c r="E10217" s="39" t="n">
        <v>0</v>
      </c>
      <c r="F10217" s="38" t="n">
        <f aca="false">IF(internal_ai_reading=2,1,0)*(1-ext_sh)/ext_sh*(mw_open*he_open+Sens!$F$10188*Sens!$F$10185)*Sens!$F$10174/1000</f>
        <v>3.77122048175818</v>
      </c>
      <c r="G10217" s="38" t="n">
        <f aca="false">Sens!$E$10217+Sens!$F$10217</f>
        <v>3.77122048175818</v>
      </c>
      <c r="H10217" s="38" t="n">
        <f aca="false">IF(internal_ai_reading=2,1,0)*(1-ext_sh)/ext_sh*(mw_open*he_open+Sens!$H$10188*Sens!$H$10185)*Sens!$H$10174/1000</f>
        <v>15.1635543609893</v>
      </c>
      <c r="I10217" s="38" t="n">
        <f aca="false">IF(internal_ai_reading=2,1,0)*(1-ext_sh)/ext_sh*(mw_open*he_open+Sens!$I$10188*Sens!$I$10185)*Sens!$I$10174/1000</f>
        <v>25.5818843619889</v>
      </c>
      <c r="J10217" s="38" t="n">
        <f aca="false">IF(internal_ai_reading=2,1,0)*(1-ext_sh)/ext_sh*(mw_open*he_open+Sens!$J$10188*Sens!$J$10185)*Sens!$J$10174/1000</f>
        <v>36.0465624179122</v>
      </c>
      <c r="K10217" s="38" t="n">
        <f aca="false">IF(internal_ai_reading=2,1,0)*(1-ext_sh)/ext_sh*(mw_open*he_open+Sens!$K$10188*Sens!$K$10185)*Sens!$K$10174/1000</f>
        <v>44.9020355557576</v>
      </c>
      <c r="L10217" s="38" t="n">
        <f aca="false">IF(internal_ai_reading=2,1,0)*(1-ext_sh)/ext_sh*(mw_open*he_open+Sens!$L$10188*Sens!$L$10185)*Sens!$L$10174/1000</f>
        <v>50.55474151763</v>
      </c>
      <c r="M10217" s="38" t="n">
        <f aca="false">IF(internal_ai_reading=2,1,0)*(1-ext_sh)/ext_sh*(mw_open*he_open+Sens!$M$10188*Sens!$M$10185)*Sens!$M$10174/1000</f>
        <v>52.9968449759368</v>
      </c>
      <c r="N10217" s="39" t="n">
        <v>0</v>
      </c>
      <c r="O10217" s="39" t="n">
        <v>0</v>
      </c>
      <c r="P10217" s="8" t="s">
        <v>657</v>
      </c>
    </row>
    <row r="10218" customFormat="false" ht="17.15" hidden="false" customHeight="false" outlineLevel="0" collapsed="false">
      <c r="A10218" s="5" t="s">
        <v>658</v>
      </c>
      <c r="B10218" s="0" t="s">
        <v>86</v>
      </c>
      <c r="C10218" s="38" t="n">
        <f aca="false">(1-ext_sh)*(Sens!$C$10192+Sens!$C$10211)</f>
        <v>0.169206631859174</v>
      </c>
      <c r="D10218" s="38" t="n">
        <f aca="false">(1-ext_sh)*(Sens!$D$10192+Sens!$D$10211)</f>
        <v>0.828129837730442</v>
      </c>
      <c r="E10218" s="38" t="n">
        <f aca="false">(1-ext_sh)*(Sens!$E$10192+Sens!$E$10211)</f>
        <v>1.52086044239347</v>
      </c>
      <c r="F10218" s="38" t="n">
        <f aca="false">(1-ext_sh)*(Sens!$F$10192+Sens!$F$10211)</f>
        <v>1.86048700344425</v>
      </c>
      <c r="G10218" s="38" t="n">
        <f aca="false">(1-ext_sh)*(Sens!$G$10192+Sens!$G$10211)</f>
        <v>3.38134744583772</v>
      </c>
      <c r="H10218" s="38" t="n">
        <f aca="false">(1-ext_sh)*(Sens!$H$10192+Sens!$H$10211)</f>
        <v>9.17136301267211</v>
      </c>
      <c r="I10218" s="38" t="n">
        <f aca="false">(1-ext_sh)*(Sens!$I$10192+Sens!$I$10211)</f>
        <v>17.6318811343794</v>
      </c>
      <c r="J10218" s="38" t="n">
        <f aca="false">(1-ext_sh)*(Sens!$J$10192+Sens!$J$10211)</f>
        <v>25.4581000191451</v>
      </c>
      <c r="K10218" s="38" t="n">
        <f aca="false">(1-ext_sh)*(Sens!$K$10192+Sens!$K$10211)</f>
        <v>33.1033512646296</v>
      </c>
      <c r="L10218" s="38" t="n">
        <f aca="false">(1-ext_sh)*(Sens!$L$10192+Sens!$L$10211)</f>
        <v>38.2885471280255</v>
      </c>
      <c r="M10218" s="38" t="n">
        <f aca="false">(1-ext_sh)*(Sens!$M$10192+Sens!$M$10211)</f>
        <v>40.9953588364767</v>
      </c>
      <c r="N10218" s="38" t="n">
        <f aca="false">(1-ext_sh)*(Sens!$N$10192+Sens!$N$10211)</f>
        <v>0.34177588266428</v>
      </c>
      <c r="O10218" s="38" t="n">
        <f aca="false">(1-ext_sh)*(Sens!$O$10192+Sens!$O$10211)</f>
        <v>0.486353955066162</v>
      </c>
    </row>
    <row r="10219" customFormat="false" ht="17.15" hidden="false" customHeight="false" outlineLevel="0" collapsed="false">
      <c r="A10219" s="0" t="s">
        <v>659</v>
      </c>
      <c r="B10219" s="0" t="s">
        <v>86</v>
      </c>
      <c r="C10219" s="38" t="n">
        <f aca="false">Q!$D$24</f>
        <v>39.834</v>
      </c>
      <c r="D10219" s="38" t="n">
        <f aca="false">Q!$E$24</f>
        <v>45.606</v>
      </c>
      <c r="E10219" s="38" t="n">
        <f aca="false">Q!$P$24</f>
        <v>30.782</v>
      </c>
      <c r="N10219" s="38" t="n">
        <f aca="false">Q!$N$24</f>
        <v>21.707</v>
      </c>
      <c r="O10219" s="38" t="n">
        <f aca="false">Q!$O$24</f>
        <v>23.899</v>
      </c>
    </row>
    <row r="10220" customFormat="false" ht="17.15" hidden="false" customHeight="false" outlineLevel="0" collapsed="false">
      <c r="A10220" s="0" t="s">
        <v>660</v>
      </c>
      <c r="B10220" s="0" t="s">
        <v>86</v>
      </c>
      <c r="C10220" s="38" t="n">
        <f aca="false">Sens!$C$10219-Sens!$C$10215</f>
        <v>38.1898211704631</v>
      </c>
      <c r="D10220" s="38" t="n">
        <f aca="false">Sens!$D$10219-Sens!$D$10215</f>
        <v>40.2147492622706</v>
      </c>
      <c r="E10220" s="38" t="n">
        <f aca="false">Sens!$E$10219-Sens!$E$10215</f>
        <v>28.3550887940039</v>
      </c>
      <c r="F10220" s="38" t="n">
        <f aca="false">Sens!$F$10194*Sens!$F$10221</f>
        <v>25.9529793149447</v>
      </c>
      <c r="G10220" s="38" t="n">
        <f aca="false">Sens!$E$10220+Sens!$F$10220</f>
        <v>54.3080681089486</v>
      </c>
      <c r="H10220" s="38" t="n">
        <f aca="false">Sens!$H$10194*Sens!$H$10221</f>
        <v>58.2264684589333</v>
      </c>
      <c r="I10220" s="38" t="n">
        <f aca="false">Sens!$I$10194*Sens!$I$10221</f>
        <v>64.6461353851744</v>
      </c>
      <c r="J10220" s="38" t="n">
        <f aca="false">Sens!$J$10194*Sens!$J$10221</f>
        <v>70.7957093610231</v>
      </c>
      <c r="K10220" s="38" t="n">
        <f aca="false">Sens!$K$10194*Sens!$K$10221</f>
        <v>76.4593661099049</v>
      </c>
      <c r="L10220" s="38" t="n">
        <f aca="false">Sens!$L$10194*Sens!$L$10221</f>
        <v>82.5761153986973</v>
      </c>
      <c r="M10220" s="38" t="n">
        <f aca="false">Sens!$M$10194*Sens!$M$10221</f>
        <v>89.1822046305931</v>
      </c>
      <c r="N10220" s="38" t="n">
        <f aca="false">Sens!$N$10219-Sens!$N$10215</f>
        <v>20.0277839996292</v>
      </c>
      <c r="O10220" s="38" t="n">
        <f aca="false">Sens!$O$10219-Sens!$O$10215</f>
        <v>20.1869652626414</v>
      </c>
      <c r="P10220" s="5" t="s">
        <v>661</v>
      </c>
    </row>
    <row r="10221" customFormat="false" ht="17.15" hidden="false" customHeight="false" outlineLevel="0" collapsed="false">
      <c r="A10221" s="0" t="s">
        <v>662</v>
      </c>
      <c r="B10221" s="0" t="s">
        <v>52</v>
      </c>
      <c r="C10221" s="13" t="n">
        <f aca="false">Sens!$C$10220/Sens!$C$10194</f>
        <v>0.362900395443635</v>
      </c>
      <c r="D10221" s="13" t="n">
        <f aca="false">Sens!$D$10220/Sens!$D$10194</f>
        <v>0.335063632425483</v>
      </c>
      <c r="E10221" s="13" t="n">
        <f aca="false">Sens!$E$10220/Sens!$E$10194</f>
        <v>0.397638855555478</v>
      </c>
      <c r="F10221" s="13" t="n">
        <f aca="false">(Sens!$O$10220+Sens!$E$10220)/(Sens!$O$10194+Sens!$E$10194)</f>
        <v>0.361616727338133</v>
      </c>
      <c r="G10221" s="13" t="n">
        <f aca="false">Sens!$G$10220/Sens!$G$10194</f>
        <v>0.379569803149143</v>
      </c>
      <c r="H10221" s="13" t="n">
        <f aca="false">Sens!$F$10221</f>
        <v>0.361616727338133</v>
      </c>
      <c r="I10221" s="13" t="n">
        <f aca="false">Sens!$F$10221</f>
        <v>0.361616727338133</v>
      </c>
      <c r="J10221" s="13" t="n">
        <f aca="false">Sens!$F$10221</f>
        <v>0.361616727338133</v>
      </c>
      <c r="K10221" s="13" t="n">
        <f aca="false">Sens!$F$10221</f>
        <v>0.361616727338133</v>
      </c>
      <c r="L10221" s="13" t="n">
        <f aca="false">Sens!$F$10221</f>
        <v>0.361616727338133</v>
      </c>
      <c r="M10221" s="13" t="n">
        <f aca="false">Sens!$F$10221</f>
        <v>0.361616727338133</v>
      </c>
      <c r="N10221" s="13" t="n">
        <f aca="false">Sens!$N$10220/Sens!$N$10194</f>
        <v>0.35078810535806</v>
      </c>
      <c r="O10221" s="13" t="n">
        <f aca="false">Sens!$O$10220/Sens!$O$10194</f>
        <v>0.320796939361619</v>
      </c>
      <c r="P10221" s="8" t="s">
        <v>663</v>
      </c>
    </row>
    <row r="10222" customFormat="false" ht="17.15" hidden="false" customHeight="false" outlineLevel="0" collapsed="false">
      <c r="A10222" s="0" t="s">
        <v>664</v>
      </c>
      <c r="B10222" s="0" t="s">
        <v>52</v>
      </c>
      <c r="D10222" s="13" t="n">
        <f aca="false">(Q!$E$31-ext_sh*Sens!$D$10211)/Sens!$D$10194</f>
        <v>0.167180325480118</v>
      </c>
    </row>
    <row r="10223" customFormat="false" ht="17.15" hidden="false" customHeight="false" outlineLevel="0" collapsed="false">
      <c r="A10223" s="0" t="s">
        <v>665</v>
      </c>
      <c r="B10223" s="0" t="s">
        <v>86</v>
      </c>
      <c r="C10223" s="38" t="n">
        <f aca="false">Q!$D$31</f>
        <v>13.32</v>
      </c>
      <c r="D10223" s="38" t="n">
        <f aca="false">Q!$E$31</f>
        <v>21.45</v>
      </c>
      <c r="E10223" s="38" t="n">
        <f aca="false">Q!$P$31</f>
        <v>15.353</v>
      </c>
      <c r="F10223" s="38" t="n">
        <f aca="false">ext_sh*Sens!$F$10211+Sens!$D$10222*Sens!$F$10194</f>
        <v>16.1969869840094</v>
      </c>
      <c r="G10223" s="38" t="n">
        <f aca="false">Sens!$E$10223+Sens!$F$10223</f>
        <v>31.5499869840094</v>
      </c>
      <c r="H10223" s="38" t="n">
        <f aca="false">ext_sh*Sens!$H$10211+Sens!$D$10222*Sens!$H$10194</f>
        <v>50.9556213609176</v>
      </c>
      <c r="I10223" s="38" t="n">
        <f aca="false">ext_sh*Sens!$I$10211+Sens!$D$10222*Sens!$I$10194</f>
        <v>79.464581248252</v>
      </c>
      <c r="J10223" s="38" t="n">
        <f aca="false">ext_sh*Sens!$J$10211+Sens!$D$10222*Sens!$J$10194</f>
        <v>105.296127931746</v>
      </c>
      <c r="K10223" s="38" t="n">
        <f aca="false">ext_sh*Sens!$K$10211+Sens!$D$10222*Sens!$K$10194</f>
        <v>131.454694001511</v>
      </c>
      <c r="L10223" s="38" t="n">
        <f aca="false">ext_sh*Sens!$L$10211+Sens!$D$10222*Sens!$L$10194</f>
        <v>150.528401314722</v>
      </c>
      <c r="M10223" s="38" t="n">
        <f aca="false">ext_sh*Sens!$M$10211+Sens!$D$10222*Sens!$M$10194</f>
        <v>162.46328719295</v>
      </c>
      <c r="N10223" s="38" t="n">
        <f aca="false">Q!$N$31</f>
        <v>9.234</v>
      </c>
      <c r="O10223" s="38" t="n">
        <f aca="false">Q!$O$31</f>
        <v>12.216</v>
      </c>
    </row>
    <row r="10224" customFormat="false" ht="17.15" hidden="false" customHeight="false" outlineLevel="0" collapsed="false">
      <c r="A10224" s="1" t="s">
        <v>666</v>
      </c>
    </row>
    <row r="10225" customFormat="false" ht="17.15" hidden="false" customHeight="false" outlineLevel="0" collapsed="false">
      <c r="A10225" s="15" t="s">
        <v>667</v>
      </c>
      <c r="B10225" s="14" t="s">
        <v>52</v>
      </c>
      <c r="C10225" s="14"/>
      <c r="D10225" s="14"/>
      <c r="E10225" s="14"/>
      <c r="F10225" s="14"/>
      <c r="G10225" s="17" t="n">
        <f aca="false">Sens!$G$10215*(1-tax)/(ext_sh*(Sens!$D$10212+Sens!$G$10212)/2)</f>
        <v>0.0620504069546486</v>
      </c>
      <c r="H10225" s="17" t="n">
        <f aca="false">Sens!$H$10215*(1-tax)/(ext_sh*(Sens!$G$10212+Sens!$H$10212)/2)</f>
        <v>0.0755420551527686</v>
      </c>
      <c r="I10225" s="17" t="n">
        <f aca="false">Sens!$I$10215*(1-tax)/(ext_sh*(Sens!$H$10212+Sens!$I$10212)/2)</f>
        <v>0.067127575356291</v>
      </c>
      <c r="J10225" s="17" t="n">
        <f aca="false">Sens!$J$10215*(1-tax)/(ext_sh*(Sens!$I$10212+Sens!$J$10212)/2)</f>
        <v>0.0700332392906535</v>
      </c>
      <c r="K10225" s="17" t="n">
        <f aca="false">Sens!$K$10215*(1-tax)/(ext_sh*(Sens!$J$10212+Sens!$K$10212)/2)</f>
        <v>0.0691567260881567</v>
      </c>
      <c r="L10225" s="17" t="n">
        <f aca="false">Sens!$L$10215*(1-tax)/(ext_sh*(Sens!$K$10212+Sens!$L$10212)/2)</f>
        <v>0.0707586505670534</v>
      </c>
      <c r="M10225" s="17" t="n">
        <f aca="false">Sens!$M$10215*(1-tax)/(ext_sh*(Sens!$L$10212+Sens!$M$10212)/2)</f>
        <v>0.0712018094618408</v>
      </c>
      <c r="N10225" s="14"/>
      <c r="O10225" s="14"/>
      <c r="P10225" s="8" t="s">
        <v>668</v>
      </c>
    </row>
    <row r="10226" customFormat="false" ht="17.15" hidden="false" customHeight="false" outlineLevel="0" collapsed="false">
      <c r="A10226" s="5" t="s">
        <v>669</v>
      </c>
      <c r="B10226" s="0" t="s">
        <v>57</v>
      </c>
      <c r="H10226" s="36" t="n">
        <f aca="false">Sens!$H$10190*1000/(mw_open*he_open+Sens!$H$10188*Sens!$H$10185)</f>
        <v>0.991949006767191</v>
      </c>
      <c r="I10226" s="36" t="n">
        <f aca="false">Sens!$I$10190*1000/(mw_open*he_open+Sens!$I$10188*Sens!$I$10185)</f>
        <v>0.991949006767191</v>
      </c>
      <c r="J10226" s="36" t="n">
        <f aca="false">Sens!$J$10190*1000/(mw_open*he_open+Sens!$J$10188*Sens!$J$10185)</f>
        <v>0.991949006767191</v>
      </c>
      <c r="K10226" s="36" t="n">
        <f aca="false">Sens!$K$10190*1000/(mw_open*he_open+Sens!$K$10188*Sens!$K$10185)</f>
        <v>0.991949006767191</v>
      </c>
      <c r="L10226" s="36" t="n">
        <f aca="false">Sens!$L$10190*1000/(mw_open*he_open+Sens!$L$10188*Sens!$L$10185)</f>
        <v>0.991949006767191</v>
      </c>
      <c r="M10226" s="36" t="n">
        <f aca="false">Sens!$M$10190*1000/(mw_open*he_open+Sens!$M$10188*Sens!$M$10185)</f>
        <v>0.991949006767191</v>
      </c>
    </row>
    <row r="10227" customFormat="false" ht="17.15" hidden="false" customHeight="false" outlineLevel="0" collapsed="false">
      <c r="A10227" s="5" t="s">
        <v>670</v>
      </c>
      <c r="B10227" s="0" t="s">
        <v>57</v>
      </c>
      <c r="H10227" s="36" t="n">
        <f aca="false">Sens!$H$10226*(Sens!$H$10190+(wacc+0.01)*ext_sh*(Sens!$G$10212+Sens!$H$10212)/2/(1-tax)-Sens!$H$10215)/Sens!$H$10190</f>
        <v>1.23667415484871</v>
      </c>
      <c r="I10227" s="36" t="n">
        <f aca="false">Sens!$I$10226*(Sens!$I$10190+(wacc+0.01)*ext_sh*(Sens!$H$10212+Sens!$I$10212)/2/(1-tax)-Sens!$I$10215)/Sens!$I$10190</f>
        <v>1.24525038002681</v>
      </c>
      <c r="J10227" s="36" t="n">
        <f aca="false">Sens!$J$10226*(Sens!$J$10190+(wacc+0.01)*ext_sh*(Sens!$I$10212+Sens!$J$10212)/2/(1-tax)-Sens!$J$10215)/Sens!$J$10190</f>
        <v>1.2092344889586</v>
      </c>
      <c r="K10227" s="36" t="n">
        <f aca="false">Sens!$K$10226*(Sens!$K$10190+(wacc+0.01)*ext_sh*(Sens!$J$10212+Sens!$K$10212)/2/(1-tax)-Sens!$K$10215)/Sens!$K$10190</f>
        <v>1.19135686880493</v>
      </c>
      <c r="L10227" s="36" t="n">
        <f aca="false">Sens!$L$10226*(Sens!$L$10190+(wacc+0.01)*ext_sh*(Sens!$K$10212+Sens!$L$10212)/2/(1-tax)-Sens!$L$10215)/Sens!$L$10190</f>
        <v>1.16612692264301</v>
      </c>
      <c r="M10227" s="36" t="n">
        <f aca="false">Sens!$M$10226*(Sens!$M$10190+(wacc+0.01)*ext_sh*(Sens!$L$10212+Sens!$M$10212)/2/(1-tax)-Sens!$M$10215)/Sens!$M$10190</f>
        <v>1.15174796310927</v>
      </c>
    </row>
    <row r="10228" customFormat="false" ht="17.15" hidden="false" customHeight="false" outlineLevel="0" collapsed="false">
      <c r="A10228" s="5" t="s">
        <v>671</v>
      </c>
      <c r="B10228" s="0" t="s">
        <v>52</v>
      </c>
      <c r="C10228" s="13" t="n">
        <f aca="false">Sens!$C$10191/tk_pq</f>
        <v>0.195316432429398</v>
      </c>
      <c r="D10228" s="13" t="n">
        <f aca="false">Sens!$D$10191/tk_pq</f>
        <v>0.195316432429398</v>
      </c>
      <c r="E10228" s="13" t="n">
        <f aca="false">Sens!$E$10191/tk_pq</f>
        <v>0.195316432429398</v>
      </c>
      <c r="F10228" s="13" t="n">
        <f aca="false">Sens!$F$10191/tk_pq</f>
        <v>0.202241827274866</v>
      </c>
      <c r="G10228" s="13" t="n">
        <f aca="false">Sens!$G$10191/tk_pq</f>
        <v>0.199675016194063</v>
      </c>
      <c r="H10228" s="13" t="n">
        <f aca="false">Sens!$H$10191/tk_pq</f>
        <v>0.212647947710325</v>
      </c>
      <c r="I10228" s="13" t="n">
        <f aca="false">Sens!$I$10191/tk_pq</f>
        <v>0.219285125475351</v>
      </c>
      <c r="J10228" s="13" t="n">
        <f aca="false">Sens!$J$10191/tk_pq</f>
        <v>0.222492493217189</v>
      </c>
      <c r="K10228" s="13" t="n">
        <f aca="false">Sens!$K$10191/tk_pq</f>
        <v>0.224037965623446</v>
      </c>
      <c r="L10228" s="13" t="n">
        <f aca="false">Sens!$L$10191/tk_pq</f>
        <v>0.224743186755999</v>
      </c>
      <c r="M10228" s="13" t="n">
        <f aca="false">Sens!$M$10191/tk_pq</f>
        <v>0.224962001824354</v>
      </c>
      <c r="N10228" s="13" t="n">
        <f aca="false">Sens!$N$10191/tk_pq</f>
        <v>0.195316432429398</v>
      </c>
      <c r="O10228" s="13" t="n">
        <f aca="false">Sens!$O$10191/tk_pq</f>
        <v>0.195316432429398</v>
      </c>
      <c r="P10228" s="5" t="s">
        <v>672</v>
      </c>
    </row>
    <row r="10231" customFormat="false" ht="17.15" hidden="false" customHeight="false" outlineLevel="0" collapsed="false">
      <c r="A10231" s="1" t="s">
        <v>701</v>
      </c>
    </row>
    <row r="10232" customFormat="false" ht="17.15" hidden="false" customHeight="false" outlineLevel="0" collapsed="false">
      <c r="A10232" s="0" t="s">
        <v>702</v>
      </c>
      <c r="B10232" s="0" t="s">
        <v>86</v>
      </c>
      <c r="C10232" s="38" t="n">
        <f aca="false">Sens!$C$10190</f>
        <v>2.32100535697364</v>
      </c>
      <c r="D10232" s="38" t="n">
        <f aca="false">Sens!$D$10190</f>
        <v>8.70377008865116</v>
      </c>
      <c r="E10232" s="38" t="n">
        <f aca="false">Sens!$E$10190</f>
        <v>8.51035297557002</v>
      </c>
      <c r="F10232" s="38" t="n">
        <f aca="false">Sens!$F$10190</f>
        <v>14.9634336447205</v>
      </c>
      <c r="G10232" s="38" t="n">
        <f aca="false">Sens!$G$10190</f>
        <v>23.4737866202905</v>
      </c>
      <c r="H10232" s="38" t="n">
        <f aca="false">Sens!$H$10190</f>
        <v>60.1658907497746</v>
      </c>
      <c r="I10232" s="38" t="n">
        <f aca="false">Sens!$I$10190</f>
        <v>101.503699136432</v>
      </c>
      <c r="J10232" s="38" t="n">
        <f aca="false">Sens!$J$10190</f>
        <v>143.025407151278</v>
      </c>
      <c r="K10232" s="38" t="n">
        <f aca="false">Sens!$K$10190</f>
        <v>178.162118285436</v>
      </c>
      <c r="L10232" s="38" t="n">
        <f aca="false">Sens!$L$10190</f>
        <v>200.590902543141</v>
      </c>
      <c r="M10232" s="38" t="n">
        <f aca="false">Sens!$M$10190</f>
        <v>210.280670942702</v>
      </c>
      <c r="N10232" s="38" t="n">
        <f aca="false">Sens!$N$10190</f>
        <v>3.04631953102791</v>
      </c>
      <c r="O10232" s="38" t="n">
        <f aca="false">Sens!$O$10190</f>
        <v>5.65745055762326</v>
      </c>
      <c r="P10232" s="8" t="s">
        <v>703</v>
      </c>
    </row>
    <row r="10233" customFormat="false" ht="17.15" hidden="false" customHeight="false" outlineLevel="0" collapsed="false">
      <c r="A10233" s="0" t="s">
        <v>704</v>
      </c>
      <c r="B10233" s="0" t="s">
        <v>86</v>
      </c>
      <c r="C10233" s="38" t="n">
        <f aca="false">Sens!$C$10194</f>
        <v>105.234994643026</v>
      </c>
      <c r="D10233" s="38" t="n">
        <f aca="false">Sens!$D$10194</f>
        <v>120.021229911349</v>
      </c>
      <c r="E10233" s="38" t="n">
        <f aca="false">Sens!$E$10194</f>
        <v>71.30864702443</v>
      </c>
      <c r="F10233" s="38" t="n">
        <f aca="false">Sens!$F$10194</f>
        <v>71.7692997942464</v>
      </c>
      <c r="G10233" s="38" t="n">
        <f aca="false">Sens!$G$10194</f>
        <v>143.077946818676</v>
      </c>
      <c r="H10233" s="38" t="n">
        <f aca="false">Sens!$H$10194</f>
        <v>161.017077079203</v>
      </c>
      <c r="I10233" s="38" t="n">
        <f aca="false">Sens!$I$10194</f>
        <v>178.769759521457</v>
      </c>
      <c r="J10233" s="38" t="n">
        <f aca="false">Sens!$J$10194</f>
        <v>195.775538045907</v>
      </c>
      <c r="K10233" s="38" t="n">
        <f aca="false">Sens!$K$10194</f>
        <v>211.43758108958</v>
      </c>
      <c r="L10233" s="38" t="n">
        <f aca="false">Sens!$L$10194</f>
        <v>228.352587576746</v>
      </c>
      <c r="M10233" s="38" t="n">
        <f aca="false">Sens!$M$10194</f>
        <v>246.620794582886</v>
      </c>
      <c r="N10233" s="38" t="n">
        <f aca="false">Sens!$N$10194</f>
        <v>57.0936804689721</v>
      </c>
      <c r="O10233" s="38" t="n">
        <f aca="false">Sens!$O$10194</f>
        <v>62.9275494423768</v>
      </c>
      <c r="P10233" s="8" t="s">
        <v>703</v>
      </c>
    </row>
    <row r="10234" customFormat="false" ht="17.15" hidden="false" customHeight="false" outlineLevel="0" collapsed="false">
      <c r="A10234" s="1" t="s">
        <v>523</v>
      </c>
      <c r="B10234" s="8" t="s">
        <v>86</v>
      </c>
      <c r="C10234" s="38" t="n">
        <f aca="false">Q!$D$7</f>
        <v>107.556</v>
      </c>
      <c r="D10234" s="38" t="n">
        <f aca="false">Q!$E$7</f>
        <v>128.725</v>
      </c>
      <c r="E10234" s="38" t="n">
        <f aca="false">Q!$P$7</f>
        <v>79.819</v>
      </c>
      <c r="F10234" s="38" t="n">
        <f aca="false">Sens!$F$10232+Sens!$F$10233</f>
        <v>86.7327334389669</v>
      </c>
      <c r="G10234" s="38" t="n">
        <f aca="false">Sens!$G$10232+Sens!$G$10233</f>
        <v>166.551733438967</v>
      </c>
      <c r="H10234" s="38" t="n">
        <f aca="false">Sens!$H$10232+Sens!$H$10233</f>
        <v>221.182967828978</v>
      </c>
      <c r="I10234" s="38" t="n">
        <f aca="false">Sens!$I$10232+Sens!$I$10233</f>
        <v>280.27345865789</v>
      </c>
      <c r="J10234" s="38" t="n">
        <f aca="false">Sens!$J$10232+Sens!$J$10233</f>
        <v>338.800945197185</v>
      </c>
      <c r="K10234" s="38" t="n">
        <f aca="false">Sens!$K$10232+Sens!$K$10233</f>
        <v>389.599699375015</v>
      </c>
      <c r="L10234" s="38" t="n">
        <f aca="false">Sens!$L$10232+Sens!$L$10233</f>
        <v>428.943490119887</v>
      </c>
      <c r="M10234" s="38" t="n">
        <f aca="false">Sens!$M$10232+Sens!$M$10233</f>
        <v>456.901465525587</v>
      </c>
      <c r="N10234" s="38" t="n">
        <f aca="false">Q!$N$7</f>
        <v>60.14</v>
      </c>
      <c r="O10234" s="38" t="n">
        <f aca="false">Q!$O$7</f>
        <v>68.585</v>
      </c>
      <c r="P10234" s="5" t="s">
        <v>705</v>
      </c>
    </row>
    <row r="10235" customFormat="false" ht="15" hidden="false" customHeight="false" outlineLevel="0" collapsed="false">
      <c r="A10235" s="3" t="s">
        <v>706</v>
      </c>
      <c r="B10235" s="8" t="s">
        <v>86</v>
      </c>
      <c r="C10235" s="38" t="n">
        <f aca="false">Q!$D$8</f>
        <v>637.959</v>
      </c>
      <c r="D10235" s="38" t="n">
        <f aca="false">Q!$E$8</f>
        <v>716.924</v>
      </c>
      <c r="E10235" s="38" t="n">
        <f aca="false">Q!$P$8</f>
        <v>382.125</v>
      </c>
      <c r="F10235" s="38" t="n">
        <f aca="false">Sens!$F$10162+Sens!$F$10234</f>
        <v>435.780975084504</v>
      </c>
      <c r="G10235" s="38" t="n">
        <f aca="false">Sens!$G$10162+Sens!$G$10234</f>
        <v>817.905975084504</v>
      </c>
      <c r="H10235" s="38" t="n">
        <f aca="false">Sens!$H$10162+Sens!$H$10234</f>
        <v>942.279857350364</v>
      </c>
      <c r="I10235" s="38" t="n">
        <f aca="false">Sens!$I$10162+Sens!$I$10234</f>
        <v>1068.80284981042</v>
      </c>
      <c r="J10235" s="38" t="n">
        <f aca="false">Sens!$J$10162+Sens!$J$10234</f>
        <v>1189.90935093863</v>
      </c>
      <c r="K10235" s="38" t="n">
        <f aca="false">Sens!$K$10162+Sens!$K$10234</f>
        <v>1295.7761548061</v>
      </c>
      <c r="L10235" s="38" t="n">
        <f aca="false">Sens!$L$10162+Sens!$L$10234</f>
        <v>1394.03659659548</v>
      </c>
      <c r="M10235" s="38" t="n">
        <f aca="false">Sens!$M$10162+Sens!$M$10234</f>
        <v>1485.04937347247</v>
      </c>
      <c r="N10235" s="38" t="n">
        <f aca="false">Q!$N$8</f>
        <v>323.369</v>
      </c>
      <c r="O10235" s="38" t="n">
        <f aca="false">Q!$O$8</f>
        <v>393.555</v>
      </c>
    </row>
    <row r="10236" customFormat="false" ht="17.15" hidden="false" customHeight="false" outlineLevel="0" collapsed="false">
      <c r="A10236" s="24" t="s">
        <v>714</v>
      </c>
      <c r="B10236" s="25" t="s">
        <v>86</v>
      </c>
      <c r="C10236" s="41" t="n">
        <f aca="false">Sens!$C$10162-(Sens!$C$10164+Sens!$C$10165)</f>
        <v>0</v>
      </c>
      <c r="D10236" s="41" t="n">
        <f aca="false">Sens!$D$10162-(Sens!$D$10164+Sens!$D$10165)</f>
        <v>0</v>
      </c>
      <c r="E10236" s="41" t="n">
        <f aca="false">Sens!$E$10162-(Sens!$E$10164+Sens!$E$10165)</f>
        <v>0</v>
      </c>
      <c r="F10236" s="41" t="n">
        <f aca="false">Sens!$F$10162-(Sens!$F$10164+Sens!$F$10165)</f>
        <v>0</v>
      </c>
      <c r="G10236" s="41" t="n">
        <f aca="false">Sens!$G$10162-(Sens!$G$10164+Sens!$G$10165)</f>
        <v>0</v>
      </c>
      <c r="H10236" s="41" t="n">
        <f aca="false">Sens!$H$10162-(Sens!$H$10164+Sens!$H$10165)</f>
        <v>0</v>
      </c>
      <c r="I10236" s="41" t="n">
        <f aca="false">Sens!$I$10162-(Sens!$I$10164+Sens!$I$10165)</f>
        <v>0</v>
      </c>
      <c r="J10236" s="41" t="n">
        <f aca="false">Sens!$J$10162-(Sens!$J$10164+Sens!$J$10165)</f>
        <v>0</v>
      </c>
      <c r="K10236" s="41" t="n">
        <f aca="false">Sens!$K$10162-(Sens!$K$10164+Sens!$K$10165)</f>
        <v>0</v>
      </c>
      <c r="L10236" s="41" t="n">
        <f aca="false">Sens!$L$10162-(Sens!$L$10164+Sens!$L$10165)</f>
        <v>0</v>
      </c>
      <c r="M10236" s="41" t="n">
        <f aca="false">Sens!$M$10162-(Sens!$M$10164+Sens!$M$10165)</f>
        <v>0</v>
      </c>
      <c r="N10236" s="41" t="n">
        <f aca="false">Sens!$N$10162-(Sens!$N$10164+Sens!$N$10165)</f>
        <v>0</v>
      </c>
      <c r="O10236" s="41" t="n">
        <f aca="false">Sens!$O$10162-(Sens!$O$10164+Sens!$O$10165)</f>
        <v>0</v>
      </c>
    </row>
    <row r="10237" customFormat="false" ht="17.15" hidden="false" customHeight="false" outlineLevel="0" collapsed="false">
      <c r="A10237" s="24" t="s">
        <v>715</v>
      </c>
      <c r="B10237" s="25" t="s">
        <v>86</v>
      </c>
      <c r="C10237" s="41" t="n">
        <f aca="false">Sens!$C$10232+Sens!$C$10233-Sens!$C$10234</f>
        <v>0</v>
      </c>
      <c r="D10237" s="41" t="n">
        <f aca="false">Sens!$D$10232+Sens!$D$10233-Sens!$D$10234</f>
        <v>0</v>
      </c>
      <c r="E10237" s="41" t="n">
        <f aca="false">Sens!$E$10232+Sens!$E$10233-Sens!$E$10234</f>
        <v>0</v>
      </c>
      <c r="F10237" s="41" t="n">
        <f aca="false">Sens!$F$10232+Sens!$F$10233-Sens!$F$10234</f>
        <v>0</v>
      </c>
      <c r="G10237" s="41" t="n">
        <f aca="false">Sens!$G$10232+Sens!$G$10233-Sens!$G$10234</f>
        <v>0</v>
      </c>
      <c r="H10237" s="41" t="n">
        <f aca="false">Sens!$H$10232+Sens!$H$10233-Sens!$H$10234</f>
        <v>0</v>
      </c>
      <c r="I10237" s="41" t="n">
        <f aca="false">Sens!$I$10232+Sens!$I$10233-Sens!$I$10234</f>
        <v>0</v>
      </c>
      <c r="J10237" s="41" t="n">
        <f aca="false">Sens!$J$10232+Sens!$J$10233-Sens!$J$10234</f>
        <v>0</v>
      </c>
      <c r="K10237" s="41" t="n">
        <f aca="false">Sens!$K$10232+Sens!$K$10233-Sens!$K$10234</f>
        <v>0</v>
      </c>
      <c r="L10237" s="41" t="n">
        <f aca="false">Sens!$L$10232+Sens!$L$10233-Sens!$L$10234</f>
        <v>0</v>
      </c>
      <c r="M10237" s="41" t="n">
        <f aca="false">Sens!$M$10232+Sens!$M$10233-Sens!$M$10234</f>
        <v>0</v>
      </c>
      <c r="N10237" s="41" t="n">
        <f aca="false">Sens!$N$10232+Sens!$N$10233-Sens!$N$10234</f>
        <v>0</v>
      </c>
      <c r="O10237" s="41" t="n">
        <f aca="false">Sens!$O$10232+Sens!$O$10233-Sens!$O$10234</f>
        <v>0</v>
      </c>
    </row>
    <row r="10238" customFormat="false" ht="17.15" hidden="false" customHeight="false" outlineLevel="0" collapsed="false">
      <c r="A10238" s="24" t="s">
        <v>716</v>
      </c>
      <c r="B10238" s="25" t="s">
        <v>86</v>
      </c>
      <c r="C10238" s="41" t="n">
        <f aca="false">Sens!$C$10164+Sens!$C$10165+Sens!$C$10234-Sens!$C$10235</f>
        <v>0</v>
      </c>
      <c r="D10238" s="41" t="n">
        <f aca="false">Sens!$D$10164+Sens!$D$10165+Sens!$D$10234-Sens!$D$10235</f>
        <v>0</v>
      </c>
      <c r="E10238" s="41" t="n">
        <f aca="false">Sens!$E$10164+Sens!$E$10165+Sens!$E$10234-Sens!$E$10235</f>
        <v>0</v>
      </c>
      <c r="F10238" s="41" t="n">
        <f aca="false">Sens!$F$10164+Sens!$F$10165+Sens!$F$10234-Sens!$F$10235</f>
        <v>0</v>
      </c>
      <c r="G10238" s="41" t="n">
        <f aca="false">Sens!$G$10164+Sens!$G$10165+Sens!$G$10234-Sens!$G$10235</f>
        <v>0</v>
      </c>
      <c r="H10238" s="41" t="n">
        <f aca="false">Sens!$H$10164+Sens!$H$10165+Sens!$H$10234-Sens!$H$10235</f>
        <v>0</v>
      </c>
      <c r="I10238" s="41" t="n">
        <f aca="false">Sens!$I$10164+Sens!$I$10165+Sens!$I$10234-Sens!$I$10235</f>
        <v>0</v>
      </c>
      <c r="J10238" s="41" t="n">
        <f aca="false">Sens!$J$10164+Sens!$J$10165+Sens!$J$10234-Sens!$J$10235</f>
        <v>0</v>
      </c>
      <c r="K10238" s="41" t="n">
        <f aca="false">Sens!$K$10164+Sens!$K$10165+Sens!$K$10234-Sens!$K$10235</f>
        <v>0</v>
      </c>
      <c r="L10238" s="41" t="n">
        <f aca="false">Sens!$L$10164+Sens!$L$10165+Sens!$L$10234-Sens!$L$10235</f>
        <v>0</v>
      </c>
      <c r="M10238" s="41" t="n">
        <f aca="false">Sens!$M$10164+Sens!$M$10165+Sens!$M$10234-Sens!$M$10235</f>
        <v>0</v>
      </c>
      <c r="N10238" s="41" t="n">
        <f aca="false">Sens!$N$10164+Sens!$N$10165+Sens!$N$10234-Sens!$N$10235</f>
        <v>0</v>
      </c>
      <c r="O10238" s="41" t="n">
        <f aca="false">Sens!$O$10164+Sens!$O$10165+Sens!$O$10234-Sens!$O$10235</f>
        <v>0</v>
      </c>
    </row>
    <row r="10239" customFormat="false" ht="15" hidden="false" customHeight="false" outlineLevel="0" collapsed="false">
      <c r="A10239" s="5" t="s">
        <v>710</v>
      </c>
      <c r="B10239" s="0" t="s">
        <v>52</v>
      </c>
      <c r="G10239" s="13" t="n">
        <f aca="false">Sens!$G$10235/Sens!$D$10235-1</f>
        <v>0.140854504918937</v>
      </c>
      <c r="H10239" s="13" t="n">
        <f aca="false">Sens!$H$10235/Sens!$G$10235-1</f>
        <v>0.152063789793209</v>
      </c>
      <c r="I10239" s="13" t="n">
        <f aca="false">Sens!$I$10235/Sens!$H$10235-1</f>
        <v>0.134273264437417</v>
      </c>
      <c r="J10239" s="13" t="n">
        <f aca="false">Sens!$J$10235/Sens!$I$10235-1</f>
        <v>0.113310421234083</v>
      </c>
      <c r="K10239" s="13" t="n">
        <f aca="false">Sens!$K$10235/Sens!$J$10235-1</f>
        <v>0.0889704781158034</v>
      </c>
      <c r="L10239" s="13" t="n">
        <f aca="false">Sens!$L$10235/Sens!$K$10235-1</f>
        <v>0.0758313397147494</v>
      </c>
      <c r="M10239" s="13" t="n">
        <f aca="false">Sens!$M$10235/Sens!$L$10235-1</f>
        <v>0.0652872220853238</v>
      </c>
    </row>
    <row r="10240" customFormat="false" ht="17.15" hidden="false" customHeight="false" outlineLevel="0" collapsed="false">
      <c r="A10240" s="0" t="s">
        <v>711</v>
      </c>
      <c r="B10240" s="0" t="s">
        <v>52</v>
      </c>
      <c r="C10240" s="13" t="n">
        <f aca="false">Sens!$C$10234/Sens!$C$10235</f>
        <v>0.168593906504964</v>
      </c>
      <c r="D10240" s="13" t="n">
        <f aca="false">Sens!$D$10234/Sens!$D$10235</f>
        <v>0.179551807444025</v>
      </c>
      <c r="E10240" s="13" t="n">
        <f aca="false">Sens!$E$10234/Sens!$E$10235</f>
        <v>0.208881910369643</v>
      </c>
      <c r="F10240" s="13" t="n">
        <f aca="false">Sens!$F$10234/Sens!$F$10235</f>
        <v>0.199028269699356</v>
      </c>
      <c r="G10240" s="13" t="n">
        <f aca="false">Sens!$G$10234/Sens!$G$10235</f>
        <v>0.203631882529968</v>
      </c>
      <c r="H10240" s="13" t="n">
        <f aca="false">Sens!$H$10234/Sens!$H$10235</f>
        <v>0.234731715958496</v>
      </c>
      <c r="I10240" s="13" t="n">
        <f aca="false">Sens!$I$10234/Sens!$I$10235</f>
        <v>0.262231204480418</v>
      </c>
      <c r="J10240" s="13" t="n">
        <f aca="false">Sens!$J$10234/Sens!$J$10235</f>
        <v>0.284728366013706</v>
      </c>
      <c r="K10240" s="13" t="n">
        <f aca="false">Sens!$K$10234/Sens!$K$10235</f>
        <v>0.300668983550877</v>
      </c>
      <c r="L10240" s="13" t="n">
        <f aca="false">Sens!$L$10234/Sens!$L$10235</f>
        <v>0.307698873306092</v>
      </c>
      <c r="M10240" s="13" t="n">
        <f aca="false">Sens!$M$10234/Sens!$M$10235</f>
        <v>0.30766752519293</v>
      </c>
      <c r="N10240" s="13" t="n">
        <f aca="false">Sens!$N$10234/Sens!$N$10235</f>
        <v>0.185979484737251</v>
      </c>
      <c r="O10240" s="13" t="n">
        <f aca="false">Sens!$O$10234/Sens!$O$10235</f>
        <v>0.174270432341096</v>
      </c>
    </row>
    <row r="10241" customFormat="false" ht="17.15" hidden="false" customHeight="false" outlineLevel="0" collapsed="false">
      <c r="A10241" s="0" t="s">
        <v>712</v>
      </c>
      <c r="B10241" s="0" t="s">
        <v>52</v>
      </c>
      <c r="C10241" s="13" t="n">
        <f aca="false">Sens!$C$10232/Sens!$C$10234</f>
        <v>0.0215795060896058</v>
      </c>
      <c r="D10241" s="13" t="n">
        <f aca="false">Sens!$D$10232/Sens!$D$10234</f>
        <v>0.0676152269462122</v>
      </c>
      <c r="E10241" s="13" t="n">
        <f aca="false">Sens!$E$10232/Sens!$E$10234</f>
        <v>0.106620641395783</v>
      </c>
      <c r="F10241" s="13" t="n">
        <f aca="false">Sens!$F$10232/Sens!$F$10234</f>
        <v>0.172523487401099</v>
      </c>
      <c r="G10241" s="13" t="n">
        <f aca="false">Sens!$G$10232/Sens!$G$10234</f>
        <v>0.140939911795589</v>
      </c>
      <c r="H10241" s="13" t="n">
        <f aca="false">Sens!$H$10232/Sens!$H$10234</f>
        <v>0.272018642937714</v>
      </c>
      <c r="I10241" s="13" t="n">
        <f aca="false">Sens!$I$10232/Sens!$I$10234</f>
        <v>0.362159512436497</v>
      </c>
      <c r="J10241" s="13" t="n">
        <f aca="false">Sens!$J$10232/Sens!$J$10234</f>
        <v>0.422151735934609</v>
      </c>
      <c r="K10241" s="13" t="n">
        <f aca="false">Sens!$K$10232/Sens!$K$10234</f>
        <v>0.45729531765871</v>
      </c>
      <c r="L10241" s="13" t="n">
        <f aca="false">Sens!$L$10232/Sens!$L$10234</f>
        <v>0.467639461055993</v>
      </c>
      <c r="M10241" s="13" t="n">
        <f aca="false">Sens!$M$10232/Sens!$M$10234</f>
        <v>0.460231990503268</v>
      </c>
      <c r="N10241" s="13" t="n">
        <f aca="false">Sens!$N$10232/Sens!$N$10234</f>
        <v>0.0506537999838362</v>
      </c>
      <c r="O10241" s="13" t="n">
        <f aca="false">Sens!$O$10232/Sens!$O$10234</f>
        <v>0.0824881615167056</v>
      </c>
    </row>
    <row r="10244" customFormat="false" ht="19.4" hidden="false" customHeight="false" outlineLevel="0" collapsed="false">
      <c r="A10244" s="31" t="s">
        <v>1359</v>
      </c>
    </row>
    <row r="10245" customFormat="false" ht="17.15" hidden="false" customHeight="false" outlineLevel="0" collapsed="false">
      <c r="A10245" s="6" t="s">
        <v>16</v>
      </c>
      <c r="B10245" s="6" t="s">
        <v>17</v>
      </c>
      <c r="C10245" s="20" t="s">
        <v>504</v>
      </c>
      <c r="D10245" s="20" t="s">
        <v>505</v>
      </c>
      <c r="E10245" s="20" t="s">
        <v>587</v>
      </c>
      <c r="F10245" s="20" t="s">
        <v>588</v>
      </c>
      <c r="G10245" s="20" t="s">
        <v>589</v>
      </c>
      <c r="H10245" s="20" t="s">
        <v>590</v>
      </c>
      <c r="I10245" s="20" t="s">
        <v>591</v>
      </c>
      <c r="J10245" s="20" t="s">
        <v>592</v>
      </c>
      <c r="K10245" s="20" t="s">
        <v>593</v>
      </c>
      <c r="L10245" s="20" t="s">
        <v>594</v>
      </c>
      <c r="M10245" s="20" t="s">
        <v>595</v>
      </c>
      <c r="N10245" s="20" t="s">
        <v>596</v>
      </c>
      <c r="O10245" s="20" t="s">
        <v>597</v>
      </c>
      <c r="P10245" s="6" t="s">
        <v>23</v>
      </c>
      <c r="R10245" s="20" t="n">
        <v>2023</v>
      </c>
      <c r="S10245" s="20" t="n">
        <v>2024</v>
      </c>
      <c r="T10245" s="20" t="n">
        <v>2025</v>
      </c>
      <c r="U10245" s="20" t="n">
        <v>2026</v>
      </c>
      <c r="V10245" s="20" t="n">
        <v>2027</v>
      </c>
      <c r="W10245" s="20" t="n">
        <v>2028</v>
      </c>
      <c r="X10245" s="20" t="n">
        <v>2029</v>
      </c>
      <c r="Y10245" s="20" t="n">
        <v>2030</v>
      </c>
      <c r="Z10245" s="20" t="n">
        <v>2031</v>
      </c>
      <c r="AA10245" s="20" t="n">
        <v>2032</v>
      </c>
    </row>
    <row r="10246" customFormat="false" ht="17.15" hidden="false" customHeight="false" outlineLevel="0" collapsed="false">
      <c r="A10246" s="1" t="s">
        <v>727</v>
      </c>
    </row>
    <row r="10247" customFormat="false" ht="15" hidden="false" customHeight="false" outlineLevel="0" collapsed="false">
      <c r="A10247" s="0" t="s">
        <v>526</v>
      </c>
      <c r="B10247" s="0" t="s">
        <v>86</v>
      </c>
      <c r="C10247" s="38" t="n">
        <f aca="false">Sens!$C$10149</f>
        <v>247.029</v>
      </c>
      <c r="D10247" s="38" t="n">
        <f aca="false">Sens!$D$10149</f>
        <v>269.287</v>
      </c>
      <c r="E10247" s="38" t="n">
        <f aca="false">Sens!$E$10149</f>
        <v>134.686</v>
      </c>
      <c r="F10247" s="38" t="n">
        <f aca="false">Sens!$F$10149</f>
        <v>158.293876822267</v>
      </c>
      <c r="G10247" s="38" t="n">
        <f aca="false">Sens!$G$10149</f>
        <v>292.979876822267</v>
      </c>
      <c r="H10247" s="38" t="n">
        <f aca="false">Sens!$H$10149</f>
        <v>318.184543087396</v>
      </c>
      <c r="I10247" s="38" t="n">
        <f aca="false">Sens!$I$10149</f>
        <v>341.736278761793</v>
      </c>
      <c r="J10247" s="38" t="n">
        <f aca="false">Sens!$J$10149</f>
        <v>362.927192787048</v>
      </c>
      <c r="K10247" s="38" t="n">
        <f aca="false">Sens!$K$10149</f>
        <v>381.0735524264</v>
      </c>
      <c r="L10247" s="38" t="n">
        <f aca="false">Sens!$L$10149</f>
        <v>400.12723004772</v>
      </c>
      <c r="M10247" s="38" t="n">
        <f aca="false">Sens!$M$10149</f>
        <v>420.133591550106</v>
      </c>
      <c r="N10247" s="38" t="n">
        <f aca="false">Sens!$N$10149</f>
        <v>118.892</v>
      </c>
      <c r="O10247" s="38" t="n">
        <f aca="false">Sens!$O$10149</f>
        <v>150.395</v>
      </c>
    </row>
    <row r="10248" customFormat="false" ht="15" hidden="false" customHeight="false" outlineLevel="0" collapsed="false">
      <c r="A10248" s="0" t="s">
        <v>527</v>
      </c>
      <c r="B10248" s="0" t="s">
        <v>86</v>
      </c>
      <c r="C10248" s="38" t="n">
        <f aca="false">Sens!$C$10151</f>
        <v>21.215</v>
      </c>
      <c r="D10248" s="38" t="n">
        <f aca="false">Sens!$D$10151</f>
        <v>22.561</v>
      </c>
      <c r="E10248" s="38" t="n">
        <f aca="false">Sens!$E$10151</f>
        <v>11.579</v>
      </c>
      <c r="F10248" s="38" t="n">
        <f aca="false">Sens!$F$10151</f>
        <v>11.5938724610325</v>
      </c>
      <c r="G10248" s="38" t="n">
        <f aca="false">Sens!$G$10151</f>
        <v>23.1728724610325</v>
      </c>
      <c r="H10248" s="38" t="n">
        <f aca="false">Sens!$H$10151</f>
        <v>24.353392759506</v>
      </c>
      <c r="I10248" s="38" t="n">
        <f aca="false">Sens!$I$10151</f>
        <v>25.4240338872015</v>
      </c>
      <c r="J10248" s="38" t="n">
        <f aca="false">Sens!$J$10151</f>
        <v>26.3642491017174</v>
      </c>
      <c r="K10248" s="38" t="n">
        <f aca="false">Sens!$K$10151</f>
        <v>27.155176574769</v>
      </c>
      <c r="L10248" s="38" t="n">
        <f aca="false">Sens!$L$10151</f>
        <v>27.969831872012</v>
      </c>
      <c r="M10248" s="38" t="n">
        <f aca="false">Sens!$M$10151</f>
        <v>28.8089268281724</v>
      </c>
      <c r="N10248" s="38" t="n">
        <f aca="false">Sens!$N$10151</f>
        <v>11.128</v>
      </c>
      <c r="O10248" s="38" t="n">
        <f aca="false">Sens!$O$10151</f>
        <v>11.433</v>
      </c>
    </row>
    <row r="10249" customFormat="false" ht="15" hidden="false" customHeight="false" outlineLevel="0" collapsed="false">
      <c r="A10249" s="0" t="s">
        <v>528</v>
      </c>
      <c r="B10249" s="0" t="s">
        <v>86</v>
      </c>
      <c r="C10249" s="38" t="n">
        <f aca="false">Sens!$C$10153</f>
        <v>156.146</v>
      </c>
      <c r="D10249" s="38" t="n">
        <f aca="false">Sens!$D$10153</f>
        <v>172.162</v>
      </c>
      <c r="E10249" s="38" t="n">
        <f aca="false">Sens!$E$10153</f>
        <v>88.358</v>
      </c>
      <c r="F10249" s="38" t="n">
        <f aca="false">Sens!$F$10153</f>
        <v>102.004388260171</v>
      </c>
      <c r="G10249" s="38" t="n">
        <f aca="false">Sens!$G$10153</f>
        <v>190.362388260171</v>
      </c>
      <c r="H10249" s="38" t="n">
        <f aca="false">Sens!$H$10153</f>
        <v>210.343106588311</v>
      </c>
      <c r="I10249" s="38" t="n">
        <f aca="false">Sens!$I$10153</f>
        <v>229.969728494648</v>
      </c>
      <c r="J10249" s="38" t="n">
        <f aca="false">Sens!$J$10153</f>
        <v>248.747636972598</v>
      </c>
      <c r="K10249" s="38" t="n">
        <f aca="false">Sens!$K$10153</f>
        <v>266.15997156068</v>
      </c>
      <c r="L10249" s="38" t="n">
        <f aca="false">Sens!$L$10153</f>
        <v>284.791169569927</v>
      </c>
      <c r="M10249" s="38" t="n">
        <f aca="false">Sens!$M$10153</f>
        <v>304.726551439822</v>
      </c>
      <c r="N10249" s="38" t="n">
        <f aca="false">Sens!$N$10153</f>
        <v>76.86</v>
      </c>
      <c r="O10249" s="38" t="n">
        <f aca="false">Sens!$O$10153</f>
        <v>95.302</v>
      </c>
    </row>
    <row r="10250" customFormat="false" ht="15" hidden="false" customHeight="false" outlineLevel="0" collapsed="false">
      <c r="A10250" s="0" t="s">
        <v>529</v>
      </c>
      <c r="B10250" s="0" t="s">
        <v>86</v>
      </c>
      <c r="C10250" s="38" t="n">
        <f aca="false">Sens!$C$10155</f>
        <v>56.214</v>
      </c>
      <c r="D10250" s="38" t="n">
        <f aca="false">Sens!$D$10155</f>
        <v>68.635</v>
      </c>
      <c r="E10250" s="38" t="n">
        <f aca="false">Sens!$E$10155</f>
        <v>37.052</v>
      </c>
      <c r="F10250" s="38" t="n">
        <f aca="false">Sens!$F$10155</f>
        <v>46.1572219944148</v>
      </c>
      <c r="G10250" s="38" t="n">
        <f aca="false">Sens!$G$10155</f>
        <v>83.2092219944148</v>
      </c>
      <c r="H10250" s="38" t="n">
        <f aca="false">Sens!$H$10155</f>
        <v>99.8969223878976</v>
      </c>
      <c r="I10250" s="38" t="n">
        <f aca="false">Sens!$I$10155</f>
        <v>116.583111095496</v>
      </c>
      <c r="J10250" s="38" t="n">
        <f aca="false">Sens!$J$10155</f>
        <v>132.148941941952</v>
      </c>
      <c r="K10250" s="38" t="n">
        <f aca="false">Sens!$K$10155</f>
        <v>145.363836136147</v>
      </c>
      <c r="L10250" s="38" t="n">
        <f aca="false">Sens!$L$10155</f>
        <v>159.900219749762</v>
      </c>
      <c r="M10250" s="38" t="n">
        <f aca="false">Sens!$M$10155</f>
        <v>175.890241724738</v>
      </c>
      <c r="N10250" s="38" t="n">
        <f aca="false">Sens!$N$10155</f>
        <v>29.615</v>
      </c>
      <c r="O10250" s="38" t="n">
        <f aca="false">Sens!$O$10155</f>
        <v>39.02</v>
      </c>
    </row>
    <row r="10251" customFormat="false" ht="15" hidden="false" customHeight="false" outlineLevel="0" collapsed="false">
      <c r="A10251" s="0" t="s">
        <v>530</v>
      </c>
      <c r="B10251" s="0" t="s">
        <v>86</v>
      </c>
      <c r="C10251" s="38" t="n">
        <f aca="false">Sens!$C$10157</f>
        <v>44.374</v>
      </c>
      <c r="D10251" s="38" t="n">
        <f aca="false">Sens!$D$10157</f>
        <v>49.619</v>
      </c>
      <c r="E10251" s="38" t="n">
        <f aca="false">Sens!$E$10157</f>
        <v>27.157</v>
      </c>
      <c r="F10251" s="38" t="n">
        <f aca="false">Sens!$F$10157</f>
        <v>27.7764165988154</v>
      </c>
      <c r="G10251" s="38" t="n">
        <f aca="false">Sens!$G$10157</f>
        <v>54.9334165988154</v>
      </c>
      <c r="H10251" s="38" t="n">
        <f aca="false">Sens!$H$10157</f>
        <v>61.1564112561829</v>
      </c>
      <c r="I10251" s="38" t="n">
        <f aca="false">Sens!$I$10157</f>
        <v>67.2020282103945</v>
      </c>
      <c r="J10251" s="38" t="n">
        <f aca="false">Sens!$J$10157</f>
        <v>72.8757274028885</v>
      </c>
      <c r="K10251" s="38" t="n">
        <f aca="false">Sens!$K$10157</f>
        <v>77.9770283210907</v>
      </c>
      <c r="L10251" s="38" t="n">
        <f aca="false">Sens!$L$10157</f>
        <v>83.4354203035671</v>
      </c>
      <c r="M10251" s="38" t="n">
        <f aca="false">Sens!$M$10157</f>
        <v>89.2758997248168</v>
      </c>
      <c r="N10251" s="38" t="n">
        <f aca="false">Sens!$N$10157</f>
        <v>23.923</v>
      </c>
      <c r="O10251" s="38" t="n">
        <f aca="false">Sens!$O$10157</f>
        <v>25.696</v>
      </c>
    </row>
    <row r="10252" customFormat="false" ht="15" hidden="false" customHeight="false" outlineLevel="0" collapsed="false">
      <c r="A10252" s="0" t="s">
        <v>531</v>
      </c>
      <c r="B10252" s="0" t="s">
        <v>86</v>
      </c>
      <c r="C10252" s="38" t="n">
        <f aca="false">Sens!$C$10159</f>
        <v>5.425</v>
      </c>
      <c r="D10252" s="38" t="n">
        <f aca="false">Sens!$D$10159</f>
        <v>5.935</v>
      </c>
      <c r="E10252" s="38" t="n">
        <f aca="false">Sens!$E$10159</f>
        <v>3.474</v>
      </c>
      <c r="F10252" s="38" t="n">
        <f aca="false">Sens!$F$10159</f>
        <v>3.22246550883619</v>
      </c>
      <c r="G10252" s="38" t="n">
        <f aca="false">Sens!$G$10159</f>
        <v>6.69646550883619</v>
      </c>
      <c r="H10252" s="38" t="n">
        <f aca="false">Sens!$H$10159</f>
        <v>7.16251344209196</v>
      </c>
      <c r="I10252" s="38" t="n">
        <f aca="false">Sens!$I$10159</f>
        <v>7.61421070299826</v>
      </c>
      <c r="J10252" s="38" t="n">
        <f aca="false">Sens!$J$10159</f>
        <v>8.04465753523932</v>
      </c>
      <c r="K10252" s="38" t="n">
        <f aca="false">Sens!$K$10159</f>
        <v>8.44689041200128</v>
      </c>
      <c r="L10252" s="38" t="n">
        <f aca="false">Sens!$L$10159</f>
        <v>8.86923493260135</v>
      </c>
      <c r="M10252" s="38" t="n">
        <f aca="false">Sens!$M$10159</f>
        <v>9.31269667923142</v>
      </c>
      <c r="N10252" s="38" t="n">
        <f aca="false">Sens!$N$10159</f>
        <v>2.811</v>
      </c>
      <c r="O10252" s="38" t="n">
        <f aca="false">Sens!$O$10159</f>
        <v>3.124</v>
      </c>
    </row>
    <row r="10253" customFormat="false" ht="17.15" hidden="false" customHeight="false" outlineLevel="0" collapsed="false">
      <c r="A10253" s="0" t="s">
        <v>728</v>
      </c>
      <c r="B10253" s="0" t="s">
        <v>86</v>
      </c>
      <c r="C10253" s="38" t="n">
        <f aca="false">Sens!$C$10234</f>
        <v>107.556</v>
      </c>
      <c r="D10253" s="38" t="n">
        <f aca="false">Sens!$D$10234</f>
        <v>128.725</v>
      </c>
      <c r="E10253" s="38" t="n">
        <f aca="false">Sens!$E$10234</f>
        <v>79.819</v>
      </c>
      <c r="F10253" s="38" t="n">
        <f aca="false">Sens!$F$10234</f>
        <v>86.7327334389669</v>
      </c>
      <c r="G10253" s="38" t="n">
        <f aca="false">Sens!$G$10234</f>
        <v>166.551733438967</v>
      </c>
      <c r="H10253" s="38" t="n">
        <f aca="false">Sens!$H$10234</f>
        <v>221.182967828978</v>
      </c>
      <c r="I10253" s="38" t="n">
        <f aca="false">Sens!$I$10234</f>
        <v>280.27345865789</v>
      </c>
      <c r="J10253" s="38" t="n">
        <f aca="false">Sens!$J$10234</f>
        <v>338.800945197185</v>
      </c>
      <c r="K10253" s="38" t="n">
        <f aca="false">Sens!$K$10234</f>
        <v>389.599699375015</v>
      </c>
      <c r="L10253" s="38" t="n">
        <f aca="false">Sens!$L$10234</f>
        <v>428.943490119887</v>
      </c>
      <c r="M10253" s="38" t="n">
        <f aca="false">Sens!$M$10234</f>
        <v>456.901465525587</v>
      </c>
      <c r="N10253" s="38" t="n">
        <f aca="false">Sens!$N$10234</f>
        <v>60.14</v>
      </c>
      <c r="O10253" s="38" t="n">
        <f aca="false">Sens!$O$10234</f>
        <v>68.585</v>
      </c>
    </row>
    <row r="10254" customFormat="false" ht="15" hidden="false" customHeight="false" outlineLevel="0" collapsed="false">
      <c r="A10254" s="1" t="s">
        <v>519</v>
      </c>
      <c r="B10254" s="8" t="s">
        <v>86</v>
      </c>
      <c r="C10254" s="38" t="n">
        <f aca="false">Sens!$C$10164</f>
        <v>387.497</v>
      </c>
      <c r="D10254" s="38" t="n">
        <f aca="false">Sens!$D$10164</f>
        <v>426.305</v>
      </c>
      <c r="E10254" s="38" t="n">
        <f aca="false">Sens!$E$10164</f>
        <v>220.32</v>
      </c>
      <c r="F10254" s="38" t="n">
        <f aca="false">Sens!$F$10164</f>
        <v>250.639773480586</v>
      </c>
      <c r="G10254" s="38" t="n">
        <f aca="false">Sens!$G$10164</f>
        <v>470.959773480586</v>
      </c>
      <c r="H10254" s="38" t="n">
        <f aca="false">Sens!$H$10164</f>
        <v>521.386990416437</v>
      </c>
      <c r="I10254" s="38" t="n">
        <f aca="false">Sens!$I$10164</f>
        <v>570.143862887555</v>
      </c>
      <c r="J10254" s="38" t="n">
        <f aca="false">Sens!$J$10164</f>
        <v>615.391435791933</v>
      </c>
      <c r="K10254" s="38" t="n">
        <f aca="false">Sens!$K$10164</f>
        <v>655.208227561543</v>
      </c>
      <c r="L10254" s="38" t="n">
        <f aca="false">Sens!$L$10164</f>
        <v>697.807739249767</v>
      </c>
      <c r="M10254" s="38" t="n">
        <f aca="false">Sens!$M$10164</f>
        <v>743.399328463592</v>
      </c>
      <c r="N10254" s="38" t="n">
        <f aca="false">Sens!$N$10164</f>
        <v>192.955</v>
      </c>
      <c r="O10254" s="38" t="n">
        <f aca="false">Sens!$O$10164</f>
        <v>233.35</v>
      </c>
    </row>
    <row r="10255" customFormat="false" ht="15" hidden="false" customHeight="false" outlineLevel="0" collapsed="false">
      <c r="A10255" s="1" t="s">
        <v>522</v>
      </c>
      <c r="B10255" s="8" t="s">
        <v>86</v>
      </c>
      <c r="C10255" s="38" t="n">
        <f aca="false">Sens!$C$10165</f>
        <v>142.906</v>
      </c>
      <c r="D10255" s="38" t="n">
        <f aca="false">Sens!$D$10165</f>
        <v>161.894</v>
      </c>
      <c r="E10255" s="38" t="n">
        <f aca="false">Sens!$E$10165</f>
        <v>81.986</v>
      </c>
      <c r="F10255" s="38" t="n">
        <f aca="false">Sens!$F$10165</f>
        <v>98.408468164951</v>
      </c>
      <c r="G10255" s="38" t="n">
        <f aca="false">Sens!$G$10165</f>
        <v>180.394468164951</v>
      </c>
      <c r="H10255" s="38" t="n">
        <f aca="false">Sens!$H$10165</f>
        <v>199.709899104949</v>
      </c>
      <c r="I10255" s="38" t="n">
        <f aca="false">Sens!$I$10165</f>
        <v>218.385528264976</v>
      </c>
      <c r="J10255" s="38" t="n">
        <f aca="false">Sens!$J$10165</f>
        <v>235.71696994951</v>
      </c>
      <c r="K10255" s="38" t="n">
        <f aca="false">Sens!$K$10165</f>
        <v>250.968227869545</v>
      </c>
      <c r="L10255" s="38" t="n">
        <f aca="false">Sens!$L$10165</f>
        <v>267.285367225822</v>
      </c>
      <c r="M10255" s="38" t="n">
        <f aca="false">Sens!$M$10165</f>
        <v>284.748579483295</v>
      </c>
      <c r="N10255" s="38" t="n">
        <f aca="false">Sens!$N$10165</f>
        <v>70.274</v>
      </c>
      <c r="O10255" s="38" t="n">
        <f aca="false">Sens!$O$10165</f>
        <v>91.62</v>
      </c>
    </row>
    <row r="10256" customFormat="false" ht="15" hidden="false" customHeight="false" outlineLevel="0" collapsed="false">
      <c r="A10256" s="1" t="s">
        <v>523</v>
      </c>
      <c r="B10256" s="8" t="s">
        <v>86</v>
      </c>
      <c r="C10256" s="38" t="n">
        <f aca="false">Sens!$C$10234</f>
        <v>107.556</v>
      </c>
      <c r="D10256" s="38" t="n">
        <f aca="false">Sens!$D$10234</f>
        <v>128.725</v>
      </c>
      <c r="E10256" s="38" t="n">
        <f aca="false">Sens!$E$10234</f>
        <v>79.819</v>
      </c>
      <c r="F10256" s="38" t="n">
        <f aca="false">Sens!$F$10234</f>
        <v>86.7327334389669</v>
      </c>
      <c r="G10256" s="38" t="n">
        <f aca="false">Sens!$G$10234</f>
        <v>166.551733438967</v>
      </c>
      <c r="H10256" s="38" t="n">
        <f aca="false">Sens!$H$10234</f>
        <v>221.182967828978</v>
      </c>
      <c r="I10256" s="38" t="n">
        <f aca="false">Sens!$I$10234</f>
        <v>280.27345865789</v>
      </c>
      <c r="J10256" s="38" t="n">
        <f aca="false">Sens!$J$10234</f>
        <v>338.800945197185</v>
      </c>
      <c r="K10256" s="38" t="n">
        <f aca="false">Sens!$K$10234</f>
        <v>389.599699375015</v>
      </c>
      <c r="L10256" s="38" t="n">
        <f aca="false">Sens!$L$10234</f>
        <v>428.943490119887</v>
      </c>
      <c r="M10256" s="38" t="n">
        <f aca="false">Sens!$M$10234</f>
        <v>456.901465525587</v>
      </c>
      <c r="N10256" s="38" t="n">
        <f aca="false">Sens!$N$10234</f>
        <v>60.14</v>
      </c>
      <c r="O10256" s="38" t="n">
        <f aca="false">Sens!$O$10234</f>
        <v>68.585</v>
      </c>
    </row>
    <row r="10257" customFormat="false" ht="17.15" hidden="false" customHeight="false" outlineLevel="0" collapsed="false">
      <c r="A10257" s="0" t="s">
        <v>702</v>
      </c>
      <c r="B10257" s="0" t="s">
        <v>86</v>
      </c>
      <c r="C10257" s="38" t="n">
        <f aca="false">Sens!$C$10232</f>
        <v>2.32100535697364</v>
      </c>
      <c r="D10257" s="38" t="n">
        <f aca="false">Sens!$D$10232</f>
        <v>8.70377008865116</v>
      </c>
      <c r="E10257" s="38" t="n">
        <f aca="false">Sens!$E$10232</f>
        <v>8.51035297557002</v>
      </c>
      <c r="F10257" s="38" t="n">
        <f aca="false">Sens!$F$10232</f>
        <v>14.9634336447205</v>
      </c>
      <c r="G10257" s="38" t="n">
        <f aca="false">Sens!$G$10232</f>
        <v>23.4737866202905</v>
      </c>
      <c r="H10257" s="38" t="n">
        <f aca="false">Sens!$H$10232</f>
        <v>60.1658907497746</v>
      </c>
      <c r="I10257" s="38" t="n">
        <f aca="false">Sens!$I$10232</f>
        <v>101.503699136432</v>
      </c>
      <c r="J10257" s="38" t="n">
        <f aca="false">Sens!$J$10232</f>
        <v>143.025407151278</v>
      </c>
      <c r="K10257" s="38" t="n">
        <f aca="false">Sens!$K$10232</f>
        <v>178.162118285436</v>
      </c>
      <c r="L10257" s="38" t="n">
        <f aca="false">Sens!$L$10232</f>
        <v>200.590902543141</v>
      </c>
      <c r="M10257" s="38" t="n">
        <f aca="false">Sens!$M$10232</f>
        <v>210.280670942702</v>
      </c>
      <c r="N10257" s="38" t="n">
        <f aca="false">Sens!$N$10232</f>
        <v>3.04631953102791</v>
      </c>
      <c r="O10257" s="38" t="n">
        <f aca="false">Sens!$O$10232</f>
        <v>5.65745055762326</v>
      </c>
    </row>
    <row r="10258" customFormat="false" ht="17.15" hidden="false" customHeight="false" outlineLevel="0" collapsed="false">
      <c r="A10258" s="0" t="s">
        <v>704</v>
      </c>
      <c r="B10258" s="0" t="s">
        <v>86</v>
      </c>
      <c r="C10258" s="38" t="n">
        <f aca="false">Sens!$C$10233</f>
        <v>105.234994643026</v>
      </c>
      <c r="D10258" s="38" t="n">
        <f aca="false">Sens!$D$10233</f>
        <v>120.021229911349</v>
      </c>
      <c r="E10258" s="38" t="n">
        <f aca="false">Sens!$E$10233</f>
        <v>71.30864702443</v>
      </c>
      <c r="F10258" s="38" t="n">
        <f aca="false">Sens!$F$10233</f>
        <v>71.7692997942464</v>
      </c>
      <c r="G10258" s="38" t="n">
        <f aca="false">Sens!$G$10233</f>
        <v>143.077946818676</v>
      </c>
      <c r="H10258" s="38" t="n">
        <f aca="false">Sens!$H$10233</f>
        <v>161.017077079203</v>
      </c>
      <c r="I10258" s="38" t="n">
        <f aca="false">Sens!$I$10233</f>
        <v>178.769759521457</v>
      </c>
      <c r="J10258" s="38" t="n">
        <f aca="false">Sens!$J$10233</f>
        <v>195.775538045907</v>
      </c>
      <c r="K10258" s="38" t="n">
        <f aca="false">Sens!$K$10233</f>
        <v>211.43758108958</v>
      </c>
      <c r="L10258" s="38" t="n">
        <f aca="false">Sens!$L$10233</f>
        <v>228.352587576746</v>
      </c>
      <c r="M10258" s="38" t="n">
        <f aca="false">Sens!$M$10233</f>
        <v>246.620794582886</v>
      </c>
      <c r="N10258" s="38" t="n">
        <f aca="false">Sens!$N$10233</f>
        <v>57.0936804689721</v>
      </c>
      <c r="O10258" s="38" t="n">
        <f aca="false">Sens!$O$10233</f>
        <v>62.9275494423768</v>
      </c>
    </row>
    <row r="10259" customFormat="false" ht="15" hidden="false" customHeight="false" outlineLevel="0" collapsed="false">
      <c r="A10259" s="3" t="s">
        <v>524</v>
      </c>
      <c r="B10259" s="8" t="s">
        <v>86</v>
      </c>
      <c r="C10259" s="38" t="n">
        <f aca="false">Sens!$C$10235</f>
        <v>637.959</v>
      </c>
      <c r="D10259" s="38" t="n">
        <f aca="false">Sens!$D$10235</f>
        <v>716.924</v>
      </c>
      <c r="E10259" s="38" t="n">
        <f aca="false">Sens!$E$10235</f>
        <v>382.125</v>
      </c>
      <c r="F10259" s="38" t="n">
        <f aca="false">Sens!$F$10235</f>
        <v>435.780975084504</v>
      </c>
      <c r="G10259" s="38" t="n">
        <f aca="false">Sens!$G$10235</f>
        <v>817.905975084504</v>
      </c>
      <c r="H10259" s="38" t="n">
        <f aca="false">Sens!$H$10235</f>
        <v>942.279857350364</v>
      </c>
      <c r="I10259" s="38" t="n">
        <f aca="false">Sens!$I$10235</f>
        <v>1068.80284981042</v>
      </c>
      <c r="J10259" s="38" t="n">
        <f aca="false">Sens!$J$10235</f>
        <v>1189.90935093863</v>
      </c>
      <c r="K10259" s="38" t="n">
        <f aca="false">Sens!$K$10235</f>
        <v>1295.7761548061</v>
      </c>
      <c r="L10259" s="38" t="n">
        <f aca="false">Sens!$L$10235</f>
        <v>1394.03659659548</v>
      </c>
      <c r="M10259" s="38" t="n">
        <f aca="false">Sens!$M$10235</f>
        <v>1485.04937347247</v>
      </c>
      <c r="N10259" s="38" t="n">
        <f aca="false">Sens!$N$10235</f>
        <v>323.369</v>
      </c>
      <c r="O10259" s="38" t="n">
        <f aca="false">Sens!$O$10235</f>
        <v>393.555</v>
      </c>
    </row>
    <row r="10260" customFormat="false" ht="17.15" hidden="false" customHeight="false" outlineLevel="0" collapsed="false">
      <c r="A10260" s="24" t="s">
        <v>714</v>
      </c>
      <c r="B10260" s="25" t="s">
        <v>86</v>
      </c>
      <c r="C10260" s="41" t="n">
        <f aca="false">Sens!$C$10247+Sens!$C$10248+Sens!$C$10249+Sens!$C$10250+Sens!$C$10251+Sens!$C$10252-(Sens!$C$10254+Sens!$C$10255)</f>
        <v>0</v>
      </c>
      <c r="D10260" s="41" t="n">
        <f aca="false">Sens!$D$10247+Sens!$D$10248+Sens!$D$10249+Sens!$D$10250+Sens!$D$10251+Sens!$D$10252-(Sens!$D$10254+Sens!$D$10255)</f>
        <v>0</v>
      </c>
      <c r="E10260" s="41" t="n">
        <f aca="false">Sens!$E$10247+Sens!$E$10248+Sens!$E$10249+Sens!$E$10250+Sens!$E$10251+Sens!$E$10252-(Sens!$E$10254+Sens!$E$10255)</f>
        <v>0</v>
      </c>
      <c r="F10260" s="41" t="n">
        <f aca="false">Sens!$F$10247+Sens!$F$10248+Sens!$F$10249+Sens!$F$10250+Sens!$F$10251+Sens!$F$10252-(Sens!$F$10254+Sens!$F$10255)</f>
        <v>0</v>
      </c>
      <c r="G10260" s="41" t="n">
        <f aca="false">Sens!$G$10247+Sens!$G$10248+Sens!$G$10249+Sens!$G$10250+Sens!$G$10251+Sens!$G$10252-(Sens!$G$10254+Sens!$G$10255)</f>
        <v>0</v>
      </c>
      <c r="H10260" s="41" t="n">
        <f aca="false">Sens!$H$10247+Sens!$H$10248+Sens!$H$10249+Sens!$H$10250+Sens!$H$10251+Sens!$H$10252-(Sens!$H$10254+Sens!$H$10255)</f>
        <v>0</v>
      </c>
      <c r="I10260" s="41" t="n">
        <f aca="false">Sens!$I$10247+Sens!$I$10248+Sens!$I$10249+Sens!$I$10250+Sens!$I$10251+Sens!$I$10252-(Sens!$I$10254+Sens!$I$10255)</f>
        <v>0</v>
      </c>
      <c r="J10260" s="41" t="n">
        <f aca="false">Sens!$J$10247+Sens!$J$10248+Sens!$J$10249+Sens!$J$10250+Sens!$J$10251+Sens!$J$10252-(Sens!$J$10254+Sens!$J$10255)</f>
        <v>0</v>
      </c>
      <c r="K10260" s="41" t="n">
        <f aca="false">Sens!$K$10247+Sens!$K$10248+Sens!$K$10249+Sens!$K$10250+Sens!$K$10251+Sens!$K$10252-(Sens!$K$10254+Sens!$K$10255)</f>
        <v>0</v>
      </c>
      <c r="L10260" s="41" t="n">
        <f aca="false">Sens!$L$10247+Sens!$L$10248+Sens!$L$10249+Sens!$L$10250+Sens!$L$10251+Sens!$L$10252-(Sens!$L$10254+Sens!$L$10255)</f>
        <v>0</v>
      </c>
      <c r="M10260" s="41" t="n">
        <f aca="false">Sens!$M$10247+Sens!$M$10248+Sens!$M$10249+Sens!$M$10250+Sens!$M$10251+Sens!$M$10252-(Sens!$M$10254+Sens!$M$10255)</f>
        <v>0</v>
      </c>
      <c r="N10260" s="41" t="n">
        <f aca="false">Sens!$N$10247+Sens!$N$10248+Sens!$N$10249+Sens!$N$10250+Sens!$N$10251+Sens!$N$10252-(Sens!$N$10254+Sens!$N$10255)</f>
        <v>0</v>
      </c>
      <c r="O10260" s="41" t="n">
        <f aca="false">Sens!$O$10247+Sens!$O$10248+Sens!$O$10249+Sens!$O$10250+Sens!$O$10251+Sens!$O$10252-(Sens!$O$10254+Sens!$O$10255)</f>
        <v>0</v>
      </c>
    </row>
    <row r="10261" customFormat="false" ht="17.15" hidden="false" customHeight="false" outlineLevel="0" collapsed="false">
      <c r="A10261" s="24" t="s">
        <v>715</v>
      </c>
      <c r="B10261" s="25" t="s">
        <v>86</v>
      </c>
      <c r="C10261" s="41" t="n">
        <f aca="false">Sens!$C$10257+Sens!$C$10258-Sens!$C$10256</f>
        <v>0</v>
      </c>
      <c r="D10261" s="41" t="n">
        <f aca="false">Sens!$D$10257+Sens!$D$10258-Sens!$D$10256</f>
        <v>0</v>
      </c>
      <c r="E10261" s="41" t="n">
        <f aca="false">Sens!$E$10257+Sens!$E$10258-Sens!$E$10256</f>
        <v>0</v>
      </c>
      <c r="F10261" s="41" t="n">
        <f aca="false">Sens!$F$10257+Sens!$F$10258-Sens!$F$10256</f>
        <v>0</v>
      </c>
      <c r="G10261" s="41" t="n">
        <f aca="false">Sens!$G$10257+Sens!$G$10258-Sens!$G$10256</f>
        <v>0</v>
      </c>
      <c r="H10261" s="41" t="n">
        <f aca="false">Sens!$H$10257+Sens!$H$10258-Sens!$H$10256</f>
        <v>0</v>
      </c>
      <c r="I10261" s="41" t="n">
        <f aca="false">Sens!$I$10257+Sens!$I$10258-Sens!$I$10256</f>
        <v>0</v>
      </c>
      <c r="J10261" s="41" t="n">
        <f aca="false">Sens!$J$10257+Sens!$J$10258-Sens!$J$10256</f>
        <v>0</v>
      </c>
      <c r="K10261" s="41" t="n">
        <f aca="false">Sens!$K$10257+Sens!$K$10258-Sens!$K$10256</f>
        <v>0</v>
      </c>
      <c r="L10261" s="41" t="n">
        <f aca="false">Sens!$L$10257+Sens!$L$10258-Sens!$L$10256</f>
        <v>0</v>
      </c>
      <c r="M10261" s="41" t="n">
        <f aca="false">Sens!$M$10257+Sens!$M$10258-Sens!$M$10256</f>
        <v>0</v>
      </c>
      <c r="N10261" s="41" t="n">
        <f aca="false">Sens!$N$10257+Sens!$N$10258-Sens!$N$10256</f>
        <v>0</v>
      </c>
      <c r="O10261" s="41" t="n">
        <f aca="false">Sens!$O$10257+Sens!$O$10258-Sens!$O$10256</f>
        <v>0</v>
      </c>
    </row>
    <row r="10262" customFormat="false" ht="17.15" hidden="false" customHeight="false" outlineLevel="0" collapsed="false">
      <c r="A10262" s="24" t="s">
        <v>774</v>
      </c>
      <c r="B10262" s="25" t="s">
        <v>86</v>
      </c>
      <c r="C10262" s="41" t="n">
        <f aca="false">Sens!$C$10247+Sens!$C$10248+Sens!$C$10249+Sens!$C$10250+Sens!$C$10251+Sens!$C$10252+Sens!$C$10253-Sens!$C$10259</f>
        <v>0</v>
      </c>
      <c r="D10262" s="41" t="n">
        <f aca="false">Sens!$D$10247+Sens!$D$10248+Sens!$D$10249+Sens!$D$10250+Sens!$D$10251+Sens!$D$10252+Sens!$D$10253-Sens!$D$10259</f>
        <v>0</v>
      </c>
      <c r="E10262" s="41" t="n">
        <f aca="false">Sens!$E$10247+Sens!$E$10248+Sens!$E$10249+Sens!$E$10250+Sens!$E$10251+Sens!$E$10252+Sens!$E$10253-Sens!$E$10259</f>
        <v>0</v>
      </c>
      <c r="F10262" s="41" t="n">
        <f aca="false">Sens!$F$10247+Sens!$F$10248+Sens!$F$10249+Sens!$F$10250+Sens!$F$10251+Sens!$F$10252+Sens!$F$10253-Sens!$F$10259</f>
        <v>0</v>
      </c>
      <c r="G10262" s="41" t="n">
        <f aca="false">Sens!$G$10247+Sens!$G$10248+Sens!$G$10249+Sens!$G$10250+Sens!$G$10251+Sens!$G$10252+Sens!$G$10253-Sens!$G$10259</f>
        <v>0</v>
      </c>
      <c r="H10262" s="41" t="n">
        <f aca="false">Sens!$H$10247+Sens!$H$10248+Sens!$H$10249+Sens!$H$10250+Sens!$H$10251+Sens!$H$10252+Sens!$H$10253-Sens!$H$10259</f>
        <v>0</v>
      </c>
      <c r="I10262" s="41" t="n">
        <f aca="false">Sens!$I$10247+Sens!$I$10248+Sens!$I$10249+Sens!$I$10250+Sens!$I$10251+Sens!$I$10252+Sens!$I$10253-Sens!$I$10259</f>
        <v>0</v>
      </c>
      <c r="J10262" s="41" t="n">
        <f aca="false">Sens!$J$10247+Sens!$J$10248+Sens!$J$10249+Sens!$J$10250+Sens!$J$10251+Sens!$J$10252+Sens!$J$10253-Sens!$J$10259</f>
        <v>0</v>
      </c>
      <c r="K10262" s="41" t="n">
        <f aca="false">Sens!$K$10247+Sens!$K$10248+Sens!$K$10249+Sens!$K$10250+Sens!$K$10251+Sens!$K$10252+Sens!$K$10253-Sens!$K$10259</f>
        <v>0</v>
      </c>
      <c r="L10262" s="41" t="n">
        <f aca="false">Sens!$L$10247+Sens!$L$10248+Sens!$L$10249+Sens!$L$10250+Sens!$L$10251+Sens!$L$10252+Sens!$L$10253-Sens!$L$10259</f>
        <v>0</v>
      </c>
      <c r="M10262" s="41" t="n">
        <f aca="false">Sens!$M$10247+Sens!$M$10248+Sens!$M$10249+Sens!$M$10250+Sens!$M$10251+Sens!$M$10252+Sens!$M$10253-Sens!$M$10259</f>
        <v>0</v>
      </c>
      <c r="N10262" s="41" t="n">
        <f aca="false">Sens!$N$10247+Sens!$N$10248+Sens!$N$10249+Sens!$N$10250+Sens!$N$10251+Sens!$N$10252+Sens!$N$10253-Sens!$N$10259</f>
        <v>0</v>
      </c>
      <c r="O10262" s="41" t="n">
        <f aca="false">Sens!$O$10247+Sens!$O$10248+Sens!$O$10249+Sens!$O$10250+Sens!$O$10251+Sens!$O$10252+Sens!$O$10253-Sens!$O$10259</f>
        <v>0</v>
      </c>
    </row>
    <row r="10263" customFormat="false" ht="17.15" hidden="false" customHeight="false" outlineLevel="0" collapsed="false">
      <c r="A10263" s="24" t="s">
        <v>716</v>
      </c>
      <c r="B10263" s="25" t="s">
        <v>86</v>
      </c>
      <c r="C10263" s="41" t="n">
        <f aca="false">Sens!$C$10254+Sens!$C$10255+Sens!$C$10256-Sens!$C$10259</f>
        <v>0</v>
      </c>
      <c r="D10263" s="41" t="n">
        <f aca="false">Sens!$D$10254+Sens!$D$10255+Sens!$D$10256-Sens!$D$10259</f>
        <v>0</v>
      </c>
      <c r="E10263" s="41" t="n">
        <f aca="false">Sens!$E$10254+Sens!$E$10255+Sens!$E$10256-Sens!$E$10259</f>
        <v>0</v>
      </c>
      <c r="F10263" s="41" t="n">
        <f aca="false">Sens!$F$10254+Sens!$F$10255+Sens!$F$10256-Sens!$F$10259</f>
        <v>0</v>
      </c>
      <c r="G10263" s="41" t="n">
        <f aca="false">Sens!$G$10254+Sens!$G$10255+Sens!$G$10256-Sens!$G$10259</f>
        <v>0</v>
      </c>
      <c r="H10263" s="41" t="n">
        <f aca="false">Sens!$H$10254+Sens!$H$10255+Sens!$H$10256-Sens!$H$10259</f>
        <v>0</v>
      </c>
      <c r="I10263" s="41" t="n">
        <f aca="false">Sens!$I$10254+Sens!$I$10255+Sens!$I$10256-Sens!$I$10259</f>
        <v>0</v>
      </c>
      <c r="J10263" s="41" t="n">
        <f aca="false">Sens!$J$10254+Sens!$J$10255+Sens!$J$10256-Sens!$J$10259</f>
        <v>0</v>
      </c>
      <c r="K10263" s="41" t="n">
        <f aca="false">Sens!$K$10254+Sens!$K$10255+Sens!$K$10256-Sens!$K$10259</f>
        <v>0</v>
      </c>
      <c r="L10263" s="41" t="n">
        <f aca="false">Sens!$L$10254+Sens!$L$10255+Sens!$L$10256-Sens!$L$10259</f>
        <v>0</v>
      </c>
      <c r="M10263" s="41" t="n">
        <f aca="false">Sens!$M$10254+Sens!$M$10255+Sens!$M$10256-Sens!$M$10259</f>
        <v>0</v>
      </c>
      <c r="N10263" s="41" t="n">
        <f aca="false">Sens!$N$10254+Sens!$N$10255+Sens!$N$10256-Sens!$N$10259</f>
        <v>0</v>
      </c>
      <c r="O10263" s="41" t="n">
        <f aca="false">Sens!$O$10254+Sens!$O$10255+Sens!$O$10256-Sens!$O$10259</f>
        <v>0</v>
      </c>
    </row>
    <row r="10264" customFormat="false" ht="17.15" hidden="false" customHeight="false" outlineLevel="0" collapsed="false">
      <c r="A10264" s="1" t="s">
        <v>730</v>
      </c>
    </row>
    <row r="10265" customFormat="false" ht="17.15" hidden="false" customHeight="false" outlineLevel="0" collapsed="false">
      <c r="A10265" s="0" t="s">
        <v>731</v>
      </c>
      <c r="B10265" s="0" t="s">
        <v>86</v>
      </c>
      <c r="C10265" s="38" t="n">
        <f aca="false">Sens!$C$10166*m_ad</f>
        <v>20.5341564414228</v>
      </c>
      <c r="D10265" s="38" t="n">
        <f aca="false">Sens!$D$10166*m_ad</f>
        <v>24.8720617299587</v>
      </c>
      <c r="E10265" s="38" t="n">
        <f aca="false">Sens!$E$10166*m_ad</f>
        <v>13.5017112462207</v>
      </c>
      <c r="F10265" s="38" t="n">
        <f aca="false">Sens!$F$10166*m_ad</f>
        <v>16.5719724165257</v>
      </c>
      <c r="G10265" s="38" t="n">
        <f aca="false">Sens!$G$10166*m_ad</f>
        <v>30.0820919220415</v>
      </c>
      <c r="H10265" s="38" t="n">
        <f aca="false">Sens!$H$10166*m_ad</f>
        <v>36.1150883276314</v>
      </c>
      <c r="I10265" s="38" t="n">
        <f aca="false">Sens!$I$10166*m_ad</f>
        <v>42.1475382231996</v>
      </c>
      <c r="J10265" s="38" t="n">
        <f aca="false">Sens!$J$10166*m_ad</f>
        <v>47.7749523864693</v>
      </c>
      <c r="K10265" s="38" t="n">
        <f aca="false">Sens!$K$10166*m_ad</f>
        <v>52.5524476251162</v>
      </c>
      <c r="L10265" s="38" t="n">
        <f aca="false">Sens!$L$10166*m_ad</f>
        <v>57.8076923876279</v>
      </c>
      <c r="M10265" s="38" t="n">
        <f aca="false">Sens!$M$10166*m_ad</f>
        <v>63.5884616263907</v>
      </c>
      <c r="N10265" s="38" t="n">
        <f aca="false">Sens!$N$10166*m_ad</f>
        <v>10.8543555706248</v>
      </c>
      <c r="O10265" s="38" t="n">
        <f aca="false">Sens!$O$10166*m_ad</f>
        <v>14.0094731821399</v>
      </c>
    </row>
    <row r="10266" customFormat="false" ht="17.15" hidden="false" customHeight="false" outlineLevel="0" collapsed="false">
      <c r="A10266" s="0" t="s">
        <v>732</v>
      </c>
      <c r="B10266" s="0" t="s">
        <v>86</v>
      </c>
      <c r="C10266" s="38" t="n">
        <f aca="false">Sens!$C$10164-Sens!$C$10166</f>
        <v>346.428687117154</v>
      </c>
      <c r="D10266" s="38" t="n">
        <f aca="false">Sens!$D$10164-Sens!$D$10166</f>
        <v>376.560876540083</v>
      </c>
      <c r="E10266" s="38" t="n">
        <f aca="false">Sens!$E$10164-Sens!$E$10166</f>
        <v>193.316577507559</v>
      </c>
      <c r="F10266" s="38" t="n">
        <f aca="false">Sens!$F$10164-Sens!$F$10166</f>
        <v>217.495828647535</v>
      </c>
      <c r="G10266" s="38" t="n">
        <f aca="false">Sens!$G$10164-Sens!$G$10166</f>
        <v>410.795589636503</v>
      </c>
      <c r="H10266" s="38" t="n">
        <f aca="false">Sens!$H$10164-Sens!$H$10166</f>
        <v>449.156813761174</v>
      </c>
      <c r="I10266" s="38" t="n">
        <f aca="false">Sens!$I$10164-Sens!$I$10166</f>
        <v>485.848786441156</v>
      </c>
      <c r="J10266" s="38" t="n">
        <f aca="false">Sens!$J$10164-Sens!$J$10166</f>
        <v>519.841531018994</v>
      </c>
      <c r="K10266" s="38" t="n">
        <f aca="false">Sens!$K$10164-Sens!$K$10166</f>
        <v>550.103332311311</v>
      </c>
      <c r="L10266" s="38" t="n">
        <f aca="false">Sens!$L$10164-Sens!$L$10166</f>
        <v>582.192354474511</v>
      </c>
      <c r="M10266" s="38" t="n">
        <f aca="false">Sens!$M$10164-Sens!$M$10166</f>
        <v>616.22240521081</v>
      </c>
      <c r="N10266" s="38" t="n">
        <f aca="false">Sens!$N$10164-Sens!$N$10166</f>
        <v>171.24628885875</v>
      </c>
      <c r="O10266" s="38" t="n">
        <f aca="false">Sens!$O$10164-Sens!$O$10166</f>
        <v>205.33105363572</v>
      </c>
    </row>
    <row r="10267" customFormat="false" ht="17.15" hidden="false" customHeight="false" outlineLevel="0" collapsed="false">
      <c r="A10267" s="0" t="s">
        <v>733</v>
      </c>
      <c r="B10267" s="0" t="s">
        <v>86</v>
      </c>
      <c r="C10267" s="38" t="n">
        <f aca="false">Sens!$C$10218*Sens!$C$10163</f>
        <v>0.123617442257179</v>
      </c>
      <c r="D10267" s="38" t="n">
        <f aca="false">Sens!$D$10218*Sens!$D$10163</f>
        <v>0.600198046024689</v>
      </c>
      <c r="E10267" s="38" t="n">
        <f aca="false">Sens!$E$10218*Sens!$E$10163</f>
        <v>1.10840000750276</v>
      </c>
      <c r="F10267" s="38" t="n">
        <f aca="false">Sens!$F$10218*Sens!$F$10163</f>
        <v>1.33595298721025</v>
      </c>
      <c r="G10267" s="38" t="n">
        <f aca="false">Sens!$G$10218*Sens!$G$10163</f>
        <v>2.44487335052545</v>
      </c>
      <c r="H10267" s="38" t="n">
        <f aca="false">Sens!$H$10218*Sens!$H$10163</f>
        <v>6.63132711939388</v>
      </c>
      <c r="I10267" s="38" t="n">
        <f aca="false">Sens!$I$10218*Sens!$I$10163</f>
        <v>12.7486799258504</v>
      </c>
      <c r="J10267" s="38" t="n">
        <f aca="false">Sens!$J$10218*Sens!$J$10163</f>
        <v>18.4074045299415</v>
      </c>
      <c r="K10267" s="38" t="n">
        <f aca="false">Sens!$K$10218*Sens!$K$10163</f>
        <v>23.9352810133727</v>
      </c>
      <c r="L10267" s="38" t="n">
        <f aca="false">Sens!$L$10218*Sens!$L$10163</f>
        <v>27.6844216700883</v>
      </c>
      <c r="M10267" s="38" t="n">
        <f aca="false">Sens!$M$10218*Sens!$M$10163</f>
        <v>29.6415739346474</v>
      </c>
      <c r="N10267" s="38" t="n">
        <f aca="false">Sens!$N$10218*Sens!$N$10163</f>
        <v>0.25053229484398</v>
      </c>
      <c r="O10267" s="38" t="n">
        <f aca="false">Sens!$O$10218*Sens!$O$10163</f>
        <v>0.349234376756897</v>
      </c>
    </row>
    <row r="10268" customFormat="false" ht="17.15" hidden="false" customHeight="false" outlineLevel="0" collapsed="false">
      <c r="A10268" s="0" t="s">
        <v>734</v>
      </c>
      <c r="B10268" s="0" t="s">
        <v>52</v>
      </c>
      <c r="C10268" s="28" t="n">
        <f aca="false">(Sens!$C$10269-Sens!$C$10265+Sens!$C$10267)/Sens!$C$10266</f>
        <v>0.0131526665379575</v>
      </c>
      <c r="D10268" s="28" t="n">
        <f aca="false">(Sens!$D$10269-Sens!$D$10265+Sens!$D$10267)/Sens!$D$10266</f>
        <v>0.0141999252954702</v>
      </c>
      <c r="E10268" s="28" t="n">
        <f aca="false">(Sens!$E$10269-Sens!$E$10265+Sens!$E$10267)/Sens!$E$10266</f>
        <v>0.0258471819939326</v>
      </c>
      <c r="F10268" s="28" t="n">
        <f aca="false">Sens!$O$10268+(Sens!$E$10268-Sens!$N$10268)</f>
        <v>0.0224302350712874</v>
      </c>
      <c r="G10268" s="28" t="n">
        <f aca="false">(Sens!$G$10269-Sens!$G$10265+Sens!$G$10267)/Sens!$G$10266</f>
        <v>0.0240199351461372</v>
      </c>
      <c r="H10268" s="28" t="n">
        <f aca="false">Sens!$G$10268+step_na</f>
        <v>0.0270199351461372</v>
      </c>
      <c r="I10268" s="28" t="n">
        <f aca="false">Sens!$H$10268+step_na</f>
        <v>0.0300199351461372</v>
      </c>
      <c r="J10268" s="28" t="n">
        <f aca="false">Sens!$I$10268+step_na</f>
        <v>0.0330199351461372</v>
      </c>
      <c r="K10268" s="28" t="n">
        <f aca="false">Sens!$J$10268+step_na</f>
        <v>0.0360199351461372</v>
      </c>
      <c r="L10268" s="28" t="n">
        <f aca="false">Sens!$K$10268</f>
        <v>0.0360199351461372</v>
      </c>
      <c r="M10268" s="28" t="n">
        <f aca="false">Sens!$L$10268</f>
        <v>0.0360199351461372</v>
      </c>
      <c r="N10268" s="28" t="n">
        <f aca="false">(Sens!$N$10269-Sens!$N$10265+Sens!$N$10267)/Sens!$N$10266</f>
        <v>0.0160831323269779</v>
      </c>
      <c r="O10268" s="28" t="n">
        <f aca="false">(Sens!$O$10269-Sens!$O$10265+Sens!$O$10267)/Sens!$O$10266</f>
        <v>0.0126661854043327</v>
      </c>
      <c r="P10268" s="8" t="s">
        <v>735</v>
      </c>
    </row>
    <row r="10269" customFormat="false" ht="17.15" hidden="false" customHeight="false" outlineLevel="0" collapsed="false">
      <c r="A10269" s="1" t="s">
        <v>736</v>
      </c>
      <c r="B10269" s="8" t="s">
        <v>86</v>
      </c>
      <c r="C10269" s="38" t="n">
        <f aca="false">Q!$D$22</f>
        <v>24.967</v>
      </c>
      <c r="D10269" s="38" t="n">
        <f aca="false">Q!$E$22</f>
        <v>29.619</v>
      </c>
      <c r="E10269" s="38" t="n">
        <f aca="false">Q!$P$22</f>
        <v>17.39</v>
      </c>
      <c r="F10269" s="38" t="n">
        <f aca="false">Sens!$F$10265+Sens!$F$10266*Sens!$F$10268-Sens!$F$10267</f>
        <v>20.1145019929041</v>
      </c>
      <c r="G10269" s="38" t="n">
        <f aca="false">Sens!$E$10269+Sens!$F$10269</f>
        <v>37.5045019929041</v>
      </c>
      <c r="H10269" s="38" t="n">
        <f aca="false">Sens!$H$10265+Sens!$H$10266*Sens!$H$10268-Sens!$H$10267</f>
        <v>41.6199491865101</v>
      </c>
      <c r="I10269" s="38" t="n">
        <f aca="false">Sens!$I$10265+Sens!$I$10266*Sens!$I$10268-Sens!$I$10267</f>
        <v>43.9840073571422</v>
      </c>
      <c r="J10269" s="38" t="n">
        <f aca="false">Sens!$J$10265+Sens!$J$10266*Sens!$J$10268-Sens!$J$10267</f>
        <v>46.5326814970436</v>
      </c>
      <c r="K10269" s="38" t="n">
        <f aca="false">Sens!$K$10265+Sens!$K$10266*Sens!$K$10268-Sens!$K$10267</f>
        <v>48.4318529652709</v>
      </c>
      <c r="L10269" s="38" t="n">
        <f aca="false">Sens!$L$10265+Sens!$L$10266*Sens!$L$10268-Sens!$L$10267</f>
        <v>51.0938015682884</v>
      </c>
      <c r="M10269" s="38" t="n">
        <f aca="false">Sens!$M$10265+Sens!$M$10266*Sens!$M$10268-Sens!$M$10267</f>
        <v>56.1431787630333</v>
      </c>
      <c r="N10269" s="38" t="n">
        <f aca="false">Q!$N$22</f>
        <v>13.358</v>
      </c>
      <c r="O10269" s="38" t="n">
        <f aca="false">Q!$O$22</f>
        <v>16.261</v>
      </c>
    </row>
    <row r="10270" customFormat="false" ht="17.15" hidden="false" customHeight="false" outlineLevel="0" collapsed="false">
      <c r="A10270" s="0" t="s">
        <v>737</v>
      </c>
      <c r="B10270" s="0" t="s">
        <v>86</v>
      </c>
      <c r="C10270" s="38" t="n">
        <f aca="false">Sens!$C$10167*m_ad</f>
        <v>7.57284355857716</v>
      </c>
      <c r="D10270" s="38" t="n">
        <f aca="false">Sens!$D$10167*m_ad</f>
        <v>9.44543827004127</v>
      </c>
      <c r="E10270" s="38" t="n">
        <f aca="false">Sens!$E$10167*m_ad</f>
        <v>5.02428875377928</v>
      </c>
      <c r="F10270" s="38" t="n">
        <f aca="false">Sens!$F$10167*m_ad</f>
        <v>6.50663858068173</v>
      </c>
      <c r="G10270" s="38" t="n">
        <f aca="false">Sens!$G$10167*m_ad</f>
        <v>11.5225190751659</v>
      </c>
      <c r="H10270" s="38" t="n">
        <f aca="false">Sens!$H$10167*m_ad</f>
        <v>13.8333728663174</v>
      </c>
      <c r="I10270" s="38" t="n">
        <f aca="false">Sens!$I$10167*m_ad</f>
        <v>16.1440173245485</v>
      </c>
      <c r="J10270" s="38" t="n">
        <f aca="false">Sens!$J$10167*m_ad</f>
        <v>18.2995185845066</v>
      </c>
      <c r="K10270" s="38" t="n">
        <f aca="false">Sens!$K$10167*m_ad</f>
        <v>20.1294704429572</v>
      </c>
      <c r="L10270" s="38" t="n">
        <f aca="false">Sens!$L$10167*m_ad</f>
        <v>22.142417487253</v>
      </c>
      <c r="M10270" s="38" t="n">
        <f aca="false">Sens!$M$10167*m_ad</f>
        <v>24.3566592359783</v>
      </c>
      <c r="N10270" s="38" t="n">
        <f aca="false">Sens!$N$10167*m_ad</f>
        <v>3.95314442937518</v>
      </c>
      <c r="O10270" s="38" t="n">
        <f aca="false">Sens!$O$10167*m_ad</f>
        <v>5.50052681786011</v>
      </c>
    </row>
    <row r="10271" customFormat="false" ht="17.15" hidden="false" customHeight="false" outlineLevel="0" collapsed="false">
      <c r="A10271" s="0" t="s">
        <v>738</v>
      </c>
      <c r="B10271" s="0" t="s">
        <v>86</v>
      </c>
      <c r="C10271" s="38" t="n">
        <f aca="false">Sens!$C$10165-Sens!$C$10167</f>
        <v>127.760312882846</v>
      </c>
      <c r="D10271" s="38" t="n">
        <f aca="false">Sens!$D$10165-Sens!$D$10167</f>
        <v>143.003123459917</v>
      </c>
      <c r="E10271" s="38" t="n">
        <f aca="false">Sens!$E$10165-Sens!$E$10167</f>
        <v>71.9374224924414</v>
      </c>
      <c r="F10271" s="38" t="n">
        <f aca="false">Sens!$F$10165-Sens!$F$10167</f>
        <v>85.3951910035875</v>
      </c>
      <c r="G10271" s="38" t="n">
        <f aca="false">Sens!$G$10165-Sens!$G$10167</f>
        <v>157.349430014619</v>
      </c>
      <c r="H10271" s="38" t="n">
        <f aca="false">Sens!$H$10165-Sens!$H$10167</f>
        <v>172.043153372315</v>
      </c>
      <c r="I10271" s="38" t="n">
        <f aca="false">Sens!$I$10165-Sens!$I$10167</f>
        <v>186.097493615879</v>
      </c>
      <c r="J10271" s="38" t="n">
        <f aca="false">Sens!$J$10165-Sens!$J$10167</f>
        <v>199.117932780497</v>
      </c>
      <c r="K10271" s="38" t="n">
        <f aca="false">Sens!$K$10165-Sens!$K$10167</f>
        <v>210.70928698363</v>
      </c>
      <c r="L10271" s="38" t="n">
        <f aca="false">Sens!$L$10165-Sens!$L$10167</f>
        <v>223.000532251316</v>
      </c>
      <c r="M10271" s="38" t="n">
        <f aca="false">Sens!$M$10165-Sens!$M$10167</f>
        <v>236.035261011339</v>
      </c>
      <c r="N10271" s="38" t="n">
        <f aca="false">Sens!$N$10165-Sens!$N$10167</f>
        <v>62.3677111412496</v>
      </c>
      <c r="O10271" s="38" t="n">
        <f aca="false">Sens!$O$10165-Sens!$O$10167</f>
        <v>80.6189463642798</v>
      </c>
    </row>
    <row r="10272" customFormat="false" ht="17.15" hidden="false" customHeight="false" outlineLevel="0" collapsed="false">
      <c r="A10272" s="0" t="s">
        <v>739</v>
      </c>
      <c r="B10272" s="0" t="s">
        <v>86</v>
      </c>
      <c r="C10272" s="38" t="n">
        <f aca="false">Sens!$C$10218*(1-Sens!$C$10163)</f>
        <v>0.0455891896019953</v>
      </c>
      <c r="D10272" s="38" t="n">
        <f aca="false">Sens!$D$10218*(1-Sens!$D$10163)</f>
        <v>0.227931791705753</v>
      </c>
      <c r="E10272" s="38" t="n">
        <f aca="false">Sens!$E$10218*(1-Sens!$E$10163)</f>
        <v>0.412460434890711</v>
      </c>
      <c r="F10272" s="38" t="n">
        <f aca="false">Sens!$F$10218*(1-Sens!$F$10163)</f>
        <v>0.524534016233997</v>
      </c>
      <c r="G10272" s="38" t="n">
        <f aca="false">Sens!$G$10218*(1-Sens!$G$10163)</f>
        <v>0.936474095312266</v>
      </c>
      <c r="H10272" s="38" t="n">
        <f aca="false">Sens!$H$10218*(1-Sens!$H$10163)</f>
        <v>2.54003589327823</v>
      </c>
      <c r="I10272" s="38" t="n">
        <f aca="false">Sens!$I$10218*(1-Sens!$I$10163)</f>
        <v>4.88320120852905</v>
      </c>
      <c r="J10272" s="38" t="n">
        <f aca="false">Sens!$J$10218*(1-Sens!$J$10163)</f>
        <v>7.05069548920359</v>
      </c>
      <c r="K10272" s="38" t="n">
        <f aca="false">Sens!$K$10218*(1-Sens!$K$10163)</f>
        <v>9.16807025125686</v>
      </c>
      <c r="L10272" s="38" t="n">
        <f aca="false">Sens!$L$10218*(1-Sens!$L$10163)</f>
        <v>10.6041254579372</v>
      </c>
      <c r="M10272" s="38" t="n">
        <f aca="false">Sens!$M$10218*(1-Sens!$M$10163)</f>
        <v>11.3537849018292</v>
      </c>
      <c r="N10272" s="38" t="n">
        <f aca="false">Sens!$N$10218*(1-Sens!$N$10163)</f>
        <v>0.0912435878202994</v>
      </c>
      <c r="O10272" s="38" t="n">
        <f aca="false">Sens!$O$10218*(1-Sens!$O$10163)</f>
        <v>0.137119578309265</v>
      </c>
    </row>
    <row r="10273" customFormat="false" ht="17.15" hidden="false" customHeight="false" outlineLevel="0" collapsed="false">
      <c r="A10273" s="0" t="s">
        <v>740</v>
      </c>
      <c r="B10273" s="0" t="s">
        <v>52</v>
      </c>
      <c r="C10273" s="28" t="n">
        <f aca="false">(Sens!$C$10274-Sens!$C$10270+Sens!$C$10272)/Sens!$C$10271</f>
        <v>-0.0292364215826579</v>
      </c>
      <c r="D10273" s="28" t="n">
        <f aca="false">(Sens!$D$10274-Sens!$D$10270+Sens!$D$10272)/Sens!$D$10271</f>
        <v>-0.0312406216748665</v>
      </c>
      <c r="E10273" s="28" t="n">
        <f aca="false">(Sens!$E$10274-Sens!$E$10270+Sens!$E$10272)/Sens!$E$10271</f>
        <v>-0.0204459413185552</v>
      </c>
      <c r="F10273" s="28" t="n">
        <f aca="false">Sens!$O$10273+(Sens!$E$10273-Sens!$N$10273)</f>
        <v>-0.0375409290246314</v>
      </c>
      <c r="G10273" s="28" t="n">
        <f aca="false">(Sens!$G$10274-Sens!$G$10270+Sens!$G$10272)/Sens!$G$10271</f>
        <v>-0.0296712560031684</v>
      </c>
      <c r="H10273" s="28" t="n">
        <f aca="false">Sens!$G$10273+step_in</f>
        <v>-0.0296712560031684</v>
      </c>
      <c r="I10273" s="28" t="n">
        <f aca="false">Sens!$H$10273+step_in</f>
        <v>-0.0296712560031684</v>
      </c>
      <c r="J10273" s="28" t="n">
        <f aca="false">Sens!$I$10273+step_in</f>
        <v>-0.0296712560031684</v>
      </c>
      <c r="K10273" s="28" t="n">
        <f aca="false">Sens!$J$10273+step_in</f>
        <v>-0.0296712560031684</v>
      </c>
      <c r="L10273" s="28" t="n">
        <f aca="false">Sens!$K$10273</f>
        <v>-0.0296712560031684</v>
      </c>
      <c r="M10273" s="28" t="n">
        <f aca="false">Sens!$L$10273</f>
        <v>-0.0296712560031684</v>
      </c>
      <c r="N10273" s="28" t="n">
        <f aca="false">(Sens!$N$10274-Sens!$N$10270+Sens!$N$10272)/Sens!$N$10271</f>
        <v>-0.0216602600421776</v>
      </c>
      <c r="O10273" s="28" t="n">
        <f aca="false">(Sens!$O$10274-Sens!$O$10270+Sens!$O$10272)/Sens!$O$10271</f>
        <v>-0.0387552477482538</v>
      </c>
      <c r="P10273" s="8" t="s">
        <v>735</v>
      </c>
    </row>
    <row r="10274" customFormat="false" ht="17.15" hidden="false" customHeight="false" outlineLevel="0" collapsed="false">
      <c r="A10274" s="1" t="s">
        <v>741</v>
      </c>
      <c r="B10274" s="8" t="s">
        <v>86</v>
      </c>
      <c r="C10274" s="38" t="n">
        <f aca="false">Q!$D$23</f>
        <v>3.792</v>
      </c>
      <c r="D10274" s="38" t="n">
        <f aca="false">Q!$E$23</f>
        <v>4.75</v>
      </c>
      <c r="E10274" s="38" t="n">
        <f aca="false">Q!$P$23</f>
        <v>3.141</v>
      </c>
      <c r="F10274" s="38" t="n">
        <f aca="false">Sens!$F$10270+Sens!$F$10271*Sens!$F$10273-Sens!$F$10272</f>
        <v>2.77628975993721</v>
      </c>
      <c r="G10274" s="38" t="n">
        <f aca="false">Sens!$E$10274+Sens!$F$10274</f>
        <v>5.91728975993721</v>
      </c>
      <c r="H10274" s="38" t="n">
        <f aca="false">Sens!$H$10270+Sens!$H$10271*Sens!$H$10273-Sens!$H$10272</f>
        <v>6.18860052573681</v>
      </c>
      <c r="I10274" s="38" t="n">
        <f aca="false">Sens!$I$10270+Sens!$I$10271*Sens!$I$10273-Sens!$I$10272</f>
        <v>5.73906974139474</v>
      </c>
      <c r="J10274" s="38" t="n">
        <f aca="false">Sens!$J$10270+Sens!$J$10271*Sens!$J$10273-Sens!$J$10272</f>
        <v>5.34074393695119</v>
      </c>
      <c r="K10274" s="38" t="n">
        <f aca="false">Sens!$K$10270+Sens!$K$10271*Sens!$K$10273-Sens!$K$10272</f>
        <v>4.70939099536401</v>
      </c>
      <c r="L10274" s="38" t="n">
        <f aca="false">Sens!$L$10270+Sens!$L$10271*Sens!$L$10273-Sens!$L$10272</f>
        <v>4.92158614804412</v>
      </c>
      <c r="M10274" s="38" t="n">
        <f aca="false">Sens!$M$10270+Sens!$M$10271*Sens!$M$10273-Sens!$M$10272</f>
        <v>5.99941167890691</v>
      </c>
      <c r="N10274" s="38" t="n">
        <f aca="false">Q!$N$23</f>
        <v>2.511</v>
      </c>
      <c r="O10274" s="38" t="n">
        <f aca="false">Q!$O$23</f>
        <v>2.239</v>
      </c>
    </row>
    <row r="10275" customFormat="false" ht="17.15" hidden="false" customHeight="false" outlineLevel="0" collapsed="false">
      <c r="A10275" s="0" t="s">
        <v>742</v>
      </c>
      <c r="B10275" s="0" t="s">
        <v>86</v>
      </c>
      <c r="C10275" s="38" t="n">
        <f aca="false">Sens!$C$10215</f>
        <v>1.64417882953695</v>
      </c>
      <c r="D10275" s="38" t="n">
        <f aca="false">Sens!$D$10215</f>
        <v>5.39125073772939</v>
      </c>
      <c r="E10275" s="38" t="n">
        <f aca="false">Sens!$E$10215</f>
        <v>2.42691120599613</v>
      </c>
      <c r="F10275" s="38" t="n">
        <f aca="false">Sens!$F$10215</f>
        <v>7.52148563094346</v>
      </c>
      <c r="G10275" s="38" t="n">
        <f aca="false">Sens!$G$10215</f>
        <v>9.94839683693959</v>
      </c>
      <c r="H10275" s="38" t="n">
        <f aca="false">Sens!$H$10215</f>
        <v>23.4804386990861</v>
      </c>
      <c r="I10275" s="38" t="n">
        <f aca="false">Sens!$I$10215</f>
        <v>30.9761745989143</v>
      </c>
      <c r="J10275" s="38" t="n">
        <f aca="false">Sens!$J$10215</f>
        <v>41.1930070746977</v>
      </c>
      <c r="K10275" s="38" t="n">
        <f aca="false">Sens!$K$10215</f>
        <v>45.7487132269171</v>
      </c>
      <c r="L10275" s="38" t="n">
        <f aca="false">Sens!$L$10215</f>
        <v>47.4367140310386</v>
      </c>
      <c r="M10275" s="38" t="n">
        <f aca="false">Sens!$M$10215</f>
        <v>46.2992355967948</v>
      </c>
      <c r="N10275" s="38" t="n">
        <f aca="false">Sens!$N$10215</f>
        <v>1.67921600037079</v>
      </c>
      <c r="O10275" s="38" t="n">
        <f aca="false">Sens!$O$10215</f>
        <v>3.71203473735861</v>
      </c>
    </row>
    <row r="10276" customFormat="false" ht="17.15" hidden="false" customHeight="false" outlineLevel="0" collapsed="false">
      <c r="A10276" s="0" t="s">
        <v>660</v>
      </c>
      <c r="B10276" s="0" t="s">
        <v>86</v>
      </c>
      <c r="C10276" s="38" t="n">
        <f aca="false">Sens!$C$10220</f>
        <v>38.1898211704631</v>
      </c>
      <c r="D10276" s="38" t="n">
        <f aca="false">Sens!$D$10220</f>
        <v>40.2147492622706</v>
      </c>
      <c r="E10276" s="38" t="n">
        <f aca="false">Sens!$E$10220</f>
        <v>28.3550887940039</v>
      </c>
      <c r="F10276" s="38" t="n">
        <f aca="false">Sens!$F$10220</f>
        <v>25.9529793149447</v>
      </c>
      <c r="G10276" s="38" t="n">
        <f aca="false">Sens!$G$10220</f>
        <v>54.3080681089486</v>
      </c>
      <c r="H10276" s="38" t="n">
        <f aca="false">Sens!$H$10220</f>
        <v>58.2264684589333</v>
      </c>
      <c r="I10276" s="38" t="n">
        <f aca="false">Sens!$I$10220</f>
        <v>64.6461353851744</v>
      </c>
      <c r="J10276" s="38" t="n">
        <f aca="false">Sens!$J$10220</f>
        <v>70.7957093610231</v>
      </c>
      <c r="K10276" s="38" t="n">
        <f aca="false">Sens!$K$10220</f>
        <v>76.4593661099049</v>
      </c>
      <c r="L10276" s="38" t="n">
        <f aca="false">Sens!$L$10220</f>
        <v>82.5761153986973</v>
      </c>
      <c r="M10276" s="38" t="n">
        <f aca="false">Sens!$M$10220</f>
        <v>89.1822046305931</v>
      </c>
      <c r="N10276" s="38" t="n">
        <f aca="false">Sens!$N$10220</f>
        <v>20.0277839996292</v>
      </c>
      <c r="O10276" s="38" t="n">
        <f aca="false">Sens!$O$10220</f>
        <v>20.1869652626414</v>
      </c>
    </row>
    <row r="10277" customFormat="false" ht="17.15" hidden="false" customHeight="false" outlineLevel="0" collapsed="false">
      <c r="A10277" s="1" t="s">
        <v>743</v>
      </c>
      <c r="B10277" s="8" t="s">
        <v>86</v>
      </c>
      <c r="C10277" s="38" t="n">
        <f aca="false">Q!$D$24</f>
        <v>39.834</v>
      </c>
      <c r="D10277" s="38" t="n">
        <f aca="false">Q!$E$24</f>
        <v>45.606</v>
      </c>
      <c r="E10277" s="38" t="n">
        <f aca="false">Q!$P$24</f>
        <v>30.782</v>
      </c>
      <c r="F10277" s="38" t="n">
        <f aca="false">Sens!$F$10275+Sens!$F$10276</f>
        <v>33.4744649458882</v>
      </c>
      <c r="G10277" s="38" t="n">
        <f aca="false">Sens!$G$10275+Sens!$G$10276</f>
        <v>64.2564649458882</v>
      </c>
      <c r="H10277" s="38" t="n">
        <f aca="false">Sens!$H$10275+Sens!$H$10276</f>
        <v>81.7069071580194</v>
      </c>
      <c r="I10277" s="38" t="n">
        <f aca="false">Sens!$I$10275+Sens!$I$10276</f>
        <v>95.6223099840887</v>
      </c>
      <c r="J10277" s="38" t="n">
        <f aca="false">Sens!$J$10275+Sens!$J$10276</f>
        <v>111.988716435721</v>
      </c>
      <c r="K10277" s="38" t="n">
        <f aca="false">Sens!$K$10275+Sens!$K$10276</f>
        <v>122.208079336822</v>
      </c>
      <c r="L10277" s="38" t="n">
        <f aca="false">Sens!$L$10275+Sens!$L$10276</f>
        <v>130.012829429736</v>
      </c>
      <c r="M10277" s="38" t="n">
        <f aca="false">Sens!$M$10275+Sens!$M$10276</f>
        <v>135.481440227388</v>
      </c>
      <c r="N10277" s="38" t="n">
        <f aca="false">Q!$N$24</f>
        <v>21.707</v>
      </c>
      <c r="O10277" s="38" t="n">
        <f aca="false">Q!$O$24</f>
        <v>23.899</v>
      </c>
    </row>
    <row r="10278" customFormat="false" ht="17.15" hidden="false" customHeight="false" outlineLevel="0" collapsed="false">
      <c r="A10278" s="5" t="s">
        <v>744</v>
      </c>
      <c r="B10278" s="0" t="s">
        <v>86</v>
      </c>
      <c r="C10278" s="38" t="n">
        <f aca="false">Q!$D$26</f>
        <v>0</v>
      </c>
      <c r="D10278" s="38" t="n">
        <f aca="false">Q!$E$26</f>
        <v>0</v>
      </c>
      <c r="E10278" s="38" t="n">
        <f aca="false">Q!$P$26</f>
        <v>0</v>
      </c>
      <c r="F10278" s="39" t="n">
        <v>0</v>
      </c>
      <c r="G10278" s="38" t="n">
        <f aca="false">Sens!$E$10278+Sens!$F$10278</f>
        <v>0</v>
      </c>
      <c r="H10278" s="39" t="n">
        <v>0</v>
      </c>
      <c r="I10278" s="39" t="n">
        <v>0</v>
      </c>
      <c r="J10278" s="39" t="n">
        <v>0</v>
      </c>
      <c r="K10278" s="39" t="n">
        <v>0</v>
      </c>
      <c r="L10278" s="39" t="n">
        <v>0</v>
      </c>
      <c r="M10278" s="39" t="n">
        <v>0</v>
      </c>
      <c r="N10278" s="38" t="n">
        <f aca="false">Q!$N$26</f>
        <v>0</v>
      </c>
      <c r="O10278" s="38" t="n">
        <f aca="false">Q!$O$26</f>
        <v>0</v>
      </c>
    </row>
    <row r="10279" customFormat="false" ht="15" hidden="false" customHeight="false" outlineLevel="0" collapsed="false">
      <c r="A10279" s="3" t="s">
        <v>541</v>
      </c>
      <c r="B10279" s="8" t="s">
        <v>86</v>
      </c>
      <c r="C10279" s="38" t="n">
        <f aca="false">Q!$D$25</f>
        <v>68.593</v>
      </c>
      <c r="D10279" s="38" t="n">
        <f aca="false">Q!$E$25</f>
        <v>79.975</v>
      </c>
      <c r="E10279" s="38" t="n">
        <f aca="false">Q!$P$25</f>
        <v>51.313</v>
      </c>
      <c r="F10279" s="38" t="n">
        <f aca="false">Sens!$F$10269+Sens!$F$10274+Sens!$F$10277+Sens!$F$10278</f>
        <v>56.3652566987294</v>
      </c>
      <c r="G10279" s="38" t="n">
        <f aca="false">Sens!$G$10269+Sens!$G$10274+Sens!$G$10277+Sens!$G$10278</f>
        <v>107.678256698729</v>
      </c>
      <c r="H10279" s="38" t="n">
        <f aca="false">Sens!$H$10269+Sens!$H$10274+Sens!$H$10277+Sens!$H$10278</f>
        <v>129.515456870266</v>
      </c>
      <c r="I10279" s="38" t="n">
        <f aca="false">Sens!$I$10269+Sens!$I$10274+Sens!$I$10277+Sens!$I$10278</f>
        <v>145.345387082626</v>
      </c>
      <c r="J10279" s="38" t="n">
        <f aca="false">Sens!$J$10269+Sens!$J$10274+Sens!$J$10277+Sens!$J$10278</f>
        <v>163.862141869716</v>
      </c>
      <c r="K10279" s="38" t="n">
        <f aca="false">Sens!$K$10269+Sens!$K$10274+Sens!$K$10277+Sens!$K$10278</f>
        <v>175.349323297457</v>
      </c>
      <c r="L10279" s="38" t="n">
        <f aca="false">Sens!$L$10269+Sens!$L$10274+Sens!$L$10277+Sens!$L$10278</f>
        <v>186.028217146068</v>
      </c>
      <c r="M10279" s="38" t="n">
        <f aca="false">Sens!$M$10269+Sens!$M$10274+Sens!$M$10277+Sens!$M$10278</f>
        <v>197.624030669328</v>
      </c>
      <c r="N10279" s="38" t="n">
        <f aca="false">Q!$N$25</f>
        <v>37.576</v>
      </c>
      <c r="O10279" s="38" t="n">
        <f aca="false">Q!$O$25</f>
        <v>42.399</v>
      </c>
    </row>
    <row r="10280" customFormat="false" ht="17.15" hidden="false" customHeight="false" outlineLevel="0" collapsed="false">
      <c r="A10280" s="24" t="s">
        <v>775</v>
      </c>
      <c r="B10280" s="25" t="s">
        <v>86</v>
      </c>
      <c r="C10280" s="41" t="n">
        <f aca="false">Sens!$C$10269+Sens!$C$10274+Sens!$C$10277+Sens!$C$10278-Sens!$C$10279</f>
        <v>0</v>
      </c>
      <c r="D10280" s="41" t="n">
        <f aca="false">Sens!$D$10269+Sens!$D$10274+Sens!$D$10277+Sens!$D$10278-Sens!$D$10279</f>
        <v>0</v>
      </c>
      <c r="E10280" s="41" t="n">
        <f aca="false">Sens!$E$10269+Sens!$E$10274+Sens!$E$10277+Sens!$E$10278-Sens!$E$10279</f>
        <v>0</v>
      </c>
      <c r="F10280" s="41" t="n">
        <f aca="false">Sens!$F$10269+Sens!$F$10274+Sens!$F$10277+Sens!$F$10278-Sens!$F$10279</f>
        <v>0</v>
      </c>
      <c r="G10280" s="41" t="n">
        <f aca="false">Sens!$G$10269+Sens!$G$10274+Sens!$G$10277+Sens!$G$10278-Sens!$G$10279</f>
        <v>0</v>
      </c>
      <c r="H10280" s="41" t="n">
        <f aca="false">Sens!$H$10269+Sens!$H$10274+Sens!$H$10277+Sens!$H$10278-Sens!$H$10279</f>
        <v>0</v>
      </c>
      <c r="I10280" s="41" t="n">
        <f aca="false">Sens!$I$10269+Sens!$I$10274+Sens!$I$10277+Sens!$I$10278-Sens!$I$10279</f>
        <v>0</v>
      </c>
      <c r="J10280" s="41" t="n">
        <f aca="false">Sens!$J$10269+Sens!$J$10274+Sens!$J$10277+Sens!$J$10278-Sens!$J$10279</f>
        <v>0</v>
      </c>
      <c r="K10280" s="41" t="n">
        <f aca="false">Sens!$K$10269+Sens!$K$10274+Sens!$K$10277+Sens!$K$10278-Sens!$K$10279</f>
        <v>0</v>
      </c>
      <c r="L10280" s="41" t="n">
        <f aca="false">Sens!$L$10269+Sens!$L$10274+Sens!$L$10277+Sens!$L$10278-Sens!$L$10279</f>
        <v>0</v>
      </c>
      <c r="M10280" s="41" t="n">
        <f aca="false">Sens!$M$10269+Sens!$M$10274+Sens!$M$10277+Sens!$M$10278-Sens!$M$10279</f>
        <v>0</v>
      </c>
      <c r="N10280" s="41" t="n">
        <f aca="false">Sens!$N$10269+Sens!$N$10274+Sens!$N$10277+Sens!$N$10278-Sens!$N$10279</f>
        <v>0</v>
      </c>
      <c r="O10280" s="41" t="n">
        <f aca="false">Sens!$O$10269+Sens!$O$10274+Sens!$O$10277+Sens!$O$10278-Sens!$O$10279</f>
        <v>0</v>
      </c>
    </row>
    <row r="10281" customFormat="false" ht="17.15" hidden="false" customHeight="false" outlineLevel="0" collapsed="false">
      <c r="A10281" s="5" t="s">
        <v>746</v>
      </c>
      <c r="B10281" s="0" t="s">
        <v>86</v>
      </c>
      <c r="C10281" s="38" t="n">
        <f aca="false">Sens!$C$10217</f>
        <v>0</v>
      </c>
      <c r="D10281" s="38" t="n">
        <f aca="false">Sens!$D$10217</f>
        <v>0</v>
      </c>
      <c r="E10281" s="38" t="n">
        <f aca="false">Sens!$E$10217</f>
        <v>0</v>
      </c>
      <c r="F10281" s="38" t="n">
        <f aca="false">Sens!$F$10217</f>
        <v>3.77122048175818</v>
      </c>
      <c r="G10281" s="38" t="n">
        <f aca="false">Sens!$G$10217</f>
        <v>3.77122048175818</v>
      </c>
      <c r="H10281" s="38" t="n">
        <f aca="false">Sens!$H$10217</f>
        <v>15.1635543609893</v>
      </c>
      <c r="I10281" s="38" t="n">
        <f aca="false">Sens!$I$10217</f>
        <v>25.5818843619889</v>
      </c>
      <c r="J10281" s="38" t="n">
        <f aca="false">Sens!$J$10217</f>
        <v>36.0465624179122</v>
      </c>
      <c r="K10281" s="38" t="n">
        <f aca="false">Sens!$K$10217</f>
        <v>44.9020355557576</v>
      </c>
      <c r="L10281" s="38" t="n">
        <f aca="false">Sens!$L$10217</f>
        <v>50.55474151763</v>
      </c>
      <c r="M10281" s="38" t="n">
        <f aca="false">Sens!$M$10217</f>
        <v>52.9968449759368</v>
      </c>
      <c r="N10281" s="38" t="n">
        <f aca="false">Sens!$N$10217</f>
        <v>0</v>
      </c>
      <c r="O10281" s="38" t="n">
        <f aca="false">Sens!$O$10217</f>
        <v>0</v>
      </c>
      <c r="P10281" s="5" t="s">
        <v>747</v>
      </c>
    </row>
    <row r="10282" customFormat="false" ht="17.15" hidden="false" customHeight="false" outlineLevel="0" collapsed="false">
      <c r="A10282" s="5" t="s">
        <v>748</v>
      </c>
      <c r="B10282" s="0" t="s">
        <v>86</v>
      </c>
      <c r="C10282" s="38" t="n">
        <f aca="false">Sens!$C$10279+Sens!$C$10281</f>
        <v>68.593</v>
      </c>
      <c r="D10282" s="38" t="n">
        <f aca="false">Sens!$D$10279+Sens!$D$10281</f>
        <v>79.975</v>
      </c>
      <c r="E10282" s="38" t="n">
        <f aca="false">Sens!$E$10279+Sens!$E$10281</f>
        <v>51.313</v>
      </c>
      <c r="F10282" s="38" t="n">
        <f aca="false">Sens!$F$10279+Sens!$F$10281</f>
        <v>60.1364771804876</v>
      </c>
      <c r="G10282" s="38" t="n">
        <f aca="false">Sens!$G$10279+Sens!$G$10281</f>
        <v>111.449477180488</v>
      </c>
      <c r="H10282" s="38" t="n">
        <f aca="false">Sens!$H$10279+Sens!$H$10281</f>
        <v>144.679011231256</v>
      </c>
      <c r="I10282" s="38" t="n">
        <f aca="false">Sens!$I$10279+Sens!$I$10281</f>
        <v>170.927271444615</v>
      </c>
      <c r="J10282" s="38" t="n">
        <f aca="false">Sens!$J$10279+Sens!$J$10281</f>
        <v>199.908704287628</v>
      </c>
      <c r="K10282" s="38" t="n">
        <f aca="false">Sens!$K$10279+Sens!$K$10281</f>
        <v>220.251358853214</v>
      </c>
      <c r="L10282" s="38" t="n">
        <f aca="false">Sens!$L$10279+Sens!$L$10281</f>
        <v>236.582958663698</v>
      </c>
      <c r="M10282" s="38" t="n">
        <f aca="false">Sens!$M$10279+Sens!$M$10281</f>
        <v>250.620875645265</v>
      </c>
      <c r="N10282" s="38" t="n">
        <f aca="false">Sens!$N$10279+Sens!$N$10281</f>
        <v>37.576</v>
      </c>
      <c r="O10282" s="38" t="n">
        <f aca="false">Sens!$O$10279+Sens!$O$10281</f>
        <v>42.399</v>
      </c>
    </row>
    <row r="10283" customFormat="false" ht="17.15" hidden="false" customHeight="false" outlineLevel="0" collapsed="false">
      <c r="A10283" s="0" t="s">
        <v>749</v>
      </c>
      <c r="B10283" s="0" t="s">
        <v>52</v>
      </c>
      <c r="C10283" s="13" t="n">
        <f aca="false">Sens!$C$10269/Sens!$C$10254</f>
        <v>0.0644314665661928</v>
      </c>
      <c r="D10283" s="13" t="n">
        <f aca="false">Sens!$D$10269/Sens!$D$10254</f>
        <v>0.0694784250712518</v>
      </c>
      <c r="E10283" s="13" t="n">
        <f aca="false">Sens!$E$10269/Sens!$E$10254</f>
        <v>0.0789306463326071</v>
      </c>
      <c r="F10283" s="13" t="n">
        <f aca="false">Sens!$F$10269/Sens!$F$10254</f>
        <v>0.0802526339438384</v>
      </c>
      <c r="G10283" s="13" t="n">
        <f aca="false">Sens!$G$10269/Sens!$G$10254</f>
        <v>0.0796341940538369</v>
      </c>
      <c r="H10283" s="13" t="n">
        <f aca="false">Sens!$H$10269/Sens!$H$10254</f>
        <v>0.0798254462645258</v>
      </c>
      <c r="I10283" s="13" t="n">
        <f aca="false">Sens!$I$10269/Sens!$I$10254</f>
        <v>0.0771454543672196</v>
      </c>
      <c r="J10283" s="13" t="n">
        <f aca="false">Sens!$J$10269/Sens!$J$10254</f>
        <v>0.0756147693819656</v>
      </c>
      <c r="K10283" s="13" t="n">
        <f aca="false">Sens!$K$10269/Sens!$K$10254</f>
        <v>0.0739182612915551</v>
      </c>
      <c r="L10283" s="13" t="n">
        <f aca="false">Sens!$L$10269/Sens!$L$10254</f>
        <v>0.0732204570032725</v>
      </c>
      <c r="M10283" s="13" t="n">
        <f aca="false">Sens!$M$10269/Sens!$M$10254</f>
        <v>0.0755222349730478</v>
      </c>
      <c r="N10283" s="13" t="n">
        <f aca="false">Sens!$N$10269/Sens!$N$10254</f>
        <v>0.069228576611127</v>
      </c>
      <c r="O10283" s="13" t="n">
        <f aca="false">Sens!$O$10269/Sens!$O$10254</f>
        <v>0.069685022498393</v>
      </c>
    </row>
    <row r="10284" customFormat="false" ht="17.15" hidden="false" customHeight="false" outlineLevel="0" collapsed="false">
      <c r="A10284" s="0" t="s">
        <v>750</v>
      </c>
      <c r="B10284" s="0" t="s">
        <v>52</v>
      </c>
      <c r="C10284" s="13" t="n">
        <f aca="false">Sens!$C$10274/Sens!$C$10255</f>
        <v>0.026534925055631</v>
      </c>
      <c r="D10284" s="13" t="n">
        <f aca="false">Sens!$D$10274/Sens!$D$10255</f>
        <v>0.0293401855535103</v>
      </c>
      <c r="E10284" s="13" t="n">
        <f aca="false">Sens!$E$10274/Sens!$E$10255</f>
        <v>0.03831141902276</v>
      </c>
      <c r="F10284" s="13" t="n">
        <f aca="false">Sens!$F$10274/Sens!$F$10255</f>
        <v>0.0282118989524726</v>
      </c>
      <c r="G10284" s="13" t="n">
        <f aca="false">Sens!$G$10274/Sens!$G$10255</f>
        <v>0.0328019468674976</v>
      </c>
      <c r="H10284" s="13" t="n">
        <f aca="false">Sens!$H$10274/Sens!$H$10255</f>
        <v>0.0309879507899839</v>
      </c>
      <c r="I10284" s="13" t="n">
        <f aca="false">Sens!$I$10274/Sens!$I$10255</f>
        <v>0.0262795332043765</v>
      </c>
      <c r="J10284" s="13" t="n">
        <f aca="false">Sens!$J$10274/Sens!$J$10255</f>
        <v>0.0226574435353346</v>
      </c>
      <c r="K10284" s="13" t="n">
        <f aca="false">Sens!$K$10274/Sens!$K$10255</f>
        <v>0.0187648892265837</v>
      </c>
      <c r="L10284" s="13" t="n">
        <f aca="false">Sens!$L$10274/Sens!$L$10255</f>
        <v>0.0184132270281972</v>
      </c>
      <c r="M10284" s="13" t="n">
        <f aca="false">Sens!$M$10274/Sens!$M$10255</f>
        <v>0.0210691540227995</v>
      </c>
      <c r="N10284" s="13" t="n">
        <f aca="false">Sens!$N$10274/Sens!$N$10255</f>
        <v>0.0357315650169337</v>
      </c>
      <c r="O10284" s="13" t="n">
        <f aca="false">Sens!$O$10274/Sens!$O$10255</f>
        <v>0.0244378956559703</v>
      </c>
    </row>
    <row r="10285" customFormat="false" ht="17.15" hidden="false" customHeight="false" outlineLevel="0" collapsed="false">
      <c r="A10285" s="14" t="s">
        <v>751</v>
      </c>
      <c r="B10285" s="14" t="s">
        <v>52</v>
      </c>
      <c r="C10285" s="17" t="n">
        <f aca="false">Sens!$C$10277/Sens!$C$10256</f>
        <v>0.370355907620217</v>
      </c>
      <c r="D10285" s="17" t="n">
        <f aca="false">Sens!$D$10277/Sens!$D$10256</f>
        <v>0.35429015342785</v>
      </c>
      <c r="E10285" s="17" t="n">
        <f aca="false">Sens!$E$10277/Sens!$E$10256</f>
        <v>0.385647527531039</v>
      </c>
      <c r="F10285" s="17" t="n">
        <f aca="false">Sens!$F$10277/Sens!$F$10256</f>
        <v>0.385949613469105</v>
      </c>
      <c r="G10285" s="17" t="n">
        <f aca="false">Sens!$G$10277/Sens!$G$10256</f>
        <v>0.385804840448779</v>
      </c>
      <c r="H10285" s="17" t="n">
        <f aca="false">Sens!$H$10277/Sens!$H$10256</f>
        <v>0.369408675360557</v>
      </c>
      <c r="I10285" s="17" t="n">
        <f aca="false">Sens!$I$10277/Sens!$I$10256</f>
        <v>0.34117504540738</v>
      </c>
      <c r="J10285" s="17" t="n">
        <f aca="false">Sens!$J$10277/Sens!$J$10256</f>
        <v>0.330544285732563</v>
      </c>
      <c r="K10285" s="17" t="n">
        <f aca="false">Sens!$K$10277/Sens!$K$10256</f>
        <v>0.31367601035849</v>
      </c>
      <c r="L10285" s="17" t="n">
        <f aca="false">Sens!$L$10277/Sens!$L$10256</f>
        <v>0.303100134223737</v>
      </c>
      <c r="M10285" s="17" t="n">
        <f aca="false">Sens!$M$10277/Sens!$M$10256</f>
        <v>0.296522227328686</v>
      </c>
      <c r="N10285" s="17" t="n">
        <f aca="false">Sens!$N$10277/Sens!$N$10256</f>
        <v>0.360941137346192</v>
      </c>
      <c r="O10285" s="17" t="n">
        <f aca="false">Sens!$O$10277/Sens!$O$10256</f>
        <v>0.348458117664212</v>
      </c>
    </row>
    <row r="10286" customFormat="false" ht="17.15" hidden="false" customHeight="false" outlineLevel="0" collapsed="false">
      <c r="A10286" s="0" t="s">
        <v>752</v>
      </c>
      <c r="B10286" s="0" t="s">
        <v>52</v>
      </c>
      <c r="C10286" s="13" t="n">
        <f aca="false">Sens!$C$10275/Sens!$C$10257</f>
        <v>0.708390794789371</v>
      </c>
      <c r="D10286" s="13" t="n">
        <f aca="false">Sens!$D$10275/Sens!$D$10257</f>
        <v>0.619415573115729</v>
      </c>
      <c r="E10286" s="13" t="n">
        <f aca="false">Sens!$E$10275/Sens!$E$10257</f>
        <v>0.285171627189009</v>
      </c>
      <c r="F10286" s="13" t="n">
        <f aca="false">Sens!$F$10275/Sens!$F$10257</f>
        <v>0.502657732812366</v>
      </c>
      <c r="G10286" s="13" t="n">
        <f aca="false">Sens!$G$10275/Sens!$G$10257</f>
        <v>0.423808778611812</v>
      </c>
      <c r="H10286" s="13" t="n">
        <f aca="false">Sens!$H$10275/Sens!$H$10257</f>
        <v>0.390261631739809</v>
      </c>
      <c r="I10286" s="13" t="n">
        <f aca="false">Sens!$I$10275/Sens!$I$10257</f>
        <v>0.305172864264572</v>
      </c>
      <c r="J10286" s="13" t="n">
        <f aca="false">Sens!$J$10275/Sens!$J$10257</f>
        <v>0.288011814789856</v>
      </c>
      <c r="K10286" s="13" t="n">
        <f aca="false">Sens!$K$10275/Sens!$K$10257</f>
        <v>0.256781372309587</v>
      </c>
      <c r="L10286" s="13" t="n">
        <f aca="false">Sens!$L$10275/Sens!$L$10257</f>
        <v>0.236484872592048</v>
      </c>
      <c r="M10286" s="13" t="n">
        <f aca="false">Sens!$M$10275/Sens!$M$10257</f>
        <v>0.220178275964369</v>
      </c>
      <c r="N10286" s="13" t="n">
        <f aca="false">Sens!$N$10275/Sens!$N$10257</f>
        <v>0.551227795793364</v>
      </c>
      <c r="O10286" s="13" t="n">
        <f aca="false">Sens!$O$10275/Sens!$O$10257</f>
        <v>0.656132068597002</v>
      </c>
    </row>
    <row r="10287" customFormat="false" ht="15" hidden="false" customHeight="false" outlineLevel="0" collapsed="false">
      <c r="A10287" s="5" t="s">
        <v>753</v>
      </c>
      <c r="B10287" s="0" t="s">
        <v>52</v>
      </c>
      <c r="C10287" s="13" t="n">
        <f aca="false">Sens!$C$10279/Sens!$C$10259</f>
        <v>0.107519448742004</v>
      </c>
      <c r="D10287" s="13" t="n">
        <f aca="false">Sens!$D$10279/Sens!$D$10259</f>
        <v>0.111552967957552</v>
      </c>
      <c r="E10287" s="13" t="n">
        <f aca="false">Sens!$E$10279/Sens!$E$10259</f>
        <v>0.13428328426562</v>
      </c>
      <c r="F10287" s="13" t="n">
        <f aca="false">Sens!$F$10279/Sens!$F$10259</f>
        <v>0.129343087287827</v>
      </c>
      <c r="G10287" s="13" t="n">
        <f aca="false">Sens!$G$10279/Sens!$G$10259</f>
        <v>0.131651143259596</v>
      </c>
      <c r="H10287" s="13" t="n">
        <f aca="false">Sens!$H$10279/Sens!$H$10259</f>
        <v>0.137449034763893</v>
      </c>
      <c r="I10287" s="13" t="n">
        <f aca="false">Sens!$I$10279/Sens!$I$10259</f>
        <v>0.13598895915033</v>
      </c>
      <c r="J10287" s="13" t="n">
        <f aca="false">Sens!$J$10279/Sens!$J$10259</f>
        <v>0.137709769017663</v>
      </c>
      <c r="K10287" s="13" t="n">
        <f aca="false">Sens!$K$10279/Sens!$K$10259</f>
        <v>0.135323776909366</v>
      </c>
      <c r="L10287" s="13" t="n">
        <f aca="false">Sens!$L$10279/Sens!$L$10259</f>
        <v>0.133445719861579</v>
      </c>
      <c r="M10287" s="13" t="n">
        <f aca="false">Sens!$M$10279/Sens!$M$10259</f>
        <v>0.133075730813735</v>
      </c>
      <c r="N10287" s="13" t="n">
        <f aca="false">Sens!$N$10279/Sens!$N$10259</f>
        <v>0.116201614873411</v>
      </c>
      <c r="O10287" s="13" t="n">
        <f aca="false">Sens!$O$10279/Sens!$O$10259</f>
        <v>0.107733353660861</v>
      </c>
    </row>
    <row r="10288" customFormat="false" ht="17.15" hidden="false" customHeight="false" outlineLevel="0" collapsed="false">
      <c r="A10288" s="1" t="s">
        <v>754</v>
      </c>
    </row>
    <row r="10289" customFormat="false" ht="17.15" hidden="false" customHeight="false" outlineLevel="0" collapsed="false">
      <c r="A10289" s="5" t="s">
        <v>755</v>
      </c>
      <c r="B10289" s="0" t="s">
        <v>52</v>
      </c>
      <c r="D10289" s="28" t="n">
        <f aca="false">(Q!$E$29+Q!$E$30-(1-ext_sh)*Sens!$D$10211)/Sens!$D$10162</f>
        <v>0.0341105596409988</v>
      </c>
    </row>
    <row r="10290" customFormat="false" ht="17.15" hidden="false" customHeight="false" outlineLevel="0" collapsed="false">
      <c r="A10290" s="0" t="s">
        <v>545</v>
      </c>
      <c r="B10290" s="0" t="s">
        <v>86</v>
      </c>
      <c r="C10290" s="38" t="n">
        <f aca="false">Q!$D$29</f>
        <v>14.285</v>
      </c>
      <c r="D10290" s="38" t="n">
        <f aca="false">Q!$E$29</f>
        <v>15.503</v>
      </c>
      <c r="E10290" s="38" t="n">
        <f aca="false">Q!$P$29</f>
        <v>8.78</v>
      </c>
      <c r="F10290" s="38" t="n">
        <f aca="false">(Sens!$D$10289*Sens!$F$10162+(1-ext_sh)*Sens!$F$10211)*Sens!$F$10163</f>
        <v>9.30317620449232</v>
      </c>
      <c r="G10290" s="38" t="n">
        <f aca="false">Sens!$E$10290+Sens!$F$10290</f>
        <v>18.0831762044923</v>
      </c>
      <c r="H10290" s="38" t="n">
        <f aca="false">(Sens!$D$10289*Sens!$H$10162+(1-ext_sh)*Sens!$H$10211)*Sens!$H$10163</f>
        <v>22.1297245338482</v>
      </c>
      <c r="I10290" s="38" t="n">
        <f aca="false">(Sens!$D$10289*Sens!$I$10162+(1-ext_sh)*Sens!$I$10211)*Sens!$I$10163</f>
        <v>28.409695984391</v>
      </c>
      <c r="J10290" s="38" t="n">
        <f aca="false">(Sens!$D$10289*Sens!$J$10162+(1-ext_sh)*Sens!$J$10211)*Sens!$J$10163</f>
        <v>34.1085606174579</v>
      </c>
      <c r="K10290" s="38" t="n">
        <f aca="false">(Sens!$D$10289*Sens!$K$10162+(1-ext_sh)*Sens!$K$10211)*Sens!$K$10163</f>
        <v>39.7218983009068</v>
      </c>
      <c r="L10290" s="38" t="n">
        <f aca="false">(Sens!$D$10289*Sens!$L$10162+(1-ext_sh)*Sens!$L$10211)*Sens!$L$10163</f>
        <v>44.1116202150966</v>
      </c>
      <c r="M10290" s="38" t="n">
        <f aca="false">(Sens!$D$10289*Sens!$M$10162+(1-ext_sh)*Sens!$M$10211)*Sens!$M$10163</f>
        <v>47.2720841306133</v>
      </c>
      <c r="N10290" s="38" t="n">
        <f aca="false">Q!$N$29</f>
        <v>7.272</v>
      </c>
      <c r="O10290" s="38" t="n">
        <f aca="false">Q!$O$29</f>
        <v>8.231</v>
      </c>
    </row>
    <row r="10291" customFormat="false" ht="17.15" hidden="false" customHeight="false" outlineLevel="0" collapsed="false">
      <c r="A10291" s="0" t="s">
        <v>547</v>
      </c>
      <c r="B10291" s="0" t="s">
        <v>86</v>
      </c>
      <c r="C10291" s="38" t="n">
        <f aca="false">Q!$D$30</f>
        <v>4.462</v>
      </c>
      <c r="D10291" s="38" t="n">
        <f aca="false">Q!$E$30</f>
        <v>4.907</v>
      </c>
      <c r="E10291" s="38" t="n">
        <f aca="false">Q!$P$30</f>
        <v>2.57</v>
      </c>
      <c r="F10291" s="38" t="n">
        <f aca="false">(Sens!$D$10289*Sens!$F$10162+(1-ext_sh)*Sens!$F$10211)*(1-Sens!$F$10163)</f>
        <v>3.6526976809753</v>
      </c>
      <c r="G10291" s="38" t="n">
        <f aca="false">Sens!$E$10291+Sens!$F$10291</f>
        <v>6.2226976809753</v>
      </c>
      <c r="H10291" s="38" t="n">
        <f aca="false">(Sens!$D$10289*Sens!$H$10162+(1-ext_sh)*Sens!$H$10211)*(1-Sens!$H$10163)</f>
        <v>8.4764774248495</v>
      </c>
      <c r="I10291" s="38" t="n">
        <f aca="false">(Sens!$D$10289*Sens!$I$10162+(1-ext_sh)*Sens!$I$10211)*(1-Sens!$I$10163)</f>
        <v>10.881931507561</v>
      </c>
      <c r="J10291" s="38" t="n">
        <f aca="false">(Sens!$D$10289*Sens!$J$10162+(1-ext_sh)*Sens!$J$10211)*(1-Sens!$J$10163)</f>
        <v>13.0648008575874</v>
      </c>
      <c r="K10291" s="38" t="n">
        <f aca="false">(Sens!$D$10289*Sens!$K$10162+(1-ext_sh)*Sens!$K$10211)*(1-Sens!$K$10163)</f>
        <v>15.2149103214008</v>
      </c>
      <c r="L10291" s="38" t="n">
        <f aca="false">(Sens!$D$10289*Sens!$L$10162+(1-ext_sh)*Sens!$L$10211)*(1-Sens!$L$10163)</f>
        <v>16.8963311023095</v>
      </c>
      <c r="M10291" s="38" t="n">
        <f aca="false">(Sens!$D$10289*Sens!$M$10162+(1-ext_sh)*Sens!$M$10211)*(1-Sens!$M$10163)</f>
        <v>18.1069020242816</v>
      </c>
      <c r="N10291" s="38" t="n">
        <f aca="false">Q!$N$30</f>
        <v>2.316</v>
      </c>
      <c r="O10291" s="38" t="n">
        <f aca="false">Q!$O$30</f>
        <v>2.591</v>
      </c>
    </row>
    <row r="10292" customFormat="false" ht="17.15" hidden="false" customHeight="false" outlineLevel="0" collapsed="false">
      <c r="A10292" s="0" t="s">
        <v>548</v>
      </c>
      <c r="B10292" s="0" t="s">
        <v>86</v>
      </c>
      <c r="C10292" s="38" t="n">
        <f aca="false">Sens!$C$10223</f>
        <v>13.32</v>
      </c>
      <c r="D10292" s="38" t="n">
        <f aca="false">Sens!$D$10223</f>
        <v>21.45</v>
      </c>
      <c r="E10292" s="38" t="n">
        <f aca="false">Sens!$E$10223</f>
        <v>15.353</v>
      </c>
      <c r="F10292" s="38" t="n">
        <f aca="false">Sens!$F$10223</f>
        <v>16.1969869840094</v>
      </c>
      <c r="G10292" s="38" t="n">
        <f aca="false">Sens!$G$10223</f>
        <v>31.5499869840094</v>
      </c>
      <c r="H10292" s="38" t="n">
        <f aca="false">Sens!$H$10223</f>
        <v>50.9556213609176</v>
      </c>
      <c r="I10292" s="38" t="n">
        <f aca="false">Sens!$I$10223</f>
        <v>79.464581248252</v>
      </c>
      <c r="J10292" s="38" t="n">
        <f aca="false">Sens!$J$10223</f>
        <v>105.296127931746</v>
      </c>
      <c r="K10292" s="38" t="n">
        <f aca="false">Sens!$K$10223</f>
        <v>131.454694001511</v>
      </c>
      <c r="L10292" s="38" t="n">
        <f aca="false">Sens!$L$10223</f>
        <v>150.528401314722</v>
      </c>
      <c r="M10292" s="38" t="n">
        <f aca="false">Sens!$M$10223</f>
        <v>162.46328719295</v>
      </c>
      <c r="N10292" s="38" t="n">
        <f aca="false">Sens!$N$10223</f>
        <v>9.234</v>
      </c>
      <c r="O10292" s="38" t="n">
        <f aca="false">Sens!$O$10223</f>
        <v>12.216</v>
      </c>
    </row>
    <row r="10293" customFormat="false" ht="17.15" hidden="false" customHeight="false" outlineLevel="0" collapsed="false">
      <c r="A10293" s="5" t="s">
        <v>756</v>
      </c>
      <c r="B10293" s="0" t="s">
        <v>86</v>
      </c>
      <c r="C10293" s="38" t="n">
        <f aca="false">Sens!$C$10290+Sens!$C$10291+Sens!$C$10292</f>
        <v>32.067</v>
      </c>
      <c r="D10293" s="38" t="n">
        <f aca="false">Sens!$D$10290+Sens!$D$10291+Sens!$D$10292</f>
        <v>41.86</v>
      </c>
      <c r="E10293" s="38" t="n">
        <f aca="false">Sens!$E$10290+Sens!$E$10291+Sens!$E$10292</f>
        <v>26.703</v>
      </c>
      <c r="F10293" s="38" t="n">
        <f aca="false">Sens!$F$10290+Sens!$F$10291+Sens!$F$10292</f>
        <v>29.152860869477</v>
      </c>
      <c r="G10293" s="38" t="n">
        <f aca="false">Sens!$G$10290+Sens!$G$10291+Sens!$G$10292</f>
        <v>55.855860869477</v>
      </c>
      <c r="H10293" s="38" t="n">
        <f aca="false">Sens!$H$10290+Sens!$H$10291+Sens!$H$10292</f>
        <v>81.5618233196153</v>
      </c>
      <c r="I10293" s="38" t="n">
        <f aca="false">Sens!$I$10290+Sens!$I$10291+Sens!$I$10292</f>
        <v>118.756208740204</v>
      </c>
      <c r="J10293" s="38" t="n">
        <f aca="false">Sens!$J$10290+Sens!$J$10291+Sens!$J$10292</f>
        <v>152.469489406791</v>
      </c>
      <c r="K10293" s="38" t="n">
        <f aca="false">Sens!$K$10290+Sens!$K$10291+Sens!$K$10292</f>
        <v>186.391502623819</v>
      </c>
      <c r="L10293" s="38" t="n">
        <f aca="false">Sens!$L$10290+Sens!$L$10291+Sens!$L$10292</f>
        <v>211.536352632128</v>
      </c>
      <c r="M10293" s="38" t="n">
        <f aca="false">Sens!$M$10290+Sens!$M$10291+Sens!$M$10292</f>
        <v>227.842273347845</v>
      </c>
      <c r="N10293" s="38" t="n">
        <f aca="false">Sens!$N$10290+Sens!$N$10291+Sens!$N$10292</f>
        <v>18.822</v>
      </c>
      <c r="O10293" s="38" t="n">
        <f aca="false">Sens!$O$10290+Sens!$O$10291+Sens!$O$10292</f>
        <v>23.038</v>
      </c>
    </row>
    <row r="10294" customFormat="false" ht="17.15" hidden="false" customHeight="false" outlineLevel="0" collapsed="false">
      <c r="A10294" s="0" t="s">
        <v>757</v>
      </c>
      <c r="B10294" s="0" t="s">
        <v>86</v>
      </c>
      <c r="C10294" s="38" t="n">
        <f aca="false">Sens!$C$10265+Sens!$C$10270</f>
        <v>28.107</v>
      </c>
      <c r="D10294" s="38" t="n">
        <f aca="false">Sens!$D$10265+Sens!$D$10270</f>
        <v>34.3175</v>
      </c>
      <c r="E10294" s="38" t="n">
        <f aca="false">Sens!$E$10265+Sens!$E$10270</f>
        <v>18.526</v>
      </c>
      <c r="F10294" s="38" t="n">
        <f aca="false">Sens!$F$10265+Sens!$F$10270</f>
        <v>23.0786109972074</v>
      </c>
      <c r="G10294" s="38" t="n">
        <f aca="false">Sens!$G$10265+Sens!$G$10270</f>
        <v>41.6046109972074</v>
      </c>
      <c r="H10294" s="38" t="n">
        <f aca="false">Sens!$H$10265+Sens!$H$10270</f>
        <v>49.9484611939488</v>
      </c>
      <c r="I10294" s="38" t="n">
        <f aca="false">Sens!$I$10265+Sens!$I$10270</f>
        <v>58.2915555477481</v>
      </c>
      <c r="J10294" s="38" t="n">
        <f aca="false">Sens!$J$10265+Sens!$J$10270</f>
        <v>66.0744709709759</v>
      </c>
      <c r="K10294" s="38" t="n">
        <f aca="false">Sens!$K$10265+Sens!$K$10270</f>
        <v>72.6819180680735</v>
      </c>
      <c r="L10294" s="38" t="n">
        <f aca="false">Sens!$L$10265+Sens!$L$10270</f>
        <v>79.9501098748808</v>
      </c>
      <c r="M10294" s="38" t="n">
        <f aca="false">Sens!$M$10265+Sens!$M$10270</f>
        <v>87.9451208623689</v>
      </c>
      <c r="N10294" s="38" t="n">
        <f aca="false">Sens!$N$10265+Sens!$N$10270</f>
        <v>14.8075</v>
      </c>
      <c r="O10294" s="38" t="n">
        <f aca="false">Sens!$O$10265+Sens!$O$10270</f>
        <v>19.51</v>
      </c>
    </row>
    <row r="10295" customFormat="false" ht="17.15" hidden="false" customHeight="false" outlineLevel="0" collapsed="false">
      <c r="A10295" s="0" t="s">
        <v>758</v>
      </c>
      <c r="B10295" s="0" t="s">
        <v>86</v>
      </c>
      <c r="C10295" s="38" t="n">
        <f aca="false">Sens!$C$10269+Sens!$C$10274+Sens!$C$10290+Sens!$C$10291-Sens!$C$10294</f>
        <v>19.399</v>
      </c>
      <c r="D10295" s="38" t="n">
        <f aca="false">Sens!$D$10269+Sens!$D$10274+Sens!$D$10290+Sens!$D$10291-Sens!$D$10294</f>
        <v>20.4615</v>
      </c>
      <c r="E10295" s="38" t="n">
        <f aca="false">Sens!$E$10269+Sens!$E$10274+Sens!$E$10290+Sens!$E$10291-Sens!$E$10294</f>
        <v>13.355</v>
      </c>
      <c r="F10295" s="38" t="n">
        <f aca="false">Sens!$F$10269+Sens!$F$10274+Sens!$F$10290+Sens!$F$10291-Sens!$F$10294</f>
        <v>12.7680546411015</v>
      </c>
      <c r="G10295" s="38" t="n">
        <f aca="false">Sens!$G$10269+Sens!$G$10274+Sens!$G$10290+Sens!$G$10291-Sens!$G$10294</f>
        <v>26.1230546411015</v>
      </c>
      <c r="H10295" s="38" t="n">
        <f aca="false">Sens!$H$10269+Sens!$H$10274+Sens!$H$10290+Sens!$H$10291-Sens!$H$10294</f>
        <v>28.4662904769959</v>
      </c>
      <c r="I10295" s="38" t="n">
        <f aca="false">Sens!$I$10269+Sens!$I$10274+Sens!$I$10290+Sens!$I$10291-Sens!$I$10294</f>
        <v>30.7231490427408</v>
      </c>
      <c r="J10295" s="38" t="n">
        <f aca="false">Sens!$J$10269+Sens!$J$10274+Sens!$J$10290+Sens!$J$10291-Sens!$J$10294</f>
        <v>32.9723159380642</v>
      </c>
      <c r="K10295" s="38" t="n">
        <f aca="false">Sens!$K$10269+Sens!$K$10274+Sens!$K$10290+Sens!$K$10291-Sens!$K$10294</f>
        <v>35.396134514869</v>
      </c>
      <c r="L10295" s="38" t="n">
        <f aca="false">Sens!$L$10269+Sens!$L$10274+Sens!$L$10290+Sens!$L$10291-Sens!$L$10294</f>
        <v>37.0732291588577</v>
      </c>
      <c r="M10295" s="38" t="n">
        <f aca="false">Sens!$M$10269+Sens!$M$10274+Sens!$M$10290+Sens!$M$10291-Sens!$M$10294</f>
        <v>39.5764557344662</v>
      </c>
      <c r="N10295" s="38" t="n">
        <f aca="false">Sens!$N$10269+Sens!$N$10274+Sens!$N$10290+Sens!$N$10291-Sens!$N$10294</f>
        <v>10.6495</v>
      </c>
      <c r="O10295" s="38" t="n">
        <f aca="false">Sens!$O$10269+Sens!$O$10274+Sens!$O$10290+Sens!$O$10291-Sens!$O$10294</f>
        <v>9.81200000000001</v>
      </c>
    </row>
    <row r="10296" customFormat="false" ht="17.15" hidden="false" customHeight="false" outlineLevel="0" collapsed="false">
      <c r="A10296" s="0" t="s">
        <v>759</v>
      </c>
      <c r="B10296" s="0" t="s">
        <v>86</v>
      </c>
      <c r="C10296" s="38" t="n">
        <f aca="false">Sens!$C$10276+Sens!$C$10292-ext_sh*Sens!$C$10211</f>
        <v>51.3470500115664</v>
      </c>
      <c r="D10296" s="38" t="n">
        <f aca="false">Sens!$D$10276+Sens!$D$10292-ext_sh*Sens!$D$10211</f>
        <v>60.2799375433739</v>
      </c>
      <c r="E10296" s="38" t="n">
        <f aca="false">Sens!$E$10276+Sens!$E$10292-ext_sh*Sens!$E$10211</f>
        <v>39.5095167090767</v>
      </c>
      <c r="F10296" s="38" t="n">
        <f aca="false">Sens!$F$10276+Sens!$F$10292-ext_sh*Sens!$F$10211</f>
        <v>37.951394214027</v>
      </c>
      <c r="G10296" s="38" t="n">
        <f aca="false">Sens!$G$10276+Sens!$G$10292-ext_sh*Sens!$G$10211</f>
        <v>77.4609109231037</v>
      </c>
      <c r="H10296" s="38" t="n">
        <f aca="false">Sens!$H$10276+Sens!$H$10292-ext_sh*Sens!$H$10211</f>
        <v>85.1453558128916</v>
      </c>
      <c r="I10296" s="38" t="n">
        <f aca="false">Sens!$I$10276+Sens!$I$10292-ext_sh*Sens!$I$10211</f>
        <v>94.532921967974</v>
      </c>
      <c r="J10296" s="38" t="n">
        <f aca="false">Sens!$J$10276+Sens!$J$10292-ext_sh*Sens!$J$10211</f>
        <v>103.525527532583</v>
      </c>
      <c r="K10296" s="38" t="n">
        <f aca="false">Sens!$K$10276+Sens!$K$10292-ext_sh*Sens!$K$10211</f>
        <v>111.80756973519</v>
      </c>
      <c r="L10296" s="38" t="n">
        <f aca="false">Sens!$L$10276+Sens!$L$10292-ext_sh*Sens!$L$10211</f>
        <v>120.752175314005</v>
      </c>
      <c r="M10296" s="38" t="n">
        <f aca="false">Sens!$M$10276+Sens!$M$10292-ext_sh*Sens!$M$10211</f>
        <v>130.412349339125</v>
      </c>
      <c r="N10296" s="38" t="n">
        <f aca="false">Sens!$N$10276+Sens!$N$10292-ext_sh*Sens!$N$10211</f>
        <v>28.5693781401809</v>
      </c>
      <c r="O10296" s="38" t="n">
        <f aca="false">Sens!$O$10276+Sens!$O$10292-ext_sh*Sens!$O$10211</f>
        <v>31.7105594031931</v>
      </c>
    </row>
    <row r="10297" customFormat="false" ht="17.15" hidden="false" customHeight="false" outlineLevel="0" collapsed="false">
      <c r="A10297" s="0" t="s">
        <v>760</v>
      </c>
      <c r="B10297" s="0" t="s">
        <v>86</v>
      </c>
      <c r="C10297" s="38" t="n">
        <f aca="false">Sens!$C$10214</f>
        <v>1.80694998843362</v>
      </c>
      <c r="D10297" s="38" t="n">
        <f aca="false">Sens!$D$10214</f>
        <v>6.77606245662607</v>
      </c>
      <c r="E10297" s="38" t="n">
        <f aca="false">Sens!$E$10214</f>
        <v>6.62548329092326</v>
      </c>
      <c r="F10297" s="38" t="n">
        <f aca="false">Sens!$F$10214</f>
        <v>11.7200577158706</v>
      </c>
      <c r="G10297" s="38" t="n">
        <f aca="false">Sens!$G$10214</f>
        <v>18.3455410067939</v>
      </c>
      <c r="H10297" s="38" t="n">
        <f aca="false">Sens!$H$10214</f>
        <v>47.5171727060453</v>
      </c>
      <c r="I10297" s="38" t="n">
        <f aca="false">Sens!$I$10214</f>
        <v>80.5539692643667</v>
      </c>
      <c r="J10297" s="38" t="n">
        <f aca="false">Sens!$J$10214</f>
        <v>113.759316834883</v>
      </c>
      <c r="K10297" s="38" t="n">
        <f aca="false">Sens!$K$10214</f>
        <v>141.855203603144</v>
      </c>
      <c r="L10297" s="38" t="n">
        <f aca="false">Sens!$L$10214</f>
        <v>159.789055430453</v>
      </c>
      <c r="M10297" s="38" t="n">
        <f aca="false">Sens!$M$10214</f>
        <v>167.532378081213</v>
      </c>
      <c r="N10297" s="38" t="n">
        <f aca="false">Sens!$N$10214</f>
        <v>2.37162185981912</v>
      </c>
      <c r="O10297" s="38" t="n">
        <f aca="false">Sens!$O$10214</f>
        <v>4.40444059680694</v>
      </c>
    </row>
    <row r="10298" customFormat="false" ht="17.15" hidden="false" customHeight="false" outlineLevel="0" collapsed="false">
      <c r="A10298" s="0" t="s">
        <v>761</v>
      </c>
      <c r="B10298" s="0" t="s">
        <v>86</v>
      </c>
      <c r="C10298" s="38" t="n">
        <f aca="false">Sens!$C$10279+Sens!$C$10293</f>
        <v>100.66</v>
      </c>
      <c r="D10298" s="38" t="n">
        <f aca="false">Sens!$D$10279+Sens!$D$10293</f>
        <v>121.835</v>
      </c>
      <c r="E10298" s="38" t="n">
        <f aca="false">Sens!$E$10279+Sens!$E$10293</f>
        <v>78.016</v>
      </c>
      <c r="F10298" s="38" t="n">
        <f aca="false">Sens!$F$10279+Sens!$F$10293</f>
        <v>85.5181175682064</v>
      </c>
      <c r="G10298" s="38" t="n">
        <f aca="false">Sens!$G$10279+Sens!$G$10293</f>
        <v>163.534117568206</v>
      </c>
      <c r="H10298" s="38" t="n">
        <f aca="false">Sens!$H$10279+Sens!$H$10293</f>
        <v>211.077280189882</v>
      </c>
      <c r="I10298" s="38" t="n">
        <f aca="false">Sens!$I$10279+Sens!$I$10293</f>
        <v>264.10159582283</v>
      </c>
      <c r="J10298" s="38" t="n">
        <f aca="false">Sens!$J$10279+Sens!$J$10293</f>
        <v>316.331631276507</v>
      </c>
      <c r="K10298" s="38" t="n">
        <f aca="false">Sens!$K$10279+Sens!$K$10293</f>
        <v>361.740825921276</v>
      </c>
      <c r="L10298" s="38" t="n">
        <f aca="false">Sens!$L$10279+Sens!$L$10293</f>
        <v>397.564569778197</v>
      </c>
      <c r="M10298" s="38" t="n">
        <f aca="false">Sens!$M$10279+Sens!$M$10293</f>
        <v>425.466304017173</v>
      </c>
      <c r="N10298" s="38" t="n">
        <f aca="false">Sens!$N$10279+Sens!$N$10293</f>
        <v>56.398</v>
      </c>
      <c r="O10298" s="38" t="n">
        <f aca="false">Sens!$O$10279+Sens!$O$10293</f>
        <v>65.437</v>
      </c>
    </row>
    <row r="10299" customFormat="false" ht="17.15" hidden="false" customHeight="false" outlineLevel="0" collapsed="false">
      <c r="A10299" s="1" t="s">
        <v>762</v>
      </c>
    </row>
    <row r="10300" customFormat="false" ht="15" hidden="false" customHeight="false" outlineLevel="0" collapsed="false">
      <c r="A10300" s="5" t="s">
        <v>551</v>
      </c>
      <c r="B10300" s="0" t="s">
        <v>86</v>
      </c>
      <c r="C10300" s="38" t="n">
        <f aca="false">Q!$D$34</f>
        <v>2.406</v>
      </c>
      <c r="D10300" s="38" t="n">
        <f aca="false">Q!$E$34</f>
        <v>2.274</v>
      </c>
      <c r="E10300" s="38" t="n">
        <f aca="false">Q!$P$34</f>
        <v>2.114</v>
      </c>
      <c r="F10300" s="38" t="n">
        <f aca="false">Sens!$F$10338</f>
        <v>3.24888962733561</v>
      </c>
      <c r="G10300" s="38" t="n">
        <f aca="false">Sens!$E$10300+Sens!$F$10300</f>
        <v>5.36288962733561</v>
      </c>
      <c r="H10300" s="38" t="n">
        <f aca="false">Sens!$H$10338</f>
        <v>7.42354172302123</v>
      </c>
      <c r="I10300" s="38" t="n">
        <f aca="false">Sens!$I$10338</f>
        <v>7.84418947693382</v>
      </c>
      <c r="J10300" s="38" t="n">
        <f aca="false">Sens!$J$10338</f>
        <v>8.79561318891235</v>
      </c>
      <c r="K10300" s="38" t="n">
        <f aca="false">Sens!$K$10338</f>
        <v>8.79561318891235</v>
      </c>
      <c r="L10300" s="38" t="n">
        <f aca="false">Sens!$L$10338</f>
        <v>8.79561318891235</v>
      </c>
      <c r="M10300" s="38" t="n">
        <f aca="false">Sens!$M$10338</f>
        <v>8.79561318891235</v>
      </c>
      <c r="N10300" s="38" t="n">
        <f aca="false">Q!$N$34</f>
        <v>1.057</v>
      </c>
      <c r="O10300" s="38" t="n">
        <f aca="false">Q!$O$34</f>
        <v>1.217</v>
      </c>
    </row>
    <row r="10301" customFormat="false" ht="15" hidden="false" customHeight="false" outlineLevel="0" collapsed="false">
      <c r="A10301" s="5" t="s">
        <v>763</v>
      </c>
      <c r="B10301" s="0" t="s">
        <v>86</v>
      </c>
      <c r="F10301" s="38" t="n">
        <f aca="false">Sens!$F$10339</f>
        <v>2.59</v>
      </c>
      <c r="H10301" s="38" t="n">
        <f aca="false">Sens!$H$10339</f>
        <v>4.1153774832261</v>
      </c>
      <c r="I10301" s="38" t="n">
        <f aca="false">Sens!$I$10339</f>
        <v>2.10589651022864</v>
      </c>
      <c r="J10301" s="38" t="n">
        <f aca="false">Sens!$J$10339</f>
        <v>2.10589651022864</v>
      </c>
      <c r="K10301" s="38" t="n">
        <f aca="false">Sens!$K$10339</f>
        <v>3.172800358404</v>
      </c>
      <c r="L10301" s="38" t="n">
        <f aca="false">Sens!$L$10339</f>
        <v>8.41944638731071</v>
      </c>
      <c r="M10301" s="38" t="n">
        <f aca="false">Sens!$M$10339</f>
        <v>16.2381912039624</v>
      </c>
    </row>
    <row r="10302" customFormat="false" ht="17.15" hidden="false" customHeight="false" outlineLevel="0" collapsed="false">
      <c r="A10302" s="5" t="s">
        <v>764</v>
      </c>
      <c r="B10302" s="0" t="s">
        <v>86</v>
      </c>
      <c r="C10302" s="38" t="n">
        <f aca="false">Q!$D$39</f>
        <v>2.427</v>
      </c>
      <c r="D10302" s="38" t="n">
        <f aca="false">Q!$E$39</f>
        <v>19.61</v>
      </c>
      <c r="E10302" s="38" t="n">
        <f aca="false">Q!$P$39</f>
        <v>71.492</v>
      </c>
      <c r="F10302" s="39" t="n">
        <v>0</v>
      </c>
      <c r="G10302" s="38" t="n">
        <f aca="false">Sens!$E$10302+Sens!$F$10302</f>
        <v>71.492</v>
      </c>
      <c r="H10302" s="39" t="n">
        <v>0</v>
      </c>
      <c r="I10302" s="39" t="n">
        <v>0</v>
      </c>
      <c r="J10302" s="39" t="n">
        <v>0</v>
      </c>
      <c r="K10302" s="39" t="n">
        <v>0</v>
      </c>
      <c r="L10302" s="39" t="n">
        <v>0</v>
      </c>
      <c r="M10302" s="39" t="n">
        <v>0</v>
      </c>
      <c r="N10302" s="38" t="n">
        <f aca="false">Q!$N$39</f>
        <v>6.017</v>
      </c>
      <c r="O10302" s="38" t="n">
        <f aca="false">Q!$O$39</f>
        <v>13.593</v>
      </c>
      <c r="P10302" s="5" t="s">
        <v>765</v>
      </c>
    </row>
    <row r="10303" customFormat="false" ht="15" hidden="false" customHeight="false" outlineLevel="0" collapsed="false">
      <c r="A10303" s="5" t="s">
        <v>554</v>
      </c>
      <c r="B10303" s="0" t="s">
        <v>86</v>
      </c>
      <c r="C10303" s="38" t="n">
        <f aca="false">Q!$D$36</f>
        <v>68.614</v>
      </c>
      <c r="D10303" s="38" t="n">
        <f aca="false">Q!$E$36</f>
        <v>97.311</v>
      </c>
      <c r="E10303" s="38" t="n">
        <f aca="false">Q!$P$36</f>
        <v>120.691</v>
      </c>
      <c r="F10303" s="38" t="n">
        <f aca="false">Sens!$F$10279-Sens!$F$10300+Sens!$F$10301+Sens!$F$10302</f>
        <v>55.7063670713938</v>
      </c>
      <c r="G10303" s="38" t="n">
        <f aca="false">Sens!$E$10303+Sens!$F$10303</f>
        <v>176.397367071394</v>
      </c>
      <c r="H10303" s="38" t="n">
        <f aca="false">Sens!$H$10279-Sens!$H$10300+Sens!$H$10301+Sens!$H$10302</f>
        <v>126.207292630471</v>
      </c>
      <c r="I10303" s="38" t="n">
        <f aca="false">Sens!$I$10279-Sens!$I$10300+Sens!$I$10301+Sens!$I$10302</f>
        <v>139.60709411592</v>
      </c>
      <c r="J10303" s="38" t="n">
        <f aca="false">Sens!$J$10279-Sens!$J$10300+Sens!$J$10301+Sens!$J$10302</f>
        <v>157.172425191032</v>
      </c>
      <c r="K10303" s="38" t="n">
        <f aca="false">Sens!$K$10279-Sens!$K$10300+Sens!$K$10301+Sens!$K$10302</f>
        <v>169.726510466949</v>
      </c>
      <c r="L10303" s="38" t="n">
        <f aca="false">Sens!$L$10279-Sens!$L$10300+Sens!$L$10301+Sens!$L$10302</f>
        <v>185.652050344467</v>
      </c>
      <c r="M10303" s="38" t="n">
        <f aca="false">Sens!$M$10279-Sens!$M$10300+Sens!$M$10301+Sens!$M$10302</f>
        <v>205.066608684378</v>
      </c>
      <c r="N10303" s="38" t="n">
        <f aca="false">Q!$N$36</f>
        <v>42.536</v>
      </c>
      <c r="O10303" s="38" t="n">
        <f aca="false">Q!$O$36</f>
        <v>54.775</v>
      </c>
    </row>
    <row r="10304" customFormat="false" ht="15" hidden="false" customHeight="false" outlineLevel="0" collapsed="false">
      <c r="A10304" s="5" t="s">
        <v>555</v>
      </c>
      <c r="B10304" s="0" t="s">
        <v>86</v>
      </c>
      <c r="C10304" s="38" t="n">
        <f aca="false">Q!$D$37</f>
        <v>9.265</v>
      </c>
      <c r="D10304" s="38" t="n">
        <f aca="false">Q!$E$37</f>
        <v>19.087</v>
      </c>
      <c r="E10304" s="38" t="n">
        <f aca="false">Q!$P$37</f>
        <v>27.759</v>
      </c>
      <c r="F10304" s="38" t="n">
        <f aca="false">Sens!$F$10303*tax</f>
        <v>9.669763357865</v>
      </c>
      <c r="G10304" s="38" t="n">
        <f aca="false">Sens!$E$10304+Sens!$F$10304</f>
        <v>37.428763357865</v>
      </c>
      <c r="H10304" s="38" t="n">
        <f aca="false">Sens!$H$10303*tax</f>
        <v>21.9076331473816</v>
      </c>
      <c r="I10304" s="38" t="n">
        <f aca="false">Sens!$I$10303*tax</f>
        <v>24.2336313450491</v>
      </c>
      <c r="J10304" s="38" t="n">
        <f aca="false">Sens!$J$10303*tax</f>
        <v>27.2827010246639</v>
      </c>
      <c r="K10304" s="38" t="n">
        <f aca="false">Sens!$K$10303*tax</f>
        <v>29.4618959744438</v>
      </c>
      <c r="L10304" s="38" t="n">
        <f aca="false">Sens!$L$10303*tax</f>
        <v>32.2263232752671</v>
      </c>
      <c r="M10304" s="38" t="n">
        <f aca="false">Sens!$M$10303*tax</f>
        <v>35.5963901942569</v>
      </c>
      <c r="N10304" s="38" t="n">
        <f aca="false">Q!$N$37</f>
        <v>7.231</v>
      </c>
      <c r="O10304" s="38" t="n">
        <f aca="false">Q!$O$37</f>
        <v>11.856</v>
      </c>
    </row>
    <row r="10305" customFormat="false" ht="15" hidden="false" customHeight="false" outlineLevel="0" collapsed="false">
      <c r="A10305" s="3" t="s">
        <v>556</v>
      </c>
      <c r="B10305" s="8" t="s">
        <v>86</v>
      </c>
      <c r="C10305" s="38" t="n">
        <f aca="false">Q!$D$38</f>
        <v>59.248</v>
      </c>
      <c r="D10305" s="38" t="n">
        <f aca="false">Q!$E$38</f>
        <v>77.67</v>
      </c>
      <c r="E10305" s="38" t="n">
        <f aca="false">Q!$P$38</f>
        <v>92.902</v>
      </c>
      <c r="F10305" s="38" t="n">
        <f aca="false">Sens!$F$10303-Sens!$F$10304</f>
        <v>46.0366037135288</v>
      </c>
      <c r="G10305" s="38" t="n">
        <f aca="false">Sens!$E$10305+Sens!$F$10305</f>
        <v>138.938603713529</v>
      </c>
      <c r="H10305" s="38" t="n">
        <f aca="false">Sens!$H$10303-Sens!$H$10304</f>
        <v>104.29965948309</v>
      </c>
      <c r="I10305" s="38" t="n">
        <f aca="false">Sens!$I$10303-Sens!$I$10304</f>
        <v>115.373462770871</v>
      </c>
      <c r="J10305" s="38" t="n">
        <f aca="false">Sens!$J$10303-Sens!$J$10304</f>
        <v>129.889724166368</v>
      </c>
      <c r="K10305" s="38" t="n">
        <f aca="false">Sens!$K$10303-Sens!$K$10304</f>
        <v>140.264614492505</v>
      </c>
      <c r="L10305" s="38" t="n">
        <f aca="false">Sens!$L$10303-Sens!$L$10304</f>
        <v>153.4257270692</v>
      </c>
      <c r="M10305" s="38" t="n">
        <f aca="false">Sens!$M$10303-Sens!$M$10304</f>
        <v>169.470218490121</v>
      </c>
      <c r="N10305" s="38" t="n">
        <f aca="false">Q!$N$38</f>
        <v>35.291</v>
      </c>
      <c r="O10305" s="38" t="n">
        <f aca="false">Q!$O$38</f>
        <v>42.379</v>
      </c>
    </row>
    <row r="10306" customFormat="false" ht="17.15" hidden="false" customHeight="false" outlineLevel="0" collapsed="false">
      <c r="A10306" s="5" t="s">
        <v>559</v>
      </c>
      <c r="B10306" s="5" t="s">
        <v>33</v>
      </c>
      <c r="C10306" s="22" t="n">
        <f aca="false">Q!$D$41</f>
        <v>10.721</v>
      </c>
      <c r="D10306" s="22" t="n">
        <f aca="false">Q!$E$41</f>
        <v>10.827</v>
      </c>
      <c r="E10306" s="22" t="n">
        <f aca="false">(Q!$L$41+Q!$M$41)/2</f>
        <v>10.8885</v>
      </c>
      <c r="F10306" s="22" t="n">
        <f aca="false">Sens!$G$10306</f>
        <v>10.924806</v>
      </c>
      <c r="G10306" s="22" t="n">
        <f aca="false">Q!$M$41*(1+sh_g*0.25)</f>
        <v>10.924806</v>
      </c>
      <c r="H10306" s="22" t="n">
        <f aca="false">Sens!$G$10306*(1+sh_g)</f>
        <v>11.012204448</v>
      </c>
      <c r="I10306" s="22" t="n">
        <f aca="false">Sens!$H$10306*(1+sh_g)</f>
        <v>11.100302083584</v>
      </c>
      <c r="J10306" s="22" t="n">
        <f aca="false">Sens!$I$10306*(1+sh_g)</f>
        <v>11.1891045002527</v>
      </c>
      <c r="K10306" s="22" t="n">
        <f aca="false">Sens!$J$10306*(1+sh_g)</f>
        <v>11.2786173362547</v>
      </c>
      <c r="L10306" s="22" t="n">
        <f aca="false">Sens!$K$10306*(1+sh_g)</f>
        <v>11.3688462749447</v>
      </c>
      <c r="M10306" s="22" t="n">
        <f aca="false">Sens!$L$10306*(1+sh_g)</f>
        <v>11.4597970451443</v>
      </c>
      <c r="P10306" s="5" t="s">
        <v>766</v>
      </c>
    </row>
    <row r="10307" customFormat="false" ht="17.15" hidden="false" customHeight="false" outlineLevel="0" collapsed="false">
      <c r="A10307" s="5" t="s">
        <v>767</v>
      </c>
      <c r="B10307" s="0" t="s">
        <v>86</v>
      </c>
      <c r="C10307" s="38" t="n">
        <f aca="false">Sens!$C$10305+Sens!$C$10281*(1-tax)</f>
        <v>59.248</v>
      </c>
      <c r="D10307" s="38" t="n">
        <f aca="false">Sens!$D$10305+Sens!$D$10281*(1-tax)</f>
        <v>77.67</v>
      </c>
      <c r="E10307" s="38" t="n">
        <f aca="false">Sens!$E$10305+Sens!$E$10281*(1-tax)</f>
        <v>92.902</v>
      </c>
      <c r="F10307" s="38" t="n">
        <f aca="false">Sens!$F$10305+Sens!$F$10281*(1-tax)</f>
        <v>49.1531986731775</v>
      </c>
      <c r="G10307" s="38" t="n">
        <f aca="false">Sens!$G$10305+Sens!$G$10281*(1-tax)</f>
        <v>142.055198673178</v>
      </c>
      <c r="H10307" s="38" t="n">
        <f aca="false">Sens!$H$10305+Sens!$H$10281*(1-tax)</f>
        <v>116.831055438434</v>
      </c>
      <c r="I10307" s="38" t="n">
        <f aca="false">Sens!$I$10305+Sens!$I$10281*(1-tax)</f>
        <v>136.514727845811</v>
      </c>
      <c r="J10307" s="38" t="n">
        <f aca="false">Sens!$J$10305+Sens!$J$10281*(1-tax)</f>
        <v>159.679161110652</v>
      </c>
      <c r="K10307" s="38" t="n">
        <f aca="false">Sens!$K$10305+Sens!$K$10281*(1-tax)</f>
        <v>177.372351461996</v>
      </c>
      <c r="L10307" s="38" t="n">
        <f aca="false">Sens!$L$10305+Sens!$L$10281*(1-tax)</f>
        <v>195.204947712044</v>
      </c>
      <c r="M10307" s="38" t="n">
        <f aca="false">Sens!$M$10305+Sens!$M$10281*(1-tax)</f>
        <v>213.267631218502</v>
      </c>
      <c r="N10307" s="38" t="n">
        <f aca="false">Sens!$N$10305+Sens!$N$10281*(1-tax)</f>
        <v>35.291</v>
      </c>
      <c r="O10307" s="38" t="n">
        <f aca="false">Sens!$O$10305+Sens!$O$10281*(1-tax)</f>
        <v>42.379</v>
      </c>
    </row>
    <row r="10308" customFormat="false" ht="17.15" hidden="false" customHeight="false" outlineLevel="0" collapsed="false">
      <c r="A10308" s="43" t="s">
        <v>768</v>
      </c>
      <c r="B10308" s="14" t="s">
        <v>27</v>
      </c>
      <c r="C10308" s="44" t="n">
        <f aca="false">Sens!$C$10307/Sens!$C$10306</f>
        <v>5.52635015390355</v>
      </c>
      <c r="D10308" s="44" t="n">
        <f aca="false">Sens!$D$10307/Sens!$D$10306</f>
        <v>7.1737323358271</v>
      </c>
      <c r="E10308" s="44" t="n">
        <f aca="false">Sens!$E$10307/Sens!$E$10306</f>
        <v>8.53212104513937</v>
      </c>
      <c r="F10308" s="14"/>
      <c r="G10308" s="44" t="n">
        <f aca="false">Sens!$G$10307/Sens!$G$10306</f>
        <v>13.0029950804781</v>
      </c>
      <c r="H10308" s="44" t="n">
        <f aca="false">Sens!$H$10307/Sens!$H$10306</f>
        <v>10.6092341447268</v>
      </c>
      <c r="I10308" s="44" t="n">
        <f aca="false">Sens!$I$10307/Sens!$I$10306</f>
        <v>12.298289435537</v>
      </c>
      <c r="J10308" s="44" t="n">
        <f aca="false">Sens!$J$10307/Sens!$J$10306</f>
        <v>14.2709509154236</v>
      </c>
      <c r="K10308" s="44" t="n">
        <f aca="false">Sens!$K$10307/Sens!$K$10306</f>
        <v>15.7264269346065</v>
      </c>
      <c r="L10308" s="44" t="n">
        <f aca="false">Sens!$L$10307/Sens!$L$10306</f>
        <v>17.1701633561751</v>
      </c>
      <c r="M10308" s="44" t="n">
        <f aca="false">Sens!$M$10307/Sens!$M$10306</f>
        <v>18.6100705255393</v>
      </c>
      <c r="N10308" s="14"/>
      <c r="O10308" s="14"/>
    </row>
    <row r="10309" customFormat="false" ht="17.15" hidden="false" customHeight="false" outlineLevel="0" collapsed="false">
      <c r="A10309" s="0" t="s">
        <v>769</v>
      </c>
      <c r="B10309" s="0" t="s">
        <v>27</v>
      </c>
      <c r="C10309" s="30" t="n">
        <f aca="false">Sens!$C$10305/Sens!$C$10306</f>
        <v>5.52635015390355</v>
      </c>
      <c r="D10309" s="30" t="n">
        <f aca="false">Sens!$D$10305/Sens!$D$10306</f>
        <v>7.1737323358271</v>
      </c>
      <c r="E10309" s="30" t="n">
        <f aca="false">Sens!$E$10305/Sens!$E$10306</f>
        <v>8.53212104513937</v>
      </c>
      <c r="G10309" s="30" t="n">
        <f aca="false">Sens!$G$10305/Sens!$G$10306</f>
        <v>12.7177181648378</v>
      </c>
      <c r="H10309" s="30" t="n">
        <f aca="false">Sens!$H$10305/Sens!$H$10306</f>
        <v>9.47127888658407</v>
      </c>
      <c r="I10309" s="30" t="n">
        <f aca="false">Sens!$I$10305/Sens!$I$10306</f>
        <v>10.3937227925981</v>
      </c>
      <c r="J10309" s="30" t="n">
        <f aca="false">Sens!$J$10305/Sens!$J$10306</f>
        <v>11.6085897815536</v>
      </c>
      <c r="K10309" s="30" t="n">
        <f aca="false">Sens!$K$10305/Sens!$K$10306</f>
        <v>12.4363306521296</v>
      </c>
      <c r="L10309" s="30" t="n">
        <f aca="false">Sens!$L$10305/Sens!$L$10306</f>
        <v>13.4952767729235</v>
      </c>
      <c r="M10309" s="30" t="n">
        <f aca="false">Sens!$M$10305/Sens!$M$10306</f>
        <v>14.7882390781021</v>
      </c>
    </row>
    <row r="10310" customFormat="false" ht="17.15" hidden="false" customHeight="false" outlineLevel="0" collapsed="false">
      <c r="A10310" s="0" t="s">
        <v>770</v>
      </c>
      <c r="B10310" s="0" t="s">
        <v>27</v>
      </c>
      <c r="C10310" s="30" t="n">
        <f aca="false">(Sens!$C$10305-Sens!$C$10302*(1-tax))/Sens!$C$10306</f>
        <v>5.33926775917445</v>
      </c>
      <c r="D10310" s="30" t="n">
        <f aca="false">(Sens!$D$10305-Sens!$D$10302*(1-tax))/Sens!$D$10306</f>
        <v>5.67691812755503</v>
      </c>
      <c r="E10310" s="30" t="n">
        <f aca="false">(Sens!$E$10305-Sens!$E$10302*(1-tax))/Sens!$E$10306</f>
        <v>3.10602057006846</v>
      </c>
      <c r="G10310" s="30" t="n">
        <f aca="false">(Sens!$G$10305-Sens!$G$10302*(1-tax))/Sens!$G$10306</f>
        <v>7.30965004694081</v>
      </c>
      <c r="H10310" s="30" t="n">
        <f aca="false">(Sens!$H$10305-Sens!$H$10302*(1-tax))/Sens!$H$10306</f>
        <v>9.47127888658407</v>
      </c>
      <c r="I10310" s="30" t="n">
        <f aca="false">(Sens!$I$10305-Sens!$I$10302*(1-tax))/Sens!$I$10306</f>
        <v>10.3937227925981</v>
      </c>
      <c r="J10310" s="30" t="n">
        <f aca="false">(Sens!$J$10305-Sens!$J$10302*(1-tax))/Sens!$J$10306</f>
        <v>11.6085897815536</v>
      </c>
      <c r="K10310" s="30" t="n">
        <f aca="false">(Sens!$K$10305-Sens!$K$10302*(1-tax))/Sens!$K$10306</f>
        <v>12.4363306521296</v>
      </c>
      <c r="L10310" s="30" t="n">
        <f aca="false">(Sens!$L$10305-Sens!$L$10302*(1-tax))/Sens!$L$10306</f>
        <v>13.4952767729235</v>
      </c>
      <c r="M10310" s="30" t="n">
        <f aca="false">(Sens!$M$10305-Sens!$M$10302*(1-tax))/Sens!$M$10306</f>
        <v>14.7882390781021</v>
      </c>
      <c r="P10310" s="5" t="s">
        <v>771</v>
      </c>
    </row>
    <row r="10311" customFormat="false" ht="17.15" hidden="false" customHeight="false" outlineLevel="0" collapsed="false">
      <c r="A10311" s="0" t="s">
        <v>772</v>
      </c>
      <c r="B10311" s="0" t="s">
        <v>52</v>
      </c>
      <c r="H10311" s="13" t="n">
        <f aca="false">Sens!$H$10308/Sens!$G$10308-1</f>
        <v>-0.184093043251635</v>
      </c>
      <c r="I10311" s="13" t="n">
        <f aca="false">Sens!$I$10308/Sens!$H$10308-1</f>
        <v>0.159206147000695</v>
      </c>
      <c r="J10311" s="13" t="n">
        <f aca="false">Sens!$J$10308/Sens!$I$10308-1</f>
        <v>0.160401289157047</v>
      </c>
      <c r="K10311" s="13" t="n">
        <f aca="false">Sens!$K$10308/Sens!$J$10308-1</f>
        <v>0.101988720149673</v>
      </c>
      <c r="L10311" s="13" t="n">
        <f aca="false">Sens!$L$10308/Sens!$K$10308-1</f>
        <v>0.0918032066388574</v>
      </c>
      <c r="M10311" s="13" t="n">
        <f aca="false">Sens!$M$10308/Sens!$L$10308-1</f>
        <v>0.083861005832911</v>
      </c>
    </row>
    <row r="10314" customFormat="false" ht="19.4" hidden="false" customHeight="false" outlineLevel="0" collapsed="false">
      <c r="A10314" s="31" t="s">
        <v>1360</v>
      </c>
    </row>
    <row r="10315" customFormat="false" ht="17.15" hidden="false" customHeight="false" outlineLevel="0" collapsed="false">
      <c r="A10315" s="6" t="s">
        <v>16</v>
      </c>
      <c r="B10315" s="6" t="s">
        <v>17</v>
      </c>
      <c r="C10315" s="20" t="s">
        <v>504</v>
      </c>
      <c r="D10315" s="20" t="s">
        <v>505</v>
      </c>
      <c r="E10315" s="20" t="s">
        <v>587</v>
      </c>
      <c r="F10315" s="20" t="s">
        <v>588</v>
      </c>
      <c r="G10315" s="20" t="s">
        <v>589</v>
      </c>
      <c r="H10315" s="20" t="s">
        <v>590</v>
      </c>
      <c r="I10315" s="20" t="s">
        <v>591</v>
      </c>
      <c r="J10315" s="20" t="s">
        <v>592</v>
      </c>
      <c r="K10315" s="20" t="s">
        <v>593</v>
      </c>
      <c r="L10315" s="20" t="s">
        <v>594</v>
      </c>
      <c r="M10315" s="20" t="s">
        <v>595</v>
      </c>
      <c r="N10315" s="20" t="s">
        <v>596</v>
      </c>
      <c r="O10315" s="20" t="s">
        <v>597</v>
      </c>
      <c r="P10315" s="6" t="s">
        <v>23</v>
      </c>
      <c r="R10315" s="20" t="n">
        <v>2023</v>
      </c>
      <c r="S10315" s="20" t="n">
        <v>2024</v>
      </c>
      <c r="T10315" s="20" t="n">
        <v>2025</v>
      </c>
      <c r="U10315" s="20" t="n">
        <v>2026</v>
      </c>
      <c r="V10315" s="20" t="n">
        <v>2027</v>
      </c>
      <c r="W10315" s="20" t="n">
        <v>2028</v>
      </c>
      <c r="X10315" s="20" t="n">
        <v>2029</v>
      </c>
      <c r="Y10315" s="20" t="n">
        <v>2030</v>
      </c>
      <c r="Z10315" s="20" t="n">
        <v>2031</v>
      </c>
      <c r="AA10315" s="20" t="n">
        <v>2032</v>
      </c>
    </row>
    <row r="10316" customFormat="false" ht="15" hidden="false" customHeight="false" outlineLevel="0" collapsed="false">
      <c r="A10316" s="5" t="s">
        <v>556</v>
      </c>
      <c r="B10316" s="0" t="s">
        <v>86</v>
      </c>
      <c r="C10316" s="38" t="n">
        <f aca="false">Sens!$C$10305</f>
        <v>59.248</v>
      </c>
      <c r="D10316" s="38" t="n">
        <f aca="false">Sens!$D$10305</f>
        <v>77.67</v>
      </c>
      <c r="E10316" s="38" t="n">
        <f aca="false">Sens!$E$10305</f>
        <v>92.902</v>
      </c>
      <c r="F10316" s="38" t="n">
        <f aca="false">Sens!$F$10305</f>
        <v>46.0366037135288</v>
      </c>
      <c r="G10316" s="38" t="n">
        <f aca="false">Sens!$G$10305</f>
        <v>138.938603713529</v>
      </c>
      <c r="H10316" s="38" t="n">
        <f aca="false">Sens!$H$10305</f>
        <v>104.29965948309</v>
      </c>
      <c r="I10316" s="38" t="n">
        <f aca="false">Sens!$I$10305</f>
        <v>115.373462770871</v>
      </c>
      <c r="J10316" s="38" t="n">
        <f aca="false">Sens!$J$10305</f>
        <v>129.889724166368</v>
      </c>
      <c r="K10316" s="38" t="n">
        <f aca="false">Sens!$K$10305</f>
        <v>140.264614492505</v>
      </c>
      <c r="L10316" s="38" t="n">
        <f aca="false">Sens!$L$10305</f>
        <v>153.4257270692</v>
      </c>
      <c r="M10316" s="38" t="n">
        <f aca="false">Sens!$M$10305</f>
        <v>169.470218490121</v>
      </c>
    </row>
    <row r="10317" customFormat="false" ht="17.15" hidden="false" customHeight="false" outlineLevel="0" collapsed="false">
      <c r="A10317" s="5" t="s">
        <v>795</v>
      </c>
      <c r="B10317" s="0" t="s">
        <v>86</v>
      </c>
      <c r="C10317" s="38" t="n">
        <f aca="false">Sens!$C$10293</f>
        <v>32.067</v>
      </c>
      <c r="D10317" s="38" t="n">
        <f aca="false">Sens!$D$10293</f>
        <v>41.86</v>
      </c>
      <c r="E10317" s="38" t="n">
        <f aca="false">Sens!$E$10293</f>
        <v>26.703</v>
      </c>
      <c r="F10317" s="38" t="n">
        <f aca="false">Sens!$F$10293</f>
        <v>29.152860869477</v>
      </c>
      <c r="G10317" s="38" t="n">
        <f aca="false">Sens!$G$10293</f>
        <v>55.855860869477</v>
      </c>
      <c r="H10317" s="38" t="n">
        <f aca="false">Sens!$H$10293</f>
        <v>81.5618233196153</v>
      </c>
      <c r="I10317" s="38" t="n">
        <f aca="false">Sens!$I$10293</f>
        <v>118.756208740204</v>
      </c>
      <c r="J10317" s="38" t="n">
        <f aca="false">Sens!$J$10293</f>
        <v>152.469489406791</v>
      </c>
      <c r="K10317" s="38" t="n">
        <f aca="false">Sens!$K$10293</f>
        <v>186.391502623819</v>
      </c>
      <c r="L10317" s="38" t="n">
        <f aca="false">Sens!$L$10293</f>
        <v>211.536352632128</v>
      </c>
      <c r="M10317" s="38" t="n">
        <f aca="false">Sens!$M$10293</f>
        <v>227.842273347845</v>
      </c>
    </row>
    <row r="10318" customFormat="false" ht="15" hidden="false" customHeight="false" outlineLevel="0" collapsed="false">
      <c r="A10318" s="5" t="s">
        <v>796</v>
      </c>
      <c r="B10318" s="0" t="s">
        <v>86</v>
      </c>
      <c r="C10318" s="38" t="n">
        <f aca="false">Q!$D$48</f>
        <v>22.011</v>
      </c>
      <c r="D10318" s="38" t="n">
        <f aca="false">Q!$E$48</f>
        <v>19.467</v>
      </c>
      <c r="E10318" s="38" t="n">
        <f aca="false">Q!$P$48</f>
        <v>10.07</v>
      </c>
      <c r="F10318" s="38" t="n">
        <f aca="false">sbc_r*Sens!$F$10235</f>
        <v>10.8507035798037</v>
      </c>
      <c r="G10318" s="38" t="n">
        <f aca="false">Sens!$E$10318+Sens!$F$10318</f>
        <v>20.9207035798037</v>
      </c>
      <c r="H10318" s="38" t="n">
        <f aca="false">sbc_r*Sens!$H$10235</f>
        <v>23.46224366345</v>
      </c>
      <c r="I10318" s="38" t="n">
        <f aca="false">sbc_r*Sens!$I$10235</f>
        <v>26.6125957111676</v>
      </c>
      <c r="J10318" s="38" t="n">
        <f aca="false">sbc_r*Sens!$J$10235</f>
        <v>29.6280801413323</v>
      </c>
      <c r="K10318" s="38" t="n">
        <f aca="false">sbc_r*Sens!$K$10235</f>
        <v>32.26410459716</v>
      </c>
      <c r="L10318" s="38" t="n">
        <f aca="false">sbc_r*Sens!$L$10235</f>
        <v>34.7107348734595</v>
      </c>
      <c r="M10318" s="38" t="n">
        <f aca="false">sbc_r*Sens!$M$10235</f>
        <v>36.9769023298878</v>
      </c>
    </row>
    <row r="10319" customFormat="false" ht="17.15" hidden="false" customHeight="false" outlineLevel="0" collapsed="false">
      <c r="A10319" s="5" t="s">
        <v>797</v>
      </c>
      <c r="B10319" s="0" t="s">
        <v>86</v>
      </c>
      <c r="C10319" s="38" t="n">
        <f aca="false">Q!$D$44-Sens!$C$10316-Sens!$C$10317-Sens!$C$10318</f>
        <v>2.551</v>
      </c>
      <c r="D10319" s="38" t="n">
        <f aca="false">Q!$E$44-Sens!$D$10316-Sens!$D$10317-Sens!$D$10318</f>
        <v>0.51700000000001</v>
      </c>
      <c r="E10319" s="38" t="n">
        <f aca="false">Q!$P$44-Sens!$E$10316-Sens!$E$10317-Sens!$E$10318</f>
        <v>-58.256</v>
      </c>
      <c r="F10319" s="38" t="n">
        <f aca="false">oth_r*Sens!$F$10235</f>
        <v>5.22265251035878</v>
      </c>
      <c r="G10319" s="38" t="n">
        <f aca="false">Sens!$E$10319+Sens!$F$10319</f>
        <v>-53.0333474896412</v>
      </c>
      <c r="H10319" s="38" t="n">
        <f aca="false">oth_r*Sens!$H$10235</f>
        <v>11.2928295263397</v>
      </c>
      <c r="I10319" s="38" t="n">
        <f aca="false">oth_r*Sens!$I$10235</f>
        <v>12.8091546115766</v>
      </c>
      <c r="J10319" s="38" t="n">
        <f aca="false">oth_r*Sens!$J$10235</f>
        <v>14.2605653162668</v>
      </c>
      <c r="K10319" s="38" t="n">
        <f aca="false">oth_r*Sens!$K$10235</f>
        <v>15.5293346306567</v>
      </c>
      <c r="L10319" s="38" t="n">
        <f aca="false">oth_r*Sens!$L$10235</f>
        <v>16.7069448805781</v>
      </c>
      <c r="M10319" s="38" t="n">
        <f aca="false">oth_r*Sens!$M$10235</f>
        <v>17.7976949013636</v>
      </c>
      <c r="P10319" s="8" t="s">
        <v>798</v>
      </c>
    </row>
    <row r="10320" customFormat="false" ht="15" hidden="false" customHeight="false" outlineLevel="0" collapsed="false">
      <c r="A10320" s="3" t="s">
        <v>562</v>
      </c>
      <c r="B10320" s="8" t="s">
        <v>86</v>
      </c>
      <c r="C10320" s="38" t="n">
        <f aca="false">Q!$D$44</f>
        <v>115.877</v>
      </c>
      <c r="D10320" s="38" t="n">
        <f aca="false">Q!$E$44</f>
        <v>139.514</v>
      </c>
      <c r="E10320" s="38" t="n">
        <f aca="false">Q!$P$44</f>
        <v>71.419</v>
      </c>
      <c r="F10320" s="38" t="n">
        <f aca="false">Sens!$F$10316+Sens!$F$10317+Sens!$F$10318+Sens!$F$10319</f>
        <v>91.2628206731683</v>
      </c>
      <c r="G10320" s="38" t="n">
        <f aca="false">Sens!$E$10320+Sens!$F$10320</f>
        <v>162.681820673168</v>
      </c>
      <c r="H10320" s="38" t="n">
        <f aca="false">Sens!$H$10316+Sens!$H$10317+Sens!$H$10318+Sens!$H$10319</f>
        <v>220.616555992495</v>
      </c>
      <c r="I10320" s="38" t="n">
        <f aca="false">Sens!$I$10316+Sens!$I$10317+Sens!$I$10318+Sens!$I$10319</f>
        <v>273.55142183382</v>
      </c>
      <c r="J10320" s="38" t="n">
        <f aca="false">Sens!$J$10316+Sens!$J$10317+Sens!$J$10318+Sens!$J$10319</f>
        <v>326.247859030758</v>
      </c>
      <c r="K10320" s="38" t="n">
        <f aca="false">Sens!$K$10316+Sens!$K$10317+Sens!$K$10318+Sens!$K$10319</f>
        <v>374.44955634414</v>
      </c>
      <c r="L10320" s="38" t="n">
        <f aca="false">Sens!$L$10316+Sens!$L$10317+Sens!$L$10318+Sens!$L$10319</f>
        <v>416.379759455366</v>
      </c>
      <c r="M10320" s="38" t="n">
        <f aca="false">Sens!$M$10316+Sens!$M$10317+Sens!$M$10318+Sens!$M$10319</f>
        <v>452.087089069218</v>
      </c>
    </row>
    <row r="10321" customFormat="false" ht="17.15" hidden="false" customHeight="false" outlineLevel="0" collapsed="false">
      <c r="A10321" s="5" t="s">
        <v>799</v>
      </c>
      <c r="B10321" s="0" t="s">
        <v>86</v>
      </c>
      <c r="C10321" s="38" t="n">
        <f aca="false">Sens!$C$10199</f>
        <v>25.2781053077374</v>
      </c>
      <c r="D10321" s="38" t="n">
        <f aca="false">Sens!$D$10199</f>
        <v>69.5686316310026</v>
      </c>
      <c r="E10321" s="38" t="n">
        <f aca="false">Sens!$E$10199</f>
        <v>64.1899206485108</v>
      </c>
      <c r="F10321" s="38" t="n">
        <f aca="false">Sens!$F$10199</f>
        <v>88.7165504612134</v>
      </c>
      <c r="G10321" s="38" t="n">
        <f aca="false">Sens!$G$10199</f>
        <v>152.906471109724</v>
      </c>
      <c r="H10321" s="38" t="n">
        <f aca="false">Sens!$H$10199</f>
        <v>198.57136494475</v>
      </c>
      <c r="I10321" s="38" t="n">
        <f aca="false">Sens!$I$10199</f>
        <v>204.6464699105</v>
      </c>
      <c r="J10321" s="38" t="n">
        <f aca="false">Sens!$J$10199</f>
        <v>209.8832381105</v>
      </c>
      <c r="K10321" s="38" t="n">
        <f aca="false">Sens!$K$10199</f>
        <v>152.460428963578</v>
      </c>
      <c r="L10321" s="38" t="n">
        <f aca="false">Sens!$L$10199</f>
        <v>126.458229016657</v>
      </c>
      <c r="M10321" s="38" t="n">
        <f aca="false">Sens!$M$10199</f>
        <v>123.897112724985</v>
      </c>
    </row>
    <row r="10322" customFormat="false" ht="17.15" hidden="false" customHeight="false" outlineLevel="0" collapsed="false">
      <c r="A10322" s="5" t="s">
        <v>800</v>
      </c>
      <c r="B10322" s="0" t="s">
        <v>86</v>
      </c>
      <c r="C10322" s="38" t="n">
        <f aca="false">cx_awso*Sens!$C$10233</f>
        <v>21.0469989286053</v>
      </c>
      <c r="D10322" s="38" t="n">
        <f aca="false">cx_awso*Sens!$D$10233</f>
        <v>24.0042459822698</v>
      </c>
      <c r="E10322" s="38" t="n">
        <f aca="false">cx_awso*Sens!$E$10233</f>
        <v>14.261729404886</v>
      </c>
      <c r="F10322" s="38" t="n">
        <f aca="false">cx_awso*Sens!$F$10233</f>
        <v>14.3538599588493</v>
      </c>
      <c r="G10322" s="38" t="n">
        <f aca="false">Sens!$E$10322+Sens!$F$10322</f>
        <v>28.6155893637353</v>
      </c>
      <c r="H10322" s="38" t="n">
        <f aca="false">cx_awso*Sens!$H$10233</f>
        <v>32.2034154158406</v>
      </c>
      <c r="I10322" s="38" t="n">
        <f aca="false">cx_awso*Sens!$I$10233</f>
        <v>35.7539519042915</v>
      </c>
      <c r="J10322" s="38" t="n">
        <f aca="false">cx_awso*Sens!$J$10233</f>
        <v>39.1551076091815</v>
      </c>
      <c r="K10322" s="38" t="n">
        <f aca="false">cx_awso*Sens!$K$10233</f>
        <v>42.287516217916</v>
      </c>
      <c r="L10322" s="38" t="n">
        <f aca="false">cx_awso*Sens!$L$10233</f>
        <v>45.6705175153492</v>
      </c>
      <c r="M10322" s="38" t="n">
        <f aca="false">cx_awso*Sens!$M$10233</f>
        <v>49.3241589165772</v>
      </c>
    </row>
    <row r="10323" customFormat="false" ht="17.15" hidden="false" customHeight="false" outlineLevel="0" collapsed="false">
      <c r="A10323" s="5" t="s">
        <v>801</v>
      </c>
      <c r="B10323" s="0" t="s">
        <v>86</v>
      </c>
      <c r="C10323" s="38" t="n">
        <f aca="false">Q!$D$46-Sens!$C$10321-Sens!$C$10322</f>
        <v>31.3328957636573</v>
      </c>
      <c r="D10323" s="38" t="n">
        <f aca="false">Q!$E$46-Sens!$D$10321-Sens!$D$10322</f>
        <v>34.7471223867276</v>
      </c>
      <c r="E10323" s="38" t="n">
        <f aca="false">Q!$P$46-Sens!$E$10321-Sens!$E$10322</f>
        <v>17.8583499466032</v>
      </c>
      <c r="F10323" s="38" t="n">
        <f aca="false">cx_rt*Sens!$F$10162</f>
        <v>20.6195895799373</v>
      </c>
      <c r="G10323" s="38" t="n">
        <f aca="false">Sens!$E$10323+Sens!$F$10323</f>
        <v>38.4779395265405</v>
      </c>
      <c r="H10323" s="38" t="n">
        <f aca="false">cx_rt*Sens!$H$10162</f>
        <v>42.5978994743075</v>
      </c>
      <c r="I10323" s="38" t="n">
        <f aca="false">cx_rt*Sens!$I$10162</f>
        <v>46.5813904136335</v>
      </c>
      <c r="J10323" s="38" t="n">
        <f aca="false">cx_rt*Sens!$J$10162</f>
        <v>50.2781676586844</v>
      </c>
      <c r="K10323" s="38" t="n">
        <f aca="false">cx_rt*Sens!$K$10162</f>
        <v>53.5312440191755</v>
      </c>
      <c r="L10323" s="38" t="n">
        <f aca="false">cx_rt*Sens!$L$10162</f>
        <v>57.0116717051447</v>
      </c>
      <c r="M10323" s="38" t="n">
        <f aca="false">cx_rt*Sens!$M$10162</f>
        <v>60.7365554669226</v>
      </c>
    </row>
    <row r="10324" customFormat="false" ht="15" hidden="false" customHeight="false" outlineLevel="0" collapsed="false">
      <c r="A10324" s="3" t="s">
        <v>802</v>
      </c>
      <c r="B10324" s="8" t="s">
        <v>86</v>
      </c>
      <c r="C10324" s="38" t="n">
        <f aca="false">Q!$D$46</f>
        <v>77.658</v>
      </c>
      <c r="D10324" s="38" t="n">
        <f aca="false">Q!$E$46</f>
        <v>128.32</v>
      </c>
      <c r="E10324" s="38" t="n">
        <f aca="false">Q!$P$46</f>
        <v>96.31</v>
      </c>
      <c r="F10324" s="38" t="n">
        <f aca="false">Sens!$F$10321+Sens!$F$10322+Sens!$F$10323</f>
        <v>123.69</v>
      </c>
      <c r="G10324" s="38" t="n">
        <f aca="false">Sens!$E$10324+Sens!$F$10324</f>
        <v>220</v>
      </c>
      <c r="H10324" s="38" t="n">
        <f aca="false">Sens!$H$10321+Sens!$H$10322+Sens!$H$10323</f>
        <v>273.372679834898</v>
      </c>
      <c r="I10324" s="38" t="n">
        <f aca="false">Sens!$I$10321+Sens!$I$10322+Sens!$I$10323</f>
        <v>286.981812228425</v>
      </c>
      <c r="J10324" s="38" t="n">
        <f aca="false">Sens!$J$10321+Sens!$J$10322+Sens!$J$10323</f>
        <v>299.316513378366</v>
      </c>
      <c r="K10324" s="38" t="n">
        <f aca="false">Sens!$K$10321+Sens!$K$10322+Sens!$K$10323</f>
        <v>248.27918920067</v>
      </c>
      <c r="L10324" s="38" t="n">
        <f aca="false">Sens!$L$10321+Sens!$L$10322+Sens!$L$10323</f>
        <v>229.140418237151</v>
      </c>
      <c r="M10324" s="38" t="n">
        <f aca="false">Sens!$M$10321+Sens!$M$10322+Sens!$M$10323</f>
        <v>233.957827108485</v>
      </c>
    </row>
    <row r="10325" customFormat="false" ht="17.15" hidden="false" customHeight="false" outlineLevel="0" collapsed="false">
      <c r="A10325" s="5" t="s">
        <v>570</v>
      </c>
      <c r="B10325" s="0" t="s">
        <v>86</v>
      </c>
      <c r="C10325" s="38" t="n">
        <f aca="false">Q!$D$50</f>
        <v>2.043</v>
      </c>
      <c r="D10325" s="38" t="n">
        <f aca="false">Q!$E$50</f>
        <v>1.557</v>
      </c>
      <c r="E10325" s="38" t="n">
        <f aca="false">lease_pr/2</f>
        <v>0.8</v>
      </c>
      <c r="F10325" s="38" t="n">
        <f aca="false">lease_pr/2</f>
        <v>0.8</v>
      </c>
      <c r="G10325" s="38" t="n">
        <f aca="false">Sens!$E$10325+Sens!$F$10325</f>
        <v>1.6</v>
      </c>
      <c r="H10325" s="38" t="n">
        <f aca="false">lease_pr</f>
        <v>1.6</v>
      </c>
      <c r="I10325" s="38" t="n">
        <f aca="false">lease_pr</f>
        <v>1.6</v>
      </c>
      <c r="J10325" s="38" t="n">
        <f aca="false">lease_pr</f>
        <v>1.6</v>
      </c>
      <c r="K10325" s="38" t="n">
        <f aca="false">lease_pr</f>
        <v>1.6</v>
      </c>
      <c r="L10325" s="38" t="n">
        <f aca="false">lease_pr</f>
        <v>1.6</v>
      </c>
      <c r="M10325" s="38" t="n">
        <f aca="false">lease_pr</f>
        <v>1.6</v>
      </c>
      <c r="P10325" s="8" t="s">
        <v>803</v>
      </c>
    </row>
    <row r="10326" customFormat="false" ht="15" hidden="false" customHeight="false" outlineLevel="0" collapsed="false">
      <c r="A10326" s="47" t="s">
        <v>804</v>
      </c>
      <c r="B10326" s="14" t="s">
        <v>86</v>
      </c>
      <c r="C10326" s="48" t="n">
        <f aca="false">Sens!$C$10320-Sens!$C$10324-Sens!$C$10325</f>
        <v>36.176</v>
      </c>
      <c r="D10326" s="48" t="n">
        <f aca="false">Sens!$D$10320-Sens!$D$10324-Sens!$D$10325</f>
        <v>9.63700000000002</v>
      </c>
      <c r="E10326" s="48" t="n">
        <f aca="false">Sens!$E$10320-Sens!$E$10324-Sens!$E$10325</f>
        <v>-25.691</v>
      </c>
      <c r="F10326" s="48" t="n">
        <f aca="false">Sens!$F$10320-Sens!$F$10324-Sens!$F$10325</f>
        <v>-33.2271793268317</v>
      </c>
      <c r="G10326" s="48" t="n">
        <f aca="false">Sens!$G$10320-Sens!$G$10324-Sens!$G$10325</f>
        <v>-58.9181793268317</v>
      </c>
      <c r="H10326" s="48" t="n">
        <f aca="false">Sens!$H$10320-Sens!$H$10324-Sens!$H$10325</f>
        <v>-54.3561238424036</v>
      </c>
      <c r="I10326" s="48" t="n">
        <f aca="false">Sens!$I$10320-Sens!$I$10324-Sens!$I$10325</f>
        <v>-15.0303903946055</v>
      </c>
      <c r="J10326" s="48" t="n">
        <f aca="false">Sens!$J$10320-Sens!$J$10324-Sens!$J$10325</f>
        <v>25.3313456523922</v>
      </c>
      <c r="K10326" s="48" t="n">
        <f aca="false">Sens!$K$10320-Sens!$K$10324-Sens!$K$10325</f>
        <v>124.570367143471</v>
      </c>
      <c r="L10326" s="48" t="n">
        <f aca="false">Sens!$L$10320-Sens!$L$10324-Sens!$L$10325</f>
        <v>185.639341218215</v>
      </c>
      <c r="M10326" s="48" t="n">
        <f aca="false">Sens!$M$10320-Sens!$M$10324-Sens!$M$10325</f>
        <v>216.529261960733</v>
      </c>
      <c r="N10326" s="14"/>
      <c r="O10326" s="14"/>
    </row>
    <row r="10327" customFormat="false" ht="17.15" hidden="false" customHeight="false" outlineLevel="0" collapsed="false">
      <c r="A10327" s="5" t="s">
        <v>805</v>
      </c>
      <c r="B10327" s="0" t="s">
        <v>86</v>
      </c>
      <c r="C10327" s="38" t="n">
        <f aca="false">dps*Sens!$C$10306</f>
        <v>0</v>
      </c>
      <c r="D10327" s="38" t="n">
        <f aca="false">dps*Sens!$D$10306</f>
        <v>0</v>
      </c>
      <c r="E10327" s="38" t="n">
        <f aca="false">dps*Sens!$E$10306</f>
        <v>0</v>
      </c>
      <c r="F10327" s="38" t="n">
        <f aca="false">0</f>
        <v>0</v>
      </c>
      <c r="G10327" s="38" t="n">
        <f aca="false">dps*Sens!$G$10306</f>
        <v>0</v>
      </c>
      <c r="H10327" s="38" t="n">
        <f aca="false">dps*Sens!$H$10306</f>
        <v>0</v>
      </c>
      <c r="I10327" s="38" t="n">
        <f aca="false">dps*Sens!$I$10306</f>
        <v>0</v>
      </c>
      <c r="J10327" s="38" t="n">
        <f aca="false">dps*Sens!$J$10306</f>
        <v>0</v>
      </c>
      <c r="K10327" s="38" t="n">
        <f aca="false">dps*Sens!$K$10306</f>
        <v>0</v>
      </c>
      <c r="L10327" s="38" t="n">
        <f aca="false">dps*Sens!$L$10306</f>
        <v>0</v>
      </c>
      <c r="M10327" s="38" t="n">
        <f aca="false">dps*Sens!$M$10306</f>
        <v>0</v>
      </c>
      <c r="P10327" s="8" t="s">
        <v>806</v>
      </c>
    </row>
    <row r="10328" customFormat="false" ht="17.15" hidden="false" customHeight="false" outlineLevel="0" collapsed="false">
      <c r="A10328" s="5" t="s">
        <v>807</v>
      </c>
      <c r="B10328" s="0" t="s">
        <v>86</v>
      </c>
      <c r="C10328" s="38" t="n">
        <f aca="false">0</f>
        <v>0</v>
      </c>
      <c r="D10328" s="38" t="n">
        <f aca="false">0</f>
        <v>0</v>
      </c>
      <c r="E10328" s="38" t="n">
        <f aca="false">0</f>
        <v>0</v>
      </c>
      <c r="F10328" s="38" t="n">
        <f aca="false">0</f>
        <v>0</v>
      </c>
      <c r="G10328" s="38" t="n">
        <f aca="false">0</f>
        <v>0</v>
      </c>
      <c r="H10328" s="38" t="n">
        <f aca="false">0</f>
        <v>0</v>
      </c>
      <c r="I10328" s="38" t="n">
        <f aca="false">0</f>
        <v>0</v>
      </c>
      <c r="J10328" s="38" t="n">
        <f aca="false">0</f>
        <v>0</v>
      </c>
      <c r="K10328" s="38" t="n">
        <f aca="false">0</f>
        <v>0</v>
      </c>
      <c r="L10328" s="38" t="n">
        <f aca="false">0</f>
        <v>0</v>
      </c>
      <c r="M10328" s="38" t="n">
        <f aca="false">0</f>
        <v>0</v>
      </c>
      <c r="P10328" s="8" t="s">
        <v>808</v>
      </c>
    </row>
    <row r="10329" customFormat="false" ht="15" hidden="false" customHeight="false" outlineLevel="0" collapsed="false">
      <c r="A10329" s="3" t="s">
        <v>809</v>
      </c>
      <c r="B10329" s="8" t="s">
        <v>86</v>
      </c>
      <c r="C10329" s="38" t="n">
        <f aca="false">Sens!$C$10326-Sens!$C$10327</f>
        <v>36.176</v>
      </c>
      <c r="D10329" s="38" t="n">
        <f aca="false">Sens!$D$10326-Sens!$D$10327</f>
        <v>9.63700000000002</v>
      </c>
      <c r="E10329" s="38" t="n">
        <f aca="false">Sens!$E$10326-Sens!$E$10327</f>
        <v>-25.691</v>
      </c>
      <c r="F10329" s="38" t="n">
        <f aca="false">Sens!$F$10326-Sens!$F$10327</f>
        <v>-33.2271793268317</v>
      </c>
      <c r="G10329" s="38" t="n">
        <f aca="false">Sens!$G$10326-Sens!$G$10327</f>
        <v>-58.9181793268317</v>
      </c>
      <c r="H10329" s="38" t="n">
        <f aca="false">Sens!$H$10326-Sens!$H$10327</f>
        <v>-54.3561238424036</v>
      </c>
      <c r="I10329" s="38" t="n">
        <f aca="false">Sens!$I$10326-Sens!$I$10327</f>
        <v>-15.0303903946055</v>
      </c>
      <c r="J10329" s="38" t="n">
        <f aca="false">Sens!$J$10326-Sens!$J$10327</f>
        <v>25.3313456523922</v>
      </c>
      <c r="K10329" s="38" t="n">
        <f aca="false">Sens!$K$10326-Sens!$K$10327</f>
        <v>124.570367143471</v>
      </c>
      <c r="L10329" s="38" t="n">
        <f aca="false">Sens!$L$10326-Sens!$L$10327</f>
        <v>185.639341218215</v>
      </c>
      <c r="M10329" s="38" t="n">
        <f aca="false">Sens!$M$10326-Sens!$M$10327</f>
        <v>216.529261960733</v>
      </c>
    </row>
    <row r="10330" customFormat="false" ht="17.15" hidden="false" customHeight="false" outlineLevel="0" collapsed="false">
      <c r="A10330" s="5" t="s">
        <v>810</v>
      </c>
      <c r="B10330" s="0" t="s">
        <v>86</v>
      </c>
      <c r="E10330" s="38" t="n">
        <f aca="false">Q!$P$53</f>
        <v>39.767</v>
      </c>
      <c r="F10330" s="38" t="n">
        <f aca="false">inv_2h26</f>
        <v>21.3</v>
      </c>
      <c r="G10330" s="38" t="n">
        <f aca="false">Sens!$E$10330+Sens!$F$10330</f>
        <v>61.067</v>
      </c>
      <c r="H10330" s="39" t="n">
        <v>0</v>
      </c>
      <c r="I10330" s="39" t="n">
        <v>0</v>
      </c>
      <c r="J10330" s="39" t="n">
        <v>0</v>
      </c>
      <c r="K10330" s="39" t="n">
        <v>0</v>
      </c>
      <c r="L10330" s="39" t="n">
        <v>0</v>
      </c>
      <c r="M10330" s="39" t="n">
        <v>0</v>
      </c>
    </row>
    <row r="10331" customFormat="false" ht="17.15" hidden="false" customHeight="false" outlineLevel="0" collapsed="false">
      <c r="A10331" s="5" t="s">
        <v>811</v>
      </c>
      <c r="B10331" s="0" t="s">
        <v>86</v>
      </c>
      <c r="F10331" s="38" t="n">
        <f aca="false">iss_2h26</f>
        <v>29.249999</v>
      </c>
      <c r="G10331" s="38" t="n">
        <f aca="false">Sens!$F$10331</f>
        <v>29.249999</v>
      </c>
      <c r="H10331" s="39" t="n">
        <v>0</v>
      </c>
      <c r="I10331" s="39" t="n">
        <v>0</v>
      </c>
      <c r="J10331" s="39" t="n">
        <v>0</v>
      </c>
      <c r="K10331" s="39" t="n">
        <v>0</v>
      </c>
      <c r="L10331" s="39" t="n">
        <v>0</v>
      </c>
      <c r="M10331" s="39" t="n">
        <v>0</v>
      </c>
    </row>
    <row r="10332" customFormat="false" ht="17.15" hidden="false" customHeight="false" outlineLevel="0" collapsed="false">
      <c r="A10332" s="5" t="s">
        <v>812</v>
      </c>
      <c r="B10332" s="0" t="s">
        <v>86</v>
      </c>
      <c r="F10332" s="38" t="n">
        <f aca="false">cash_q2</f>
        <v>122.988</v>
      </c>
      <c r="G10332" s="38" t="n">
        <f aca="false">cash_q2</f>
        <v>122.988</v>
      </c>
      <c r="H10332" s="38" t="n">
        <f aca="false">Sens!$G$10335</f>
        <v>97.7108196731683</v>
      </c>
      <c r="I10332" s="38" t="n">
        <f aca="false">Sens!$H$10335</f>
        <v>50</v>
      </c>
      <c r="J10332" s="38" t="n">
        <f aca="false">Sens!$I$10335</f>
        <v>50</v>
      </c>
      <c r="K10332" s="38" t="n">
        <f aca="false">Sens!$J$10335</f>
        <v>75.3313456523922</v>
      </c>
      <c r="L10332" s="38" t="n">
        <f aca="false">Sens!$K$10335</f>
        <v>199.901712795863</v>
      </c>
      <c r="M10332" s="38" t="n">
        <f aca="false">Sens!$L$10335</f>
        <v>385.541054014078</v>
      </c>
    </row>
    <row r="10333" customFormat="false" ht="15" hidden="false" customHeight="false" outlineLevel="0" collapsed="false">
      <c r="A10333" s="5" t="s">
        <v>813</v>
      </c>
      <c r="B10333" s="0" t="s">
        <v>86</v>
      </c>
      <c r="F10333" s="38" t="n">
        <f aca="false">Sens!$F$10332+Sens!$F$10329-Sens!$F$10328-Sens!$F$10330+Sens!$F$10331</f>
        <v>97.7108196731683</v>
      </c>
      <c r="H10333" s="38" t="n">
        <f aca="false">Sens!$H$10332+Sens!$H$10329-Sens!$H$10328-Sens!$H$10330+Sens!$H$10331</f>
        <v>43.3546958307647</v>
      </c>
      <c r="I10333" s="38" t="n">
        <f aca="false">Sens!$I$10332+Sens!$I$10329-Sens!$I$10328-Sens!$I$10330+Sens!$I$10331</f>
        <v>34.9696096053945</v>
      </c>
      <c r="J10333" s="38" t="n">
        <f aca="false">Sens!$J$10332+Sens!$J$10329-Sens!$J$10328-Sens!$J$10330+Sens!$J$10331</f>
        <v>75.3313456523922</v>
      </c>
      <c r="K10333" s="38" t="n">
        <f aca="false">Sens!$K$10332+Sens!$K$10329-Sens!$K$10328-Sens!$K$10330+Sens!$K$10331</f>
        <v>199.901712795863</v>
      </c>
      <c r="L10333" s="38" t="n">
        <f aca="false">Sens!$L$10332+Sens!$L$10329-Sens!$L$10328-Sens!$L$10330+Sens!$L$10331</f>
        <v>385.541054014078</v>
      </c>
      <c r="M10333" s="38" t="n">
        <f aca="false">Sens!$M$10332+Sens!$M$10329-Sens!$M$10328-Sens!$M$10330+Sens!$M$10331</f>
        <v>602.070315974811</v>
      </c>
    </row>
    <row r="10334" customFormat="false" ht="17.15" hidden="false" customHeight="false" outlineLevel="0" collapsed="false">
      <c r="A10334" s="5" t="s">
        <v>814</v>
      </c>
      <c r="B10334" s="0" t="s">
        <v>86</v>
      </c>
      <c r="F10334" s="38" t="n">
        <f aca="false">MAX(0,min_cash-Sens!$F$10333)</f>
        <v>0</v>
      </c>
      <c r="G10334" s="38" t="n">
        <f aca="false">Sens!$F$10334</f>
        <v>0</v>
      </c>
      <c r="H10334" s="38" t="n">
        <f aca="false">MAX(0,min_cash-Sens!$H$10333)</f>
        <v>6.64530416923528</v>
      </c>
      <c r="I10334" s="38" t="n">
        <f aca="false">MAX(0,min_cash-Sens!$I$10333)</f>
        <v>15.0303903946055</v>
      </c>
      <c r="J10334" s="38" t="n">
        <f aca="false">MAX(0,min_cash-Sens!$J$10333)</f>
        <v>0</v>
      </c>
      <c r="K10334" s="38" t="n">
        <f aca="false">MAX(0,min_cash-Sens!$K$10333)</f>
        <v>0</v>
      </c>
      <c r="L10334" s="38" t="n">
        <f aca="false">MAX(0,min_cash-Sens!$L$10333)</f>
        <v>0</v>
      </c>
      <c r="M10334" s="38" t="n">
        <f aca="false">MAX(0,min_cash-Sens!$M$10333)</f>
        <v>0</v>
      </c>
      <c r="P10334" s="5" t="s">
        <v>815</v>
      </c>
    </row>
    <row r="10335" customFormat="false" ht="15" hidden="false" customHeight="false" outlineLevel="0" collapsed="false">
      <c r="A10335" s="5" t="s">
        <v>816</v>
      </c>
      <c r="B10335" s="0" t="s">
        <v>86</v>
      </c>
      <c r="D10335" s="38" t="n">
        <f aca="false">Q!$E$61</f>
        <v>123.029</v>
      </c>
      <c r="E10335" s="38" t="n">
        <f aca="false">Q!$M$61</f>
        <v>122.988</v>
      </c>
      <c r="F10335" s="38" t="n">
        <f aca="false">Sens!$F$10333+Sens!$F$10334</f>
        <v>97.7108196731683</v>
      </c>
      <c r="G10335" s="38" t="n">
        <f aca="false">Sens!$F$10335</f>
        <v>97.7108196731683</v>
      </c>
      <c r="H10335" s="38" t="n">
        <f aca="false">Sens!$H$10333+Sens!$H$10334</f>
        <v>50</v>
      </c>
      <c r="I10335" s="38" t="n">
        <f aca="false">Sens!$I$10333+Sens!$I$10334</f>
        <v>50</v>
      </c>
      <c r="J10335" s="38" t="n">
        <f aca="false">Sens!$J$10333+Sens!$J$10334</f>
        <v>75.3313456523922</v>
      </c>
      <c r="K10335" s="38" t="n">
        <f aca="false">Sens!$K$10333+Sens!$K$10334</f>
        <v>199.901712795863</v>
      </c>
      <c r="L10335" s="38" t="n">
        <f aca="false">Sens!$L$10333+Sens!$L$10334</f>
        <v>385.541054014078</v>
      </c>
      <c r="M10335" s="38" t="n">
        <f aca="false">Sens!$M$10333+Sens!$M$10334</f>
        <v>602.070315974811</v>
      </c>
    </row>
    <row r="10336" customFormat="false" ht="15" hidden="false" customHeight="false" outlineLevel="0" collapsed="false">
      <c r="A10336" s="5" t="s">
        <v>817</v>
      </c>
      <c r="B10336" s="0" t="s">
        <v>86</v>
      </c>
      <c r="D10336" s="38" t="n">
        <f aca="false">Q!$E$62</f>
        <v>68.836</v>
      </c>
      <c r="E10336" s="38" t="n">
        <f aca="false">Q!$M$62</f>
        <v>132.995</v>
      </c>
      <c r="F10336" s="38" t="n">
        <f aca="false">debt_q2+Sens!$F$10331+Sens!$F$10334</f>
        <v>162.244999</v>
      </c>
      <c r="G10336" s="38" t="n">
        <f aca="false">Sens!$F$10336</f>
        <v>162.244999</v>
      </c>
      <c r="H10336" s="38" t="n">
        <f aca="false">Sens!$G$10336+Sens!$H$10334</f>
        <v>168.890303169235</v>
      </c>
      <c r="I10336" s="38" t="n">
        <f aca="false">Sens!$H$10336+Sens!$I$10334</f>
        <v>183.920693563841</v>
      </c>
      <c r="J10336" s="38" t="n">
        <f aca="false">Sens!$I$10336+Sens!$J$10334</f>
        <v>183.920693563841</v>
      </c>
      <c r="K10336" s="38" t="n">
        <f aca="false">Sens!$J$10336+Sens!$K$10334</f>
        <v>183.920693563841</v>
      </c>
      <c r="L10336" s="38" t="n">
        <f aca="false">Sens!$K$10336+Sens!$L$10334</f>
        <v>183.920693563841</v>
      </c>
      <c r="M10336" s="38" t="n">
        <f aca="false">Sens!$L$10336+Sens!$M$10334</f>
        <v>183.920693563841</v>
      </c>
    </row>
    <row r="10337" customFormat="false" ht="15" hidden="false" customHeight="false" outlineLevel="0" collapsed="false">
      <c r="A10337" s="5" t="s">
        <v>818</v>
      </c>
      <c r="B10337" s="0" t="s">
        <v>86</v>
      </c>
      <c r="D10337" s="38" t="n">
        <f aca="false">Sens!$D$10336-Sens!$D$10335</f>
        <v>-54.193</v>
      </c>
      <c r="E10337" s="38" t="n">
        <f aca="false">Sens!$E$10336-Sens!$E$10335</f>
        <v>10.007</v>
      </c>
      <c r="F10337" s="38" t="n">
        <f aca="false">Sens!$F$10336-Sens!$F$10335</f>
        <v>64.5341793268317</v>
      </c>
      <c r="G10337" s="38" t="n">
        <f aca="false">Sens!$G$10336-Sens!$G$10335</f>
        <v>64.5341793268317</v>
      </c>
      <c r="H10337" s="38" t="n">
        <f aca="false">Sens!$H$10336-Sens!$H$10335</f>
        <v>118.890303169235</v>
      </c>
      <c r="I10337" s="38" t="n">
        <f aca="false">Sens!$I$10336-Sens!$I$10335</f>
        <v>133.920693563841</v>
      </c>
      <c r="J10337" s="38" t="n">
        <f aca="false">Sens!$J$10336-Sens!$J$10335</f>
        <v>108.589347911449</v>
      </c>
      <c r="K10337" s="38" t="n">
        <f aca="false">Sens!$K$10336-Sens!$K$10335</f>
        <v>-15.9810192320221</v>
      </c>
      <c r="L10337" s="38" t="n">
        <f aca="false">Sens!$L$10336-Sens!$L$10335</f>
        <v>-201.620360450237</v>
      </c>
      <c r="M10337" s="38" t="n">
        <f aca="false">Sens!$M$10336-Sens!$M$10335</f>
        <v>-418.14962241097</v>
      </c>
    </row>
    <row r="10338" customFormat="false" ht="17.15" hidden="false" customHeight="false" outlineLevel="0" collapsed="false">
      <c r="A10338" s="5" t="s">
        <v>819</v>
      </c>
      <c r="B10338" s="0" t="s">
        <v>86</v>
      </c>
      <c r="F10338" s="38" t="n">
        <f aca="false">debt_q2*kd_book*0.5+iss_2h26*kd_new*iss_t</f>
        <v>3.24888962733561</v>
      </c>
      <c r="H10338" s="38" t="n">
        <f aca="false">debt_q2*kd_book+(Sens!$G$10336-debt_q2)*kd_new</f>
        <v>7.42354172302123</v>
      </c>
      <c r="I10338" s="38" t="n">
        <f aca="false">debt_q2*kd_book+(Sens!$H$10336-debt_q2)*kd_new</f>
        <v>7.84418947693382</v>
      </c>
      <c r="J10338" s="38" t="n">
        <f aca="false">debt_q2*kd_book+(Sens!$I$10336-debt_q2)*kd_new</f>
        <v>8.79561318891235</v>
      </c>
      <c r="K10338" s="38" t="n">
        <f aca="false">debt_q2*kd_book+(Sens!$J$10336-debt_q2)*kd_new</f>
        <v>8.79561318891235</v>
      </c>
      <c r="L10338" s="38" t="n">
        <f aca="false">debt_q2*kd_book+(Sens!$K$10336-debt_q2)*kd_new</f>
        <v>8.79561318891235</v>
      </c>
      <c r="M10338" s="38" t="n">
        <f aca="false">debt_q2*kd_book+(Sens!$L$10336-debt_q2)*kd_new</f>
        <v>8.79561318891235</v>
      </c>
    </row>
    <row r="10339" customFormat="false" ht="17.15" hidden="false" customHeight="false" outlineLevel="0" collapsed="false">
      <c r="A10339" s="5" t="s">
        <v>820</v>
      </c>
      <c r="B10339" s="0" t="s">
        <v>86</v>
      </c>
      <c r="F10339" s="38" t="n">
        <f aca="false">cash_q2*y_cash*0.5</f>
        <v>2.59</v>
      </c>
      <c r="H10339" s="38" t="n">
        <f aca="false">Sens!$G$10335*y_cash</f>
        <v>4.1153774832261</v>
      </c>
      <c r="I10339" s="38" t="n">
        <f aca="false">Sens!$H$10335*y_cash</f>
        <v>2.10589651022864</v>
      </c>
      <c r="J10339" s="38" t="n">
        <f aca="false">Sens!$I$10335*y_cash</f>
        <v>2.10589651022864</v>
      </c>
      <c r="K10339" s="38" t="n">
        <f aca="false">Sens!$J$10335*y_cash</f>
        <v>3.172800358404</v>
      </c>
      <c r="L10339" s="38" t="n">
        <f aca="false">Sens!$K$10335*y_cash</f>
        <v>8.41944638731071</v>
      </c>
      <c r="M10339" s="38" t="n">
        <f aca="false">Sens!$L$10335*y_cash</f>
        <v>16.2381912039624</v>
      </c>
    </row>
    <row r="10340" customFormat="false" ht="17.15" hidden="false" customHeight="false" outlineLevel="0" collapsed="false">
      <c r="A10340" s="47" t="s">
        <v>821</v>
      </c>
      <c r="B10340" s="14" t="s">
        <v>86</v>
      </c>
      <c r="C10340" s="14"/>
      <c r="D10340" s="14"/>
      <c r="E10340" s="14"/>
      <c r="F10340" s="14"/>
      <c r="G10340" s="48" t="n">
        <f aca="false">SUM(Sens!$G$10329:$K$10329)</f>
        <v>21.5970192320221</v>
      </c>
      <c r="H10340" s="14"/>
      <c r="I10340" s="14"/>
      <c r="J10340" s="14"/>
      <c r="K10340" s="14"/>
      <c r="L10340" s="14"/>
      <c r="M10340" s="14"/>
      <c r="N10340" s="14"/>
      <c r="O10340" s="14"/>
    </row>
    <row r="10341" customFormat="false" ht="17.15" hidden="false" customHeight="false" outlineLevel="0" collapsed="false">
      <c r="A10341" s="0" t="s">
        <v>787</v>
      </c>
      <c r="B10341" s="0" t="s">
        <v>86</v>
      </c>
      <c r="G10341" s="38" t="n">
        <f aca="false">SUM(Sens!$G$10334:$K$10334)</f>
        <v>21.6756945638408</v>
      </c>
    </row>
    <row r="10342" customFormat="false" ht="17.15" hidden="false" customHeight="false" outlineLevel="0" collapsed="false">
      <c r="A10342" s="24" t="s">
        <v>824</v>
      </c>
      <c r="B10342" s="25" t="s">
        <v>86</v>
      </c>
      <c r="C10342" s="25"/>
      <c r="D10342" s="25"/>
      <c r="E10342" s="25"/>
      <c r="F10342" s="25"/>
      <c r="G10342" s="41" t="n">
        <f aca="false">Sens!$G$10340-(Sens!$G$10329+Sens!$H$10329+Sens!$I$10329+Sens!$J$10329+Sens!$K$10329)</f>
        <v>0</v>
      </c>
      <c r="H10342" s="25"/>
      <c r="I10342" s="25"/>
      <c r="J10342" s="25"/>
      <c r="K10342" s="25"/>
      <c r="L10342" s="25"/>
      <c r="M10342" s="25"/>
      <c r="N10342" s="25"/>
      <c r="O10342" s="25"/>
    </row>
    <row r="10345" customFormat="false" ht="19.4" hidden="false" customHeight="false" outlineLevel="0" collapsed="false">
      <c r="A10345" s="31" t="s">
        <v>1361</v>
      </c>
    </row>
    <row r="10346" customFormat="false" ht="17.15" hidden="false" customHeight="false" outlineLevel="0" collapsed="false">
      <c r="A10346" s="6" t="s">
        <v>16</v>
      </c>
      <c r="B10346" s="6" t="s">
        <v>17</v>
      </c>
      <c r="C10346" s="20" t="s">
        <v>504</v>
      </c>
      <c r="D10346" s="20" t="s">
        <v>505</v>
      </c>
      <c r="E10346" s="20" t="s">
        <v>587</v>
      </c>
      <c r="F10346" s="20" t="s">
        <v>588</v>
      </c>
      <c r="G10346" s="20" t="s">
        <v>589</v>
      </c>
      <c r="H10346" s="20" t="s">
        <v>590</v>
      </c>
      <c r="I10346" s="20" t="s">
        <v>591</v>
      </c>
      <c r="J10346" s="20" t="s">
        <v>592</v>
      </c>
      <c r="K10346" s="20" t="s">
        <v>593</v>
      </c>
      <c r="L10346" s="20" t="s">
        <v>594</v>
      </c>
      <c r="M10346" s="20" t="s">
        <v>595</v>
      </c>
      <c r="N10346" s="20" t="s">
        <v>596</v>
      </c>
      <c r="O10346" s="20" t="s">
        <v>597</v>
      </c>
      <c r="P10346" s="6" t="s">
        <v>23</v>
      </c>
      <c r="R10346" s="20" t="n">
        <v>2023</v>
      </c>
      <c r="S10346" s="20" t="n">
        <v>2024</v>
      </c>
      <c r="T10346" s="20" t="n">
        <v>2025</v>
      </c>
      <c r="U10346" s="20" t="n">
        <v>2026</v>
      </c>
      <c r="V10346" s="20" t="n">
        <v>2027</v>
      </c>
      <c r="W10346" s="20" t="n">
        <v>2028</v>
      </c>
      <c r="X10346" s="20" t="n">
        <v>2029</v>
      </c>
      <c r="Y10346" s="20" t="n">
        <v>2030</v>
      </c>
      <c r="Z10346" s="20" t="n">
        <v>2031</v>
      </c>
      <c r="AA10346" s="20" t="n">
        <v>2032</v>
      </c>
    </row>
    <row r="10347" customFormat="false" ht="17.15" hidden="false" customHeight="false" outlineLevel="0" collapsed="false">
      <c r="A10347" s="1" t="s">
        <v>926</v>
      </c>
    </row>
    <row r="10348" customFormat="false" ht="17.15" hidden="false" customHeight="false" outlineLevel="0" collapsed="false">
      <c r="A10348" s="0" t="s">
        <v>927</v>
      </c>
      <c r="B10348" s="0" t="s">
        <v>86</v>
      </c>
      <c r="H10348" s="38" t="n">
        <f aca="false">Sens!$H$10282*(1-tax)</f>
        <v>119.56497355468</v>
      </c>
      <c r="I10348" s="38" t="n">
        <f aca="false">Sens!$I$10282*(1-tax)</f>
        <v>141.256941944278</v>
      </c>
      <c r="J10348" s="38" t="n">
        <f aca="false">Sens!$J$10282*(1-tax)</f>
        <v>165.207646486437</v>
      </c>
      <c r="K10348" s="38" t="n">
        <f aca="false">Sens!$K$10282*(1-tax)</f>
        <v>182.019130989042</v>
      </c>
      <c r="L10348" s="38" t="n">
        <f aca="false">Sens!$L$10282*(1-tax)</f>
        <v>195.515817777459</v>
      </c>
      <c r="M10348" s="38" t="n">
        <f aca="false">Sens!$M$10282*(1-tax)</f>
        <v>207.116969585035</v>
      </c>
    </row>
    <row r="10349" customFormat="false" ht="15" hidden="false" customHeight="false" outlineLevel="0" collapsed="false">
      <c r="A10349" s="5" t="s">
        <v>928</v>
      </c>
      <c r="B10349" s="0" t="s">
        <v>86</v>
      </c>
      <c r="H10349" s="38" t="n">
        <f aca="false">Sens!$H$10293</f>
        <v>81.5618233196153</v>
      </c>
      <c r="I10349" s="38" t="n">
        <f aca="false">Sens!$I$10293</f>
        <v>118.756208740204</v>
      </c>
      <c r="J10349" s="38" t="n">
        <f aca="false">Sens!$J$10293</f>
        <v>152.469489406791</v>
      </c>
      <c r="K10349" s="38" t="n">
        <f aca="false">Sens!$K$10293</f>
        <v>186.391502623819</v>
      </c>
      <c r="L10349" s="38" t="n">
        <f aca="false">Sens!$L$10293</f>
        <v>211.536352632128</v>
      </c>
      <c r="M10349" s="38" t="n">
        <f aca="false">Sens!$M$10293</f>
        <v>227.842273347845</v>
      </c>
    </row>
    <row r="10350" customFormat="false" ht="15" hidden="false" customHeight="false" outlineLevel="0" collapsed="false">
      <c r="A10350" s="5" t="s">
        <v>929</v>
      </c>
      <c r="B10350" s="0" t="s">
        <v>86</v>
      </c>
      <c r="H10350" s="38" t="n">
        <f aca="false">Sens!$H$10324</f>
        <v>273.372679834898</v>
      </c>
      <c r="I10350" s="38" t="n">
        <f aca="false">Sens!$I$10324</f>
        <v>286.981812228425</v>
      </c>
      <c r="J10350" s="38" t="n">
        <f aca="false">Sens!$J$10324</f>
        <v>299.316513378366</v>
      </c>
      <c r="K10350" s="38" t="n">
        <f aca="false">Sens!$K$10324</f>
        <v>248.27918920067</v>
      </c>
      <c r="L10350" s="38" t="n">
        <f aca="false">Sens!$L$10324</f>
        <v>229.140418237151</v>
      </c>
      <c r="M10350" s="38" t="n">
        <f aca="false">Sens!$M$10324</f>
        <v>233.957827108485</v>
      </c>
    </row>
    <row r="10351" customFormat="false" ht="15" hidden="false" customHeight="false" outlineLevel="0" collapsed="false">
      <c r="A10351" s="5" t="s">
        <v>930</v>
      </c>
      <c r="B10351" s="0" t="s">
        <v>86</v>
      </c>
      <c r="H10351" s="38" t="n">
        <f aca="false">Sens!$H$10325</f>
        <v>1.6</v>
      </c>
      <c r="I10351" s="38" t="n">
        <f aca="false">Sens!$I$10325</f>
        <v>1.6</v>
      </c>
      <c r="J10351" s="38" t="n">
        <f aca="false">Sens!$J$10325</f>
        <v>1.6</v>
      </c>
      <c r="K10351" s="38" t="n">
        <f aca="false">Sens!$K$10325</f>
        <v>1.6</v>
      </c>
      <c r="L10351" s="38" t="n">
        <f aca="false">Sens!$L$10325</f>
        <v>1.6</v>
      </c>
      <c r="M10351" s="38" t="n">
        <f aca="false">Sens!$M$10325</f>
        <v>1.6</v>
      </c>
    </row>
    <row r="10352" customFormat="false" ht="15" hidden="false" customHeight="false" outlineLevel="0" collapsed="false">
      <c r="A10352" s="5" t="s">
        <v>931</v>
      </c>
      <c r="B10352" s="0" t="s">
        <v>86</v>
      </c>
      <c r="H10352" s="38" t="n">
        <f aca="false">Sens!$H$10319</f>
        <v>11.2928295263397</v>
      </c>
      <c r="I10352" s="38" t="n">
        <f aca="false">Sens!$I$10319</f>
        <v>12.8091546115766</v>
      </c>
      <c r="J10352" s="38" t="n">
        <f aca="false">Sens!$J$10319</f>
        <v>14.2605653162668</v>
      </c>
      <c r="K10352" s="38" t="n">
        <f aca="false">Sens!$K$10319</f>
        <v>15.5293346306567</v>
      </c>
      <c r="L10352" s="38" t="n">
        <f aca="false">Sens!$L$10319</f>
        <v>16.7069448805781</v>
      </c>
      <c r="M10352" s="38" t="n">
        <f aca="false">Sens!$M$10319</f>
        <v>17.7976949013636</v>
      </c>
    </row>
    <row r="10353" customFormat="false" ht="17.15" hidden="false" customHeight="false" outlineLevel="0" collapsed="false">
      <c r="A10353" s="1" t="s">
        <v>932</v>
      </c>
      <c r="B10353" s="8" t="s">
        <v>86</v>
      </c>
      <c r="H10353" s="38" t="n">
        <f aca="false">Sens!$H$10348+Sens!$H$10349-Sens!$H$10350-Sens!$H$10351+Sens!$H$10352</f>
        <v>-62.5530534342631</v>
      </c>
      <c r="I10353" s="38" t="n">
        <f aca="false">Sens!$I$10348+Sens!$I$10349-Sens!$I$10350-Sens!$I$10351+Sens!$I$10352</f>
        <v>-15.7595069323669</v>
      </c>
      <c r="J10353" s="38" t="n">
        <f aca="false">Sens!$J$10348+Sens!$J$10349-Sens!$J$10350-Sens!$J$10351+Sens!$J$10352</f>
        <v>31.0211878311291</v>
      </c>
      <c r="K10353" s="38" t="n">
        <f aca="false">Sens!$K$10348+Sens!$K$10349-Sens!$K$10350-Sens!$K$10351+Sens!$K$10352</f>
        <v>134.060779042848</v>
      </c>
      <c r="L10353" s="38" t="n">
        <f aca="false">Sens!$L$10348+Sens!$L$10349-Sens!$L$10350-Sens!$L$10351+Sens!$L$10352</f>
        <v>193.018697053015</v>
      </c>
      <c r="M10353" s="38" t="n">
        <f aca="false">Sens!$M$10348+Sens!$M$10349-Sens!$M$10350-Sens!$M$10351+Sens!$M$10352</f>
        <v>217.199110725758</v>
      </c>
    </row>
    <row r="10354" customFormat="false" ht="15" hidden="false" customHeight="false" outlineLevel="0" collapsed="false">
      <c r="A10354" s="5" t="s">
        <v>933</v>
      </c>
      <c r="B10354" s="0" t="s">
        <v>57</v>
      </c>
      <c r="H10354" s="40" t="n">
        <f aca="false">1/(1+(wacc+0.01))^(2027-2026-0.5)</f>
        <v>0.943523276903728</v>
      </c>
      <c r="I10354" s="40" t="n">
        <f aca="false">1/(1+(wacc+0.01))^(2028-2026-0.5)</f>
        <v>0.839958552166526</v>
      </c>
      <c r="J10354" s="40" t="n">
        <f aca="false">1/(1+(wacc+0.01))^(2029-2026-0.5)</f>
        <v>0.747761487848991</v>
      </c>
      <c r="K10354" s="40" t="n">
        <f aca="false">1/(1+(wacc+0.01))^(2030-2026-0.5)</f>
        <v>0.665684326051463</v>
      </c>
      <c r="L10354" s="40" t="n">
        <f aca="false">1/(1+(wacc+0.01))^(2031-2026-0.5)</f>
        <v>0.592616267555198</v>
      </c>
      <c r="M10354" s="40" t="n">
        <f aca="false">1/(1+(wacc+0.01))^(2032-2026-0.5)</f>
        <v>0.527568438713552</v>
      </c>
    </row>
    <row r="10355" customFormat="false" ht="15" hidden="false" customHeight="false" outlineLevel="0" collapsed="false">
      <c r="A10355" s="5" t="s">
        <v>934</v>
      </c>
      <c r="B10355" s="0" t="s">
        <v>86</v>
      </c>
      <c r="H10355" s="38" t="n">
        <f aca="false">Sens!$H$10353*Sens!$H$10354</f>
        <v>-59.02026195663</v>
      </c>
      <c r="I10355" s="38" t="n">
        <f aca="false">Sens!$I$10353*Sens!$I$10354</f>
        <v>-13.2373326257692</v>
      </c>
      <c r="J10355" s="38" t="n">
        <f aca="false">Sens!$J$10353*Sens!$J$10354</f>
        <v>23.1964495674481</v>
      </c>
      <c r="K10355" s="38" t="n">
        <f aca="false">Sens!$K$10353*Sens!$K$10354</f>
        <v>89.242159347072</v>
      </c>
      <c r="L10355" s="38" t="n">
        <f aca="false">Sens!$L$10353*Sens!$L$10354</f>
        <v>114.386019815925</v>
      </c>
      <c r="M10355" s="38" t="n">
        <f aca="false">Sens!$M$10353*Sens!$M$10354</f>
        <v>114.58739573556</v>
      </c>
    </row>
    <row r="10356" customFormat="false" ht="15" hidden="false" customHeight="false" outlineLevel="0" collapsed="false">
      <c r="A10356" s="5" t="s">
        <v>935</v>
      </c>
      <c r="B10356" s="0" t="s">
        <v>86</v>
      </c>
      <c r="C10356" s="38" t="n">
        <f aca="false">SUM(Sens!$H$10355:$M$10355)</f>
        <v>269.154429883606</v>
      </c>
    </row>
    <row r="10357" customFormat="false" ht="17.15" hidden="false" customHeight="false" outlineLevel="0" collapsed="false">
      <c r="A10357" s="5" t="s">
        <v>936</v>
      </c>
      <c r="B10357" s="0" t="s">
        <v>86</v>
      </c>
      <c r="C10357" s="38" t="n">
        <f aca="false">Sens!$M$10348*(1+tg_lo)*(1-tg_lo/ronic)/((wacc+0.01)-tg_lo)</f>
        <v>1684.13144501127</v>
      </c>
    </row>
    <row r="10358" customFormat="false" ht="15" hidden="false" customHeight="false" outlineLevel="0" collapsed="false">
      <c r="A10358" s="5" t="s">
        <v>937</v>
      </c>
      <c r="B10358" s="0" t="s">
        <v>86</v>
      </c>
      <c r="C10358" s="38" t="n">
        <f aca="false">Sens!$C$10357/(1+(wacc+0.01))^6</f>
        <v>838.315333703826</v>
      </c>
    </row>
    <row r="10359" customFormat="false" ht="17.15" hidden="false" customHeight="false" outlineLevel="0" collapsed="false">
      <c r="A10359" s="5" t="s">
        <v>938</v>
      </c>
      <c r="B10359" s="0" t="s">
        <v>86</v>
      </c>
      <c r="C10359" s="38" t="n">
        <f aca="false">Sens!$C$10356+Sens!$C$10358</f>
        <v>1107.46976358743</v>
      </c>
    </row>
    <row r="10360" customFormat="false" ht="17.15" hidden="false" customHeight="false" outlineLevel="0" collapsed="false">
      <c r="A10360" s="5" t="s">
        <v>939</v>
      </c>
      <c r="B10360" s="0" t="s">
        <v>52</v>
      </c>
      <c r="C10360" s="13" t="n">
        <f aca="false">Sens!$C$10358/Sens!$C$10359</f>
        <v>0.756964534172262</v>
      </c>
    </row>
    <row r="10361" customFormat="false" ht="17.15" hidden="false" customHeight="false" outlineLevel="0" collapsed="false">
      <c r="A10361" s="5" t="s">
        <v>940</v>
      </c>
      <c r="B10361" s="0" t="s">
        <v>86</v>
      </c>
      <c r="C10361" s="38" t="n">
        <f aca="false">Sens!$G$10337+fin_debt</f>
        <v>89.0551793268317</v>
      </c>
    </row>
    <row r="10362" customFormat="false" ht="17.15" hidden="false" customHeight="false" outlineLevel="0" collapsed="false">
      <c r="A10362" s="5" t="s">
        <v>941</v>
      </c>
      <c r="B10362" s="0" t="s">
        <v>86</v>
      </c>
      <c r="C10362" s="38" t="n">
        <f aca="false">(ant_val*ant_sh+oai_val*oai_sh)*(1-liq_disc)</f>
        <v>178.944</v>
      </c>
    </row>
    <row r="10363" customFormat="false" ht="15" hidden="false" customHeight="false" outlineLevel="0" collapsed="false">
      <c r="A10363" s="5" t="s">
        <v>942</v>
      </c>
      <c r="B10363" s="0" t="s">
        <v>86</v>
      </c>
      <c r="C10363" s="38" t="n">
        <f aca="false">Sens!$C$10359-Sens!$C$10361+Sens!$C$10362</f>
        <v>1197.3585842606</v>
      </c>
    </row>
    <row r="10364" customFormat="false" ht="17.15" hidden="false" customHeight="false" outlineLevel="0" collapsed="false">
      <c r="A10364" s="5" t="s">
        <v>943</v>
      </c>
      <c r="B10364" s="0" t="s">
        <v>27</v>
      </c>
      <c r="C10364" s="30" t="n">
        <f aca="false">Sens!$C$10363/sh_out</f>
        <v>111.007206378435</v>
      </c>
    </row>
    <row r="10365" customFormat="false" ht="17.15" hidden="false" customHeight="false" outlineLevel="0" collapsed="false">
      <c r="A10365" s="1" t="s">
        <v>944</v>
      </c>
      <c r="B10365" s="8" t="s">
        <v>27</v>
      </c>
      <c r="C10365" s="30" t="n">
        <f aca="false">Sens!$C$10364*(1+ke)^tp_yf-dps*tp_yf</f>
        <v>121.593835601118</v>
      </c>
    </row>
    <row r="10366" customFormat="false" ht="17.15" hidden="false" customHeight="false" outlineLevel="0" collapsed="false">
      <c r="A10366" s="3" t="s">
        <v>945</v>
      </c>
    </row>
    <row r="10367" customFormat="false" ht="17.15" hidden="false" customHeight="false" outlineLevel="0" collapsed="false">
      <c r="A10367" s="5" t="s">
        <v>946</v>
      </c>
      <c r="B10367" s="0" t="s">
        <v>86</v>
      </c>
      <c r="C10367" s="38" t="n">
        <f aca="false">(1-tp_yf)*(Sens!$H$10294+sbc_ab*Sens!$H$10318*Sens!$H$10155/Sens!$H$10235)+tp_yf*(Sens!$I$10294+sbc_ab*Sens!$I$10318*Sens!$I$10155/Sens!$I$10235)</f>
        <v>59.634664536349</v>
      </c>
    </row>
    <row r="10368" customFormat="false" ht="15" hidden="false" customHeight="false" outlineLevel="0" collapsed="false">
      <c r="A10368" s="5" t="s">
        <v>947</v>
      </c>
      <c r="B10368" s="0" t="s">
        <v>57</v>
      </c>
      <c r="C10368" s="30" t="n">
        <f aca="false">m_ads*m_x</f>
        <v>9.11</v>
      </c>
    </row>
    <row r="10369" customFormat="false" ht="17.15" hidden="false" customHeight="false" outlineLevel="0" collapsed="false">
      <c r="A10369" s="5" t="s">
        <v>948</v>
      </c>
      <c r="B10369" s="0" t="s">
        <v>86</v>
      </c>
      <c r="C10369" s="38" t="n">
        <f aca="false">Sens!$C$10367*Sens!$C$10368</f>
        <v>543.271793926139</v>
      </c>
    </row>
    <row r="10370" customFormat="false" ht="17.15" hidden="false" customHeight="false" outlineLevel="0" collapsed="false">
      <c r="A10370" s="5" t="s">
        <v>949</v>
      </c>
      <c r="B10370" s="0" t="s">
        <v>86</v>
      </c>
      <c r="C10370" s="38" t="n">
        <f aca="false">(1-tp_yf)*(Sens!$H$10295+sbc_ab*Sens!$H$10318*(Sens!$H$10162-Sens!$H$10155)/Sens!$H$10235+IF(internal_ai_reading=2,1,0)*(1-ext_sh)*Sens!$H$10192)+tp_yf*(Sens!$I$10295+sbc_ab*Sens!$I$10318*(Sens!$I$10162-Sens!$I$10155)/Sens!$I$10235+IF(internal_ai_reading=2,1,0)*(1-ext_sh)*Sens!$I$10192)</f>
        <v>51.6951811103438</v>
      </c>
    </row>
    <row r="10371" customFormat="false" ht="17.15" hidden="false" customHeight="false" outlineLevel="0" collapsed="false">
      <c r="A10371" s="5" t="s">
        <v>950</v>
      </c>
      <c r="B10371" s="0" t="s">
        <v>57</v>
      </c>
      <c r="C10371" s="30" t="n">
        <f aca="false">m_retail*m_x</f>
        <v>17.72</v>
      </c>
    </row>
    <row r="10372" customFormat="false" ht="17.15" hidden="false" customHeight="false" outlineLevel="0" collapsed="false">
      <c r="A10372" s="5" t="s">
        <v>951</v>
      </c>
      <c r="B10372" s="0" t="s">
        <v>86</v>
      </c>
      <c r="C10372" s="38" t="n">
        <f aca="false">Sens!$C$10370*Sens!$C$10371</f>
        <v>916.038609275292</v>
      </c>
    </row>
    <row r="10373" customFormat="false" ht="17.15" hidden="false" customHeight="false" outlineLevel="0" collapsed="false">
      <c r="A10373" s="0" t="s">
        <v>952</v>
      </c>
      <c r="B10373" s="0" t="s">
        <v>86</v>
      </c>
      <c r="C10373" s="38" t="n">
        <f aca="false">(1-tp_yf)*(Sens!$H$10296+sbc_ab*Sens!$H$10318*Sens!$H$10233/Sens!$H$10235)+tp_yf*(Sens!$I$10296+sbc_ab*Sens!$I$10318*Sens!$I$10233/Sens!$I$10235)</f>
        <v>97.2337130506861</v>
      </c>
    </row>
    <row r="10374" customFormat="false" ht="17.15" hidden="false" customHeight="false" outlineLevel="0" collapsed="false">
      <c r="A10374" s="0" t="s">
        <v>953</v>
      </c>
      <c r="B10374" s="0" t="s">
        <v>57</v>
      </c>
      <c r="C10374" s="30" t="n">
        <f aca="false">m_cloud*m_x</f>
        <v>13.82</v>
      </c>
    </row>
    <row r="10375" customFormat="false" ht="17.15" hidden="false" customHeight="false" outlineLevel="0" collapsed="false">
      <c r="A10375" s="0" t="s">
        <v>954</v>
      </c>
      <c r="B10375" s="0" t="s">
        <v>86</v>
      </c>
      <c r="C10375" s="38" t="n">
        <f aca="false">Sens!$C$10373*Sens!$C$10374</f>
        <v>1343.76991436048</v>
      </c>
    </row>
    <row r="10376" customFormat="false" ht="17.15" hidden="false" customHeight="false" outlineLevel="0" collapsed="false">
      <c r="A10376" s="0" t="s">
        <v>955</v>
      </c>
      <c r="B10376" s="0" t="s">
        <v>86</v>
      </c>
      <c r="H10376" s="38" t="n">
        <f aca="false">Sens!$H$10214-tax*Sens!$H$10215-ext_sh*Sens!$H$10199</f>
        <v>-115.41576008619</v>
      </c>
      <c r="I10376" s="38" t="n">
        <f aca="false">Sens!$I$10214-tax*Sens!$I$10215-ext_sh*Sens!$I$10199</f>
        <v>-88.5401912683161</v>
      </c>
      <c r="J10376" s="38" t="n">
        <f aca="false">Sens!$J$10214-tax*Sens!$J$10215-ext_sh*Sens!$J$10199</f>
        <v>-61.2977422866746</v>
      </c>
      <c r="K10376" s="38" t="n">
        <f aca="false">Sens!$K$10214-tax*Sens!$K$10215-ext_sh*Sens!$K$10199</f>
        <v>11.9455917032656</v>
      </c>
      <c r="L10376" s="38" t="n">
        <f aca="false">Sens!$L$10214-tax*Sens!$L$10215-ext_sh*Sens!$L$10199</f>
        <v>50.3881926675933</v>
      </c>
      <c r="M10376" s="38" t="n">
        <f aca="false">Sens!$M$10214-tax*Sens!$M$10215-ext_sh*Sens!$M$10199</f>
        <v>60.3778570072396</v>
      </c>
    </row>
    <row r="10377" customFormat="false" ht="17.15" hidden="false" customHeight="false" outlineLevel="0" collapsed="false">
      <c r="A10377" s="5" t="s">
        <v>956</v>
      </c>
      <c r="B10377" s="0" t="s">
        <v>86</v>
      </c>
      <c r="H10377" s="38" t="n">
        <f aca="false">Sens!$H$10376*Sens!$H$10354</f>
        <v>-108.897456162856</v>
      </c>
      <c r="I10377" s="38" t="n">
        <f aca="false">Sens!$I$10376*Sens!$I$10354</f>
        <v>-74.3700908662821</v>
      </c>
      <c r="J10377" s="38" t="n">
        <f aca="false">Sens!$J$10376*Sens!$J$10354</f>
        <v>-45.8360909740678</v>
      </c>
      <c r="K10377" s="38" t="n">
        <f aca="false">Sens!$K$10376*Sens!$K$10354</f>
        <v>7.95199316227429</v>
      </c>
      <c r="L10377" s="38" t="n">
        <f aca="false">Sens!$L$10376*Sens!$L$10354</f>
        <v>29.8608626675213</v>
      </c>
      <c r="M10377" s="38" t="n">
        <f aca="false">Sens!$M$10376*Sens!$M$10354</f>
        <v>31.8534517541795</v>
      </c>
    </row>
    <row r="10378" customFormat="false" ht="17.15" hidden="false" customHeight="false" outlineLevel="0" collapsed="false">
      <c r="A10378" s="5" t="s">
        <v>957</v>
      </c>
      <c r="B10378" s="0" t="s">
        <v>86</v>
      </c>
      <c r="C10378" s="38" t="n">
        <f aca="false">Sens!$M$10215*(1-tax)*(1+tg_lo)*(1-tg_lo/ronic)/((wacc+0.01)-tg_lo)</f>
        <v>311.123318629344</v>
      </c>
    </row>
    <row r="10379" customFormat="false" ht="17.15" hidden="false" customHeight="false" outlineLevel="0" collapsed="false">
      <c r="A10379" s="0" t="s">
        <v>958</v>
      </c>
      <c r="B10379" s="0" t="s">
        <v>86</v>
      </c>
      <c r="C10379" s="38" t="n">
        <f aca="false">(SUM(Sens!$I$10377:$M$10377)+Sens!$C$10378/(1+(wacc+0.01))^6)*(1+(wacc+0.01))^tp_yf</f>
        <v>114.7908735902</v>
      </c>
    </row>
    <row r="10380" customFormat="false" ht="17.15" hidden="false" customHeight="false" outlineLevel="0" collapsed="false">
      <c r="A10380" s="5" t="s">
        <v>959</v>
      </c>
      <c r="B10380" s="0" t="s">
        <v>86</v>
      </c>
      <c r="C10380" s="38" t="n">
        <f aca="false">(1-tp_yf)*(Sens!$H$10297)+tp_yf*(Sens!$I$10297)</f>
        <v>74.6707041238437</v>
      </c>
    </row>
    <row r="10381" customFormat="false" ht="17.15" hidden="false" customHeight="false" outlineLevel="0" collapsed="false">
      <c r="A10381" s="5" t="s">
        <v>960</v>
      </c>
      <c r="B10381" s="0" t="s">
        <v>86</v>
      </c>
      <c r="C10381" s="38" t="n">
        <f aca="false">Sens!$C$10380*m_ai</f>
        <v>448.024224743062</v>
      </c>
    </row>
    <row r="10382" customFormat="false" ht="17.15" hidden="false" customHeight="false" outlineLevel="0" collapsed="false">
      <c r="A10382" s="0" t="s">
        <v>961</v>
      </c>
      <c r="B10382" s="0" t="s">
        <v>86</v>
      </c>
      <c r="C10382" s="38" t="n">
        <f aca="false">IF(ai_leg=1,Sens!$C$10379,Sens!$C$10381)</f>
        <v>114.7908735902</v>
      </c>
    </row>
    <row r="10383" customFormat="false" ht="17.15" hidden="false" customHeight="false" outlineLevel="0" collapsed="false">
      <c r="A10383" s="5" t="s">
        <v>962</v>
      </c>
      <c r="B10383" s="0" t="s">
        <v>86</v>
      </c>
      <c r="C10383" s="38" t="n">
        <f aca="false">Sens!$C$10369+Sens!$C$10372+Sens!$C$10375+Sens!$C$10382</f>
        <v>2917.87119115211</v>
      </c>
    </row>
    <row r="10384" customFormat="false" ht="17.15" hidden="false" customHeight="false" outlineLevel="0" collapsed="false">
      <c r="A10384" s="5" t="s">
        <v>963</v>
      </c>
      <c r="B10384" s="0" t="s">
        <v>86</v>
      </c>
      <c r="C10384" s="38" t="n">
        <f aca="false">Sens!$H$10337+fin_debt</f>
        <v>143.411303169235</v>
      </c>
    </row>
    <row r="10385" customFormat="false" ht="15" hidden="false" customHeight="false" outlineLevel="0" collapsed="false">
      <c r="A10385" s="5" t="s">
        <v>964</v>
      </c>
      <c r="B10385" s="0" t="s">
        <v>86</v>
      </c>
      <c r="C10385" s="38" t="n">
        <f aca="false">Sens!$C$10383-Sens!$C$10384+Sens!$C$10362</f>
        <v>2953.40388798288</v>
      </c>
    </row>
    <row r="10386" customFormat="false" ht="15" hidden="false" customHeight="false" outlineLevel="0" collapsed="false">
      <c r="A10386" s="3" t="s">
        <v>965</v>
      </c>
      <c r="B10386" s="8" t="s">
        <v>27</v>
      </c>
      <c r="C10386" s="30" t="n">
        <f aca="false">Sens!$C$10385/sh_val</f>
        <v>267.75338290305</v>
      </c>
    </row>
    <row r="10387" customFormat="false" ht="17.15" hidden="false" customHeight="false" outlineLevel="0" collapsed="false">
      <c r="A10387" s="47" t="s">
        <v>966</v>
      </c>
      <c r="B10387" s="14" t="s">
        <v>27</v>
      </c>
      <c r="C10387" s="44" t="n">
        <f aca="false">w_dcf*Sens!$C$10365+(1-w_dcf)*Sens!$C$10386</f>
        <v>194.673609252084</v>
      </c>
      <c r="D10387" s="14"/>
      <c r="E10387" s="14"/>
      <c r="F10387" s="14"/>
      <c r="G10387" s="14"/>
      <c r="H10387" s="14"/>
      <c r="I10387" s="14"/>
      <c r="J10387" s="14"/>
      <c r="K10387" s="14"/>
      <c r="L10387" s="14"/>
      <c r="M10387" s="14"/>
      <c r="N10387" s="14"/>
      <c r="O10387" s="14"/>
    </row>
    <row r="10388" customFormat="false" ht="17.15" hidden="false" customHeight="false" outlineLevel="0" collapsed="false">
      <c r="A10388" s="5" t="s">
        <v>967</v>
      </c>
      <c r="B10388" s="0" t="s">
        <v>27</v>
      </c>
      <c r="C10388" s="30" t="n">
        <f aca="false">v022_wdcf*Sens!$C$10365+(1-v022_wdcf)*Sens!$C$10386</f>
        <v>201.981586617181</v>
      </c>
    </row>
    <row r="10389" customFormat="false" ht="17.15" hidden="false" customHeight="false" outlineLevel="0" collapsed="false">
      <c r="A10389" s="5" t="s">
        <v>968</v>
      </c>
      <c r="B10389" s="0" t="s">
        <v>27</v>
      </c>
      <c r="C10389" s="30" t="n">
        <f aca="false">(Sens!$C$10385-Sens!$C$10382+Sens!$C$10381)/sh_val</f>
        <v>297.964068759578</v>
      </c>
    </row>
    <row r="10392" customFormat="false" ht="19.4" hidden="false" customHeight="false" outlineLevel="0" collapsed="false">
      <c r="A10392" s="31" t="s">
        <v>1362</v>
      </c>
    </row>
    <row r="10393" customFormat="false" ht="17.15" hidden="false" customHeight="false" outlineLevel="0" collapsed="false">
      <c r="A10393" s="6" t="s">
        <v>16</v>
      </c>
      <c r="B10393" s="6" t="s">
        <v>17</v>
      </c>
      <c r="C10393" s="20" t="s">
        <v>504</v>
      </c>
      <c r="D10393" s="20" t="s">
        <v>505</v>
      </c>
      <c r="E10393" s="20" t="s">
        <v>587</v>
      </c>
      <c r="F10393" s="20" t="s">
        <v>588</v>
      </c>
      <c r="G10393" s="20" t="s">
        <v>589</v>
      </c>
      <c r="H10393" s="20" t="s">
        <v>590</v>
      </c>
      <c r="I10393" s="20" t="s">
        <v>591</v>
      </c>
      <c r="J10393" s="20" t="s">
        <v>592</v>
      </c>
      <c r="K10393" s="20" t="s">
        <v>593</v>
      </c>
      <c r="L10393" s="20" t="s">
        <v>594</v>
      </c>
      <c r="M10393" s="20" t="s">
        <v>595</v>
      </c>
      <c r="N10393" s="20" t="s">
        <v>596</v>
      </c>
      <c r="O10393" s="20" t="s">
        <v>597</v>
      </c>
      <c r="P10393" s="6" t="s">
        <v>23</v>
      </c>
      <c r="R10393" s="20" t="n">
        <v>2023</v>
      </c>
      <c r="S10393" s="20" t="n">
        <v>2024</v>
      </c>
      <c r="T10393" s="20" t="n">
        <v>2025</v>
      </c>
      <c r="U10393" s="20" t="n">
        <v>2026</v>
      </c>
      <c r="V10393" s="20" t="n">
        <v>2027</v>
      </c>
      <c r="W10393" s="20" t="n">
        <v>2028</v>
      </c>
      <c r="X10393" s="20" t="n">
        <v>2029</v>
      </c>
      <c r="Y10393" s="20" t="n">
        <v>2030</v>
      </c>
      <c r="Z10393" s="20" t="n">
        <v>2031</v>
      </c>
      <c r="AA10393" s="20" t="n">
        <v>2032</v>
      </c>
    </row>
    <row r="10394" customFormat="false" ht="17.15" hidden="false" customHeight="false" outlineLevel="0" collapsed="false">
      <c r="A10394" s="1" t="s">
        <v>677</v>
      </c>
    </row>
    <row r="10395" customFormat="false" ht="17.15" hidden="false" customHeight="false" outlineLevel="0" collapsed="false">
      <c r="A10395" s="0" t="s">
        <v>526</v>
      </c>
      <c r="B10395" s="0" t="s">
        <v>86</v>
      </c>
      <c r="C10395" s="38" t="n">
        <f aca="false">Q!$D$10</f>
        <v>247.029</v>
      </c>
      <c r="D10395" s="38" t="n">
        <f aca="false">Q!$E$10</f>
        <v>269.287</v>
      </c>
      <c r="E10395" s="38" t="n">
        <f aca="false">Q!$P$10</f>
        <v>134.686</v>
      </c>
      <c r="F10395" s="38" t="n">
        <f aca="false">Sens!$O$10395*(1+Sens!$F$10396)*Sens!$F$10407</f>
        <v>158.293876822267</v>
      </c>
      <c r="G10395" s="38" t="n">
        <f aca="false">Sens!$E$10395+Sens!$F$10395</f>
        <v>292.979876822267</v>
      </c>
      <c r="H10395" s="38" t="n">
        <f aca="false">Sens!$G$10395*(1+Sens!$H$10396)</f>
        <v>318.184543087396</v>
      </c>
      <c r="I10395" s="38" t="n">
        <f aca="false">Sens!$H$10395*(1+Sens!$I$10396)</f>
        <v>341.736278761793</v>
      </c>
      <c r="J10395" s="38" t="n">
        <f aca="false">Sens!$I$10395*(1+Sens!$J$10396)</f>
        <v>362.927192787048</v>
      </c>
      <c r="K10395" s="38" t="n">
        <f aca="false">Sens!$J$10395*(1+Sens!$K$10396)</f>
        <v>381.0735524264</v>
      </c>
      <c r="L10395" s="38" t="n">
        <f aca="false">Sens!$K$10395*(1+Sens!$L$10396)</f>
        <v>400.12723004772</v>
      </c>
      <c r="M10395" s="38" t="n">
        <f aca="false">Sens!$L$10395*(1+Sens!$M$10396)</f>
        <v>420.133591550106</v>
      </c>
      <c r="N10395" s="38" t="n">
        <f aca="false">Q!$N$10</f>
        <v>118.892</v>
      </c>
      <c r="O10395" s="38" t="n">
        <f aca="false">Q!$O$10</f>
        <v>150.395</v>
      </c>
      <c r="P10395" s="8" t="s">
        <v>678</v>
      </c>
    </row>
    <row r="10396" customFormat="false" ht="17.15" hidden="false" customHeight="false" outlineLevel="0" collapsed="false">
      <c r="A10396" s="0" t="s">
        <v>679</v>
      </c>
      <c r="B10396" s="0" t="s">
        <v>52</v>
      </c>
      <c r="E10396" s="13" t="n">
        <f aca="false">Sens!$E$10395/Sens!$N$10395-1</f>
        <v>0.132843252699929</v>
      </c>
      <c r="F10396" s="13" t="n">
        <f aca="false">Sens!$O$10395/(Q!$F$10+Q!$G$10)-1</f>
        <v>0.0980382135842941</v>
      </c>
      <c r="G10396" s="13" t="n">
        <f aca="false">Sens!$G$10395/Sens!$D$10395-1</f>
        <v>0.0879837378791657</v>
      </c>
      <c r="H10396" s="13" t="n">
        <f aca="false">Sens!$F$10396+(g_os-Sens!$F$10396)*1/4</f>
        <v>0.0860286601882206</v>
      </c>
      <c r="I10396" s="13" t="n">
        <f aca="false">Sens!$F$10396+(g_os-Sens!$F$10396)*2/4</f>
        <v>0.074019106792147</v>
      </c>
      <c r="J10396" s="13" t="n">
        <f aca="false">Sens!$F$10396+(g_os-Sens!$F$10396)*3/4</f>
        <v>0.0620095533960735</v>
      </c>
      <c r="K10396" s="13" t="n">
        <f aca="false">Sens!$F$10396+(g_os-Sens!$F$10396)*4/4</f>
        <v>0.05</v>
      </c>
      <c r="L10396" s="13" t="n">
        <f aca="false">g_os</f>
        <v>0.05</v>
      </c>
      <c r="M10396" s="13" t="n">
        <f aca="false">g_os</f>
        <v>0.05</v>
      </c>
      <c r="P10396" s="8" t="s">
        <v>680</v>
      </c>
    </row>
    <row r="10397" customFormat="false" ht="17.15" hidden="false" customHeight="false" outlineLevel="0" collapsed="false">
      <c r="A10397" s="0" t="s">
        <v>527</v>
      </c>
      <c r="B10397" s="0" t="s">
        <v>86</v>
      </c>
      <c r="C10397" s="38" t="n">
        <f aca="false">Q!$D$11</f>
        <v>21.215</v>
      </c>
      <c r="D10397" s="38" t="n">
        <f aca="false">Q!$E$11</f>
        <v>22.561</v>
      </c>
      <c r="E10397" s="38" t="n">
        <f aca="false">Q!$P$11</f>
        <v>11.579</v>
      </c>
      <c r="F10397" s="38" t="n">
        <f aca="false">Sens!$O$10397*(1+Sens!$F$10398)*Sens!$F$10407</f>
        <v>11.5938724610325</v>
      </c>
      <c r="G10397" s="38" t="n">
        <f aca="false">Sens!$E$10397+Sens!$F$10397</f>
        <v>23.1728724610325</v>
      </c>
      <c r="H10397" s="38" t="n">
        <f aca="false">Sens!$G$10397*(1+Sens!$H$10398)</f>
        <v>24.353392759506</v>
      </c>
      <c r="I10397" s="38" t="n">
        <f aca="false">Sens!$H$10397*(1+Sens!$I$10398)</f>
        <v>25.4240338872015</v>
      </c>
      <c r="J10397" s="38" t="n">
        <f aca="false">Sens!$I$10397*(1+Sens!$J$10398)</f>
        <v>26.3642491017174</v>
      </c>
      <c r="K10397" s="38" t="n">
        <f aca="false">Sens!$J$10397*(1+Sens!$K$10398)</f>
        <v>27.155176574769</v>
      </c>
      <c r="L10397" s="38" t="n">
        <f aca="false">Sens!$K$10397*(1+Sens!$L$10398)</f>
        <v>27.969831872012</v>
      </c>
      <c r="M10397" s="38" t="n">
        <f aca="false">Sens!$L$10397*(1+Sens!$M$10398)</f>
        <v>28.8089268281724</v>
      </c>
      <c r="N10397" s="38" t="n">
        <f aca="false">Q!$N$11</f>
        <v>11.128</v>
      </c>
      <c r="O10397" s="38" t="n">
        <f aca="false">Q!$O$11</f>
        <v>11.433</v>
      </c>
      <c r="P10397" s="8" t="s">
        <v>678</v>
      </c>
    </row>
    <row r="10398" customFormat="false" ht="17.15" hidden="false" customHeight="false" outlineLevel="0" collapsed="false">
      <c r="A10398" s="0" t="s">
        <v>681</v>
      </c>
      <c r="B10398" s="0" t="s">
        <v>52</v>
      </c>
      <c r="E10398" s="13" t="n">
        <f aca="false">Sens!$E$10397/Sens!$N$10397-1</f>
        <v>0.0405283968368082</v>
      </c>
      <c r="F10398" s="13" t="n">
        <f aca="false">Sens!$O$10397/(Q!$F$11+Q!$G$11)-1</f>
        <v>0.0579254187100955</v>
      </c>
      <c r="G10398" s="13" t="n">
        <f aca="false">Sens!$G$10397/Sens!$D$10397-1</f>
        <v>0.0271208040881397</v>
      </c>
      <c r="H10398" s="13" t="n">
        <f aca="false">Sens!$F$10398+(g_ps-Sens!$F$10398)*1/4</f>
        <v>0.0509440640325716</v>
      </c>
      <c r="I10398" s="13" t="n">
        <f aca="false">Sens!$F$10398+(g_ps-Sens!$F$10398)*2/4</f>
        <v>0.0439627093550477</v>
      </c>
      <c r="J10398" s="13" t="n">
        <f aca="false">Sens!$F$10398+(g_ps-Sens!$F$10398)*3/4</f>
        <v>0.0369813546775239</v>
      </c>
      <c r="K10398" s="13" t="n">
        <f aca="false">Sens!$F$10398+(g_ps-Sens!$F$10398)*4/4</f>
        <v>0.03</v>
      </c>
      <c r="L10398" s="13" t="n">
        <f aca="false">g_ps</f>
        <v>0.03</v>
      </c>
      <c r="M10398" s="13" t="n">
        <f aca="false">g_ps</f>
        <v>0.03</v>
      </c>
      <c r="P10398" s="8" t="s">
        <v>682</v>
      </c>
    </row>
    <row r="10399" customFormat="false" ht="17.15" hidden="false" customHeight="false" outlineLevel="0" collapsed="false">
      <c r="A10399" s="0" t="s">
        <v>528</v>
      </c>
      <c r="B10399" s="0" t="s">
        <v>86</v>
      </c>
      <c r="C10399" s="38" t="n">
        <f aca="false">Q!$D$12</f>
        <v>156.146</v>
      </c>
      <c r="D10399" s="38" t="n">
        <f aca="false">Q!$E$12</f>
        <v>172.162</v>
      </c>
      <c r="E10399" s="38" t="n">
        <f aca="false">Q!$P$12</f>
        <v>88.358</v>
      </c>
      <c r="F10399" s="38" t="n">
        <f aca="false">Sens!$O$10399*(1+Sens!$F$10400)*Sens!$F$10407</f>
        <v>102.004388260171</v>
      </c>
      <c r="G10399" s="38" t="n">
        <f aca="false">Sens!$E$10399+Sens!$F$10399</f>
        <v>190.362388260171</v>
      </c>
      <c r="H10399" s="38" t="n">
        <f aca="false">Sens!$G$10399*(1+Sens!$H$10400)</f>
        <v>210.343106588311</v>
      </c>
      <c r="I10399" s="38" t="n">
        <f aca="false">Sens!$H$10399*(1+Sens!$I$10400)</f>
        <v>229.969728494648</v>
      </c>
      <c r="J10399" s="38" t="n">
        <f aca="false">Sens!$I$10399*(1+Sens!$J$10400)</f>
        <v>248.747636972598</v>
      </c>
      <c r="K10399" s="38" t="n">
        <f aca="false">Sens!$J$10399*(1+Sens!$K$10400)</f>
        <v>266.15997156068</v>
      </c>
      <c r="L10399" s="38" t="n">
        <f aca="false">Sens!$K$10399*(1+Sens!$L$10400)</f>
        <v>284.791169569927</v>
      </c>
      <c r="M10399" s="38" t="n">
        <f aca="false">Sens!$L$10399*(1+Sens!$M$10400)</f>
        <v>304.726551439822</v>
      </c>
      <c r="N10399" s="38" t="n">
        <f aca="false">Q!$N$12</f>
        <v>76.86</v>
      </c>
      <c r="O10399" s="38" t="n">
        <f aca="false">Q!$O$12</f>
        <v>95.302</v>
      </c>
      <c r="P10399" s="8" t="s">
        <v>678</v>
      </c>
    </row>
    <row r="10400" customFormat="false" ht="17.15" hidden="false" customHeight="false" outlineLevel="0" collapsed="false">
      <c r="A10400" s="0" t="s">
        <v>683</v>
      </c>
      <c r="B10400" s="0" t="s">
        <v>52</v>
      </c>
      <c r="E10400" s="13" t="n">
        <f aca="false">Sens!$E$10399/Sens!$N$10399-1</f>
        <v>0.1495966692688</v>
      </c>
      <c r="F10400" s="13" t="n">
        <f aca="false">Sens!$O$10399/(Q!$F$12+Q!$G$12)-1</f>
        <v>0.11661530890813</v>
      </c>
      <c r="G10400" s="13" t="n">
        <f aca="false">Sens!$G$10399/Sens!$D$10399-1</f>
        <v>0.105716640490767</v>
      </c>
      <c r="H10400" s="13" t="n">
        <f aca="false">Sens!$F$10400+(g_sp-Sens!$F$10400)*1/4</f>
        <v>0.104961481681098</v>
      </c>
      <c r="I10400" s="13" t="n">
        <f aca="false">Sens!$F$10400+(g_sp-Sens!$F$10400)*2/4</f>
        <v>0.0933076544540651</v>
      </c>
      <c r="J10400" s="13" t="n">
        <f aca="false">Sens!$F$10400+(g_sp-Sens!$F$10400)*3/4</f>
        <v>0.0816538272270325</v>
      </c>
      <c r="K10400" s="13" t="n">
        <f aca="false">Sens!$F$10400+(g_sp-Sens!$F$10400)*4/4</f>
        <v>0.07</v>
      </c>
      <c r="L10400" s="13" t="n">
        <f aca="false">g_sp</f>
        <v>0.07</v>
      </c>
      <c r="M10400" s="13" t="n">
        <f aca="false">g_sp</f>
        <v>0.07</v>
      </c>
      <c r="P10400" s="8" t="s">
        <v>684</v>
      </c>
    </row>
    <row r="10401" customFormat="false" ht="17.15" hidden="false" customHeight="false" outlineLevel="0" collapsed="false">
      <c r="A10401" s="0" t="s">
        <v>529</v>
      </c>
      <c r="B10401" s="0" t="s">
        <v>86</v>
      </c>
      <c r="C10401" s="38" t="n">
        <f aca="false">Q!$D$13</f>
        <v>56.214</v>
      </c>
      <c r="D10401" s="38" t="n">
        <f aca="false">Q!$E$13</f>
        <v>68.635</v>
      </c>
      <c r="E10401" s="38" t="n">
        <f aca="false">Q!$P$13</f>
        <v>37.052</v>
      </c>
      <c r="F10401" s="38" t="n">
        <f aca="false">Sens!$O$10401*(1+Sens!$F$10402)*Sens!$F$10407</f>
        <v>46.1572219944148</v>
      </c>
      <c r="G10401" s="38" t="n">
        <f aca="false">Sens!$E$10401+Sens!$F$10401</f>
        <v>83.2092219944148</v>
      </c>
      <c r="H10401" s="38" t="n">
        <f aca="false">Sens!$G$10401*(1+Sens!$H$10402)</f>
        <v>99.8969223878976</v>
      </c>
      <c r="I10401" s="38" t="n">
        <f aca="false">Sens!$H$10401*(1+Sens!$I$10402)</f>
        <v>116.583111095496</v>
      </c>
      <c r="J10401" s="38" t="n">
        <f aca="false">Sens!$I$10401*(1+Sens!$J$10402)</f>
        <v>132.148941941952</v>
      </c>
      <c r="K10401" s="38" t="n">
        <f aca="false">Sens!$J$10401*(1+Sens!$K$10402)</f>
        <v>145.363836136147</v>
      </c>
      <c r="L10401" s="38" t="n">
        <f aca="false">Sens!$K$10401*(1+Sens!$L$10402)</f>
        <v>159.900219749762</v>
      </c>
      <c r="M10401" s="38" t="n">
        <f aca="false">Sens!$L$10401*(1+Sens!$M$10402)</f>
        <v>175.890241724738</v>
      </c>
      <c r="N10401" s="38" t="n">
        <f aca="false">Q!$N$13</f>
        <v>29.615</v>
      </c>
      <c r="O10401" s="38" t="n">
        <f aca="false">Q!$O$13</f>
        <v>39.02</v>
      </c>
      <c r="P10401" s="8" t="s">
        <v>678</v>
      </c>
    </row>
    <row r="10402" customFormat="false" ht="17.15" hidden="false" customHeight="false" outlineLevel="0" collapsed="false">
      <c r="A10402" s="0" t="s">
        <v>685</v>
      </c>
      <c r="B10402" s="0" t="s">
        <v>52</v>
      </c>
      <c r="E10402" s="13" t="n">
        <f aca="false">Sens!$E$10401/Sens!$N$10401-1</f>
        <v>0.25112274185379</v>
      </c>
      <c r="F10402" s="13" t="n">
        <f aca="false">Sens!$O$10401/(Q!$F$13+Q!$G$13)-1</f>
        <v>0.234068123596572</v>
      </c>
      <c r="G10402" s="13" t="n">
        <f aca="false">Sens!$G$10401/Sens!$D$10401-1</f>
        <v>0.212343876949294</v>
      </c>
      <c r="H10402" s="13" t="n">
        <f aca="false">Sens!$F$10402+(g_ad-Sens!$F$10402)*1/4</f>
        <v>0.200551092697429</v>
      </c>
      <c r="I10402" s="13" t="n">
        <f aca="false">Sens!$F$10402+(g_ad-Sens!$F$10402)*2/4</f>
        <v>0.167034061798286</v>
      </c>
      <c r="J10402" s="13" t="n">
        <f aca="false">Sens!$F$10402+(g_ad-Sens!$F$10402)*3/4</f>
        <v>0.133517030899143</v>
      </c>
      <c r="K10402" s="13" t="n">
        <f aca="false">Sens!$F$10402+(g_ad-Sens!$F$10402)*4/4</f>
        <v>0.1</v>
      </c>
      <c r="L10402" s="13" t="n">
        <f aca="false">g_ad</f>
        <v>0.1</v>
      </c>
      <c r="M10402" s="13" t="n">
        <f aca="false">g_ad</f>
        <v>0.1</v>
      </c>
      <c r="P10402" s="8" t="s">
        <v>686</v>
      </c>
    </row>
    <row r="10403" customFormat="false" ht="17.15" hidden="false" customHeight="false" outlineLevel="0" collapsed="false">
      <c r="A10403" s="0" t="s">
        <v>530</v>
      </c>
      <c r="B10403" s="0" t="s">
        <v>86</v>
      </c>
      <c r="C10403" s="38" t="n">
        <f aca="false">Q!$D$14</f>
        <v>44.374</v>
      </c>
      <c r="D10403" s="38" t="n">
        <f aca="false">Q!$E$14</f>
        <v>49.619</v>
      </c>
      <c r="E10403" s="38" t="n">
        <f aca="false">Q!$P$14</f>
        <v>27.157</v>
      </c>
      <c r="F10403" s="38" t="n">
        <f aca="false">Sens!$O$10403*(1+Sens!$F$10404)*Sens!$F$10407</f>
        <v>27.7764165988154</v>
      </c>
      <c r="G10403" s="38" t="n">
        <f aca="false">Sens!$E$10403+Sens!$F$10403</f>
        <v>54.9334165988154</v>
      </c>
      <c r="H10403" s="38" t="n">
        <f aca="false">Sens!$G$10403*(1+Sens!$H$10404)</f>
        <v>61.1564112561829</v>
      </c>
      <c r="I10403" s="38" t="n">
        <f aca="false">Sens!$H$10403*(1+Sens!$I$10404)</f>
        <v>67.2020282103945</v>
      </c>
      <c r="J10403" s="38" t="n">
        <f aca="false">Sens!$I$10403*(1+Sens!$J$10404)</f>
        <v>72.8757274028885</v>
      </c>
      <c r="K10403" s="38" t="n">
        <f aca="false">Sens!$J$10403*(1+Sens!$K$10404)</f>
        <v>77.9770283210907</v>
      </c>
      <c r="L10403" s="38" t="n">
        <f aca="false">Sens!$K$10403*(1+Sens!$L$10404)</f>
        <v>83.4354203035671</v>
      </c>
      <c r="M10403" s="38" t="n">
        <f aca="false">Sens!$L$10403*(1+Sens!$M$10404)</f>
        <v>89.2758997248168</v>
      </c>
      <c r="N10403" s="38" t="n">
        <f aca="false">Q!$N$14</f>
        <v>23.923</v>
      </c>
      <c r="O10403" s="38" t="n">
        <f aca="false">Q!$O$14</f>
        <v>25.696</v>
      </c>
      <c r="P10403" s="8" t="s">
        <v>678</v>
      </c>
    </row>
    <row r="10404" customFormat="false" ht="17.15" hidden="false" customHeight="false" outlineLevel="0" collapsed="false">
      <c r="A10404" s="0" t="s">
        <v>687</v>
      </c>
      <c r="B10404" s="0" t="s">
        <v>52</v>
      </c>
      <c r="E10404" s="13" t="n">
        <f aca="false">Sens!$E$10403/Sens!$N$10403-1</f>
        <v>0.135183714417088</v>
      </c>
      <c r="F10404" s="13" t="n">
        <f aca="false">Sens!$O$10403/(Q!$F$14+Q!$G$14)-1</f>
        <v>0.127709997366804</v>
      </c>
      <c r="G10404" s="13" t="n">
        <f aca="false">Sens!$G$10403/Sens!$D$10403-1</f>
        <v>0.107104468022641</v>
      </c>
      <c r="H10404" s="13" t="n">
        <f aca="false">Sens!$F$10404+(g_sub-Sens!$F$10404)*1/4</f>
        <v>0.113282498025103</v>
      </c>
      <c r="I10404" s="13" t="n">
        <f aca="false">Sens!$F$10404+(g_sub-Sens!$F$10404)*2/4</f>
        <v>0.0988549986834021</v>
      </c>
      <c r="J10404" s="13" t="n">
        <f aca="false">Sens!$F$10404+(g_sub-Sens!$F$10404)*3/4</f>
        <v>0.084427499341701</v>
      </c>
      <c r="K10404" s="13" t="n">
        <f aca="false">Sens!$F$10404+(g_sub-Sens!$F$10404)*4/4</f>
        <v>0.07</v>
      </c>
      <c r="L10404" s="13" t="n">
        <f aca="false">g_sub</f>
        <v>0.07</v>
      </c>
      <c r="M10404" s="13" t="n">
        <f aca="false">g_sub</f>
        <v>0.07</v>
      </c>
      <c r="P10404" s="8" t="s">
        <v>688</v>
      </c>
    </row>
    <row r="10405" customFormat="false" ht="17.15" hidden="false" customHeight="false" outlineLevel="0" collapsed="false">
      <c r="A10405" s="0" t="s">
        <v>531</v>
      </c>
      <c r="B10405" s="0" t="s">
        <v>86</v>
      </c>
      <c r="C10405" s="38" t="n">
        <f aca="false">Q!$D$15</f>
        <v>5.425</v>
      </c>
      <c r="D10405" s="38" t="n">
        <f aca="false">Q!$E$15</f>
        <v>5.935</v>
      </c>
      <c r="E10405" s="38" t="n">
        <f aca="false">Q!$P$15</f>
        <v>3.474</v>
      </c>
      <c r="F10405" s="38" t="n">
        <f aca="false">Sens!$O$10405*(1+Sens!$F$10406)*Sens!$F$10407</f>
        <v>3.22246550883619</v>
      </c>
      <c r="G10405" s="38" t="n">
        <f aca="false">Sens!$E$10405+Sens!$F$10405</f>
        <v>6.69646550883619</v>
      </c>
      <c r="H10405" s="38" t="n">
        <f aca="false">Sens!$G$10405*(1+Sens!$H$10406)</f>
        <v>7.16251344209196</v>
      </c>
      <c r="I10405" s="38" t="n">
        <f aca="false">Sens!$H$10405*(1+Sens!$I$10406)</f>
        <v>7.61421070299826</v>
      </c>
      <c r="J10405" s="38" t="n">
        <f aca="false">Sens!$I$10405*(1+Sens!$J$10406)</f>
        <v>8.04465753523932</v>
      </c>
      <c r="K10405" s="38" t="n">
        <f aca="false">Sens!$J$10405*(1+Sens!$K$10406)</f>
        <v>8.44689041200128</v>
      </c>
      <c r="L10405" s="38" t="n">
        <f aca="false">Sens!$K$10405*(1+Sens!$L$10406)</f>
        <v>8.86923493260135</v>
      </c>
      <c r="M10405" s="38" t="n">
        <f aca="false">Sens!$L$10405*(1+Sens!$M$10406)</f>
        <v>9.31269667923142</v>
      </c>
      <c r="N10405" s="38" t="n">
        <f aca="false">Q!$N$15</f>
        <v>2.811</v>
      </c>
      <c r="O10405" s="38" t="n">
        <f aca="false">Q!$O$15</f>
        <v>3.124</v>
      </c>
      <c r="P10405" s="8" t="s">
        <v>678</v>
      </c>
    </row>
    <row r="10406" customFormat="false" ht="17.15" hidden="false" customHeight="false" outlineLevel="0" collapsed="false">
      <c r="A10406" s="0" t="s">
        <v>689</v>
      </c>
      <c r="B10406" s="0" t="s">
        <v>52</v>
      </c>
      <c r="E10406" s="13" t="n">
        <f aca="false">Sens!$E$10405/Sens!$N$10405-1</f>
        <v>0.235859124866596</v>
      </c>
      <c r="F10406" s="13" t="n">
        <f aca="false">Sens!$O$10405/(Q!$F$15+Q!$G$15)-1</f>
        <v>0.0761281433000345</v>
      </c>
      <c r="G10406" s="13" t="n">
        <f aca="false">Sens!$G$10405/Sens!$D$10405-1</f>
        <v>0.128300843948811</v>
      </c>
      <c r="H10406" s="13" t="n">
        <f aca="false">Sens!$F$10406+(g_ot-Sens!$F$10406)*1/4</f>
        <v>0.0695961074750259</v>
      </c>
      <c r="I10406" s="13" t="n">
        <f aca="false">Sens!$F$10406+(g_ot-Sens!$F$10406)*2/4</f>
        <v>0.0630640716500172</v>
      </c>
      <c r="J10406" s="13" t="n">
        <f aca="false">Sens!$F$10406+(g_ot-Sens!$F$10406)*3/4</f>
        <v>0.0565320358250086</v>
      </c>
      <c r="K10406" s="13" t="n">
        <f aca="false">Sens!$F$10406+(g_ot-Sens!$F$10406)*4/4</f>
        <v>0.05</v>
      </c>
      <c r="L10406" s="13" t="n">
        <f aca="false">g_ot</f>
        <v>0.05</v>
      </c>
      <c r="M10406" s="13" t="n">
        <f aca="false">g_ot</f>
        <v>0.05</v>
      </c>
      <c r="P10406" s="8" t="s">
        <v>690</v>
      </c>
    </row>
    <row r="10407" customFormat="false" ht="17.15" hidden="false" customHeight="false" outlineLevel="0" collapsed="false">
      <c r="A10407" s="0" t="s">
        <v>691</v>
      </c>
      <c r="B10407" s="0" t="s">
        <v>57</v>
      </c>
      <c r="F10407" s="40" t="n">
        <f aca="false">(g26q3_mid*Q!$O$8/Q!$J$8-Thesis!$F$89-Thesis!$F$93)/(Sens!$O$10395*(1+Sens!$F$10396)+Sens!$O$10397*(1+Sens!$F$10398)+Sens!$O$10399*(1+Sens!$F$10400)+Sens!$O$10401*(1+Sens!$F$10402)+Sens!$O$10403*(1+Sens!$F$10404)+Sens!$O$10405*(1+Sens!$F$10406))</f>
        <v>0.958546670622329</v>
      </c>
      <c r="P10407" s="8" t="s">
        <v>692</v>
      </c>
    </row>
    <row r="10408" customFormat="false" ht="17.15" hidden="false" customHeight="false" outlineLevel="0" collapsed="false">
      <c r="A10408" s="3" t="s">
        <v>693</v>
      </c>
      <c r="B10408" s="8" t="s">
        <v>86</v>
      </c>
      <c r="C10408" s="38" t="n">
        <f aca="false">Sens!$C$10395+Sens!$C$10397+Sens!$C$10399+Sens!$C$10401+Sens!$C$10403+Sens!$C$10405</f>
        <v>530.403</v>
      </c>
      <c r="D10408" s="38" t="n">
        <f aca="false">Sens!$D$10395+Sens!$D$10397+Sens!$D$10399+Sens!$D$10401+Sens!$D$10403+Sens!$D$10405</f>
        <v>588.199</v>
      </c>
      <c r="E10408" s="38" t="n">
        <f aca="false">Sens!$E$10395+Sens!$E$10397+Sens!$E$10399+Sens!$E$10401+Sens!$E$10403+Sens!$E$10405</f>
        <v>302.306</v>
      </c>
      <c r="F10408" s="38" t="n">
        <f aca="false">Sens!$F$10395+Sens!$F$10397+Sens!$F$10399+Sens!$F$10401+Sens!$F$10403+Sens!$F$10405</f>
        <v>349.048241645537</v>
      </c>
      <c r="G10408" s="38" t="n">
        <f aca="false">Sens!$G$10395+Sens!$G$10397+Sens!$G$10399+Sens!$G$10401+Sens!$G$10403+Sens!$G$10405</f>
        <v>651.354241645537</v>
      </c>
      <c r="H10408" s="38" t="n">
        <f aca="false">Sens!$H$10395+Sens!$H$10397+Sens!$H$10399+Sens!$H$10401+Sens!$H$10403+Sens!$H$10405</f>
        <v>721.096889521386</v>
      </c>
      <c r="I10408" s="38" t="n">
        <f aca="false">Sens!$I$10395+Sens!$I$10397+Sens!$I$10399+Sens!$I$10401+Sens!$I$10403+Sens!$I$10405</f>
        <v>788.529391152531</v>
      </c>
      <c r="J10408" s="38" t="n">
        <f aca="false">Sens!$J$10395+Sens!$J$10397+Sens!$J$10399+Sens!$J$10401+Sens!$J$10403+Sens!$J$10405</f>
        <v>851.108405741443</v>
      </c>
      <c r="K10408" s="38" t="n">
        <f aca="false">Sens!$K$10395+Sens!$K$10397+Sens!$K$10399+Sens!$K$10401+Sens!$K$10403+Sens!$K$10405</f>
        <v>906.176455431088</v>
      </c>
      <c r="L10408" s="38" t="n">
        <f aca="false">Sens!$L$10395+Sens!$L$10397+Sens!$L$10399+Sens!$L$10401+Sens!$L$10403+Sens!$L$10405</f>
        <v>965.093106475589</v>
      </c>
      <c r="M10408" s="38" t="n">
        <f aca="false">Sens!$M$10395+Sens!$M$10397+Sens!$M$10399+Sens!$M$10401+Sens!$M$10403+Sens!$M$10405</f>
        <v>1028.14790794689</v>
      </c>
      <c r="N10408" s="38" t="n">
        <f aca="false">Sens!$N$10395+Sens!$N$10397+Sens!$N$10399+Sens!$N$10401+Sens!$N$10403+Sens!$N$10405</f>
        <v>263.229</v>
      </c>
      <c r="O10408" s="38" t="n">
        <f aca="false">Sens!$O$10395+Sens!$O$10397+Sens!$O$10399+Sens!$O$10401+Sens!$O$10403+Sens!$O$10405</f>
        <v>324.97</v>
      </c>
    </row>
    <row r="10409" customFormat="false" ht="17.15" hidden="false" customHeight="false" outlineLevel="0" collapsed="false">
      <c r="A10409" s="5" t="s">
        <v>694</v>
      </c>
      <c r="B10409" s="0" t="s">
        <v>52</v>
      </c>
      <c r="C10409" s="13" t="n">
        <f aca="false">Q!$D$5/(Q!$D$5+Q!$D$6)</f>
        <v>0.730570905519011</v>
      </c>
      <c r="D10409" s="13" t="n">
        <f aca="false">Q!$E$5/(Q!$E$5+Q!$E$6)</f>
        <v>0.724763217890544</v>
      </c>
      <c r="E10409" s="13" t="n">
        <f aca="false">Q!$P$5/(Q!$P$5+Q!$P$6)</f>
        <v>0.728797972914861</v>
      </c>
      <c r="F10409" s="13" t="n">
        <f aca="false">Sens!$O$10409</f>
        <v>0.718066283041511</v>
      </c>
      <c r="G10409" s="13" t="n">
        <f aca="false">Sens!$G$10410/Sens!$G$10408</f>
        <v>0.723047066202847</v>
      </c>
      <c r="H10409" s="13" t="n">
        <f aca="false">Sens!$G$10409</f>
        <v>0.723047066202847</v>
      </c>
      <c r="I10409" s="13" t="n">
        <f aca="false">Sens!$G$10409</f>
        <v>0.723047066202847</v>
      </c>
      <c r="J10409" s="13" t="n">
        <f aca="false">Sens!$G$10409</f>
        <v>0.723047066202847</v>
      </c>
      <c r="K10409" s="13" t="n">
        <f aca="false">Sens!$G$10409</f>
        <v>0.723047066202847</v>
      </c>
      <c r="L10409" s="13" t="n">
        <f aca="false">Sens!$G$10409</f>
        <v>0.723047066202847</v>
      </c>
      <c r="M10409" s="13" t="n">
        <f aca="false">Sens!$G$10409</f>
        <v>0.723047066202847</v>
      </c>
      <c r="N10409" s="13" t="n">
        <f aca="false">Q!$N$5/(Q!$N$5+Q!$N$6)</f>
        <v>0.733030935041352</v>
      </c>
      <c r="O10409" s="13" t="n">
        <f aca="false">Q!$O$5/(Q!$O$5+Q!$O$6)</f>
        <v>0.718066283041511</v>
      </c>
      <c r="P10409" s="8" t="s">
        <v>695</v>
      </c>
    </row>
    <row r="10410" customFormat="false" ht="17.15" hidden="false" customHeight="false" outlineLevel="0" collapsed="false">
      <c r="A10410" s="1" t="s">
        <v>519</v>
      </c>
      <c r="B10410" s="8" t="s">
        <v>86</v>
      </c>
      <c r="C10410" s="38" t="n">
        <f aca="false">Q!$D$5</f>
        <v>387.497</v>
      </c>
      <c r="D10410" s="38" t="n">
        <f aca="false">Q!$E$5</f>
        <v>426.305</v>
      </c>
      <c r="E10410" s="38" t="n">
        <f aca="false">Q!$P$5</f>
        <v>220.32</v>
      </c>
      <c r="F10410" s="38" t="n">
        <f aca="false">Sens!$F$10408*Sens!$F$10409</f>
        <v>250.639773480586</v>
      </c>
      <c r="G10410" s="38" t="n">
        <f aca="false">Sens!$E$10410+Sens!$F$10410</f>
        <v>470.959773480586</v>
      </c>
      <c r="H10410" s="38" t="n">
        <f aca="false">Sens!$H$10408*Sens!$H$10409</f>
        <v>521.386990416437</v>
      </c>
      <c r="I10410" s="38" t="n">
        <f aca="false">Sens!$I$10408*Sens!$I$10409</f>
        <v>570.143862887555</v>
      </c>
      <c r="J10410" s="38" t="n">
        <f aca="false">Sens!$J$10408*Sens!$J$10409</f>
        <v>615.391435791933</v>
      </c>
      <c r="K10410" s="38" t="n">
        <f aca="false">Sens!$K$10408*Sens!$K$10409</f>
        <v>655.208227561543</v>
      </c>
      <c r="L10410" s="38" t="n">
        <f aca="false">Sens!$L$10408*Sens!$L$10409</f>
        <v>697.807739249767</v>
      </c>
      <c r="M10410" s="38" t="n">
        <f aca="false">Sens!$M$10408*Sens!$M$10409</f>
        <v>743.399328463592</v>
      </c>
      <c r="N10410" s="38" t="n">
        <f aca="false">Q!$N$5</f>
        <v>192.955</v>
      </c>
      <c r="O10410" s="38" t="n">
        <f aca="false">Q!$O$5</f>
        <v>233.35</v>
      </c>
      <c r="P10410" s="5" t="s">
        <v>696</v>
      </c>
    </row>
    <row r="10411" customFormat="false" ht="17.15" hidden="false" customHeight="false" outlineLevel="0" collapsed="false">
      <c r="A10411" s="1" t="s">
        <v>522</v>
      </c>
      <c r="B10411" s="8" t="s">
        <v>86</v>
      </c>
      <c r="C10411" s="38" t="n">
        <f aca="false">Q!$D$6</f>
        <v>142.906</v>
      </c>
      <c r="D10411" s="38" t="n">
        <f aca="false">Q!$E$6</f>
        <v>161.894</v>
      </c>
      <c r="E10411" s="38" t="n">
        <f aca="false">Q!$P$6</f>
        <v>81.986</v>
      </c>
      <c r="F10411" s="38" t="n">
        <f aca="false">Sens!$F$10408*(1-Sens!$F$10409)</f>
        <v>98.408468164951</v>
      </c>
      <c r="G10411" s="38" t="n">
        <f aca="false">Sens!$E$10411+Sens!$F$10411</f>
        <v>180.394468164951</v>
      </c>
      <c r="H10411" s="38" t="n">
        <f aca="false">Sens!$H$10408*(1-Sens!$H$10409)</f>
        <v>199.709899104949</v>
      </c>
      <c r="I10411" s="38" t="n">
        <f aca="false">Sens!$I$10408*(1-Sens!$I$10409)</f>
        <v>218.385528264976</v>
      </c>
      <c r="J10411" s="38" t="n">
        <f aca="false">Sens!$J$10408*(1-Sens!$J$10409)</f>
        <v>235.71696994951</v>
      </c>
      <c r="K10411" s="38" t="n">
        <f aca="false">Sens!$K$10408*(1-Sens!$K$10409)</f>
        <v>250.968227869545</v>
      </c>
      <c r="L10411" s="38" t="n">
        <f aca="false">Sens!$L$10408*(1-Sens!$L$10409)</f>
        <v>267.285367225822</v>
      </c>
      <c r="M10411" s="38" t="n">
        <f aca="false">Sens!$M$10408*(1-Sens!$M$10409)</f>
        <v>284.748579483295</v>
      </c>
      <c r="N10411" s="38" t="n">
        <f aca="false">Q!$N$6</f>
        <v>70.274</v>
      </c>
      <c r="O10411" s="38" t="n">
        <f aca="false">Q!$O$6</f>
        <v>91.62</v>
      </c>
      <c r="P10411" s="5" t="s">
        <v>697</v>
      </c>
    </row>
    <row r="10412" customFormat="false" ht="17.15" hidden="false" customHeight="false" outlineLevel="0" collapsed="false">
      <c r="A10412" s="5" t="s">
        <v>698</v>
      </c>
      <c r="B10412" s="0" t="s">
        <v>86</v>
      </c>
      <c r="C10412" s="38" t="n">
        <f aca="false">Sens!$C$10401*Sens!$C$10409</f>
        <v>41.0683128828457</v>
      </c>
      <c r="D10412" s="38" t="n">
        <f aca="false">Sens!$D$10401*Sens!$D$10409</f>
        <v>49.7441234599175</v>
      </c>
      <c r="E10412" s="38" t="n">
        <f aca="false">Sens!$E$10401*Sens!$E$10409</f>
        <v>27.0034224924414</v>
      </c>
      <c r="F10412" s="38" t="n">
        <f aca="false">Sens!$F$10401*Sens!$F$10409</f>
        <v>33.1439448330513</v>
      </c>
      <c r="G10412" s="38" t="n">
        <f aca="false">Sens!$G$10401*Sens!$G$10409</f>
        <v>60.164183844083</v>
      </c>
      <c r="H10412" s="38" t="n">
        <f aca="false">Sens!$H$10401*Sens!$H$10409</f>
        <v>72.2301766552629</v>
      </c>
      <c r="I10412" s="38" t="n">
        <f aca="false">Sens!$I$10401*Sens!$I$10409</f>
        <v>84.2950764463991</v>
      </c>
      <c r="J10412" s="38" t="n">
        <f aca="false">Sens!$J$10401*Sens!$J$10409</f>
        <v>95.5499047729386</v>
      </c>
      <c r="K10412" s="38" t="n">
        <f aca="false">Sens!$K$10401*Sens!$K$10409</f>
        <v>105.104895250232</v>
      </c>
      <c r="L10412" s="38" t="n">
        <f aca="false">Sens!$L$10401*Sens!$L$10409</f>
        <v>115.615384775256</v>
      </c>
      <c r="M10412" s="38" t="n">
        <f aca="false">Sens!$M$10401*Sens!$M$10409</f>
        <v>127.176923252781</v>
      </c>
      <c r="N10412" s="38" t="n">
        <f aca="false">Sens!$N$10401*Sens!$N$10409</f>
        <v>21.7087111412496</v>
      </c>
      <c r="O10412" s="38" t="n">
        <f aca="false">Sens!$O$10401*Sens!$O$10409</f>
        <v>28.0189463642798</v>
      </c>
      <c r="P10412" s="5" t="s">
        <v>699</v>
      </c>
    </row>
    <row r="10413" customFormat="false" ht="15" hidden="false" customHeight="false" outlineLevel="0" collapsed="false">
      <c r="A10413" s="5" t="s">
        <v>700</v>
      </c>
      <c r="B10413" s="0" t="s">
        <v>86</v>
      </c>
      <c r="C10413" s="38" t="n">
        <f aca="false">Sens!$C$10401-Sens!$C$10412</f>
        <v>15.1456871171543</v>
      </c>
      <c r="D10413" s="38" t="n">
        <f aca="false">Sens!$D$10401-Sens!$D$10412</f>
        <v>18.8908765400825</v>
      </c>
      <c r="E10413" s="38" t="n">
        <f aca="false">Sens!$E$10401-Sens!$E$10412</f>
        <v>10.0485775075586</v>
      </c>
      <c r="F10413" s="38" t="n">
        <f aca="false">Sens!$F$10401-Sens!$F$10412</f>
        <v>13.0132771613635</v>
      </c>
      <c r="G10413" s="38" t="n">
        <f aca="false">Sens!$G$10401-Sens!$G$10412</f>
        <v>23.0450381503318</v>
      </c>
      <c r="H10413" s="38" t="n">
        <f aca="false">Sens!$H$10401-Sens!$H$10412</f>
        <v>27.6667457326347</v>
      </c>
      <c r="I10413" s="38" t="n">
        <f aca="false">Sens!$I$10401-Sens!$I$10412</f>
        <v>32.2880346490971</v>
      </c>
      <c r="J10413" s="38" t="n">
        <f aca="false">Sens!$J$10401-Sens!$J$10412</f>
        <v>36.5990371690132</v>
      </c>
      <c r="K10413" s="38" t="n">
        <f aca="false">Sens!$K$10401-Sens!$K$10412</f>
        <v>40.2589408859145</v>
      </c>
      <c r="L10413" s="38" t="n">
        <f aca="false">Sens!$L$10401-Sens!$L$10412</f>
        <v>44.2848349745059</v>
      </c>
      <c r="M10413" s="38" t="n">
        <f aca="false">Sens!$M$10401-Sens!$M$10412</f>
        <v>48.7133184719565</v>
      </c>
      <c r="N10413" s="38" t="n">
        <f aca="false">Sens!$N$10401-Sens!$N$10412</f>
        <v>7.90628885875037</v>
      </c>
      <c r="O10413" s="38" t="n">
        <f aca="false">Sens!$O$10401-Sens!$O$10412</f>
        <v>11.0010536357202</v>
      </c>
    </row>
    <row r="10414" customFormat="false" ht="19.4" hidden="false" customHeight="false" outlineLevel="0" collapsed="false">
      <c r="A10414" s="31" t="s">
        <v>1363</v>
      </c>
    </row>
    <row r="10415" customFormat="false" ht="17.15" hidden="false" customHeight="false" outlineLevel="0" collapsed="false">
      <c r="A10415" s="6" t="s">
        <v>16</v>
      </c>
      <c r="B10415" s="6" t="s">
        <v>17</v>
      </c>
      <c r="C10415" s="20" t="s">
        <v>504</v>
      </c>
      <c r="D10415" s="20" t="s">
        <v>505</v>
      </c>
      <c r="E10415" s="20" t="s">
        <v>587</v>
      </c>
      <c r="F10415" s="20" t="s">
        <v>588</v>
      </c>
      <c r="G10415" s="20" t="s">
        <v>589</v>
      </c>
      <c r="H10415" s="20" t="s">
        <v>590</v>
      </c>
      <c r="I10415" s="20" t="s">
        <v>591</v>
      </c>
      <c r="J10415" s="20" t="s">
        <v>592</v>
      </c>
      <c r="K10415" s="20" t="s">
        <v>593</v>
      </c>
      <c r="L10415" s="20" t="s">
        <v>594</v>
      </c>
      <c r="M10415" s="20" t="s">
        <v>595</v>
      </c>
      <c r="N10415" s="20" t="s">
        <v>596</v>
      </c>
      <c r="O10415" s="20" t="s">
        <v>597</v>
      </c>
      <c r="P10415" s="6" t="s">
        <v>23</v>
      </c>
      <c r="R10415" s="20" t="n">
        <v>2023</v>
      </c>
      <c r="S10415" s="20" t="n">
        <v>2024</v>
      </c>
      <c r="T10415" s="20" t="n">
        <v>2025</v>
      </c>
      <c r="U10415" s="20" t="n">
        <v>2026</v>
      </c>
      <c r="V10415" s="20" t="n">
        <v>2027</v>
      </c>
      <c r="W10415" s="20" t="n">
        <v>2028</v>
      </c>
      <c r="X10415" s="20" t="n">
        <v>2029</v>
      </c>
      <c r="Y10415" s="20" t="n">
        <v>2030</v>
      </c>
      <c r="Z10415" s="20" t="n">
        <v>2031</v>
      </c>
      <c r="AA10415" s="20" t="n">
        <v>2032</v>
      </c>
    </row>
    <row r="10416" customFormat="false" ht="17.15" hidden="false" customHeight="false" outlineLevel="0" collapsed="false">
      <c r="A10416" s="1" t="s">
        <v>598</v>
      </c>
    </row>
    <row r="10417" customFormat="false" ht="17.15" hidden="false" customHeight="false" outlineLevel="0" collapsed="false">
      <c r="A10417" s="5" t="s">
        <v>599</v>
      </c>
      <c r="B10417" s="0" t="s">
        <v>144</v>
      </c>
      <c r="H10417" s="32" t="n">
        <f aca="false">pace_B</f>
        <v>3634.3</v>
      </c>
      <c r="I10417" s="32" t="n">
        <f aca="false">pace_B</f>
        <v>3634.3</v>
      </c>
      <c r="J10417" s="32" t="n">
        <f aca="false">pace_B</f>
        <v>3634.3</v>
      </c>
      <c r="K10417" s="32" t="n">
        <f aca="false">pace_B+(Sens!$J$10418*tg-pace_B)*1/3</f>
        <v>2570.86716666667</v>
      </c>
      <c r="L10417" s="32" t="n">
        <f aca="false">pace_B+(Sens!$J$10418*tg-pace_B)*2/3</f>
        <v>1507.43433333333</v>
      </c>
      <c r="M10417" s="32" t="n">
        <f aca="false">pace_B+(Sens!$J$10418*tg-pace_B)*3/3</f>
        <v>444.0015</v>
      </c>
      <c r="P10417" s="5" t="s">
        <v>600</v>
      </c>
    </row>
    <row r="10418" customFormat="false" ht="17.15" hidden="false" customHeight="false" outlineLevel="0" collapsed="false">
      <c r="A10418" s="15" t="s">
        <v>601</v>
      </c>
      <c r="B10418" s="14" t="s">
        <v>129</v>
      </c>
      <c r="C10418" s="33" t="n">
        <f aca="false">mw_ye24</f>
        <v>360</v>
      </c>
      <c r="D10418" s="33" t="n">
        <f aca="false">mw_ye25</f>
        <v>1440</v>
      </c>
      <c r="E10418" s="33" t="n">
        <f aca="false">mw_open</f>
        <v>2080</v>
      </c>
      <c r="F10418" s="33" t="n">
        <f aca="false">Sens!$E$10418+pace_B*0.5</f>
        <v>3897.15</v>
      </c>
      <c r="G10418" s="33" t="n">
        <f aca="false">Sens!$F$10418</f>
        <v>3897.15</v>
      </c>
      <c r="H10418" s="33" t="n">
        <f aca="false">Sens!$G$10418+Sens!$H$10417</f>
        <v>7531.45</v>
      </c>
      <c r="I10418" s="33" t="n">
        <f aca="false">Sens!$H$10418+Sens!$I$10417</f>
        <v>11165.75</v>
      </c>
      <c r="J10418" s="33" t="n">
        <f aca="false">Sens!$I$10418+Sens!$J$10417</f>
        <v>14800.05</v>
      </c>
      <c r="K10418" s="33" t="n">
        <f aca="false">Sens!$J$10418+Sens!$K$10417</f>
        <v>17370.9171666667</v>
      </c>
      <c r="L10418" s="33" t="n">
        <f aca="false">Sens!$K$10418+Sens!$L$10417</f>
        <v>18878.3515</v>
      </c>
      <c r="M10418" s="33" t="n">
        <f aca="false">Sens!$L$10418+Sens!$M$10417</f>
        <v>19322.353</v>
      </c>
      <c r="N10418" s="33" t="n">
        <f aca="false">(mw_ye24+mw_ye25)/2</f>
        <v>900</v>
      </c>
      <c r="O10418" s="33" t="n">
        <f aca="false">mw_ye25</f>
        <v>1440</v>
      </c>
      <c r="P10418" s="5" t="s">
        <v>602</v>
      </c>
    </row>
    <row r="10419" customFormat="false" ht="17.15" hidden="false" customHeight="false" outlineLevel="0" collapsed="false">
      <c r="A10419" s="5" t="s">
        <v>603</v>
      </c>
      <c r="B10419" s="0" t="s">
        <v>129</v>
      </c>
      <c r="C10419" s="32" t="n">
        <f aca="false">(mw_ye23+mw_ye24)/2</f>
        <v>240</v>
      </c>
      <c r="D10419" s="32" t="n">
        <f aca="false">(Sens!$C$10418+Sens!$D$10418)/2</f>
        <v>900</v>
      </c>
      <c r="E10419" s="32" t="n">
        <f aca="false">(Sens!$D$10418+Sens!$E$10418)/2</f>
        <v>1760</v>
      </c>
      <c r="F10419" s="32" t="n">
        <f aca="false">(Sens!$E$10418+Sens!$F$10418)/2</f>
        <v>2988.575</v>
      </c>
      <c r="G10419" s="32" t="n">
        <f aca="false">(Sens!$E$10419+Sens!$F$10419)/2</f>
        <v>2374.2875</v>
      </c>
      <c r="H10419" s="32" t="n">
        <f aca="false">(Sens!$G$10418+Sens!$H$10418)/2</f>
        <v>5714.3</v>
      </c>
      <c r="I10419" s="32" t="n">
        <f aca="false">(Sens!$H$10418+Sens!$I$10418)/2</f>
        <v>9348.6</v>
      </c>
      <c r="J10419" s="32" t="n">
        <f aca="false">(Sens!$I$10418+Sens!$J$10418)/2</f>
        <v>12982.9</v>
      </c>
      <c r="K10419" s="32" t="n">
        <f aca="false">(Sens!$J$10418+Sens!$K$10418)/2</f>
        <v>16085.4835833333</v>
      </c>
      <c r="L10419" s="32" t="n">
        <f aca="false">(Sens!$K$10418+Sens!$L$10418)/2</f>
        <v>18124.6343333333</v>
      </c>
      <c r="M10419" s="32" t="n">
        <f aca="false">(Sens!$L$10418+Sens!$M$10418)/2</f>
        <v>19100.35225</v>
      </c>
      <c r="N10419" s="32" t="n">
        <f aca="false">(Sens!$C$10418+Sens!$N$10418)/2</f>
        <v>630</v>
      </c>
      <c r="O10419" s="32" t="n">
        <f aca="false">(Sens!$N$10418+Sens!$O$10418)/2</f>
        <v>1170</v>
      </c>
    </row>
    <row r="10420" customFormat="false" ht="15" hidden="false" customHeight="false" outlineLevel="0" collapsed="false">
      <c r="A10420" s="5" t="s">
        <v>604</v>
      </c>
      <c r="B10420" s="5" t="s">
        <v>123</v>
      </c>
      <c r="C10420" s="34" t="n">
        <v>1</v>
      </c>
      <c r="D10420" s="34" t="n">
        <v>1</v>
      </c>
      <c r="E10420" s="34" t="n">
        <v>0.5</v>
      </c>
      <c r="F10420" s="34" t="n">
        <v>0.5</v>
      </c>
      <c r="G10420" s="34" t="n">
        <v>1</v>
      </c>
      <c r="H10420" s="34" t="n">
        <v>1</v>
      </c>
      <c r="I10420" s="34" t="n">
        <v>1</v>
      </c>
      <c r="J10420" s="34" t="n">
        <v>1</v>
      </c>
      <c r="K10420" s="34" t="n">
        <v>1</v>
      </c>
      <c r="L10420" s="34" t="n">
        <v>1</v>
      </c>
      <c r="M10420" s="34" t="n">
        <v>1</v>
      </c>
      <c r="N10420" s="34" t="n">
        <v>0.5</v>
      </c>
      <c r="O10420" s="34" t="n">
        <v>0.5</v>
      </c>
    </row>
    <row r="10421" customFormat="false" ht="17.15" hidden="false" customHeight="false" outlineLevel="0" collapsed="false">
      <c r="A10421" s="5" t="s">
        <v>605</v>
      </c>
      <c r="B10421" s="0" t="s">
        <v>129</v>
      </c>
      <c r="C10421" s="32" t="n">
        <f aca="false">Sens!$C$10418-mw_ye23</f>
        <v>240</v>
      </c>
      <c r="D10421" s="32" t="n">
        <f aca="false">Sens!$D$10418-Sens!$C$10418</f>
        <v>1080</v>
      </c>
      <c r="E10421" s="32" t="n">
        <f aca="false">Sens!$E$10418-Sens!$D$10418</f>
        <v>640</v>
      </c>
      <c r="F10421" s="32" t="n">
        <f aca="false">Sens!$F$10418-Sens!$E$10418</f>
        <v>1817.15</v>
      </c>
      <c r="G10421" s="32" t="n">
        <f aca="false">Sens!$E$10421+Sens!$F$10421</f>
        <v>2457.15</v>
      </c>
      <c r="H10421" s="32" t="n">
        <f aca="false">Sens!$H$10418-Sens!$G$10418</f>
        <v>3634.3</v>
      </c>
      <c r="I10421" s="32" t="n">
        <f aca="false">Sens!$I$10418-Sens!$H$10418</f>
        <v>3634.3</v>
      </c>
      <c r="J10421" s="32" t="n">
        <f aca="false">Sens!$J$10418-Sens!$I$10418</f>
        <v>3634.3</v>
      </c>
      <c r="K10421" s="32" t="n">
        <f aca="false">Sens!$K$10418-Sens!$J$10418</f>
        <v>2570.86716666667</v>
      </c>
      <c r="L10421" s="32" t="n">
        <f aca="false">Sens!$L$10418-Sens!$K$10418</f>
        <v>1507.43433333333</v>
      </c>
      <c r="M10421" s="32" t="n">
        <f aca="false">Sens!$M$10418-Sens!$L$10418</f>
        <v>444.001499999999</v>
      </c>
      <c r="N10421" s="32" t="n">
        <f aca="false">Sens!$N$10418-Sens!$C$10418</f>
        <v>540</v>
      </c>
      <c r="O10421" s="32" t="n">
        <f aca="false">Sens!$O$10418-Sens!$N$10418</f>
        <v>540</v>
      </c>
    </row>
    <row r="10422" customFormat="false" ht="17.15" hidden="false" customHeight="false" outlineLevel="0" collapsed="false">
      <c r="A10422" s="5" t="s">
        <v>606</v>
      </c>
      <c r="B10422" s="0" t="s">
        <v>129</v>
      </c>
      <c r="C10422" s="32" t="n">
        <f aca="false">Sens!$C$10421/ext_sh</f>
        <v>300</v>
      </c>
      <c r="D10422" s="32" t="n">
        <f aca="false">Sens!$D$10421/ext_sh</f>
        <v>1350</v>
      </c>
      <c r="E10422" s="32" t="n">
        <f aca="false">Sens!$E$10421/ext_sh</f>
        <v>800</v>
      </c>
      <c r="F10422" s="32" t="n">
        <f aca="false">Sens!$F$10421/ext_sh</f>
        <v>2271.4375</v>
      </c>
      <c r="G10422" s="32" t="n">
        <f aca="false">Sens!$G$10421/ext_sh</f>
        <v>3071.4375</v>
      </c>
      <c r="H10422" s="32" t="n">
        <f aca="false">Sens!$H$10421/ext_sh</f>
        <v>4542.875</v>
      </c>
      <c r="I10422" s="32" t="n">
        <f aca="false">Sens!$I$10421/ext_sh</f>
        <v>4542.875</v>
      </c>
      <c r="J10422" s="32" t="n">
        <f aca="false">Sens!$J$10421/ext_sh</f>
        <v>4542.875</v>
      </c>
      <c r="K10422" s="32" t="n">
        <f aca="false">Sens!$K$10421/ext_sh</f>
        <v>3213.58395833333</v>
      </c>
      <c r="L10422" s="32" t="n">
        <f aca="false">Sens!$L$10421/ext_sh</f>
        <v>1884.29291666667</v>
      </c>
      <c r="M10422" s="32" t="n">
        <f aca="false">Sens!$M$10421/ext_sh</f>
        <v>555.001874999998</v>
      </c>
      <c r="N10422" s="32" t="n">
        <f aca="false">Sens!$N$10421/ext_sh</f>
        <v>675</v>
      </c>
      <c r="O10422" s="32" t="n">
        <f aca="false">Sens!$O$10421/ext_sh</f>
        <v>675</v>
      </c>
      <c r="P10422" s="8" t="s">
        <v>607</v>
      </c>
      <c r="R10422" s="32" t="n">
        <f aca="false">mw_ye23/ext_sh</f>
        <v>150</v>
      </c>
      <c r="S10422" s="32" t="n">
        <f aca="false">Sens!$C$10422</f>
        <v>300</v>
      </c>
      <c r="T10422" s="32" t="n">
        <f aca="false">Sens!$D$10422</f>
        <v>1350</v>
      </c>
      <c r="U10422" s="32" t="n">
        <f aca="false">Sens!$G$10422</f>
        <v>3071.4375</v>
      </c>
      <c r="V10422" s="32" t="n">
        <f aca="false">Sens!$H$10422</f>
        <v>4542.875</v>
      </c>
      <c r="W10422" s="32" t="n">
        <f aca="false">Sens!$I$10422</f>
        <v>4542.875</v>
      </c>
      <c r="X10422" s="32" t="n">
        <f aca="false">Sens!$J$10422</f>
        <v>4542.875</v>
      </c>
      <c r="Y10422" s="32" t="n">
        <f aca="false">Sens!$K$10422</f>
        <v>3213.58395833333</v>
      </c>
      <c r="Z10422" s="32" t="n">
        <f aca="false">Sens!$L$10422</f>
        <v>1884.29291666667</v>
      </c>
      <c r="AA10422" s="32" t="n">
        <f aca="false">Sens!$M$10422</f>
        <v>555.001874999998</v>
      </c>
    </row>
    <row r="10423" customFormat="false" ht="17.15" hidden="false" customHeight="false" outlineLevel="0" collapsed="false">
      <c r="A10423" s="1" t="s">
        <v>608</v>
      </c>
    </row>
    <row r="10424" customFormat="false" ht="17.15" hidden="false" customHeight="false" outlineLevel="0" collapsed="false">
      <c r="A10424" s="0" t="s">
        <v>609</v>
      </c>
      <c r="B10424" s="0" t="s">
        <v>52</v>
      </c>
      <c r="F10424" s="35" t="n">
        <f aca="false">na_vr26</f>
        <v>0</v>
      </c>
      <c r="G10424" s="35" t="n">
        <f aca="false">na_vr26</f>
        <v>0</v>
      </c>
      <c r="H10424" s="35" t="n">
        <f aca="false">na_vr27</f>
        <v>0.5</v>
      </c>
      <c r="I10424" s="35" t="n">
        <f aca="false">na_vr28</f>
        <v>1</v>
      </c>
      <c r="J10424" s="35" t="n">
        <f aca="false">na_vr28</f>
        <v>1</v>
      </c>
      <c r="K10424" s="35" t="n">
        <f aca="false">na_vr28</f>
        <v>1</v>
      </c>
      <c r="L10424" s="35" t="n">
        <f aca="false">na_vr28</f>
        <v>1</v>
      </c>
      <c r="M10424" s="35" t="n">
        <f aca="false">na_vr28</f>
        <v>1</v>
      </c>
    </row>
    <row r="10425" customFormat="false" ht="17.15" hidden="false" customHeight="false" outlineLevel="0" collapsed="false">
      <c r="A10425" s="5" t="s">
        <v>610</v>
      </c>
      <c r="B10425" s="0" t="s">
        <v>173</v>
      </c>
      <c r="F10425" s="36" t="n">
        <f aca="false">cust_sh*tk_he_gb300*cf_chip+(1-cust_sh)*((1-Sens!$F$10424)*tk_he_gb300+Sens!$F$10424*tk_he_vr200)</f>
        <v>10.8864110021101</v>
      </c>
      <c r="G10425" s="36" t="n">
        <f aca="false">cust_sh*tk_he_gb300*cf_chip+(1-cust_sh)*((1-Sens!$G$10424)*tk_he_gb300+Sens!$G$10424*tk_he_vr200)</f>
        <v>10.8864110021101</v>
      </c>
      <c r="H10425" s="36" t="n">
        <f aca="false">cust_sh*tk_he_gb300*cf_chip+(1-cust_sh)*((1-Sens!$H$10424)*tk_he_gb300+Sens!$H$10424*tk_he_vr200)</f>
        <v>11.2211760027286</v>
      </c>
      <c r="I10425" s="36" t="n">
        <f aca="false">cust_sh*tk_he_gb300*cf_chip+(1-cust_sh)*((1-Sens!$I$10424)*tk_he_gb300+Sens!$I$10424*tk_he_vr200)</f>
        <v>11.5559410033471</v>
      </c>
      <c r="J10425" s="36" t="n">
        <f aca="false">cust_sh*tk_he_gb300*cf_chip+(1-cust_sh)*((1-Sens!$J$10424)*tk_he_gb300+Sens!$J$10424*tk_he_vr200)</f>
        <v>11.5559410033471</v>
      </c>
      <c r="K10425" s="36" t="n">
        <f aca="false">cust_sh*tk_he_gb300*cf_chip+(1-cust_sh)*((1-Sens!$K$10424)*tk_he_gb300+Sens!$K$10424*tk_he_vr200)</f>
        <v>11.5559410033471</v>
      </c>
      <c r="L10425" s="36" t="n">
        <f aca="false">cust_sh*tk_he_gb300*cf_chip+(1-cust_sh)*((1-Sens!$L$10424)*tk_he_gb300+Sens!$L$10424*tk_he_vr200)</f>
        <v>11.5559410033471</v>
      </c>
      <c r="M10425" s="36" t="n">
        <f aca="false">cust_sh*tk_he_gb300*cf_chip+(1-cust_sh)*((1-Sens!$M$10424)*tk_he_gb300+Sens!$M$10424*tk_he_vr200)</f>
        <v>11.5559410033471</v>
      </c>
    </row>
    <row r="10426" customFormat="false" ht="17.15" hidden="false" customHeight="false" outlineLevel="0" collapsed="false">
      <c r="A10426" s="5" t="s">
        <v>611</v>
      </c>
      <c r="B10426" s="0" t="s">
        <v>173</v>
      </c>
      <c r="F10426" s="36" t="n">
        <f aca="false">cust_sh*tk_ox_gb300+(1-cust_sh)*((1-Sens!$F$10424)*tk_ox_gb300+Sens!$F$10424*tk_ox_vr200)</f>
        <v>1.98263481314457</v>
      </c>
      <c r="G10426" s="36" t="n">
        <f aca="false">cust_sh*tk_ox_gb300+(1-cust_sh)*((1-Sens!$G$10424)*tk_ox_gb300+Sens!$G$10424*tk_ox_vr200)</f>
        <v>1.98263481314457</v>
      </c>
      <c r="H10426" s="36" t="n">
        <f aca="false">cust_sh*tk_ox_gb300+(1-cust_sh)*((1-Sens!$H$10424)*tk_ox_gb300+Sens!$H$10424*tk_ox_vr200)</f>
        <v>2.01034999693694</v>
      </c>
      <c r="I10426" s="36" t="n">
        <f aca="false">cust_sh*tk_ox_gb300+(1-cust_sh)*((1-Sens!$I$10424)*tk_ox_gb300+Sens!$I$10424*tk_ox_vr200)</f>
        <v>2.0380651807293</v>
      </c>
      <c r="J10426" s="36" t="n">
        <f aca="false">cust_sh*tk_ox_gb300+(1-cust_sh)*((1-Sens!$J$10424)*tk_ox_gb300+Sens!$J$10424*tk_ox_vr200)</f>
        <v>2.0380651807293</v>
      </c>
      <c r="K10426" s="36" t="n">
        <f aca="false">cust_sh*tk_ox_gb300+(1-cust_sh)*((1-Sens!$K$10424)*tk_ox_gb300+Sens!$K$10424*tk_ox_vr200)</f>
        <v>2.0380651807293</v>
      </c>
      <c r="L10426" s="36" t="n">
        <f aca="false">cust_sh*tk_ox_gb300+(1-cust_sh)*((1-Sens!$L$10424)*tk_ox_gb300+Sens!$L$10424*tk_ox_vr200)</f>
        <v>2.0380651807293</v>
      </c>
      <c r="M10426" s="36" t="n">
        <f aca="false">cust_sh*tk_ox_gb300+(1-cust_sh)*((1-Sens!$M$10424)*tk_ox_gb300+Sens!$M$10424*tk_ox_vr200)</f>
        <v>2.0380651807293</v>
      </c>
    </row>
    <row r="10427" customFormat="false" ht="17.15" hidden="false" customHeight="false" outlineLevel="0" collapsed="false">
      <c r="A10427" s="5" t="s">
        <v>612</v>
      </c>
      <c r="B10427" s="0" t="s">
        <v>192</v>
      </c>
      <c r="F10427" s="36" t="n">
        <f aca="false">cust_sh*tk_cx_gb300*cf_cx+(1-cust_sh)*((1-Sens!$F$10424)*tk_cx_gb300+Sens!$F$10424*tk_cx_vr200)</f>
        <v>32.237224</v>
      </c>
      <c r="G10427" s="36" t="n">
        <f aca="false">cust_sh*tk_cx_gb300*cf_cx+(1-cust_sh)*((1-Sens!$G$10424)*tk_cx_gb300+Sens!$G$10424*tk_cx_vr200)</f>
        <v>32.237224</v>
      </c>
      <c r="H10427" s="36" t="n">
        <f aca="false">cust_sh*tk_cx_gb300*cf_cx+(1-cust_sh)*((1-Sens!$H$10424)*tk_cx_gb300+Sens!$H$10424*tk_cx_vr200)</f>
        <v>33.574506</v>
      </c>
      <c r="I10427" s="36" t="n">
        <f aca="false">cust_sh*tk_cx_gb300*cf_cx+(1-cust_sh)*((1-Sens!$I$10424)*tk_cx_gb300+Sens!$I$10424*tk_cx_vr200)</f>
        <v>34.911788</v>
      </c>
      <c r="J10427" s="36" t="n">
        <f aca="false">cust_sh*tk_cx_gb300*cf_cx+(1-cust_sh)*((1-Sens!$J$10424)*tk_cx_gb300+Sens!$J$10424*tk_cx_vr200)</f>
        <v>34.911788</v>
      </c>
      <c r="K10427" s="36" t="n">
        <f aca="false">cust_sh*tk_cx_gb300*cf_cx+(1-cust_sh)*((1-Sens!$K$10424)*tk_cx_gb300+Sens!$K$10424*tk_cx_vr200)</f>
        <v>34.911788</v>
      </c>
      <c r="L10427" s="36" t="n">
        <f aca="false">cust_sh*tk_cx_gb300*cf_cx+(1-cust_sh)*((1-Sens!$L$10424)*tk_cx_gb300+Sens!$L$10424*tk_cx_vr200)</f>
        <v>34.911788</v>
      </c>
      <c r="M10427" s="36" t="n">
        <f aca="false">cust_sh*tk_cx_gb300*cf_cx+(1-cust_sh)*((1-Sens!$M$10424)*tk_cx_gb300+Sens!$M$10424*tk_cx_vr200)</f>
        <v>34.911788</v>
      </c>
    </row>
    <row r="10428" customFormat="false" ht="17.15" hidden="false" customHeight="false" outlineLevel="0" collapsed="false">
      <c r="A10428" s="5" t="s">
        <v>613</v>
      </c>
      <c r="B10428" s="0" t="s">
        <v>129</v>
      </c>
      <c r="F10428" s="32" t="n">
        <f aca="false">Sens!$F$10418-mw_open</f>
        <v>1817.15</v>
      </c>
      <c r="G10428" s="32" t="n">
        <f aca="false">Sens!$F$10428</f>
        <v>1817.15</v>
      </c>
      <c r="H10428" s="32" t="n">
        <f aca="false">Sens!$H$10418-mw_open</f>
        <v>5451.45</v>
      </c>
      <c r="I10428" s="32" t="n">
        <f aca="false">Sens!$I$10418-mw_open</f>
        <v>9085.75</v>
      </c>
      <c r="J10428" s="32" t="n">
        <f aca="false">Sens!$J$10418-mw_open</f>
        <v>12720.05</v>
      </c>
      <c r="K10428" s="32" t="n">
        <f aca="false">Sens!$K$10418-mw_open</f>
        <v>15290.9171666667</v>
      </c>
      <c r="L10428" s="32" t="n">
        <f aca="false">Sens!$L$10418-mw_open</f>
        <v>16798.3515</v>
      </c>
      <c r="M10428" s="32" t="n">
        <f aca="false">Sens!$M$10418-mw_open</f>
        <v>17242.353</v>
      </c>
    </row>
    <row r="10429" customFormat="false" ht="17.15" hidden="false" customHeight="false" outlineLevel="0" collapsed="false">
      <c r="A10429" s="0" t="s">
        <v>614</v>
      </c>
      <c r="B10429" s="0" t="s">
        <v>615</v>
      </c>
      <c r="F10429" s="32" t="n">
        <f aca="false">Sens!$F$10421*Sens!$F$10425</f>
        <v>19782.2417524844</v>
      </c>
      <c r="G10429" s="32" t="n">
        <f aca="false">Sens!$F$10429</f>
        <v>19782.2417524844</v>
      </c>
      <c r="H10429" s="32" t="n">
        <f aca="false">Sens!$G$10429+Sens!$H$10421*Sens!$H$10425</f>
        <v>60563.3616992009</v>
      </c>
      <c r="I10429" s="32" t="n">
        <f aca="false">Sens!$H$10429+Sens!$I$10421*Sens!$I$10425</f>
        <v>102561.118087665</v>
      </c>
      <c r="J10429" s="32" t="n">
        <f aca="false">Sens!$I$10429+Sens!$J$10421*Sens!$J$10425</f>
        <v>144558.87447613</v>
      </c>
      <c r="K10429" s="32" t="n">
        <f aca="false">Sens!$J$10429+Sens!$K$10421*Sens!$K$10425</f>
        <v>174267.663781572</v>
      </c>
      <c r="L10429" s="32" t="n">
        <f aca="false">Sens!$K$10429+Sens!$L$10421*Sens!$L$10425</f>
        <v>191687.486003992</v>
      </c>
      <c r="M10429" s="32" t="n">
        <f aca="false">Sens!$L$10429+Sens!$M$10421*Sens!$M$10425</f>
        <v>196818.341143389</v>
      </c>
    </row>
    <row r="10430" customFormat="false" ht="17.15" hidden="false" customHeight="false" outlineLevel="0" collapsed="false">
      <c r="A10430" s="0" t="s">
        <v>616</v>
      </c>
      <c r="B10430" s="0" t="s">
        <v>615</v>
      </c>
      <c r="F10430" s="32" t="n">
        <f aca="false">Sens!$F$10421*Sens!$F$10426</f>
        <v>3602.74485070566</v>
      </c>
      <c r="G10430" s="32" t="n">
        <f aca="false">Sens!$F$10430</f>
        <v>3602.74485070566</v>
      </c>
      <c r="H10430" s="32" t="n">
        <f aca="false">Sens!$G$10430+Sens!$H$10421*Sens!$H$10426</f>
        <v>10908.9598445736</v>
      </c>
      <c r="I10430" s="32" t="n">
        <f aca="false">Sens!$H$10430+Sens!$I$10421*Sens!$I$10426</f>
        <v>18315.9001308981</v>
      </c>
      <c r="J10430" s="32" t="n">
        <f aca="false">Sens!$I$10430+Sens!$J$10421*Sens!$J$10426</f>
        <v>25722.8404172225</v>
      </c>
      <c r="K10430" s="32" t="n">
        <f aca="false">Sens!$J$10430+Sens!$K$10421*Sens!$K$10426</f>
        <v>30962.4352738861</v>
      </c>
      <c r="L10430" s="32" t="n">
        <f aca="false">Sens!$K$10430+Sens!$L$10421*Sens!$L$10426</f>
        <v>34034.6847008886</v>
      </c>
      <c r="M10430" s="32" t="n">
        <f aca="false">Sens!$L$10430+Sens!$M$10421*Sens!$M$10426</f>
        <v>34939.5886982302</v>
      </c>
    </row>
    <row r="10431" customFormat="false" ht="17.15" hidden="false" customHeight="false" outlineLevel="0" collapsed="false">
      <c r="A10431" s="5" t="s">
        <v>617</v>
      </c>
      <c r="B10431" s="0" t="s">
        <v>173</v>
      </c>
      <c r="F10431" s="36" t="n">
        <f aca="false">IF(Sens!$F$10428&gt;0,Sens!$F$10429/Sens!$F$10428,Sens!$F$10425)</f>
        <v>10.8864110021101</v>
      </c>
      <c r="G10431" s="36" t="n">
        <f aca="false">IF(Sens!$G$10428&gt;0,Sens!$G$10429/Sens!$G$10428,Sens!$G$10425)</f>
        <v>10.8864110021101</v>
      </c>
      <c r="H10431" s="36" t="n">
        <f aca="false">IF(Sens!$H$10428&gt;0,Sens!$H$10429/Sens!$H$10428,Sens!$H$10425)</f>
        <v>11.1095876691891</v>
      </c>
      <c r="I10431" s="36" t="n">
        <f aca="false">IF(Sens!$I$10428&gt;0,Sens!$I$10429/Sens!$I$10428,Sens!$I$10425)</f>
        <v>11.2881290028523</v>
      </c>
      <c r="J10431" s="36" t="n">
        <f aca="false">IF(Sens!$J$10428&gt;0,Sens!$J$10429/Sens!$J$10428,Sens!$J$10425)</f>
        <v>11.3646467172794</v>
      </c>
      <c r="K10431" s="36" t="n">
        <f aca="false">IF(Sens!$K$10428&gt;0,Sens!$K$10429/Sens!$K$10428,Sens!$K$10425)</f>
        <v>11.3968090914432</v>
      </c>
      <c r="L10431" s="36" t="n">
        <f aca="false">IF(Sens!$L$10428&gt;0,Sens!$L$10429/Sens!$L$10428,Sens!$L$10425)</f>
        <v>11.4110891181192</v>
      </c>
      <c r="M10431" s="36" t="n">
        <f aca="false">IF(Sens!$M$10428&gt;0,Sens!$M$10429/Sens!$M$10428,Sens!$M$10425)</f>
        <v>11.4148191458201</v>
      </c>
    </row>
    <row r="10432" customFormat="false" ht="17.15" hidden="false" customHeight="false" outlineLevel="0" collapsed="false">
      <c r="A10432" s="5" t="s">
        <v>618</v>
      </c>
      <c r="B10432" s="0" t="s">
        <v>173</v>
      </c>
      <c r="F10432" s="36" t="n">
        <f aca="false">IF(Sens!$F$10428&gt;0,Sens!$F$10430/Sens!$F$10428,Sens!$F$10426)</f>
        <v>1.98263481314457</v>
      </c>
      <c r="G10432" s="36" t="n">
        <f aca="false">IF(Sens!$G$10428&gt;0,Sens!$G$10430/Sens!$G$10428,Sens!$G$10426)</f>
        <v>1.98263481314457</v>
      </c>
      <c r="H10432" s="36" t="n">
        <f aca="false">IF(Sens!$H$10428&gt;0,Sens!$H$10430/Sens!$H$10428,Sens!$H$10426)</f>
        <v>2.00111160233948</v>
      </c>
      <c r="I10432" s="36" t="n">
        <f aca="false">IF(Sens!$I$10428&gt;0,Sens!$I$10430/Sens!$I$10428,Sens!$I$10426)</f>
        <v>2.01589303369541</v>
      </c>
      <c r="J10432" s="36" t="n">
        <f aca="false">IF(Sens!$J$10428&gt;0,Sens!$J$10430/Sens!$J$10428,Sens!$J$10426)</f>
        <v>2.02222793284795</v>
      </c>
      <c r="K10432" s="36" t="n">
        <f aca="false">IF(Sens!$K$10428&gt;0,Sens!$K$10430/Sens!$K$10428,Sens!$K$10426)</f>
        <v>2.02489065478573</v>
      </c>
      <c r="L10432" s="36" t="n">
        <f aca="false">IF(Sens!$L$10428&gt;0,Sens!$L$10430/Sens!$L$10428,Sens!$L$10426)</f>
        <v>2.0260728977417</v>
      </c>
      <c r="M10432" s="36" t="n">
        <f aca="false">IF(Sens!$M$10428&gt;0,Sens!$M$10430/Sens!$M$10428,Sens!$M$10426)</f>
        <v>2.02638170661685</v>
      </c>
    </row>
    <row r="10433" customFormat="false" ht="17.15" hidden="false" customHeight="false" outlineLevel="0" collapsed="false">
      <c r="A10433" s="15" t="s">
        <v>619</v>
      </c>
      <c r="B10433" s="14" t="s">
        <v>173</v>
      </c>
      <c r="C10433" s="14"/>
      <c r="D10433" s="14"/>
      <c r="E10433" s="14"/>
      <c r="F10433" s="37" t="n">
        <f aca="false">Sens!$F$10431*k_B</f>
        <v>10.7987645808025</v>
      </c>
      <c r="G10433" s="37" t="n">
        <f aca="false">Sens!$G$10431*k_B</f>
        <v>10.7987645808025</v>
      </c>
      <c r="H10433" s="37" t="n">
        <f aca="false">Sens!$H$10431*k_B</f>
        <v>11.0201444540452</v>
      </c>
      <c r="I10433" s="37" t="n">
        <f aca="false">Sens!$I$10431*k_B</f>
        <v>11.1972483526393</v>
      </c>
      <c r="J10433" s="37" t="n">
        <f aca="false">Sens!$J$10431*k_B</f>
        <v>11.2731500234653</v>
      </c>
      <c r="K10433" s="37" t="n">
        <f aca="false">Sens!$K$10431*k_B</f>
        <v>11.3050534585724</v>
      </c>
      <c r="L10433" s="37" t="n">
        <f aca="false">Sens!$L$10431*k_B</f>
        <v>11.3192185168503</v>
      </c>
      <c r="M10433" s="37" t="n">
        <f aca="false">Sens!$M$10431*k_B</f>
        <v>11.3229185141234</v>
      </c>
      <c r="N10433" s="14"/>
      <c r="O10433" s="14"/>
      <c r="P10433" s="5" t="s">
        <v>620</v>
      </c>
    </row>
    <row r="10434" customFormat="false" ht="17.15" hidden="false" customHeight="false" outlineLevel="0" collapsed="false">
      <c r="A10434" s="5" t="s">
        <v>621</v>
      </c>
      <c r="B10434" s="0" t="s">
        <v>129</v>
      </c>
      <c r="F10434" s="32" t="n">
        <f aca="false">Sens!$F$10428/2</f>
        <v>908.575</v>
      </c>
      <c r="H10434" s="32" t="n">
        <f aca="false">(Sens!$G$10428+Sens!$H$10428)/2</f>
        <v>3634.3</v>
      </c>
      <c r="I10434" s="32" t="n">
        <f aca="false">(Sens!$H$10428+Sens!$I$10428)/2</f>
        <v>7268.6</v>
      </c>
      <c r="J10434" s="32" t="n">
        <f aca="false">(Sens!$I$10428+Sens!$J$10428)/2</f>
        <v>10902.9</v>
      </c>
      <c r="K10434" s="32" t="n">
        <f aca="false">(Sens!$J$10428+Sens!$K$10428)/2</f>
        <v>14005.4835833333</v>
      </c>
      <c r="L10434" s="32" t="n">
        <f aca="false">(Sens!$K$10428+Sens!$L$10428)/2</f>
        <v>16044.6343333333</v>
      </c>
      <c r="M10434" s="32" t="n">
        <f aca="false">(Sens!$L$10428+Sens!$M$10428)/2</f>
        <v>17020.35225</v>
      </c>
    </row>
    <row r="10435" customFormat="false" ht="17.15" hidden="false" customHeight="false" outlineLevel="0" collapsed="false">
      <c r="A10435" s="1" t="s">
        <v>622</v>
      </c>
    </row>
    <row r="10436" customFormat="false" ht="17.15" hidden="false" customHeight="false" outlineLevel="0" collapsed="false">
      <c r="A10436" s="1" t="s">
        <v>623</v>
      </c>
      <c r="B10436" s="8" t="s">
        <v>86</v>
      </c>
      <c r="C10436" s="38" t="n">
        <f aca="false">Sens!$C$10419*rpm_open*Sens!$C$10420/1000</f>
        <v>2.32100535697364</v>
      </c>
      <c r="D10436" s="38" t="n">
        <f aca="false">Sens!$D$10419*rpm_open*Sens!$D$10420/1000</f>
        <v>8.70377008865116</v>
      </c>
      <c r="E10436" s="38" t="n">
        <f aca="false">Sens!$E$10419*rpm_open*Sens!$E$10420/1000</f>
        <v>8.51035297557002</v>
      </c>
      <c r="F10436" s="38" t="n">
        <f aca="false">(mw_open*rpm_open+Sens!$F$10434*Sens!$F$10433)*Sens!$F$10420/1000</f>
        <v>14.9634336447205</v>
      </c>
      <c r="G10436" s="38" t="n">
        <f aca="false">Sens!$E$10436+Sens!$F$10436</f>
        <v>23.4737866202905</v>
      </c>
      <c r="H10436" s="38" t="n">
        <f aca="false">(mw_open*rpm_open+Sens!$H$10434*Sens!$H$10433)/1000</f>
        <v>60.1658907497746</v>
      </c>
      <c r="I10436" s="38" t="n">
        <f aca="false">(mw_open*rpm_open+Sens!$I$10434*Sens!$I$10433)/1000</f>
        <v>101.503699136432</v>
      </c>
      <c r="J10436" s="38" t="n">
        <f aca="false">(mw_open*rpm_open+Sens!$J$10434*Sens!$J$10433)/1000</f>
        <v>143.025407151278</v>
      </c>
      <c r="K10436" s="38" t="n">
        <f aca="false">(mw_open*rpm_open+Sens!$K$10434*Sens!$K$10433)/1000</f>
        <v>178.44812038318</v>
      </c>
      <c r="L10436" s="38" t="n">
        <f aca="false">(mw_open*rpm_open+Sens!$L$10434*Sens!$L$10433)/1000</f>
        <v>201.728101802396</v>
      </c>
      <c r="M10436" s="38" t="n">
        <f aca="false">(mw_open*rpm_open+Sens!$M$10434*Sens!$M$10433)/1000</f>
        <v>212.835441368865</v>
      </c>
      <c r="N10436" s="38" t="n">
        <f aca="false">Sens!$N$10419*rpm_open*Sens!$N$10420/1000</f>
        <v>3.04631953102791</v>
      </c>
      <c r="O10436" s="38" t="n">
        <f aca="false">Sens!$O$10419*rpm_open*Sens!$O$10420/1000</f>
        <v>5.65745055762326</v>
      </c>
      <c r="P10436" s="5" t="s">
        <v>624</v>
      </c>
    </row>
    <row r="10437" customFormat="false" ht="17.15" hidden="false" customHeight="false" outlineLevel="0" collapsed="false">
      <c r="A10437" s="5" t="s">
        <v>625</v>
      </c>
      <c r="B10437" s="0" t="s">
        <v>173</v>
      </c>
      <c r="C10437" s="36" t="n">
        <f aca="false">Sens!$C$10436*1000/(Sens!$C$10419*Sens!$C$10420)</f>
        <v>9.67085565405685</v>
      </c>
      <c r="D10437" s="36" t="n">
        <f aca="false">Sens!$D$10436*1000/(Sens!$D$10419*Sens!$D$10420)</f>
        <v>9.67085565405685</v>
      </c>
      <c r="E10437" s="36" t="n">
        <f aca="false">Sens!$E$10436*1000/(Sens!$E$10419*Sens!$E$10420)</f>
        <v>9.67085565405685</v>
      </c>
      <c r="F10437" s="36" t="n">
        <f aca="false">Sens!$F$10436*1000/(Sens!$F$10419*Sens!$F$10420)</f>
        <v>10.0137581588017</v>
      </c>
      <c r="G10437" s="36" t="n">
        <f aca="false">Sens!$G$10436*1000/(Sens!$G$10419*Sens!$G$10420)</f>
        <v>9.88666562928478</v>
      </c>
      <c r="H10437" s="36" t="n">
        <f aca="false">Sens!$H$10436*1000/(Sens!$H$10419*Sens!$H$10420)</f>
        <v>10.5290045586992</v>
      </c>
      <c r="I10437" s="36" t="n">
        <f aca="false">Sens!$I$10436*1000/(Sens!$I$10419*Sens!$I$10420)</f>
        <v>10.8576363451674</v>
      </c>
      <c r="J10437" s="36" t="n">
        <f aca="false">Sens!$J$10436*1000/(Sens!$J$10419*Sens!$J$10420)</f>
        <v>11.0164452588619</v>
      </c>
      <c r="K10437" s="36" t="n">
        <f aca="false">Sens!$K$10436*1000/(Sens!$K$10419*Sens!$K$10420)</f>
        <v>11.0937367508227</v>
      </c>
      <c r="L10437" s="36" t="n">
        <f aca="false">Sens!$L$10436*1000/(Sens!$L$10419*Sens!$L$10420)</f>
        <v>11.1300508519168</v>
      </c>
      <c r="M10437" s="36" t="n">
        <f aca="false">Sens!$M$10436*1000/(Sens!$M$10419*Sens!$M$10420)</f>
        <v>11.1430113216297</v>
      </c>
      <c r="N10437" s="36" t="n">
        <f aca="false">Sens!$N$10436*1000/(Sens!$N$10419*Sens!$N$10420)</f>
        <v>9.67085565405685</v>
      </c>
      <c r="O10437" s="36" t="n">
        <f aca="false">Sens!$O$10436*1000/(Sens!$O$10419*Sens!$O$10420)</f>
        <v>9.67085565405685</v>
      </c>
    </row>
    <row r="10438" customFormat="false" ht="17.15" hidden="false" customHeight="false" outlineLevel="0" collapsed="false">
      <c r="A10438" s="0" t="s">
        <v>626</v>
      </c>
      <c r="B10438" s="0" t="s">
        <v>86</v>
      </c>
      <c r="C10438" s="38" t="n">
        <f aca="false">Sens!$C$10419/ext_sh*(ox_open+rent_mw)*Sens!$C$10420/1000</f>
        <v>0.642569210675032</v>
      </c>
      <c r="D10438" s="38" t="n">
        <f aca="false">Sens!$D$10419/ext_sh*(ox_open+rent_mw)*Sens!$D$10420/1000</f>
        <v>2.40963454003137</v>
      </c>
      <c r="E10438" s="38" t="n">
        <f aca="false">Sens!$E$10419/ext_sh*(ox_open+rent_mw)*Sens!$E$10420/1000</f>
        <v>2.35608710580845</v>
      </c>
      <c r="F10438" s="38" t="n">
        <f aca="false">((mw_open*ox_open+Sens!$F$10434*Sens!$F$10432)/ext_sh+Sens!$F$10419/ext_sh*rent_mw)*Sens!$F$10420/1000</f>
        <v>4.05421991106232</v>
      </c>
      <c r="G10438" s="38" t="n">
        <f aca="false">Sens!$E$10438+Sens!$F$10438</f>
        <v>6.41030701687077</v>
      </c>
      <c r="H10438" s="38" t="n">
        <f aca="false">((mw_open*ox_open+Sens!$H$10434*Sens!$H$10432)/ext_sh+Sens!$H$10419/ext_sh*rent_mw)*Sens!$H$10420/1000</f>
        <v>15.8108975546616</v>
      </c>
      <c r="I10438" s="38" t="n">
        <f aca="false">((mw_open*ox_open+Sens!$I$10434*Sens!$I$10432)/ext_sh+Sens!$I$10419/ext_sh*rent_mw)*Sens!$I$10420/1000</f>
        <v>26.1871623400817</v>
      </c>
      <c r="J10438" s="38" t="n">
        <f aca="false">((mw_open*ox_open+Sens!$J$10434*Sens!$J$10432)/ext_sh+Sens!$J$10419/ext_sh*rent_mw)*Sens!$J$10420/1000</f>
        <v>36.5826128954935</v>
      </c>
      <c r="K10438" s="38" t="n">
        <f aca="false">((mw_open*ox_open+Sens!$K$10434*Sens!$K$10432)/ext_sh+Sens!$K$10419/ext_sh*rent_mw)*Sens!$K$10420/1000</f>
        <v>45.4546361137628</v>
      </c>
      <c r="L10438" s="38" t="n">
        <f aca="false">((mw_open*ox_open+Sens!$L$10434*Sens!$L$10432)/ext_sh+Sens!$L$10419/ext_sh*rent_mw)*Sens!$L$10420/1000</f>
        <v>51.2855695554452</v>
      </c>
      <c r="M10438" s="38" t="n">
        <f aca="false">((mw_open*ox_open+Sens!$M$10434*Sens!$M$10432)/ext_sh+Sens!$M$10419/ext_sh*rent_mw)*Sens!$M$10420/1000</f>
        <v>54.0722927838398</v>
      </c>
      <c r="N10438" s="38" t="n">
        <f aca="false">Sens!$N$10419/ext_sh*(ox_open+rent_mw)*Sens!$N$10420/1000</f>
        <v>0.84337208901098</v>
      </c>
      <c r="O10438" s="38" t="n">
        <f aca="false">Sens!$O$10419/ext_sh*(ox_open+rent_mw)*Sens!$O$10420/1000</f>
        <v>1.56626245102039</v>
      </c>
    </row>
    <row r="10439" customFormat="false" ht="17.15" hidden="false" customHeight="false" outlineLevel="0" collapsed="false">
      <c r="A10439" s="0" t="s">
        <v>627</v>
      </c>
      <c r="B10439" s="0" t="s">
        <v>86</v>
      </c>
      <c r="C10439" s="38" t="n">
        <f aca="false">Q!$D$7</f>
        <v>107.556</v>
      </c>
      <c r="D10439" s="38" t="n">
        <f aca="false">Q!$E$7</f>
        <v>128.725</v>
      </c>
      <c r="E10439" s="38" t="n">
        <f aca="false">Q!$P$7</f>
        <v>79.819</v>
      </c>
      <c r="N10439" s="38" t="n">
        <f aca="false">Q!$N$7</f>
        <v>60.14</v>
      </c>
      <c r="O10439" s="38" t="n">
        <f aca="false">Q!$O$7</f>
        <v>68.585</v>
      </c>
    </row>
    <row r="10440" customFormat="false" ht="17.15" hidden="false" customHeight="false" outlineLevel="0" collapsed="false">
      <c r="A10440" s="1" t="s">
        <v>628</v>
      </c>
      <c r="B10440" s="8" t="s">
        <v>86</v>
      </c>
      <c r="C10440" s="38" t="n">
        <f aca="false">Sens!$C$10439-Sens!$C$10436</f>
        <v>105.234994643026</v>
      </c>
      <c r="D10440" s="38" t="n">
        <f aca="false">Sens!$D$10439-Sens!$D$10436</f>
        <v>120.021229911349</v>
      </c>
      <c r="E10440" s="38" t="n">
        <f aca="false">Sens!$E$10439-Sens!$E$10436</f>
        <v>71.30864702443</v>
      </c>
      <c r="F10440" s="38" t="n">
        <f aca="false">Sens!$O$10440*(1+Sens!$F$10441)</f>
        <v>71.7692997942464</v>
      </c>
      <c r="G10440" s="38" t="n">
        <f aca="false">Sens!$E$10440+Sens!$F$10440</f>
        <v>143.077946818676</v>
      </c>
      <c r="H10440" s="38" t="n">
        <f aca="false">Sens!$G$10440*(1+Sens!$H$10441)</f>
        <v>161.017077079203</v>
      </c>
      <c r="I10440" s="38" t="n">
        <f aca="false">Sens!$H$10440*(1+Sens!$I$10441)</f>
        <v>178.769759521457</v>
      </c>
      <c r="J10440" s="38" t="n">
        <f aca="false">Sens!$I$10440*(1+Sens!$J$10441)</f>
        <v>195.775538045907</v>
      </c>
      <c r="K10440" s="38" t="n">
        <f aca="false">Sens!$J$10440*(1+Sens!$K$10441)</f>
        <v>211.43758108958</v>
      </c>
      <c r="L10440" s="38" t="n">
        <f aca="false">Sens!$K$10440*(1+Sens!$L$10441)</f>
        <v>228.352587576746</v>
      </c>
      <c r="M10440" s="38" t="n">
        <f aca="false">Sens!$L$10440*(1+Sens!$M$10441)</f>
        <v>246.620794582886</v>
      </c>
      <c r="N10440" s="38" t="n">
        <f aca="false">Sens!$N$10439-Sens!$N$10436</f>
        <v>57.0936804689721</v>
      </c>
      <c r="O10440" s="38" t="n">
        <f aca="false">Sens!$O$10439-Sens!$O$10436</f>
        <v>62.9275494423768</v>
      </c>
      <c r="P10440" s="5" t="s">
        <v>629</v>
      </c>
    </row>
    <row r="10441" customFormat="false" ht="17.15" hidden="false" customHeight="false" outlineLevel="0" collapsed="false">
      <c r="A10441" s="0" t="s">
        <v>630</v>
      </c>
      <c r="B10441" s="0" t="s">
        <v>52</v>
      </c>
      <c r="D10441" s="13" t="n">
        <f aca="false">Sens!$D$10440/Sens!$C$10440-1</f>
        <v>0.140506827776062</v>
      </c>
      <c r="E10441" s="13" t="n">
        <f aca="false">Sens!$E$10440/Sens!$N$10440-1</f>
        <v>0.248976181579029</v>
      </c>
      <c r="F10441" s="13" t="n">
        <f aca="false">Sens!$D$10441</f>
        <v>0.140506827776062</v>
      </c>
      <c r="G10441" s="13" t="n">
        <f aca="false">Sens!$G$10440/Sens!$D$10440-1</f>
        <v>0.19210532106993</v>
      </c>
      <c r="H10441" s="13" t="n">
        <f aca="false">Sens!$F$10441+(g_awso_lt-Sens!$F$10441)*1/4</f>
        <v>0.125380120832046</v>
      </c>
      <c r="I10441" s="13" t="n">
        <f aca="false">Sens!$F$10441+(g_awso_lt-Sens!$F$10441)*2/4</f>
        <v>0.110253413888031</v>
      </c>
      <c r="J10441" s="13" t="n">
        <f aca="false">Sens!$F$10441+(g_awso_lt-Sens!$F$10441)*3/4</f>
        <v>0.0951267069440154</v>
      </c>
      <c r="K10441" s="13" t="n">
        <f aca="false">Sens!$F$10441+(g_awso_lt-Sens!$F$10441)*4/4</f>
        <v>0.08</v>
      </c>
      <c r="L10441" s="13" t="n">
        <f aca="false">g_awso_lt</f>
        <v>0.08</v>
      </c>
      <c r="M10441" s="13" t="n">
        <f aca="false">g_awso_lt</f>
        <v>0.08</v>
      </c>
      <c r="P10441" s="5" t="s">
        <v>631</v>
      </c>
    </row>
    <row r="10442" customFormat="false" ht="17.15" hidden="false" customHeight="false" outlineLevel="0" collapsed="false">
      <c r="A10442" s="1" t="s">
        <v>632</v>
      </c>
    </row>
    <row r="10443" customFormat="false" ht="17.15" hidden="false" customHeight="false" outlineLevel="0" collapsed="false">
      <c r="A10443" s="0" t="s">
        <v>633</v>
      </c>
      <c r="B10443" s="0" t="s">
        <v>86</v>
      </c>
      <c r="F10443" s="38" t="n">
        <f aca="false">cx_rt*Sens!$F$10408+cx_awso*Sens!$F$10440</f>
        <v>34.9734495387866</v>
      </c>
    </row>
    <row r="10444" customFormat="false" ht="17.15" hidden="false" customHeight="false" outlineLevel="0" collapsed="false">
      <c r="A10444" s="0" t="s">
        <v>634</v>
      </c>
      <c r="B10444" s="0" t="s">
        <v>52</v>
      </c>
      <c r="C10444" s="13" t="n">
        <f aca="false">tk_cx_h100/(tk_cx_h100+tk_fac*(1-colo_sh))</f>
        <v>0.730756458006641</v>
      </c>
      <c r="D10444" s="13" t="n">
        <f aca="false">tk_cx_h100/(tk_cx_h100+tk_fac*(1-colo_sh))</f>
        <v>0.730756458006641</v>
      </c>
      <c r="E10444" s="13" t="n">
        <f aca="false">Sens!$F$10444</f>
        <v>0.760792334328868</v>
      </c>
      <c r="F10444" s="13" t="n">
        <f aca="false">Sens!$F$10427/(Sens!$F$10427+tk_fac*(1-colo_sh))</f>
        <v>0.760792334328868</v>
      </c>
      <c r="G10444" s="13" t="n">
        <f aca="false">Sens!$G$10427/(Sens!$G$10427+tk_fac*(1-colo_sh))</f>
        <v>0.760792334328868</v>
      </c>
      <c r="H10444" s="13" t="n">
        <f aca="false">Sens!$H$10427/(Sens!$H$10427+tk_fac*(1-colo_sh))</f>
        <v>0.768110668862996</v>
      </c>
      <c r="I10444" s="13" t="n">
        <f aca="false">Sens!$I$10427/(Sens!$I$10427+tk_fac*(1-colo_sh))</f>
        <v>0.77499450139483</v>
      </c>
      <c r="J10444" s="13" t="n">
        <f aca="false">Sens!$J$10427/(Sens!$J$10427+tk_fac*(1-colo_sh))</f>
        <v>0.77499450139483</v>
      </c>
      <c r="K10444" s="13" t="n">
        <f aca="false">Sens!$K$10427/(Sens!$K$10427+tk_fac*(1-colo_sh))</f>
        <v>0.77499450139483</v>
      </c>
      <c r="L10444" s="13" t="n">
        <f aca="false">Sens!$L$10427/(Sens!$L$10427+tk_fac*(1-colo_sh))</f>
        <v>0.77499450139483</v>
      </c>
      <c r="M10444" s="13" t="n">
        <f aca="false">Sens!$M$10427/(Sens!$M$10427+tk_fac*(1-colo_sh))</f>
        <v>0.77499450139483</v>
      </c>
    </row>
    <row r="10445" customFormat="false" ht="17.15" hidden="false" customHeight="false" outlineLevel="0" collapsed="false">
      <c r="A10445" s="1" t="s">
        <v>635</v>
      </c>
      <c r="B10445" s="8" t="s">
        <v>86</v>
      </c>
      <c r="C10445" s="38" t="n">
        <f aca="false">Q!$D$46-cx_rt*Q!$D$16-cx_awso*Sens!$C$10440</f>
        <v>25.2781053077374</v>
      </c>
      <c r="D10445" s="38" t="n">
        <f aca="false">Q!$E$46-cx_rt*Q!$E$16-cx_awso*Sens!$D$10440</f>
        <v>69.5686316310026</v>
      </c>
      <c r="E10445" s="38" t="n">
        <f aca="false">Q!$P$46-cx_rt*Q!$P$16-cx_awso*Sens!$E$10440</f>
        <v>64.1899206485108</v>
      </c>
      <c r="F10445" s="38" t="n">
        <f aca="false">capex_g26-Q!$P$46-Sens!$F$10443</f>
        <v>88.7165504612134</v>
      </c>
      <c r="G10445" s="38" t="n">
        <f aca="false">Sens!$E$10445+Sens!$F$10445</f>
        <v>152.906471109724</v>
      </c>
      <c r="H10445" s="38" t="n">
        <f aca="false">Sens!$H$10422*(Sens!$H$10427+tk_fac*(1-colo_sh))/1000+Sens!$H$10446</f>
        <v>198.57136494475</v>
      </c>
      <c r="I10445" s="38" t="n">
        <f aca="false">Sens!$I$10422*(Sens!$I$10427+tk_fac*(1-colo_sh))/1000+Sens!$I$10446</f>
        <v>204.6464699105</v>
      </c>
      <c r="J10445" s="38" t="n">
        <f aca="false">Sens!$J$10422*(Sens!$J$10427+tk_fac*(1-colo_sh))/1000+Sens!$J$10446</f>
        <v>209.8832381105</v>
      </c>
      <c r="K10445" s="38" t="n">
        <f aca="false">Sens!$K$10422*(Sens!$K$10427+tk_fac*(1-colo_sh))/1000+Sens!$K$10446</f>
        <v>155.238385275201</v>
      </c>
      <c r="L10445" s="38" t="n">
        <f aca="false">Sens!$L$10422*(Sens!$L$10427+tk_fac*(1-colo_sh))/1000+Sens!$L$10446</f>
        <v>132.014141639902</v>
      </c>
      <c r="M10445" s="38" t="n">
        <f aca="false">Sens!$M$10422*(Sens!$M$10427+tk_fac*(1-colo_sh))/1000+Sens!$M$10446</f>
        <v>132.230981659852</v>
      </c>
      <c r="P10445" s="5" t="s">
        <v>636</v>
      </c>
      <c r="R10445" s="38" t="n">
        <f aca="false">Q!$C$46-cx_rt*Q!$C$16-cx_awso*(Q!$C$7-mw_ye23/2*rpm_open/1000)</f>
        <v>1.50429979529945</v>
      </c>
      <c r="S10445" s="38" t="n">
        <f aca="false">Sens!$C$10445</f>
        <v>25.2781053077374</v>
      </c>
      <c r="T10445" s="38" t="n">
        <f aca="false">Sens!$D$10445</f>
        <v>69.5686316310026</v>
      </c>
      <c r="U10445" s="38" t="n">
        <f aca="false">Sens!$G$10445</f>
        <v>152.906471109724</v>
      </c>
      <c r="V10445" s="38" t="n">
        <f aca="false">Sens!$H$10445</f>
        <v>198.57136494475</v>
      </c>
      <c r="W10445" s="38" t="n">
        <f aca="false">Sens!$I$10445</f>
        <v>204.6464699105</v>
      </c>
      <c r="X10445" s="38" t="n">
        <f aca="false">Sens!$J$10445</f>
        <v>209.8832381105</v>
      </c>
      <c r="Y10445" s="38" t="n">
        <f aca="false">Sens!$K$10445</f>
        <v>155.238385275201</v>
      </c>
      <c r="Z10445" s="38" t="n">
        <f aca="false">Sens!$L$10445</f>
        <v>132.014141639902</v>
      </c>
      <c r="AA10445" s="38" t="n">
        <f aca="false">Sens!$M$10445</f>
        <v>132.230981659852</v>
      </c>
    </row>
    <row r="10446" customFormat="false" ht="17.15" hidden="false" customHeight="false" outlineLevel="0" collapsed="false">
      <c r="A10446" s="0" t="s">
        <v>637</v>
      </c>
      <c r="B10446" s="0" t="s">
        <v>86</v>
      </c>
      <c r="H10446" s="38" t="n">
        <f aca="false">SUMPRODUCT(--(Sens!$R$10415:$AA$10415=2027-tk_life),Sens!$R$10422:$AA$10422)*Sens!$H$10427/1000</f>
        <v>0</v>
      </c>
      <c r="I10446" s="38" t="n">
        <f aca="false">SUMPRODUCT(--(Sens!$R$10415:$AA$10415=2028-tk_life),Sens!$R$10422:$AA$10422)*Sens!$I$10427/1000</f>
        <v>0</v>
      </c>
      <c r="J10446" s="38" t="n">
        <f aca="false">SUMPRODUCT(--(Sens!$R$10415:$AA$10415=2029-tk_life),Sens!$R$10422:$AA$10422)*Sens!$J$10427/1000</f>
        <v>5.2367682</v>
      </c>
      <c r="K10446" s="38" t="n">
        <f aca="false">SUMPRODUCT(--(Sens!$R$10415:$AA$10415=2030-tk_life),Sens!$R$10422:$AA$10422)*Sens!$K$10427/1000</f>
        <v>10.4735364</v>
      </c>
      <c r="L10446" s="38" t="n">
        <f aca="false">SUMPRODUCT(--(Sens!$R$10415:$AA$10415=2031-tk_life),Sens!$R$10422:$AA$10422)*Sens!$L$10427/1000</f>
        <v>47.1309138</v>
      </c>
      <c r="M10446" s="38" t="n">
        <f aca="false">SUMPRODUCT(--(Sens!$R$10415:$AA$10415=2032-tk_life),Sens!$R$10422:$AA$10422)*Sens!$M$10427/1000</f>
        <v>107.22937485525</v>
      </c>
    </row>
    <row r="10447" customFormat="false" ht="17.15" hidden="false" customHeight="false" outlineLevel="0" collapsed="false">
      <c r="A10447" s="0" t="s">
        <v>638</v>
      </c>
      <c r="B10447" s="0" t="s">
        <v>86</v>
      </c>
      <c r="C10447" s="38" t="n">
        <f aca="false">MIN(Sens!$C$10445,Sens!$C$10422*(tk_cx_h100+tk_fac*(1-colo_sh))/1000)</f>
        <v>11.2938642</v>
      </c>
      <c r="D10447" s="38" t="n">
        <f aca="false">MIN(Sens!$D$10445,Sens!$D$10422*(tk_cx_h100+tk_fac*(1-colo_sh))/1000)</f>
        <v>50.8223889</v>
      </c>
      <c r="E10447" s="38" t="n">
        <f aca="false">MIN(Sens!$E$10445,Sens!$E$10422*(Sens!$F$10427+tk_fac*(1-colo_sh))/1000)</f>
        <v>33.8985792</v>
      </c>
      <c r="F10447" s="38" t="n">
        <f aca="false">Sens!$F$10445</f>
        <v>88.7165504612134</v>
      </c>
      <c r="G10447" s="38" t="n">
        <f aca="false">Sens!$E$10447+Sens!$F$10447</f>
        <v>122.615129661213</v>
      </c>
      <c r="H10447" s="38" t="n">
        <f aca="false">Sens!$H$10445</f>
        <v>198.57136494475</v>
      </c>
      <c r="I10447" s="38" t="n">
        <f aca="false">Sens!$I$10445</f>
        <v>204.6464699105</v>
      </c>
      <c r="J10447" s="38" t="n">
        <f aca="false">Sens!$J$10445</f>
        <v>209.8832381105</v>
      </c>
      <c r="K10447" s="38" t="n">
        <f aca="false">Sens!$K$10445</f>
        <v>155.238385275201</v>
      </c>
      <c r="L10447" s="38" t="n">
        <f aca="false">Sens!$L$10445</f>
        <v>132.014141639902</v>
      </c>
      <c r="M10447" s="38" t="n">
        <f aca="false">Sens!$M$10445</f>
        <v>132.230981659852</v>
      </c>
      <c r="P10447" s="5" t="s">
        <v>639</v>
      </c>
      <c r="R10447" s="38" t="n">
        <f aca="false">MIN(Sens!$R$10445,Sens!$R$10422*(tk_cx_h100+tk_fac*(1-colo_sh))/1000)</f>
        <v>1.50429979529945</v>
      </c>
      <c r="S10447" s="38" t="n">
        <f aca="false">Sens!$C$10447</f>
        <v>11.2938642</v>
      </c>
      <c r="T10447" s="38" t="n">
        <f aca="false">Sens!$D$10447</f>
        <v>50.8223889</v>
      </c>
      <c r="U10447" s="38" t="n">
        <f aca="false">Sens!$G$10447</f>
        <v>122.615129661213</v>
      </c>
      <c r="V10447" s="38" t="n">
        <f aca="false">Sens!$H$10447</f>
        <v>198.57136494475</v>
      </c>
      <c r="W10447" s="38" t="n">
        <f aca="false">Sens!$I$10447</f>
        <v>204.6464699105</v>
      </c>
      <c r="X10447" s="38" t="n">
        <f aca="false">Sens!$J$10447</f>
        <v>209.8832381105</v>
      </c>
      <c r="Y10447" s="38" t="n">
        <f aca="false">Sens!$K$10447</f>
        <v>155.238385275201</v>
      </c>
      <c r="Z10447" s="38" t="n">
        <f aca="false">Sens!$L$10447</f>
        <v>132.014141639902</v>
      </c>
      <c r="AA10447" s="38" t="n">
        <f aca="false">Sens!$M$10447</f>
        <v>132.230981659852</v>
      </c>
    </row>
    <row r="10448" customFormat="false" ht="17.15" hidden="false" customHeight="false" outlineLevel="0" collapsed="false">
      <c r="A10448" s="5" t="s">
        <v>640</v>
      </c>
      <c r="B10448" s="0" t="s">
        <v>86</v>
      </c>
      <c r="C10448" s="38" t="n">
        <f aca="false">Sens!$C$10445-Sens!$C$10447</f>
        <v>13.9842411077374</v>
      </c>
      <c r="D10448" s="38" t="n">
        <f aca="false">Sens!$D$10445-Sens!$D$10447</f>
        <v>18.7462427310026</v>
      </c>
      <c r="E10448" s="38" t="n">
        <f aca="false">Sens!$E$10445-Sens!$E$10447</f>
        <v>30.2913414485108</v>
      </c>
      <c r="F10448" s="38" t="n">
        <f aca="false">Sens!$F$10445-Sens!$F$10447</f>
        <v>0</v>
      </c>
      <c r="G10448" s="38" t="n">
        <f aca="false">Sens!$G$10445-Sens!$G$10447</f>
        <v>30.2913414485108</v>
      </c>
      <c r="H10448" s="38" t="n">
        <f aca="false">Sens!$H$10445-Sens!$H$10447</f>
        <v>0</v>
      </c>
      <c r="I10448" s="38" t="n">
        <f aca="false">Sens!$I$10445-Sens!$I$10447</f>
        <v>0</v>
      </c>
      <c r="J10448" s="38" t="n">
        <f aca="false">Sens!$J$10445-Sens!$J$10447</f>
        <v>0</v>
      </c>
      <c r="K10448" s="38" t="n">
        <f aca="false">Sens!$K$10445-Sens!$K$10447</f>
        <v>0</v>
      </c>
      <c r="L10448" s="38" t="n">
        <f aca="false">Sens!$L$10445-Sens!$L$10447</f>
        <v>0</v>
      </c>
      <c r="M10448" s="38" t="n">
        <f aca="false">Sens!$M$10445-Sens!$M$10447</f>
        <v>0</v>
      </c>
      <c r="P10448" s="5" t="s">
        <v>641</v>
      </c>
      <c r="R10448" s="38" t="n">
        <f aca="false">Sens!$R$10445-Sens!$R$10447</f>
        <v>0</v>
      </c>
      <c r="S10448" s="38" t="n">
        <f aca="false">Sens!$S$10445-Sens!$S$10447</f>
        <v>13.9842411077374</v>
      </c>
      <c r="T10448" s="38" t="n">
        <f aca="false">Sens!$T$10445-Sens!$T$10447</f>
        <v>18.7462427310026</v>
      </c>
      <c r="U10448" s="38" t="n">
        <f aca="false">Sens!$U$10445-Sens!$U$10447</f>
        <v>30.2913414485108</v>
      </c>
      <c r="V10448" s="38" t="n">
        <f aca="false">Sens!$V$10445-Sens!$V$10447</f>
        <v>0</v>
      </c>
      <c r="W10448" s="38" t="n">
        <f aca="false">Sens!$W$10445-Sens!$W$10447</f>
        <v>0</v>
      </c>
      <c r="X10448" s="38" t="n">
        <f aca="false">Sens!$X$10445-Sens!$X$10447</f>
        <v>0</v>
      </c>
      <c r="Y10448" s="38" t="n">
        <f aca="false">Sens!$Y$10445-Sens!$Y$10447</f>
        <v>0</v>
      </c>
      <c r="Z10448" s="38" t="n">
        <f aca="false">Sens!$Z$10445-Sens!$Z$10447</f>
        <v>0</v>
      </c>
      <c r="AA10448" s="38" t="n">
        <f aca="false">Sens!$AA$10445-Sens!$AA$10447</f>
        <v>0</v>
      </c>
    </row>
    <row r="10449" customFormat="false" ht="17.15" hidden="false" customHeight="false" outlineLevel="0" collapsed="false">
      <c r="A10449" s="5" t="s">
        <v>642</v>
      </c>
      <c r="B10449" s="0" t="s">
        <v>86</v>
      </c>
      <c r="R10449" s="38" t="n">
        <f aca="false">Sens!$R$10448*Sens!$C$10444</f>
        <v>0</v>
      </c>
      <c r="S10449" s="38" t="n">
        <f aca="false">Sens!$S$10448*Sens!$C$10444</f>
        <v>10.219074499801</v>
      </c>
      <c r="T10449" s="38" t="n">
        <f aca="false">Sens!$T$10448*Sens!$C$10444</f>
        <v>13.6989379390402</v>
      </c>
      <c r="U10449" s="38" t="n">
        <f aca="false">Sens!$U$10448*Sens!$E$10444</f>
        <v>23.0454203705653</v>
      </c>
      <c r="V10449" s="38" t="n">
        <f aca="false">Sens!$V$10448*Sens!$E$10444</f>
        <v>0</v>
      </c>
      <c r="W10449" s="38" t="n">
        <f aca="false">Sens!$W$10448*Sens!$E$10444</f>
        <v>0</v>
      </c>
      <c r="X10449" s="38" t="n">
        <f aca="false">Sens!$X$10448*Sens!$E$10444</f>
        <v>0</v>
      </c>
      <c r="Y10449" s="38" t="n">
        <f aca="false">Sens!$Y$10448*Sens!$E$10444</f>
        <v>0</v>
      </c>
      <c r="Z10449" s="38" t="n">
        <f aca="false">Sens!$Z$10448*Sens!$E$10444</f>
        <v>0</v>
      </c>
      <c r="AA10449" s="38" t="n">
        <f aca="false">Sens!$AA$10448*Sens!$E$10444</f>
        <v>0</v>
      </c>
    </row>
    <row r="10450" customFormat="false" ht="17.15" hidden="false" customHeight="false" outlineLevel="0" collapsed="false">
      <c r="A10450" s="5" t="s">
        <v>643</v>
      </c>
      <c r="B10450" s="0" t="s">
        <v>86</v>
      </c>
      <c r="R10450" s="38" t="n">
        <f aca="false">SUMPRODUCT(--(Sens!$R$10415:$AA$10415=2023-cip_lag),Sens!$R$10449:$AA$10449)</f>
        <v>0</v>
      </c>
      <c r="S10450" s="38" t="n">
        <f aca="false">SUMPRODUCT(--(Sens!$R$10415:$AA$10415=2024-cip_lag),Sens!$R$10449:$AA$10449)</f>
        <v>0</v>
      </c>
      <c r="T10450" s="38" t="n">
        <f aca="false">SUMPRODUCT(--(Sens!$R$10415:$AA$10415=2025-cip_lag),Sens!$R$10449:$AA$10449)</f>
        <v>10.219074499801</v>
      </c>
      <c r="U10450" s="38" t="n">
        <f aca="false">SUMPRODUCT(--(Sens!$R$10415:$AA$10415=2026-cip_lag),Sens!$R$10449:$AA$10449)</f>
        <v>13.6989379390402</v>
      </c>
      <c r="V10450" s="38" t="n">
        <f aca="false">SUMPRODUCT(--(Sens!$R$10415:$AA$10415=2027-cip_lag),Sens!$R$10449:$AA$10449)</f>
        <v>23.0454203705653</v>
      </c>
      <c r="W10450" s="38" t="n">
        <f aca="false">SUMPRODUCT(--(Sens!$R$10415:$AA$10415=2028-cip_lag),Sens!$R$10449:$AA$10449)</f>
        <v>0</v>
      </c>
      <c r="X10450" s="38" t="n">
        <f aca="false">SUMPRODUCT(--(Sens!$R$10415:$AA$10415=2029-cip_lag),Sens!$R$10449:$AA$10449)</f>
        <v>0</v>
      </c>
      <c r="Y10450" s="38" t="n">
        <f aca="false">SUMPRODUCT(--(Sens!$R$10415:$AA$10415=2030-cip_lag),Sens!$R$10449:$AA$10449)</f>
        <v>0</v>
      </c>
      <c r="Z10450" s="38" t="n">
        <f aca="false">SUMPRODUCT(--(Sens!$R$10415:$AA$10415=2031-cip_lag),Sens!$R$10449:$AA$10449)</f>
        <v>0</v>
      </c>
      <c r="AA10450" s="38" t="n">
        <f aca="false">SUMPRODUCT(--(Sens!$R$10415:$AA$10415=2032-cip_lag),Sens!$R$10449:$AA$10449)</f>
        <v>0</v>
      </c>
    </row>
    <row r="10451" customFormat="false" ht="15" hidden="false" customHeight="false" outlineLevel="0" collapsed="false">
      <c r="A10451" s="5" t="s">
        <v>644</v>
      </c>
      <c r="B10451" s="0" t="s">
        <v>86</v>
      </c>
      <c r="R10451" s="38" t="n">
        <f aca="false">SUMPRODUCT(--(Sens!$R$10415:$AA$10415=2023-cip_lag),Sens!$R$10448:$AA$10448)-Sens!$R$10450</f>
        <v>0</v>
      </c>
      <c r="S10451" s="38" t="n">
        <f aca="false">SUMPRODUCT(--(Sens!$R$10415:$AA$10415=2024-cip_lag),Sens!$R$10448:$AA$10448)-Sens!$S$10450</f>
        <v>0</v>
      </c>
      <c r="T10451" s="38" t="n">
        <f aca="false">SUMPRODUCT(--(Sens!$R$10415:$AA$10415=2025-cip_lag),Sens!$R$10448:$AA$10448)-Sens!$T$10450</f>
        <v>3.76516660793636</v>
      </c>
      <c r="U10451" s="38" t="n">
        <f aca="false">SUMPRODUCT(--(Sens!$R$10415:$AA$10415=2026-cip_lag),Sens!$R$10448:$AA$10448)-Sens!$U$10450</f>
        <v>5.04730479196242</v>
      </c>
      <c r="V10451" s="38" t="n">
        <f aca="false">SUMPRODUCT(--(Sens!$R$10415:$AA$10415=2027-cip_lag),Sens!$R$10448:$AA$10448)-Sens!$V$10450</f>
        <v>7.24592107794548</v>
      </c>
      <c r="W10451" s="38" t="n">
        <f aca="false">SUMPRODUCT(--(Sens!$R$10415:$AA$10415=2028-cip_lag),Sens!$R$10448:$AA$10448)-Sens!$W$10450</f>
        <v>0</v>
      </c>
      <c r="X10451" s="38" t="n">
        <f aca="false">SUMPRODUCT(--(Sens!$R$10415:$AA$10415=2029-cip_lag),Sens!$R$10448:$AA$10448)-Sens!$X$10450</f>
        <v>0</v>
      </c>
      <c r="Y10451" s="38" t="n">
        <f aca="false">SUMPRODUCT(--(Sens!$R$10415:$AA$10415=2030-cip_lag),Sens!$R$10448:$AA$10448)-Sens!$Y$10450</f>
        <v>0</v>
      </c>
      <c r="Z10451" s="38" t="n">
        <f aca="false">SUMPRODUCT(--(Sens!$R$10415:$AA$10415=2031-cip_lag),Sens!$R$10448:$AA$10448)-Sens!$Z$10450</f>
        <v>0</v>
      </c>
      <c r="AA10451" s="38" t="n">
        <f aca="false">SUMPRODUCT(--(Sens!$R$10415:$AA$10415=2032-cip_lag),Sens!$R$10448:$AA$10448)-Sens!$AA$10450</f>
        <v>0</v>
      </c>
    </row>
    <row r="10452" customFormat="false" ht="17.15" hidden="false" customHeight="false" outlineLevel="0" collapsed="false">
      <c r="A10452" s="5" t="s">
        <v>645</v>
      </c>
      <c r="B10452" s="0" t="s">
        <v>86</v>
      </c>
      <c r="C10452" s="38" t="n">
        <f aca="false">Sens!$C$10447*Sens!$C$10444</f>
        <v>8.2530642</v>
      </c>
      <c r="D10452" s="38" t="n">
        <f aca="false">Sens!$D$10447*Sens!$D$10444</f>
        <v>37.1387889</v>
      </c>
      <c r="E10452" s="38" t="n">
        <f aca="false">Sens!$E$10447*Sens!$E$10444</f>
        <v>25.7897792</v>
      </c>
      <c r="F10452" s="38" t="n">
        <f aca="false">Sens!$F$10447*Sens!$F$10444</f>
        <v>67.4948715189913</v>
      </c>
      <c r="G10452" s="38" t="n">
        <f aca="false">Sens!$E$10452+Sens!$F$10452</f>
        <v>93.2846507189913</v>
      </c>
      <c r="H10452" s="38" t="n">
        <f aca="false">(Sens!$H$10447-Sens!$H$10446)*Sens!$H$10444+Sens!$H$10446</f>
        <v>152.52478394475</v>
      </c>
      <c r="I10452" s="38" t="n">
        <f aca="false">(Sens!$I$10447-Sens!$I$10446)*Sens!$I$10444+Sens!$I$10446</f>
        <v>158.5998889105</v>
      </c>
      <c r="J10452" s="38" t="n">
        <f aca="false">(Sens!$J$10447-Sens!$J$10446)*Sens!$J$10444+Sens!$J$10446</f>
        <v>163.8366571105</v>
      </c>
      <c r="K10452" s="38" t="n">
        <f aca="false">(Sens!$K$10447-Sens!$K$10446)*Sens!$K$10444+Sens!$K$10446</f>
        <v>122.665498273534</v>
      </c>
      <c r="L10452" s="38" t="n">
        <f aca="false">(Sens!$L$10447-Sens!$L$10446)*Sens!$L$10444+Sens!$L$10446</f>
        <v>112.914948636568</v>
      </c>
      <c r="M10452" s="38" t="n">
        <f aca="false">(Sens!$M$10447-Sens!$M$10446)*Sens!$M$10444+Sens!$M$10446</f>
        <v>126.605482654852</v>
      </c>
      <c r="R10452" s="38" t="n">
        <f aca="false">Sens!$R$10447*Sens!$C$10444</f>
        <v>1.09927679019314</v>
      </c>
      <c r="S10452" s="38" t="n">
        <f aca="false">Sens!$C$10452</f>
        <v>8.2530642</v>
      </c>
      <c r="T10452" s="38" t="n">
        <f aca="false">Sens!$D$10452</f>
        <v>37.1387889</v>
      </c>
      <c r="U10452" s="38" t="n">
        <f aca="false">Sens!$G$10452</f>
        <v>93.2846507189913</v>
      </c>
      <c r="V10452" s="38" t="n">
        <f aca="false">Sens!$H$10452</f>
        <v>152.52478394475</v>
      </c>
      <c r="W10452" s="38" t="n">
        <f aca="false">Sens!$I$10452</f>
        <v>158.5998889105</v>
      </c>
      <c r="X10452" s="38" t="n">
        <f aca="false">Sens!$J$10452</f>
        <v>163.8366571105</v>
      </c>
      <c r="Y10452" s="38" t="n">
        <f aca="false">Sens!$K$10452</f>
        <v>122.665498273534</v>
      </c>
      <c r="Z10452" s="38" t="n">
        <f aca="false">Sens!$L$10452</f>
        <v>112.914948636568</v>
      </c>
      <c r="AA10452" s="38" t="n">
        <f aca="false">Sens!$M$10452</f>
        <v>126.605482654852</v>
      </c>
    </row>
    <row r="10453" customFormat="false" ht="15" hidden="false" customHeight="false" outlineLevel="0" collapsed="false">
      <c r="A10453" s="5" t="s">
        <v>646</v>
      </c>
      <c r="B10453" s="0" t="s">
        <v>86</v>
      </c>
      <c r="C10453" s="38" t="n">
        <f aca="false">Sens!$C$10447-Sens!$C$10452</f>
        <v>3.0408</v>
      </c>
      <c r="D10453" s="38" t="n">
        <f aca="false">Sens!$D$10447-Sens!$D$10452</f>
        <v>13.6836</v>
      </c>
      <c r="E10453" s="38" t="n">
        <f aca="false">Sens!$E$10447-Sens!$E$10452</f>
        <v>8.1088</v>
      </c>
      <c r="F10453" s="38" t="n">
        <f aca="false">Sens!$F$10447-Sens!$F$10452</f>
        <v>21.2216789422221</v>
      </c>
      <c r="G10453" s="38" t="n">
        <f aca="false">Sens!$G$10447-Sens!$G$10452</f>
        <v>29.3304789422221</v>
      </c>
      <c r="H10453" s="38" t="n">
        <f aca="false">Sens!$H$10447-Sens!$H$10452</f>
        <v>46.046581</v>
      </c>
      <c r="I10453" s="38" t="n">
        <f aca="false">Sens!$I$10447-Sens!$I$10452</f>
        <v>46.046581</v>
      </c>
      <c r="J10453" s="38" t="n">
        <f aca="false">Sens!$J$10447-Sens!$J$10452</f>
        <v>46.046581</v>
      </c>
      <c r="K10453" s="38" t="n">
        <f aca="false">Sens!$K$10447-Sens!$K$10452</f>
        <v>32.5728870016667</v>
      </c>
      <c r="L10453" s="38" t="n">
        <f aca="false">Sens!$L$10447-Sens!$L$10452</f>
        <v>19.0991930033334</v>
      </c>
      <c r="M10453" s="38" t="n">
        <f aca="false">Sens!$M$10447-Sens!$M$10452</f>
        <v>5.62549900499998</v>
      </c>
      <c r="R10453" s="38" t="n">
        <f aca="false">Sens!$R$10447-Sens!$R$10452</f>
        <v>0.405023005106309</v>
      </c>
      <c r="S10453" s="38" t="n">
        <f aca="false">Sens!$S$10447-Sens!$S$10452</f>
        <v>3.0408</v>
      </c>
      <c r="T10453" s="38" t="n">
        <f aca="false">Sens!$T$10447-Sens!$T$10452</f>
        <v>13.6836</v>
      </c>
      <c r="U10453" s="38" t="n">
        <f aca="false">Sens!$U$10447-Sens!$U$10452</f>
        <v>29.3304789422221</v>
      </c>
      <c r="V10453" s="38" t="n">
        <f aca="false">Sens!$V$10447-Sens!$V$10452</f>
        <v>46.046581</v>
      </c>
      <c r="W10453" s="38" t="n">
        <f aca="false">Sens!$W$10447-Sens!$W$10452</f>
        <v>46.046581</v>
      </c>
      <c r="X10453" s="38" t="n">
        <f aca="false">Sens!$X$10447-Sens!$X$10452</f>
        <v>46.046581</v>
      </c>
      <c r="Y10453" s="38" t="n">
        <f aca="false">Sens!$Y$10447-Sens!$Y$10452</f>
        <v>32.5728870016667</v>
      </c>
      <c r="Z10453" s="38" t="n">
        <f aca="false">Sens!$Z$10447-Sens!$Z$10452</f>
        <v>19.0991930033334</v>
      </c>
      <c r="AA10453" s="38" t="n">
        <f aca="false">Sens!$AA$10447-Sens!$AA$10452</f>
        <v>5.62549900499998</v>
      </c>
    </row>
    <row r="10454" customFormat="false" ht="17.15" hidden="false" customHeight="false" outlineLevel="0" collapsed="false">
      <c r="A10454" s="0" t="s">
        <v>647</v>
      </c>
      <c r="B10454" s="0" t="s">
        <v>52</v>
      </c>
      <c r="C10454" s="13" t="n">
        <f aca="false">Sens!$C$10445/Sens!$C$10570</f>
        <v>0.325505489553393</v>
      </c>
      <c r="D10454" s="13" t="n">
        <f aca="false">Sens!$D$10445/Sens!$D$10570</f>
        <v>0.54214956071542</v>
      </c>
      <c r="E10454" s="13" t="n">
        <f aca="false">Sens!$E$10445/Sens!$E$10570</f>
        <v>0.666492790452817</v>
      </c>
      <c r="F10454" s="13" t="n">
        <f aca="false">Sens!$F$10445/Sens!$F$10570</f>
        <v>0.71724917504417</v>
      </c>
      <c r="G10454" s="13" t="n">
        <f aca="false">Sens!$G$10445/Sens!$G$10570</f>
        <v>0.69502941413511</v>
      </c>
      <c r="H10454" s="13" t="n">
        <f aca="false">Sens!$H$10445/Sens!$H$10570</f>
        <v>0.726376041178204</v>
      </c>
      <c r="I10454" s="13" t="n">
        <f aca="false">Sens!$I$10445/Sens!$I$10570</f>
        <v>0.713099092661699</v>
      </c>
      <c r="J10454" s="13" t="n">
        <f aca="false">Sens!$J$10445/Sens!$J$10570</f>
        <v>0.701208348786245</v>
      </c>
      <c r="K10454" s="13" t="n">
        <f aca="false">Sens!$K$10445/Sens!$K$10570</f>
        <v>0.618338844562383</v>
      </c>
      <c r="L10454" s="13" t="n">
        <f aca="false">Sens!$L$10445/Sens!$L$10570</f>
        <v>0.562489158462506</v>
      </c>
      <c r="M10454" s="13" t="n">
        <f aca="false">Sens!$M$10445/Sens!$M$10570</f>
        <v>0.545751190895923</v>
      </c>
    </row>
    <row r="10455" customFormat="false" ht="17.15" hidden="false" customHeight="false" outlineLevel="0" collapsed="false">
      <c r="A10455" s="0" t="s">
        <v>648</v>
      </c>
      <c r="B10455" s="0" t="s">
        <v>86</v>
      </c>
      <c r="C10455" s="38" t="n">
        <f aca="false">Sens!$S$10455</f>
        <v>0.183212798365523</v>
      </c>
      <c r="D10455" s="38" t="n">
        <f aca="false">Sens!$T$10455</f>
        <v>1.55872349836552</v>
      </c>
      <c r="E10455" s="38" t="n">
        <f aca="false">Sens!$G$10455/2</f>
        <v>4.72585036583285</v>
      </c>
      <c r="F10455" s="38" t="n">
        <f aca="false">Sens!$G$10455/2</f>
        <v>4.72585036583285</v>
      </c>
      <c r="G10455" s="38" t="n">
        <f aca="false">Sens!$U$10455</f>
        <v>9.4517007316657</v>
      </c>
      <c r="H10455" s="38" t="n">
        <f aca="false">Sens!$V$10455</f>
        <v>27.2822988413376</v>
      </c>
      <c r="I10455" s="38" t="n">
        <f aca="false">Sens!$W$10455</f>
        <v>56.5439995605568</v>
      </c>
      <c r="J10455" s="38" t="n">
        <f aca="false">Sens!$X$10455</f>
        <v>82.9773143789735</v>
      </c>
      <c r="K10455" s="38" t="n">
        <f aca="false">Sens!$Y$10455</f>
        <v>110.100211099025</v>
      </c>
      <c r="L10455" s="38" t="n">
        <f aca="false">Sens!$Z$10455</f>
        <v>129.16895011128</v>
      </c>
      <c r="M10455" s="38" t="n">
        <f aca="false">Sens!$AA$10455</f>
        <v>140.095130984075</v>
      </c>
      <c r="N10455" s="38" t="n">
        <f aca="false">Sens!$D$10455/2</f>
        <v>0.779361749182762</v>
      </c>
      <c r="O10455" s="38" t="n">
        <f aca="false">Sens!$D$10455/2</f>
        <v>0.779361749182762</v>
      </c>
      <c r="R10455" s="38" t="n">
        <f aca="false">(SUMPRODUCT(--(Sens!$R$10415:$AA$10415&lt;Sens!R$10415),--(Sens!$R$10415:$AA$10415&gt;=Sens!R$10415-tk_life),Sens!$R$10452:$AA$10452)+SUMPRODUCT(--(Sens!$R$10415:$AA$10415&lt;Sens!R$10415),--(Sens!$R$10415:$AA$10415&gt;=Sens!R$10415-tk_life),Sens!$R$10450:$AA$10450))/tk_life</f>
        <v>0</v>
      </c>
      <c r="S10455" s="38" t="n">
        <f aca="false">(SUMPRODUCT(--(Sens!$R$10415:$AA$10415&lt;Sens!S$10415),--(Sens!$R$10415:$AA$10415&gt;=Sens!S$10415-tk_life),Sens!$R$10452:$AA$10452)+SUMPRODUCT(--(Sens!$R$10415:$AA$10415&lt;Sens!S$10415),--(Sens!$R$10415:$AA$10415&gt;=Sens!S$10415-tk_life),Sens!$R$10450:$AA$10450))/tk_life</f>
        <v>0.183212798365523</v>
      </c>
      <c r="T10455" s="38" t="n">
        <f aca="false">(SUMPRODUCT(--(Sens!$R$10415:$AA$10415&lt;Sens!T$10415),--(Sens!$R$10415:$AA$10415&gt;=Sens!T$10415-tk_life),Sens!$R$10452:$AA$10452)+SUMPRODUCT(--(Sens!$R$10415:$AA$10415&lt;Sens!T$10415),--(Sens!$R$10415:$AA$10415&gt;=Sens!T$10415-tk_life),Sens!$R$10450:$AA$10450))/tk_life</f>
        <v>1.55872349836552</v>
      </c>
      <c r="U10455" s="38" t="n">
        <f aca="false">(SUMPRODUCT(--(Sens!$R$10415:$AA$10415&lt;Sens!U$10415),--(Sens!$R$10415:$AA$10415&gt;=Sens!U$10415-tk_life),Sens!$R$10452:$AA$10452)+SUMPRODUCT(--(Sens!$R$10415:$AA$10415&lt;Sens!U$10415),--(Sens!$R$10415:$AA$10415&gt;=Sens!U$10415-tk_life),Sens!$R$10450:$AA$10450))/tk_life</f>
        <v>9.4517007316657</v>
      </c>
      <c r="V10455" s="38" t="n">
        <f aca="false">(SUMPRODUCT(--(Sens!$R$10415:$AA$10415&lt;Sens!V$10415),--(Sens!$R$10415:$AA$10415&gt;=Sens!V$10415-tk_life),Sens!$R$10452:$AA$10452)+SUMPRODUCT(--(Sens!$R$10415:$AA$10415&lt;Sens!V$10415),--(Sens!$R$10415:$AA$10415&gt;=Sens!V$10415-tk_life),Sens!$R$10450:$AA$10450))/tk_life</f>
        <v>27.2822988413376</v>
      </c>
      <c r="W10455" s="38" t="n">
        <f aca="false">(SUMPRODUCT(--(Sens!$R$10415:$AA$10415&lt;Sens!W$10415),--(Sens!$R$10415:$AA$10415&gt;=Sens!W$10415-tk_life),Sens!$R$10452:$AA$10452)+SUMPRODUCT(--(Sens!$R$10415:$AA$10415&lt;Sens!W$10415),--(Sens!$R$10415:$AA$10415&gt;=Sens!W$10415-tk_life),Sens!$R$10450:$AA$10450))/tk_life</f>
        <v>56.5439995605568</v>
      </c>
      <c r="X10455" s="38" t="n">
        <f aca="false">(SUMPRODUCT(--(Sens!$R$10415:$AA$10415&lt;Sens!X$10415),--(Sens!$R$10415:$AA$10415&gt;=Sens!X$10415-tk_life),Sens!$R$10452:$AA$10452)+SUMPRODUCT(--(Sens!$R$10415:$AA$10415&lt;Sens!X$10415),--(Sens!$R$10415:$AA$10415&gt;=Sens!X$10415-tk_life),Sens!$R$10450:$AA$10450))/tk_life</f>
        <v>82.9773143789735</v>
      </c>
      <c r="Y10455" s="38" t="n">
        <f aca="false">(SUMPRODUCT(--(Sens!$R$10415:$AA$10415&lt;Sens!Y$10415),--(Sens!$R$10415:$AA$10415&gt;=Sens!Y$10415-tk_life),Sens!$R$10452:$AA$10452)+SUMPRODUCT(--(Sens!$R$10415:$AA$10415&lt;Sens!Y$10415),--(Sens!$R$10415:$AA$10415&gt;=Sens!Y$10415-tk_life),Sens!$R$10450:$AA$10450))/tk_life</f>
        <v>110.100211099025</v>
      </c>
      <c r="Z10455" s="38" t="n">
        <f aca="false">(SUMPRODUCT(--(Sens!$R$10415:$AA$10415&lt;Sens!Z$10415),--(Sens!$R$10415:$AA$10415&gt;=Sens!Z$10415-tk_life),Sens!$R$10452:$AA$10452)+SUMPRODUCT(--(Sens!$R$10415:$AA$10415&lt;Sens!Z$10415),--(Sens!$R$10415:$AA$10415&gt;=Sens!Z$10415-tk_life),Sens!$R$10450:$AA$10450))/tk_life</f>
        <v>129.16895011128</v>
      </c>
      <c r="AA10455" s="38" t="n">
        <f aca="false">(SUMPRODUCT(--(Sens!$R$10415:$AA$10415&lt;Sens!AA$10415),--(Sens!$R$10415:$AA$10415&gt;=Sens!AA$10415-tk_life),Sens!$R$10452:$AA$10452)+SUMPRODUCT(--(Sens!$R$10415:$AA$10415&lt;Sens!AA$10415),--(Sens!$R$10415:$AA$10415&gt;=Sens!AA$10415-tk_life),Sens!$R$10450:$AA$10450))/tk_life</f>
        <v>140.095130984075</v>
      </c>
    </row>
    <row r="10456" customFormat="false" ht="17.15" hidden="false" customHeight="false" outlineLevel="0" collapsed="false">
      <c r="A10456" s="0" t="s">
        <v>649</v>
      </c>
      <c r="B10456" s="0" t="s">
        <v>86</v>
      </c>
      <c r="C10456" s="38" t="n">
        <f aca="false">Sens!$S$10456</f>
        <v>0.0202511502553155</v>
      </c>
      <c r="D10456" s="38" t="n">
        <f aca="false">Sens!$T$10456</f>
        <v>0.172291150255315</v>
      </c>
      <c r="E10456" s="38" t="n">
        <f aca="false">Sens!$G$10456/2</f>
        <v>0.522364740326067</v>
      </c>
      <c r="F10456" s="38" t="n">
        <f aca="false">Sens!$G$10456/2</f>
        <v>0.522364740326067</v>
      </c>
      <c r="G10456" s="38" t="n">
        <f aca="false">Sens!$U$10456</f>
        <v>1.04472948065213</v>
      </c>
      <c r="H10456" s="38" t="n">
        <f aca="false">Sens!$V$10456</f>
        <v>2.76361866736136</v>
      </c>
      <c r="I10456" s="38" t="n">
        <f aca="false">Sens!$W$10456</f>
        <v>5.42824377125863</v>
      </c>
      <c r="J10456" s="38" t="n">
        <f aca="false">Sens!$X$10456</f>
        <v>7.73057282125864</v>
      </c>
      <c r="K10456" s="38" t="n">
        <f aca="false">Sens!$Y$10456</f>
        <v>10.0329018712586</v>
      </c>
      <c r="L10456" s="38" t="n">
        <f aca="false">Sens!$Z$10456</f>
        <v>11.661546221342</v>
      </c>
      <c r="M10456" s="38" t="n">
        <f aca="false">Sens!$AA$10456</f>
        <v>12.6165058715086</v>
      </c>
      <c r="N10456" s="38" t="n">
        <f aca="false">Sens!$D$10456/2</f>
        <v>0.0861455751276577</v>
      </c>
      <c r="O10456" s="38" t="n">
        <f aca="false">Sens!$D$10456/2</f>
        <v>0.0861455751276577</v>
      </c>
      <c r="R10456" s="38" t="n">
        <f aca="false">(SUMPRODUCT(--(Sens!$R$10415:$AA$10415&lt;Sens!R$10415),Sens!$R$10453:$AA$10453)+SUMPRODUCT(--(Sens!$R$10415:$AA$10415&lt;Sens!R$10415),Sens!$R$10451:$AA$10451))/fac_life</f>
        <v>0</v>
      </c>
      <c r="S10456" s="38" t="n">
        <f aca="false">(SUMPRODUCT(--(Sens!$R$10415:$AA$10415&lt;Sens!S$10415),Sens!$R$10453:$AA$10453)+SUMPRODUCT(--(Sens!$R$10415:$AA$10415&lt;Sens!S$10415),Sens!$R$10451:$AA$10451))/fac_life</f>
        <v>0.0202511502553155</v>
      </c>
      <c r="T10456" s="38" t="n">
        <f aca="false">(SUMPRODUCT(--(Sens!$R$10415:$AA$10415&lt;Sens!T$10415),Sens!$R$10453:$AA$10453)+SUMPRODUCT(--(Sens!$R$10415:$AA$10415&lt;Sens!T$10415),Sens!$R$10451:$AA$10451))/fac_life</f>
        <v>0.172291150255315</v>
      </c>
      <c r="U10456" s="38" t="n">
        <f aca="false">(SUMPRODUCT(--(Sens!$R$10415:$AA$10415&lt;Sens!U$10415),Sens!$R$10453:$AA$10453)+SUMPRODUCT(--(Sens!$R$10415:$AA$10415&lt;Sens!U$10415),Sens!$R$10451:$AA$10451))/fac_life</f>
        <v>1.04472948065213</v>
      </c>
      <c r="V10456" s="38" t="n">
        <f aca="false">(SUMPRODUCT(--(Sens!$R$10415:$AA$10415&lt;Sens!V$10415),Sens!$R$10453:$AA$10453)+SUMPRODUCT(--(Sens!$R$10415:$AA$10415&lt;Sens!V$10415),Sens!$R$10451:$AA$10451))/fac_life</f>
        <v>2.76361866736136</v>
      </c>
      <c r="W10456" s="38" t="n">
        <f aca="false">(SUMPRODUCT(--(Sens!$R$10415:$AA$10415&lt;Sens!W$10415),Sens!$R$10453:$AA$10453)+SUMPRODUCT(--(Sens!$R$10415:$AA$10415&lt;Sens!W$10415),Sens!$R$10451:$AA$10451))/fac_life</f>
        <v>5.42824377125863</v>
      </c>
      <c r="X10456" s="38" t="n">
        <f aca="false">(SUMPRODUCT(--(Sens!$R$10415:$AA$10415&lt;Sens!X$10415),Sens!$R$10453:$AA$10453)+SUMPRODUCT(--(Sens!$R$10415:$AA$10415&lt;Sens!X$10415),Sens!$R$10451:$AA$10451))/fac_life</f>
        <v>7.73057282125864</v>
      </c>
      <c r="Y10456" s="38" t="n">
        <f aca="false">(SUMPRODUCT(--(Sens!$R$10415:$AA$10415&lt;Sens!Y$10415),Sens!$R$10453:$AA$10453)+SUMPRODUCT(--(Sens!$R$10415:$AA$10415&lt;Sens!Y$10415),Sens!$R$10451:$AA$10451))/fac_life</f>
        <v>10.0329018712586</v>
      </c>
      <c r="Z10456" s="38" t="n">
        <f aca="false">(SUMPRODUCT(--(Sens!$R$10415:$AA$10415&lt;Sens!Z$10415),Sens!$R$10453:$AA$10453)+SUMPRODUCT(--(Sens!$R$10415:$AA$10415&lt;Sens!Z$10415),Sens!$R$10451:$AA$10451))/fac_life</f>
        <v>11.661546221342</v>
      </c>
      <c r="AA10456" s="38" t="n">
        <f aca="false">(SUMPRODUCT(--(Sens!$R$10415:$AA$10415&lt;Sens!AA$10415),Sens!$R$10453:$AA$10453)+SUMPRODUCT(--(Sens!$R$10415:$AA$10415&lt;Sens!AA$10415),Sens!$R$10451:$AA$10451))/fac_life</f>
        <v>12.6165058715086</v>
      </c>
    </row>
    <row r="10457" customFormat="false" ht="17.15" hidden="false" customHeight="false" outlineLevel="0" collapsed="false">
      <c r="A10457" s="1" t="s">
        <v>650</v>
      </c>
      <c r="B10457" s="8" t="s">
        <v>86</v>
      </c>
      <c r="C10457" s="38" t="n">
        <f aca="false">Sens!$C$10455+Sens!$C$10456</f>
        <v>0.203463948620839</v>
      </c>
      <c r="D10457" s="38" t="n">
        <f aca="false">Sens!$D$10455+Sens!$D$10456</f>
        <v>1.73101464862084</v>
      </c>
      <c r="E10457" s="38" t="n">
        <f aca="false">Sens!$E$10455+Sens!$E$10456</f>
        <v>5.24821510615892</v>
      </c>
      <c r="F10457" s="38" t="n">
        <f aca="false">Sens!$F$10455+Sens!$F$10456</f>
        <v>5.24821510615892</v>
      </c>
      <c r="G10457" s="38" t="n">
        <f aca="false">Sens!$G$10455+Sens!$G$10456</f>
        <v>10.4964302123178</v>
      </c>
      <c r="H10457" s="38" t="n">
        <f aca="false">Sens!$H$10455+Sens!$H$10456</f>
        <v>30.045917508699</v>
      </c>
      <c r="I10457" s="38" t="n">
        <f aca="false">Sens!$I$10455+Sens!$I$10456</f>
        <v>61.9722433318155</v>
      </c>
      <c r="J10457" s="38" t="n">
        <f aca="false">Sens!$J$10455+Sens!$J$10456</f>
        <v>90.7078872002321</v>
      </c>
      <c r="K10457" s="38" t="n">
        <f aca="false">Sens!$K$10455+Sens!$K$10456</f>
        <v>120.133112970283</v>
      </c>
      <c r="L10457" s="38" t="n">
        <f aca="false">Sens!$L$10455+Sens!$L$10456</f>
        <v>140.830496332622</v>
      </c>
      <c r="M10457" s="38" t="n">
        <f aca="false">Sens!$M$10455+Sens!$M$10456</f>
        <v>152.711636855584</v>
      </c>
      <c r="N10457" s="38" t="n">
        <f aca="false">Sens!$N$10455+Sens!$N$10456</f>
        <v>0.865507324310419</v>
      </c>
      <c r="O10457" s="38" t="n">
        <f aca="false">Sens!$O$10455+Sens!$O$10456</f>
        <v>0.865507324310419</v>
      </c>
      <c r="R10457" s="38" t="n">
        <f aca="false">Sens!$R$10455+Sens!$R$10456</f>
        <v>0</v>
      </c>
      <c r="S10457" s="38" t="n">
        <f aca="false">Sens!$S$10455+Sens!$S$10456</f>
        <v>0.203463948620839</v>
      </c>
      <c r="T10457" s="38" t="n">
        <f aca="false">Sens!$T$10455+Sens!$T$10456</f>
        <v>1.73101464862084</v>
      </c>
      <c r="U10457" s="38" t="n">
        <f aca="false">Sens!$U$10455+Sens!$U$10456</f>
        <v>10.4964302123178</v>
      </c>
      <c r="V10457" s="38" t="n">
        <f aca="false">Sens!$V$10455+Sens!$V$10456</f>
        <v>30.045917508699</v>
      </c>
      <c r="W10457" s="38" t="n">
        <f aca="false">Sens!$W$10455+Sens!$W$10456</f>
        <v>61.9722433318155</v>
      </c>
      <c r="X10457" s="38" t="n">
        <f aca="false">Sens!$X$10455+Sens!$X$10456</f>
        <v>90.7078872002321</v>
      </c>
      <c r="Y10457" s="38" t="n">
        <f aca="false">Sens!$Y$10455+Sens!$Y$10456</f>
        <v>120.133112970283</v>
      </c>
      <c r="Z10457" s="38" t="n">
        <f aca="false">Sens!$Z$10455+Sens!$Z$10456</f>
        <v>140.830496332622</v>
      </c>
      <c r="AA10457" s="38" t="n">
        <f aca="false">Sens!$AA$10455+Sens!$AA$10456</f>
        <v>152.711636855584</v>
      </c>
    </row>
    <row r="10458" customFormat="false" ht="17.15" hidden="false" customHeight="false" outlineLevel="0" collapsed="false">
      <c r="A10458" s="0" t="s">
        <v>651</v>
      </c>
      <c r="B10458" s="0" t="s">
        <v>86</v>
      </c>
      <c r="C10458" s="38" t="n">
        <f aca="false">Sens!$S$10458</f>
        <v>26.578941154416</v>
      </c>
      <c r="D10458" s="38" t="n">
        <f aca="false">Sens!$T$10458</f>
        <v>94.4165581367978</v>
      </c>
      <c r="G10458" s="38" t="n">
        <f aca="false">Sens!$U$10458</f>
        <v>236.826599034204</v>
      </c>
      <c r="H10458" s="38" t="n">
        <f aca="false">Sens!$V$10458</f>
        <v>405.352046470255</v>
      </c>
      <c r="I10458" s="38" t="n">
        <f aca="false">Sens!$W$10458</f>
        <v>548.02627304894</v>
      </c>
      <c r="J10458" s="38" t="n">
        <f aca="false">Sens!$X$10458</f>
        <v>667.201623959208</v>
      </c>
      <c r="K10458" s="38" t="n">
        <f aca="false">Sens!$Y$10458</f>
        <v>702.306896264125</v>
      </c>
      <c r="L10458" s="38" t="n">
        <f aca="false">Sens!$Z$10458</f>
        <v>693.490541571405</v>
      </c>
      <c r="M10458" s="38" t="n">
        <f aca="false">Sens!$AA$10458</f>
        <v>673.009886375674</v>
      </c>
      <c r="R10458" s="38" t="n">
        <f aca="false">SUM(Sens!$R$10445:$R$10445)-SUM(Sens!$R$10457:$R$10457)</f>
        <v>1.50429979529945</v>
      </c>
      <c r="S10458" s="38" t="n">
        <f aca="false">SUM(Sens!$R$10445:$S$10445)-SUM(Sens!$R$10457:$S$10457)</f>
        <v>26.578941154416</v>
      </c>
      <c r="T10458" s="38" t="n">
        <f aca="false">SUM(Sens!$R$10445:$T$10445)-SUM(Sens!$R$10457:$T$10457)</f>
        <v>94.4165581367978</v>
      </c>
      <c r="U10458" s="38" t="n">
        <f aca="false">SUM(Sens!$R$10445:$U$10445)-SUM(Sens!$R$10457:$U$10457)</f>
        <v>236.826599034204</v>
      </c>
      <c r="V10458" s="38" t="n">
        <f aca="false">SUM(Sens!$R$10445:$V$10445)-SUM(Sens!$R$10457:$V$10457)</f>
        <v>405.352046470255</v>
      </c>
      <c r="W10458" s="38" t="n">
        <f aca="false">SUM(Sens!$R$10445:$W$10445)-SUM(Sens!$R$10457:$W$10457)</f>
        <v>548.02627304894</v>
      </c>
      <c r="X10458" s="38" t="n">
        <f aca="false">SUM(Sens!$R$10445:$X$10445)-SUM(Sens!$R$10457:$X$10457)</f>
        <v>667.201623959208</v>
      </c>
      <c r="Y10458" s="38" t="n">
        <f aca="false">SUM(Sens!$R$10445:$Y$10445)-SUM(Sens!$R$10457:$Y$10457)</f>
        <v>702.306896264125</v>
      </c>
      <c r="Z10458" s="38" t="n">
        <f aca="false">SUM(Sens!$R$10445:$Z$10445)-SUM(Sens!$R$10457:$Z$10457)</f>
        <v>693.490541571405</v>
      </c>
      <c r="AA10458" s="38" t="n">
        <f aca="false">SUM(Sens!$R$10445:$AA$10445)-SUM(Sens!$R$10457:$AA$10457)</f>
        <v>673.009886375674</v>
      </c>
    </row>
    <row r="10459" customFormat="false" ht="17.15" hidden="false" customHeight="false" outlineLevel="0" collapsed="false">
      <c r="A10459" s="1" t="s">
        <v>652</v>
      </c>
    </row>
    <row r="10460" customFormat="false" ht="17.15" hidden="false" customHeight="false" outlineLevel="0" collapsed="false">
      <c r="A10460" s="0" t="s">
        <v>653</v>
      </c>
      <c r="B10460" s="0" t="s">
        <v>86</v>
      </c>
      <c r="C10460" s="38" t="n">
        <f aca="false">Sens!$C$10436-ext_sh*Sens!$C$10438</f>
        <v>1.80694998843362</v>
      </c>
      <c r="D10460" s="38" t="n">
        <f aca="false">Sens!$D$10436-ext_sh*Sens!$D$10438</f>
        <v>6.77606245662607</v>
      </c>
      <c r="E10460" s="38" t="n">
        <f aca="false">Sens!$E$10436-ext_sh*Sens!$E$10438</f>
        <v>6.62548329092326</v>
      </c>
      <c r="F10460" s="38" t="n">
        <f aca="false">Sens!$F$10436-ext_sh*Sens!$F$10438</f>
        <v>11.7200577158706</v>
      </c>
      <c r="G10460" s="38" t="n">
        <f aca="false">Sens!$G$10436-ext_sh*Sens!$G$10438</f>
        <v>18.3455410067939</v>
      </c>
      <c r="H10460" s="38" t="n">
        <f aca="false">Sens!$H$10436-ext_sh*Sens!$H$10438</f>
        <v>47.5171727060453</v>
      </c>
      <c r="I10460" s="38" t="n">
        <f aca="false">Sens!$I$10436-ext_sh*Sens!$I$10438</f>
        <v>80.5539692643667</v>
      </c>
      <c r="J10460" s="38" t="n">
        <f aca="false">Sens!$J$10436-ext_sh*Sens!$J$10438</f>
        <v>113.759316834883</v>
      </c>
      <c r="K10460" s="38" t="n">
        <f aca="false">Sens!$K$10436-ext_sh*Sens!$K$10438</f>
        <v>142.084411492169</v>
      </c>
      <c r="L10460" s="38" t="n">
        <f aca="false">Sens!$L$10436-ext_sh*Sens!$L$10438</f>
        <v>160.69964615804</v>
      </c>
      <c r="M10460" s="38" t="n">
        <f aca="false">Sens!$M$10436-ext_sh*Sens!$M$10438</f>
        <v>169.577607141793</v>
      </c>
      <c r="N10460" s="38" t="n">
        <f aca="false">Sens!$N$10436-ext_sh*Sens!$N$10438</f>
        <v>2.37162185981912</v>
      </c>
      <c r="O10460" s="38" t="n">
        <f aca="false">Sens!$O$10436-ext_sh*Sens!$O$10438</f>
        <v>4.40444059680694</v>
      </c>
    </row>
    <row r="10461" customFormat="false" ht="17.15" hidden="false" customHeight="false" outlineLevel="0" collapsed="false">
      <c r="A10461" s="1" t="s">
        <v>654</v>
      </c>
      <c r="B10461" s="8" t="s">
        <v>86</v>
      </c>
      <c r="C10461" s="38" t="n">
        <f aca="false">Sens!$C$10460-ext_sh*Sens!$C$10457</f>
        <v>1.64417882953695</v>
      </c>
      <c r="D10461" s="38" t="n">
        <f aca="false">Sens!$D$10460-ext_sh*Sens!$D$10457</f>
        <v>5.39125073772939</v>
      </c>
      <c r="E10461" s="38" t="n">
        <f aca="false">Sens!$E$10460-ext_sh*Sens!$E$10457</f>
        <v>2.42691120599613</v>
      </c>
      <c r="F10461" s="38" t="n">
        <f aca="false">Sens!$F$10460-ext_sh*Sens!$F$10457</f>
        <v>7.52148563094346</v>
      </c>
      <c r="G10461" s="38" t="n">
        <f aca="false">Sens!$G$10460-ext_sh*Sens!$G$10457</f>
        <v>9.94839683693959</v>
      </c>
      <c r="H10461" s="38" t="n">
        <f aca="false">Sens!$H$10460-ext_sh*Sens!$H$10457</f>
        <v>23.4804386990861</v>
      </c>
      <c r="I10461" s="38" t="n">
        <f aca="false">Sens!$I$10460-ext_sh*Sens!$I$10457</f>
        <v>30.9761745989143</v>
      </c>
      <c r="J10461" s="38" t="n">
        <f aca="false">Sens!$J$10460-ext_sh*Sens!$J$10457</f>
        <v>41.1930070746977</v>
      </c>
      <c r="K10461" s="38" t="n">
        <f aca="false">Sens!$K$10460-ext_sh*Sens!$K$10457</f>
        <v>45.9779211159428</v>
      </c>
      <c r="L10461" s="38" t="n">
        <f aca="false">Sens!$L$10460-ext_sh*Sens!$L$10457</f>
        <v>48.0352490919424</v>
      </c>
      <c r="M10461" s="38" t="n">
        <f aca="false">Sens!$M$10460-ext_sh*Sens!$M$10457</f>
        <v>47.4082976573265</v>
      </c>
      <c r="N10461" s="38" t="n">
        <f aca="false">Sens!$N$10460-ext_sh*Sens!$N$10457</f>
        <v>1.67921600037079</v>
      </c>
      <c r="O10461" s="38" t="n">
        <f aca="false">Sens!$O$10460-ext_sh*Sens!$O$10457</f>
        <v>3.71203473735861</v>
      </c>
    </row>
    <row r="10462" customFormat="false" ht="17.15" hidden="false" customHeight="false" outlineLevel="0" collapsed="false">
      <c r="A10462" s="0" t="s">
        <v>655</v>
      </c>
      <c r="B10462" s="0" t="s">
        <v>52</v>
      </c>
      <c r="C10462" s="13" t="n">
        <f aca="false">Sens!$C$10461/Sens!$C$10436</f>
        <v>0.708390794789371</v>
      </c>
      <c r="D10462" s="13" t="n">
        <f aca="false">Sens!$D$10461/Sens!$D$10436</f>
        <v>0.619415573115729</v>
      </c>
      <c r="E10462" s="13" t="n">
        <f aca="false">Sens!$E$10461/Sens!$E$10436</f>
        <v>0.285171627189009</v>
      </c>
      <c r="F10462" s="13" t="n">
        <f aca="false">Sens!$F$10461/Sens!$F$10436</f>
        <v>0.502657732812366</v>
      </c>
      <c r="G10462" s="13" t="n">
        <f aca="false">Sens!$G$10461/Sens!$G$10436</f>
        <v>0.423808778611812</v>
      </c>
      <c r="H10462" s="13" t="n">
        <f aca="false">Sens!$H$10461/Sens!$H$10436</f>
        <v>0.390261631739809</v>
      </c>
      <c r="I10462" s="13" t="n">
        <f aca="false">Sens!$I$10461/Sens!$I$10436</f>
        <v>0.305172864264572</v>
      </c>
      <c r="J10462" s="13" t="n">
        <f aca="false">Sens!$J$10461/Sens!$J$10436</f>
        <v>0.288011814789856</v>
      </c>
      <c r="K10462" s="13" t="n">
        <f aca="false">Sens!$K$10461/Sens!$K$10436</f>
        <v>0.25765427518774</v>
      </c>
      <c r="L10462" s="13" t="n">
        <f aca="false">Sens!$L$10461/Sens!$L$10436</f>
        <v>0.238118778012374</v>
      </c>
      <c r="M10462" s="13" t="n">
        <f aca="false">Sens!$M$10461/Sens!$M$10436</f>
        <v>0.222746255757109</v>
      </c>
      <c r="N10462" s="13" t="n">
        <f aca="false">Sens!$N$10461/Sens!$N$10436</f>
        <v>0.551227795793364</v>
      </c>
      <c r="O10462" s="13" t="n">
        <f aca="false">Sens!$O$10461/Sens!$O$10436</f>
        <v>0.656132068597002</v>
      </c>
    </row>
    <row r="10463" customFormat="false" ht="17.15" hidden="false" customHeight="false" outlineLevel="0" collapsed="false">
      <c r="A10463" s="5" t="s">
        <v>656</v>
      </c>
      <c r="B10463" s="0" t="s">
        <v>86</v>
      </c>
      <c r="C10463" s="39" t="n">
        <v>0</v>
      </c>
      <c r="D10463" s="39" t="n">
        <v>0</v>
      </c>
      <c r="E10463" s="39" t="n">
        <v>0</v>
      </c>
      <c r="F10463" s="38" t="n">
        <f aca="false">IF(internal_ai_reading=2,1,0)*(1-ext_sh)/ext_sh*(mw_open*he_open+Sens!$F$10434*Sens!$F$10431)*Sens!$F$10420/1000</f>
        <v>3.77122048175818</v>
      </c>
      <c r="G10463" s="38" t="n">
        <f aca="false">Sens!$E$10463+Sens!$F$10463</f>
        <v>3.77122048175818</v>
      </c>
      <c r="H10463" s="38" t="n">
        <f aca="false">IF(internal_ai_reading=2,1,0)*(1-ext_sh)/ext_sh*(mw_open*he_open+Sens!$H$10434*Sens!$H$10431)*Sens!$H$10420/1000</f>
        <v>15.1635543609893</v>
      </c>
      <c r="I10463" s="38" t="n">
        <f aca="false">IF(internal_ai_reading=2,1,0)*(1-ext_sh)/ext_sh*(mw_open*he_open+Sens!$I$10434*Sens!$I$10431)*Sens!$I$10420/1000</f>
        <v>25.5818843619889</v>
      </c>
      <c r="J10463" s="38" t="n">
        <f aca="false">IF(internal_ai_reading=2,1,0)*(1-ext_sh)/ext_sh*(mw_open*he_open+Sens!$J$10434*Sens!$J$10431)*Sens!$J$10420/1000</f>
        <v>36.0465624179122</v>
      </c>
      <c r="K10463" s="38" t="n">
        <f aca="false">IF(internal_ai_reading=2,1,0)*(1-ext_sh)/ext_sh*(mw_open*he_open+Sens!$K$10434*Sens!$K$10431)*Sens!$K$10420/1000</f>
        <v>44.9741164026038</v>
      </c>
      <c r="L10463" s="38" t="n">
        <f aca="false">IF(internal_ai_reading=2,1,0)*(1-ext_sh)/ext_sh*(mw_open*he_open+Sens!$L$10434*Sens!$L$10431)*Sens!$L$10420/1000</f>
        <v>50.8413488057813</v>
      </c>
      <c r="M10463" s="38" t="n">
        <f aca="false">IF(internal_ai_reading=2,1,0)*(1-ext_sh)/ext_sh*(mw_open*he_open+Sens!$M$10434*Sens!$M$10431)*Sens!$M$10420/1000</f>
        <v>53.6407214274315</v>
      </c>
      <c r="N10463" s="39" t="n">
        <v>0</v>
      </c>
      <c r="O10463" s="39" t="n">
        <v>0</v>
      </c>
      <c r="P10463" s="8" t="s">
        <v>657</v>
      </c>
    </row>
    <row r="10464" customFormat="false" ht="17.15" hidden="false" customHeight="false" outlineLevel="0" collapsed="false">
      <c r="A10464" s="5" t="s">
        <v>658</v>
      </c>
      <c r="B10464" s="0" t="s">
        <v>86</v>
      </c>
      <c r="C10464" s="38" t="n">
        <f aca="false">(1-ext_sh)*(Sens!$C$10438+Sens!$C$10457)</f>
        <v>0.169206631859174</v>
      </c>
      <c r="D10464" s="38" t="n">
        <f aca="false">(1-ext_sh)*(Sens!$D$10438+Sens!$D$10457)</f>
        <v>0.828129837730442</v>
      </c>
      <c r="E10464" s="38" t="n">
        <f aca="false">(1-ext_sh)*(Sens!$E$10438+Sens!$E$10457)</f>
        <v>1.52086044239347</v>
      </c>
      <c r="F10464" s="38" t="n">
        <f aca="false">(1-ext_sh)*(Sens!$F$10438+Sens!$F$10457)</f>
        <v>1.86048700344425</v>
      </c>
      <c r="G10464" s="38" t="n">
        <f aca="false">(1-ext_sh)*(Sens!$G$10438+Sens!$G$10457)</f>
        <v>3.38134744583772</v>
      </c>
      <c r="H10464" s="38" t="n">
        <f aca="false">(1-ext_sh)*(Sens!$H$10438+Sens!$H$10457)</f>
        <v>9.17136301267211</v>
      </c>
      <c r="I10464" s="38" t="n">
        <f aca="false">(1-ext_sh)*(Sens!$I$10438+Sens!$I$10457)</f>
        <v>17.6318811343794</v>
      </c>
      <c r="J10464" s="38" t="n">
        <f aca="false">(1-ext_sh)*(Sens!$J$10438+Sens!$J$10457)</f>
        <v>25.4581000191451</v>
      </c>
      <c r="K10464" s="38" t="n">
        <f aca="false">(1-ext_sh)*(Sens!$K$10438+Sens!$K$10457)</f>
        <v>33.1175498168092</v>
      </c>
      <c r="L10464" s="38" t="n">
        <f aca="false">(1-ext_sh)*(Sens!$L$10438+Sens!$L$10457)</f>
        <v>38.4232131776135</v>
      </c>
      <c r="M10464" s="38" t="n">
        <f aca="false">(1-ext_sh)*(Sens!$M$10438+Sens!$M$10457)</f>
        <v>41.3567859278847</v>
      </c>
      <c r="N10464" s="38" t="n">
        <f aca="false">(1-ext_sh)*(Sens!$N$10438+Sens!$N$10457)</f>
        <v>0.34177588266428</v>
      </c>
      <c r="O10464" s="38" t="n">
        <f aca="false">(1-ext_sh)*(Sens!$O$10438+Sens!$O$10457)</f>
        <v>0.486353955066162</v>
      </c>
    </row>
    <row r="10465" customFormat="false" ht="17.15" hidden="false" customHeight="false" outlineLevel="0" collapsed="false">
      <c r="A10465" s="0" t="s">
        <v>659</v>
      </c>
      <c r="B10465" s="0" t="s">
        <v>86</v>
      </c>
      <c r="C10465" s="38" t="n">
        <f aca="false">Q!$D$24</f>
        <v>39.834</v>
      </c>
      <c r="D10465" s="38" t="n">
        <f aca="false">Q!$E$24</f>
        <v>45.606</v>
      </c>
      <c r="E10465" s="38" t="n">
        <f aca="false">Q!$P$24</f>
        <v>30.782</v>
      </c>
      <c r="N10465" s="38" t="n">
        <f aca="false">Q!$N$24</f>
        <v>21.707</v>
      </c>
      <c r="O10465" s="38" t="n">
        <f aca="false">Q!$O$24</f>
        <v>23.899</v>
      </c>
    </row>
    <row r="10466" customFormat="false" ht="17.15" hidden="false" customHeight="false" outlineLevel="0" collapsed="false">
      <c r="A10466" s="0" t="s">
        <v>660</v>
      </c>
      <c r="B10466" s="0" t="s">
        <v>86</v>
      </c>
      <c r="C10466" s="38" t="n">
        <f aca="false">Sens!$C$10465-Sens!$C$10461</f>
        <v>38.1898211704631</v>
      </c>
      <c r="D10466" s="38" t="n">
        <f aca="false">Sens!$D$10465-Sens!$D$10461</f>
        <v>40.2147492622706</v>
      </c>
      <c r="E10466" s="38" t="n">
        <f aca="false">Sens!$E$10465-Sens!$E$10461</f>
        <v>28.3550887940039</v>
      </c>
      <c r="F10466" s="38" t="n">
        <f aca="false">Sens!$F$10440*Sens!$F$10467</f>
        <v>25.9529793149447</v>
      </c>
      <c r="G10466" s="38" t="n">
        <f aca="false">Sens!$E$10466+Sens!$F$10466</f>
        <v>54.3080681089486</v>
      </c>
      <c r="H10466" s="38" t="n">
        <f aca="false">Sens!$H$10440*Sens!$H$10467</f>
        <v>58.2264684589333</v>
      </c>
      <c r="I10466" s="38" t="n">
        <f aca="false">Sens!$I$10440*Sens!$I$10467</f>
        <v>64.6461353851744</v>
      </c>
      <c r="J10466" s="38" t="n">
        <f aca="false">Sens!$J$10440*Sens!$J$10467</f>
        <v>70.7957093610231</v>
      </c>
      <c r="K10466" s="38" t="n">
        <f aca="false">Sens!$K$10440*Sens!$K$10467</f>
        <v>76.4593661099049</v>
      </c>
      <c r="L10466" s="38" t="n">
        <f aca="false">Sens!$L$10440*Sens!$L$10467</f>
        <v>82.5761153986973</v>
      </c>
      <c r="M10466" s="38" t="n">
        <f aca="false">Sens!$M$10440*Sens!$M$10467</f>
        <v>89.1822046305931</v>
      </c>
      <c r="N10466" s="38" t="n">
        <f aca="false">Sens!$N$10465-Sens!$N$10461</f>
        <v>20.0277839996292</v>
      </c>
      <c r="O10466" s="38" t="n">
        <f aca="false">Sens!$O$10465-Sens!$O$10461</f>
        <v>20.1869652626414</v>
      </c>
      <c r="P10466" s="5" t="s">
        <v>661</v>
      </c>
    </row>
    <row r="10467" customFormat="false" ht="17.15" hidden="false" customHeight="false" outlineLevel="0" collapsed="false">
      <c r="A10467" s="0" t="s">
        <v>662</v>
      </c>
      <c r="B10467" s="0" t="s">
        <v>52</v>
      </c>
      <c r="C10467" s="13" t="n">
        <f aca="false">Sens!$C$10466/Sens!$C$10440</f>
        <v>0.362900395443635</v>
      </c>
      <c r="D10467" s="13" t="n">
        <f aca="false">Sens!$D$10466/Sens!$D$10440</f>
        <v>0.335063632425483</v>
      </c>
      <c r="E10467" s="13" t="n">
        <f aca="false">Sens!$E$10466/Sens!$E$10440</f>
        <v>0.397638855555478</v>
      </c>
      <c r="F10467" s="13" t="n">
        <f aca="false">(Sens!$O$10466+Sens!$E$10466)/(Sens!$O$10440+Sens!$E$10440)</f>
        <v>0.361616727338133</v>
      </c>
      <c r="G10467" s="13" t="n">
        <f aca="false">Sens!$G$10466/Sens!$G$10440</f>
        <v>0.379569803149143</v>
      </c>
      <c r="H10467" s="13" t="n">
        <f aca="false">Sens!$F$10467</f>
        <v>0.361616727338133</v>
      </c>
      <c r="I10467" s="13" t="n">
        <f aca="false">Sens!$F$10467</f>
        <v>0.361616727338133</v>
      </c>
      <c r="J10467" s="13" t="n">
        <f aca="false">Sens!$F$10467</f>
        <v>0.361616727338133</v>
      </c>
      <c r="K10467" s="13" t="n">
        <f aca="false">Sens!$F$10467</f>
        <v>0.361616727338133</v>
      </c>
      <c r="L10467" s="13" t="n">
        <f aca="false">Sens!$F$10467</f>
        <v>0.361616727338133</v>
      </c>
      <c r="M10467" s="13" t="n">
        <f aca="false">Sens!$F$10467</f>
        <v>0.361616727338133</v>
      </c>
      <c r="N10467" s="13" t="n">
        <f aca="false">Sens!$N$10466/Sens!$N$10440</f>
        <v>0.35078810535806</v>
      </c>
      <c r="O10467" s="13" t="n">
        <f aca="false">Sens!$O$10466/Sens!$O$10440</f>
        <v>0.320796939361619</v>
      </c>
      <c r="P10467" s="8" t="s">
        <v>663</v>
      </c>
    </row>
    <row r="10468" customFormat="false" ht="17.15" hidden="false" customHeight="false" outlineLevel="0" collapsed="false">
      <c r="A10468" s="0" t="s">
        <v>664</v>
      </c>
      <c r="B10468" s="0" t="s">
        <v>52</v>
      </c>
      <c r="D10468" s="13" t="n">
        <f aca="false">(Q!$E$31-ext_sh*Sens!$D$10457)/Sens!$D$10440</f>
        <v>0.167180325480118</v>
      </c>
    </row>
    <row r="10469" customFormat="false" ht="17.15" hidden="false" customHeight="false" outlineLevel="0" collapsed="false">
      <c r="A10469" s="0" t="s">
        <v>665</v>
      </c>
      <c r="B10469" s="0" t="s">
        <v>86</v>
      </c>
      <c r="C10469" s="38" t="n">
        <f aca="false">Q!$D$31</f>
        <v>13.32</v>
      </c>
      <c r="D10469" s="38" t="n">
        <f aca="false">Q!$E$31</f>
        <v>21.45</v>
      </c>
      <c r="E10469" s="38" t="n">
        <f aca="false">Q!$P$31</f>
        <v>15.353</v>
      </c>
      <c r="F10469" s="38" t="n">
        <f aca="false">ext_sh*Sens!$F$10457+Sens!$D$10468*Sens!$F$10440</f>
        <v>16.1969869840094</v>
      </c>
      <c r="G10469" s="38" t="n">
        <f aca="false">Sens!$E$10469+Sens!$F$10469</f>
        <v>31.5499869840094</v>
      </c>
      <c r="H10469" s="38" t="n">
        <f aca="false">ext_sh*Sens!$H$10457+Sens!$D$10468*Sens!$H$10440</f>
        <v>50.9556213609176</v>
      </c>
      <c r="I10469" s="38" t="n">
        <f aca="false">ext_sh*Sens!$I$10457+Sens!$D$10468*Sens!$I$10440</f>
        <v>79.464581248252</v>
      </c>
      <c r="J10469" s="38" t="n">
        <f aca="false">ext_sh*Sens!$J$10457+Sens!$D$10468*Sens!$J$10440</f>
        <v>105.296127931746</v>
      </c>
      <c r="K10469" s="38" t="n">
        <f aca="false">ext_sh*Sens!$K$10457+Sens!$D$10468*Sens!$K$10440</f>
        <v>131.454694001511</v>
      </c>
      <c r="L10469" s="38" t="n">
        <f aca="false">ext_sh*Sens!$L$10457+Sens!$D$10468*Sens!$L$10440</f>
        <v>150.840456981405</v>
      </c>
      <c r="M10469" s="38" t="n">
        <f aca="false">ext_sh*Sens!$M$10457+Sens!$D$10468*Sens!$M$10440</f>
        <v>163.399454192999</v>
      </c>
      <c r="N10469" s="38" t="n">
        <f aca="false">Q!$N$31</f>
        <v>9.234</v>
      </c>
      <c r="O10469" s="38" t="n">
        <f aca="false">Q!$O$31</f>
        <v>12.216</v>
      </c>
    </row>
    <row r="10470" customFormat="false" ht="17.15" hidden="false" customHeight="false" outlineLevel="0" collapsed="false">
      <c r="A10470" s="1" t="s">
        <v>666</v>
      </c>
    </row>
    <row r="10471" customFormat="false" ht="17.15" hidden="false" customHeight="false" outlineLevel="0" collapsed="false">
      <c r="A10471" s="15" t="s">
        <v>667</v>
      </c>
      <c r="B10471" s="14" t="s">
        <v>52</v>
      </c>
      <c r="C10471" s="14"/>
      <c r="D10471" s="14"/>
      <c r="E10471" s="14"/>
      <c r="F10471" s="14"/>
      <c r="G10471" s="17" t="n">
        <f aca="false">Sens!$G$10461*(1-tax)/(ext_sh*(Sens!$D$10458+Sens!$G$10458)/2)</f>
        <v>0.0620504069546486</v>
      </c>
      <c r="H10471" s="17" t="n">
        <f aca="false">Sens!$H$10461*(1-tax)/(ext_sh*(Sens!$G$10458+Sens!$H$10458)/2)</f>
        <v>0.0755420551527686</v>
      </c>
      <c r="I10471" s="17" t="n">
        <f aca="false">Sens!$I$10461*(1-tax)/(ext_sh*(Sens!$H$10458+Sens!$I$10458)/2)</f>
        <v>0.067127575356291</v>
      </c>
      <c r="J10471" s="17" t="n">
        <f aca="false">Sens!$J$10461*(1-tax)/(ext_sh*(Sens!$I$10458+Sens!$J$10458)/2)</f>
        <v>0.0700332392906535</v>
      </c>
      <c r="K10471" s="17" t="n">
        <f aca="false">Sens!$K$10461*(1-tax)/(ext_sh*(Sens!$J$10458+Sens!$K$10458)/2)</f>
        <v>0.0693622290093833</v>
      </c>
      <c r="L10471" s="17" t="n">
        <f aca="false">Sens!$L$10461*(1-tax)/(ext_sh*(Sens!$K$10458+Sens!$L$10458)/2)</f>
        <v>0.0711010638813626</v>
      </c>
      <c r="M10471" s="17" t="n">
        <f aca="false">Sens!$M$10461*(1-tax)/(ext_sh*(Sens!$L$10458+Sens!$M$10458)/2)</f>
        <v>0.071677531066401</v>
      </c>
      <c r="N10471" s="14"/>
      <c r="O10471" s="14"/>
      <c r="P10471" s="8" t="s">
        <v>668</v>
      </c>
    </row>
    <row r="10472" customFormat="false" ht="17.15" hidden="false" customHeight="false" outlineLevel="0" collapsed="false">
      <c r="A10472" s="5" t="s">
        <v>669</v>
      </c>
      <c r="B10472" s="0" t="s">
        <v>57</v>
      </c>
      <c r="H10472" s="36" t="n">
        <f aca="false">Sens!$H$10436*1000/(mw_open*he_open+Sens!$H$10434*Sens!$H$10431)</f>
        <v>0.991949006767191</v>
      </c>
      <c r="I10472" s="36" t="n">
        <f aca="false">Sens!$I$10436*1000/(mw_open*he_open+Sens!$I$10434*Sens!$I$10431)</f>
        <v>0.991949006767191</v>
      </c>
      <c r="J10472" s="36" t="n">
        <f aca="false">Sens!$J$10436*1000/(mw_open*he_open+Sens!$J$10434*Sens!$J$10431)</f>
        <v>0.991949006767191</v>
      </c>
      <c r="K10472" s="36" t="n">
        <f aca="false">Sens!$K$10436*1000/(mw_open*he_open+Sens!$K$10434*Sens!$K$10431)</f>
        <v>0.991949006767191</v>
      </c>
      <c r="L10472" s="36" t="n">
        <f aca="false">Sens!$L$10436*1000/(mw_open*he_open+Sens!$L$10434*Sens!$L$10431)</f>
        <v>0.991949006767191</v>
      </c>
      <c r="M10472" s="36" t="n">
        <f aca="false">Sens!$M$10436*1000/(mw_open*he_open+Sens!$M$10434*Sens!$M$10431)</f>
        <v>0.991949006767191</v>
      </c>
    </row>
    <row r="10473" customFormat="false" ht="17.15" hidden="false" customHeight="false" outlineLevel="0" collapsed="false">
      <c r="A10473" s="5" t="s">
        <v>670</v>
      </c>
      <c r="B10473" s="0" t="s">
        <v>57</v>
      </c>
      <c r="H10473" s="36" t="n">
        <f aca="false">Sens!$H$10472*(Sens!$H$10436+(wacc+0.01)*ext_sh*(Sens!$G$10458+Sens!$H$10458)/2/(1-tax)-Sens!$H$10461)/Sens!$H$10436</f>
        <v>1.23667415484871</v>
      </c>
      <c r="I10473" s="36" t="n">
        <f aca="false">Sens!$I$10472*(Sens!$I$10436+(wacc+0.01)*ext_sh*(Sens!$H$10458+Sens!$I$10458)/2/(1-tax)-Sens!$I$10461)/Sens!$I$10436</f>
        <v>1.24525038002681</v>
      </c>
      <c r="J10473" s="36" t="n">
        <f aca="false">Sens!$J$10472*(Sens!$J$10436+(wacc+0.01)*ext_sh*(Sens!$I$10458+Sens!$J$10458)/2/(1-tax)-Sens!$J$10461)/Sens!$J$10436</f>
        <v>1.2092344889586</v>
      </c>
      <c r="K10473" s="36" t="n">
        <f aca="false">Sens!$K$10472*(Sens!$K$10436+(wacc+0.01)*ext_sh*(Sens!$J$10458+Sens!$K$10458)/2/(1-tax)-Sens!$K$10461)/Sens!$K$10436</f>
        <v>1.19068471290871</v>
      </c>
      <c r="L10473" s="36" t="n">
        <f aca="false">Sens!$L$10472*(Sens!$L$10436+(wacc+0.01)*ext_sh*(Sens!$K$10458+Sens!$L$10458)/2/(1-tax)-Sens!$L$10461)/Sens!$L$10436</f>
        <v>1.16534821166256</v>
      </c>
      <c r="M10473" s="36" t="n">
        <f aca="false">Sens!$M$10472*(Sens!$M$10436+(wacc+0.01)*ext_sh*(Sens!$L$10458+Sens!$M$10458)/2/(1-tax)-Sens!$M$10461)/Sens!$M$10436</f>
        <v>1.15107231929642</v>
      </c>
    </row>
    <row r="10474" customFormat="false" ht="17.15" hidden="false" customHeight="false" outlineLevel="0" collapsed="false">
      <c r="A10474" s="5" t="s">
        <v>671</v>
      </c>
      <c r="B10474" s="0" t="s">
        <v>52</v>
      </c>
      <c r="C10474" s="13" t="n">
        <f aca="false">Sens!$C$10437/tk_pq</f>
        <v>0.195316432429398</v>
      </c>
      <c r="D10474" s="13" t="n">
        <f aca="false">Sens!$D$10437/tk_pq</f>
        <v>0.195316432429398</v>
      </c>
      <c r="E10474" s="13" t="n">
        <f aca="false">Sens!$E$10437/tk_pq</f>
        <v>0.195316432429398</v>
      </c>
      <c r="F10474" s="13" t="n">
        <f aca="false">Sens!$F$10437/tk_pq</f>
        <v>0.202241827274866</v>
      </c>
      <c r="G10474" s="13" t="n">
        <f aca="false">Sens!$G$10437/tk_pq</f>
        <v>0.199675016194063</v>
      </c>
      <c r="H10474" s="13" t="n">
        <f aca="false">Sens!$H$10437/tk_pq</f>
        <v>0.212647947710325</v>
      </c>
      <c r="I10474" s="13" t="n">
        <f aca="false">Sens!$I$10437/tk_pq</f>
        <v>0.219285125475351</v>
      </c>
      <c r="J10474" s="13" t="n">
        <f aca="false">Sens!$J$10437/tk_pq</f>
        <v>0.222492493217189</v>
      </c>
      <c r="K10474" s="13" t="n">
        <f aca="false">Sens!$K$10437/tk_pq</f>
        <v>0.224053502812094</v>
      </c>
      <c r="L10474" s="13" t="n">
        <f aca="false">Sens!$L$10437/tk_pq</f>
        <v>0.224786916785614</v>
      </c>
      <c r="M10474" s="13" t="n">
        <f aca="false">Sens!$M$10437/tk_pq</f>
        <v>0.225048671566937</v>
      </c>
      <c r="N10474" s="13" t="n">
        <f aca="false">Sens!$N$10437/tk_pq</f>
        <v>0.195316432429398</v>
      </c>
      <c r="O10474" s="13" t="n">
        <f aca="false">Sens!$O$10437/tk_pq</f>
        <v>0.195316432429398</v>
      </c>
      <c r="P10474" s="5" t="s">
        <v>672</v>
      </c>
    </row>
    <row r="10477" customFormat="false" ht="17.15" hidden="false" customHeight="false" outlineLevel="0" collapsed="false">
      <c r="A10477" s="1" t="s">
        <v>701</v>
      </c>
    </row>
    <row r="10478" customFormat="false" ht="17.15" hidden="false" customHeight="false" outlineLevel="0" collapsed="false">
      <c r="A10478" s="0" t="s">
        <v>702</v>
      </c>
      <c r="B10478" s="0" t="s">
        <v>86</v>
      </c>
      <c r="C10478" s="38" t="n">
        <f aca="false">Sens!$C$10436</f>
        <v>2.32100535697364</v>
      </c>
      <c r="D10478" s="38" t="n">
        <f aca="false">Sens!$D$10436</f>
        <v>8.70377008865116</v>
      </c>
      <c r="E10478" s="38" t="n">
        <f aca="false">Sens!$E$10436</f>
        <v>8.51035297557002</v>
      </c>
      <c r="F10478" s="38" t="n">
        <f aca="false">Sens!$F$10436</f>
        <v>14.9634336447205</v>
      </c>
      <c r="G10478" s="38" t="n">
        <f aca="false">Sens!$G$10436</f>
        <v>23.4737866202905</v>
      </c>
      <c r="H10478" s="38" t="n">
        <f aca="false">Sens!$H$10436</f>
        <v>60.1658907497746</v>
      </c>
      <c r="I10478" s="38" t="n">
        <f aca="false">Sens!$I$10436</f>
        <v>101.503699136432</v>
      </c>
      <c r="J10478" s="38" t="n">
        <f aca="false">Sens!$J$10436</f>
        <v>143.025407151278</v>
      </c>
      <c r="K10478" s="38" t="n">
        <f aca="false">Sens!$K$10436</f>
        <v>178.44812038318</v>
      </c>
      <c r="L10478" s="38" t="n">
        <f aca="false">Sens!$L$10436</f>
        <v>201.728101802396</v>
      </c>
      <c r="M10478" s="38" t="n">
        <f aca="false">Sens!$M$10436</f>
        <v>212.835441368865</v>
      </c>
      <c r="N10478" s="38" t="n">
        <f aca="false">Sens!$N$10436</f>
        <v>3.04631953102791</v>
      </c>
      <c r="O10478" s="38" t="n">
        <f aca="false">Sens!$O$10436</f>
        <v>5.65745055762326</v>
      </c>
      <c r="P10478" s="8" t="s">
        <v>703</v>
      </c>
    </row>
    <row r="10479" customFormat="false" ht="17.15" hidden="false" customHeight="false" outlineLevel="0" collapsed="false">
      <c r="A10479" s="0" t="s">
        <v>704</v>
      </c>
      <c r="B10479" s="0" t="s">
        <v>86</v>
      </c>
      <c r="C10479" s="38" t="n">
        <f aca="false">Sens!$C$10440</f>
        <v>105.234994643026</v>
      </c>
      <c r="D10479" s="38" t="n">
        <f aca="false">Sens!$D$10440</f>
        <v>120.021229911349</v>
      </c>
      <c r="E10479" s="38" t="n">
        <f aca="false">Sens!$E$10440</f>
        <v>71.30864702443</v>
      </c>
      <c r="F10479" s="38" t="n">
        <f aca="false">Sens!$F$10440</f>
        <v>71.7692997942464</v>
      </c>
      <c r="G10479" s="38" t="n">
        <f aca="false">Sens!$G$10440</f>
        <v>143.077946818676</v>
      </c>
      <c r="H10479" s="38" t="n">
        <f aca="false">Sens!$H$10440</f>
        <v>161.017077079203</v>
      </c>
      <c r="I10479" s="38" t="n">
        <f aca="false">Sens!$I$10440</f>
        <v>178.769759521457</v>
      </c>
      <c r="J10479" s="38" t="n">
        <f aca="false">Sens!$J$10440</f>
        <v>195.775538045907</v>
      </c>
      <c r="K10479" s="38" t="n">
        <f aca="false">Sens!$K$10440</f>
        <v>211.43758108958</v>
      </c>
      <c r="L10479" s="38" t="n">
        <f aca="false">Sens!$L$10440</f>
        <v>228.352587576746</v>
      </c>
      <c r="M10479" s="38" t="n">
        <f aca="false">Sens!$M$10440</f>
        <v>246.620794582886</v>
      </c>
      <c r="N10479" s="38" t="n">
        <f aca="false">Sens!$N$10440</f>
        <v>57.0936804689721</v>
      </c>
      <c r="O10479" s="38" t="n">
        <f aca="false">Sens!$O$10440</f>
        <v>62.9275494423768</v>
      </c>
      <c r="P10479" s="8" t="s">
        <v>703</v>
      </c>
    </row>
    <row r="10480" customFormat="false" ht="17.15" hidden="false" customHeight="false" outlineLevel="0" collapsed="false">
      <c r="A10480" s="1" t="s">
        <v>523</v>
      </c>
      <c r="B10480" s="8" t="s">
        <v>86</v>
      </c>
      <c r="C10480" s="38" t="n">
        <f aca="false">Q!$D$7</f>
        <v>107.556</v>
      </c>
      <c r="D10480" s="38" t="n">
        <f aca="false">Q!$E$7</f>
        <v>128.725</v>
      </c>
      <c r="E10480" s="38" t="n">
        <f aca="false">Q!$P$7</f>
        <v>79.819</v>
      </c>
      <c r="F10480" s="38" t="n">
        <f aca="false">Sens!$F$10478+Sens!$F$10479</f>
        <v>86.7327334389669</v>
      </c>
      <c r="G10480" s="38" t="n">
        <f aca="false">Sens!$G$10478+Sens!$G$10479</f>
        <v>166.551733438967</v>
      </c>
      <c r="H10480" s="38" t="n">
        <f aca="false">Sens!$H$10478+Sens!$H$10479</f>
        <v>221.182967828978</v>
      </c>
      <c r="I10480" s="38" t="n">
        <f aca="false">Sens!$I$10478+Sens!$I$10479</f>
        <v>280.27345865789</v>
      </c>
      <c r="J10480" s="38" t="n">
        <f aca="false">Sens!$J$10478+Sens!$J$10479</f>
        <v>338.800945197185</v>
      </c>
      <c r="K10480" s="38" t="n">
        <f aca="false">Sens!$K$10478+Sens!$K$10479</f>
        <v>389.88570147276</v>
      </c>
      <c r="L10480" s="38" t="n">
        <f aca="false">Sens!$L$10478+Sens!$L$10479</f>
        <v>430.080689379143</v>
      </c>
      <c r="M10480" s="38" t="n">
        <f aca="false">Sens!$M$10478+Sens!$M$10479</f>
        <v>459.456235951751</v>
      </c>
      <c r="N10480" s="38" t="n">
        <f aca="false">Q!$N$7</f>
        <v>60.14</v>
      </c>
      <c r="O10480" s="38" t="n">
        <f aca="false">Q!$O$7</f>
        <v>68.585</v>
      </c>
      <c r="P10480" s="5" t="s">
        <v>705</v>
      </c>
    </row>
    <row r="10481" customFormat="false" ht="15" hidden="false" customHeight="false" outlineLevel="0" collapsed="false">
      <c r="A10481" s="3" t="s">
        <v>706</v>
      </c>
      <c r="B10481" s="8" t="s">
        <v>86</v>
      </c>
      <c r="C10481" s="38" t="n">
        <f aca="false">Q!$D$8</f>
        <v>637.959</v>
      </c>
      <c r="D10481" s="38" t="n">
        <f aca="false">Q!$E$8</f>
        <v>716.924</v>
      </c>
      <c r="E10481" s="38" t="n">
        <f aca="false">Q!$P$8</f>
        <v>382.125</v>
      </c>
      <c r="F10481" s="38" t="n">
        <f aca="false">Sens!$F$10408+Sens!$F$10480</f>
        <v>435.780975084504</v>
      </c>
      <c r="G10481" s="38" t="n">
        <f aca="false">Sens!$G$10408+Sens!$G$10480</f>
        <v>817.905975084504</v>
      </c>
      <c r="H10481" s="38" t="n">
        <f aca="false">Sens!$H$10408+Sens!$H$10480</f>
        <v>942.279857350364</v>
      </c>
      <c r="I10481" s="38" t="n">
        <f aca="false">Sens!$I$10408+Sens!$I$10480</f>
        <v>1068.80284981042</v>
      </c>
      <c r="J10481" s="38" t="n">
        <f aca="false">Sens!$J$10408+Sens!$J$10480</f>
        <v>1189.90935093863</v>
      </c>
      <c r="K10481" s="38" t="n">
        <f aca="false">Sens!$K$10408+Sens!$K$10480</f>
        <v>1296.06215690385</v>
      </c>
      <c r="L10481" s="38" t="n">
        <f aca="false">Sens!$L$10408+Sens!$L$10480</f>
        <v>1395.17379585473</v>
      </c>
      <c r="M10481" s="38" t="n">
        <f aca="false">Sens!$M$10408+Sens!$M$10480</f>
        <v>1487.60414389864</v>
      </c>
      <c r="N10481" s="38" t="n">
        <f aca="false">Q!$N$8</f>
        <v>323.369</v>
      </c>
      <c r="O10481" s="38" t="n">
        <f aca="false">Q!$O$8</f>
        <v>393.555</v>
      </c>
    </row>
    <row r="10482" customFormat="false" ht="17.15" hidden="false" customHeight="false" outlineLevel="0" collapsed="false">
      <c r="A10482" s="24" t="s">
        <v>714</v>
      </c>
      <c r="B10482" s="25" t="s">
        <v>86</v>
      </c>
      <c r="C10482" s="41" t="n">
        <f aca="false">Sens!$C$10408-(Sens!$C$10410+Sens!$C$10411)</f>
        <v>0</v>
      </c>
      <c r="D10482" s="41" t="n">
        <f aca="false">Sens!$D$10408-(Sens!$D$10410+Sens!$D$10411)</f>
        <v>0</v>
      </c>
      <c r="E10482" s="41" t="n">
        <f aca="false">Sens!$E$10408-(Sens!$E$10410+Sens!$E$10411)</f>
        <v>0</v>
      </c>
      <c r="F10482" s="41" t="n">
        <f aca="false">Sens!$F$10408-(Sens!$F$10410+Sens!$F$10411)</f>
        <v>0</v>
      </c>
      <c r="G10482" s="41" t="n">
        <f aca="false">Sens!$G$10408-(Sens!$G$10410+Sens!$G$10411)</f>
        <v>0</v>
      </c>
      <c r="H10482" s="41" t="n">
        <f aca="false">Sens!$H$10408-(Sens!$H$10410+Sens!$H$10411)</f>
        <v>0</v>
      </c>
      <c r="I10482" s="41" t="n">
        <f aca="false">Sens!$I$10408-(Sens!$I$10410+Sens!$I$10411)</f>
        <v>0</v>
      </c>
      <c r="J10482" s="41" t="n">
        <f aca="false">Sens!$J$10408-(Sens!$J$10410+Sens!$J$10411)</f>
        <v>0</v>
      </c>
      <c r="K10482" s="41" t="n">
        <f aca="false">Sens!$K$10408-(Sens!$K$10410+Sens!$K$10411)</f>
        <v>0</v>
      </c>
      <c r="L10482" s="41" t="n">
        <f aca="false">Sens!$L$10408-(Sens!$L$10410+Sens!$L$10411)</f>
        <v>0</v>
      </c>
      <c r="M10482" s="41" t="n">
        <f aca="false">Sens!$M$10408-(Sens!$M$10410+Sens!$M$10411)</f>
        <v>0</v>
      </c>
      <c r="N10482" s="41" t="n">
        <f aca="false">Sens!$N$10408-(Sens!$N$10410+Sens!$N$10411)</f>
        <v>0</v>
      </c>
      <c r="O10482" s="41" t="n">
        <f aca="false">Sens!$O$10408-(Sens!$O$10410+Sens!$O$10411)</f>
        <v>0</v>
      </c>
    </row>
    <row r="10483" customFormat="false" ht="17.15" hidden="false" customHeight="false" outlineLevel="0" collapsed="false">
      <c r="A10483" s="24" t="s">
        <v>715</v>
      </c>
      <c r="B10483" s="25" t="s">
        <v>86</v>
      </c>
      <c r="C10483" s="41" t="n">
        <f aca="false">Sens!$C$10478+Sens!$C$10479-Sens!$C$10480</f>
        <v>0</v>
      </c>
      <c r="D10483" s="41" t="n">
        <f aca="false">Sens!$D$10478+Sens!$D$10479-Sens!$D$10480</f>
        <v>0</v>
      </c>
      <c r="E10483" s="41" t="n">
        <f aca="false">Sens!$E$10478+Sens!$E$10479-Sens!$E$10480</f>
        <v>0</v>
      </c>
      <c r="F10483" s="41" t="n">
        <f aca="false">Sens!$F$10478+Sens!$F$10479-Sens!$F$10480</f>
        <v>0</v>
      </c>
      <c r="G10483" s="41" t="n">
        <f aca="false">Sens!$G$10478+Sens!$G$10479-Sens!$G$10480</f>
        <v>0</v>
      </c>
      <c r="H10483" s="41" t="n">
        <f aca="false">Sens!$H$10478+Sens!$H$10479-Sens!$H$10480</f>
        <v>0</v>
      </c>
      <c r="I10483" s="41" t="n">
        <f aca="false">Sens!$I$10478+Sens!$I$10479-Sens!$I$10480</f>
        <v>0</v>
      </c>
      <c r="J10483" s="41" t="n">
        <f aca="false">Sens!$J$10478+Sens!$J$10479-Sens!$J$10480</f>
        <v>0</v>
      </c>
      <c r="K10483" s="41" t="n">
        <f aca="false">Sens!$K$10478+Sens!$K$10479-Sens!$K$10480</f>
        <v>0</v>
      </c>
      <c r="L10483" s="41" t="n">
        <f aca="false">Sens!$L$10478+Sens!$L$10479-Sens!$L$10480</f>
        <v>0</v>
      </c>
      <c r="M10483" s="41" t="n">
        <f aca="false">Sens!$M$10478+Sens!$M$10479-Sens!$M$10480</f>
        <v>0</v>
      </c>
      <c r="N10483" s="41" t="n">
        <f aca="false">Sens!$N$10478+Sens!$N$10479-Sens!$N$10480</f>
        <v>0</v>
      </c>
      <c r="O10483" s="41" t="n">
        <f aca="false">Sens!$O$10478+Sens!$O$10479-Sens!$O$10480</f>
        <v>0</v>
      </c>
    </row>
    <row r="10484" customFormat="false" ht="17.15" hidden="false" customHeight="false" outlineLevel="0" collapsed="false">
      <c r="A10484" s="24" t="s">
        <v>716</v>
      </c>
      <c r="B10484" s="25" t="s">
        <v>86</v>
      </c>
      <c r="C10484" s="41" t="n">
        <f aca="false">Sens!$C$10410+Sens!$C$10411+Sens!$C$10480-Sens!$C$10481</f>
        <v>0</v>
      </c>
      <c r="D10484" s="41" t="n">
        <f aca="false">Sens!$D$10410+Sens!$D$10411+Sens!$D$10480-Sens!$D$10481</f>
        <v>0</v>
      </c>
      <c r="E10484" s="41" t="n">
        <f aca="false">Sens!$E$10410+Sens!$E$10411+Sens!$E$10480-Sens!$E$10481</f>
        <v>0</v>
      </c>
      <c r="F10484" s="41" t="n">
        <f aca="false">Sens!$F$10410+Sens!$F$10411+Sens!$F$10480-Sens!$F$10481</f>
        <v>0</v>
      </c>
      <c r="G10484" s="41" t="n">
        <f aca="false">Sens!$G$10410+Sens!$G$10411+Sens!$G$10480-Sens!$G$10481</f>
        <v>0</v>
      </c>
      <c r="H10484" s="41" t="n">
        <f aca="false">Sens!$H$10410+Sens!$H$10411+Sens!$H$10480-Sens!$H$10481</f>
        <v>0</v>
      </c>
      <c r="I10484" s="41" t="n">
        <f aca="false">Sens!$I$10410+Sens!$I$10411+Sens!$I$10480-Sens!$I$10481</f>
        <v>0</v>
      </c>
      <c r="J10484" s="41" t="n">
        <f aca="false">Sens!$J$10410+Sens!$J$10411+Sens!$J$10480-Sens!$J$10481</f>
        <v>0</v>
      </c>
      <c r="K10484" s="41" t="n">
        <f aca="false">Sens!$K$10410+Sens!$K$10411+Sens!$K$10480-Sens!$K$10481</f>
        <v>0</v>
      </c>
      <c r="L10484" s="41" t="n">
        <f aca="false">Sens!$L$10410+Sens!$L$10411+Sens!$L$10480-Sens!$L$10481</f>
        <v>0</v>
      </c>
      <c r="M10484" s="41" t="n">
        <f aca="false">Sens!$M$10410+Sens!$M$10411+Sens!$M$10480-Sens!$M$10481</f>
        <v>0</v>
      </c>
      <c r="N10484" s="41" t="n">
        <f aca="false">Sens!$N$10410+Sens!$N$10411+Sens!$N$10480-Sens!$N$10481</f>
        <v>0</v>
      </c>
      <c r="O10484" s="41" t="n">
        <f aca="false">Sens!$O$10410+Sens!$O$10411+Sens!$O$10480-Sens!$O$10481</f>
        <v>0</v>
      </c>
    </row>
    <row r="10485" customFormat="false" ht="15" hidden="false" customHeight="false" outlineLevel="0" collapsed="false">
      <c r="A10485" s="5" t="s">
        <v>710</v>
      </c>
      <c r="B10485" s="0" t="s">
        <v>52</v>
      </c>
      <c r="G10485" s="13" t="n">
        <f aca="false">Sens!$G$10481/Sens!$D$10481-1</f>
        <v>0.140854504918937</v>
      </c>
      <c r="H10485" s="13" t="n">
        <f aca="false">Sens!$H$10481/Sens!$G$10481-1</f>
        <v>0.152063789793209</v>
      </c>
      <c r="I10485" s="13" t="n">
        <f aca="false">Sens!$I$10481/Sens!$H$10481-1</f>
        <v>0.134273264437417</v>
      </c>
      <c r="J10485" s="13" t="n">
        <f aca="false">Sens!$J$10481/Sens!$I$10481-1</f>
        <v>0.113310421234083</v>
      </c>
      <c r="K10485" s="13" t="n">
        <f aca="false">Sens!$K$10481/Sens!$J$10481-1</f>
        <v>0.0892108343223652</v>
      </c>
      <c r="L10485" s="13" t="n">
        <f aca="false">Sens!$L$10481/Sens!$K$10481-1</f>
        <v>0.076471362444261</v>
      </c>
      <c r="M10485" s="13" t="n">
        <f aca="false">Sens!$M$10481/Sens!$L$10481-1</f>
        <v>0.066250060256672</v>
      </c>
    </row>
    <row r="10486" customFormat="false" ht="17.15" hidden="false" customHeight="false" outlineLevel="0" collapsed="false">
      <c r="A10486" s="0" t="s">
        <v>711</v>
      </c>
      <c r="B10486" s="0" t="s">
        <v>52</v>
      </c>
      <c r="C10486" s="13" t="n">
        <f aca="false">Sens!$C$10480/Sens!$C$10481</f>
        <v>0.168593906504964</v>
      </c>
      <c r="D10486" s="13" t="n">
        <f aca="false">Sens!$D$10480/Sens!$D$10481</f>
        <v>0.179551807444025</v>
      </c>
      <c r="E10486" s="13" t="n">
        <f aca="false">Sens!$E$10480/Sens!$E$10481</f>
        <v>0.208881910369643</v>
      </c>
      <c r="F10486" s="13" t="n">
        <f aca="false">Sens!$F$10480/Sens!$F$10481</f>
        <v>0.199028269699356</v>
      </c>
      <c r="G10486" s="13" t="n">
        <f aca="false">Sens!$G$10480/Sens!$G$10481</f>
        <v>0.203631882529968</v>
      </c>
      <c r="H10486" s="13" t="n">
        <f aca="false">Sens!$H$10480/Sens!$H$10481</f>
        <v>0.234731715958496</v>
      </c>
      <c r="I10486" s="13" t="n">
        <f aca="false">Sens!$I$10480/Sens!$I$10481</f>
        <v>0.262231204480418</v>
      </c>
      <c r="J10486" s="13" t="n">
        <f aca="false">Sens!$J$10480/Sens!$J$10481</f>
        <v>0.284728366013706</v>
      </c>
      <c r="K10486" s="13" t="n">
        <f aca="false">Sens!$K$10480/Sens!$K$10481</f>
        <v>0.300823304959505</v>
      </c>
      <c r="L10486" s="13" t="n">
        <f aca="false">Sens!$L$10480/Sens!$L$10481</f>
        <v>0.308263164529735</v>
      </c>
      <c r="M10486" s="13" t="n">
        <f aca="false">Sens!$M$10480/Sens!$M$10481</f>
        <v>0.308856517936036</v>
      </c>
      <c r="N10486" s="13" t="n">
        <f aca="false">Sens!$N$10480/Sens!$N$10481</f>
        <v>0.185979484737251</v>
      </c>
      <c r="O10486" s="13" t="n">
        <f aca="false">Sens!$O$10480/Sens!$O$10481</f>
        <v>0.174270432341096</v>
      </c>
    </row>
    <row r="10487" customFormat="false" ht="17.15" hidden="false" customHeight="false" outlineLevel="0" collapsed="false">
      <c r="A10487" s="0" t="s">
        <v>712</v>
      </c>
      <c r="B10487" s="0" t="s">
        <v>52</v>
      </c>
      <c r="C10487" s="13" t="n">
        <f aca="false">Sens!$C$10478/Sens!$C$10480</f>
        <v>0.0215795060896058</v>
      </c>
      <c r="D10487" s="13" t="n">
        <f aca="false">Sens!$D$10478/Sens!$D$10480</f>
        <v>0.0676152269462122</v>
      </c>
      <c r="E10487" s="13" t="n">
        <f aca="false">Sens!$E$10478/Sens!$E$10480</f>
        <v>0.106620641395783</v>
      </c>
      <c r="F10487" s="13" t="n">
        <f aca="false">Sens!$F$10478/Sens!$F$10480</f>
        <v>0.172523487401099</v>
      </c>
      <c r="G10487" s="13" t="n">
        <f aca="false">Sens!$G$10478/Sens!$G$10480</f>
        <v>0.140939911795589</v>
      </c>
      <c r="H10487" s="13" t="n">
        <f aca="false">Sens!$H$10478/Sens!$H$10480</f>
        <v>0.272018642937714</v>
      </c>
      <c r="I10487" s="13" t="n">
        <f aca="false">Sens!$I$10478/Sens!$I$10480</f>
        <v>0.362159512436497</v>
      </c>
      <c r="J10487" s="13" t="n">
        <f aca="false">Sens!$J$10478/Sens!$J$10480</f>
        <v>0.422151735934609</v>
      </c>
      <c r="K10487" s="13" t="n">
        <f aca="false">Sens!$K$10478/Sens!$K$10480</f>
        <v>0.45769342068485</v>
      </c>
      <c r="L10487" s="13" t="n">
        <f aca="false">Sens!$L$10478/Sens!$L$10480</f>
        <v>0.469047103913472</v>
      </c>
      <c r="M10487" s="13" t="n">
        <f aca="false">Sens!$M$10478/Sens!$M$10480</f>
        <v>0.463233328258093</v>
      </c>
      <c r="N10487" s="13" t="n">
        <f aca="false">Sens!$N$10478/Sens!$N$10480</f>
        <v>0.0506537999838362</v>
      </c>
      <c r="O10487" s="13" t="n">
        <f aca="false">Sens!$O$10478/Sens!$O$10480</f>
        <v>0.0824881615167056</v>
      </c>
    </row>
    <row r="10490" customFormat="false" ht="19.4" hidden="false" customHeight="false" outlineLevel="0" collapsed="false">
      <c r="A10490" s="31" t="s">
        <v>1364</v>
      </c>
    </row>
    <row r="10491" customFormat="false" ht="17.15" hidden="false" customHeight="false" outlineLevel="0" collapsed="false">
      <c r="A10491" s="6" t="s">
        <v>16</v>
      </c>
      <c r="B10491" s="6" t="s">
        <v>17</v>
      </c>
      <c r="C10491" s="20" t="s">
        <v>504</v>
      </c>
      <c r="D10491" s="20" t="s">
        <v>505</v>
      </c>
      <c r="E10491" s="20" t="s">
        <v>587</v>
      </c>
      <c r="F10491" s="20" t="s">
        <v>588</v>
      </c>
      <c r="G10491" s="20" t="s">
        <v>589</v>
      </c>
      <c r="H10491" s="20" t="s">
        <v>590</v>
      </c>
      <c r="I10491" s="20" t="s">
        <v>591</v>
      </c>
      <c r="J10491" s="20" t="s">
        <v>592</v>
      </c>
      <c r="K10491" s="20" t="s">
        <v>593</v>
      </c>
      <c r="L10491" s="20" t="s">
        <v>594</v>
      </c>
      <c r="M10491" s="20" t="s">
        <v>595</v>
      </c>
      <c r="N10491" s="20" t="s">
        <v>596</v>
      </c>
      <c r="O10491" s="20" t="s">
        <v>597</v>
      </c>
      <c r="P10491" s="6" t="s">
        <v>23</v>
      </c>
      <c r="R10491" s="20" t="n">
        <v>2023</v>
      </c>
      <c r="S10491" s="20" t="n">
        <v>2024</v>
      </c>
      <c r="T10491" s="20" t="n">
        <v>2025</v>
      </c>
      <c r="U10491" s="20" t="n">
        <v>2026</v>
      </c>
      <c r="V10491" s="20" t="n">
        <v>2027</v>
      </c>
      <c r="W10491" s="20" t="n">
        <v>2028</v>
      </c>
      <c r="X10491" s="20" t="n">
        <v>2029</v>
      </c>
      <c r="Y10491" s="20" t="n">
        <v>2030</v>
      </c>
      <c r="Z10491" s="20" t="n">
        <v>2031</v>
      </c>
      <c r="AA10491" s="20" t="n">
        <v>2032</v>
      </c>
    </row>
    <row r="10492" customFormat="false" ht="17.15" hidden="false" customHeight="false" outlineLevel="0" collapsed="false">
      <c r="A10492" s="1" t="s">
        <v>727</v>
      </c>
    </row>
    <row r="10493" customFormat="false" ht="15" hidden="false" customHeight="false" outlineLevel="0" collapsed="false">
      <c r="A10493" s="0" t="s">
        <v>526</v>
      </c>
      <c r="B10493" s="0" t="s">
        <v>86</v>
      </c>
      <c r="C10493" s="38" t="n">
        <f aca="false">Sens!$C$10395</f>
        <v>247.029</v>
      </c>
      <c r="D10493" s="38" t="n">
        <f aca="false">Sens!$D$10395</f>
        <v>269.287</v>
      </c>
      <c r="E10493" s="38" t="n">
        <f aca="false">Sens!$E$10395</f>
        <v>134.686</v>
      </c>
      <c r="F10493" s="38" t="n">
        <f aca="false">Sens!$F$10395</f>
        <v>158.293876822267</v>
      </c>
      <c r="G10493" s="38" t="n">
        <f aca="false">Sens!$G$10395</f>
        <v>292.979876822267</v>
      </c>
      <c r="H10493" s="38" t="n">
        <f aca="false">Sens!$H$10395</f>
        <v>318.184543087396</v>
      </c>
      <c r="I10493" s="38" t="n">
        <f aca="false">Sens!$I$10395</f>
        <v>341.736278761793</v>
      </c>
      <c r="J10493" s="38" t="n">
        <f aca="false">Sens!$J$10395</f>
        <v>362.927192787048</v>
      </c>
      <c r="K10493" s="38" t="n">
        <f aca="false">Sens!$K$10395</f>
        <v>381.0735524264</v>
      </c>
      <c r="L10493" s="38" t="n">
        <f aca="false">Sens!$L$10395</f>
        <v>400.12723004772</v>
      </c>
      <c r="M10493" s="38" t="n">
        <f aca="false">Sens!$M$10395</f>
        <v>420.133591550106</v>
      </c>
      <c r="N10493" s="38" t="n">
        <f aca="false">Sens!$N$10395</f>
        <v>118.892</v>
      </c>
      <c r="O10493" s="38" t="n">
        <f aca="false">Sens!$O$10395</f>
        <v>150.395</v>
      </c>
    </row>
    <row r="10494" customFormat="false" ht="15" hidden="false" customHeight="false" outlineLevel="0" collapsed="false">
      <c r="A10494" s="0" t="s">
        <v>527</v>
      </c>
      <c r="B10494" s="0" t="s">
        <v>86</v>
      </c>
      <c r="C10494" s="38" t="n">
        <f aca="false">Sens!$C$10397</f>
        <v>21.215</v>
      </c>
      <c r="D10494" s="38" t="n">
        <f aca="false">Sens!$D$10397</f>
        <v>22.561</v>
      </c>
      <c r="E10494" s="38" t="n">
        <f aca="false">Sens!$E$10397</f>
        <v>11.579</v>
      </c>
      <c r="F10494" s="38" t="n">
        <f aca="false">Sens!$F$10397</f>
        <v>11.5938724610325</v>
      </c>
      <c r="G10494" s="38" t="n">
        <f aca="false">Sens!$G$10397</f>
        <v>23.1728724610325</v>
      </c>
      <c r="H10494" s="38" t="n">
        <f aca="false">Sens!$H$10397</f>
        <v>24.353392759506</v>
      </c>
      <c r="I10494" s="38" t="n">
        <f aca="false">Sens!$I$10397</f>
        <v>25.4240338872015</v>
      </c>
      <c r="J10494" s="38" t="n">
        <f aca="false">Sens!$J$10397</f>
        <v>26.3642491017174</v>
      </c>
      <c r="K10494" s="38" t="n">
        <f aca="false">Sens!$K$10397</f>
        <v>27.155176574769</v>
      </c>
      <c r="L10494" s="38" t="n">
        <f aca="false">Sens!$L$10397</f>
        <v>27.969831872012</v>
      </c>
      <c r="M10494" s="38" t="n">
        <f aca="false">Sens!$M$10397</f>
        <v>28.8089268281724</v>
      </c>
      <c r="N10494" s="38" t="n">
        <f aca="false">Sens!$N$10397</f>
        <v>11.128</v>
      </c>
      <c r="O10494" s="38" t="n">
        <f aca="false">Sens!$O$10397</f>
        <v>11.433</v>
      </c>
    </row>
    <row r="10495" customFormat="false" ht="15" hidden="false" customHeight="false" outlineLevel="0" collapsed="false">
      <c r="A10495" s="0" t="s">
        <v>528</v>
      </c>
      <c r="B10495" s="0" t="s">
        <v>86</v>
      </c>
      <c r="C10495" s="38" t="n">
        <f aca="false">Sens!$C$10399</f>
        <v>156.146</v>
      </c>
      <c r="D10495" s="38" t="n">
        <f aca="false">Sens!$D$10399</f>
        <v>172.162</v>
      </c>
      <c r="E10495" s="38" t="n">
        <f aca="false">Sens!$E$10399</f>
        <v>88.358</v>
      </c>
      <c r="F10495" s="38" t="n">
        <f aca="false">Sens!$F$10399</f>
        <v>102.004388260171</v>
      </c>
      <c r="G10495" s="38" t="n">
        <f aca="false">Sens!$G$10399</f>
        <v>190.362388260171</v>
      </c>
      <c r="H10495" s="38" t="n">
        <f aca="false">Sens!$H$10399</f>
        <v>210.343106588311</v>
      </c>
      <c r="I10495" s="38" t="n">
        <f aca="false">Sens!$I$10399</f>
        <v>229.969728494648</v>
      </c>
      <c r="J10495" s="38" t="n">
        <f aca="false">Sens!$J$10399</f>
        <v>248.747636972598</v>
      </c>
      <c r="K10495" s="38" t="n">
        <f aca="false">Sens!$K$10399</f>
        <v>266.15997156068</v>
      </c>
      <c r="L10495" s="38" t="n">
        <f aca="false">Sens!$L$10399</f>
        <v>284.791169569927</v>
      </c>
      <c r="M10495" s="38" t="n">
        <f aca="false">Sens!$M$10399</f>
        <v>304.726551439822</v>
      </c>
      <c r="N10495" s="38" t="n">
        <f aca="false">Sens!$N$10399</f>
        <v>76.86</v>
      </c>
      <c r="O10495" s="38" t="n">
        <f aca="false">Sens!$O$10399</f>
        <v>95.302</v>
      </c>
    </row>
    <row r="10496" customFormat="false" ht="15" hidden="false" customHeight="false" outlineLevel="0" collapsed="false">
      <c r="A10496" s="0" t="s">
        <v>529</v>
      </c>
      <c r="B10496" s="0" t="s">
        <v>86</v>
      </c>
      <c r="C10496" s="38" t="n">
        <f aca="false">Sens!$C$10401</f>
        <v>56.214</v>
      </c>
      <c r="D10496" s="38" t="n">
        <f aca="false">Sens!$D$10401</f>
        <v>68.635</v>
      </c>
      <c r="E10496" s="38" t="n">
        <f aca="false">Sens!$E$10401</f>
        <v>37.052</v>
      </c>
      <c r="F10496" s="38" t="n">
        <f aca="false">Sens!$F$10401</f>
        <v>46.1572219944148</v>
      </c>
      <c r="G10496" s="38" t="n">
        <f aca="false">Sens!$G$10401</f>
        <v>83.2092219944148</v>
      </c>
      <c r="H10496" s="38" t="n">
        <f aca="false">Sens!$H$10401</f>
        <v>99.8969223878976</v>
      </c>
      <c r="I10496" s="38" t="n">
        <f aca="false">Sens!$I$10401</f>
        <v>116.583111095496</v>
      </c>
      <c r="J10496" s="38" t="n">
        <f aca="false">Sens!$J$10401</f>
        <v>132.148941941952</v>
      </c>
      <c r="K10496" s="38" t="n">
        <f aca="false">Sens!$K$10401</f>
        <v>145.363836136147</v>
      </c>
      <c r="L10496" s="38" t="n">
        <f aca="false">Sens!$L$10401</f>
        <v>159.900219749762</v>
      </c>
      <c r="M10496" s="38" t="n">
        <f aca="false">Sens!$M$10401</f>
        <v>175.890241724738</v>
      </c>
      <c r="N10496" s="38" t="n">
        <f aca="false">Sens!$N$10401</f>
        <v>29.615</v>
      </c>
      <c r="O10496" s="38" t="n">
        <f aca="false">Sens!$O$10401</f>
        <v>39.02</v>
      </c>
    </row>
    <row r="10497" customFormat="false" ht="15" hidden="false" customHeight="false" outlineLevel="0" collapsed="false">
      <c r="A10497" s="0" t="s">
        <v>530</v>
      </c>
      <c r="B10497" s="0" t="s">
        <v>86</v>
      </c>
      <c r="C10497" s="38" t="n">
        <f aca="false">Sens!$C$10403</f>
        <v>44.374</v>
      </c>
      <c r="D10497" s="38" t="n">
        <f aca="false">Sens!$D$10403</f>
        <v>49.619</v>
      </c>
      <c r="E10497" s="38" t="n">
        <f aca="false">Sens!$E$10403</f>
        <v>27.157</v>
      </c>
      <c r="F10497" s="38" t="n">
        <f aca="false">Sens!$F$10403</f>
        <v>27.7764165988154</v>
      </c>
      <c r="G10497" s="38" t="n">
        <f aca="false">Sens!$G$10403</f>
        <v>54.9334165988154</v>
      </c>
      <c r="H10497" s="38" t="n">
        <f aca="false">Sens!$H$10403</f>
        <v>61.1564112561829</v>
      </c>
      <c r="I10497" s="38" t="n">
        <f aca="false">Sens!$I$10403</f>
        <v>67.2020282103945</v>
      </c>
      <c r="J10497" s="38" t="n">
        <f aca="false">Sens!$J$10403</f>
        <v>72.8757274028885</v>
      </c>
      <c r="K10497" s="38" t="n">
        <f aca="false">Sens!$K$10403</f>
        <v>77.9770283210907</v>
      </c>
      <c r="L10497" s="38" t="n">
        <f aca="false">Sens!$L$10403</f>
        <v>83.4354203035671</v>
      </c>
      <c r="M10497" s="38" t="n">
        <f aca="false">Sens!$M$10403</f>
        <v>89.2758997248168</v>
      </c>
      <c r="N10497" s="38" t="n">
        <f aca="false">Sens!$N$10403</f>
        <v>23.923</v>
      </c>
      <c r="O10497" s="38" t="n">
        <f aca="false">Sens!$O$10403</f>
        <v>25.696</v>
      </c>
    </row>
    <row r="10498" customFormat="false" ht="15" hidden="false" customHeight="false" outlineLevel="0" collapsed="false">
      <c r="A10498" s="0" t="s">
        <v>531</v>
      </c>
      <c r="B10498" s="0" t="s">
        <v>86</v>
      </c>
      <c r="C10498" s="38" t="n">
        <f aca="false">Sens!$C$10405</f>
        <v>5.425</v>
      </c>
      <c r="D10498" s="38" t="n">
        <f aca="false">Sens!$D$10405</f>
        <v>5.935</v>
      </c>
      <c r="E10498" s="38" t="n">
        <f aca="false">Sens!$E$10405</f>
        <v>3.474</v>
      </c>
      <c r="F10498" s="38" t="n">
        <f aca="false">Sens!$F$10405</f>
        <v>3.22246550883619</v>
      </c>
      <c r="G10498" s="38" t="n">
        <f aca="false">Sens!$G$10405</f>
        <v>6.69646550883619</v>
      </c>
      <c r="H10498" s="38" t="n">
        <f aca="false">Sens!$H$10405</f>
        <v>7.16251344209196</v>
      </c>
      <c r="I10498" s="38" t="n">
        <f aca="false">Sens!$I$10405</f>
        <v>7.61421070299826</v>
      </c>
      <c r="J10498" s="38" t="n">
        <f aca="false">Sens!$J$10405</f>
        <v>8.04465753523932</v>
      </c>
      <c r="K10498" s="38" t="n">
        <f aca="false">Sens!$K$10405</f>
        <v>8.44689041200128</v>
      </c>
      <c r="L10498" s="38" t="n">
        <f aca="false">Sens!$L$10405</f>
        <v>8.86923493260135</v>
      </c>
      <c r="M10498" s="38" t="n">
        <f aca="false">Sens!$M$10405</f>
        <v>9.31269667923142</v>
      </c>
      <c r="N10498" s="38" t="n">
        <f aca="false">Sens!$N$10405</f>
        <v>2.811</v>
      </c>
      <c r="O10498" s="38" t="n">
        <f aca="false">Sens!$O$10405</f>
        <v>3.124</v>
      </c>
    </row>
    <row r="10499" customFormat="false" ht="17.15" hidden="false" customHeight="false" outlineLevel="0" collapsed="false">
      <c r="A10499" s="0" t="s">
        <v>728</v>
      </c>
      <c r="B10499" s="0" t="s">
        <v>86</v>
      </c>
      <c r="C10499" s="38" t="n">
        <f aca="false">Sens!$C$10480</f>
        <v>107.556</v>
      </c>
      <c r="D10499" s="38" t="n">
        <f aca="false">Sens!$D$10480</f>
        <v>128.725</v>
      </c>
      <c r="E10499" s="38" t="n">
        <f aca="false">Sens!$E$10480</f>
        <v>79.819</v>
      </c>
      <c r="F10499" s="38" t="n">
        <f aca="false">Sens!$F$10480</f>
        <v>86.7327334389669</v>
      </c>
      <c r="G10499" s="38" t="n">
        <f aca="false">Sens!$G$10480</f>
        <v>166.551733438967</v>
      </c>
      <c r="H10499" s="38" t="n">
        <f aca="false">Sens!$H$10480</f>
        <v>221.182967828978</v>
      </c>
      <c r="I10499" s="38" t="n">
        <f aca="false">Sens!$I$10480</f>
        <v>280.27345865789</v>
      </c>
      <c r="J10499" s="38" t="n">
        <f aca="false">Sens!$J$10480</f>
        <v>338.800945197185</v>
      </c>
      <c r="K10499" s="38" t="n">
        <f aca="false">Sens!$K$10480</f>
        <v>389.88570147276</v>
      </c>
      <c r="L10499" s="38" t="n">
        <f aca="false">Sens!$L$10480</f>
        <v>430.080689379143</v>
      </c>
      <c r="M10499" s="38" t="n">
        <f aca="false">Sens!$M$10480</f>
        <v>459.456235951751</v>
      </c>
      <c r="N10499" s="38" t="n">
        <f aca="false">Sens!$N$10480</f>
        <v>60.14</v>
      </c>
      <c r="O10499" s="38" t="n">
        <f aca="false">Sens!$O$10480</f>
        <v>68.585</v>
      </c>
    </row>
    <row r="10500" customFormat="false" ht="15" hidden="false" customHeight="false" outlineLevel="0" collapsed="false">
      <c r="A10500" s="1" t="s">
        <v>519</v>
      </c>
      <c r="B10500" s="8" t="s">
        <v>86</v>
      </c>
      <c r="C10500" s="38" t="n">
        <f aca="false">Sens!$C$10410</f>
        <v>387.497</v>
      </c>
      <c r="D10500" s="38" t="n">
        <f aca="false">Sens!$D$10410</f>
        <v>426.305</v>
      </c>
      <c r="E10500" s="38" t="n">
        <f aca="false">Sens!$E$10410</f>
        <v>220.32</v>
      </c>
      <c r="F10500" s="38" t="n">
        <f aca="false">Sens!$F$10410</f>
        <v>250.639773480586</v>
      </c>
      <c r="G10500" s="38" t="n">
        <f aca="false">Sens!$G$10410</f>
        <v>470.959773480586</v>
      </c>
      <c r="H10500" s="38" t="n">
        <f aca="false">Sens!$H$10410</f>
        <v>521.386990416437</v>
      </c>
      <c r="I10500" s="38" t="n">
        <f aca="false">Sens!$I$10410</f>
        <v>570.143862887555</v>
      </c>
      <c r="J10500" s="38" t="n">
        <f aca="false">Sens!$J$10410</f>
        <v>615.391435791933</v>
      </c>
      <c r="K10500" s="38" t="n">
        <f aca="false">Sens!$K$10410</f>
        <v>655.208227561543</v>
      </c>
      <c r="L10500" s="38" t="n">
        <f aca="false">Sens!$L$10410</f>
        <v>697.807739249767</v>
      </c>
      <c r="M10500" s="38" t="n">
        <f aca="false">Sens!$M$10410</f>
        <v>743.399328463592</v>
      </c>
      <c r="N10500" s="38" t="n">
        <f aca="false">Sens!$N$10410</f>
        <v>192.955</v>
      </c>
      <c r="O10500" s="38" t="n">
        <f aca="false">Sens!$O$10410</f>
        <v>233.35</v>
      </c>
    </row>
    <row r="10501" customFormat="false" ht="15" hidden="false" customHeight="false" outlineLevel="0" collapsed="false">
      <c r="A10501" s="1" t="s">
        <v>522</v>
      </c>
      <c r="B10501" s="8" t="s">
        <v>86</v>
      </c>
      <c r="C10501" s="38" t="n">
        <f aca="false">Sens!$C$10411</f>
        <v>142.906</v>
      </c>
      <c r="D10501" s="38" t="n">
        <f aca="false">Sens!$D$10411</f>
        <v>161.894</v>
      </c>
      <c r="E10501" s="38" t="n">
        <f aca="false">Sens!$E$10411</f>
        <v>81.986</v>
      </c>
      <c r="F10501" s="38" t="n">
        <f aca="false">Sens!$F$10411</f>
        <v>98.408468164951</v>
      </c>
      <c r="G10501" s="38" t="n">
        <f aca="false">Sens!$G$10411</f>
        <v>180.394468164951</v>
      </c>
      <c r="H10501" s="38" t="n">
        <f aca="false">Sens!$H$10411</f>
        <v>199.709899104949</v>
      </c>
      <c r="I10501" s="38" t="n">
        <f aca="false">Sens!$I$10411</f>
        <v>218.385528264976</v>
      </c>
      <c r="J10501" s="38" t="n">
        <f aca="false">Sens!$J$10411</f>
        <v>235.71696994951</v>
      </c>
      <c r="K10501" s="38" t="n">
        <f aca="false">Sens!$K$10411</f>
        <v>250.968227869545</v>
      </c>
      <c r="L10501" s="38" t="n">
        <f aca="false">Sens!$L$10411</f>
        <v>267.285367225822</v>
      </c>
      <c r="M10501" s="38" t="n">
        <f aca="false">Sens!$M$10411</f>
        <v>284.748579483295</v>
      </c>
      <c r="N10501" s="38" t="n">
        <f aca="false">Sens!$N$10411</f>
        <v>70.274</v>
      </c>
      <c r="O10501" s="38" t="n">
        <f aca="false">Sens!$O$10411</f>
        <v>91.62</v>
      </c>
    </row>
    <row r="10502" customFormat="false" ht="15" hidden="false" customHeight="false" outlineLevel="0" collapsed="false">
      <c r="A10502" s="1" t="s">
        <v>523</v>
      </c>
      <c r="B10502" s="8" t="s">
        <v>86</v>
      </c>
      <c r="C10502" s="38" t="n">
        <f aca="false">Sens!$C$10480</f>
        <v>107.556</v>
      </c>
      <c r="D10502" s="38" t="n">
        <f aca="false">Sens!$D$10480</f>
        <v>128.725</v>
      </c>
      <c r="E10502" s="38" t="n">
        <f aca="false">Sens!$E$10480</f>
        <v>79.819</v>
      </c>
      <c r="F10502" s="38" t="n">
        <f aca="false">Sens!$F$10480</f>
        <v>86.7327334389669</v>
      </c>
      <c r="G10502" s="38" t="n">
        <f aca="false">Sens!$G$10480</f>
        <v>166.551733438967</v>
      </c>
      <c r="H10502" s="38" t="n">
        <f aca="false">Sens!$H$10480</f>
        <v>221.182967828978</v>
      </c>
      <c r="I10502" s="38" t="n">
        <f aca="false">Sens!$I$10480</f>
        <v>280.27345865789</v>
      </c>
      <c r="J10502" s="38" t="n">
        <f aca="false">Sens!$J$10480</f>
        <v>338.800945197185</v>
      </c>
      <c r="K10502" s="38" t="n">
        <f aca="false">Sens!$K$10480</f>
        <v>389.88570147276</v>
      </c>
      <c r="L10502" s="38" t="n">
        <f aca="false">Sens!$L$10480</f>
        <v>430.080689379143</v>
      </c>
      <c r="M10502" s="38" t="n">
        <f aca="false">Sens!$M$10480</f>
        <v>459.456235951751</v>
      </c>
      <c r="N10502" s="38" t="n">
        <f aca="false">Sens!$N$10480</f>
        <v>60.14</v>
      </c>
      <c r="O10502" s="38" t="n">
        <f aca="false">Sens!$O$10480</f>
        <v>68.585</v>
      </c>
    </row>
    <row r="10503" customFormat="false" ht="17.15" hidden="false" customHeight="false" outlineLevel="0" collapsed="false">
      <c r="A10503" s="0" t="s">
        <v>702</v>
      </c>
      <c r="B10503" s="0" t="s">
        <v>86</v>
      </c>
      <c r="C10503" s="38" t="n">
        <f aca="false">Sens!$C$10478</f>
        <v>2.32100535697364</v>
      </c>
      <c r="D10503" s="38" t="n">
        <f aca="false">Sens!$D$10478</f>
        <v>8.70377008865116</v>
      </c>
      <c r="E10503" s="38" t="n">
        <f aca="false">Sens!$E$10478</f>
        <v>8.51035297557002</v>
      </c>
      <c r="F10503" s="38" t="n">
        <f aca="false">Sens!$F$10478</f>
        <v>14.9634336447205</v>
      </c>
      <c r="G10503" s="38" t="n">
        <f aca="false">Sens!$G$10478</f>
        <v>23.4737866202905</v>
      </c>
      <c r="H10503" s="38" t="n">
        <f aca="false">Sens!$H$10478</f>
        <v>60.1658907497746</v>
      </c>
      <c r="I10503" s="38" t="n">
        <f aca="false">Sens!$I$10478</f>
        <v>101.503699136432</v>
      </c>
      <c r="J10503" s="38" t="n">
        <f aca="false">Sens!$J$10478</f>
        <v>143.025407151278</v>
      </c>
      <c r="K10503" s="38" t="n">
        <f aca="false">Sens!$K$10478</f>
        <v>178.44812038318</v>
      </c>
      <c r="L10503" s="38" t="n">
        <f aca="false">Sens!$L$10478</f>
        <v>201.728101802396</v>
      </c>
      <c r="M10503" s="38" t="n">
        <f aca="false">Sens!$M$10478</f>
        <v>212.835441368865</v>
      </c>
      <c r="N10503" s="38" t="n">
        <f aca="false">Sens!$N$10478</f>
        <v>3.04631953102791</v>
      </c>
      <c r="O10503" s="38" t="n">
        <f aca="false">Sens!$O$10478</f>
        <v>5.65745055762326</v>
      </c>
    </row>
    <row r="10504" customFormat="false" ht="17.15" hidden="false" customHeight="false" outlineLevel="0" collapsed="false">
      <c r="A10504" s="0" t="s">
        <v>704</v>
      </c>
      <c r="B10504" s="0" t="s">
        <v>86</v>
      </c>
      <c r="C10504" s="38" t="n">
        <f aca="false">Sens!$C$10479</f>
        <v>105.234994643026</v>
      </c>
      <c r="D10504" s="38" t="n">
        <f aca="false">Sens!$D$10479</f>
        <v>120.021229911349</v>
      </c>
      <c r="E10504" s="38" t="n">
        <f aca="false">Sens!$E$10479</f>
        <v>71.30864702443</v>
      </c>
      <c r="F10504" s="38" t="n">
        <f aca="false">Sens!$F$10479</f>
        <v>71.7692997942464</v>
      </c>
      <c r="G10504" s="38" t="n">
        <f aca="false">Sens!$G$10479</f>
        <v>143.077946818676</v>
      </c>
      <c r="H10504" s="38" t="n">
        <f aca="false">Sens!$H$10479</f>
        <v>161.017077079203</v>
      </c>
      <c r="I10504" s="38" t="n">
        <f aca="false">Sens!$I$10479</f>
        <v>178.769759521457</v>
      </c>
      <c r="J10504" s="38" t="n">
        <f aca="false">Sens!$J$10479</f>
        <v>195.775538045907</v>
      </c>
      <c r="K10504" s="38" t="n">
        <f aca="false">Sens!$K$10479</f>
        <v>211.43758108958</v>
      </c>
      <c r="L10504" s="38" t="n">
        <f aca="false">Sens!$L$10479</f>
        <v>228.352587576746</v>
      </c>
      <c r="M10504" s="38" t="n">
        <f aca="false">Sens!$M$10479</f>
        <v>246.620794582886</v>
      </c>
      <c r="N10504" s="38" t="n">
        <f aca="false">Sens!$N$10479</f>
        <v>57.0936804689721</v>
      </c>
      <c r="O10504" s="38" t="n">
        <f aca="false">Sens!$O$10479</f>
        <v>62.9275494423768</v>
      </c>
    </row>
    <row r="10505" customFormat="false" ht="15" hidden="false" customHeight="false" outlineLevel="0" collapsed="false">
      <c r="A10505" s="3" t="s">
        <v>524</v>
      </c>
      <c r="B10505" s="8" t="s">
        <v>86</v>
      </c>
      <c r="C10505" s="38" t="n">
        <f aca="false">Sens!$C$10481</f>
        <v>637.959</v>
      </c>
      <c r="D10505" s="38" t="n">
        <f aca="false">Sens!$D$10481</f>
        <v>716.924</v>
      </c>
      <c r="E10505" s="38" t="n">
        <f aca="false">Sens!$E$10481</f>
        <v>382.125</v>
      </c>
      <c r="F10505" s="38" t="n">
        <f aca="false">Sens!$F$10481</f>
        <v>435.780975084504</v>
      </c>
      <c r="G10505" s="38" t="n">
        <f aca="false">Sens!$G$10481</f>
        <v>817.905975084504</v>
      </c>
      <c r="H10505" s="38" t="n">
        <f aca="false">Sens!$H$10481</f>
        <v>942.279857350364</v>
      </c>
      <c r="I10505" s="38" t="n">
        <f aca="false">Sens!$I$10481</f>
        <v>1068.80284981042</v>
      </c>
      <c r="J10505" s="38" t="n">
        <f aca="false">Sens!$J$10481</f>
        <v>1189.90935093863</v>
      </c>
      <c r="K10505" s="38" t="n">
        <f aca="false">Sens!$K$10481</f>
        <v>1296.06215690385</v>
      </c>
      <c r="L10505" s="38" t="n">
        <f aca="false">Sens!$L$10481</f>
        <v>1395.17379585473</v>
      </c>
      <c r="M10505" s="38" t="n">
        <f aca="false">Sens!$M$10481</f>
        <v>1487.60414389864</v>
      </c>
      <c r="N10505" s="38" t="n">
        <f aca="false">Sens!$N$10481</f>
        <v>323.369</v>
      </c>
      <c r="O10505" s="38" t="n">
        <f aca="false">Sens!$O$10481</f>
        <v>393.555</v>
      </c>
    </row>
    <row r="10506" customFormat="false" ht="17.15" hidden="false" customHeight="false" outlineLevel="0" collapsed="false">
      <c r="A10506" s="24" t="s">
        <v>714</v>
      </c>
      <c r="B10506" s="25" t="s">
        <v>86</v>
      </c>
      <c r="C10506" s="41" t="n">
        <f aca="false">Sens!$C$10493+Sens!$C$10494+Sens!$C$10495+Sens!$C$10496+Sens!$C$10497+Sens!$C$10498-(Sens!$C$10500+Sens!$C$10501)</f>
        <v>0</v>
      </c>
      <c r="D10506" s="41" t="n">
        <f aca="false">Sens!$D$10493+Sens!$D$10494+Sens!$D$10495+Sens!$D$10496+Sens!$D$10497+Sens!$D$10498-(Sens!$D$10500+Sens!$D$10501)</f>
        <v>0</v>
      </c>
      <c r="E10506" s="41" t="n">
        <f aca="false">Sens!$E$10493+Sens!$E$10494+Sens!$E$10495+Sens!$E$10496+Sens!$E$10497+Sens!$E$10498-(Sens!$E$10500+Sens!$E$10501)</f>
        <v>0</v>
      </c>
      <c r="F10506" s="41" t="n">
        <f aca="false">Sens!$F$10493+Sens!$F$10494+Sens!$F$10495+Sens!$F$10496+Sens!$F$10497+Sens!$F$10498-(Sens!$F$10500+Sens!$F$10501)</f>
        <v>0</v>
      </c>
      <c r="G10506" s="41" t="n">
        <f aca="false">Sens!$G$10493+Sens!$G$10494+Sens!$G$10495+Sens!$G$10496+Sens!$G$10497+Sens!$G$10498-(Sens!$G$10500+Sens!$G$10501)</f>
        <v>0</v>
      </c>
      <c r="H10506" s="41" t="n">
        <f aca="false">Sens!$H$10493+Sens!$H$10494+Sens!$H$10495+Sens!$H$10496+Sens!$H$10497+Sens!$H$10498-(Sens!$H$10500+Sens!$H$10501)</f>
        <v>0</v>
      </c>
      <c r="I10506" s="41" t="n">
        <f aca="false">Sens!$I$10493+Sens!$I$10494+Sens!$I$10495+Sens!$I$10496+Sens!$I$10497+Sens!$I$10498-(Sens!$I$10500+Sens!$I$10501)</f>
        <v>0</v>
      </c>
      <c r="J10506" s="41" t="n">
        <f aca="false">Sens!$J$10493+Sens!$J$10494+Sens!$J$10495+Sens!$J$10496+Sens!$J$10497+Sens!$J$10498-(Sens!$J$10500+Sens!$J$10501)</f>
        <v>0</v>
      </c>
      <c r="K10506" s="41" t="n">
        <f aca="false">Sens!$K$10493+Sens!$K$10494+Sens!$K$10495+Sens!$K$10496+Sens!$K$10497+Sens!$K$10498-(Sens!$K$10500+Sens!$K$10501)</f>
        <v>0</v>
      </c>
      <c r="L10506" s="41" t="n">
        <f aca="false">Sens!$L$10493+Sens!$L$10494+Sens!$L$10495+Sens!$L$10496+Sens!$L$10497+Sens!$L$10498-(Sens!$L$10500+Sens!$L$10501)</f>
        <v>0</v>
      </c>
      <c r="M10506" s="41" t="n">
        <f aca="false">Sens!$M$10493+Sens!$M$10494+Sens!$M$10495+Sens!$M$10496+Sens!$M$10497+Sens!$M$10498-(Sens!$M$10500+Sens!$M$10501)</f>
        <v>0</v>
      </c>
      <c r="N10506" s="41" t="n">
        <f aca="false">Sens!$N$10493+Sens!$N$10494+Sens!$N$10495+Sens!$N$10496+Sens!$N$10497+Sens!$N$10498-(Sens!$N$10500+Sens!$N$10501)</f>
        <v>0</v>
      </c>
      <c r="O10506" s="41" t="n">
        <f aca="false">Sens!$O$10493+Sens!$O$10494+Sens!$O$10495+Sens!$O$10496+Sens!$O$10497+Sens!$O$10498-(Sens!$O$10500+Sens!$O$10501)</f>
        <v>0</v>
      </c>
    </row>
    <row r="10507" customFormat="false" ht="17.15" hidden="false" customHeight="false" outlineLevel="0" collapsed="false">
      <c r="A10507" s="24" t="s">
        <v>715</v>
      </c>
      <c r="B10507" s="25" t="s">
        <v>86</v>
      </c>
      <c r="C10507" s="41" t="n">
        <f aca="false">Sens!$C$10503+Sens!$C$10504-Sens!$C$10502</f>
        <v>0</v>
      </c>
      <c r="D10507" s="41" t="n">
        <f aca="false">Sens!$D$10503+Sens!$D$10504-Sens!$D$10502</f>
        <v>0</v>
      </c>
      <c r="E10507" s="41" t="n">
        <f aca="false">Sens!$E$10503+Sens!$E$10504-Sens!$E$10502</f>
        <v>0</v>
      </c>
      <c r="F10507" s="41" t="n">
        <f aca="false">Sens!$F$10503+Sens!$F$10504-Sens!$F$10502</f>
        <v>0</v>
      </c>
      <c r="G10507" s="41" t="n">
        <f aca="false">Sens!$G$10503+Sens!$G$10504-Sens!$G$10502</f>
        <v>0</v>
      </c>
      <c r="H10507" s="41" t="n">
        <f aca="false">Sens!$H$10503+Sens!$H$10504-Sens!$H$10502</f>
        <v>0</v>
      </c>
      <c r="I10507" s="41" t="n">
        <f aca="false">Sens!$I$10503+Sens!$I$10504-Sens!$I$10502</f>
        <v>0</v>
      </c>
      <c r="J10507" s="41" t="n">
        <f aca="false">Sens!$J$10503+Sens!$J$10504-Sens!$J$10502</f>
        <v>0</v>
      </c>
      <c r="K10507" s="41" t="n">
        <f aca="false">Sens!$K$10503+Sens!$K$10504-Sens!$K$10502</f>
        <v>0</v>
      </c>
      <c r="L10507" s="41" t="n">
        <f aca="false">Sens!$L$10503+Sens!$L$10504-Sens!$L$10502</f>
        <v>0</v>
      </c>
      <c r="M10507" s="41" t="n">
        <f aca="false">Sens!$M$10503+Sens!$M$10504-Sens!$M$10502</f>
        <v>0</v>
      </c>
      <c r="N10507" s="41" t="n">
        <f aca="false">Sens!$N$10503+Sens!$N$10504-Sens!$N$10502</f>
        <v>0</v>
      </c>
      <c r="O10507" s="41" t="n">
        <f aca="false">Sens!$O$10503+Sens!$O$10504-Sens!$O$10502</f>
        <v>0</v>
      </c>
    </row>
    <row r="10508" customFormat="false" ht="17.15" hidden="false" customHeight="false" outlineLevel="0" collapsed="false">
      <c r="A10508" s="24" t="s">
        <v>774</v>
      </c>
      <c r="B10508" s="25" t="s">
        <v>86</v>
      </c>
      <c r="C10508" s="41" t="n">
        <f aca="false">Sens!$C$10493+Sens!$C$10494+Sens!$C$10495+Sens!$C$10496+Sens!$C$10497+Sens!$C$10498+Sens!$C$10499-Sens!$C$10505</f>
        <v>0</v>
      </c>
      <c r="D10508" s="41" t="n">
        <f aca="false">Sens!$D$10493+Sens!$D$10494+Sens!$D$10495+Sens!$D$10496+Sens!$D$10497+Sens!$D$10498+Sens!$D$10499-Sens!$D$10505</f>
        <v>0</v>
      </c>
      <c r="E10508" s="41" t="n">
        <f aca="false">Sens!$E$10493+Sens!$E$10494+Sens!$E$10495+Sens!$E$10496+Sens!$E$10497+Sens!$E$10498+Sens!$E$10499-Sens!$E$10505</f>
        <v>0</v>
      </c>
      <c r="F10508" s="41" t="n">
        <f aca="false">Sens!$F$10493+Sens!$F$10494+Sens!$F$10495+Sens!$F$10496+Sens!$F$10497+Sens!$F$10498+Sens!$F$10499-Sens!$F$10505</f>
        <v>0</v>
      </c>
      <c r="G10508" s="41" t="n">
        <f aca="false">Sens!$G$10493+Sens!$G$10494+Sens!$G$10495+Sens!$G$10496+Sens!$G$10497+Sens!$G$10498+Sens!$G$10499-Sens!$G$10505</f>
        <v>0</v>
      </c>
      <c r="H10508" s="41" t="n">
        <f aca="false">Sens!$H$10493+Sens!$H$10494+Sens!$H$10495+Sens!$H$10496+Sens!$H$10497+Sens!$H$10498+Sens!$H$10499-Sens!$H$10505</f>
        <v>0</v>
      </c>
      <c r="I10508" s="41" t="n">
        <f aca="false">Sens!$I$10493+Sens!$I$10494+Sens!$I$10495+Sens!$I$10496+Sens!$I$10497+Sens!$I$10498+Sens!$I$10499-Sens!$I$10505</f>
        <v>0</v>
      </c>
      <c r="J10508" s="41" t="n">
        <f aca="false">Sens!$J$10493+Sens!$J$10494+Sens!$J$10495+Sens!$J$10496+Sens!$J$10497+Sens!$J$10498+Sens!$J$10499-Sens!$J$10505</f>
        <v>0</v>
      </c>
      <c r="K10508" s="41" t="n">
        <f aca="false">Sens!$K$10493+Sens!$K$10494+Sens!$K$10495+Sens!$K$10496+Sens!$K$10497+Sens!$K$10498+Sens!$K$10499-Sens!$K$10505</f>
        <v>0</v>
      </c>
      <c r="L10508" s="41" t="n">
        <f aca="false">Sens!$L$10493+Sens!$L$10494+Sens!$L$10495+Sens!$L$10496+Sens!$L$10497+Sens!$L$10498+Sens!$L$10499-Sens!$L$10505</f>
        <v>0</v>
      </c>
      <c r="M10508" s="41" t="n">
        <f aca="false">Sens!$M$10493+Sens!$M$10494+Sens!$M$10495+Sens!$M$10496+Sens!$M$10497+Sens!$M$10498+Sens!$M$10499-Sens!$M$10505</f>
        <v>0</v>
      </c>
      <c r="N10508" s="41" t="n">
        <f aca="false">Sens!$N$10493+Sens!$N$10494+Sens!$N$10495+Sens!$N$10496+Sens!$N$10497+Sens!$N$10498+Sens!$N$10499-Sens!$N$10505</f>
        <v>0</v>
      </c>
      <c r="O10508" s="41" t="n">
        <f aca="false">Sens!$O$10493+Sens!$O$10494+Sens!$O$10495+Sens!$O$10496+Sens!$O$10497+Sens!$O$10498+Sens!$O$10499-Sens!$O$10505</f>
        <v>0</v>
      </c>
    </row>
    <row r="10509" customFormat="false" ht="17.15" hidden="false" customHeight="false" outlineLevel="0" collapsed="false">
      <c r="A10509" s="24" t="s">
        <v>716</v>
      </c>
      <c r="B10509" s="25" t="s">
        <v>86</v>
      </c>
      <c r="C10509" s="41" t="n">
        <f aca="false">Sens!$C$10500+Sens!$C$10501+Sens!$C$10502-Sens!$C$10505</f>
        <v>0</v>
      </c>
      <c r="D10509" s="41" t="n">
        <f aca="false">Sens!$D$10500+Sens!$D$10501+Sens!$D$10502-Sens!$D$10505</f>
        <v>0</v>
      </c>
      <c r="E10509" s="41" t="n">
        <f aca="false">Sens!$E$10500+Sens!$E$10501+Sens!$E$10502-Sens!$E$10505</f>
        <v>0</v>
      </c>
      <c r="F10509" s="41" t="n">
        <f aca="false">Sens!$F$10500+Sens!$F$10501+Sens!$F$10502-Sens!$F$10505</f>
        <v>0</v>
      </c>
      <c r="G10509" s="41" t="n">
        <f aca="false">Sens!$G$10500+Sens!$G$10501+Sens!$G$10502-Sens!$G$10505</f>
        <v>0</v>
      </c>
      <c r="H10509" s="41" t="n">
        <f aca="false">Sens!$H$10500+Sens!$H$10501+Sens!$H$10502-Sens!$H$10505</f>
        <v>0</v>
      </c>
      <c r="I10509" s="41" t="n">
        <f aca="false">Sens!$I$10500+Sens!$I$10501+Sens!$I$10502-Sens!$I$10505</f>
        <v>0</v>
      </c>
      <c r="J10509" s="41" t="n">
        <f aca="false">Sens!$J$10500+Sens!$J$10501+Sens!$J$10502-Sens!$J$10505</f>
        <v>0</v>
      </c>
      <c r="K10509" s="41" t="n">
        <f aca="false">Sens!$K$10500+Sens!$K$10501+Sens!$K$10502-Sens!$K$10505</f>
        <v>0</v>
      </c>
      <c r="L10509" s="41" t="n">
        <f aca="false">Sens!$L$10500+Sens!$L$10501+Sens!$L$10502-Sens!$L$10505</f>
        <v>0</v>
      </c>
      <c r="M10509" s="41" t="n">
        <f aca="false">Sens!$M$10500+Sens!$M$10501+Sens!$M$10502-Sens!$M$10505</f>
        <v>0</v>
      </c>
      <c r="N10509" s="41" t="n">
        <f aca="false">Sens!$N$10500+Sens!$N$10501+Sens!$N$10502-Sens!$N$10505</f>
        <v>0</v>
      </c>
      <c r="O10509" s="41" t="n">
        <f aca="false">Sens!$O$10500+Sens!$O$10501+Sens!$O$10502-Sens!$O$10505</f>
        <v>0</v>
      </c>
    </row>
    <row r="10510" customFormat="false" ht="17.15" hidden="false" customHeight="false" outlineLevel="0" collapsed="false">
      <c r="A10510" s="1" t="s">
        <v>730</v>
      </c>
    </row>
    <row r="10511" customFormat="false" ht="17.15" hidden="false" customHeight="false" outlineLevel="0" collapsed="false">
      <c r="A10511" s="0" t="s">
        <v>731</v>
      </c>
      <c r="B10511" s="0" t="s">
        <v>86</v>
      </c>
      <c r="C10511" s="38" t="n">
        <f aca="false">Sens!$C$10412*m_ad</f>
        <v>20.5341564414228</v>
      </c>
      <c r="D10511" s="38" t="n">
        <f aca="false">Sens!$D$10412*m_ad</f>
        <v>24.8720617299587</v>
      </c>
      <c r="E10511" s="38" t="n">
        <f aca="false">Sens!$E$10412*m_ad</f>
        <v>13.5017112462207</v>
      </c>
      <c r="F10511" s="38" t="n">
        <f aca="false">Sens!$F$10412*m_ad</f>
        <v>16.5719724165257</v>
      </c>
      <c r="G10511" s="38" t="n">
        <f aca="false">Sens!$G$10412*m_ad</f>
        <v>30.0820919220415</v>
      </c>
      <c r="H10511" s="38" t="n">
        <f aca="false">Sens!$H$10412*m_ad</f>
        <v>36.1150883276314</v>
      </c>
      <c r="I10511" s="38" t="n">
        <f aca="false">Sens!$I$10412*m_ad</f>
        <v>42.1475382231996</v>
      </c>
      <c r="J10511" s="38" t="n">
        <f aca="false">Sens!$J$10412*m_ad</f>
        <v>47.7749523864693</v>
      </c>
      <c r="K10511" s="38" t="n">
        <f aca="false">Sens!$K$10412*m_ad</f>
        <v>52.5524476251162</v>
      </c>
      <c r="L10511" s="38" t="n">
        <f aca="false">Sens!$L$10412*m_ad</f>
        <v>57.8076923876279</v>
      </c>
      <c r="M10511" s="38" t="n">
        <f aca="false">Sens!$M$10412*m_ad</f>
        <v>63.5884616263907</v>
      </c>
      <c r="N10511" s="38" t="n">
        <f aca="false">Sens!$N$10412*m_ad</f>
        <v>10.8543555706248</v>
      </c>
      <c r="O10511" s="38" t="n">
        <f aca="false">Sens!$O$10412*m_ad</f>
        <v>14.0094731821399</v>
      </c>
    </row>
    <row r="10512" customFormat="false" ht="17.15" hidden="false" customHeight="false" outlineLevel="0" collapsed="false">
      <c r="A10512" s="0" t="s">
        <v>732</v>
      </c>
      <c r="B10512" s="0" t="s">
        <v>86</v>
      </c>
      <c r="C10512" s="38" t="n">
        <f aca="false">Sens!$C$10410-Sens!$C$10412</f>
        <v>346.428687117154</v>
      </c>
      <c r="D10512" s="38" t="n">
        <f aca="false">Sens!$D$10410-Sens!$D$10412</f>
        <v>376.560876540083</v>
      </c>
      <c r="E10512" s="38" t="n">
        <f aca="false">Sens!$E$10410-Sens!$E$10412</f>
        <v>193.316577507559</v>
      </c>
      <c r="F10512" s="38" t="n">
        <f aca="false">Sens!$F$10410-Sens!$F$10412</f>
        <v>217.495828647535</v>
      </c>
      <c r="G10512" s="38" t="n">
        <f aca="false">Sens!$G$10410-Sens!$G$10412</f>
        <v>410.795589636503</v>
      </c>
      <c r="H10512" s="38" t="n">
        <f aca="false">Sens!$H$10410-Sens!$H$10412</f>
        <v>449.156813761174</v>
      </c>
      <c r="I10512" s="38" t="n">
        <f aca="false">Sens!$I$10410-Sens!$I$10412</f>
        <v>485.848786441156</v>
      </c>
      <c r="J10512" s="38" t="n">
        <f aca="false">Sens!$J$10410-Sens!$J$10412</f>
        <v>519.841531018994</v>
      </c>
      <c r="K10512" s="38" t="n">
        <f aca="false">Sens!$K$10410-Sens!$K$10412</f>
        <v>550.103332311311</v>
      </c>
      <c r="L10512" s="38" t="n">
        <f aca="false">Sens!$L$10410-Sens!$L$10412</f>
        <v>582.192354474511</v>
      </c>
      <c r="M10512" s="38" t="n">
        <f aca="false">Sens!$M$10410-Sens!$M$10412</f>
        <v>616.22240521081</v>
      </c>
      <c r="N10512" s="38" t="n">
        <f aca="false">Sens!$N$10410-Sens!$N$10412</f>
        <v>171.24628885875</v>
      </c>
      <c r="O10512" s="38" t="n">
        <f aca="false">Sens!$O$10410-Sens!$O$10412</f>
        <v>205.33105363572</v>
      </c>
    </row>
    <row r="10513" customFormat="false" ht="17.15" hidden="false" customHeight="false" outlineLevel="0" collapsed="false">
      <c r="A10513" s="0" t="s">
        <v>733</v>
      </c>
      <c r="B10513" s="0" t="s">
        <v>86</v>
      </c>
      <c r="C10513" s="38" t="n">
        <f aca="false">Sens!$C$10464*Sens!$C$10409</f>
        <v>0.123617442257179</v>
      </c>
      <c r="D10513" s="38" t="n">
        <f aca="false">Sens!$D$10464*Sens!$D$10409</f>
        <v>0.600198046024689</v>
      </c>
      <c r="E10513" s="38" t="n">
        <f aca="false">Sens!$E$10464*Sens!$E$10409</f>
        <v>1.10840000750276</v>
      </c>
      <c r="F10513" s="38" t="n">
        <f aca="false">Sens!$F$10464*Sens!$F$10409</f>
        <v>1.33595298721025</v>
      </c>
      <c r="G10513" s="38" t="n">
        <f aca="false">Sens!$G$10464*Sens!$G$10409</f>
        <v>2.44487335052545</v>
      </c>
      <c r="H10513" s="38" t="n">
        <f aca="false">Sens!$H$10464*Sens!$H$10409</f>
        <v>6.63132711939388</v>
      </c>
      <c r="I10513" s="38" t="n">
        <f aca="false">Sens!$I$10464*Sens!$I$10409</f>
        <v>12.7486799258504</v>
      </c>
      <c r="J10513" s="38" t="n">
        <f aca="false">Sens!$J$10464*Sens!$J$10409</f>
        <v>18.4074045299415</v>
      </c>
      <c r="K10513" s="38" t="n">
        <f aca="false">Sens!$K$10464*Sens!$K$10409</f>
        <v>23.9455472348705</v>
      </c>
      <c r="L10513" s="38" t="n">
        <f aca="false">Sens!$L$10464*Sens!$L$10409</f>
        <v>27.78179156216</v>
      </c>
      <c r="M10513" s="38" t="n">
        <f aca="false">Sens!$M$10464*Sens!$M$10409</f>
        <v>29.9029027327362</v>
      </c>
      <c r="N10513" s="38" t="n">
        <f aca="false">Sens!$N$10464*Sens!$N$10409</f>
        <v>0.25053229484398</v>
      </c>
      <c r="O10513" s="38" t="n">
        <f aca="false">Sens!$O$10464*Sens!$O$10409</f>
        <v>0.349234376756897</v>
      </c>
    </row>
    <row r="10514" customFormat="false" ht="17.15" hidden="false" customHeight="false" outlineLevel="0" collapsed="false">
      <c r="A10514" s="0" t="s">
        <v>734</v>
      </c>
      <c r="B10514" s="0" t="s">
        <v>52</v>
      </c>
      <c r="C10514" s="28" t="n">
        <f aca="false">(Sens!$C$10515-Sens!$C$10511+Sens!$C$10513)/Sens!$C$10512</f>
        <v>0.0131526665379575</v>
      </c>
      <c r="D10514" s="28" t="n">
        <f aca="false">(Sens!$D$10515-Sens!$D$10511+Sens!$D$10513)/Sens!$D$10512</f>
        <v>0.0141999252954702</v>
      </c>
      <c r="E10514" s="28" t="n">
        <f aca="false">(Sens!$E$10515-Sens!$E$10511+Sens!$E$10513)/Sens!$E$10512</f>
        <v>0.0258471819939326</v>
      </c>
      <c r="F10514" s="28" t="n">
        <f aca="false">Sens!$O$10514+(Sens!$E$10514-Sens!$N$10514)</f>
        <v>0.0224302350712874</v>
      </c>
      <c r="G10514" s="28" t="n">
        <f aca="false">(Sens!$G$10515-Sens!$G$10511+Sens!$G$10513)/Sens!$G$10512</f>
        <v>0.0240199351461372</v>
      </c>
      <c r="H10514" s="28" t="n">
        <f aca="false">Sens!$G$10514+step_na</f>
        <v>0.0270199351461372</v>
      </c>
      <c r="I10514" s="28" t="n">
        <f aca="false">Sens!$H$10514+step_na</f>
        <v>0.0300199351461372</v>
      </c>
      <c r="J10514" s="28" t="n">
        <f aca="false">Sens!$I$10514+step_na</f>
        <v>0.0330199351461372</v>
      </c>
      <c r="K10514" s="28" t="n">
        <f aca="false">Sens!$J$10514+step_na</f>
        <v>0.0360199351461372</v>
      </c>
      <c r="L10514" s="28" t="n">
        <f aca="false">Sens!$K$10514</f>
        <v>0.0360199351461372</v>
      </c>
      <c r="M10514" s="28" t="n">
        <f aca="false">Sens!$L$10514</f>
        <v>0.0360199351461372</v>
      </c>
      <c r="N10514" s="28" t="n">
        <f aca="false">(Sens!$N$10515-Sens!$N$10511+Sens!$N$10513)/Sens!$N$10512</f>
        <v>0.0160831323269779</v>
      </c>
      <c r="O10514" s="28" t="n">
        <f aca="false">(Sens!$O$10515-Sens!$O$10511+Sens!$O$10513)/Sens!$O$10512</f>
        <v>0.0126661854043327</v>
      </c>
      <c r="P10514" s="8" t="s">
        <v>735</v>
      </c>
    </row>
    <row r="10515" customFormat="false" ht="17.15" hidden="false" customHeight="false" outlineLevel="0" collapsed="false">
      <c r="A10515" s="1" t="s">
        <v>736</v>
      </c>
      <c r="B10515" s="8" t="s">
        <v>86</v>
      </c>
      <c r="C10515" s="38" t="n">
        <f aca="false">Q!$D$22</f>
        <v>24.967</v>
      </c>
      <c r="D10515" s="38" t="n">
        <f aca="false">Q!$E$22</f>
        <v>29.619</v>
      </c>
      <c r="E10515" s="38" t="n">
        <f aca="false">Q!$P$22</f>
        <v>17.39</v>
      </c>
      <c r="F10515" s="38" t="n">
        <f aca="false">Sens!$F$10511+Sens!$F$10512*Sens!$F$10514-Sens!$F$10513</f>
        <v>20.1145019929041</v>
      </c>
      <c r="G10515" s="38" t="n">
        <f aca="false">Sens!$E$10515+Sens!$F$10515</f>
        <v>37.5045019929041</v>
      </c>
      <c r="H10515" s="38" t="n">
        <f aca="false">Sens!$H$10511+Sens!$H$10512*Sens!$H$10514-Sens!$H$10513</f>
        <v>41.6199491865101</v>
      </c>
      <c r="I10515" s="38" t="n">
        <f aca="false">Sens!$I$10511+Sens!$I$10512*Sens!$I$10514-Sens!$I$10513</f>
        <v>43.9840073571422</v>
      </c>
      <c r="J10515" s="38" t="n">
        <f aca="false">Sens!$J$10511+Sens!$J$10512*Sens!$J$10514-Sens!$J$10513</f>
        <v>46.5326814970436</v>
      </c>
      <c r="K10515" s="38" t="n">
        <f aca="false">Sens!$K$10511+Sens!$K$10512*Sens!$K$10514-Sens!$K$10513</f>
        <v>48.4215867437731</v>
      </c>
      <c r="L10515" s="38" t="n">
        <f aca="false">Sens!$L$10511+Sens!$L$10512*Sens!$L$10514-Sens!$L$10513</f>
        <v>50.9964316762167</v>
      </c>
      <c r="M10515" s="38" t="n">
        <f aca="false">Sens!$M$10511+Sens!$M$10512*Sens!$M$10514-Sens!$M$10513</f>
        <v>55.8818499649445</v>
      </c>
      <c r="N10515" s="38" t="n">
        <f aca="false">Q!$N$22</f>
        <v>13.358</v>
      </c>
      <c r="O10515" s="38" t="n">
        <f aca="false">Q!$O$22</f>
        <v>16.261</v>
      </c>
    </row>
    <row r="10516" customFormat="false" ht="17.15" hidden="false" customHeight="false" outlineLevel="0" collapsed="false">
      <c r="A10516" s="0" t="s">
        <v>737</v>
      </c>
      <c r="B10516" s="0" t="s">
        <v>86</v>
      </c>
      <c r="C10516" s="38" t="n">
        <f aca="false">Sens!$C$10413*m_ad</f>
        <v>7.57284355857716</v>
      </c>
      <c r="D10516" s="38" t="n">
        <f aca="false">Sens!$D$10413*m_ad</f>
        <v>9.44543827004127</v>
      </c>
      <c r="E10516" s="38" t="n">
        <f aca="false">Sens!$E$10413*m_ad</f>
        <v>5.02428875377928</v>
      </c>
      <c r="F10516" s="38" t="n">
        <f aca="false">Sens!$F$10413*m_ad</f>
        <v>6.50663858068173</v>
      </c>
      <c r="G10516" s="38" t="n">
        <f aca="false">Sens!$G$10413*m_ad</f>
        <v>11.5225190751659</v>
      </c>
      <c r="H10516" s="38" t="n">
        <f aca="false">Sens!$H$10413*m_ad</f>
        <v>13.8333728663174</v>
      </c>
      <c r="I10516" s="38" t="n">
        <f aca="false">Sens!$I$10413*m_ad</f>
        <v>16.1440173245485</v>
      </c>
      <c r="J10516" s="38" t="n">
        <f aca="false">Sens!$J$10413*m_ad</f>
        <v>18.2995185845066</v>
      </c>
      <c r="K10516" s="38" t="n">
        <f aca="false">Sens!$K$10413*m_ad</f>
        <v>20.1294704429572</v>
      </c>
      <c r="L10516" s="38" t="n">
        <f aca="false">Sens!$L$10413*m_ad</f>
        <v>22.142417487253</v>
      </c>
      <c r="M10516" s="38" t="n">
        <f aca="false">Sens!$M$10413*m_ad</f>
        <v>24.3566592359783</v>
      </c>
      <c r="N10516" s="38" t="n">
        <f aca="false">Sens!$N$10413*m_ad</f>
        <v>3.95314442937518</v>
      </c>
      <c r="O10516" s="38" t="n">
        <f aca="false">Sens!$O$10413*m_ad</f>
        <v>5.50052681786011</v>
      </c>
    </row>
    <row r="10517" customFormat="false" ht="17.15" hidden="false" customHeight="false" outlineLevel="0" collapsed="false">
      <c r="A10517" s="0" t="s">
        <v>738</v>
      </c>
      <c r="B10517" s="0" t="s">
        <v>86</v>
      </c>
      <c r="C10517" s="38" t="n">
        <f aca="false">Sens!$C$10411-Sens!$C$10413</f>
        <v>127.760312882846</v>
      </c>
      <c r="D10517" s="38" t="n">
        <f aca="false">Sens!$D$10411-Sens!$D$10413</f>
        <v>143.003123459917</v>
      </c>
      <c r="E10517" s="38" t="n">
        <f aca="false">Sens!$E$10411-Sens!$E$10413</f>
        <v>71.9374224924414</v>
      </c>
      <c r="F10517" s="38" t="n">
        <f aca="false">Sens!$F$10411-Sens!$F$10413</f>
        <v>85.3951910035875</v>
      </c>
      <c r="G10517" s="38" t="n">
        <f aca="false">Sens!$G$10411-Sens!$G$10413</f>
        <v>157.349430014619</v>
      </c>
      <c r="H10517" s="38" t="n">
        <f aca="false">Sens!$H$10411-Sens!$H$10413</f>
        <v>172.043153372315</v>
      </c>
      <c r="I10517" s="38" t="n">
        <f aca="false">Sens!$I$10411-Sens!$I$10413</f>
        <v>186.097493615879</v>
      </c>
      <c r="J10517" s="38" t="n">
        <f aca="false">Sens!$J$10411-Sens!$J$10413</f>
        <v>199.117932780497</v>
      </c>
      <c r="K10517" s="38" t="n">
        <f aca="false">Sens!$K$10411-Sens!$K$10413</f>
        <v>210.70928698363</v>
      </c>
      <c r="L10517" s="38" t="n">
        <f aca="false">Sens!$L$10411-Sens!$L$10413</f>
        <v>223.000532251316</v>
      </c>
      <c r="M10517" s="38" t="n">
        <f aca="false">Sens!$M$10411-Sens!$M$10413</f>
        <v>236.035261011339</v>
      </c>
      <c r="N10517" s="38" t="n">
        <f aca="false">Sens!$N$10411-Sens!$N$10413</f>
        <v>62.3677111412496</v>
      </c>
      <c r="O10517" s="38" t="n">
        <f aca="false">Sens!$O$10411-Sens!$O$10413</f>
        <v>80.6189463642798</v>
      </c>
    </row>
    <row r="10518" customFormat="false" ht="17.15" hidden="false" customHeight="false" outlineLevel="0" collapsed="false">
      <c r="A10518" s="0" t="s">
        <v>739</v>
      </c>
      <c r="B10518" s="0" t="s">
        <v>86</v>
      </c>
      <c r="C10518" s="38" t="n">
        <f aca="false">Sens!$C$10464*(1-Sens!$C$10409)</f>
        <v>0.0455891896019953</v>
      </c>
      <c r="D10518" s="38" t="n">
        <f aca="false">Sens!$D$10464*(1-Sens!$D$10409)</f>
        <v>0.227931791705753</v>
      </c>
      <c r="E10518" s="38" t="n">
        <f aca="false">Sens!$E$10464*(1-Sens!$E$10409)</f>
        <v>0.412460434890711</v>
      </c>
      <c r="F10518" s="38" t="n">
        <f aca="false">Sens!$F$10464*(1-Sens!$F$10409)</f>
        <v>0.524534016233997</v>
      </c>
      <c r="G10518" s="38" t="n">
        <f aca="false">Sens!$G$10464*(1-Sens!$G$10409)</f>
        <v>0.936474095312266</v>
      </c>
      <c r="H10518" s="38" t="n">
        <f aca="false">Sens!$H$10464*(1-Sens!$H$10409)</f>
        <v>2.54003589327823</v>
      </c>
      <c r="I10518" s="38" t="n">
        <f aca="false">Sens!$I$10464*(1-Sens!$I$10409)</f>
        <v>4.88320120852905</v>
      </c>
      <c r="J10518" s="38" t="n">
        <f aca="false">Sens!$J$10464*(1-Sens!$J$10409)</f>
        <v>7.05069548920359</v>
      </c>
      <c r="K10518" s="38" t="n">
        <f aca="false">Sens!$K$10464*(1-Sens!$K$10409)</f>
        <v>9.17200258193867</v>
      </c>
      <c r="L10518" s="38" t="n">
        <f aca="false">Sens!$L$10464*(1-Sens!$L$10409)</f>
        <v>10.6414216154535</v>
      </c>
      <c r="M10518" s="38" t="n">
        <f aca="false">Sens!$M$10464*(1-Sens!$M$10409)</f>
        <v>11.4538831951485</v>
      </c>
      <c r="N10518" s="38" t="n">
        <f aca="false">Sens!$N$10464*(1-Sens!$N$10409)</f>
        <v>0.0912435878202994</v>
      </c>
      <c r="O10518" s="38" t="n">
        <f aca="false">Sens!$O$10464*(1-Sens!$O$10409)</f>
        <v>0.137119578309265</v>
      </c>
    </row>
    <row r="10519" customFormat="false" ht="17.15" hidden="false" customHeight="false" outlineLevel="0" collapsed="false">
      <c r="A10519" s="0" t="s">
        <v>740</v>
      </c>
      <c r="B10519" s="0" t="s">
        <v>52</v>
      </c>
      <c r="C10519" s="28" t="n">
        <f aca="false">(Sens!$C$10520-Sens!$C$10516+Sens!$C$10518)/Sens!$C$10517</f>
        <v>-0.0292364215826579</v>
      </c>
      <c r="D10519" s="28" t="n">
        <f aca="false">(Sens!$D$10520-Sens!$D$10516+Sens!$D$10518)/Sens!$D$10517</f>
        <v>-0.0312406216748665</v>
      </c>
      <c r="E10519" s="28" t="n">
        <f aca="false">(Sens!$E$10520-Sens!$E$10516+Sens!$E$10518)/Sens!$E$10517</f>
        <v>-0.0204459413185552</v>
      </c>
      <c r="F10519" s="28" t="n">
        <f aca="false">Sens!$O$10519+(Sens!$E$10519-Sens!$N$10519)</f>
        <v>-0.0375409290246314</v>
      </c>
      <c r="G10519" s="28" t="n">
        <f aca="false">(Sens!$G$10520-Sens!$G$10516+Sens!$G$10518)/Sens!$G$10517</f>
        <v>-0.0296712560031684</v>
      </c>
      <c r="H10519" s="28" t="n">
        <f aca="false">Sens!$G$10519+step_in</f>
        <v>-0.0296712560031684</v>
      </c>
      <c r="I10519" s="28" t="n">
        <f aca="false">Sens!$H$10519+step_in</f>
        <v>-0.0296712560031684</v>
      </c>
      <c r="J10519" s="28" t="n">
        <f aca="false">Sens!$I$10519+step_in</f>
        <v>-0.0296712560031684</v>
      </c>
      <c r="K10519" s="28" t="n">
        <f aca="false">Sens!$J$10519+step_in</f>
        <v>-0.0296712560031684</v>
      </c>
      <c r="L10519" s="28" t="n">
        <f aca="false">Sens!$K$10519</f>
        <v>-0.0296712560031684</v>
      </c>
      <c r="M10519" s="28" t="n">
        <f aca="false">Sens!$L$10519</f>
        <v>-0.0296712560031684</v>
      </c>
      <c r="N10519" s="28" t="n">
        <f aca="false">(Sens!$N$10520-Sens!$N$10516+Sens!$N$10518)/Sens!$N$10517</f>
        <v>-0.0216602600421776</v>
      </c>
      <c r="O10519" s="28" t="n">
        <f aca="false">(Sens!$O$10520-Sens!$O$10516+Sens!$O$10518)/Sens!$O$10517</f>
        <v>-0.0387552477482538</v>
      </c>
      <c r="P10519" s="8" t="s">
        <v>735</v>
      </c>
    </row>
    <row r="10520" customFormat="false" ht="17.15" hidden="false" customHeight="false" outlineLevel="0" collapsed="false">
      <c r="A10520" s="1" t="s">
        <v>741</v>
      </c>
      <c r="B10520" s="8" t="s">
        <v>86</v>
      </c>
      <c r="C10520" s="38" t="n">
        <f aca="false">Q!$D$23</f>
        <v>3.792</v>
      </c>
      <c r="D10520" s="38" t="n">
        <f aca="false">Q!$E$23</f>
        <v>4.75</v>
      </c>
      <c r="E10520" s="38" t="n">
        <f aca="false">Q!$P$23</f>
        <v>3.141</v>
      </c>
      <c r="F10520" s="38" t="n">
        <f aca="false">Sens!$F$10516+Sens!$F$10517*Sens!$F$10519-Sens!$F$10518</f>
        <v>2.77628975993721</v>
      </c>
      <c r="G10520" s="38" t="n">
        <f aca="false">Sens!$E$10520+Sens!$F$10520</f>
        <v>5.91728975993721</v>
      </c>
      <c r="H10520" s="38" t="n">
        <f aca="false">Sens!$H$10516+Sens!$H$10517*Sens!$H$10519-Sens!$H$10518</f>
        <v>6.18860052573681</v>
      </c>
      <c r="I10520" s="38" t="n">
        <f aca="false">Sens!$I$10516+Sens!$I$10517*Sens!$I$10519-Sens!$I$10518</f>
        <v>5.73906974139474</v>
      </c>
      <c r="J10520" s="38" t="n">
        <f aca="false">Sens!$J$10516+Sens!$J$10517*Sens!$J$10519-Sens!$J$10518</f>
        <v>5.34074393695119</v>
      </c>
      <c r="K10520" s="38" t="n">
        <f aca="false">Sens!$K$10516+Sens!$K$10517*Sens!$K$10519-Sens!$K$10518</f>
        <v>4.7054586646822</v>
      </c>
      <c r="L10520" s="38" t="n">
        <f aca="false">Sens!$L$10516+Sens!$L$10517*Sens!$L$10519-Sens!$L$10518</f>
        <v>4.88428999052786</v>
      </c>
      <c r="M10520" s="38" t="n">
        <f aca="false">Sens!$M$10516+Sens!$M$10517*Sens!$M$10519-Sens!$M$10518</f>
        <v>5.89931338558769</v>
      </c>
      <c r="N10520" s="38" t="n">
        <f aca="false">Q!$N$23</f>
        <v>2.511</v>
      </c>
      <c r="O10520" s="38" t="n">
        <f aca="false">Q!$O$23</f>
        <v>2.239</v>
      </c>
    </row>
    <row r="10521" customFormat="false" ht="17.15" hidden="false" customHeight="false" outlineLevel="0" collapsed="false">
      <c r="A10521" s="0" t="s">
        <v>742</v>
      </c>
      <c r="B10521" s="0" t="s">
        <v>86</v>
      </c>
      <c r="C10521" s="38" t="n">
        <f aca="false">Sens!$C$10461</f>
        <v>1.64417882953695</v>
      </c>
      <c r="D10521" s="38" t="n">
        <f aca="false">Sens!$D$10461</f>
        <v>5.39125073772939</v>
      </c>
      <c r="E10521" s="38" t="n">
        <f aca="false">Sens!$E$10461</f>
        <v>2.42691120599613</v>
      </c>
      <c r="F10521" s="38" t="n">
        <f aca="false">Sens!$F$10461</f>
        <v>7.52148563094346</v>
      </c>
      <c r="G10521" s="38" t="n">
        <f aca="false">Sens!$G$10461</f>
        <v>9.94839683693959</v>
      </c>
      <c r="H10521" s="38" t="n">
        <f aca="false">Sens!$H$10461</f>
        <v>23.4804386990861</v>
      </c>
      <c r="I10521" s="38" t="n">
        <f aca="false">Sens!$I$10461</f>
        <v>30.9761745989143</v>
      </c>
      <c r="J10521" s="38" t="n">
        <f aca="false">Sens!$J$10461</f>
        <v>41.1930070746977</v>
      </c>
      <c r="K10521" s="38" t="n">
        <f aca="false">Sens!$K$10461</f>
        <v>45.9779211159428</v>
      </c>
      <c r="L10521" s="38" t="n">
        <f aca="false">Sens!$L$10461</f>
        <v>48.0352490919424</v>
      </c>
      <c r="M10521" s="38" t="n">
        <f aca="false">Sens!$M$10461</f>
        <v>47.4082976573265</v>
      </c>
      <c r="N10521" s="38" t="n">
        <f aca="false">Sens!$N$10461</f>
        <v>1.67921600037079</v>
      </c>
      <c r="O10521" s="38" t="n">
        <f aca="false">Sens!$O$10461</f>
        <v>3.71203473735861</v>
      </c>
    </row>
    <row r="10522" customFormat="false" ht="17.15" hidden="false" customHeight="false" outlineLevel="0" collapsed="false">
      <c r="A10522" s="0" t="s">
        <v>660</v>
      </c>
      <c r="B10522" s="0" t="s">
        <v>86</v>
      </c>
      <c r="C10522" s="38" t="n">
        <f aca="false">Sens!$C$10466</f>
        <v>38.1898211704631</v>
      </c>
      <c r="D10522" s="38" t="n">
        <f aca="false">Sens!$D$10466</f>
        <v>40.2147492622706</v>
      </c>
      <c r="E10522" s="38" t="n">
        <f aca="false">Sens!$E$10466</f>
        <v>28.3550887940039</v>
      </c>
      <c r="F10522" s="38" t="n">
        <f aca="false">Sens!$F$10466</f>
        <v>25.9529793149447</v>
      </c>
      <c r="G10522" s="38" t="n">
        <f aca="false">Sens!$G$10466</f>
        <v>54.3080681089486</v>
      </c>
      <c r="H10522" s="38" t="n">
        <f aca="false">Sens!$H$10466</f>
        <v>58.2264684589333</v>
      </c>
      <c r="I10522" s="38" t="n">
        <f aca="false">Sens!$I$10466</f>
        <v>64.6461353851744</v>
      </c>
      <c r="J10522" s="38" t="n">
        <f aca="false">Sens!$J$10466</f>
        <v>70.7957093610231</v>
      </c>
      <c r="K10522" s="38" t="n">
        <f aca="false">Sens!$K$10466</f>
        <v>76.4593661099049</v>
      </c>
      <c r="L10522" s="38" t="n">
        <f aca="false">Sens!$L$10466</f>
        <v>82.5761153986973</v>
      </c>
      <c r="M10522" s="38" t="n">
        <f aca="false">Sens!$M$10466</f>
        <v>89.1822046305931</v>
      </c>
      <c r="N10522" s="38" t="n">
        <f aca="false">Sens!$N$10466</f>
        <v>20.0277839996292</v>
      </c>
      <c r="O10522" s="38" t="n">
        <f aca="false">Sens!$O$10466</f>
        <v>20.1869652626414</v>
      </c>
    </row>
    <row r="10523" customFormat="false" ht="17.15" hidden="false" customHeight="false" outlineLevel="0" collapsed="false">
      <c r="A10523" s="1" t="s">
        <v>743</v>
      </c>
      <c r="B10523" s="8" t="s">
        <v>86</v>
      </c>
      <c r="C10523" s="38" t="n">
        <f aca="false">Q!$D$24</f>
        <v>39.834</v>
      </c>
      <c r="D10523" s="38" t="n">
        <f aca="false">Q!$E$24</f>
        <v>45.606</v>
      </c>
      <c r="E10523" s="38" t="n">
        <f aca="false">Q!$P$24</f>
        <v>30.782</v>
      </c>
      <c r="F10523" s="38" t="n">
        <f aca="false">Sens!$F$10521+Sens!$F$10522</f>
        <v>33.4744649458882</v>
      </c>
      <c r="G10523" s="38" t="n">
        <f aca="false">Sens!$G$10521+Sens!$G$10522</f>
        <v>64.2564649458882</v>
      </c>
      <c r="H10523" s="38" t="n">
        <f aca="false">Sens!$H$10521+Sens!$H$10522</f>
        <v>81.7069071580194</v>
      </c>
      <c r="I10523" s="38" t="n">
        <f aca="false">Sens!$I$10521+Sens!$I$10522</f>
        <v>95.6223099840887</v>
      </c>
      <c r="J10523" s="38" t="n">
        <f aca="false">Sens!$J$10521+Sens!$J$10522</f>
        <v>111.988716435721</v>
      </c>
      <c r="K10523" s="38" t="n">
        <f aca="false">Sens!$K$10521+Sens!$K$10522</f>
        <v>122.437287225848</v>
      </c>
      <c r="L10523" s="38" t="n">
        <f aca="false">Sens!$L$10521+Sens!$L$10522</f>
        <v>130.61136449064</v>
      </c>
      <c r="M10523" s="38" t="n">
        <f aca="false">Sens!$M$10521+Sens!$M$10522</f>
        <v>136.59050228792</v>
      </c>
      <c r="N10523" s="38" t="n">
        <f aca="false">Q!$N$24</f>
        <v>21.707</v>
      </c>
      <c r="O10523" s="38" t="n">
        <f aca="false">Q!$O$24</f>
        <v>23.899</v>
      </c>
    </row>
    <row r="10524" customFormat="false" ht="17.15" hidden="false" customHeight="false" outlineLevel="0" collapsed="false">
      <c r="A10524" s="5" t="s">
        <v>744</v>
      </c>
      <c r="B10524" s="0" t="s">
        <v>86</v>
      </c>
      <c r="C10524" s="38" t="n">
        <f aca="false">Q!$D$26</f>
        <v>0</v>
      </c>
      <c r="D10524" s="38" t="n">
        <f aca="false">Q!$E$26</f>
        <v>0</v>
      </c>
      <c r="E10524" s="38" t="n">
        <f aca="false">Q!$P$26</f>
        <v>0</v>
      </c>
      <c r="F10524" s="39" t="n">
        <v>0</v>
      </c>
      <c r="G10524" s="38" t="n">
        <f aca="false">Sens!$E$10524+Sens!$F$10524</f>
        <v>0</v>
      </c>
      <c r="H10524" s="39" t="n">
        <v>0</v>
      </c>
      <c r="I10524" s="39" t="n">
        <v>0</v>
      </c>
      <c r="J10524" s="39" t="n">
        <v>0</v>
      </c>
      <c r="K10524" s="39" t="n">
        <v>0</v>
      </c>
      <c r="L10524" s="39" t="n">
        <v>0</v>
      </c>
      <c r="M10524" s="39" t="n">
        <v>0</v>
      </c>
      <c r="N10524" s="38" t="n">
        <f aca="false">Q!$N$26</f>
        <v>0</v>
      </c>
      <c r="O10524" s="38" t="n">
        <f aca="false">Q!$O$26</f>
        <v>0</v>
      </c>
    </row>
    <row r="10525" customFormat="false" ht="15" hidden="false" customHeight="false" outlineLevel="0" collapsed="false">
      <c r="A10525" s="3" t="s">
        <v>541</v>
      </c>
      <c r="B10525" s="8" t="s">
        <v>86</v>
      </c>
      <c r="C10525" s="38" t="n">
        <f aca="false">Q!$D$25</f>
        <v>68.593</v>
      </c>
      <c r="D10525" s="38" t="n">
        <f aca="false">Q!$E$25</f>
        <v>79.975</v>
      </c>
      <c r="E10525" s="38" t="n">
        <f aca="false">Q!$P$25</f>
        <v>51.313</v>
      </c>
      <c r="F10525" s="38" t="n">
        <f aca="false">Sens!$F$10515+Sens!$F$10520+Sens!$F$10523+Sens!$F$10524</f>
        <v>56.3652566987294</v>
      </c>
      <c r="G10525" s="38" t="n">
        <f aca="false">Sens!$G$10515+Sens!$G$10520+Sens!$G$10523+Sens!$G$10524</f>
        <v>107.678256698729</v>
      </c>
      <c r="H10525" s="38" t="n">
        <f aca="false">Sens!$H$10515+Sens!$H$10520+Sens!$H$10523+Sens!$H$10524</f>
        <v>129.515456870266</v>
      </c>
      <c r="I10525" s="38" t="n">
        <f aca="false">Sens!$I$10515+Sens!$I$10520+Sens!$I$10523+Sens!$I$10524</f>
        <v>145.345387082626</v>
      </c>
      <c r="J10525" s="38" t="n">
        <f aca="false">Sens!$J$10515+Sens!$J$10520+Sens!$J$10523+Sens!$J$10524</f>
        <v>163.862141869716</v>
      </c>
      <c r="K10525" s="38" t="n">
        <f aca="false">Sens!$K$10515+Sens!$K$10520+Sens!$K$10523+Sens!$K$10524</f>
        <v>175.564332634303</v>
      </c>
      <c r="L10525" s="38" t="n">
        <f aca="false">Sens!$L$10515+Sens!$L$10520+Sens!$L$10523+Sens!$L$10524</f>
        <v>186.492086157384</v>
      </c>
      <c r="M10525" s="38" t="n">
        <f aca="false">Sens!$M$10515+Sens!$M$10520+Sens!$M$10523+Sens!$M$10524</f>
        <v>198.371665638452</v>
      </c>
      <c r="N10525" s="38" t="n">
        <f aca="false">Q!$N$25</f>
        <v>37.576</v>
      </c>
      <c r="O10525" s="38" t="n">
        <f aca="false">Q!$O$25</f>
        <v>42.399</v>
      </c>
    </row>
    <row r="10526" customFormat="false" ht="17.15" hidden="false" customHeight="false" outlineLevel="0" collapsed="false">
      <c r="A10526" s="24" t="s">
        <v>775</v>
      </c>
      <c r="B10526" s="25" t="s">
        <v>86</v>
      </c>
      <c r="C10526" s="41" t="n">
        <f aca="false">Sens!$C$10515+Sens!$C$10520+Sens!$C$10523+Sens!$C$10524-Sens!$C$10525</f>
        <v>0</v>
      </c>
      <c r="D10526" s="41" t="n">
        <f aca="false">Sens!$D$10515+Sens!$D$10520+Sens!$D$10523+Sens!$D$10524-Sens!$D$10525</f>
        <v>0</v>
      </c>
      <c r="E10526" s="41" t="n">
        <f aca="false">Sens!$E$10515+Sens!$E$10520+Sens!$E$10523+Sens!$E$10524-Sens!$E$10525</f>
        <v>0</v>
      </c>
      <c r="F10526" s="41" t="n">
        <f aca="false">Sens!$F$10515+Sens!$F$10520+Sens!$F$10523+Sens!$F$10524-Sens!$F$10525</f>
        <v>0</v>
      </c>
      <c r="G10526" s="41" t="n">
        <f aca="false">Sens!$G$10515+Sens!$G$10520+Sens!$G$10523+Sens!$G$10524-Sens!$G$10525</f>
        <v>0</v>
      </c>
      <c r="H10526" s="41" t="n">
        <f aca="false">Sens!$H$10515+Sens!$H$10520+Sens!$H$10523+Sens!$H$10524-Sens!$H$10525</f>
        <v>0</v>
      </c>
      <c r="I10526" s="41" t="n">
        <f aca="false">Sens!$I$10515+Sens!$I$10520+Sens!$I$10523+Sens!$I$10524-Sens!$I$10525</f>
        <v>0</v>
      </c>
      <c r="J10526" s="41" t="n">
        <f aca="false">Sens!$J$10515+Sens!$J$10520+Sens!$J$10523+Sens!$J$10524-Sens!$J$10525</f>
        <v>0</v>
      </c>
      <c r="K10526" s="41" t="n">
        <f aca="false">Sens!$K$10515+Sens!$K$10520+Sens!$K$10523+Sens!$K$10524-Sens!$K$10525</f>
        <v>0</v>
      </c>
      <c r="L10526" s="41" t="n">
        <f aca="false">Sens!$L$10515+Sens!$L$10520+Sens!$L$10523+Sens!$L$10524-Sens!$L$10525</f>
        <v>0</v>
      </c>
      <c r="M10526" s="41" t="n">
        <f aca="false">Sens!$M$10515+Sens!$M$10520+Sens!$M$10523+Sens!$M$10524-Sens!$M$10525</f>
        <v>0</v>
      </c>
      <c r="N10526" s="41" t="n">
        <f aca="false">Sens!$N$10515+Sens!$N$10520+Sens!$N$10523+Sens!$N$10524-Sens!$N$10525</f>
        <v>0</v>
      </c>
      <c r="O10526" s="41" t="n">
        <f aca="false">Sens!$O$10515+Sens!$O$10520+Sens!$O$10523+Sens!$O$10524-Sens!$O$10525</f>
        <v>0</v>
      </c>
    </row>
    <row r="10527" customFormat="false" ht="17.15" hidden="false" customHeight="false" outlineLevel="0" collapsed="false">
      <c r="A10527" s="5" t="s">
        <v>746</v>
      </c>
      <c r="B10527" s="0" t="s">
        <v>86</v>
      </c>
      <c r="C10527" s="38" t="n">
        <f aca="false">Sens!$C$10463</f>
        <v>0</v>
      </c>
      <c r="D10527" s="38" t="n">
        <f aca="false">Sens!$D$10463</f>
        <v>0</v>
      </c>
      <c r="E10527" s="38" t="n">
        <f aca="false">Sens!$E$10463</f>
        <v>0</v>
      </c>
      <c r="F10527" s="38" t="n">
        <f aca="false">Sens!$F$10463</f>
        <v>3.77122048175818</v>
      </c>
      <c r="G10527" s="38" t="n">
        <f aca="false">Sens!$G$10463</f>
        <v>3.77122048175818</v>
      </c>
      <c r="H10527" s="38" t="n">
        <f aca="false">Sens!$H$10463</f>
        <v>15.1635543609893</v>
      </c>
      <c r="I10527" s="38" t="n">
        <f aca="false">Sens!$I$10463</f>
        <v>25.5818843619889</v>
      </c>
      <c r="J10527" s="38" t="n">
        <f aca="false">Sens!$J$10463</f>
        <v>36.0465624179122</v>
      </c>
      <c r="K10527" s="38" t="n">
        <f aca="false">Sens!$K$10463</f>
        <v>44.9741164026038</v>
      </c>
      <c r="L10527" s="38" t="n">
        <f aca="false">Sens!$L$10463</f>
        <v>50.8413488057813</v>
      </c>
      <c r="M10527" s="38" t="n">
        <f aca="false">Sens!$M$10463</f>
        <v>53.6407214274315</v>
      </c>
      <c r="N10527" s="38" t="n">
        <f aca="false">Sens!$N$10463</f>
        <v>0</v>
      </c>
      <c r="O10527" s="38" t="n">
        <f aca="false">Sens!$O$10463</f>
        <v>0</v>
      </c>
      <c r="P10527" s="5" t="s">
        <v>747</v>
      </c>
    </row>
    <row r="10528" customFormat="false" ht="17.15" hidden="false" customHeight="false" outlineLevel="0" collapsed="false">
      <c r="A10528" s="5" t="s">
        <v>748</v>
      </c>
      <c r="B10528" s="0" t="s">
        <v>86</v>
      </c>
      <c r="C10528" s="38" t="n">
        <f aca="false">Sens!$C$10525+Sens!$C$10527</f>
        <v>68.593</v>
      </c>
      <c r="D10528" s="38" t="n">
        <f aca="false">Sens!$D$10525+Sens!$D$10527</f>
        <v>79.975</v>
      </c>
      <c r="E10528" s="38" t="n">
        <f aca="false">Sens!$E$10525+Sens!$E$10527</f>
        <v>51.313</v>
      </c>
      <c r="F10528" s="38" t="n">
        <f aca="false">Sens!$F$10525+Sens!$F$10527</f>
        <v>60.1364771804876</v>
      </c>
      <c r="G10528" s="38" t="n">
        <f aca="false">Sens!$G$10525+Sens!$G$10527</f>
        <v>111.449477180488</v>
      </c>
      <c r="H10528" s="38" t="n">
        <f aca="false">Sens!$H$10525+Sens!$H$10527</f>
        <v>144.679011231256</v>
      </c>
      <c r="I10528" s="38" t="n">
        <f aca="false">Sens!$I$10525+Sens!$I$10527</f>
        <v>170.927271444615</v>
      </c>
      <c r="J10528" s="38" t="n">
        <f aca="false">Sens!$J$10525+Sens!$J$10527</f>
        <v>199.908704287628</v>
      </c>
      <c r="K10528" s="38" t="n">
        <f aca="false">Sens!$K$10525+Sens!$K$10527</f>
        <v>220.538449036907</v>
      </c>
      <c r="L10528" s="38" t="n">
        <f aca="false">Sens!$L$10525+Sens!$L$10527</f>
        <v>237.333434963166</v>
      </c>
      <c r="M10528" s="38" t="n">
        <f aca="false">Sens!$M$10525+Sens!$M$10527</f>
        <v>252.012387065883</v>
      </c>
      <c r="N10528" s="38" t="n">
        <f aca="false">Sens!$N$10525+Sens!$N$10527</f>
        <v>37.576</v>
      </c>
      <c r="O10528" s="38" t="n">
        <f aca="false">Sens!$O$10525+Sens!$O$10527</f>
        <v>42.399</v>
      </c>
    </row>
    <row r="10529" customFormat="false" ht="17.15" hidden="false" customHeight="false" outlineLevel="0" collapsed="false">
      <c r="A10529" s="0" t="s">
        <v>749</v>
      </c>
      <c r="B10529" s="0" t="s">
        <v>52</v>
      </c>
      <c r="C10529" s="13" t="n">
        <f aca="false">Sens!$C$10515/Sens!$C$10500</f>
        <v>0.0644314665661928</v>
      </c>
      <c r="D10529" s="13" t="n">
        <f aca="false">Sens!$D$10515/Sens!$D$10500</f>
        <v>0.0694784250712518</v>
      </c>
      <c r="E10529" s="13" t="n">
        <f aca="false">Sens!$E$10515/Sens!$E$10500</f>
        <v>0.0789306463326071</v>
      </c>
      <c r="F10529" s="13" t="n">
        <f aca="false">Sens!$F$10515/Sens!$F$10500</f>
        <v>0.0802526339438384</v>
      </c>
      <c r="G10529" s="13" t="n">
        <f aca="false">Sens!$G$10515/Sens!$G$10500</f>
        <v>0.0796341940538369</v>
      </c>
      <c r="H10529" s="13" t="n">
        <f aca="false">Sens!$H$10515/Sens!$H$10500</f>
        <v>0.0798254462645258</v>
      </c>
      <c r="I10529" s="13" t="n">
        <f aca="false">Sens!$I$10515/Sens!$I$10500</f>
        <v>0.0771454543672196</v>
      </c>
      <c r="J10529" s="13" t="n">
        <f aca="false">Sens!$J$10515/Sens!$J$10500</f>
        <v>0.0756147693819656</v>
      </c>
      <c r="K10529" s="13" t="n">
        <f aca="false">Sens!$K$10515/Sens!$K$10500</f>
        <v>0.0739025926520816</v>
      </c>
      <c r="L10529" s="13" t="n">
        <f aca="false">Sens!$L$10515/Sens!$L$10500</f>
        <v>0.0730809201558074</v>
      </c>
      <c r="M10529" s="13" t="n">
        <f aca="false">Sens!$M$10515/Sens!$M$10500</f>
        <v>0.0751707027775199</v>
      </c>
      <c r="N10529" s="13" t="n">
        <f aca="false">Sens!$N$10515/Sens!$N$10500</f>
        <v>0.069228576611127</v>
      </c>
      <c r="O10529" s="13" t="n">
        <f aca="false">Sens!$O$10515/Sens!$O$10500</f>
        <v>0.069685022498393</v>
      </c>
    </row>
    <row r="10530" customFormat="false" ht="17.15" hidden="false" customHeight="false" outlineLevel="0" collapsed="false">
      <c r="A10530" s="0" t="s">
        <v>750</v>
      </c>
      <c r="B10530" s="0" t="s">
        <v>52</v>
      </c>
      <c r="C10530" s="13" t="n">
        <f aca="false">Sens!$C$10520/Sens!$C$10501</f>
        <v>0.026534925055631</v>
      </c>
      <c r="D10530" s="13" t="n">
        <f aca="false">Sens!$D$10520/Sens!$D$10501</f>
        <v>0.0293401855535103</v>
      </c>
      <c r="E10530" s="13" t="n">
        <f aca="false">Sens!$E$10520/Sens!$E$10501</f>
        <v>0.03831141902276</v>
      </c>
      <c r="F10530" s="13" t="n">
        <f aca="false">Sens!$F$10520/Sens!$F$10501</f>
        <v>0.0282118989524726</v>
      </c>
      <c r="G10530" s="13" t="n">
        <f aca="false">Sens!$G$10520/Sens!$G$10501</f>
        <v>0.0328019468674976</v>
      </c>
      <c r="H10530" s="13" t="n">
        <f aca="false">Sens!$H$10520/Sens!$H$10501</f>
        <v>0.0309879507899839</v>
      </c>
      <c r="I10530" s="13" t="n">
        <f aca="false">Sens!$I$10520/Sens!$I$10501</f>
        <v>0.0262795332043765</v>
      </c>
      <c r="J10530" s="13" t="n">
        <f aca="false">Sens!$J$10520/Sens!$J$10501</f>
        <v>0.0226574435353346</v>
      </c>
      <c r="K10530" s="13" t="n">
        <f aca="false">Sens!$K$10520/Sens!$K$10501</f>
        <v>0.0187492205871101</v>
      </c>
      <c r="L10530" s="13" t="n">
        <f aca="false">Sens!$L$10520/Sens!$L$10501</f>
        <v>0.018273690180732</v>
      </c>
      <c r="M10530" s="13" t="n">
        <f aca="false">Sens!$M$10520/Sens!$M$10501</f>
        <v>0.0207176218272716</v>
      </c>
      <c r="N10530" s="13" t="n">
        <f aca="false">Sens!$N$10520/Sens!$N$10501</f>
        <v>0.0357315650169337</v>
      </c>
      <c r="O10530" s="13" t="n">
        <f aca="false">Sens!$O$10520/Sens!$O$10501</f>
        <v>0.0244378956559703</v>
      </c>
    </row>
    <row r="10531" customFormat="false" ht="17.15" hidden="false" customHeight="false" outlineLevel="0" collapsed="false">
      <c r="A10531" s="14" t="s">
        <v>751</v>
      </c>
      <c r="B10531" s="14" t="s">
        <v>52</v>
      </c>
      <c r="C10531" s="17" t="n">
        <f aca="false">Sens!$C$10523/Sens!$C$10502</f>
        <v>0.370355907620217</v>
      </c>
      <c r="D10531" s="17" t="n">
        <f aca="false">Sens!$D$10523/Sens!$D$10502</f>
        <v>0.35429015342785</v>
      </c>
      <c r="E10531" s="17" t="n">
        <f aca="false">Sens!$E$10523/Sens!$E$10502</f>
        <v>0.385647527531039</v>
      </c>
      <c r="F10531" s="17" t="n">
        <f aca="false">Sens!$F$10523/Sens!$F$10502</f>
        <v>0.385949613469105</v>
      </c>
      <c r="G10531" s="17" t="n">
        <f aca="false">Sens!$G$10523/Sens!$G$10502</f>
        <v>0.385804840448779</v>
      </c>
      <c r="H10531" s="17" t="n">
        <f aca="false">Sens!$H$10523/Sens!$H$10502</f>
        <v>0.369408675360557</v>
      </c>
      <c r="I10531" s="17" t="n">
        <f aca="false">Sens!$I$10523/Sens!$I$10502</f>
        <v>0.34117504540738</v>
      </c>
      <c r="J10531" s="17" t="n">
        <f aca="false">Sens!$J$10523/Sens!$J$10502</f>
        <v>0.330544285732563</v>
      </c>
      <c r="K10531" s="17" t="n">
        <f aca="false">Sens!$K$10523/Sens!$K$10502</f>
        <v>0.314033796990635</v>
      </c>
      <c r="L10531" s="17" t="n">
        <f aca="false">Sens!$L$10523/Sens!$L$10502</f>
        <v>0.303690371867633</v>
      </c>
      <c r="M10531" s="17" t="n">
        <f aca="false">Sens!$M$10523/Sens!$M$10502</f>
        <v>0.297287296590884</v>
      </c>
      <c r="N10531" s="17" t="n">
        <f aca="false">Sens!$N$10523/Sens!$N$10502</f>
        <v>0.360941137346192</v>
      </c>
      <c r="O10531" s="17" t="n">
        <f aca="false">Sens!$O$10523/Sens!$O$10502</f>
        <v>0.348458117664212</v>
      </c>
    </row>
    <row r="10532" customFormat="false" ht="17.15" hidden="false" customHeight="false" outlineLevel="0" collapsed="false">
      <c r="A10532" s="0" t="s">
        <v>752</v>
      </c>
      <c r="B10532" s="0" t="s">
        <v>52</v>
      </c>
      <c r="C10532" s="13" t="n">
        <f aca="false">Sens!$C$10521/Sens!$C$10503</f>
        <v>0.708390794789371</v>
      </c>
      <c r="D10532" s="13" t="n">
        <f aca="false">Sens!$D$10521/Sens!$D$10503</f>
        <v>0.619415573115729</v>
      </c>
      <c r="E10532" s="13" t="n">
        <f aca="false">Sens!$E$10521/Sens!$E$10503</f>
        <v>0.285171627189009</v>
      </c>
      <c r="F10532" s="13" t="n">
        <f aca="false">Sens!$F$10521/Sens!$F$10503</f>
        <v>0.502657732812366</v>
      </c>
      <c r="G10532" s="13" t="n">
        <f aca="false">Sens!$G$10521/Sens!$G$10503</f>
        <v>0.423808778611812</v>
      </c>
      <c r="H10532" s="13" t="n">
        <f aca="false">Sens!$H$10521/Sens!$H$10503</f>
        <v>0.390261631739809</v>
      </c>
      <c r="I10532" s="13" t="n">
        <f aca="false">Sens!$I$10521/Sens!$I$10503</f>
        <v>0.305172864264572</v>
      </c>
      <c r="J10532" s="13" t="n">
        <f aca="false">Sens!$J$10521/Sens!$J$10503</f>
        <v>0.288011814789856</v>
      </c>
      <c r="K10532" s="13" t="n">
        <f aca="false">Sens!$K$10521/Sens!$K$10503</f>
        <v>0.25765427518774</v>
      </c>
      <c r="L10532" s="13" t="n">
        <f aca="false">Sens!$L$10521/Sens!$L$10503</f>
        <v>0.238118778012374</v>
      </c>
      <c r="M10532" s="13" t="n">
        <f aca="false">Sens!$M$10521/Sens!$M$10503</f>
        <v>0.222746255757109</v>
      </c>
      <c r="N10532" s="13" t="n">
        <f aca="false">Sens!$N$10521/Sens!$N$10503</f>
        <v>0.551227795793364</v>
      </c>
      <c r="O10532" s="13" t="n">
        <f aca="false">Sens!$O$10521/Sens!$O$10503</f>
        <v>0.656132068597002</v>
      </c>
    </row>
    <row r="10533" customFormat="false" ht="15" hidden="false" customHeight="false" outlineLevel="0" collapsed="false">
      <c r="A10533" s="5" t="s">
        <v>753</v>
      </c>
      <c r="B10533" s="0" t="s">
        <v>52</v>
      </c>
      <c r="C10533" s="13" t="n">
        <f aca="false">Sens!$C$10525/Sens!$C$10505</f>
        <v>0.107519448742004</v>
      </c>
      <c r="D10533" s="13" t="n">
        <f aca="false">Sens!$D$10525/Sens!$D$10505</f>
        <v>0.111552967957552</v>
      </c>
      <c r="E10533" s="13" t="n">
        <f aca="false">Sens!$E$10525/Sens!$E$10505</f>
        <v>0.13428328426562</v>
      </c>
      <c r="F10533" s="13" t="n">
        <f aca="false">Sens!$F$10525/Sens!$F$10505</f>
        <v>0.129343087287827</v>
      </c>
      <c r="G10533" s="13" t="n">
        <f aca="false">Sens!$G$10525/Sens!$G$10505</f>
        <v>0.131651143259596</v>
      </c>
      <c r="H10533" s="13" t="n">
        <f aca="false">Sens!$H$10525/Sens!$H$10505</f>
        <v>0.137449034763893</v>
      </c>
      <c r="I10533" s="13" t="n">
        <f aca="false">Sens!$I$10525/Sens!$I$10505</f>
        <v>0.13598895915033</v>
      </c>
      <c r="J10533" s="13" t="n">
        <f aca="false">Sens!$J$10525/Sens!$J$10505</f>
        <v>0.137709769017663</v>
      </c>
      <c r="K10533" s="13" t="n">
        <f aca="false">Sens!$K$10525/Sens!$K$10505</f>
        <v>0.135459809314784</v>
      </c>
      <c r="L10533" s="13" t="n">
        <f aca="false">Sens!$L$10525/Sens!$L$10505</f>
        <v>0.133669430082102</v>
      </c>
      <c r="M10533" s="13" t="n">
        <f aca="false">Sens!$M$10525/Sens!$M$10505</f>
        <v>0.133349766772341</v>
      </c>
      <c r="N10533" s="13" t="n">
        <f aca="false">Sens!$N$10525/Sens!$N$10505</f>
        <v>0.116201614873411</v>
      </c>
      <c r="O10533" s="13" t="n">
        <f aca="false">Sens!$O$10525/Sens!$O$10505</f>
        <v>0.107733353660861</v>
      </c>
    </row>
    <row r="10534" customFormat="false" ht="17.15" hidden="false" customHeight="false" outlineLevel="0" collapsed="false">
      <c r="A10534" s="1" t="s">
        <v>754</v>
      </c>
    </row>
    <row r="10535" customFormat="false" ht="17.15" hidden="false" customHeight="false" outlineLevel="0" collapsed="false">
      <c r="A10535" s="5" t="s">
        <v>755</v>
      </c>
      <c r="B10535" s="0" t="s">
        <v>52</v>
      </c>
      <c r="D10535" s="28" t="n">
        <f aca="false">(Q!$E$29+Q!$E$30-(1-ext_sh)*Sens!$D$10457)/Sens!$D$10408</f>
        <v>0.0341105596409988</v>
      </c>
    </row>
    <row r="10536" customFormat="false" ht="17.15" hidden="false" customHeight="false" outlineLevel="0" collapsed="false">
      <c r="A10536" s="0" t="s">
        <v>545</v>
      </c>
      <c r="B10536" s="0" t="s">
        <v>86</v>
      </c>
      <c r="C10536" s="38" t="n">
        <f aca="false">Q!$D$29</f>
        <v>14.285</v>
      </c>
      <c r="D10536" s="38" t="n">
        <f aca="false">Q!$E$29</f>
        <v>15.503</v>
      </c>
      <c r="E10536" s="38" t="n">
        <f aca="false">Q!$P$29</f>
        <v>8.78</v>
      </c>
      <c r="F10536" s="38" t="n">
        <f aca="false">(Sens!$D$10535*Sens!$F$10408+(1-ext_sh)*Sens!$F$10457)*Sens!$F$10409</f>
        <v>9.30317620449232</v>
      </c>
      <c r="G10536" s="38" t="n">
        <f aca="false">Sens!$E$10536+Sens!$F$10536</f>
        <v>18.0831762044923</v>
      </c>
      <c r="H10536" s="38" t="n">
        <f aca="false">(Sens!$D$10535*Sens!$H$10408+(1-ext_sh)*Sens!$H$10457)*Sens!$H$10409</f>
        <v>22.1297245338482</v>
      </c>
      <c r="I10536" s="38" t="n">
        <f aca="false">(Sens!$D$10535*Sens!$I$10408+(1-ext_sh)*Sens!$I$10457)*Sens!$I$10409</f>
        <v>28.409695984391</v>
      </c>
      <c r="J10536" s="38" t="n">
        <f aca="false">(Sens!$D$10535*Sens!$J$10408+(1-ext_sh)*Sens!$J$10457)*Sens!$J$10409</f>
        <v>34.1085606174579</v>
      </c>
      <c r="K10536" s="38" t="n">
        <f aca="false">(Sens!$D$10535*Sens!$K$10408+(1-ext_sh)*Sens!$K$10457)*Sens!$K$10409</f>
        <v>39.7218983009068</v>
      </c>
      <c r="L10536" s="38" t="n">
        <f aca="false">(Sens!$D$10535*Sens!$L$10408+(1-ext_sh)*Sens!$L$10457)*Sens!$L$10409</f>
        <v>44.1680279486684</v>
      </c>
      <c r="M10536" s="38" t="n">
        <f aca="false">(Sens!$D$10535*Sens!$M$10408+(1-ext_sh)*Sens!$M$10457)*Sens!$M$10409</f>
        <v>47.4413073313286</v>
      </c>
      <c r="N10536" s="38" t="n">
        <f aca="false">Q!$N$29</f>
        <v>7.272</v>
      </c>
      <c r="O10536" s="38" t="n">
        <f aca="false">Q!$O$29</f>
        <v>8.231</v>
      </c>
    </row>
    <row r="10537" customFormat="false" ht="17.15" hidden="false" customHeight="false" outlineLevel="0" collapsed="false">
      <c r="A10537" s="0" t="s">
        <v>547</v>
      </c>
      <c r="B10537" s="0" t="s">
        <v>86</v>
      </c>
      <c r="C10537" s="38" t="n">
        <f aca="false">Q!$D$30</f>
        <v>4.462</v>
      </c>
      <c r="D10537" s="38" t="n">
        <f aca="false">Q!$E$30</f>
        <v>4.907</v>
      </c>
      <c r="E10537" s="38" t="n">
        <f aca="false">Q!$P$30</f>
        <v>2.57</v>
      </c>
      <c r="F10537" s="38" t="n">
        <f aca="false">(Sens!$D$10535*Sens!$F$10408+(1-ext_sh)*Sens!$F$10457)*(1-Sens!$F$10409)</f>
        <v>3.6526976809753</v>
      </c>
      <c r="G10537" s="38" t="n">
        <f aca="false">Sens!$E$10537+Sens!$F$10537</f>
        <v>6.2226976809753</v>
      </c>
      <c r="H10537" s="38" t="n">
        <f aca="false">(Sens!$D$10535*Sens!$H$10408+(1-ext_sh)*Sens!$H$10457)*(1-Sens!$H$10409)</f>
        <v>8.4764774248495</v>
      </c>
      <c r="I10537" s="38" t="n">
        <f aca="false">(Sens!$D$10535*Sens!$I$10408+(1-ext_sh)*Sens!$I$10457)*(1-Sens!$I$10409)</f>
        <v>10.881931507561</v>
      </c>
      <c r="J10537" s="38" t="n">
        <f aca="false">(Sens!$D$10535*Sens!$J$10408+(1-ext_sh)*Sens!$J$10457)*(1-Sens!$J$10409)</f>
        <v>13.0648008575874</v>
      </c>
      <c r="K10537" s="38" t="n">
        <f aca="false">(Sens!$D$10535*Sens!$K$10408+(1-ext_sh)*Sens!$K$10457)*(1-Sens!$K$10409)</f>
        <v>15.2149103214008</v>
      </c>
      <c r="L10537" s="38" t="n">
        <f aca="false">(Sens!$D$10535*Sens!$L$10408+(1-ext_sh)*Sens!$L$10457)*(1-Sens!$L$10409)</f>
        <v>16.9179372854085</v>
      </c>
      <c r="M10537" s="38" t="n">
        <f aca="false">(Sens!$D$10535*Sens!$M$10408+(1-ext_sh)*Sens!$M$10457)*(1-Sens!$M$10409)</f>
        <v>18.1717205735785</v>
      </c>
      <c r="N10537" s="38" t="n">
        <f aca="false">Q!$N$30</f>
        <v>2.316</v>
      </c>
      <c r="O10537" s="38" t="n">
        <f aca="false">Q!$O$30</f>
        <v>2.591</v>
      </c>
    </row>
    <row r="10538" customFormat="false" ht="17.15" hidden="false" customHeight="false" outlineLevel="0" collapsed="false">
      <c r="A10538" s="0" t="s">
        <v>548</v>
      </c>
      <c r="B10538" s="0" t="s">
        <v>86</v>
      </c>
      <c r="C10538" s="38" t="n">
        <f aca="false">Sens!$C$10469</f>
        <v>13.32</v>
      </c>
      <c r="D10538" s="38" t="n">
        <f aca="false">Sens!$D$10469</f>
        <v>21.45</v>
      </c>
      <c r="E10538" s="38" t="n">
        <f aca="false">Sens!$E$10469</f>
        <v>15.353</v>
      </c>
      <c r="F10538" s="38" t="n">
        <f aca="false">Sens!$F$10469</f>
        <v>16.1969869840094</v>
      </c>
      <c r="G10538" s="38" t="n">
        <f aca="false">Sens!$G$10469</f>
        <v>31.5499869840094</v>
      </c>
      <c r="H10538" s="38" t="n">
        <f aca="false">Sens!$H$10469</f>
        <v>50.9556213609176</v>
      </c>
      <c r="I10538" s="38" t="n">
        <f aca="false">Sens!$I$10469</f>
        <v>79.464581248252</v>
      </c>
      <c r="J10538" s="38" t="n">
        <f aca="false">Sens!$J$10469</f>
        <v>105.296127931746</v>
      </c>
      <c r="K10538" s="38" t="n">
        <f aca="false">Sens!$K$10469</f>
        <v>131.454694001511</v>
      </c>
      <c r="L10538" s="38" t="n">
        <f aca="false">Sens!$L$10469</f>
        <v>150.840456981405</v>
      </c>
      <c r="M10538" s="38" t="n">
        <f aca="false">Sens!$M$10469</f>
        <v>163.399454192999</v>
      </c>
      <c r="N10538" s="38" t="n">
        <f aca="false">Sens!$N$10469</f>
        <v>9.234</v>
      </c>
      <c r="O10538" s="38" t="n">
        <f aca="false">Sens!$O$10469</f>
        <v>12.216</v>
      </c>
    </row>
    <row r="10539" customFormat="false" ht="17.15" hidden="false" customHeight="false" outlineLevel="0" collapsed="false">
      <c r="A10539" s="5" t="s">
        <v>756</v>
      </c>
      <c r="B10539" s="0" t="s">
        <v>86</v>
      </c>
      <c r="C10539" s="38" t="n">
        <f aca="false">Sens!$C$10536+Sens!$C$10537+Sens!$C$10538</f>
        <v>32.067</v>
      </c>
      <c r="D10539" s="38" t="n">
        <f aca="false">Sens!$D$10536+Sens!$D$10537+Sens!$D$10538</f>
        <v>41.86</v>
      </c>
      <c r="E10539" s="38" t="n">
        <f aca="false">Sens!$E$10536+Sens!$E$10537+Sens!$E$10538</f>
        <v>26.703</v>
      </c>
      <c r="F10539" s="38" t="n">
        <f aca="false">Sens!$F$10536+Sens!$F$10537+Sens!$F$10538</f>
        <v>29.152860869477</v>
      </c>
      <c r="G10539" s="38" t="n">
        <f aca="false">Sens!$G$10536+Sens!$G$10537+Sens!$G$10538</f>
        <v>55.855860869477</v>
      </c>
      <c r="H10539" s="38" t="n">
        <f aca="false">Sens!$H$10536+Sens!$H$10537+Sens!$H$10538</f>
        <v>81.5618233196153</v>
      </c>
      <c r="I10539" s="38" t="n">
        <f aca="false">Sens!$I$10536+Sens!$I$10537+Sens!$I$10538</f>
        <v>118.756208740204</v>
      </c>
      <c r="J10539" s="38" t="n">
        <f aca="false">Sens!$J$10536+Sens!$J$10537+Sens!$J$10538</f>
        <v>152.469489406791</v>
      </c>
      <c r="K10539" s="38" t="n">
        <f aca="false">Sens!$K$10536+Sens!$K$10537+Sens!$K$10538</f>
        <v>186.391502623819</v>
      </c>
      <c r="L10539" s="38" t="n">
        <f aca="false">Sens!$L$10536+Sens!$L$10537+Sens!$L$10538</f>
        <v>211.926422215482</v>
      </c>
      <c r="M10539" s="38" t="n">
        <f aca="false">Sens!$M$10536+Sens!$M$10537+Sens!$M$10538</f>
        <v>229.012482097906</v>
      </c>
      <c r="N10539" s="38" t="n">
        <f aca="false">Sens!$N$10536+Sens!$N$10537+Sens!$N$10538</f>
        <v>18.822</v>
      </c>
      <c r="O10539" s="38" t="n">
        <f aca="false">Sens!$O$10536+Sens!$O$10537+Sens!$O$10538</f>
        <v>23.038</v>
      </c>
    </row>
    <row r="10540" customFormat="false" ht="17.15" hidden="false" customHeight="false" outlineLevel="0" collapsed="false">
      <c r="A10540" s="0" t="s">
        <v>757</v>
      </c>
      <c r="B10540" s="0" t="s">
        <v>86</v>
      </c>
      <c r="C10540" s="38" t="n">
        <f aca="false">Sens!$C$10511+Sens!$C$10516</f>
        <v>28.107</v>
      </c>
      <c r="D10540" s="38" t="n">
        <f aca="false">Sens!$D$10511+Sens!$D$10516</f>
        <v>34.3175</v>
      </c>
      <c r="E10540" s="38" t="n">
        <f aca="false">Sens!$E$10511+Sens!$E$10516</f>
        <v>18.526</v>
      </c>
      <c r="F10540" s="38" t="n">
        <f aca="false">Sens!$F$10511+Sens!$F$10516</f>
        <v>23.0786109972074</v>
      </c>
      <c r="G10540" s="38" t="n">
        <f aca="false">Sens!$G$10511+Sens!$G$10516</f>
        <v>41.6046109972074</v>
      </c>
      <c r="H10540" s="38" t="n">
        <f aca="false">Sens!$H$10511+Sens!$H$10516</f>
        <v>49.9484611939488</v>
      </c>
      <c r="I10540" s="38" t="n">
        <f aca="false">Sens!$I$10511+Sens!$I$10516</f>
        <v>58.2915555477481</v>
      </c>
      <c r="J10540" s="38" t="n">
        <f aca="false">Sens!$J$10511+Sens!$J$10516</f>
        <v>66.0744709709759</v>
      </c>
      <c r="K10540" s="38" t="n">
        <f aca="false">Sens!$K$10511+Sens!$K$10516</f>
        <v>72.6819180680735</v>
      </c>
      <c r="L10540" s="38" t="n">
        <f aca="false">Sens!$L$10511+Sens!$L$10516</f>
        <v>79.9501098748808</v>
      </c>
      <c r="M10540" s="38" t="n">
        <f aca="false">Sens!$M$10511+Sens!$M$10516</f>
        <v>87.9451208623689</v>
      </c>
      <c r="N10540" s="38" t="n">
        <f aca="false">Sens!$N$10511+Sens!$N$10516</f>
        <v>14.8075</v>
      </c>
      <c r="O10540" s="38" t="n">
        <f aca="false">Sens!$O$10511+Sens!$O$10516</f>
        <v>19.51</v>
      </c>
    </row>
    <row r="10541" customFormat="false" ht="17.15" hidden="false" customHeight="false" outlineLevel="0" collapsed="false">
      <c r="A10541" s="0" t="s">
        <v>758</v>
      </c>
      <c r="B10541" s="0" t="s">
        <v>86</v>
      </c>
      <c r="C10541" s="38" t="n">
        <f aca="false">Sens!$C$10515+Sens!$C$10520+Sens!$C$10536+Sens!$C$10537-Sens!$C$10540</f>
        <v>19.399</v>
      </c>
      <c r="D10541" s="38" t="n">
        <f aca="false">Sens!$D$10515+Sens!$D$10520+Sens!$D$10536+Sens!$D$10537-Sens!$D$10540</f>
        <v>20.4615</v>
      </c>
      <c r="E10541" s="38" t="n">
        <f aca="false">Sens!$E$10515+Sens!$E$10520+Sens!$E$10536+Sens!$E$10537-Sens!$E$10540</f>
        <v>13.355</v>
      </c>
      <c r="F10541" s="38" t="n">
        <f aca="false">Sens!$F$10515+Sens!$F$10520+Sens!$F$10536+Sens!$F$10537-Sens!$F$10540</f>
        <v>12.7680546411015</v>
      </c>
      <c r="G10541" s="38" t="n">
        <f aca="false">Sens!$G$10515+Sens!$G$10520+Sens!$G$10536+Sens!$G$10537-Sens!$G$10540</f>
        <v>26.1230546411015</v>
      </c>
      <c r="H10541" s="38" t="n">
        <f aca="false">Sens!$H$10515+Sens!$H$10520+Sens!$H$10536+Sens!$H$10537-Sens!$H$10540</f>
        <v>28.4662904769959</v>
      </c>
      <c r="I10541" s="38" t="n">
        <f aca="false">Sens!$I$10515+Sens!$I$10520+Sens!$I$10536+Sens!$I$10537-Sens!$I$10540</f>
        <v>30.7231490427408</v>
      </c>
      <c r="J10541" s="38" t="n">
        <f aca="false">Sens!$J$10515+Sens!$J$10520+Sens!$J$10536+Sens!$J$10537-Sens!$J$10540</f>
        <v>32.9723159380642</v>
      </c>
      <c r="K10541" s="38" t="n">
        <f aca="false">Sens!$K$10515+Sens!$K$10520+Sens!$K$10536+Sens!$K$10537-Sens!$K$10540</f>
        <v>35.3819359626894</v>
      </c>
      <c r="L10541" s="38" t="n">
        <f aca="false">Sens!$L$10515+Sens!$L$10520+Sens!$L$10536+Sens!$L$10537-Sens!$L$10540</f>
        <v>37.0165770259405</v>
      </c>
      <c r="M10541" s="38" t="n">
        <f aca="false">Sens!$M$10515+Sens!$M$10520+Sens!$M$10536+Sens!$M$10537-Sens!$M$10540</f>
        <v>39.4490703930704</v>
      </c>
      <c r="N10541" s="38" t="n">
        <f aca="false">Sens!$N$10515+Sens!$N$10520+Sens!$N$10536+Sens!$N$10537-Sens!$N$10540</f>
        <v>10.6495</v>
      </c>
      <c r="O10541" s="38" t="n">
        <f aca="false">Sens!$O$10515+Sens!$O$10520+Sens!$O$10536+Sens!$O$10537-Sens!$O$10540</f>
        <v>9.81200000000001</v>
      </c>
    </row>
    <row r="10542" customFormat="false" ht="17.15" hidden="false" customHeight="false" outlineLevel="0" collapsed="false">
      <c r="A10542" s="0" t="s">
        <v>759</v>
      </c>
      <c r="B10542" s="0" t="s">
        <v>86</v>
      </c>
      <c r="C10542" s="38" t="n">
        <f aca="false">Sens!$C$10522+Sens!$C$10538-ext_sh*Sens!$C$10457</f>
        <v>51.3470500115664</v>
      </c>
      <c r="D10542" s="38" t="n">
        <f aca="false">Sens!$D$10522+Sens!$D$10538-ext_sh*Sens!$D$10457</f>
        <v>60.2799375433739</v>
      </c>
      <c r="E10542" s="38" t="n">
        <f aca="false">Sens!$E$10522+Sens!$E$10538-ext_sh*Sens!$E$10457</f>
        <v>39.5095167090767</v>
      </c>
      <c r="F10542" s="38" t="n">
        <f aca="false">Sens!$F$10522+Sens!$F$10538-ext_sh*Sens!$F$10457</f>
        <v>37.951394214027</v>
      </c>
      <c r="G10542" s="38" t="n">
        <f aca="false">Sens!$G$10522+Sens!$G$10538-ext_sh*Sens!$G$10457</f>
        <v>77.4609109231037</v>
      </c>
      <c r="H10542" s="38" t="n">
        <f aca="false">Sens!$H$10522+Sens!$H$10538-ext_sh*Sens!$H$10457</f>
        <v>85.1453558128916</v>
      </c>
      <c r="I10542" s="38" t="n">
        <f aca="false">Sens!$I$10522+Sens!$I$10538-ext_sh*Sens!$I$10457</f>
        <v>94.532921967974</v>
      </c>
      <c r="J10542" s="38" t="n">
        <f aca="false">Sens!$J$10522+Sens!$J$10538-ext_sh*Sens!$J$10457</f>
        <v>103.525527532583</v>
      </c>
      <c r="K10542" s="38" t="n">
        <f aca="false">Sens!$K$10522+Sens!$K$10538-ext_sh*Sens!$K$10457</f>
        <v>111.80756973519</v>
      </c>
      <c r="L10542" s="38" t="n">
        <f aca="false">Sens!$L$10522+Sens!$L$10538-ext_sh*Sens!$L$10457</f>
        <v>120.752175314005</v>
      </c>
      <c r="M10542" s="38" t="n">
        <f aca="false">Sens!$M$10522+Sens!$M$10538-ext_sh*Sens!$M$10457</f>
        <v>130.412349339125</v>
      </c>
      <c r="N10542" s="38" t="n">
        <f aca="false">Sens!$N$10522+Sens!$N$10538-ext_sh*Sens!$N$10457</f>
        <v>28.5693781401809</v>
      </c>
      <c r="O10542" s="38" t="n">
        <f aca="false">Sens!$O$10522+Sens!$O$10538-ext_sh*Sens!$O$10457</f>
        <v>31.7105594031931</v>
      </c>
    </row>
    <row r="10543" customFormat="false" ht="17.15" hidden="false" customHeight="false" outlineLevel="0" collapsed="false">
      <c r="A10543" s="0" t="s">
        <v>760</v>
      </c>
      <c r="B10543" s="0" t="s">
        <v>86</v>
      </c>
      <c r="C10543" s="38" t="n">
        <f aca="false">Sens!$C$10460</f>
        <v>1.80694998843362</v>
      </c>
      <c r="D10543" s="38" t="n">
        <f aca="false">Sens!$D$10460</f>
        <v>6.77606245662607</v>
      </c>
      <c r="E10543" s="38" t="n">
        <f aca="false">Sens!$E$10460</f>
        <v>6.62548329092326</v>
      </c>
      <c r="F10543" s="38" t="n">
        <f aca="false">Sens!$F$10460</f>
        <v>11.7200577158706</v>
      </c>
      <c r="G10543" s="38" t="n">
        <f aca="false">Sens!$G$10460</f>
        <v>18.3455410067939</v>
      </c>
      <c r="H10543" s="38" t="n">
        <f aca="false">Sens!$H$10460</f>
        <v>47.5171727060453</v>
      </c>
      <c r="I10543" s="38" t="n">
        <f aca="false">Sens!$I$10460</f>
        <v>80.5539692643667</v>
      </c>
      <c r="J10543" s="38" t="n">
        <f aca="false">Sens!$J$10460</f>
        <v>113.759316834883</v>
      </c>
      <c r="K10543" s="38" t="n">
        <f aca="false">Sens!$K$10460</f>
        <v>142.084411492169</v>
      </c>
      <c r="L10543" s="38" t="n">
        <f aca="false">Sens!$L$10460</f>
        <v>160.69964615804</v>
      </c>
      <c r="M10543" s="38" t="n">
        <f aca="false">Sens!$M$10460</f>
        <v>169.577607141793</v>
      </c>
      <c r="N10543" s="38" t="n">
        <f aca="false">Sens!$N$10460</f>
        <v>2.37162185981912</v>
      </c>
      <c r="O10543" s="38" t="n">
        <f aca="false">Sens!$O$10460</f>
        <v>4.40444059680694</v>
      </c>
    </row>
    <row r="10544" customFormat="false" ht="17.15" hidden="false" customHeight="false" outlineLevel="0" collapsed="false">
      <c r="A10544" s="0" t="s">
        <v>761</v>
      </c>
      <c r="B10544" s="0" t="s">
        <v>86</v>
      </c>
      <c r="C10544" s="38" t="n">
        <f aca="false">Sens!$C$10525+Sens!$C$10539</f>
        <v>100.66</v>
      </c>
      <c r="D10544" s="38" t="n">
        <f aca="false">Sens!$D$10525+Sens!$D$10539</f>
        <v>121.835</v>
      </c>
      <c r="E10544" s="38" t="n">
        <f aca="false">Sens!$E$10525+Sens!$E$10539</f>
        <v>78.016</v>
      </c>
      <c r="F10544" s="38" t="n">
        <f aca="false">Sens!$F$10525+Sens!$F$10539</f>
        <v>85.5181175682064</v>
      </c>
      <c r="G10544" s="38" t="n">
        <f aca="false">Sens!$G$10525+Sens!$G$10539</f>
        <v>163.534117568206</v>
      </c>
      <c r="H10544" s="38" t="n">
        <f aca="false">Sens!$H$10525+Sens!$H$10539</f>
        <v>211.077280189882</v>
      </c>
      <c r="I10544" s="38" t="n">
        <f aca="false">Sens!$I$10525+Sens!$I$10539</f>
        <v>264.10159582283</v>
      </c>
      <c r="J10544" s="38" t="n">
        <f aca="false">Sens!$J$10525+Sens!$J$10539</f>
        <v>316.331631276507</v>
      </c>
      <c r="K10544" s="38" t="n">
        <f aca="false">Sens!$K$10525+Sens!$K$10539</f>
        <v>361.955835258122</v>
      </c>
      <c r="L10544" s="38" t="n">
        <f aca="false">Sens!$L$10525+Sens!$L$10539</f>
        <v>398.418508372866</v>
      </c>
      <c r="M10544" s="38" t="n">
        <f aca="false">Sens!$M$10525+Sens!$M$10539</f>
        <v>427.384147736358</v>
      </c>
      <c r="N10544" s="38" t="n">
        <f aca="false">Sens!$N$10525+Sens!$N$10539</f>
        <v>56.398</v>
      </c>
      <c r="O10544" s="38" t="n">
        <f aca="false">Sens!$O$10525+Sens!$O$10539</f>
        <v>65.437</v>
      </c>
    </row>
    <row r="10545" customFormat="false" ht="17.15" hidden="false" customHeight="false" outlineLevel="0" collapsed="false">
      <c r="A10545" s="1" t="s">
        <v>762</v>
      </c>
    </row>
    <row r="10546" customFormat="false" ht="15" hidden="false" customHeight="false" outlineLevel="0" collapsed="false">
      <c r="A10546" s="5" t="s">
        <v>551</v>
      </c>
      <c r="B10546" s="0" t="s">
        <v>86</v>
      </c>
      <c r="C10546" s="38" t="n">
        <f aca="false">Q!$D$34</f>
        <v>2.406</v>
      </c>
      <c r="D10546" s="38" t="n">
        <f aca="false">Q!$E$34</f>
        <v>2.274</v>
      </c>
      <c r="E10546" s="38" t="n">
        <f aca="false">Q!$P$34</f>
        <v>2.114</v>
      </c>
      <c r="F10546" s="38" t="n">
        <f aca="false">Sens!$F$10584</f>
        <v>3.24888962733561</v>
      </c>
      <c r="G10546" s="38" t="n">
        <f aca="false">Sens!$E$10546+Sens!$F$10546</f>
        <v>5.36288962733561</v>
      </c>
      <c r="H10546" s="38" t="n">
        <f aca="false">Sens!$H$10584</f>
        <v>7.42354172302123</v>
      </c>
      <c r="I10546" s="38" t="n">
        <f aca="false">Sens!$I$10584</f>
        <v>7.84418947693382</v>
      </c>
      <c r="J10546" s="38" t="n">
        <f aca="false">Sens!$J$10584</f>
        <v>8.79561318891235</v>
      </c>
      <c r="K10546" s="38" t="n">
        <f aca="false">Sens!$K$10584</f>
        <v>8.79561318891235</v>
      </c>
      <c r="L10546" s="38" t="n">
        <f aca="false">Sens!$L$10584</f>
        <v>8.79561318891235</v>
      </c>
      <c r="M10546" s="38" t="n">
        <f aca="false">Sens!$M$10584</f>
        <v>8.79561318891235</v>
      </c>
      <c r="N10546" s="38" t="n">
        <f aca="false">Q!$N$34</f>
        <v>1.057</v>
      </c>
      <c r="O10546" s="38" t="n">
        <f aca="false">Q!$O$34</f>
        <v>1.217</v>
      </c>
    </row>
    <row r="10547" customFormat="false" ht="15" hidden="false" customHeight="false" outlineLevel="0" collapsed="false">
      <c r="A10547" s="5" t="s">
        <v>763</v>
      </c>
      <c r="B10547" s="0" t="s">
        <v>86</v>
      </c>
      <c r="F10547" s="38" t="n">
        <f aca="false">Sens!$F$10585</f>
        <v>2.59</v>
      </c>
      <c r="H10547" s="38" t="n">
        <f aca="false">Sens!$H$10585</f>
        <v>4.1153774832261</v>
      </c>
      <c r="I10547" s="38" t="n">
        <f aca="false">Sens!$I$10585</f>
        <v>2.10589651022864</v>
      </c>
      <c r="J10547" s="38" t="n">
        <f aca="false">Sens!$J$10585</f>
        <v>2.10589651022864</v>
      </c>
      <c r="K10547" s="38" t="n">
        <f aca="false">Sens!$K$10585</f>
        <v>3.172800358404</v>
      </c>
      <c r="L10547" s="38" t="n">
        <f aca="false">Sens!$L$10585</f>
        <v>8.31037272592208</v>
      </c>
      <c r="M10547" s="38" t="n">
        <f aca="false">Sens!$M$10585</f>
        <v>15.9256588704093</v>
      </c>
    </row>
    <row r="10548" customFormat="false" ht="17.15" hidden="false" customHeight="false" outlineLevel="0" collapsed="false">
      <c r="A10548" s="5" t="s">
        <v>764</v>
      </c>
      <c r="B10548" s="0" t="s">
        <v>86</v>
      </c>
      <c r="C10548" s="38" t="n">
        <f aca="false">Q!$D$39</f>
        <v>2.427</v>
      </c>
      <c r="D10548" s="38" t="n">
        <f aca="false">Q!$E$39</f>
        <v>19.61</v>
      </c>
      <c r="E10548" s="38" t="n">
        <f aca="false">Q!$P$39</f>
        <v>71.492</v>
      </c>
      <c r="F10548" s="39" t="n">
        <v>0</v>
      </c>
      <c r="G10548" s="38" t="n">
        <f aca="false">Sens!$E$10548+Sens!$F$10548</f>
        <v>71.492</v>
      </c>
      <c r="H10548" s="39" t="n">
        <v>0</v>
      </c>
      <c r="I10548" s="39" t="n">
        <v>0</v>
      </c>
      <c r="J10548" s="39" t="n">
        <v>0</v>
      </c>
      <c r="K10548" s="39" t="n">
        <v>0</v>
      </c>
      <c r="L10548" s="39" t="n">
        <v>0</v>
      </c>
      <c r="M10548" s="39" t="n">
        <v>0</v>
      </c>
      <c r="N10548" s="38" t="n">
        <f aca="false">Q!$N$39</f>
        <v>6.017</v>
      </c>
      <c r="O10548" s="38" t="n">
        <f aca="false">Q!$O$39</f>
        <v>13.593</v>
      </c>
      <c r="P10548" s="5" t="s">
        <v>765</v>
      </c>
    </row>
    <row r="10549" customFormat="false" ht="15" hidden="false" customHeight="false" outlineLevel="0" collapsed="false">
      <c r="A10549" s="5" t="s">
        <v>554</v>
      </c>
      <c r="B10549" s="0" t="s">
        <v>86</v>
      </c>
      <c r="C10549" s="38" t="n">
        <f aca="false">Q!$D$36</f>
        <v>68.614</v>
      </c>
      <c r="D10549" s="38" t="n">
        <f aca="false">Q!$E$36</f>
        <v>97.311</v>
      </c>
      <c r="E10549" s="38" t="n">
        <f aca="false">Q!$P$36</f>
        <v>120.691</v>
      </c>
      <c r="F10549" s="38" t="n">
        <f aca="false">Sens!$F$10525-Sens!$F$10546+Sens!$F$10547+Sens!$F$10548</f>
        <v>55.7063670713938</v>
      </c>
      <c r="G10549" s="38" t="n">
        <f aca="false">Sens!$E$10549+Sens!$F$10549</f>
        <v>176.397367071394</v>
      </c>
      <c r="H10549" s="38" t="n">
        <f aca="false">Sens!$H$10525-Sens!$H$10546+Sens!$H$10547+Sens!$H$10548</f>
        <v>126.207292630471</v>
      </c>
      <c r="I10549" s="38" t="n">
        <f aca="false">Sens!$I$10525-Sens!$I$10546+Sens!$I$10547+Sens!$I$10548</f>
        <v>139.60709411592</v>
      </c>
      <c r="J10549" s="38" t="n">
        <f aca="false">Sens!$J$10525-Sens!$J$10546+Sens!$J$10547+Sens!$J$10548</f>
        <v>157.172425191032</v>
      </c>
      <c r="K10549" s="38" t="n">
        <f aca="false">Sens!$K$10525-Sens!$K$10546+Sens!$K$10547+Sens!$K$10548</f>
        <v>169.941519803795</v>
      </c>
      <c r="L10549" s="38" t="n">
        <f aca="false">Sens!$L$10525-Sens!$L$10546+Sens!$L$10547+Sens!$L$10548</f>
        <v>186.006845694394</v>
      </c>
      <c r="M10549" s="38" t="n">
        <f aca="false">Sens!$M$10525-Sens!$M$10546+Sens!$M$10547+Sens!$M$10548</f>
        <v>205.501711319949</v>
      </c>
      <c r="N10549" s="38" t="n">
        <f aca="false">Q!$N$36</f>
        <v>42.536</v>
      </c>
      <c r="O10549" s="38" t="n">
        <f aca="false">Q!$O$36</f>
        <v>54.775</v>
      </c>
    </row>
    <row r="10550" customFormat="false" ht="15" hidden="false" customHeight="false" outlineLevel="0" collapsed="false">
      <c r="A10550" s="5" t="s">
        <v>555</v>
      </c>
      <c r="B10550" s="0" t="s">
        <v>86</v>
      </c>
      <c r="C10550" s="38" t="n">
        <f aca="false">Q!$D$37</f>
        <v>9.265</v>
      </c>
      <c r="D10550" s="38" t="n">
        <f aca="false">Q!$E$37</f>
        <v>19.087</v>
      </c>
      <c r="E10550" s="38" t="n">
        <f aca="false">Q!$P$37</f>
        <v>27.759</v>
      </c>
      <c r="F10550" s="38" t="n">
        <f aca="false">Sens!$F$10549*tax</f>
        <v>9.669763357865</v>
      </c>
      <c r="G10550" s="38" t="n">
        <f aca="false">Sens!$E$10550+Sens!$F$10550</f>
        <v>37.428763357865</v>
      </c>
      <c r="H10550" s="38" t="n">
        <f aca="false">Sens!$H$10549*tax</f>
        <v>21.9076331473816</v>
      </c>
      <c r="I10550" s="38" t="n">
        <f aca="false">Sens!$I$10549*tax</f>
        <v>24.2336313450491</v>
      </c>
      <c r="J10550" s="38" t="n">
        <f aca="false">Sens!$J$10549*tax</f>
        <v>27.2827010246639</v>
      </c>
      <c r="K10550" s="38" t="n">
        <f aca="false">Sens!$K$10549*tax</f>
        <v>29.4992182683994</v>
      </c>
      <c r="L10550" s="38" t="n">
        <f aca="false">Sens!$L$10549*tax</f>
        <v>32.2879102581316</v>
      </c>
      <c r="M10550" s="38" t="n">
        <f aca="false">Sens!$M$10549*tax</f>
        <v>35.671917279284</v>
      </c>
      <c r="N10550" s="38" t="n">
        <f aca="false">Q!$N$37</f>
        <v>7.231</v>
      </c>
      <c r="O10550" s="38" t="n">
        <f aca="false">Q!$O$37</f>
        <v>11.856</v>
      </c>
    </row>
    <row r="10551" customFormat="false" ht="15" hidden="false" customHeight="false" outlineLevel="0" collapsed="false">
      <c r="A10551" s="3" t="s">
        <v>556</v>
      </c>
      <c r="B10551" s="8" t="s">
        <v>86</v>
      </c>
      <c r="C10551" s="38" t="n">
        <f aca="false">Q!$D$38</f>
        <v>59.248</v>
      </c>
      <c r="D10551" s="38" t="n">
        <f aca="false">Q!$E$38</f>
        <v>77.67</v>
      </c>
      <c r="E10551" s="38" t="n">
        <f aca="false">Q!$P$38</f>
        <v>92.902</v>
      </c>
      <c r="F10551" s="38" t="n">
        <f aca="false">Sens!$F$10549-Sens!$F$10550</f>
        <v>46.0366037135288</v>
      </c>
      <c r="G10551" s="38" t="n">
        <f aca="false">Sens!$E$10551+Sens!$F$10551</f>
        <v>138.938603713529</v>
      </c>
      <c r="H10551" s="38" t="n">
        <f aca="false">Sens!$H$10549-Sens!$H$10550</f>
        <v>104.29965948309</v>
      </c>
      <c r="I10551" s="38" t="n">
        <f aca="false">Sens!$I$10549-Sens!$I$10550</f>
        <v>115.373462770871</v>
      </c>
      <c r="J10551" s="38" t="n">
        <f aca="false">Sens!$J$10549-Sens!$J$10550</f>
        <v>129.889724166368</v>
      </c>
      <c r="K10551" s="38" t="n">
        <f aca="false">Sens!$K$10549-Sens!$K$10550</f>
        <v>140.442301535395</v>
      </c>
      <c r="L10551" s="38" t="n">
        <f aca="false">Sens!$L$10549-Sens!$L$10550</f>
        <v>153.718935436262</v>
      </c>
      <c r="M10551" s="38" t="n">
        <f aca="false">Sens!$M$10549-Sens!$M$10550</f>
        <v>169.829794040665</v>
      </c>
      <c r="N10551" s="38" t="n">
        <f aca="false">Q!$N$38</f>
        <v>35.291</v>
      </c>
      <c r="O10551" s="38" t="n">
        <f aca="false">Q!$O$38</f>
        <v>42.379</v>
      </c>
    </row>
    <row r="10552" customFormat="false" ht="17.15" hidden="false" customHeight="false" outlineLevel="0" collapsed="false">
      <c r="A10552" s="5" t="s">
        <v>559</v>
      </c>
      <c r="B10552" s="5" t="s">
        <v>33</v>
      </c>
      <c r="C10552" s="22" t="n">
        <f aca="false">Q!$D$41</f>
        <v>10.721</v>
      </c>
      <c r="D10552" s="22" t="n">
        <f aca="false">Q!$E$41</f>
        <v>10.827</v>
      </c>
      <c r="E10552" s="22" t="n">
        <f aca="false">(Q!$L$41+Q!$M$41)/2</f>
        <v>10.8885</v>
      </c>
      <c r="F10552" s="22" t="n">
        <f aca="false">Sens!$G$10552</f>
        <v>10.924806</v>
      </c>
      <c r="G10552" s="22" t="n">
        <f aca="false">Q!$M$41*(1+sh_g*0.25)</f>
        <v>10.924806</v>
      </c>
      <c r="H10552" s="22" t="n">
        <f aca="false">Sens!$G$10552*(1+sh_g)</f>
        <v>11.012204448</v>
      </c>
      <c r="I10552" s="22" t="n">
        <f aca="false">Sens!$H$10552*(1+sh_g)</f>
        <v>11.100302083584</v>
      </c>
      <c r="J10552" s="22" t="n">
        <f aca="false">Sens!$I$10552*(1+sh_g)</f>
        <v>11.1891045002527</v>
      </c>
      <c r="K10552" s="22" t="n">
        <f aca="false">Sens!$J$10552*(1+sh_g)</f>
        <v>11.2786173362547</v>
      </c>
      <c r="L10552" s="22" t="n">
        <f aca="false">Sens!$K$10552*(1+sh_g)</f>
        <v>11.3688462749447</v>
      </c>
      <c r="M10552" s="22" t="n">
        <f aca="false">Sens!$L$10552*(1+sh_g)</f>
        <v>11.4597970451443</v>
      </c>
      <c r="P10552" s="5" t="s">
        <v>766</v>
      </c>
    </row>
    <row r="10553" customFormat="false" ht="17.15" hidden="false" customHeight="false" outlineLevel="0" collapsed="false">
      <c r="A10553" s="5" t="s">
        <v>767</v>
      </c>
      <c r="B10553" s="0" t="s">
        <v>86</v>
      </c>
      <c r="C10553" s="38" t="n">
        <f aca="false">Sens!$C$10551+Sens!$C$10527*(1-tax)</f>
        <v>59.248</v>
      </c>
      <c r="D10553" s="38" t="n">
        <f aca="false">Sens!$D$10551+Sens!$D$10527*(1-tax)</f>
        <v>77.67</v>
      </c>
      <c r="E10553" s="38" t="n">
        <f aca="false">Sens!$E$10551+Sens!$E$10527*(1-tax)</f>
        <v>92.902</v>
      </c>
      <c r="F10553" s="38" t="n">
        <f aca="false">Sens!$F$10551+Sens!$F$10527*(1-tax)</f>
        <v>49.1531986731775</v>
      </c>
      <c r="G10553" s="38" t="n">
        <f aca="false">Sens!$G$10551+Sens!$G$10527*(1-tax)</f>
        <v>142.055198673178</v>
      </c>
      <c r="H10553" s="38" t="n">
        <f aca="false">Sens!$H$10551+Sens!$H$10527*(1-tax)</f>
        <v>116.831055438434</v>
      </c>
      <c r="I10553" s="38" t="n">
        <f aca="false">Sens!$I$10551+Sens!$I$10527*(1-tax)</f>
        <v>136.514727845811</v>
      </c>
      <c r="J10553" s="38" t="n">
        <f aca="false">Sens!$J$10551+Sens!$J$10527*(1-tax)</f>
        <v>159.679161110652</v>
      </c>
      <c r="K10553" s="38" t="n">
        <f aca="false">Sens!$K$10551+Sens!$K$10527*(1-tax)</f>
        <v>177.609607232054</v>
      </c>
      <c r="L10553" s="38" t="n">
        <f aca="false">Sens!$L$10551+Sens!$L$10527*(1-tax)</f>
        <v>195.735012776818</v>
      </c>
      <c r="M10553" s="38" t="n">
        <f aca="false">Sens!$M$10551+Sens!$M$10527*(1-tax)</f>
        <v>214.159316231505</v>
      </c>
      <c r="N10553" s="38" t="n">
        <f aca="false">Sens!$N$10551+Sens!$N$10527*(1-tax)</f>
        <v>35.291</v>
      </c>
      <c r="O10553" s="38" t="n">
        <f aca="false">Sens!$O$10551+Sens!$O$10527*(1-tax)</f>
        <v>42.379</v>
      </c>
    </row>
    <row r="10554" customFormat="false" ht="17.15" hidden="false" customHeight="false" outlineLevel="0" collapsed="false">
      <c r="A10554" s="43" t="s">
        <v>768</v>
      </c>
      <c r="B10554" s="14" t="s">
        <v>27</v>
      </c>
      <c r="C10554" s="44" t="n">
        <f aca="false">Sens!$C$10553/Sens!$C$10552</f>
        <v>5.52635015390355</v>
      </c>
      <c r="D10554" s="44" t="n">
        <f aca="false">Sens!$D$10553/Sens!$D$10552</f>
        <v>7.1737323358271</v>
      </c>
      <c r="E10554" s="44" t="n">
        <f aca="false">Sens!$E$10553/Sens!$E$10552</f>
        <v>8.53212104513937</v>
      </c>
      <c r="F10554" s="14"/>
      <c r="G10554" s="44" t="n">
        <f aca="false">Sens!$G$10553/Sens!$G$10552</f>
        <v>13.0029950804781</v>
      </c>
      <c r="H10554" s="44" t="n">
        <f aca="false">Sens!$H$10553/Sens!$H$10552</f>
        <v>10.6092341447268</v>
      </c>
      <c r="I10554" s="44" t="n">
        <f aca="false">Sens!$I$10553/Sens!$I$10552</f>
        <v>12.298289435537</v>
      </c>
      <c r="J10554" s="44" t="n">
        <f aca="false">Sens!$J$10553/Sens!$J$10552</f>
        <v>14.2709509154236</v>
      </c>
      <c r="K10554" s="44" t="n">
        <f aca="false">Sens!$K$10553/Sens!$K$10552</f>
        <v>15.7474628260624</v>
      </c>
      <c r="L10554" s="44" t="n">
        <f aca="false">Sens!$L$10553/Sens!$L$10552</f>
        <v>17.2167877059072</v>
      </c>
      <c r="M10554" s="44" t="n">
        <f aca="false">Sens!$M$10553/Sens!$M$10552</f>
        <v>18.6878803688978</v>
      </c>
      <c r="N10554" s="14"/>
      <c r="O10554" s="14"/>
    </row>
    <row r="10555" customFormat="false" ht="17.15" hidden="false" customHeight="false" outlineLevel="0" collapsed="false">
      <c r="A10555" s="0" t="s">
        <v>769</v>
      </c>
      <c r="B10555" s="0" t="s">
        <v>27</v>
      </c>
      <c r="C10555" s="30" t="n">
        <f aca="false">Sens!$C$10551/Sens!$C$10552</f>
        <v>5.52635015390355</v>
      </c>
      <c r="D10555" s="30" t="n">
        <f aca="false">Sens!$D$10551/Sens!$D$10552</f>
        <v>7.1737323358271</v>
      </c>
      <c r="E10555" s="30" t="n">
        <f aca="false">Sens!$E$10551/Sens!$E$10552</f>
        <v>8.53212104513937</v>
      </c>
      <c r="G10555" s="30" t="n">
        <f aca="false">Sens!$G$10551/Sens!$G$10552</f>
        <v>12.7177181648378</v>
      </c>
      <c r="H10555" s="30" t="n">
        <f aca="false">Sens!$H$10551/Sens!$H$10552</f>
        <v>9.47127888658407</v>
      </c>
      <c r="I10555" s="30" t="n">
        <f aca="false">Sens!$I$10551/Sens!$I$10552</f>
        <v>10.3937227925981</v>
      </c>
      <c r="J10555" s="30" t="n">
        <f aca="false">Sens!$J$10551/Sens!$J$10552</f>
        <v>11.6085897815536</v>
      </c>
      <c r="K10555" s="30" t="n">
        <f aca="false">Sens!$K$10551/Sens!$K$10552</f>
        <v>12.4520849806606</v>
      </c>
      <c r="L10555" s="30" t="n">
        <f aca="false">Sens!$L$10551/Sens!$L$10552</f>
        <v>13.5210672849924</v>
      </c>
      <c r="M10555" s="30" t="n">
        <f aca="false">Sens!$M$10551/Sens!$M$10552</f>
        <v>14.8196162088773</v>
      </c>
    </row>
    <row r="10556" customFormat="false" ht="17.15" hidden="false" customHeight="false" outlineLevel="0" collapsed="false">
      <c r="A10556" s="0" t="s">
        <v>770</v>
      </c>
      <c r="B10556" s="0" t="s">
        <v>27</v>
      </c>
      <c r="C10556" s="30" t="n">
        <f aca="false">(Sens!$C$10551-Sens!$C$10548*(1-tax))/Sens!$C$10552</f>
        <v>5.33926775917445</v>
      </c>
      <c r="D10556" s="30" t="n">
        <f aca="false">(Sens!$D$10551-Sens!$D$10548*(1-tax))/Sens!$D$10552</f>
        <v>5.67691812755503</v>
      </c>
      <c r="E10556" s="30" t="n">
        <f aca="false">(Sens!$E$10551-Sens!$E$10548*(1-tax))/Sens!$E$10552</f>
        <v>3.10602057006846</v>
      </c>
      <c r="G10556" s="30" t="n">
        <f aca="false">(Sens!$G$10551-Sens!$G$10548*(1-tax))/Sens!$G$10552</f>
        <v>7.30965004694081</v>
      </c>
      <c r="H10556" s="30" t="n">
        <f aca="false">(Sens!$H$10551-Sens!$H$10548*(1-tax))/Sens!$H$10552</f>
        <v>9.47127888658407</v>
      </c>
      <c r="I10556" s="30" t="n">
        <f aca="false">(Sens!$I$10551-Sens!$I$10548*(1-tax))/Sens!$I$10552</f>
        <v>10.3937227925981</v>
      </c>
      <c r="J10556" s="30" t="n">
        <f aca="false">(Sens!$J$10551-Sens!$J$10548*(1-tax))/Sens!$J$10552</f>
        <v>11.6085897815536</v>
      </c>
      <c r="K10556" s="30" t="n">
        <f aca="false">(Sens!$K$10551-Sens!$K$10548*(1-tax))/Sens!$K$10552</f>
        <v>12.4520849806606</v>
      </c>
      <c r="L10556" s="30" t="n">
        <f aca="false">(Sens!$L$10551-Sens!$L$10548*(1-tax))/Sens!$L$10552</f>
        <v>13.5210672849924</v>
      </c>
      <c r="M10556" s="30" t="n">
        <f aca="false">(Sens!$M$10551-Sens!$M$10548*(1-tax))/Sens!$M$10552</f>
        <v>14.8196162088773</v>
      </c>
      <c r="P10556" s="5" t="s">
        <v>771</v>
      </c>
    </row>
    <row r="10557" customFormat="false" ht="17.15" hidden="false" customHeight="false" outlineLevel="0" collapsed="false">
      <c r="A10557" s="0" t="s">
        <v>772</v>
      </c>
      <c r="B10557" s="0" t="s">
        <v>52</v>
      </c>
      <c r="H10557" s="13" t="n">
        <f aca="false">Sens!$H$10554/Sens!$G$10554-1</f>
        <v>-0.184093043251635</v>
      </c>
      <c r="I10557" s="13" t="n">
        <f aca="false">Sens!$I$10554/Sens!$H$10554-1</f>
        <v>0.159206147000695</v>
      </c>
      <c r="J10557" s="13" t="n">
        <f aca="false">Sens!$J$10554/Sens!$I$10554-1</f>
        <v>0.160401289157047</v>
      </c>
      <c r="K10557" s="13" t="n">
        <f aca="false">Sens!$K$10554/Sens!$J$10554-1</f>
        <v>0.103462755873053</v>
      </c>
      <c r="L10557" s="13" t="n">
        <f aca="false">Sens!$L$10554/Sens!$K$10554-1</f>
        <v>0.093305499182575</v>
      </c>
      <c r="M10557" s="13" t="n">
        <f aca="false">Sens!$M$10554/Sens!$L$10554-1</f>
        <v>0.0854452461236912</v>
      </c>
    </row>
    <row r="10560" customFormat="false" ht="19.4" hidden="false" customHeight="false" outlineLevel="0" collapsed="false">
      <c r="A10560" s="31" t="s">
        <v>1365</v>
      </c>
    </row>
    <row r="10561" customFormat="false" ht="17.15" hidden="false" customHeight="false" outlineLevel="0" collapsed="false">
      <c r="A10561" s="6" t="s">
        <v>16</v>
      </c>
      <c r="B10561" s="6" t="s">
        <v>17</v>
      </c>
      <c r="C10561" s="20" t="s">
        <v>504</v>
      </c>
      <c r="D10561" s="20" t="s">
        <v>505</v>
      </c>
      <c r="E10561" s="20" t="s">
        <v>587</v>
      </c>
      <c r="F10561" s="20" t="s">
        <v>588</v>
      </c>
      <c r="G10561" s="20" t="s">
        <v>589</v>
      </c>
      <c r="H10561" s="20" t="s">
        <v>590</v>
      </c>
      <c r="I10561" s="20" t="s">
        <v>591</v>
      </c>
      <c r="J10561" s="20" t="s">
        <v>592</v>
      </c>
      <c r="K10561" s="20" t="s">
        <v>593</v>
      </c>
      <c r="L10561" s="20" t="s">
        <v>594</v>
      </c>
      <c r="M10561" s="20" t="s">
        <v>595</v>
      </c>
      <c r="N10561" s="20" t="s">
        <v>596</v>
      </c>
      <c r="O10561" s="20" t="s">
        <v>597</v>
      </c>
      <c r="P10561" s="6" t="s">
        <v>23</v>
      </c>
      <c r="R10561" s="20" t="n">
        <v>2023</v>
      </c>
      <c r="S10561" s="20" t="n">
        <v>2024</v>
      </c>
      <c r="T10561" s="20" t="n">
        <v>2025</v>
      </c>
      <c r="U10561" s="20" t="n">
        <v>2026</v>
      </c>
      <c r="V10561" s="20" t="n">
        <v>2027</v>
      </c>
      <c r="W10561" s="20" t="n">
        <v>2028</v>
      </c>
      <c r="X10561" s="20" t="n">
        <v>2029</v>
      </c>
      <c r="Y10561" s="20" t="n">
        <v>2030</v>
      </c>
      <c r="Z10561" s="20" t="n">
        <v>2031</v>
      </c>
      <c r="AA10561" s="20" t="n">
        <v>2032</v>
      </c>
    </row>
    <row r="10562" customFormat="false" ht="15" hidden="false" customHeight="false" outlineLevel="0" collapsed="false">
      <c r="A10562" s="5" t="s">
        <v>556</v>
      </c>
      <c r="B10562" s="0" t="s">
        <v>86</v>
      </c>
      <c r="C10562" s="38" t="n">
        <f aca="false">Sens!$C$10551</f>
        <v>59.248</v>
      </c>
      <c r="D10562" s="38" t="n">
        <f aca="false">Sens!$D$10551</f>
        <v>77.67</v>
      </c>
      <c r="E10562" s="38" t="n">
        <f aca="false">Sens!$E$10551</f>
        <v>92.902</v>
      </c>
      <c r="F10562" s="38" t="n">
        <f aca="false">Sens!$F$10551</f>
        <v>46.0366037135288</v>
      </c>
      <c r="G10562" s="38" t="n">
        <f aca="false">Sens!$G$10551</f>
        <v>138.938603713529</v>
      </c>
      <c r="H10562" s="38" t="n">
        <f aca="false">Sens!$H$10551</f>
        <v>104.29965948309</v>
      </c>
      <c r="I10562" s="38" t="n">
        <f aca="false">Sens!$I$10551</f>
        <v>115.373462770871</v>
      </c>
      <c r="J10562" s="38" t="n">
        <f aca="false">Sens!$J$10551</f>
        <v>129.889724166368</v>
      </c>
      <c r="K10562" s="38" t="n">
        <f aca="false">Sens!$K$10551</f>
        <v>140.442301535395</v>
      </c>
      <c r="L10562" s="38" t="n">
        <f aca="false">Sens!$L$10551</f>
        <v>153.718935436262</v>
      </c>
      <c r="M10562" s="38" t="n">
        <f aca="false">Sens!$M$10551</f>
        <v>169.829794040665</v>
      </c>
    </row>
    <row r="10563" customFormat="false" ht="17.15" hidden="false" customHeight="false" outlineLevel="0" collapsed="false">
      <c r="A10563" s="5" t="s">
        <v>795</v>
      </c>
      <c r="B10563" s="0" t="s">
        <v>86</v>
      </c>
      <c r="C10563" s="38" t="n">
        <f aca="false">Sens!$C$10539</f>
        <v>32.067</v>
      </c>
      <c r="D10563" s="38" t="n">
        <f aca="false">Sens!$D$10539</f>
        <v>41.86</v>
      </c>
      <c r="E10563" s="38" t="n">
        <f aca="false">Sens!$E$10539</f>
        <v>26.703</v>
      </c>
      <c r="F10563" s="38" t="n">
        <f aca="false">Sens!$F$10539</f>
        <v>29.152860869477</v>
      </c>
      <c r="G10563" s="38" t="n">
        <f aca="false">Sens!$G$10539</f>
        <v>55.855860869477</v>
      </c>
      <c r="H10563" s="38" t="n">
        <f aca="false">Sens!$H$10539</f>
        <v>81.5618233196153</v>
      </c>
      <c r="I10563" s="38" t="n">
        <f aca="false">Sens!$I$10539</f>
        <v>118.756208740204</v>
      </c>
      <c r="J10563" s="38" t="n">
        <f aca="false">Sens!$J$10539</f>
        <v>152.469489406791</v>
      </c>
      <c r="K10563" s="38" t="n">
        <f aca="false">Sens!$K$10539</f>
        <v>186.391502623819</v>
      </c>
      <c r="L10563" s="38" t="n">
        <f aca="false">Sens!$L$10539</f>
        <v>211.926422215482</v>
      </c>
      <c r="M10563" s="38" t="n">
        <f aca="false">Sens!$M$10539</f>
        <v>229.012482097906</v>
      </c>
    </row>
    <row r="10564" customFormat="false" ht="15" hidden="false" customHeight="false" outlineLevel="0" collapsed="false">
      <c r="A10564" s="5" t="s">
        <v>796</v>
      </c>
      <c r="B10564" s="0" t="s">
        <v>86</v>
      </c>
      <c r="C10564" s="38" t="n">
        <f aca="false">Q!$D$48</f>
        <v>22.011</v>
      </c>
      <c r="D10564" s="38" t="n">
        <f aca="false">Q!$E$48</f>
        <v>19.467</v>
      </c>
      <c r="E10564" s="38" t="n">
        <f aca="false">Q!$P$48</f>
        <v>10.07</v>
      </c>
      <c r="F10564" s="38" t="n">
        <f aca="false">sbc_r*Sens!$F$10481</f>
        <v>10.8507035798037</v>
      </c>
      <c r="G10564" s="38" t="n">
        <f aca="false">Sens!$E$10564+Sens!$F$10564</f>
        <v>20.9207035798037</v>
      </c>
      <c r="H10564" s="38" t="n">
        <f aca="false">sbc_r*Sens!$H$10481</f>
        <v>23.46224366345</v>
      </c>
      <c r="I10564" s="38" t="n">
        <f aca="false">sbc_r*Sens!$I$10481</f>
        <v>26.6125957111676</v>
      </c>
      <c r="J10564" s="38" t="n">
        <f aca="false">sbc_r*Sens!$J$10481</f>
        <v>29.6280801413323</v>
      </c>
      <c r="K10564" s="38" t="n">
        <f aca="false">sbc_r*Sens!$K$10481</f>
        <v>32.2712258901105</v>
      </c>
      <c r="L10564" s="38" t="n">
        <f aca="false">sbc_r*Sens!$L$10481</f>
        <v>34.7390505016737</v>
      </c>
      <c r="M10564" s="38" t="n">
        <f aca="false">sbc_r*Sens!$M$10481</f>
        <v>37.0405146906692</v>
      </c>
    </row>
    <row r="10565" customFormat="false" ht="17.15" hidden="false" customHeight="false" outlineLevel="0" collapsed="false">
      <c r="A10565" s="5" t="s">
        <v>797</v>
      </c>
      <c r="B10565" s="0" t="s">
        <v>86</v>
      </c>
      <c r="C10565" s="38" t="n">
        <f aca="false">Q!$D$44-Sens!$C$10562-Sens!$C$10563-Sens!$C$10564</f>
        <v>2.551</v>
      </c>
      <c r="D10565" s="38" t="n">
        <f aca="false">Q!$E$44-Sens!$D$10562-Sens!$D$10563-Sens!$D$10564</f>
        <v>0.51700000000001</v>
      </c>
      <c r="E10565" s="38" t="n">
        <f aca="false">Q!$P$44-Sens!$E$10562-Sens!$E$10563-Sens!$E$10564</f>
        <v>-58.256</v>
      </c>
      <c r="F10565" s="38" t="n">
        <f aca="false">oth_r*Sens!$F$10481</f>
        <v>5.22265251035878</v>
      </c>
      <c r="G10565" s="38" t="n">
        <f aca="false">Sens!$E$10565+Sens!$F$10565</f>
        <v>-53.0333474896412</v>
      </c>
      <c r="H10565" s="38" t="n">
        <f aca="false">oth_r*Sens!$H$10481</f>
        <v>11.2928295263397</v>
      </c>
      <c r="I10565" s="38" t="n">
        <f aca="false">oth_r*Sens!$I$10481</f>
        <v>12.8091546115766</v>
      </c>
      <c r="J10565" s="38" t="n">
        <f aca="false">oth_r*Sens!$J$10481</f>
        <v>14.2605653162668</v>
      </c>
      <c r="K10565" s="38" t="n">
        <f aca="false">oth_r*Sens!$K$10481</f>
        <v>15.5327622460396</v>
      </c>
      <c r="L10565" s="38" t="n">
        <f aca="false">oth_r*Sens!$L$10481</f>
        <v>16.720573737517</v>
      </c>
      <c r="M10565" s="38" t="n">
        <f aca="false">oth_r*Sens!$M$10481</f>
        <v>17.8283127551536</v>
      </c>
      <c r="P10565" s="8" t="s">
        <v>798</v>
      </c>
    </row>
    <row r="10566" customFormat="false" ht="15" hidden="false" customHeight="false" outlineLevel="0" collapsed="false">
      <c r="A10566" s="3" t="s">
        <v>562</v>
      </c>
      <c r="B10566" s="8" t="s">
        <v>86</v>
      </c>
      <c r="C10566" s="38" t="n">
        <f aca="false">Q!$D$44</f>
        <v>115.877</v>
      </c>
      <c r="D10566" s="38" t="n">
        <f aca="false">Q!$E$44</f>
        <v>139.514</v>
      </c>
      <c r="E10566" s="38" t="n">
        <f aca="false">Q!$P$44</f>
        <v>71.419</v>
      </c>
      <c r="F10566" s="38" t="n">
        <f aca="false">Sens!$F$10562+Sens!$F$10563+Sens!$F$10564+Sens!$F$10565</f>
        <v>91.2628206731683</v>
      </c>
      <c r="G10566" s="38" t="n">
        <f aca="false">Sens!$E$10566+Sens!$F$10566</f>
        <v>162.681820673168</v>
      </c>
      <c r="H10566" s="38" t="n">
        <f aca="false">Sens!$H$10562+Sens!$H$10563+Sens!$H$10564+Sens!$H$10565</f>
        <v>220.616555992495</v>
      </c>
      <c r="I10566" s="38" t="n">
        <f aca="false">Sens!$I$10562+Sens!$I$10563+Sens!$I$10564+Sens!$I$10565</f>
        <v>273.55142183382</v>
      </c>
      <c r="J10566" s="38" t="n">
        <f aca="false">Sens!$J$10562+Sens!$J$10563+Sens!$J$10564+Sens!$J$10565</f>
        <v>326.247859030758</v>
      </c>
      <c r="K10566" s="38" t="n">
        <f aca="false">Sens!$K$10562+Sens!$K$10563+Sens!$K$10564+Sens!$K$10565</f>
        <v>374.637792295364</v>
      </c>
      <c r="L10566" s="38" t="n">
        <f aca="false">Sens!$L$10562+Sens!$L$10563+Sens!$L$10564+Sens!$L$10565</f>
        <v>417.104981890935</v>
      </c>
      <c r="M10566" s="38" t="n">
        <f aca="false">Sens!$M$10562+Sens!$M$10563+Sens!$M$10564+Sens!$M$10565</f>
        <v>453.711103584394</v>
      </c>
    </row>
    <row r="10567" customFormat="false" ht="17.15" hidden="false" customHeight="false" outlineLevel="0" collapsed="false">
      <c r="A10567" s="5" t="s">
        <v>799</v>
      </c>
      <c r="B10567" s="0" t="s">
        <v>86</v>
      </c>
      <c r="C10567" s="38" t="n">
        <f aca="false">Sens!$C$10445</f>
        <v>25.2781053077374</v>
      </c>
      <c r="D10567" s="38" t="n">
        <f aca="false">Sens!$D$10445</f>
        <v>69.5686316310026</v>
      </c>
      <c r="E10567" s="38" t="n">
        <f aca="false">Sens!$E$10445</f>
        <v>64.1899206485108</v>
      </c>
      <c r="F10567" s="38" t="n">
        <f aca="false">Sens!$F$10445</f>
        <v>88.7165504612134</v>
      </c>
      <c r="G10567" s="38" t="n">
        <f aca="false">Sens!$G$10445</f>
        <v>152.906471109724</v>
      </c>
      <c r="H10567" s="38" t="n">
        <f aca="false">Sens!$H$10445</f>
        <v>198.57136494475</v>
      </c>
      <c r="I10567" s="38" t="n">
        <f aca="false">Sens!$I$10445</f>
        <v>204.6464699105</v>
      </c>
      <c r="J10567" s="38" t="n">
        <f aca="false">Sens!$J$10445</f>
        <v>209.8832381105</v>
      </c>
      <c r="K10567" s="38" t="n">
        <f aca="false">Sens!$K$10445</f>
        <v>155.238385275201</v>
      </c>
      <c r="L10567" s="38" t="n">
        <f aca="false">Sens!$L$10445</f>
        <v>132.014141639902</v>
      </c>
      <c r="M10567" s="38" t="n">
        <f aca="false">Sens!$M$10445</f>
        <v>132.230981659852</v>
      </c>
    </row>
    <row r="10568" customFormat="false" ht="17.15" hidden="false" customHeight="false" outlineLevel="0" collapsed="false">
      <c r="A10568" s="5" t="s">
        <v>800</v>
      </c>
      <c r="B10568" s="0" t="s">
        <v>86</v>
      </c>
      <c r="C10568" s="38" t="n">
        <f aca="false">cx_awso*Sens!$C$10479</f>
        <v>21.0469989286053</v>
      </c>
      <c r="D10568" s="38" t="n">
        <f aca="false">cx_awso*Sens!$D$10479</f>
        <v>24.0042459822698</v>
      </c>
      <c r="E10568" s="38" t="n">
        <f aca="false">cx_awso*Sens!$E$10479</f>
        <v>14.261729404886</v>
      </c>
      <c r="F10568" s="38" t="n">
        <f aca="false">cx_awso*Sens!$F$10479</f>
        <v>14.3538599588493</v>
      </c>
      <c r="G10568" s="38" t="n">
        <f aca="false">Sens!$E$10568+Sens!$F$10568</f>
        <v>28.6155893637353</v>
      </c>
      <c r="H10568" s="38" t="n">
        <f aca="false">cx_awso*Sens!$H$10479</f>
        <v>32.2034154158406</v>
      </c>
      <c r="I10568" s="38" t="n">
        <f aca="false">cx_awso*Sens!$I$10479</f>
        <v>35.7539519042915</v>
      </c>
      <c r="J10568" s="38" t="n">
        <f aca="false">cx_awso*Sens!$J$10479</f>
        <v>39.1551076091815</v>
      </c>
      <c r="K10568" s="38" t="n">
        <f aca="false">cx_awso*Sens!$K$10479</f>
        <v>42.287516217916</v>
      </c>
      <c r="L10568" s="38" t="n">
        <f aca="false">cx_awso*Sens!$L$10479</f>
        <v>45.6705175153492</v>
      </c>
      <c r="M10568" s="38" t="n">
        <f aca="false">cx_awso*Sens!$M$10479</f>
        <v>49.3241589165772</v>
      </c>
    </row>
    <row r="10569" customFormat="false" ht="17.15" hidden="false" customHeight="false" outlineLevel="0" collapsed="false">
      <c r="A10569" s="5" t="s">
        <v>801</v>
      </c>
      <c r="B10569" s="0" t="s">
        <v>86</v>
      </c>
      <c r="C10569" s="38" t="n">
        <f aca="false">Q!$D$46-Sens!$C$10567-Sens!$C$10568</f>
        <v>31.3328957636573</v>
      </c>
      <c r="D10569" s="38" t="n">
        <f aca="false">Q!$E$46-Sens!$D$10567-Sens!$D$10568</f>
        <v>34.7471223867276</v>
      </c>
      <c r="E10569" s="38" t="n">
        <f aca="false">Q!$P$46-Sens!$E$10567-Sens!$E$10568</f>
        <v>17.8583499466032</v>
      </c>
      <c r="F10569" s="38" t="n">
        <f aca="false">cx_rt*Sens!$F$10408</f>
        <v>20.6195895799373</v>
      </c>
      <c r="G10569" s="38" t="n">
        <f aca="false">Sens!$E$10569+Sens!$F$10569</f>
        <v>38.4779395265405</v>
      </c>
      <c r="H10569" s="38" t="n">
        <f aca="false">cx_rt*Sens!$H$10408</f>
        <v>42.5978994743075</v>
      </c>
      <c r="I10569" s="38" t="n">
        <f aca="false">cx_rt*Sens!$I$10408</f>
        <v>46.5813904136335</v>
      </c>
      <c r="J10569" s="38" t="n">
        <f aca="false">cx_rt*Sens!$J$10408</f>
        <v>50.2781676586844</v>
      </c>
      <c r="K10569" s="38" t="n">
        <f aca="false">cx_rt*Sens!$K$10408</f>
        <v>53.5312440191755</v>
      </c>
      <c r="L10569" s="38" t="n">
        <f aca="false">cx_rt*Sens!$L$10408</f>
        <v>57.0116717051447</v>
      </c>
      <c r="M10569" s="38" t="n">
        <f aca="false">cx_rt*Sens!$M$10408</f>
        <v>60.7365554669226</v>
      </c>
    </row>
    <row r="10570" customFormat="false" ht="15" hidden="false" customHeight="false" outlineLevel="0" collapsed="false">
      <c r="A10570" s="3" t="s">
        <v>802</v>
      </c>
      <c r="B10570" s="8" t="s">
        <v>86</v>
      </c>
      <c r="C10570" s="38" t="n">
        <f aca="false">Q!$D$46</f>
        <v>77.658</v>
      </c>
      <c r="D10570" s="38" t="n">
        <f aca="false">Q!$E$46</f>
        <v>128.32</v>
      </c>
      <c r="E10570" s="38" t="n">
        <f aca="false">Q!$P$46</f>
        <v>96.31</v>
      </c>
      <c r="F10570" s="38" t="n">
        <f aca="false">Sens!$F$10567+Sens!$F$10568+Sens!$F$10569</f>
        <v>123.69</v>
      </c>
      <c r="G10570" s="38" t="n">
        <f aca="false">Sens!$E$10570+Sens!$F$10570</f>
        <v>220</v>
      </c>
      <c r="H10570" s="38" t="n">
        <f aca="false">Sens!$H$10567+Sens!$H$10568+Sens!$H$10569</f>
        <v>273.372679834898</v>
      </c>
      <c r="I10570" s="38" t="n">
        <f aca="false">Sens!$I$10567+Sens!$I$10568+Sens!$I$10569</f>
        <v>286.981812228425</v>
      </c>
      <c r="J10570" s="38" t="n">
        <f aca="false">Sens!$J$10567+Sens!$J$10568+Sens!$J$10569</f>
        <v>299.316513378366</v>
      </c>
      <c r="K10570" s="38" t="n">
        <f aca="false">Sens!$K$10567+Sens!$K$10568+Sens!$K$10569</f>
        <v>251.057145512292</v>
      </c>
      <c r="L10570" s="38" t="n">
        <f aca="false">Sens!$L$10567+Sens!$L$10568+Sens!$L$10569</f>
        <v>234.696330860396</v>
      </c>
      <c r="M10570" s="38" t="n">
        <f aca="false">Sens!$M$10567+Sens!$M$10568+Sens!$M$10569</f>
        <v>242.291696043352</v>
      </c>
    </row>
    <row r="10571" customFormat="false" ht="17.15" hidden="false" customHeight="false" outlineLevel="0" collapsed="false">
      <c r="A10571" s="5" t="s">
        <v>570</v>
      </c>
      <c r="B10571" s="0" t="s">
        <v>86</v>
      </c>
      <c r="C10571" s="38" t="n">
        <f aca="false">Q!$D$50</f>
        <v>2.043</v>
      </c>
      <c r="D10571" s="38" t="n">
        <f aca="false">Q!$E$50</f>
        <v>1.557</v>
      </c>
      <c r="E10571" s="38" t="n">
        <f aca="false">lease_pr/2</f>
        <v>0.8</v>
      </c>
      <c r="F10571" s="38" t="n">
        <f aca="false">lease_pr/2</f>
        <v>0.8</v>
      </c>
      <c r="G10571" s="38" t="n">
        <f aca="false">Sens!$E$10571+Sens!$F$10571</f>
        <v>1.6</v>
      </c>
      <c r="H10571" s="38" t="n">
        <f aca="false">lease_pr</f>
        <v>1.6</v>
      </c>
      <c r="I10571" s="38" t="n">
        <f aca="false">lease_pr</f>
        <v>1.6</v>
      </c>
      <c r="J10571" s="38" t="n">
        <f aca="false">lease_pr</f>
        <v>1.6</v>
      </c>
      <c r="K10571" s="38" t="n">
        <f aca="false">lease_pr</f>
        <v>1.6</v>
      </c>
      <c r="L10571" s="38" t="n">
        <f aca="false">lease_pr</f>
        <v>1.6</v>
      </c>
      <c r="M10571" s="38" t="n">
        <f aca="false">lease_pr</f>
        <v>1.6</v>
      </c>
      <c r="P10571" s="8" t="s">
        <v>803</v>
      </c>
    </row>
    <row r="10572" customFormat="false" ht="15" hidden="false" customHeight="false" outlineLevel="0" collapsed="false">
      <c r="A10572" s="47" t="s">
        <v>804</v>
      </c>
      <c r="B10572" s="14" t="s">
        <v>86</v>
      </c>
      <c r="C10572" s="48" t="n">
        <f aca="false">Sens!$C$10566-Sens!$C$10570-Sens!$C$10571</f>
        <v>36.176</v>
      </c>
      <c r="D10572" s="48" t="n">
        <f aca="false">Sens!$D$10566-Sens!$D$10570-Sens!$D$10571</f>
        <v>9.63700000000002</v>
      </c>
      <c r="E10572" s="48" t="n">
        <f aca="false">Sens!$E$10566-Sens!$E$10570-Sens!$E$10571</f>
        <v>-25.691</v>
      </c>
      <c r="F10572" s="48" t="n">
        <f aca="false">Sens!$F$10566-Sens!$F$10570-Sens!$F$10571</f>
        <v>-33.2271793268317</v>
      </c>
      <c r="G10572" s="48" t="n">
        <f aca="false">Sens!$G$10566-Sens!$G$10570-Sens!$G$10571</f>
        <v>-58.9181793268317</v>
      </c>
      <c r="H10572" s="48" t="n">
        <f aca="false">Sens!$H$10566-Sens!$H$10570-Sens!$H$10571</f>
        <v>-54.3561238424036</v>
      </c>
      <c r="I10572" s="48" t="n">
        <f aca="false">Sens!$I$10566-Sens!$I$10570-Sens!$I$10571</f>
        <v>-15.0303903946055</v>
      </c>
      <c r="J10572" s="48" t="n">
        <f aca="false">Sens!$J$10566-Sens!$J$10570-Sens!$J$10571</f>
        <v>25.3313456523922</v>
      </c>
      <c r="K10572" s="48" t="n">
        <f aca="false">Sens!$K$10566-Sens!$K$10570-Sens!$K$10571</f>
        <v>121.980646783072</v>
      </c>
      <c r="L10572" s="48" t="n">
        <f aca="false">Sens!$L$10566-Sens!$L$10570-Sens!$L$10571</f>
        <v>180.80865103054</v>
      </c>
      <c r="M10572" s="48" t="n">
        <f aca="false">Sens!$M$10566-Sens!$M$10570-Sens!$M$10571</f>
        <v>209.819407541041</v>
      </c>
      <c r="N10572" s="14"/>
      <c r="O10572" s="14"/>
    </row>
    <row r="10573" customFormat="false" ht="17.15" hidden="false" customHeight="false" outlineLevel="0" collapsed="false">
      <c r="A10573" s="5" t="s">
        <v>805</v>
      </c>
      <c r="B10573" s="0" t="s">
        <v>86</v>
      </c>
      <c r="C10573" s="38" t="n">
        <f aca="false">dps*Sens!$C$10552</f>
        <v>0</v>
      </c>
      <c r="D10573" s="38" t="n">
        <f aca="false">dps*Sens!$D$10552</f>
        <v>0</v>
      </c>
      <c r="E10573" s="38" t="n">
        <f aca="false">dps*Sens!$E$10552</f>
        <v>0</v>
      </c>
      <c r="F10573" s="38" t="n">
        <f aca="false">0</f>
        <v>0</v>
      </c>
      <c r="G10573" s="38" t="n">
        <f aca="false">dps*Sens!$G$10552</f>
        <v>0</v>
      </c>
      <c r="H10573" s="38" t="n">
        <f aca="false">dps*Sens!$H$10552</f>
        <v>0</v>
      </c>
      <c r="I10573" s="38" t="n">
        <f aca="false">dps*Sens!$I$10552</f>
        <v>0</v>
      </c>
      <c r="J10573" s="38" t="n">
        <f aca="false">dps*Sens!$J$10552</f>
        <v>0</v>
      </c>
      <c r="K10573" s="38" t="n">
        <f aca="false">dps*Sens!$K$10552</f>
        <v>0</v>
      </c>
      <c r="L10573" s="38" t="n">
        <f aca="false">dps*Sens!$L$10552</f>
        <v>0</v>
      </c>
      <c r="M10573" s="38" t="n">
        <f aca="false">dps*Sens!$M$10552</f>
        <v>0</v>
      </c>
      <c r="P10573" s="8" t="s">
        <v>806</v>
      </c>
    </row>
    <row r="10574" customFormat="false" ht="17.15" hidden="false" customHeight="false" outlineLevel="0" collapsed="false">
      <c r="A10574" s="5" t="s">
        <v>807</v>
      </c>
      <c r="B10574" s="0" t="s">
        <v>86</v>
      </c>
      <c r="C10574" s="38" t="n">
        <f aca="false">0</f>
        <v>0</v>
      </c>
      <c r="D10574" s="38" t="n">
        <f aca="false">0</f>
        <v>0</v>
      </c>
      <c r="E10574" s="38" t="n">
        <f aca="false">0</f>
        <v>0</v>
      </c>
      <c r="F10574" s="38" t="n">
        <f aca="false">0</f>
        <v>0</v>
      </c>
      <c r="G10574" s="38" t="n">
        <f aca="false">0</f>
        <v>0</v>
      </c>
      <c r="H10574" s="38" t="n">
        <f aca="false">0</f>
        <v>0</v>
      </c>
      <c r="I10574" s="38" t="n">
        <f aca="false">0</f>
        <v>0</v>
      </c>
      <c r="J10574" s="38" t="n">
        <f aca="false">0</f>
        <v>0</v>
      </c>
      <c r="K10574" s="38" t="n">
        <f aca="false">0</f>
        <v>0</v>
      </c>
      <c r="L10574" s="38" t="n">
        <f aca="false">0</f>
        <v>0</v>
      </c>
      <c r="M10574" s="38" t="n">
        <f aca="false">0</f>
        <v>0</v>
      </c>
      <c r="P10574" s="8" t="s">
        <v>808</v>
      </c>
    </row>
    <row r="10575" customFormat="false" ht="15" hidden="false" customHeight="false" outlineLevel="0" collapsed="false">
      <c r="A10575" s="3" t="s">
        <v>809</v>
      </c>
      <c r="B10575" s="8" t="s">
        <v>86</v>
      </c>
      <c r="C10575" s="38" t="n">
        <f aca="false">Sens!$C$10572-Sens!$C$10573</f>
        <v>36.176</v>
      </c>
      <c r="D10575" s="38" t="n">
        <f aca="false">Sens!$D$10572-Sens!$D$10573</f>
        <v>9.63700000000002</v>
      </c>
      <c r="E10575" s="38" t="n">
        <f aca="false">Sens!$E$10572-Sens!$E$10573</f>
        <v>-25.691</v>
      </c>
      <c r="F10575" s="38" t="n">
        <f aca="false">Sens!$F$10572-Sens!$F$10573</f>
        <v>-33.2271793268317</v>
      </c>
      <c r="G10575" s="38" t="n">
        <f aca="false">Sens!$G$10572-Sens!$G$10573</f>
        <v>-58.9181793268317</v>
      </c>
      <c r="H10575" s="38" t="n">
        <f aca="false">Sens!$H$10572-Sens!$H$10573</f>
        <v>-54.3561238424036</v>
      </c>
      <c r="I10575" s="38" t="n">
        <f aca="false">Sens!$I$10572-Sens!$I$10573</f>
        <v>-15.0303903946055</v>
      </c>
      <c r="J10575" s="38" t="n">
        <f aca="false">Sens!$J$10572-Sens!$J$10573</f>
        <v>25.3313456523922</v>
      </c>
      <c r="K10575" s="38" t="n">
        <f aca="false">Sens!$K$10572-Sens!$K$10573</f>
        <v>121.980646783072</v>
      </c>
      <c r="L10575" s="38" t="n">
        <f aca="false">Sens!$L$10572-Sens!$L$10573</f>
        <v>180.80865103054</v>
      </c>
      <c r="M10575" s="38" t="n">
        <f aca="false">Sens!$M$10572-Sens!$M$10573</f>
        <v>209.819407541041</v>
      </c>
    </row>
    <row r="10576" customFormat="false" ht="17.15" hidden="false" customHeight="false" outlineLevel="0" collapsed="false">
      <c r="A10576" s="5" t="s">
        <v>810</v>
      </c>
      <c r="B10576" s="0" t="s">
        <v>86</v>
      </c>
      <c r="E10576" s="38" t="n">
        <f aca="false">Q!$P$53</f>
        <v>39.767</v>
      </c>
      <c r="F10576" s="38" t="n">
        <f aca="false">inv_2h26</f>
        <v>21.3</v>
      </c>
      <c r="G10576" s="38" t="n">
        <f aca="false">Sens!$E$10576+Sens!$F$10576</f>
        <v>61.067</v>
      </c>
      <c r="H10576" s="39" t="n">
        <v>0</v>
      </c>
      <c r="I10576" s="39" t="n">
        <v>0</v>
      </c>
      <c r="J10576" s="39" t="n">
        <v>0</v>
      </c>
      <c r="K10576" s="39" t="n">
        <v>0</v>
      </c>
      <c r="L10576" s="39" t="n">
        <v>0</v>
      </c>
      <c r="M10576" s="39" t="n">
        <v>0</v>
      </c>
    </row>
    <row r="10577" customFormat="false" ht="17.15" hidden="false" customHeight="false" outlineLevel="0" collapsed="false">
      <c r="A10577" s="5" t="s">
        <v>811</v>
      </c>
      <c r="B10577" s="0" t="s">
        <v>86</v>
      </c>
      <c r="F10577" s="38" t="n">
        <f aca="false">iss_2h26</f>
        <v>29.249999</v>
      </c>
      <c r="G10577" s="38" t="n">
        <f aca="false">Sens!$F$10577</f>
        <v>29.249999</v>
      </c>
      <c r="H10577" s="39" t="n">
        <v>0</v>
      </c>
      <c r="I10577" s="39" t="n">
        <v>0</v>
      </c>
      <c r="J10577" s="39" t="n">
        <v>0</v>
      </c>
      <c r="K10577" s="39" t="n">
        <v>0</v>
      </c>
      <c r="L10577" s="39" t="n">
        <v>0</v>
      </c>
      <c r="M10577" s="39" t="n">
        <v>0</v>
      </c>
    </row>
    <row r="10578" customFormat="false" ht="17.15" hidden="false" customHeight="false" outlineLevel="0" collapsed="false">
      <c r="A10578" s="5" t="s">
        <v>812</v>
      </c>
      <c r="B10578" s="0" t="s">
        <v>86</v>
      </c>
      <c r="F10578" s="38" t="n">
        <f aca="false">cash_q2</f>
        <v>122.988</v>
      </c>
      <c r="G10578" s="38" t="n">
        <f aca="false">cash_q2</f>
        <v>122.988</v>
      </c>
      <c r="H10578" s="38" t="n">
        <f aca="false">Sens!$G$10581</f>
        <v>97.7108196731683</v>
      </c>
      <c r="I10578" s="38" t="n">
        <f aca="false">Sens!$H$10581</f>
        <v>50</v>
      </c>
      <c r="J10578" s="38" t="n">
        <f aca="false">Sens!$I$10581</f>
        <v>50</v>
      </c>
      <c r="K10578" s="38" t="n">
        <f aca="false">Sens!$J$10581</f>
        <v>75.3313456523922</v>
      </c>
      <c r="L10578" s="38" t="n">
        <f aca="false">Sens!$K$10581</f>
        <v>197.311992435464</v>
      </c>
      <c r="M10578" s="38" t="n">
        <f aca="false">Sens!$L$10581</f>
        <v>378.120643466004</v>
      </c>
    </row>
    <row r="10579" customFormat="false" ht="15" hidden="false" customHeight="false" outlineLevel="0" collapsed="false">
      <c r="A10579" s="5" t="s">
        <v>813</v>
      </c>
      <c r="B10579" s="0" t="s">
        <v>86</v>
      </c>
      <c r="F10579" s="38" t="n">
        <f aca="false">Sens!$F$10578+Sens!$F$10575-Sens!$F$10574-Sens!$F$10576+Sens!$F$10577</f>
        <v>97.7108196731683</v>
      </c>
      <c r="H10579" s="38" t="n">
        <f aca="false">Sens!$H$10578+Sens!$H$10575-Sens!$H$10574-Sens!$H$10576+Sens!$H$10577</f>
        <v>43.3546958307647</v>
      </c>
      <c r="I10579" s="38" t="n">
        <f aca="false">Sens!$I$10578+Sens!$I$10575-Sens!$I$10574-Sens!$I$10576+Sens!$I$10577</f>
        <v>34.9696096053945</v>
      </c>
      <c r="J10579" s="38" t="n">
        <f aca="false">Sens!$J$10578+Sens!$J$10575-Sens!$J$10574-Sens!$J$10576+Sens!$J$10577</f>
        <v>75.3313456523922</v>
      </c>
      <c r="K10579" s="38" t="n">
        <f aca="false">Sens!$K$10578+Sens!$K$10575-Sens!$K$10574-Sens!$K$10576+Sens!$K$10577</f>
        <v>197.311992435464</v>
      </c>
      <c r="L10579" s="38" t="n">
        <f aca="false">Sens!$L$10578+Sens!$L$10575-Sens!$L$10574-Sens!$L$10576+Sens!$L$10577</f>
        <v>378.120643466004</v>
      </c>
      <c r="M10579" s="38" t="n">
        <f aca="false">Sens!$M$10578+Sens!$M$10575-Sens!$M$10574-Sens!$M$10576+Sens!$M$10577</f>
        <v>587.940051007045</v>
      </c>
    </row>
    <row r="10580" customFormat="false" ht="17.15" hidden="false" customHeight="false" outlineLevel="0" collapsed="false">
      <c r="A10580" s="5" t="s">
        <v>814</v>
      </c>
      <c r="B10580" s="0" t="s">
        <v>86</v>
      </c>
      <c r="F10580" s="38" t="n">
        <f aca="false">MAX(0,min_cash-Sens!$F$10579)</f>
        <v>0</v>
      </c>
      <c r="G10580" s="38" t="n">
        <f aca="false">Sens!$F$10580</f>
        <v>0</v>
      </c>
      <c r="H10580" s="38" t="n">
        <f aca="false">MAX(0,min_cash-Sens!$H$10579)</f>
        <v>6.64530416923528</v>
      </c>
      <c r="I10580" s="38" t="n">
        <f aca="false">MAX(0,min_cash-Sens!$I$10579)</f>
        <v>15.0303903946055</v>
      </c>
      <c r="J10580" s="38" t="n">
        <f aca="false">MAX(0,min_cash-Sens!$J$10579)</f>
        <v>0</v>
      </c>
      <c r="K10580" s="38" t="n">
        <f aca="false">MAX(0,min_cash-Sens!$K$10579)</f>
        <v>0</v>
      </c>
      <c r="L10580" s="38" t="n">
        <f aca="false">MAX(0,min_cash-Sens!$L$10579)</f>
        <v>0</v>
      </c>
      <c r="M10580" s="38" t="n">
        <f aca="false">MAX(0,min_cash-Sens!$M$10579)</f>
        <v>0</v>
      </c>
      <c r="P10580" s="5" t="s">
        <v>815</v>
      </c>
    </row>
    <row r="10581" customFormat="false" ht="15" hidden="false" customHeight="false" outlineLevel="0" collapsed="false">
      <c r="A10581" s="5" t="s">
        <v>816</v>
      </c>
      <c r="B10581" s="0" t="s">
        <v>86</v>
      </c>
      <c r="D10581" s="38" t="n">
        <f aca="false">Q!$E$61</f>
        <v>123.029</v>
      </c>
      <c r="E10581" s="38" t="n">
        <f aca="false">Q!$M$61</f>
        <v>122.988</v>
      </c>
      <c r="F10581" s="38" t="n">
        <f aca="false">Sens!$F$10579+Sens!$F$10580</f>
        <v>97.7108196731683</v>
      </c>
      <c r="G10581" s="38" t="n">
        <f aca="false">Sens!$F$10581</f>
        <v>97.7108196731683</v>
      </c>
      <c r="H10581" s="38" t="n">
        <f aca="false">Sens!$H$10579+Sens!$H$10580</f>
        <v>50</v>
      </c>
      <c r="I10581" s="38" t="n">
        <f aca="false">Sens!$I$10579+Sens!$I$10580</f>
        <v>50</v>
      </c>
      <c r="J10581" s="38" t="n">
        <f aca="false">Sens!$J$10579+Sens!$J$10580</f>
        <v>75.3313456523922</v>
      </c>
      <c r="K10581" s="38" t="n">
        <f aca="false">Sens!$K$10579+Sens!$K$10580</f>
        <v>197.311992435464</v>
      </c>
      <c r="L10581" s="38" t="n">
        <f aca="false">Sens!$L$10579+Sens!$L$10580</f>
        <v>378.120643466004</v>
      </c>
      <c r="M10581" s="38" t="n">
        <f aca="false">Sens!$M$10579+Sens!$M$10580</f>
        <v>587.940051007045</v>
      </c>
    </row>
    <row r="10582" customFormat="false" ht="15" hidden="false" customHeight="false" outlineLevel="0" collapsed="false">
      <c r="A10582" s="5" t="s">
        <v>817</v>
      </c>
      <c r="B10582" s="0" t="s">
        <v>86</v>
      </c>
      <c r="D10582" s="38" t="n">
        <f aca="false">Q!$E$62</f>
        <v>68.836</v>
      </c>
      <c r="E10582" s="38" t="n">
        <f aca="false">Q!$M$62</f>
        <v>132.995</v>
      </c>
      <c r="F10582" s="38" t="n">
        <f aca="false">debt_q2+Sens!$F$10577+Sens!$F$10580</f>
        <v>162.244999</v>
      </c>
      <c r="G10582" s="38" t="n">
        <f aca="false">Sens!$F$10582</f>
        <v>162.244999</v>
      </c>
      <c r="H10582" s="38" t="n">
        <f aca="false">Sens!$G$10582+Sens!$H$10580</f>
        <v>168.890303169235</v>
      </c>
      <c r="I10582" s="38" t="n">
        <f aca="false">Sens!$H$10582+Sens!$I$10580</f>
        <v>183.920693563841</v>
      </c>
      <c r="J10582" s="38" t="n">
        <f aca="false">Sens!$I$10582+Sens!$J$10580</f>
        <v>183.920693563841</v>
      </c>
      <c r="K10582" s="38" t="n">
        <f aca="false">Sens!$J$10582+Sens!$K$10580</f>
        <v>183.920693563841</v>
      </c>
      <c r="L10582" s="38" t="n">
        <f aca="false">Sens!$K$10582+Sens!$L$10580</f>
        <v>183.920693563841</v>
      </c>
      <c r="M10582" s="38" t="n">
        <f aca="false">Sens!$L$10582+Sens!$M$10580</f>
        <v>183.920693563841</v>
      </c>
    </row>
    <row r="10583" customFormat="false" ht="15" hidden="false" customHeight="false" outlineLevel="0" collapsed="false">
      <c r="A10583" s="5" t="s">
        <v>818</v>
      </c>
      <c r="B10583" s="0" t="s">
        <v>86</v>
      </c>
      <c r="D10583" s="38" t="n">
        <f aca="false">Sens!$D$10582-Sens!$D$10581</f>
        <v>-54.193</v>
      </c>
      <c r="E10583" s="38" t="n">
        <f aca="false">Sens!$E$10582-Sens!$E$10581</f>
        <v>10.007</v>
      </c>
      <c r="F10583" s="38" t="n">
        <f aca="false">Sens!$F$10582-Sens!$F$10581</f>
        <v>64.5341793268317</v>
      </c>
      <c r="G10583" s="38" t="n">
        <f aca="false">Sens!$G$10582-Sens!$G$10581</f>
        <v>64.5341793268317</v>
      </c>
      <c r="H10583" s="38" t="n">
        <f aca="false">Sens!$H$10582-Sens!$H$10581</f>
        <v>118.890303169235</v>
      </c>
      <c r="I10583" s="38" t="n">
        <f aca="false">Sens!$I$10582-Sens!$I$10581</f>
        <v>133.920693563841</v>
      </c>
      <c r="J10583" s="38" t="n">
        <f aca="false">Sens!$J$10582-Sens!$J$10581</f>
        <v>108.589347911449</v>
      </c>
      <c r="K10583" s="38" t="n">
        <f aca="false">Sens!$K$10582-Sens!$K$10581</f>
        <v>-13.3912988716235</v>
      </c>
      <c r="L10583" s="38" t="n">
        <f aca="false">Sens!$L$10582-Sens!$L$10581</f>
        <v>-194.199949902163</v>
      </c>
      <c r="M10583" s="38" t="n">
        <f aca="false">Sens!$M$10582-Sens!$M$10581</f>
        <v>-404.019357443204</v>
      </c>
    </row>
    <row r="10584" customFormat="false" ht="17.15" hidden="false" customHeight="false" outlineLevel="0" collapsed="false">
      <c r="A10584" s="5" t="s">
        <v>819</v>
      </c>
      <c r="B10584" s="0" t="s">
        <v>86</v>
      </c>
      <c r="F10584" s="38" t="n">
        <f aca="false">debt_q2*kd_book*0.5+iss_2h26*kd_new*iss_t</f>
        <v>3.24888962733561</v>
      </c>
      <c r="H10584" s="38" t="n">
        <f aca="false">debt_q2*kd_book+(Sens!$G$10582-debt_q2)*kd_new</f>
        <v>7.42354172302123</v>
      </c>
      <c r="I10584" s="38" t="n">
        <f aca="false">debt_q2*kd_book+(Sens!$H$10582-debt_q2)*kd_new</f>
        <v>7.84418947693382</v>
      </c>
      <c r="J10584" s="38" t="n">
        <f aca="false">debt_q2*kd_book+(Sens!$I$10582-debt_q2)*kd_new</f>
        <v>8.79561318891235</v>
      </c>
      <c r="K10584" s="38" t="n">
        <f aca="false">debt_q2*kd_book+(Sens!$J$10582-debt_q2)*kd_new</f>
        <v>8.79561318891235</v>
      </c>
      <c r="L10584" s="38" t="n">
        <f aca="false">debt_q2*kd_book+(Sens!$K$10582-debt_q2)*kd_new</f>
        <v>8.79561318891235</v>
      </c>
      <c r="M10584" s="38" t="n">
        <f aca="false">debt_q2*kd_book+(Sens!$L$10582-debt_q2)*kd_new</f>
        <v>8.79561318891235</v>
      </c>
    </row>
    <row r="10585" customFormat="false" ht="17.15" hidden="false" customHeight="false" outlineLevel="0" collapsed="false">
      <c r="A10585" s="5" t="s">
        <v>820</v>
      </c>
      <c r="B10585" s="0" t="s">
        <v>86</v>
      </c>
      <c r="F10585" s="38" t="n">
        <f aca="false">cash_q2*y_cash*0.5</f>
        <v>2.59</v>
      </c>
      <c r="H10585" s="38" t="n">
        <f aca="false">Sens!$G$10581*y_cash</f>
        <v>4.1153774832261</v>
      </c>
      <c r="I10585" s="38" t="n">
        <f aca="false">Sens!$H$10581*y_cash</f>
        <v>2.10589651022864</v>
      </c>
      <c r="J10585" s="38" t="n">
        <f aca="false">Sens!$I$10581*y_cash</f>
        <v>2.10589651022864</v>
      </c>
      <c r="K10585" s="38" t="n">
        <f aca="false">Sens!$J$10581*y_cash</f>
        <v>3.172800358404</v>
      </c>
      <c r="L10585" s="38" t="n">
        <f aca="false">Sens!$K$10581*y_cash</f>
        <v>8.31037272592208</v>
      </c>
      <c r="M10585" s="38" t="n">
        <f aca="false">Sens!$L$10581*y_cash</f>
        <v>15.9256588704093</v>
      </c>
    </row>
    <row r="10586" customFormat="false" ht="17.15" hidden="false" customHeight="false" outlineLevel="0" collapsed="false">
      <c r="A10586" s="47" t="s">
        <v>821</v>
      </c>
      <c r="B10586" s="14" t="s">
        <v>86</v>
      </c>
      <c r="C10586" s="14"/>
      <c r="D10586" s="14"/>
      <c r="E10586" s="14"/>
      <c r="F10586" s="14"/>
      <c r="G10586" s="48" t="n">
        <f aca="false">SUM(Sens!$G$10575:$K$10575)</f>
        <v>19.0072988716234</v>
      </c>
      <c r="H10586" s="14"/>
      <c r="I10586" s="14"/>
      <c r="J10586" s="14"/>
      <c r="K10586" s="14"/>
      <c r="L10586" s="14"/>
      <c r="M10586" s="14"/>
      <c r="N10586" s="14"/>
      <c r="O10586" s="14"/>
    </row>
    <row r="10587" customFormat="false" ht="17.15" hidden="false" customHeight="false" outlineLevel="0" collapsed="false">
      <c r="A10587" s="0" t="s">
        <v>787</v>
      </c>
      <c r="B10587" s="0" t="s">
        <v>86</v>
      </c>
      <c r="G10587" s="38" t="n">
        <f aca="false">SUM(Sens!$G$10580:$K$10580)</f>
        <v>21.6756945638408</v>
      </c>
    </row>
    <row r="10588" customFormat="false" ht="17.15" hidden="false" customHeight="false" outlineLevel="0" collapsed="false">
      <c r="A10588" s="24" t="s">
        <v>824</v>
      </c>
      <c r="B10588" s="25" t="s">
        <v>86</v>
      </c>
      <c r="C10588" s="25"/>
      <c r="D10588" s="25"/>
      <c r="E10588" s="25"/>
      <c r="F10588" s="25"/>
      <c r="G10588" s="41" t="n">
        <f aca="false">Sens!$G$10586-(Sens!$G$10575+Sens!$H$10575+Sens!$I$10575+Sens!$J$10575+Sens!$K$10575)</f>
        <v>0</v>
      </c>
      <c r="H10588" s="25"/>
      <c r="I10588" s="25"/>
      <c r="J10588" s="25"/>
      <c r="K10588" s="25"/>
      <c r="L10588" s="25"/>
      <c r="M10588" s="25"/>
      <c r="N10588" s="25"/>
      <c r="O10588" s="25"/>
    </row>
    <row r="10591" customFormat="false" ht="19.4" hidden="false" customHeight="false" outlineLevel="0" collapsed="false">
      <c r="A10591" s="31" t="s">
        <v>1366</v>
      </c>
    </row>
    <row r="10592" customFormat="false" ht="17.15" hidden="false" customHeight="false" outlineLevel="0" collapsed="false">
      <c r="A10592" s="6" t="s">
        <v>16</v>
      </c>
      <c r="B10592" s="6" t="s">
        <v>17</v>
      </c>
      <c r="C10592" s="20" t="s">
        <v>504</v>
      </c>
      <c r="D10592" s="20" t="s">
        <v>505</v>
      </c>
      <c r="E10592" s="20" t="s">
        <v>587</v>
      </c>
      <c r="F10592" s="20" t="s">
        <v>588</v>
      </c>
      <c r="G10592" s="20" t="s">
        <v>589</v>
      </c>
      <c r="H10592" s="20" t="s">
        <v>590</v>
      </c>
      <c r="I10592" s="20" t="s">
        <v>591</v>
      </c>
      <c r="J10592" s="20" t="s">
        <v>592</v>
      </c>
      <c r="K10592" s="20" t="s">
        <v>593</v>
      </c>
      <c r="L10592" s="20" t="s">
        <v>594</v>
      </c>
      <c r="M10592" s="20" t="s">
        <v>595</v>
      </c>
      <c r="N10592" s="20" t="s">
        <v>596</v>
      </c>
      <c r="O10592" s="20" t="s">
        <v>597</v>
      </c>
      <c r="P10592" s="6" t="s">
        <v>23</v>
      </c>
      <c r="R10592" s="20" t="n">
        <v>2023</v>
      </c>
      <c r="S10592" s="20" t="n">
        <v>2024</v>
      </c>
      <c r="T10592" s="20" t="n">
        <v>2025</v>
      </c>
      <c r="U10592" s="20" t="n">
        <v>2026</v>
      </c>
      <c r="V10592" s="20" t="n">
        <v>2027</v>
      </c>
      <c r="W10592" s="20" t="n">
        <v>2028</v>
      </c>
      <c r="X10592" s="20" t="n">
        <v>2029</v>
      </c>
      <c r="Y10592" s="20" t="n">
        <v>2030</v>
      </c>
      <c r="Z10592" s="20" t="n">
        <v>2031</v>
      </c>
      <c r="AA10592" s="20" t="n">
        <v>2032</v>
      </c>
    </row>
    <row r="10593" customFormat="false" ht="17.15" hidden="false" customHeight="false" outlineLevel="0" collapsed="false">
      <c r="A10593" s="1" t="s">
        <v>926</v>
      </c>
    </row>
    <row r="10594" customFormat="false" ht="17.15" hidden="false" customHeight="false" outlineLevel="0" collapsed="false">
      <c r="A10594" s="0" t="s">
        <v>927</v>
      </c>
      <c r="B10594" s="0" t="s">
        <v>86</v>
      </c>
      <c r="H10594" s="38" t="n">
        <f aca="false">Sens!$H$10528*(1-tax)</f>
        <v>119.56497355468</v>
      </c>
      <c r="I10594" s="38" t="n">
        <f aca="false">Sens!$I$10528*(1-tax)</f>
        <v>141.256941944278</v>
      </c>
      <c r="J10594" s="38" t="n">
        <f aca="false">Sens!$J$10528*(1-tax)</f>
        <v>165.207646486437</v>
      </c>
      <c r="K10594" s="38" t="n">
        <f aca="false">Sens!$K$10528*(1-tax)</f>
        <v>182.2563867591</v>
      </c>
      <c r="L10594" s="38" t="n">
        <f aca="false">Sens!$L$10528*(1-tax)</f>
        <v>196.136023003742</v>
      </c>
      <c r="M10594" s="38" t="n">
        <f aca="false">Sens!$M$10528*(1-tax)</f>
        <v>208.266936154417</v>
      </c>
    </row>
    <row r="10595" customFormat="false" ht="15" hidden="false" customHeight="false" outlineLevel="0" collapsed="false">
      <c r="A10595" s="5" t="s">
        <v>928</v>
      </c>
      <c r="B10595" s="0" t="s">
        <v>86</v>
      </c>
      <c r="H10595" s="38" t="n">
        <f aca="false">Sens!$H$10539</f>
        <v>81.5618233196153</v>
      </c>
      <c r="I10595" s="38" t="n">
        <f aca="false">Sens!$I$10539</f>
        <v>118.756208740204</v>
      </c>
      <c r="J10595" s="38" t="n">
        <f aca="false">Sens!$J$10539</f>
        <v>152.469489406791</v>
      </c>
      <c r="K10595" s="38" t="n">
        <f aca="false">Sens!$K$10539</f>
        <v>186.391502623819</v>
      </c>
      <c r="L10595" s="38" t="n">
        <f aca="false">Sens!$L$10539</f>
        <v>211.926422215482</v>
      </c>
      <c r="M10595" s="38" t="n">
        <f aca="false">Sens!$M$10539</f>
        <v>229.012482097906</v>
      </c>
    </row>
    <row r="10596" customFormat="false" ht="15" hidden="false" customHeight="false" outlineLevel="0" collapsed="false">
      <c r="A10596" s="5" t="s">
        <v>929</v>
      </c>
      <c r="B10596" s="0" t="s">
        <v>86</v>
      </c>
      <c r="H10596" s="38" t="n">
        <f aca="false">Sens!$H$10570</f>
        <v>273.372679834898</v>
      </c>
      <c r="I10596" s="38" t="n">
        <f aca="false">Sens!$I$10570</f>
        <v>286.981812228425</v>
      </c>
      <c r="J10596" s="38" t="n">
        <f aca="false">Sens!$J$10570</f>
        <v>299.316513378366</v>
      </c>
      <c r="K10596" s="38" t="n">
        <f aca="false">Sens!$K$10570</f>
        <v>251.057145512292</v>
      </c>
      <c r="L10596" s="38" t="n">
        <f aca="false">Sens!$L$10570</f>
        <v>234.696330860396</v>
      </c>
      <c r="M10596" s="38" t="n">
        <f aca="false">Sens!$M$10570</f>
        <v>242.291696043352</v>
      </c>
    </row>
    <row r="10597" customFormat="false" ht="15" hidden="false" customHeight="false" outlineLevel="0" collapsed="false">
      <c r="A10597" s="5" t="s">
        <v>930</v>
      </c>
      <c r="B10597" s="0" t="s">
        <v>86</v>
      </c>
      <c r="H10597" s="38" t="n">
        <f aca="false">Sens!$H$10571</f>
        <v>1.6</v>
      </c>
      <c r="I10597" s="38" t="n">
        <f aca="false">Sens!$I$10571</f>
        <v>1.6</v>
      </c>
      <c r="J10597" s="38" t="n">
        <f aca="false">Sens!$J$10571</f>
        <v>1.6</v>
      </c>
      <c r="K10597" s="38" t="n">
        <f aca="false">Sens!$K$10571</f>
        <v>1.6</v>
      </c>
      <c r="L10597" s="38" t="n">
        <f aca="false">Sens!$L$10571</f>
        <v>1.6</v>
      </c>
      <c r="M10597" s="38" t="n">
        <f aca="false">Sens!$M$10571</f>
        <v>1.6</v>
      </c>
    </row>
    <row r="10598" customFormat="false" ht="15" hidden="false" customHeight="false" outlineLevel="0" collapsed="false">
      <c r="A10598" s="5" t="s">
        <v>931</v>
      </c>
      <c r="B10598" s="0" t="s">
        <v>86</v>
      </c>
      <c r="H10598" s="38" t="n">
        <f aca="false">Sens!$H$10565</f>
        <v>11.2928295263397</v>
      </c>
      <c r="I10598" s="38" t="n">
        <f aca="false">Sens!$I$10565</f>
        <v>12.8091546115766</v>
      </c>
      <c r="J10598" s="38" t="n">
        <f aca="false">Sens!$J$10565</f>
        <v>14.2605653162668</v>
      </c>
      <c r="K10598" s="38" t="n">
        <f aca="false">Sens!$K$10565</f>
        <v>15.5327622460396</v>
      </c>
      <c r="L10598" s="38" t="n">
        <f aca="false">Sens!$L$10565</f>
        <v>16.720573737517</v>
      </c>
      <c r="M10598" s="38" t="n">
        <f aca="false">Sens!$M$10565</f>
        <v>17.8283127551536</v>
      </c>
    </row>
    <row r="10599" customFormat="false" ht="17.15" hidden="false" customHeight="false" outlineLevel="0" collapsed="false">
      <c r="A10599" s="1" t="s">
        <v>932</v>
      </c>
      <c r="B10599" s="8" t="s">
        <v>86</v>
      </c>
      <c r="H10599" s="38" t="n">
        <f aca="false">Sens!$H$10594+Sens!$H$10595-Sens!$H$10596-Sens!$H$10597+Sens!$H$10598</f>
        <v>-62.5530534342631</v>
      </c>
      <c r="I10599" s="38" t="n">
        <f aca="false">Sens!$I$10594+Sens!$I$10595-Sens!$I$10596-Sens!$I$10597+Sens!$I$10598</f>
        <v>-15.7595069323669</v>
      </c>
      <c r="J10599" s="38" t="n">
        <f aca="false">Sens!$J$10594+Sens!$J$10595-Sens!$J$10596-Sens!$J$10597+Sens!$J$10598</f>
        <v>31.0211878311291</v>
      </c>
      <c r="K10599" s="38" t="n">
        <f aca="false">Sens!$K$10594+Sens!$K$10595-Sens!$K$10596-Sens!$K$10597+Sens!$K$10598</f>
        <v>131.523506116666</v>
      </c>
      <c r="L10599" s="38" t="n">
        <f aca="false">Sens!$L$10594+Sens!$L$10595-Sens!$L$10596-Sens!$L$10597+Sens!$L$10598</f>
        <v>188.486688096346</v>
      </c>
      <c r="M10599" s="38" t="n">
        <f aca="false">Sens!$M$10594+Sens!$M$10595-Sens!$M$10596-Sens!$M$10597+Sens!$M$10598</f>
        <v>211.216034964125</v>
      </c>
    </row>
    <row r="10600" customFormat="false" ht="15" hidden="false" customHeight="false" outlineLevel="0" collapsed="false">
      <c r="A10600" s="5" t="s">
        <v>933</v>
      </c>
      <c r="B10600" s="0" t="s">
        <v>57</v>
      </c>
      <c r="H10600" s="40" t="n">
        <f aca="false">1/(1+(wacc+0.01))^(2027-2026-0.5)</f>
        <v>0.943523276903728</v>
      </c>
      <c r="I10600" s="40" t="n">
        <f aca="false">1/(1+(wacc+0.01))^(2028-2026-0.5)</f>
        <v>0.839958552166526</v>
      </c>
      <c r="J10600" s="40" t="n">
        <f aca="false">1/(1+(wacc+0.01))^(2029-2026-0.5)</f>
        <v>0.747761487848991</v>
      </c>
      <c r="K10600" s="40" t="n">
        <f aca="false">1/(1+(wacc+0.01))^(2030-2026-0.5)</f>
        <v>0.665684326051463</v>
      </c>
      <c r="L10600" s="40" t="n">
        <f aca="false">1/(1+(wacc+0.01))^(2031-2026-0.5)</f>
        <v>0.592616267555198</v>
      </c>
      <c r="M10600" s="40" t="n">
        <f aca="false">1/(1+(wacc+0.01))^(2032-2026-0.5)</f>
        <v>0.527568438713552</v>
      </c>
    </row>
    <row r="10601" customFormat="false" ht="15" hidden="false" customHeight="false" outlineLevel="0" collapsed="false">
      <c r="A10601" s="5" t="s">
        <v>934</v>
      </c>
      <c r="B10601" s="0" t="s">
        <v>86</v>
      </c>
      <c r="H10601" s="38" t="n">
        <f aca="false">Sens!$H$10599*Sens!$H$10600</f>
        <v>-59.02026195663</v>
      </c>
      <c r="I10601" s="38" t="n">
        <f aca="false">Sens!$I$10599*Sens!$I$10600</f>
        <v>-13.2373326257692</v>
      </c>
      <c r="J10601" s="38" t="n">
        <f aca="false">Sens!$J$10599*Sens!$J$10600</f>
        <v>23.1964495674481</v>
      </c>
      <c r="K10601" s="38" t="n">
        <f aca="false">Sens!$K$10599*Sens!$K$10600</f>
        <v>87.5531365291985</v>
      </c>
      <c r="L10601" s="38" t="n">
        <f aca="false">Sens!$L$10599*Sens!$L$10600</f>
        <v>111.700277583497</v>
      </c>
      <c r="M10601" s="38" t="n">
        <f aca="false">Sens!$M$10599*Sens!$M$10600</f>
        <v>111.43091379729</v>
      </c>
    </row>
    <row r="10602" customFormat="false" ht="15" hidden="false" customHeight="false" outlineLevel="0" collapsed="false">
      <c r="A10602" s="5" t="s">
        <v>935</v>
      </c>
      <c r="B10602" s="0" t="s">
        <v>86</v>
      </c>
      <c r="C10602" s="38" t="n">
        <f aca="false">SUM(Sens!$H$10601:$M$10601)</f>
        <v>261.623182895035</v>
      </c>
    </row>
    <row r="10603" customFormat="false" ht="17.15" hidden="false" customHeight="false" outlineLevel="0" collapsed="false">
      <c r="A10603" s="5" t="s">
        <v>936</v>
      </c>
      <c r="B10603" s="0" t="s">
        <v>86</v>
      </c>
      <c r="C10603" s="38" t="n">
        <f aca="false">Sens!$M$10594*(1+tg)*(1-tg/ronic)/((wacc+0.01)-tg)</f>
        <v>1690.43874923236</v>
      </c>
    </row>
    <row r="10604" customFormat="false" ht="15" hidden="false" customHeight="false" outlineLevel="0" collapsed="false">
      <c r="A10604" s="5" t="s">
        <v>937</v>
      </c>
      <c r="B10604" s="0" t="s">
        <v>86</v>
      </c>
      <c r="C10604" s="38" t="n">
        <f aca="false">Sens!$C$10603/(1+(wacc+0.01))^6</f>
        <v>841.454940091759</v>
      </c>
    </row>
    <row r="10605" customFormat="false" ht="17.15" hidden="false" customHeight="false" outlineLevel="0" collapsed="false">
      <c r="A10605" s="5" t="s">
        <v>938</v>
      </c>
      <c r="B10605" s="0" t="s">
        <v>86</v>
      </c>
      <c r="C10605" s="38" t="n">
        <f aca="false">Sens!$C$10602+Sens!$C$10604</f>
        <v>1103.07812298679</v>
      </c>
    </row>
    <row r="10606" customFormat="false" ht="17.15" hidden="false" customHeight="false" outlineLevel="0" collapsed="false">
      <c r="A10606" s="5" t="s">
        <v>939</v>
      </c>
      <c r="B10606" s="0" t="s">
        <v>52</v>
      </c>
      <c r="C10606" s="13" t="n">
        <f aca="false">Sens!$C$10604/Sens!$C$10605</f>
        <v>0.762824429708895</v>
      </c>
    </row>
    <row r="10607" customFormat="false" ht="17.15" hidden="false" customHeight="false" outlineLevel="0" collapsed="false">
      <c r="A10607" s="5" t="s">
        <v>940</v>
      </c>
      <c r="B10607" s="0" t="s">
        <v>86</v>
      </c>
      <c r="C10607" s="38" t="n">
        <f aca="false">Sens!$G$10583+fin_debt</f>
        <v>89.0551793268317</v>
      </c>
    </row>
    <row r="10608" customFormat="false" ht="17.15" hidden="false" customHeight="false" outlineLevel="0" collapsed="false">
      <c r="A10608" s="5" t="s">
        <v>941</v>
      </c>
      <c r="B10608" s="0" t="s">
        <v>86</v>
      </c>
      <c r="C10608" s="38" t="n">
        <f aca="false">(ant_val*ant_sh+oai_val*oai_sh)*(1-liq_disc)</f>
        <v>178.944</v>
      </c>
    </row>
    <row r="10609" customFormat="false" ht="15" hidden="false" customHeight="false" outlineLevel="0" collapsed="false">
      <c r="A10609" s="5" t="s">
        <v>942</v>
      </c>
      <c r="B10609" s="0" t="s">
        <v>86</v>
      </c>
      <c r="C10609" s="38" t="n">
        <f aca="false">Sens!$C$10605-Sens!$C$10607+Sens!$C$10608</f>
        <v>1192.96694365996</v>
      </c>
    </row>
    <row r="10610" customFormat="false" ht="17.15" hidden="false" customHeight="false" outlineLevel="0" collapsed="false">
      <c r="A10610" s="5" t="s">
        <v>943</v>
      </c>
      <c r="B10610" s="0" t="s">
        <v>27</v>
      </c>
      <c r="C10610" s="30" t="n">
        <f aca="false">Sens!$C$10609/sh_out</f>
        <v>110.600057040798</v>
      </c>
    </row>
    <row r="10611" customFormat="false" ht="17.15" hidden="false" customHeight="false" outlineLevel="0" collapsed="false">
      <c r="A10611" s="1" t="s">
        <v>944</v>
      </c>
      <c r="B10611" s="8" t="s">
        <v>27</v>
      </c>
      <c r="C10611" s="30" t="n">
        <f aca="false">Sens!$C$10610*(1+ke)^tp_yf-dps*tp_yf</f>
        <v>121.147856900808</v>
      </c>
    </row>
    <row r="10612" customFormat="false" ht="17.15" hidden="false" customHeight="false" outlineLevel="0" collapsed="false">
      <c r="A10612" s="3" t="s">
        <v>945</v>
      </c>
    </row>
    <row r="10613" customFormat="false" ht="17.15" hidden="false" customHeight="false" outlineLevel="0" collapsed="false">
      <c r="A10613" s="5" t="s">
        <v>946</v>
      </c>
      <c r="B10613" s="0" t="s">
        <v>86</v>
      </c>
      <c r="C10613" s="38" t="n">
        <f aca="false">(1-tp_yf)*(Sens!$H$10540+sbc_ab*Sens!$H$10564*Sens!$H$10401/Sens!$H$10481)+tp_yf*(Sens!$I$10540+sbc_ab*Sens!$I$10564*Sens!$I$10401/Sens!$I$10481)</f>
        <v>59.634664536349</v>
      </c>
    </row>
    <row r="10614" customFormat="false" ht="15" hidden="false" customHeight="false" outlineLevel="0" collapsed="false">
      <c r="A10614" s="5" t="s">
        <v>947</v>
      </c>
      <c r="B10614" s="0" t="s">
        <v>57</v>
      </c>
      <c r="C10614" s="30" t="n">
        <f aca="false">m_ads*m_x</f>
        <v>9.11</v>
      </c>
    </row>
    <row r="10615" customFormat="false" ht="17.15" hidden="false" customHeight="false" outlineLevel="0" collapsed="false">
      <c r="A10615" s="5" t="s">
        <v>948</v>
      </c>
      <c r="B10615" s="0" t="s">
        <v>86</v>
      </c>
      <c r="C10615" s="38" t="n">
        <f aca="false">Sens!$C$10613*Sens!$C$10614</f>
        <v>543.271793926139</v>
      </c>
    </row>
    <row r="10616" customFormat="false" ht="17.15" hidden="false" customHeight="false" outlineLevel="0" collapsed="false">
      <c r="A10616" s="5" t="s">
        <v>949</v>
      </c>
      <c r="B10616" s="0" t="s">
        <v>86</v>
      </c>
      <c r="C10616" s="38" t="n">
        <f aca="false">(1-tp_yf)*(Sens!$H$10541+sbc_ab*Sens!$H$10564*(Sens!$H$10408-Sens!$H$10401)/Sens!$H$10481+IF(internal_ai_reading=2,1,0)*(1-ext_sh)*Sens!$H$10438)+tp_yf*(Sens!$I$10541+sbc_ab*Sens!$I$10564*(Sens!$I$10408-Sens!$I$10401)/Sens!$I$10481+IF(internal_ai_reading=2,1,0)*(1-ext_sh)*Sens!$I$10438)</f>
        <v>51.6951811103438</v>
      </c>
    </row>
    <row r="10617" customFormat="false" ht="17.15" hidden="false" customHeight="false" outlineLevel="0" collapsed="false">
      <c r="A10617" s="5" t="s">
        <v>950</v>
      </c>
      <c r="B10617" s="0" t="s">
        <v>57</v>
      </c>
      <c r="C10617" s="30" t="n">
        <f aca="false">m_retail*m_x</f>
        <v>17.72</v>
      </c>
    </row>
    <row r="10618" customFormat="false" ht="17.15" hidden="false" customHeight="false" outlineLevel="0" collapsed="false">
      <c r="A10618" s="5" t="s">
        <v>951</v>
      </c>
      <c r="B10618" s="0" t="s">
        <v>86</v>
      </c>
      <c r="C10618" s="38" t="n">
        <f aca="false">Sens!$C$10616*Sens!$C$10617</f>
        <v>916.038609275292</v>
      </c>
    </row>
    <row r="10619" customFormat="false" ht="17.15" hidden="false" customHeight="false" outlineLevel="0" collapsed="false">
      <c r="A10619" s="0" t="s">
        <v>952</v>
      </c>
      <c r="B10619" s="0" t="s">
        <v>86</v>
      </c>
      <c r="C10619" s="38" t="n">
        <f aca="false">(1-tp_yf)*(Sens!$H$10542+sbc_ab*Sens!$H$10564*Sens!$H$10479/Sens!$H$10481)+tp_yf*(Sens!$I$10542+sbc_ab*Sens!$I$10564*Sens!$I$10479/Sens!$I$10481)</f>
        <v>97.2337130506861</v>
      </c>
    </row>
    <row r="10620" customFormat="false" ht="17.15" hidden="false" customHeight="false" outlineLevel="0" collapsed="false">
      <c r="A10620" s="0" t="s">
        <v>953</v>
      </c>
      <c r="B10620" s="0" t="s">
        <v>57</v>
      </c>
      <c r="C10620" s="30" t="n">
        <f aca="false">m_cloud*m_x</f>
        <v>13.82</v>
      </c>
    </row>
    <row r="10621" customFormat="false" ht="17.15" hidden="false" customHeight="false" outlineLevel="0" collapsed="false">
      <c r="A10621" s="0" t="s">
        <v>954</v>
      </c>
      <c r="B10621" s="0" t="s">
        <v>86</v>
      </c>
      <c r="C10621" s="38" t="n">
        <f aca="false">Sens!$C$10619*Sens!$C$10620</f>
        <v>1343.76991436048</v>
      </c>
    </row>
    <row r="10622" customFormat="false" ht="17.15" hidden="false" customHeight="false" outlineLevel="0" collapsed="false">
      <c r="A10622" s="0" t="s">
        <v>955</v>
      </c>
      <c r="B10622" s="0" t="s">
        <v>86</v>
      </c>
      <c r="H10622" s="38" t="n">
        <f aca="false">Sens!$H$10460-tax*Sens!$H$10461-ext_sh*Sens!$H$10445</f>
        <v>-115.41576008619</v>
      </c>
      <c r="I10622" s="38" t="n">
        <f aca="false">Sens!$I$10460-tax*Sens!$I$10461-ext_sh*Sens!$I$10445</f>
        <v>-88.5401912683161</v>
      </c>
      <c r="J10622" s="38" t="n">
        <f aca="false">Sens!$J$10460-tax*Sens!$J$10461-ext_sh*Sens!$J$10445</f>
        <v>-61.2977422866746</v>
      </c>
      <c r="K10622" s="38" t="n">
        <f aca="false">Sens!$K$10460-tax*Sens!$K$10461-ext_sh*Sens!$K$10445</f>
        <v>9.91264760007891</v>
      </c>
      <c r="L10622" s="38" t="n">
        <f aca="false">Sens!$L$10460-tax*Sens!$L$10461-ext_sh*Sens!$L$10445</f>
        <v>46.750156871371</v>
      </c>
      <c r="M10622" s="38" t="n">
        <f aca="false">Sens!$M$10460-tax*Sens!$M$10461-ext_sh*Sens!$M$10445</f>
        <v>55.5634749071557</v>
      </c>
    </row>
    <row r="10623" customFormat="false" ht="17.15" hidden="false" customHeight="false" outlineLevel="0" collapsed="false">
      <c r="A10623" s="5" t="s">
        <v>956</v>
      </c>
      <c r="B10623" s="0" t="s">
        <v>86</v>
      </c>
      <c r="H10623" s="38" t="n">
        <f aca="false">Sens!$H$10622*Sens!$H$10600</f>
        <v>-108.897456162856</v>
      </c>
      <c r="I10623" s="38" t="n">
        <f aca="false">Sens!$I$10622*Sens!$I$10600</f>
        <v>-74.3700908662821</v>
      </c>
      <c r="J10623" s="38" t="n">
        <f aca="false">Sens!$J$10622*Sens!$J$10600</f>
        <v>-45.8360909740678</v>
      </c>
      <c r="K10623" s="38" t="n">
        <f aca="false">Sens!$K$10622*Sens!$K$10600</f>
        <v>6.59869413704418</v>
      </c>
      <c r="L10623" s="38" t="n">
        <f aca="false">Sens!$L$10622*Sens!$L$10600</f>
        <v>27.7049034727318</v>
      </c>
      <c r="M10623" s="38" t="n">
        <f aca="false">Sens!$M$10622*Sens!$M$10600</f>
        <v>29.3135357062678</v>
      </c>
    </row>
    <row r="10624" customFormat="false" ht="17.15" hidden="false" customHeight="false" outlineLevel="0" collapsed="false">
      <c r="A10624" s="5" t="s">
        <v>957</v>
      </c>
      <c r="B10624" s="0" t="s">
        <v>86</v>
      </c>
      <c r="C10624" s="38" t="n">
        <f aca="false">Sens!$M$10461*(1-tax)*(1+tg)*(1-tg/ronic)/((wacc+0.01)-tg)</f>
        <v>318.003508986783</v>
      </c>
    </row>
    <row r="10625" customFormat="false" ht="17.15" hidden="false" customHeight="false" outlineLevel="0" collapsed="false">
      <c r="A10625" s="0" t="s">
        <v>958</v>
      </c>
      <c r="B10625" s="0" t="s">
        <v>86</v>
      </c>
      <c r="C10625" s="38" t="n">
        <f aca="false">(SUM(Sens!$I$10623:$M$10623)+Sens!$C$10624/(1+(wacc+0.01))^6)*(1+(wacc+0.01))^tp_yf</f>
        <v>111.903302613391</v>
      </c>
    </row>
    <row r="10626" customFormat="false" ht="17.15" hidden="false" customHeight="false" outlineLevel="0" collapsed="false">
      <c r="A10626" s="5" t="s">
        <v>959</v>
      </c>
      <c r="B10626" s="0" t="s">
        <v>86</v>
      </c>
      <c r="C10626" s="38" t="n">
        <f aca="false">(1-tp_yf)*(Sens!$H$10543)+tp_yf*(Sens!$I$10543)</f>
        <v>74.6707041238437</v>
      </c>
    </row>
    <row r="10627" customFormat="false" ht="17.15" hidden="false" customHeight="false" outlineLevel="0" collapsed="false">
      <c r="A10627" s="5" t="s">
        <v>960</v>
      </c>
      <c r="B10627" s="0" t="s">
        <v>86</v>
      </c>
      <c r="C10627" s="38" t="n">
        <f aca="false">Sens!$C$10626*m_ai</f>
        <v>448.024224743062</v>
      </c>
    </row>
    <row r="10628" customFormat="false" ht="17.15" hidden="false" customHeight="false" outlineLevel="0" collapsed="false">
      <c r="A10628" s="0" t="s">
        <v>961</v>
      </c>
      <c r="B10628" s="0" t="s">
        <v>86</v>
      </c>
      <c r="C10628" s="38" t="n">
        <f aca="false">IF(ai_leg=1,Sens!$C$10625,Sens!$C$10627)</f>
        <v>111.903302613391</v>
      </c>
    </row>
    <row r="10629" customFormat="false" ht="17.15" hidden="false" customHeight="false" outlineLevel="0" collapsed="false">
      <c r="A10629" s="5" t="s">
        <v>962</v>
      </c>
      <c r="B10629" s="0" t="s">
        <v>86</v>
      </c>
      <c r="C10629" s="38" t="n">
        <f aca="false">Sens!$C$10615+Sens!$C$10618+Sens!$C$10621+Sens!$C$10628</f>
        <v>2914.9836201753</v>
      </c>
    </row>
    <row r="10630" customFormat="false" ht="17.15" hidden="false" customHeight="false" outlineLevel="0" collapsed="false">
      <c r="A10630" s="5" t="s">
        <v>963</v>
      </c>
      <c r="B10630" s="0" t="s">
        <v>86</v>
      </c>
      <c r="C10630" s="38" t="n">
        <f aca="false">Sens!$H$10583+fin_debt</f>
        <v>143.411303169235</v>
      </c>
    </row>
    <row r="10631" customFormat="false" ht="15" hidden="false" customHeight="false" outlineLevel="0" collapsed="false">
      <c r="A10631" s="5" t="s">
        <v>964</v>
      </c>
      <c r="B10631" s="0" t="s">
        <v>86</v>
      </c>
      <c r="C10631" s="38" t="n">
        <f aca="false">Sens!$C$10629-Sens!$C$10630+Sens!$C$10608</f>
        <v>2950.51631700607</v>
      </c>
    </row>
    <row r="10632" customFormat="false" ht="15" hidden="false" customHeight="false" outlineLevel="0" collapsed="false">
      <c r="A10632" s="3" t="s">
        <v>965</v>
      </c>
      <c r="B10632" s="8" t="s">
        <v>27</v>
      </c>
      <c r="C10632" s="30" t="n">
        <f aca="false">Sens!$C$10631/sh_val</f>
        <v>267.491597882533</v>
      </c>
    </row>
    <row r="10633" customFormat="false" ht="17.15" hidden="false" customHeight="false" outlineLevel="0" collapsed="false">
      <c r="A10633" s="47" t="s">
        <v>966</v>
      </c>
      <c r="B10633" s="14" t="s">
        <v>27</v>
      </c>
      <c r="C10633" s="44" t="n">
        <f aca="false">w_dcf*Sens!$C$10611+(1-w_dcf)*Sens!$C$10632</f>
        <v>194.31972739167</v>
      </c>
      <c r="D10633" s="14"/>
      <c r="E10633" s="14"/>
      <c r="F10633" s="14"/>
      <c r="G10633" s="14"/>
      <c r="H10633" s="14"/>
      <c r="I10633" s="14"/>
      <c r="J10633" s="14"/>
      <c r="K10633" s="14"/>
      <c r="L10633" s="14"/>
      <c r="M10633" s="14"/>
      <c r="N10633" s="14"/>
      <c r="O10633" s="14"/>
    </row>
    <row r="10634" customFormat="false" ht="17.15" hidden="false" customHeight="false" outlineLevel="0" collapsed="false">
      <c r="A10634" s="5" t="s">
        <v>967</v>
      </c>
      <c r="B10634" s="0" t="s">
        <v>27</v>
      </c>
      <c r="C10634" s="30" t="n">
        <f aca="false">v022_wdcf*Sens!$C$10611+(1-v022_wdcf)*Sens!$C$10632</f>
        <v>201.636914440757</v>
      </c>
    </row>
    <row r="10635" customFormat="false" ht="17.15" hidden="false" customHeight="false" outlineLevel="0" collapsed="false">
      <c r="A10635" s="5" t="s">
        <v>968</v>
      </c>
      <c r="B10635" s="0" t="s">
        <v>27</v>
      </c>
      <c r="C10635" s="30" t="n">
        <f aca="false">(Sens!$C$10631-Sens!$C$10628+Sens!$C$10627)/sh_val</f>
        <v>297.964068759578</v>
      </c>
    </row>
    <row r="10638" customFormat="false" ht="19.4" hidden="false" customHeight="false" outlineLevel="0" collapsed="false">
      <c r="A10638" s="31" t="s">
        <v>1367</v>
      </c>
    </row>
    <row r="10639" customFormat="false" ht="17.15" hidden="false" customHeight="false" outlineLevel="0" collapsed="false">
      <c r="A10639" s="6" t="s">
        <v>16</v>
      </c>
      <c r="B10639" s="6" t="s">
        <v>17</v>
      </c>
      <c r="C10639" s="20" t="s">
        <v>504</v>
      </c>
      <c r="D10639" s="20" t="s">
        <v>505</v>
      </c>
      <c r="E10639" s="20" t="s">
        <v>587</v>
      </c>
      <c r="F10639" s="20" t="s">
        <v>588</v>
      </c>
      <c r="G10639" s="20" t="s">
        <v>589</v>
      </c>
      <c r="H10639" s="20" t="s">
        <v>590</v>
      </c>
      <c r="I10639" s="20" t="s">
        <v>591</v>
      </c>
      <c r="J10639" s="20" t="s">
        <v>592</v>
      </c>
      <c r="K10639" s="20" t="s">
        <v>593</v>
      </c>
      <c r="L10639" s="20" t="s">
        <v>594</v>
      </c>
      <c r="M10639" s="20" t="s">
        <v>595</v>
      </c>
      <c r="N10639" s="20" t="s">
        <v>596</v>
      </c>
      <c r="O10639" s="20" t="s">
        <v>597</v>
      </c>
      <c r="P10639" s="6" t="s">
        <v>23</v>
      </c>
      <c r="R10639" s="20" t="n">
        <v>2023</v>
      </c>
      <c r="S10639" s="20" t="n">
        <v>2024</v>
      </c>
      <c r="T10639" s="20" t="n">
        <v>2025</v>
      </c>
      <c r="U10639" s="20" t="n">
        <v>2026</v>
      </c>
      <c r="V10639" s="20" t="n">
        <v>2027</v>
      </c>
      <c r="W10639" s="20" t="n">
        <v>2028</v>
      </c>
      <c r="X10639" s="20" t="n">
        <v>2029</v>
      </c>
      <c r="Y10639" s="20" t="n">
        <v>2030</v>
      </c>
      <c r="Z10639" s="20" t="n">
        <v>2031</v>
      </c>
      <c r="AA10639" s="20" t="n">
        <v>2032</v>
      </c>
    </row>
    <row r="10640" customFormat="false" ht="17.15" hidden="false" customHeight="false" outlineLevel="0" collapsed="false">
      <c r="A10640" s="1" t="s">
        <v>677</v>
      </c>
    </row>
    <row r="10641" customFormat="false" ht="17.15" hidden="false" customHeight="false" outlineLevel="0" collapsed="false">
      <c r="A10641" s="0" t="s">
        <v>526</v>
      </c>
      <c r="B10641" s="0" t="s">
        <v>86</v>
      </c>
      <c r="C10641" s="38" t="n">
        <f aca="false">Q!$D$10</f>
        <v>247.029</v>
      </c>
      <c r="D10641" s="38" t="n">
        <f aca="false">Q!$E$10</f>
        <v>269.287</v>
      </c>
      <c r="E10641" s="38" t="n">
        <f aca="false">Q!$P$10</f>
        <v>134.686</v>
      </c>
      <c r="F10641" s="38" t="n">
        <f aca="false">Sens!$O$10641*(1+Sens!$F$10642)*Sens!$F$10653</f>
        <v>158.293876822267</v>
      </c>
      <c r="G10641" s="38" t="n">
        <f aca="false">Sens!$E$10641+Sens!$F$10641</f>
        <v>292.979876822267</v>
      </c>
      <c r="H10641" s="38" t="n">
        <f aca="false">Sens!$G$10641*(1+Sens!$H$10642)</f>
        <v>318.184543087396</v>
      </c>
      <c r="I10641" s="38" t="n">
        <f aca="false">Sens!$H$10641*(1+Sens!$I$10642)</f>
        <v>341.736278761793</v>
      </c>
      <c r="J10641" s="38" t="n">
        <f aca="false">Sens!$I$10641*(1+Sens!$J$10642)</f>
        <v>362.927192787048</v>
      </c>
      <c r="K10641" s="38" t="n">
        <f aca="false">Sens!$J$10641*(1+Sens!$K$10642)</f>
        <v>381.0735524264</v>
      </c>
      <c r="L10641" s="38" t="n">
        <f aca="false">Sens!$K$10641*(1+Sens!$L$10642)</f>
        <v>400.12723004772</v>
      </c>
      <c r="M10641" s="38" t="n">
        <f aca="false">Sens!$L$10641*(1+Sens!$M$10642)</f>
        <v>420.133591550106</v>
      </c>
      <c r="N10641" s="38" t="n">
        <f aca="false">Q!$N$10</f>
        <v>118.892</v>
      </c>
      <c r="O10641" s="38" t="n">
        <f aca="false">Q!$O$10</f>
        <v>150.395</v>
      </c>
      <c r="P10641" s="8" t="s">
        <v>678</v>
      </c>
    </row>
    <row r="10642" customFormat="false" ht="17.15" hidden="false" customHeight="false" outlineLevel="0" collapsed="false">
      <c r="A10642" s="0" t="s">
        <v>679</v>
      </c>
      <c r="B10642" s="0" t="s">
        <v>52</v>
      </c>
      <c r="E10642" s="13" t="n">
        <f aca="false">Sens!$E$10641/Sens!$N$10641-1</f>
        <v>0.132843252699929</v>
      </c>
      <c r="F10642" s="13" t="n">
        <f aca="false">Sens!$O$10641/(Q!$F$10+Q!$G$10)-1</f>
        <v>0.0980382135842941</v>
      </c>
      <c r="G10642" s="13" t="n">
        <f aca="false">Sens!$G$10641/Sens!$D$10641-1</f>
        <v>0.0879837378791657</v>
      </c>
      <c r="H10642" s="13" t="n">
        <f aca="false">Sens!$F$10642+(g_os-Sens!$F$10642)*1/4</f>
        <v>0.0860286601882206</v>
      </c>
      <c r="I10642" s="13" t="n">
        <f aca="false">Sens!$F$10642+(g_os-Sens!$F$10642)*2/4</f>
        <v>0.074019106792147</v>
      </c>
      <c r="J10642" s="13" t="n">
        <f aca="false">Sens!$F$10642+(g_os-Sens!$F$10642)*3/4</f>
        <v>0.0620095533960735</v>
      </c>
      <c r="K10642" s="13" t="n">
        <f aca="false">Sens!$F$10642+(g_os-Sens!$F$10642)*4/4</f>
        <v>0.05</v>
      </c>
      <c r="L10642" s="13" t="n">
        <f aca="false">g_os</f>
        <v>0.05</v>
      </c>
      <c r="M10642" s="13" t="n">
        <f aca="false">g_os</f>
        <v>0.05</v>
      </c>
      <c r="P10642" s="8" t="s">
        <v>680</v>
      </c>
    </row>
    <row r="10643" customFormat="false" ht="17.15" hidden="false" customHeight="false" outlineLevel="0" collapsed="false">
      <c r="A10643" s="0" t="s">
        <v>527</v>
      </c>
      <c r="B10643" s="0" t="s">
        <v>86</v>
      </c>
      <c r="C10643" s="38" t="n">
        <f aca="false">Q!$D$11</f>
        <v>21.215</v>
      </c>
      <c r="D10643" s="38" t="n">
        <f aca="false">Q!$E$11</f>
        <v>22.561</v>
      </c>
      <c r="E10643" s="38" t="n">
        <f aca="false">Q!$P$11</f>
        <v>11.579</v>
      </c>
      <c r="F10643" s="38" t="n">
        <f aca="false">Sens!$O$10643*(1+Sens!$F$10644)*Sens!$F$10653</f>
        <v>11.5938724610325</v>
      </c>
      <c r="G10643" s="38" t="n">
        <f aca="false">Sens!$E$10643+Sens!$F$10643</f>
        <v>23.1728724610325</v>
      </c>
      <c r="H10643" s="38" t="n">
        <f aca="false">Sens!$G$10643*(1+Sens!$H$10644)</f>
        <v>24.353392759506</v>
      </c>
      <c r="I10643" s="38" t="n">
        <f aca="false">Sens!$H$10643*(1+Sens!$I$10644)</f>
        <v>25.4240338872015</v>
      </c>
      <c r="J10643" s="38" t="n">
        <f aca="false">Sens!$I$10643*(1+Sens!$J$10644)</f>
        <v>26.3642491017174</v>
      </c>
      <c r="K10643" s="38" t="n">
        <f aca="false">Sens!$J$10643*(1+Sens!$K$10644)</f>
        <v>27.155176574769</v>
      </c>
      <c r="L10643" s="38" t="n">
        <f aca="false">Sens!$K$10643*(1+Sens!$L$10644)</f>
        <v>27.969831872012</v>
      </c>
      <c r="M10643" s="38" t="n">
        <f aca="false">Sens!$L$10643*(1+Sens!$M$10644)</f>
        <v>28.8089268281724</v>
      </c>
      <c r="N10643" s="38" t="n">
        <f aca="false">Q!$N$11</f>
        <v>11.128</v>
      </c>
      <c r="O10643" s="38" t="n">
        <f aca="false">Q!$O$11</f>
        <v>11.433</v>
      </c>
      <c r="P10643" s="8" t="s">
        <v>678</v>
      </c>
    </row>
    <row r="10644" customFormat="false" ht="17.15" hidden="false" customHeight="false" outlineLevel="0" collapsed="false">
      <c r="A10644" s="0" t="s">
        <v>681</v>
      </c>
      <c r="B10644" s="0" t="s">
        <v>52</v>
      </c>
      <c r="E10644" s="13" t="n">
        <f aca="false">Sens!$E$10643/Sens!$N$10643-1</f>
        <v>0.0405283968368082</v>
      </c>
      <c r="F10644" s="13" t="n">
        <f aca="false">Sens!$O$10643/(Q!$F$11+Q!$G$11)-1</f>
        <v>0.0579254187100955</v>
      </c>
      <c r="G10644" s="13" t="n">
        <f aca="false">Sens!$G$10643/Sens!$D$10643-1</f>
        <v>0.0271208040881397</v>
      </c>
      <c r="H10644" s="13" t="n">
        <f aca="false">Sens!$F$10644+(g_ps-Sens!$F$10644)*1/4</f>
        <v>0.0509440640325716</v>
      </c>
      <c r="I10644" s="13" t="n">
        <f aca="false">Sens!$F$10644+(g_ps-Sens!$F$10644)*2/4</f>
        <v>0.0439627093550477</v>
      </c>
      <c r="J10644" s="13" t="n">
        <f aca="false">Sens!$F$10644+(g_ps-Sens!$F$10644)*3/4</f>
        <v>0.0369813546775239</v>
      </c>
      <c r="K10644" s="13" t="n">
        <f aca="false">Sens!$F$10644+(g_ps-Sens!$F$10644)*4/4</f>
        <v>0.03</v>
      </c>
      <c r="L10644" s="13" t="n">
        <f aca="false">g_ps</f>
        <v>0.03</v>
      </c>
      <c r="M10644" s="13" t="n">
        <f aca="false">g_ps</f>
        <v>0.03</v>
      </c>
      <c r="P10644" s="8" t="s">
        <v>682</v>
      </c>
    </row>
    <row r="10645" customFormat="false" ht="17.15" hidden="false" customHeight="false" outlineLevel="0" collapsed="false">
      <c r="A10645" s="0" t="s">
        <v>528</v>
      </c>
      <c r="B10645" s="0" t="s">
        <v>86</v>
      </c>
      <c r="C10645" s="38" t="n">
        <f aca="false">Q!$D$12</f>
        <v>156.146</v>
      </c>
      <c r="D10645" s="38" t="n">
        <f aca="false">Q!$E$12</f>
        <v>172.162</v>
      </c>
      <c r="E10645" s="38" t="n">
        <f aca="false">Q!$P$12</f>
        <v>88.358</v>
      </c>
      <c r="F10645" s="38" t="n">
        <f aca="false">Sens!$O$10645*(1+Sens!$F$10646)*Sens!$F$10653</f>
        <v>102.004388260171</v>
      </c>
      <c r="G10645" s="38" t="n">
        <f aca="false">Sens!$E$10645+Sens!$F$10645</f>
        <v>190.362388260171</v>
      </c>
      <c r="H10645" s="38" t="n">
        <f aca="false">Sens!$G$10645*(1+Sens!$H$10646)</f>
        <v>210.343106588311</v>
      </c>
      <c r="I10645" s="38" t="n">
        <f aca="false">Sens!$H$10645*(1+Sens!$I$10646)</f>
        <v>229.969728494648</v>
      </c>
      <c r="J10645" s="38" t="n">
        <f aca="false">Sens!$I$10645*(1+Sens!$J$10646)</f>
        <v>248.747636972598</v>
      </c>
      <c r="K10645" s="38" t="n">
        <f aca="false">Sens!$J$10645*(1+Sens!$K$10646)</f>
        <v>266.15997156068</v>
      </c>
      <c r="L10645" s="38" t="n">
        <f aca="false">Sens!$K$10645*(1+Sens!$L$10646)</f>
        <v>284.791169569927</v>
      </c>
      <c r="M10645" s="38" t="n">
        <f aca="false">Sens!$L$10645*(1+Sens!$M$10646)</f>
        <v>304.726551439822</v>
      </c>
      <c r="N10645" s="38" t="n">
        <f aca="false">Q!$N$12</f>
        <v>76.86</v>
      </c>
      <c r="O10645" s="38" t="n">
        <f aca="false">Q!$O$12</f>
        <v>95.302</v>
      </c>
      <c r="P10645" s="8" t="s">
        <v>678</v>
      </c>
    </row>
    <row r="10646" customFormat="false" ht="17.15" hidden="false" customHeight="false" outlineLevel="0" collapsed="false">
      <c r="A10646" s="0" t="s">
        <v>683</v>
      </c>
      <c r="B10646" s="0" t="s">
        <v>52</v>
      </c>
      <c r="E10646" s="13" t="n">
        <f aca="false">Sens!$E$10645/Sens!$N$10645-1</f>
        <v>0.1495966692688</v>
      </c>
      <c r="F10646" s="13" t="n">
        <f aca="false">Sens!$O$10645/(Q!$F$12+Q!$G$12)-1</f>
        <v>0.11661530890813</v>
      </c>
      <c r="G10646" s="13" t="n">
        <f aca="false">Sens!$G$10645/Sens!$D$10645-1</f>
        <v>0.105716640490767</v>
      </c>
      <c r="H10646" s="13" t="n">
        <f aca="false">Sens!$F$10646+(g_sp-Sens!$F$10646)*1/4</f>
        <v>0.104961481681098</v>
      </c>
      <c r="I10646" s="13" t="n">
        <f aca="false">Sens!$F$10646+(g_sp-Sens!$F$10646)*2/4</f>
        <v>0.0933076544540651</v>
      </c>
      <c r="J10646" s="13" t="n">
        <f aca="false">Sens!$F$10646+(g_sp-Sens!$F$10646)*3/4</f>
        <v>0.0816538272270325</v>
      </c>
      <c r="K10646" s="13" t="n">
        <f aca="false">Sens!$F$10646+(g_sp-Sens!$F$10646)*4/4</f>
        <v>0.07</v>
      </c>
      <c r="L10646" s="13" t="n">
        <f aca="false">g_sp</f>
        <v>0.07</v>
      </c>
      <c r="M10646" s="13" t="n">
        <f aca="false">g_sp</f>
        <v>0.07</v>
      </c>
      <c r="P10646" s="8" t="s">
        <v>684</v>
      </c>
    </row>
    <row r="10647" customFormat="false" ht="17.15" hidden="false" customHeight="false" outlineLevel="0" collapsed="false">
      <c r="A10647" s="0" t="s">
        <v>529</v>
      </c>
      <c r="B10647" s="0" t="s">
        <v>86</v>
      </c>
      <c r="C10647" s="38" t="n">
        <f aca="false">Q!$D$13</f>
        <v>56.214</v>
      </c>
      <c r="D10647" s="38" t="n">
        <f aca="false">Q!$E$13</f>
        <v>68.635</v>
      </c>
      <c r="E10647" s="38" t="n">
        <f aca="false">Q!$P$13</f>
        <v>37.052</v>
      </c>
      <c r="F10647" s="38" t="n">
        <f aca="false">Sens!$O$10647*(1+Sens!$F$10648)*Sens!$F$10653</f>
        <v>46.1572219944148</v>
      </c>
      <c r="G10647" s="38" t="n">
        <f aca="false">Sens!$E$10647+Sens!$F$10647</f>
        <v>83.2092219944148</v>
      </c>
      <c r="H10647" s="38" t="n">
        <f aca="false">Sens!$G$10647*(1+Sens!$H$10648)</f>
        <v>99.8969223878976</v>
      </c>
      <c r="I10647" s="38" t="n">
        <f aca="false">Sens!$H$10647*(1+Sens!$I$10648)</f>
        <v>116.583111095496</v>
      </c>
      <c r="J10647" s="38" t="n">
        <f aca="false">Sens!$I$10647*(1+Sens!$J$10648)</f>
        <v>132.148941941952</v>
      </c>
      <c r="K10647" s="38" t="n">
        <f aca="false">Sens!$J$10647*(1+Sens!$K$10648)</f>
        <v>145.363836136147</v>
      </c>
      <c r="L10647" s="38" t="n">
        <f aca="false">Sens!$K$10647*(1+Sens!$L$10648)</f>
        <v>159.900219749762</v>
      </c>
      <c r="M10647" s="38" t="n">
        <f aca="false">Sens!$L$10647*(1+Sens!$M$10648)</f>
        <v>175.890241724738</v>
      </c>
      <c r="N10647" s="38" t="n">
        <f aca="false">Q!$N$13</f>
        <v>29.615</v>
      </c>
      <c r="O10647" s="38" t="n">
        <f aca="false">Q!$O$13</f>
        <v>39.02</v>
      </c>
      <c r="P10647" s="8" t="s">
        <v>678</v>
      </c>
    </row>
    <row r="10648" customFormat="false" ht="17.15" hidden="false" customHeight="false" outlineLevel="0" collapsed="false">
      <c r="A10648" s="0" t="s">
        <v>685</v>
      </c>
      <c r="B10648" s="0" t="s">
        <v>52</v>
      </c>
      <c r="E10648" s="13" t="n">
        <f aca="false">Sens!$E$10647/Sens!$N$10647-1</f>
        <v>0.25112274185379</v>
      </c>
      <c r="F10648" s="13" t="n">
        <f aca="false">Sens!$O$10647/(Q!$F$13+Q!$G$13)-1</f>
        <v>0.234068123596572</v>
      </c>
      <c r="G10648" s="13" t="n">
        <f aca="false">Sens!$G$10647/Sens!$D$10647-1</f>
        <v>0.212343876949294</v>
      </c>
      <c r="H10648" s="13" t="n">
        <f aca="false">Sens!$F$10648+(g_ad-Sens!$F$10648)*1/4</f>
        <v>0.200551092697429</v>
      </c>
      <c r="I10648" s="13" t="n">
        <f aca="false">Sens!$F$10648+(g_ad-Sens!$F$10648)*2/4</f>
        <v>0.167034061798286</v>
      </c>
      <c r="J10648" s="13" t="n">
        <f aca="false">Sens!$F$10648+(g_ad-Sens!$F$10648)*3/4</f>
        <v>0.133517030899143</v>
      </c>
      <c r="K10648" s="13" t="n">
        <f aca="false">Sens!$F$10648+(g_ad-Sens!$F$10648)*4/4</f>
        <v>0.1</v>
      </c>
      <c r="L10648" s="13" t="n">
        <f aca="false">g_ad</f>
        <v>0.1</v>
      </c>
      <c r="M10648" s="13" t="n">
        <f aca="false">g_ad</f>
        <v>0.1</v>
      </c>
      <c r="P10648" s="8" t="s">
        <v>686</v>
      </c>
    </row>
    <row r="10649" customFormat="false" ht="17.15" hidden="false" customHeight="false" outlineLevel="0" collapsed="false">
      <c r="A10649" s="0" t="s">
        <v>530</v>
      </c>
      <c r="B10649" s="0" t="s">
        <v>86</v>
      </c>
      <c r="C10649" s="38" t="n">
        <f aca="false">Q!$D$14</f>
        <v>44.374</v>
      </c>
      <c r="D10649" s="38" t="n">
        <f aca="false">Q!$E$14</f>
        <v>49.619</v>
      </c>
      <c r="E10649" s="38" t="n">
        <f aca="false">Q!$P$14</f>
        <v>27.157</v>
      </c>
      <c r="F10649" s="38" t="n">
        <f aca="false">Sens!$O$10649*(1+Sens!$F$10650)*Sens!$F$10653</f>
        <v>27.7764165988154</v>
      </c>
      <c r="G10649" s="38" t="n">
        <f aca="false">Sens!$E$10649+Sens!$F$10649</f>
        <v>54.9334165988154</v>
      </c>
      <c r="H10649" s="38" t="n">
        <f aca="false">Sens!$G$10649*(1+Sens!$H$10650)</f>
        <v>61.1564112561829</v>
      </c>
      <c r="I10649" s="38" t="n">
        <f aca="false">Sens!$H$10649*(1+Sens!$I$10650)</f>
        <v>67.2020282103945</v>
      </c>
      <c r="J10649" s="38" t="n">
        <f aca="false">Sens!$I$10649*(1+Sens!$J$10650)</f>
        <v>72.8757274028885</v>
      </c>
      <c r="K10649" s="38" t="n">
        <f aca="false">Sens!$J$10649*(1+Sens!$K$10650)</f>
        <v>77.9770283210907</v>
      </c>
      <c r="L10649" s="38" t="n">
        <f aca="false">Sens!$K$10649*(1+Sens!$L$10650)</f>
        <v>83.4354203035671</v>
      </c>
      <c r="M10649" s="38" t="n">
        <f aca="false">Sens!$L$10649*(1+Sens!$M$10650)</f>
        <v>89.2758997248168</v>
      </c>
      <c r="N10649" s="38" t="n">
        <f aca="false">Q!$N$14</f>
        <v>23.923</v>
      </c>
      <c r="O10649" s="38" t="n">
        <f aca="false">Q!$O$14</f>
        <v>25.696</v>
      </c>
      <c r="P10649" s="8" t="s">
        <v>678</v>
      </c>
    </row>
    <row r="10650" customFormat="false" ht="17.15" hidden="false" customHeight="false" outlineLevel="0" collapsed="false">
      <c r="A10650" s="0" t="s">
        <v>687</v>
      </c>
      <c r="B10650" s="0" t="s">
        <v>52</v>
      </c>
      <c r="E10650" s="13" t="n">
        <f aca="false">Sens!$E$10649/Sens!$N$10649-1</f>
        <v>0.135183714417088</v>
      </c>
      <c r="F10650" s="13" t="n">
        <f aca="false">Sens!$O$10649/(Q!$F$14+Q!$G$14)-1</f>
        <v>0.127709997366804</v>
      </c>
      <c r="G10650" s="13" t="n">
        <f aca="false">Sens!$G$10649/Sens!$D$10649-1</f>
        <v>0.107104468022641</v>
      </c>
      <c r="H10650" s="13" t="n">
        <f aca="false">Sens!$F$10650+(g_sub-Sens!$F$10650)*1/4</f>
        <v>0.113282498025103</v>
      </c>
      <c r="I10650" s="13" t="n">
        <f aca="false">Sens!$F$10650+(g_sub-Sens!$F$10650)*2/4</f>
        <v>0.0988549986834021</v>
      </c>
      <c r="J10650" s="13" t="n">
        <f aca="false">Sens!$F$10650+(g_sub-Sens!$F$10650)*3/4</f>
        <v>0.084427499341701</v>
      </c>
      <c r="K10650" s="13" t="n">
        <f aca="false">Sens!$F$10650+(g_sub-Sens!$F$10650)*4/4</f>
        <v>0.07</v>
      </c>
      <c r="L10650" s="13" t="n">
        <f aca="false">g_sub</f>
        <v>0.07</v>
      </c>
      <c r="M10650" s="13" t="n">
        <f aca="false">g_sub</f>
        <v>0.07</v>
      </c>
      <c r="P10650" s="8" t="s">
        <v>688</v>
      </c>
    </row>
    <row r="10651" customFormat="false" ht="17.15" hidden="false" customHeight="false" outlineLevel="0" collapsed="false">
      <c r="A10651" s="0" t="s">
        <v>531</v>
      </c>
      <c r="B10651" s="0" t="s">
        <v>86</v>
      </c>
      <c r="C10651" s="38" t="n">
        <f aca="false">Q!$D$15</f>
        <v>5.425</v>
      </c>
      <c r="D10651" s="38" t="n">
        <f aca="false">Q!$E$15</f>
        <v>5.935</v>
      </c>
      <c r="E10651" s="38" t="n">
        <f aca="false">Q!$P$15</f>
        <v>3.474</v>
      </c>
      <c r="F10651" s="38" t="n">
        <f aca="false">Sens!$O$10651*(1+Sens!$F$10652)*Sens!$F$10653</f>
        <v>3.22246550883619</v>
      </c>
      <c r="G10651" s="38" t="n">
        <f aca="false">Sens!$E$10651+Sens!$F$10651</f>
        <v>6.69646550883619</v>
      </c>
      <c r="H10651" s="38" t="n">
        <f aca="false">Sens!$G$10651*(1+Sens!$H$10652)</f>
        <v>7.16251344209196</v>
      </c>
      <c r="I10651" s="38" t="n">
        <f aca="false">Sens!$H$10651*(1+Sens!$I$10652)</f>
        <v>7.61421070299826</v>
      </c>
      <c r="J10651" s="38" t="n">
        <f aca="false">Sens!$I$10651*(1+Sens!$J$10652)</f>
        <v>8.04465753523932</v>
      </c>
      <c r="K10651" s="38" t="n">
        <f aca="false">Sens!$J$10651*(1+Sens!$K$10652)</f>
        <v>8.44689041200128</v>
      </c>
      <c r="L10651" s="38" t="n">
        <f aca="false">Sens!$K$10651*(1+Sens!$L$10652)</f>
        <v>8.86923493260135</v>
      </c>
      <c r="M10651" s="38" t="n">
        <f aca="false">Sens!$L$10651*(1+Sens!$M$10652)</f>
        <v>9.31269667923142</v>
      </c>
      <c r="N10651" s="38" t="n">
        <f aca="false">Q!$N$15</f>
        <v>2.811</v>
      </c>
      <c r="O10651" s="38" t="n">
        <f aca="false">Q!$O$15</f>
        <v>3.124</v>
      </c>
      <c r="P10651" s="8" t="s">
        <v>678</v>
      </c>
    </row>
    <row r="10652" customFormat="false" ht="17.15" hidden="false" customHeight="false" outlineLevel="0" collapsed="false">
      <c r="A10652" s="0" t="s">
        <v>689</v>
      </c>
      <c r="B10652" s="0" t="s">
        <v>52</v>
      </c>
      <c r="E10652" s="13" t="n">
        <f aca="false">Sens!$E$10651/Sens!$N$10651-1</f>
        <v>0.235859124866596</v>
      </c>
      <c r="F10652" s="13" t="n">
        <f aca="false">Sens!$O$10651/(Q!$F$15+Q!$G$15)-1</f>
        <v>0.0761281433000345</v>
      </c>
      <c r="G10652" s="13" t="n">
        <f aca="false">Sens!$G$10651/Sens!$D$10651-1</f>
        <v>0.128300843948811</v>
      </c>
      <c r="H10652" s="13" t="n">
        <f aca="false">Sens!$F$10652+(g_ot-Sens!$F$10652)*1/4</f>
        <v>0.0695961074750259</v>
      </c>
      <c r="I10652" s="13" t="n">
        <f aca="false">Sens!$F$10652+(g_ot-Sens!$F$10652)*2/4</f>
        <v>0.0630640716500172</v>
      </c>
      <c r="J10652" s="13" t="n">
        <f aca="false">Sens!$F$10652+(g_ot-Sens!$F$10652)*3/4</f>
        <v>0.0565320358250086</v>
      </c>
      <c r="K10652" s="13" t="n">
        <f aca="false">Sens!$F$10652+(g_ot-Sens!$F$10652)*4/4</f>
        <v>0.05</v>
      </c>
      <c r="L10652" s="13" t="n">
        <f aca="false">g_ot</f>
        <v>0.05</v>
      </c>
      <c r="M10652" s="13" t="n">
        <f aca="false">g_ot</f>
        <v>0.05</v>
      </c>
      <c r="P10652" s="8" t="s">
        <v>690</v>
      </c>
    </row>
    <row r="10653" customFormat="false" ht="17.15" hidden="false" customHeight="false" outlineLevel="0" collapsed="false">
      <c r="A10653" s="0" t="s">
        <v>691</v>
      </c>
      <c r="B10653" s="0" t="s">
        <v>57</v>
      </c>
      <c r="F10653" s="40" t="n">
        <f aca="false">(g26q3_mid*Q!$O$8/Q!$J$8-Thesis!$F$89-Thesis!$F$93)/(Sens!$O$10641*(1+Sens!$F$10642)+Sens!$O$10643*(1+Sens!$F$10644)+Sens!$O$10645*(1+Sens!$F$10646)+Sens!$O$10647*(1+Sens!$F$10648)+Sens!$O$10649*(1+Sens!$F$10650)+Sens!$O$10651*(1+Sens!$F$10652))</f>
        <v>0.958546670622329</v>
      </c>
      <c r="P10653" s="8" t="s">
        <v>692</v>
      </c>
    </row>
    <row r="10654" customFormat="false" ht="17.15" hidden="false" customHeight="false" outlineLevel="0" collapsed="false">
      <c r="A10654" s="3" t="s">
        <v>693</v>
      </c>
      <c r="B10654" s="8" t="s">
        <v>86</v>
      </c>
      <c r="C10654" s="38" t="n">
        <f aca="false">Sens!$C$10641+Sens!$C$10643+Sens!$C$10645+Sens!$C$10647+Sens!$C$10649+Sens!$C$10651</f>
        <v>530.403</v>
      </c>
      <c r="D10654" s="38" t="n">
        <f aca="false">Sens!$D$10641+Sens!$D$10643+Sens!$D$10645+Sens!$D$10647+Sens!$D$10649+Sens!$D$10651</f>
        <v>588.199</v>
      </c>
      <c r="E10654" s="38" t="n">
        <f aca="false">Sens!$E$10641+Sens!$E$10643+Sens!$E$10645+Sens!$E$10647+Sens!$E$10649+Sens!$E$10651</f>
        <v>302.306</v>
      </c>
      <c r="F10654" s="38" t="n">
        <f aca="false">Sens!$F$10641+Sens!$F$10643+Sens!$F$10645+Sens!$F$10647+Sens!$F$10649+Sens!$F$10651</f>
        <v>349.048241645537</v>
      </c>
      <c r="G10654" s="38" t="n">
        <f aca="false">Sens!$G$10641+Sens!$G$10643+Sens!$G$10645+Sens!$G$10647+Sens!$G$10649+Sens!$G$10651</f>
        <v>651.354241645537</v>
      </c>
      <c r="H10654" s="38" t="n">
        <f aca="false">Sens!$H$10641+Sens!$H$10643+Sens!$H$10645+Sens!$H$10647+Sens!$H$10649+Sens!$H$10651</f>
        <v>721.096889521386</v>
      </c>
      <c r="I10654" s="38" t="n">
        <f aca="false">Sens!$I$10641+Sens!$I$10643+Sens!$I$10645+Sens!$I$10647+Sens!$I$10649+Sens!$I$10651</f>
        <v>788.529391152531</v>
      </c>
      <c r="J10654" s="38" t="n">
        <f aca="false">Sens!$J$10641+Sens!$J$10643+Sens!$J$10645+Sens!$J$10647+Sens!$J$10649+Sens!$J$10651</f>
        <v>851.108405741443</v>
      </c>
      <c r="K10654" s="38" t="n">
        <f aca="false">Sens!$K$10641+Sens!$K$10643+Sens!$K$10645+Sens!$K$10647+Sens!$K$10649+Sens!$K$10651</f>
        <v>906.176455431088</v>
      </c>
      <c r="L10654" s="38" t="n">
        <f aca="false">Sens!$L$10641+Sens!$L$10643+Sens!$L$10645+Sens!$L$10647+Sens!$L$10649+Sens!$L$10651</f>
        <v>965.093106475589</v>
      </c>
      <c r="M10654" s="38" t="n">
        <f aca="false">Sens!$M$10641+Sens!$M$10643+Sens!$M$10645+Sens!$M$10647+Sens!$M$10649+Sens!$M$10651</f>
        <v>1028.14790794689</v>
      </c>
      <c r="N10654" s="38" t="n">
        <f aca="false">Sens!$N$10641+Sens!$N$10643+Sens!$N$10645+Sens!$N$10647+Sens!$N$10649+Sens!$N$10651</f>
        <v>263.229</v>
      </c>
      <c r="O10654" s="38" t="n">
        <f aca="false">Sens!$O$10641+Sens!$O$10643+Sens!$O$10645+Sens!$O$10647+Sens!$O$10649+Sens!$O$10651</f>
        <v>324.97</v>
      </c>
    </row>
    <row r="10655" customFormat="false" ht="17.15" hidden="false" customHeight="false" outlineLevel="0" collapsed="false">
      <c r="A10655" s="5" t="s">
        <v>694</v>
      </c>
      <c r="B10655" s="0" t="s">
        <v>52</v>
      </c>
      <c r="C10655" s="13" t="n">
        <f aca="false">Q!$D$5/(Q!$D$5+Q!$D$6)</f>
        <v>0.730570905519011</v>
      </c>
      <c r="D10655" s="13" t="n">
        <f aca="false">Q!$E$5/(Q!$E$5+Q!$E$6)</f>
        <v>0.724763217890544</v>
      </c>
      <c r="E10655" s="13" t="n">
        <f aca="false">Q!$P$5/(Q!$P$5+Q!$P$6)</f>
        <v>0.728797972914861</v>
      </c>
      <c r="F10655" s="13" t="n">
        <f aca="false">Sens!$O$10655</f>
        <v>0.718066283041511</v>
      </c>
      <c r="G10655" s="13" t="n">
        <f aca="false">Sens!$G$10656/Sens!$G$10654</f>
        <v>0.723047066202847</v>
      </c>
      <c r="H10655" s="13" t="n">
        <f aca="false">Sens!$G$10655</f>
        <v>0.723047066202847</v>
      </c>
      <c r="I10655" s="13" t="n">
        <f aca="false">Sens!$G$10655</f>
        <v>0.723047066202847</v>
      </c>
      <c r="J10655" s="13" t="n">
        <f aca="false">Sens!$G$10655</f>
        <v>0.723047066202847</v>
      </c>
      <c r="K10655" s="13" t="n">
        <f aca="false">Sens!$G$10655</f>
        <v>0.723047066202847</v>
      </c>
      <c r="L10655" s="13" t="n">
        <f aca="false">Sens!$G$10655</f>
        <v>0.723047066202847</v>
      </c>
      <c r="M10655" s="13" t="n">
        <f aca="false">Sens!$G$10655</f>
        <v>0.723047066202847</v>
      </c>
      <c r="N10655" s="13" t="n">
        <f aca="false">Q!$N$5/(Q!$N$5+Q!$N$6)</f>
        <v>0.733030935041352</v>
      </c>
      <c r="O10655" s="13" t="n">
        <f aca="false">Q!$O$5/(Q!$O$5+Q!$O$6)</f>
        <v>0.718066283041511</v>
      </c>
      <c r="P10655" s="8" t="s">
        <v>695</v>
      </c>
    </row>
    <row r="10656" customFormat="false" ht="17.15" hidden="false" customHeight="false" outlineLevel="0" collapsed="false">
      <c r="A10656" s="1" t="s">
        <v>519</v>
      </c>
      <c r="B10656" s="8" t="s">
        <v>86</v>
      </c>
      <c r="C10656" s="38" t="n">
        <f aca="false">Q!$D$5</f>
        <v>387.497</v>
      </c>
      <c r="D10656" s="38" t="n">
        <f aca="false">Q!$E$5</f>
        <v>426.305</v>
      </c>
      <c r="E10656" s="38" t="n">
        <f aca="false">Q!$P$5</f>
        <v>220.32</v>
      </c>
      <c r="F10656" s="38" t="n">
        <f aca="false">Sens!$F$10654*Sens!$F$10655</f>
        <v>250.639773480586</v>
      </c>
      <c r="G10656" s="38" t="n">
        <f aca="false">Sens!$E$10656+Sens!$F$10656</f>
        <v>470.959773480586</v>
      </c>
      <c r="H10656" s="38" t="n">
        <f aca="false">Sens!$H$10654*Sens!$H$10655</f>
        <v>521.386990416437</v>
      </c>
      <c r="I10656" s="38" t="n">
        <f aca="false">Sens!$I$10654*Sens!$I$10655</f>
        <v>570.143862887555</v>
      </c>
      <c r="J10656" s="38" t="n">
        <f aca="false">Sens!$J$10654*Sens!$J$10655</f>
        <v>615.391435791933</v>
      </c>
      <c r="K10656" s="38" t="n">
        <f aca="false">Sens!$K$10654*Sens!$K$10655</f>
        <v>655.208227561543</v>
      </c>
      <c r="L10656" s="38" t="n">
        <f aca="false">Sens!$L$10654*Sens!$L$10655</f>
        <v>697.807739249767</v>
      </c>
      <c r="M10656" s="38" t="n">
        <f aca="false">Sens!$M$10654*Sens!$M$10655</f>
        <v>743.399328463592</v>
      </c>
      <c r="N10656" s="38" t="n">
        <f aca="false">Q!$N$5</f>
        <v>192.955</v>
      </c>
      <c r="O10656" s="38" t="n">
        <f aca="false">Q!$O$5</f>
        <v>233.35</v>
      </c>
      <c r="P10656" s="5" t="s">
        <v>696</v>
      </c>
    </row>
    <row r="10657" customFormat="false" ht="17.15" hidden="false" customHeight="false" outlineLevel="0" collapsed="false">
      <c r="A10657" s="1" t="s">
        <v>522</v>
      </c>
      <c r="B10657" s="8" t="s">
        <v>86</v>
      </c>
      <c r="C10657" s="38" t="n">
        <f aca="false">Q!$D$6</f>
        <v>142.906</v>
      </c>
      <c r="D10657" s="38" t="n">
        <f aca="false">Q!$E$6</f>
        <v>161.894</v>
      </c>
      <c r="E10657" s="38" t="n">
        <f aca="false">Q!$P$6</f>
        <v>81.986</v>
      </c>
      <c r="F10657" s="38" t="n">
        <f aca="false">Sens!$F$10654*(1-Sens!$F$10655)</f>
        <v>98.408468164951</v>
      </c>
      <c r="G10657" s="38" t="n">
        <f aca="false">Sens!$E$10657+Sens!$F$10657</f>
        <v>180.394468164951</v>
      </c>
      <c r="H10657" s="38" t="n">
        <f aca="false">Sens!$H$10654*(1-Sens!$H$10655)</f>
        <v>199.709899104949</v>
      </c>
      <c r="I10657" s="38" t="n">
        <f aca="false">Sens!$I$10654*(1-Sens!$I$10655)</f>
        <v>218.385528264976</v>
      </c>
      <c r="J10657" s="38" t="n">
        <f aca="false">Sens!$J$10654*(1-Sens!$J$10655)</f>
        <v>235.71696994951</v>
      </c>
      <c r="K10657" s="38" t="n">
        <f aca="false">Sens!$K$10654*(1-Sens!$K$10655)</f>
        <v>250.968227869545</v>
      </c>
      <c r="L10657" s="38" t="n">
        <f aca="false">Sens!$L$10654*(1-Sens!$L$10655)</f>
        <v>267.285367225822</v>
      </c>
      <c r="M10657" s="38" t="n">
        <f aca="false">Sens!$M$10654*(1-Sens!$M$10655)</f>
        <v>284.748579483295</v>
      </c>
      <c r="N10657" s="38" t="n">
        <f aca="false">Q!$N$6</f>
        <v>70.274</v>
      </c>
      <c r="O10657" s="38" t="n">
        <f aca="false">Q!$O$6</f>
        <v>91.62</v>
      </c>
      <c r="P10657" s="5" t="s">
        <v>697</v>
      </c>
    </row>
    <row r="10658" customFormat="false" ht="17.15" hidden="false" customHeight="false" outlineLevel="0" collapsed="false">
      <c r="A10658" s="5" t="s">
        <v>698</v>
      </c>
      <c r="B10658" s="0" t="s">
        <v>86</v>
      </c>
      <c r="C10658" s="38" t="n">
        <f aca="false">Sens!$C$10647*Sens!$C$10655</f>
        <v>41.0683128828457</v>
      </c>
      <c r="D10658" s="38" t="n">
        <f aca="false">Sens!$D$10647*Sens!$D$10655</f>
        <v>49.7441234599175</v>
      </c>
      <c r="E10658" s="38" t="n">
        <f aca="false">Sens!$E$10647*Sens!$E$10655</f>
        <v>27.0034224924414</v>
      </c>
      <c r="F10658" s="38" t="n">
        <f aca="false">Sens!$F$10647*Sens!$F$10655</f>
        <v>33.1439448330513</v>
      </c>
      <c r="G10658" s="38" t="n">
        <f aca="false">Sens!$G$10647*Sens!$G$10655</f>
        <v>60.164183844083</v>
      </c>
      <c r="H10658" s="38" t="n">
        <f aca="false">Sens!$H$10647*Sens!$H$10655</f>
        <v>72.2301766552629</v>
      </c>
      <c r="I10658" s="38" t="n">
        <f aca="false">Sens!$I$10647*Sens!$I$10655</f>
        <v>84.2950764463991</v>
      </c>
      <c r="J10658" s="38" t="n">
        <f aca="false">Sens!$J$10647*Sens!$J$10655</f>
        <v>95.5499047729386</v>
      </c>
      <c r="K10658" s="38" t="n">
        <f aca="false">Sens!$K$10647*Sens!$K$10655</f>
        <v>105.104895250232</v>
      </c>
      <c r="L10658" s="38" t="n">
        <f aca="false">Sens!$L$10647*Sens!$L$10655</f>
        <v>115.615384775256</v>
      </c>
      <c r="M10658" s="38" t="n">
        <f aca="false">Sens!$M$10647*Sens!$M$10655</f>
        <v>127.176923252781</v>
      </c>
      <c r="N10658" s="38" t="n">
        <f aca="false">Sens!$N$10647*Sens!$N$10655</f>
        <v>21.7087111412496</v>
      </c>
      <c r="O10658" s="38" t="n">
        <f aca="false">Sens!$O$10647*Sens!$O$10655</f>
        <v>28.0189463642798</v>
      </c>
      <c r="P10658" s="5" t="s">
        <v>699</v>
      </c>
    </row>
    <row r="10659" customFormat="false" ht="15" hidden="false" customHeight="false" outlineLevel="0" collapsed="false">
      <c r="A10659" s="5" t="s">
        <v>700</v>
      </c>
      <c r="B10659" s="0" t="s">
        <v>86</v>
      </c>
      <c r="C10659" s="38" t="n">
        <f aca="false">Sens!$C$10647-Sens!$C$10658</f>
        <v>15.1456871171543</v>
      </c>
      <c r="D10659" s="38" t="n">
        <f aca="false">Sens!$D$10647-Sens!$D$10658</f>
        <v>18.8908765400825</v>
      </c>
      <c r="E10659" s="38" t="n">
        <f aca="false">Sens!$E$10647-Sens!$E$10658</f>
        <v>10.0485775075586</v>
      </c>
      <c r="F10659" s="38" t="n">
        <f aca="false">Sens!$F$10647-Sens!$F$10658</f>
        <v>13.0132771613635</v>
      </c>
      <c r="G10659" s="38" t="n">
        <f aca="false">Sens!$G$10647-Sens!$G$10658</f>
        <v>23.0450381503318</v>
      </c>
      <c r="H10659" s="38" t="n">
        <f aca="false">Sens!$H$10647-Sens!$H$10658</f>
        <v>27.6667457326347</v>
      </c>
      <c r="I10659" s="38" t="n">
        <f aca="false">Sens!$I$10647-Sens!$I$10658</f>
        <v>32.2880346490971</v>
      </c>
      <c r="J10659" s="38" t="n">
        <f aca="false">Sens!$J$10647-Sens!$J$10658</f>
        <v>36.5990371690132</v>
      </c>
      <c r="K10659" s="38" t="n">
        <f aca="false">Sens!$K$10647-Sens!$K$10658</f>
        <v>40.2589408859145</v>
      </c>
      <c r="L10659" s="38" t="n">
        <f aca="false">Sens!$L$10647-Sens!$L$10658</f>
        <v>44.2848349745059</v>
      </c>
      <c r="M10659" s="38" t="n">
        <f aca="false">Sens!$M$10647-Sens!$M$10658</f>
        <v>48.7133184719565</v>
      </c>
      <c r="N10659" s="38" t="n">
        <f aca="false">Sens!$N$10647-Sens!$N$10658</f>
        <v>7.90628885875037</v>
      </c>
      <c r="O10659" s="38" t="n">
        <f aca="false">Sens!$O$10647-Sens!$O$10658</f>
        <v>11.0010536357202</v>
      </c>
    </row>
    <row r="10660" customFormat="false" ht="19.4" hidden="false" customHeight="false" outlineLevel="0" collapsed="false">
      <c r="A10660" s="31" t="s">
        <v>1368</v>
      </c>
    </row>
    <row r="10661" customFormat="false" ht="17.15" hidden="false" customHeight="false" outlineLevel="0" collapsed="false">
      <c r="A10661" s="6" t="s">
        <v>16</v>
      </c>
      <c r="B10661" s="6" t="s">
        <v>17</v>
      </c>
      <c r="C10661" s="20" t="s">
        <v>504</v>
      </c>
      <c r="D10661" s="20" t="s">
        <v>505</v>
      </c>
      <c r="E10661" s="20" t="s">
        <v>587</v>
      </c>
      <c r="F10661" s="20" t="s">
        <v>588</v>
      </c>
      <c r="G10661" s="20" t="s">
        <v>589</v>
      </c>
      <c r="H10661" s="20" t="s">
        <v>590</v>
      </c>
      <c r="I10661" s="20" t="s">
        <v>591</v>
      </c>
      <c r="J10661" s="20" t="s">
        <v>592</v>
      </c>
      <c r="K10661" s="20" t="s">
        <v>593</v>
      </c>
      <c r="L10661" s="20" t="s">
        <v>594</v>
      </c>
      <c r="M10661" s="20" t="s">
        <v>595</v>
      </c>
      <c r="N10661" s="20" t="s">
        <v>596</v>
      </c>
      <c r="O10661" s="20" t="s">
        <v>597</v>
      </c>
      <c r="P10661" s="6" t="s">
        <v>23</v>
      </c>
      <c r="R10661" s="20" t="n">
        <v>2023</v>
      </c>
      <c r="S10661" s="20" t="n">
        <v>2024</v>
      </c>
      <c r="T10661" s="20" t="n">
        <v>2025</v>
      </c>
      <c r="U10661" s="20" t="n">
        <v>2026</v>
      </c>
      <c r="V10661" s="20" t="n">
        <v>2027</v>
      </c>
      <c r="W10661" s="20" t="n">
        <v>2028</v>
      </c>
      <c r="X10661" s="20" t="n">
        <v>2029</v>
      </c>
      <c r="Y10661" s="20" t="n">
        <v>2030</v>
      </c>
      <c r="Z10661" s="20" t="n">
        <v>2031</v>
      </c>
      <c r="AA10661" s="20" t="n">
        <v>2032</v>
      </c>
    </row>
    <row r="10662" customFormat="false" ht="17.15" hidden="false" customHeight="false" outlineLevel="0" collapsed="false">
      <c r="A10662" s="1" t="s">
        <v>598</v>
      </c>
    </row>
    <row r="10663" customFormat="false" ht="17.15" hidden="false" customHeight="false" outlineLevel="0" collapsed="false">
      <c r="A10663" s="5" t="s">
        <v>599</v>
      </c>
      <c r="B10663" s="0" t="s">
        <v>144</v>
      </c>
      <c r="H10663" s="32" t="n">
        <f aca="false">pace_B</f>
        <v>3634.3</v>
      </c>
      <c r="I10663" s="32" t="n">
        <f aca="false">pace_B</f>
        <v>3634.3</v>
      </c>
      <c r="J10663" s="32" t="n">
        <f aca="false">pace_B</f>
        <v>3634.3</v>
      </c>
      <c r="K10663" s="32" t="n">
        <f aca="false">pace_B+(Sens!$J$10664*tg_hi-pace_B)*1/3</f>
        <v>2620.20066666667</v>
      </c>
      <c r="L10663" s="32" t="n">
        <f aca="false">pace_B+(Sens!$J$10664*tg_hi-pace_B)*2/3</f>
        <v>1606.10133333333</v>
      </c>
      <c r="M10663" s="32" t="n">
        <f aca="false">pace_B+(Sens!$J$10664*tg_hi-pace_B)*3/3</f>
        <v>592.002</v>
      </c>
      <c r="P10663" s="5" t="s">
        <v>600</v>
      </c>
    </row>
    <row r="10664" customFormat="false" ht="17.15" hidden="false" customHeight="false" outlineLevel="0" collapsed="false">
      <c r="A10664" s="15" t="s">
        <v>601</v>
      </c>
      <c r="B10664" s="14" t="s">
        <v>129</v>
      </c>
      <c r="C10664" s="33" t="n">
        <f aca="false">mw_ye24</f>
        <v>360</v>
      </c>
      <c r="D10664" s="33" t="n">
        <f aca="false">mw_ye25</f>
        <v>1440</v>
      </c>
      <c r="E10664" s="33" t="n">
        <f aca="false">mw_open</f>
        <v>2080</v>
      </c>
      <c r="F10664" s="33" t="n">
        <f aca="false">Sens!$E$10664+pace_B*0.5</f>
        <v>3897.15</v>
      </c>
      <c r="G10664" s="33" t="n">
        <f aca="false">Sens!$F$10664</f>
        <v>3897.15</v>
      </c>
      <c r="H10664" s="33" t="n">
        <f aca="false">Sens!$G$10664+Sens!$H$10663</f>
        <v>7531.45</v>
      </c>
      <c r="I10664" s="33" t="n">
        <f aca="false">Sens!$H$10664+Sens!$I$10663</f>
        <v>11165.75</v>
      </c>
      <c r="J10664" s="33" t="n">
        <f aca="false">Sens!$I$10664+Sens!$J$10663</f>
        <v>14800.05</v>
      </c>
      <c r="K10664" s="33" t="n">
        <f aca="false">Sens!$J$10664+Sens!$K$10663</f>
        <v>17420.2506666667</v>
      </c>
      <c r="L10664" s="33" t="n">
        <f aca="false">Sens!$K$10664+Sens!$L$10663</f>
        <v>19026.352</v>
      </c>
      <c r="M10664" s="33" t="n">
        <f aca="false">Sens!$L$10664+Sens!$M$10663</f>
        <v>19618.354</v>
      </c>
      <c r="N10664" s="33" t="n">
        <f aca="false">(mw_ye24+mw_ye25)/2</f>
        <v>900</v>
      </c>
      <c r="O10664" s="33" t="n">
        <f aca="false">mw_ye25</f>
        <v>1440</v>
      </c>
      <c r="P10664" s="5" t="s">
        <v>602</v>
      </c>
    </row>
    <row r="10665" customFormat="false" ht="17.15" hidden="false" customHeight="false" outlineLevel="0" collapsed="false">
      <c r="A10665" s="5" t="s">
        <v>603</v>
      </c>
      <c r="B10665" s="0" t="s">
        <v>129</v>
      </c>
      <c r="C10665" s="32" t="n">
        <f aca="false">(mw_ye23+mw_ye24)/2</f>
        <v>240</v>
      </c>
      <c r="D10665" s="32" t="n">
        <f aca="false">(Sens!$C$10664+Sens!$D$10664)/2</f>
        <v>900</v>
      </c>
      <c r="E10665" s="32" t="n">
        <f aca="false">(Sens!$D$10664+Sens!$E$10664)/2</f>
        <v>1760</v>
      </c>
      <c r="F10665" s="32" t="n">
        <f aca="false">(Sens!$E$10664+Sens!$F$10664)/2</f>
        <v>2988.575</v>
      </c>
      <c r="G10665" s="32" t="n">
        <f aca="false">(Sens!$E$10665+Sens!$F$10665)/2</f>
        <v>2374.2875</v>
      </c>
      <c r="H10665" s="32" t="n">
        <f aca="false">(Sens!$G$10664+Sens!$H$10664)/2</f>
        <v>5714.3</v>
      </c>
      <c r="I10665" s="32" t="n">
        <f aca="false">(Sens!$H$10664+Sens!$I$10664)/2</f>
        <v>9348.6</v>
      </c>
      <c r="J10665" s="32" t="n">
        <f aca="false">(Sens!$I$10664+Sens!$J$10664)/2</f>
        <v>12982.9</v>
      </c>
      <c r="K10665" s="32" t="n">
        <f aca="false">(Sens!$J$10664+Sens!$K$10664)/2</f>
        <v>16110.1503333333</v>
      </c>
      <c r="L10665" s="32" t="n">
        <f aca="false">(Sens!$K$10664+Sens!$L$10664)/2</f>
        <v>18223.3013333333</v>
      </c>
      <c r="M10665" s="32" t="n">
        <f aca="false">(Sens!$L$10664+Sens!$M$10664)/2</f>
        <v>19322.353</v>
      </c>
      <c r="N10665" s="32" t="n">
        <f aca="false">(Sens!$C$10664+Sens!$N$10664)/2</f>
        <v>630</v>
      </c>
      <c r="O10665" s="32" t="n">
        <f aca="false">(Sens!$N$10664+Sens!$O$10664)/2</f>
        <v>1170</v>
      </c>
    </row>
    <row r="10666" customFormat="false" ht="15" hidden="false" customHeight="false" outlineLevel="0" collapsed="false">
      <c r="A10666" s="5" t="s">
        <v>604</v>
      </c>
      <c r="B10666" s="5" t="s">
        <v>123</v>
      </c>
      <c r="C10666" s="34" t="n">
        <v>1</v>
      </c>
      <c r="D10666" s="34" t="n">
        <v>1</v>
      </c>
      <c r="E10666" s="34" t="n">
        <v>0.5</v>
      </c>
      <c r="F10666" s="34" t="n">
        <v>0.5</v>
      </c>
      <c r="G10666" s="34" t="n">
        <v>1</v>
      </c>
      <c r="H10666" s="34" t="n">
        <v>1</v>
      </c>
      <c r="I10666" s="34" t="n">
        <v>1</v>
      </c>
      <c r="J10666" s="34" t="n">
        <v>1</v>
      </c>
      <c r="K10666" s="34" t="n">
        <v>1</v>
      </c>
      <c r="L10666" s="34" t="n">
        <v>1</v>
      </c>
      <c r="M10666" s="34" t="n">
        <v>1</v>
      </c>
      <c r="N10666" s="34" t="n">
        <v>0.5</v>
      </c>
      <c r="O10666" s="34" t="n">
        <v>0.5</v>
      </c>
    </row>
    <row r="10667" customFormat="false" ht="17.15" hidden="false" customHeight="false" outlineLevel="0" collapsed="false">
      <c r="A10667" s="5" t="s">
        <v>605</v>
      </c>
      <c r="B10667" s="0" t="s">
        <v>129</v>
      </c>
      <c r="C10667" s="32" t="n">
        <f aca="false">Sens!$C$10664-mw_ye23</f>
        <v>240</v>
      </c>
      <c r="D10667" s="32" t="n">
        <f aca="false">Sens!$D$10664-Sens!$C$10664</f>
        <v>1080</v>
      </c>
      <c r="E10667" s="32" t="n">
        <f aca="false">Sens!$E$10664-Sens!$D$10664</f>
        <v>640</v>
      </c>
      <c r="F10667" s="32" t="n">
        <f aca="false">Sens!$F$10664-Sens!$E$10664</f>
        <v>1817.15</v>
      </c>
      <c r="G10667" s="32" t="n">
        <f aca="false">Sens!$E$10667+Sens!$F$10667</f>
        <v>2457.15</v>
      </c>
      <c r="H10667" s="32" t="n">
        <f aca="false">Sens!$H$10664-Sens!$G$10664</f>
        <v>3634.3</v>
      </c>
      <c r="I10667" s="32" t="n">
        <f aca="false">Sens!$I$10664-Sens!$H$10664</f>
        <v>3634.3</v>
      </c>
      <c r="J10667" s="32" t="n">
        <f aca="false">Sens!$J$10664-Sens!$I$10664</f>
        <v>3634.3</v>
      </c>
      <c r="K10667" s="32" t="n">
        <f aca="false">Sens!$K$10664-Sens!$J$10664</f>
        <v>2620.20066666667</v>
      </c>
      <c r="L10667" s="32" t="n">
        <f aca="false">Sens!$L$10664-Sens!$K$10664</f>
        <v>1606.10133333333</v>
      </c>
      <c r="M10667" s="32" t="n">
        <f aca="false">Sens!$M$10664-Sens!$L$10664</f>
        <v>592.002</v>
      </c>
      <c r="N10667" s="32" t="n">
        <f aca="false">Sens!$N$10664-Sens!$C$10664</f>
        <v>540</v>
      </c>
      <c r="O10667" s="32" t="n">
        <f aca="false">Sens!$O$10664-Sens!$N$10664</f>
        <v>540</v>
      </c>
    </row>
    <row r="10668" customFormat="false" ht="17.15" hidden="false" customHeight="false" outlineLevel="0" collapsed="false">
      <c r="A10668" s="5" t="s">
        <v>606</v>
      </c>
      <c r="B10668" s="0" t="s">
        <v>129</v>
      </c>
      <c r="C10668" s="32" t="n">
        <f aca="false">Sens!$C$10667/ext_sh</f>
        <v>300</v>
      </c>
      <c r="D10668" s="32" t="n">
        <f aca="false">Sens!$D$10667/ext_sh</f>
        <v>1350</v>
      </c>
      <c r="E10668" s="32" t="n">
        <f aca="false">Sens!$E$10667/ext_sh</f>
        <v>800</v>
      </c>
      <c r="F10668" s="32" t="n">
        <f aca="false">Sens!$F$10667/ext_sh</f>
        <v>2271.4375</v>
      </c>
      <c r="G10668" s="32" t="n">
        <f aca="false">Sens!$G$10667/ext_sh</f>
        <v>3071.4375</v>
      </c>
      <c r="H10668" s="32" t="n">
        <f aca="false">Sens!$H$10667/ext_sh</f>
        <v>4542.875</v>
      </c>
      <c r="I10668" s="32" t="n">
        <f aca="false">Sens!$I$10667/ext_sh</f>
        <v>4542.875</v>
      </c>
      <c r="J10668" s="32" t="n">
        <f aca="false">Sens!$J$10667/ext_sh</f>
        <v>4542.875</v>
      </c>
      <c r="K10668" s="32" t="n">
        <f aca="false">Sens!$K$10667/ext_sh</f>
        <v>3275.25083333333</v>
      </c>
      <c r="L10668" s="32" t="n">
        <f aca="false">Sens!$L$10667/ext_sh</f>
        <v>2007.62666666667</v>
      </c>
      <c r="M10668" s="32" t="n">
        <f aca="false">Sens!$M$10667/ext_sh</f>
        <v>740.002500000001</v>
      </c>
      <c r="N10668" s="32" t="n">
        <f aca="false">Sens!$N$10667/ext_sh</f>
        <v>675</v>
      </c>
      <c r="O10668" s="32" t="n">
        <f aca="false">Sens!$O$10667/ext_sh</f>
        <v>675</v>
      </c>
      <c r="P10668" s="8" t="s">
        <v>607</v>
      </c>
      <c r="R10668" s="32" t="n">
        <f aca="false">mw_ye23/ext_sh</f>
        <v>150</v>
      </c>
      <c r="S10668" s="32" t="n">
        <f aca="false">Sens!$C$10668</f>
        <v>300</v>
      </c>
      <c r="T10668" s="32" t="n">
        <f aca="false">Sens!$D$10668</f>
        <v>1350</v>
      </c>
      <c r="U10668" s="32" t="n">
        <f aca="false">Sens!$G$10668</f>
        <v>3071.4375</v>
      </c>
      <c r="V10668" s="32" t="n">
        <f aca="false">Sens!$H$10668</f>
        <v>4542.875</v>
      </c>
      <c r="W10668" s="32" t="n">
        <f aca="false">Sens!$I$10668</f>
        <v>4542.875</v>
      </c>
      <c r="X10668" s="32" t="n">
        <f aca="false">Sens!$J$10668</f>
        <v>4542.875</v>
      </c>
      <c r="Y10668" s="32" t="n">
        <f aca="false">Sens!$K$10668</f>
        <v>3275.25083333333</v>
      </c>
      <c r="Z10668" s="32" t="n">
        <f aca="false">Sens!$L$10668</f>
        <v>2007.62666666667</v>
      </c>
      <c r="AA10668" s="32" t="n">
        <f aca="false">Sens!$M$10668</f>
        <v>740.002500000001</v>
      </c>
    </row>
    <row r="10669" customFormat="false" ht="17.15" hidden="false" customHeight="false" outlineLevel="0" collapsed="false">
      <c r="A10669" s="1" t="s">
        <v>608</v>
      </c>
    </row>
    <row r="10670" customFormat="false" ht="17.15" hidden="false" customHeight="false" outlineLevel="0" collapsed="false">
      <c r="A10670" s="0" t="s">
        <v>609</v>
      </c>
      <c r="B10670" s="0" t="s">
        <v>52</v>
      </c>
      <c r="F10670" s="35" t="n">
        <f aca="false">na_vr26</f>
        <v>0</v>
      </c>
      <c r="G10670" s="35" t="n">
        <f aca="false">na_vr26</f>
        <v>0</v>
      </c>
      <c r="H10670" s="35" t="n">
        <f aca="false">na_vr27</f>
        <v>0.5</v>
      </c>
      <c r="I10670" s="35" t="n">
        <f aca="false">na_vr28</f>
        <v>1</v>
      </c>
      <c r="J10670" s="35" t="n">
        <f aca="false">na_vr28</f>
        <v>1</v>
      </c>
      <c r="K10670" s="35" t="n">
        <f aca="false">na_vr28</f>
        <v>1</v>
      </c>
      <c r="L10670" s="35" t="n">
        <f aca="false">na_vr28</f>
        <v>1</v>
      </c>
      <c r="M10670" s="35" t="n">
        <f aca="false">na_vr28</f>
        <v>1</v>
      </c>
    </row>
    <row r="10671" customFormat="false" ht="17.15" hidden="false" customHeight="false" outlineLevel="0" collapsed="false">
      <c r="A10671" s="5" t="s">
        <v>610</v>
      </c>
      <c r="B10671" s="0" t="s">
        <v>173</v>
      </c>
      <c r="F10671" s="36" t="n">
        <f aca="false">cust_sh*tk_he_gb300*cf_chip+(1-cust_sh)*((1-Sens!$F$10670)*tk_he_gb300+Sens!$F$10670*tk_he_vr200)</f>
        <v>10.8864110021101</v>
      </c>
      <c r="G10671" s="36" t="n">
        <f aca="false">cust_sh*tk_he_gb300*cf_chip+(1-cust_sh)*((1-Sens!$G$10670)*tk_he_gb300+Sens!$G$10670*tk_he_vr200)</f>
        <v>10.8864110021101</v>
      </c>
      <c r="H10671" s="36" t="n">
        <f aca="false">cust_sh*tk_he_gb300*cf_chip+(1-cust_sh)*((1-Sens!$H$10670)*tk_he_gb300+Sens!$H$10670*tk_he_vr200)</f>
        <v>11.2211760027286</v>
      </c>
      <c r="I10671" s="36" t="n">
        <f aca="false">cust_sh*tk_he_gb300*cf_chip+(1-cust_sh)*((1-Sens!$I$10670)*tk_he_gb300+Sens!$I$10670*tk_he_vr200)</f>
        <v>11.5559410033471</v>
      </c>
      <c r="J10671" s="36" t="n">
        <f aca="false">cust_sh*tk_he_gb300*cf_chip+(1-cust_sh)*((1-Sens!$J$10670)*tk_he_gb300+Sens!$J$10670*tk_he_vr200)</f>
        <v>11.5559410033471</v>
      </c>
      <c r="K10671" s="36" t="n">
        <f aca="false">cust_sh*tk_he_gb300*cf_chip+(1-cust_sh)*((1-Sens!$K$10670)*tk_he_gb300+Sens!$K$10670*tk_he_vr200)</f>
        <v>11.5559410033471</v>
      </c>
      <c r="L10671" s="36" t="n">
        <f aca="false">cust_sh*tk_he_gb300*cf_chip+(1-cust_sh)*((1-Sens!$L$10670)*tk_he_gb300+Sens!$L$10670*tk_he_vr200)</f>
        <v>11.5559410033471</v>
      </c>
      <c r="M10671" s="36" t="n">
        <f aca="false">cust_sh*tk_he_gb300*cf_chip+(1-cust_sh)*((1-Sens!$M$10670)*tk_he_gb300+Sens!$M$10670*tk_he_vr200)</f>
        <v>11.5559410033471</v>
      </c>
    </row>
    <row r="10672" customFormat="false" ht="17.15" hidden="false" customHeight="false" outlineLevel="0" collapsed="false">
      <c r="A10672" s="5" t="s">
        <v>611</v>
      </c>
      <c r="B10672" s="0" t="s">
        <v>173</v>
      </c>
      <c r="F10672" s="36" t="n">
        <f aca="false">cust_sh*tk_ox_gb300+(1-cust_sh)*((1-Sens!$F$10670)*tk_ox_gb300+Sens!$F$10670*tk_ox_vr200)</f>
        <v>1.98263481314457</v>
      </c>
      <c r="G10672" s="36" t="n">
        <f aca="false">cust_sh*tk_ox_gb300+(1-cust_sh)*((1-Sens!$G$10670)*tk_ox_gb300+Sens!$G$10670*tk_ox_vr200)</f>
        <v>1.98263481314457</v>
      </c>
      <c r="H10672" s="36" t="n">
        <f aca="false">cust_sh*tk_ox_gb300+(1-cust_sh)*((1-Sens!$H$10670)*tk_ox_gb300+Sens!$H$10670*tk_ox_vr200)</f>
        <v>2.01034999693694</v>
      </c>
      <c r="I10672" s="36" t="n">
        <f aca="false">cust_sh*tk_ox_gb300+(1-cust_sh)*((1-Sens!$I$10670)*tk_ox_gb300+Sens!$I$10670*tk_ox_vr200)</f>
        <v>2.0380651807293</v>
      </c>
      <c r="J10672" s="36" t="n">
        <f aca="false">cust_sh*tk_ox_gb300+(1-cust_sh)*((1-Sens!$J$10670)*tk_ox_gb300+Sens!$J$10670*tk_ox_vr200)</f>
        <v>2.0380651807293</v>
      </c>
      <c r="K10672" s="36" t="n">
        <f aca="false">cust_sh*tk_ox_gb300+(1-cust_sh)*((1-Sens!$K$10670)*tk_ox_gb300+Sens!$K$10670*tk_ox_vr200)</f>
        <v>2.0380651807293</v>
      </c>
      <c r="L10672" s="36" t="n">
        <f aca="false">cust_sh*tk_ox_gb300+(1-cust_sh)*((1-Sens!$L$10670)*tk_ox_gb300+Sens!$L$10670*tk_ox_vr200)</f>
        <v>2.0380651807293</v>
      </c>
      <c r="M10672" s="36" t="n">
        <f aca="false">cust_sh*tk_ox_gb300+(1-cust_sh)*((1-Sens!$M$10670)*tk_ox_gb300+Sens!$M$10670*tk_ox_vr200)</f>
        <v>2.0380651807293</v>
      </c>
    </row>
    <row r="10673" customFormat="false" ht="17.15" hidden="false" customHeight="false" outlineLevel="0" collapsed="false">
      <c r="A10673" s="5" t="s">
        <v>612</v>
      </c>
      <c r="B10673" s="0" t="s">
        <v>192</v>
      </c>
      <c r="F10673" s="36" t="n">
        <f aca="false">cust_sh*tk_cx_gb300*cf_cx+(1-cust_sh)*((1-Sens!$F$10670)*tk_cx_gb300+Sens!$F$10670*tk_cx_vr200)</f>
        <v>32.237224</v>
      </c>
      <c r="G10673" s="36" t="n">
        <f aca="false">cust_sh*tk_cx_gb300*cf_cx+(1-cust_sh)*((1-Sens!$G$10670)*tk_cx_gb300+Sens!$G$10670*tk_cx_vr200)</f>
        <v>32.237224</v>
      </c>
      <c r="H10673" s="36" t="n">
        <f aca="false">cust_sh*tk_cx_gb300*cf_cx+(1-cust_sh)*((1-Sens!$H$10670)*tk_cx_gb300+Sens!$H$10670*tk_cx_vr200)</f>
        <v>33.574506</v>
      </c>
      <c r="I10673" s="36" t="n">
        <f aca="false">cust_sh*tk_cx_gb300*cf_cx+(1-cust_sh)*((1-Sens!$I$10670)*tk_cx_gb300+Sens!$I$10670*tk_cx_vr200)</f>
        <v>34.911788</v>
      </c>
      <c r="J10673" s="36" t="n">
        <f aca="false">cust_sh*tk_cx_gb300*cf_cx+(1-cust_sh)*((1-Sens!$J$10670)*tk_cx_gb300+Sens!$J$10670*tk_cx_vr200)</f>
        <v>34.911788</v>
      </c>
      <c r="K10673" s="36" t="n">
        <f aca="false">cust_sh*tk_cx_gb300*cf_cx+(1-cust_sh)*((1-Sens!$K$10670)*tk_cx_gb300+Sens!$K$10670*tk_cx_vr200)</f>
        <v>34.911788</v>
      </c>
      <c r="L10673" s="36" t="n">
        <f aca="false">cust_sh*tk_cx_gb300*cf_cx+(1-cust_sh)*((1-Sens!$L$10670)*tk_cx_gb300+Sens!$L$10670*tk_cx_vr200)</f>
        <v>34.911788</v>
      </c>
      <c r="M10673" s="36" t="n">
        <f aca="false">cust_sh*tk_cx_gb300*cf_cx+(1-cust_sh)*((1-Sens!$M$10670)*tk_cx_gb300+Sens!$M$10670*tk_cx_vr200)</f>
        <v>34.911788</v>
      </c>
    </row>
    <row r="10674" customFormat="false" ht="17.15" hidden="false" customHeight="false" outlineLevel="0" collapsed="false">
      <c r="A10674" s="5" t="s">
        <v>613</v>
      </c>
      <c r="B10674" s="0" t="s">
        <v>129</v>
      </c>
      <c r="F10674" s="32" t="n">
        <f aca="false">Sens!$F$10664-mw_open</f>
        <v>1817.15</v>
      </c>
      <c r="G10674" s="32" t="n">
        <f aca="false">Sens!$F$10674</f>
        <v>1817.15</v>
      </c>
      <c r="H10674" s="32" t="n">
        <f aca="false">Sens!$H$10664-mw_open</f>
        <v>5451.45</v>
      </c>
      <c r="I10674" s="32" t="n">
        <f aca="false">Sens!$I$10664-mw_open</f>
        <v>9085.75</v>
      </c>
      <c r="J10674" s="32" t="n">
        <f aca="false">Sens!$J$10664-mw_open</f>
        <v>12720.05</v>
      </c>
      <c r="K10674" s="32" t="n">
        <f aca="false">Sens!$K$10664-mw_open</f>
        <v>15340.2506666667</v>
      </c>
      <c r="L10674" s="32" t="n">
        <f aca="false">Sens!$L$10664-mw_open</f>
        <v>16946.352</v>
      </c>
      <c r="M10674" s="32" t="n">
        <f aca="false">Sens!$M$10664-mw_open</f>
        <v>17538.354</v>
      </c>
    </row>
    <row r="10675" customFormat="false" ht="17.15" hidden="false" customHeight="false" outlineLevel="0" collapsed="false">
      <c r="A10675" s="0" t="s">
        <v>614</v>
      </c>
      <c r="B10675" s="0" t="s">
        <v>615</v>
      </c>
      <c r="F10675" s="32" t="n">
        <f aca="false">Sens!$F$10667*Sens!$F$10671</f>
        <v>19782.2417524844</v>
      </c>
      <c r="G10675" s="32" t="n">
        <f aca="false">Sens!$F$10675</f>
        <v>19782.2417524844</v>
      </c>
      <c r="H10675" s="32" t="n">
        <f aca="false">Sens!$G$10675+Sens!$H$10667*Sens!$H$10671</f>
        <v>60563.3616992009</v>
      </c>
      <c r="I10675" s="32" t="n">
        <f aca="false">Sens!$H$10675+Sens!$I$10667*Sens!$I$10671</f>
        <v>102561.118087665</v>
      </c>
      <c r="J10675" s="32" t="n">
        <f aca="false">Sens!$I$10675+Sens!$J$10667*Sens!$J$10671</f>
        <v>144558.87447613</v>
      </c>
      <c r="K10675" s="32" t="n">
        <f aca="false">Sens!$J$10675+Sens!$K$10667*Sens!$K$10671</f>
        <v>174837.75879706</v>
      </c>
      <c r="L10675" s="32" t="n">
        <f aca="false">Sens!$K$10675+Sens!$L$10667*Sens!$L$10671</f>
        <v>193397.771050458</v>
      </c>
      <c r="M10675" s="32" t="n">
        <f aca="false">Sens!$L$10675+Sens!$M$10667*Sens!$M$10671</f>
        <v>200238.911236321</v>
      </c>
    </row>
    <row r="10676" customFormat="false" ht="17.15" hidden="false" customHeight="false" outlineLevel="0" collapsed="false">
      <c r="A10676" s="0" t="s">
        <v>616</v>
      </c>
      <c r="B10676" s="0" t="s">
        <v>615</v>
      </c>
      <c r="F10676" s="32" t="n">
        <f aca="false">Sens!$F$10667*Sens!$F$10672</f>
        <v>3602.74485070566</v>
      </c>
      <c r="G10676" s="32" t="n">
        <f aca="false">Sens!$F$10676</f>
        <v>3602.74485070566</v>
      </c>
      <c r="H10676" s="32" t="n">
        <f aca="false">Sens!$G$10676+Sens!$H$10667*Sens!$H$10672</f>
        <v>10908.9598445736</v>
      </c>
      <c r="I10676" s="32" t="n">
        <f aca="false">Sens!$H$10676+Sens!$I$10667*Sens!$I$10672</f>
        <v>18315.9001308981</v>
      </c>
      <c r="J10676" s="32" t="n">
        <f aca="false">Sens!$I$10676+Sens!$J$10667*Sens!$J$10672</f>
        <v>25722.8404172225</v>
      </c>
      <c r="K10676" s="32" t="n">
        <f aca="false">Sens!$J$10676+Sens!$K$10667*Sens!$K$10672</f>
        <v>31062.9801624796</v>
      </c>
      <c r="L10676" s="32" t="n">
        <f aca="false">Sens!$K$10676+Sens!$L$10667*Sens!$L$10672</f>
        <v>34336.3193666691</v>
      </c>
      <c r="M10676" s="32" t="n">
        <f aca="false">Sens!$L$10676+Sens!$M$10667*Sens!$M$10672</f>
        <v>35542.8580297913</v>
      </c>
    </row>
    <row r="10677" customFormat="false" ht="17.15" hidden="false" customHeight="false" outlineLevel="0" collapsed="false">
      <c r="A10677" s="5" t="s">
        <v>617</v>
      </c>
      <c r="B10677" s="0" t="s">
        <v>173</v>
      </c>
      <c r="F10677" s="36" t="n">
        <f aca="false">IF(Sens!$F$10674&gt;0,Sens!$F$10675/Sens!$F$10674,Sens!$F$10671)</f>
        <v>10.8864110021101</v>
      </c>
      <c r="G10677" s="36" t="n">
        <f aca="false">IF(Sens!$G$10674&gt;0,Sens!$G$10675/Sens!$G$10674,Sens!$G$10671)</f>
        <v>10.8864110021101</v>
      </c>
      <c r="H10677" s="36" t="n">
        <f aca="false">IF(Sens!$H$10674&gt;0,Sens!$H$10675/Sens!$H$10674,Sens!$H$10671)</f>
        <v>11.1095876691891</v>
      </c>
      <c r="I10677" s="36" t="n">
        <f aca="false">IF(Sens!$I$10674&gt;0,Sens!$I$10675/Sens!$I$10674,Sens!$I$10671)</f>
        <v>11.2881290028523</v>
      </c>
      <c r="J10677" s="36" t="n">
        <f aca="false">IF(Sens!$J$10674&gt;0,Sens!$J$10675/Sens!$J$10674,Sens!$J$10671)</f>
        <v>11.3646467172794</v>
      </c>
      <c r="K10677" s="36" t="n">
        <f aca="false">IF(Sens!$K$10674&gt;0,Sens!$K$10675/Sens!$K$10674,Sens!$K$10671)</f>
        <v>11.3973208519318</v>
      </c>
      <c r="L10677" s="36" t="n">
        <f aca="false">IF(Sens!$L$10674&gt;0,Sens!$L$10675/Sens!$L$10674,Sens!$L$10671)</f>
        <v>11.4123541780825</v>
      </c>
      <c r="M10677" s="36" t="n">
        <f aca="false">IF(Sens!$M$10674&gt;0,Sens!$M$10675/Sens!$M$10674,Sens!$M$10671)</f>
        <v>11.4172009092941</v>
      </c>
    </row>
    <row r="10678" customFormat="false" ht="17.15" hidden="false" customHeight="false" outlineLevel="0" collapsed="false">
      <c r="A10678" s="5" t="s">
        <v>618</v>
      </c>
      <c r="B10678" s="0" t="s">
        <v>173</v>
      </c>
      <c r="F10678" s="36" t="n">
        <f aca="false">IF(Sens!$F$10674&gt;0,Sens!$F$10676/Sens!$F$10674,Sens!$F$10672)</f>
        <v>1.98263481314457</v>
      </c>
      <c r="G10678" s="36" t="n">
        <f aca="false">IF(Sens!$G$10674&gt;0,Sens!$G$10676/Sens!$G$10674,Sens!$G$10672)</f>
        <v>1.98263481314457</v>
      </c>
      <c r="H10678" s="36" t="n">
        <f aca="false">IF(Sens!$H$10674&gt;0,Sens!$H$10676/Sens!$H$10674,Sens!$H$10672)</f>
        <v>2.00111160233948</v>
      </c>
      <c r="I10678" s="36" t="n">
        <f aca="false">IF(Sens!$I$10674&gt;0,Sens!$I$10676/Sens!$I$10674,Sens!$I$10672)</f>
        <v>2.01589303369541</v>
      </c>
      <c r="J10678" s="36" t="n">
        <f aca="false">IF(Sens!$J$10674&gt;0,Sens!$J$10676/Sens!$J$10674,Sens!$J$10672)</f>
        <v>2.02222793284795</v>
      </c>
      <c r="K10678" s="36" t="n">
        <f aca="false">IF(Sens!$K$10674&gt;0,Sens!$K$10676/Sens!$K$10674,Sens!$K$10672)</f>
        <v>2.02493302342036</v>
      </c>
      <c r="L10678" s="36" t="n">
        <f aca="false">IF(Sens!$L$10674&gt;0,Sens!$L$10676/Sens!$L$10674,Sens!$L$10672)</f>
        <v>2.02617763201597</v>
      </c>
      <c r="M10678" s="36" t="n">
        <f aca="false">IF(Sens!$M$10674&gt;0,Sens!$M$10676/Sens!$M$10674,Sens!$M$10672)</f>
        <v>2.02657889273938</v>
      </c>
    </row>
    <row r="10679" customFormat="false" ht="17.15" hidden="false" customHeight="false" outlineLevel="0" collapsed="false">
      <c r="A10679" s="15" t="s">
        <v>619</v>
      </c>
      <c r="B10679" s="14" t="s">
        <v>173</v>
      </c>
      <c r="C10679" s="14"/>
      <c r="D10679" s="14"/>
      <c r="E10679" s="14"/>
      <c r="F10679" s="37" t="n">
        <f aca="false">Sens!$F$10677*k_B</f>
        <v>10.7987645808025</v>
      </c>
      <c r="G10679" s="37" t="n">
        <f aca="false">Sens!$G$10677*k_B</f>
        <v>10.7987645808025</v>
      </c>
      <c r="H10679" s="37" t="n">
        <f aca="false">Sens!$H$10677*k_B</f>
        <v>11.0201444540452</v>
      </c>
      <c r="I10679" s="37" t="n">
        <f aca="false">Sens!$I$10677*k_B</f>
        <v>11.1972483526393</v>
      </c>
      <c r="J10679" s="37" t="n">
        <f aca="false">Sens!$J$10677*k_B</f>
        <v>11.2731500234653</v>
      </c>
      <c r="K10679" s="37" t="n">
        <f aca="false">Sens!$K$10677*k_B</f>
        <v>11.3055610988807</v>
      </c>
      <c r="L10679" s="37" t="n">
        <f aca="false">Sens!$L$10677*k_B</f>
        <v>11.3204733918244</v>
      </c>
      <c r="M10679" s="37" t="n">
        <f aca="false">Sens!$M$10677*k_B</f>
        <v>11.3252811020357</v>
      </c>
      <c r="N10679" s="14"/>
      <c r="O10679" s="14"/>
      <c r="P10679" s="5" t="s">
        <v>620</v>
      </c>
    </row>
    <row r="10680" customFormat="false" ht="17.15" hidden="false" customHeight="false" outlineLevel="0" collapsed="false">
      <c r="A10680" s="5" t="s">
        <v>621</v>
      </c>
      <c r="B10680" s="0" t="s">
        <v>129</v>
      </c>
      <c r="F10680" s="32" t="n">
        <f aca="false">Sens!$F$10674/2</f>
        <v>908.575</v>
      </c>
      <c r="H10680" s="32" t="n">
        <f aca="false">(Sens!$G$10674+Sens!$H$10674)/2</f>
        <v>3634.3</v>
      </c>
      <c r="I10680" s="32" t="n">
        <f aca="false">(Sens!$H$10674+Sens!$I$10674)/2</f>
        <v>7268.6</v>
      </c>
      <c r="J10680" s="32" t="n">
        <f aca="false">(Sens!$I$10674+Sens!$J$10674)/2</f>
        <v>10902.9</v>
      </c>
      <c r="K10680" s="32" t="n">
        <f aca="false">(Sens!$J$10674+Sens!$K$10674)/2</f>
        <v>14030.1503333333</v>
      </c>
      <c r="L10680" s="32" t="n">
        <f aca="false">(Sens!$K$10674+Sens!$L$10674)/2</f>
        <v>16143.3013333333</v>
      </c>
      <c r="M10680" s="32" t="n">
        <f aca="false">(Sens!$L$10674+Sens!$M$10674)/2</f>
        <v>17242.353</v>
      </c>
    </row>
    <row r="10681" customFormat="false" ht="17.15" hidden="false" customHeight="false" outlineLevel="0" collapsed="false">
      <c r="A10681" s="1" t="s">
        <v>622</v>
      </c>
    </row>
    <row r="10682" customFormat="false" ht="17.15" hidden="false" customHeight="false" outlineLevel="0" collapsed="false">
      <c r="A10682" s="1" t="s">
        <v>623</v>
      </c>
      <c r="B10682" s="8" t="s">
        <v>86</v>
      </c>
      <c r="C10682" s="38" t="n">
        <f aca="false">Sens!$C$10665*rpm_open*Sens!$C$10666/1000</f>
        <v>2.32100535697364</v>
      </c>
      <c r="D10682" s="38" t="n">
        <f aca="false">Sens!$D$10665*rpm_open*Sens!$D$10666/1000</f>
        <v>8.70377008865116</v>
      </c>
      <c r="E10682" s="38" t="n">
        <f aca="false">Sens!$E$10665*rpm_open*Sens!$E$10666/1000</f>
        <v>8.51035297557002</v>
      </c>
      <c r="F10682" s="38" t="n">
        <f aca="false">(mw_open*rpm_open+Sens!$F$10680*Sens!$F$10679)*Sens!$F$10666/1000</f>
        <v>14.9634336447205</v>
      </c>
      <c r="G10682" s="38" t="n">
        <f aca="false">Sens!$E$10682+Sens!$F$10682</f>
        <v>23.4737866202905</v>
      </c>
      <c r="H10682" s="38" t="n">
        <f aca="false">(mw_open*rpm_open+Sens!$H$10680*Sens!$H$10679)/1000</f>
        <v>60.1658907497746</v>
      </c>
      <c r="I10682" s="38" t="n">
        <f aca="false">(mw_open*rpm_open+Sens!$I$10680*Sens!$I$10679)/1000</f>
        <v>101.503699136432</v>
      </c>
      <c r="J10682" s="38" t="n">
        <f aca="false">(mw_open*rpm_open+Sens!$J$10680*Sens!$J$10679)/1000</f>
        <v>143.025407151278</v>
      </c>
      <c r="K10682" s="38" t="n">
        <f aca="false">(mw_open*rpm_open+Sens!$K$10680*Sens!$K$10679)/1000</f>
        <v>178.73410158042</v>
      </c>
      <c r="L10682" s="38" t="n">
        <f aca="false">(mw_open*rpm_open+Sens!$L$10680*Sens!$L$10679)/1000</f>
        <v>202.865192960641</v>
      </c>
      <c r="M10682" s="38" t="n">
        <f aca="false">(mw_open*rpm_open+Sens!$M$10680*Sens!$M$10679)/1000</f>
        <v>215.389874345967</v>
      </c>
      <c r="N10682" s="38" t="n">
        <f aca="false">Sens!$N$10665*rpm_open*Sens!$N$10666/1000</f>
        <v>3.04631953102791</v>
      </c>
      <c r="O10682" s="38" t="n">
        <f aca="false">Sens!$O$10665*rpm_open*Sens!$O$10666/1000</f>
        <v>5.65745055762326</v>
      </c>
      <c r="P10682" s="5" t="s">
        <v>624</v>
      </c>
    </row>
    <row r="10683" customFormat="false" ht="17.15" hidden="false" customHeight="false" outlineLevel="0" collapsed="false">
      <c r="A10683" s="5" t="s">
        <v>625</v>
      </c>
      <c r="B10683" s="0" t="s">
        <v>173</v>
      </c>
      <c r="C10683" s="36" t="n">
        <f aca="false">Sens!$C$10682*1000/(Sens!$C$10665*Sens!$C$10666)</f>
        <v>9.67085565405685</v>
      </c>
      <c r="D10683" s="36" t="n">
        <f aca="false">Sens!$D$10682*1000/(Sens!$D$10665*Sens!$D$10666)</f>
        <v>9.67085565405685</v>
      </c>
      <c r="E10683" s="36" t="n">
        <f aca="false">Sens!$E$10682*1000/(Sens!$E$10665*Sens!$E$10666)</f>
        <v>9.67085565405685</v>
      </c>
      <c r="F10683" s="36" t="n">
        <f aca="false">Sens!$F$10682*1000/(Sens!$F$10665*Sens!$F$10666)</f>
        <v>10.0137581588017</v>
      </c>
      <c r="G10683" s="36" t="n">
        <f aca="false">Sens!$G$10682*1000/(Sens!$G$10665*Sens!$G$10666)</f>
        <v>9.88666562928478</v>
      </c>
      <c r="H10683" s="36" t="n">
        <f aca="false">Sens!$H$10682*1000/(Sens!$H$10665*Sens!$H$10666)</f>
        <v>10.5290045586992</v>
      </c>
      <c r="I10683" s="36" t="n">
        <f aca="false">Sens!$I$10682*1000/(Sens!$I$10665*Sens!$I$10666)</f>
        <v>10.8576363451674</v>
      </c>
      <c r="J10683" s="36" t="n">
        <f aca="false">Sens!$J$10682*1000/(Sens!$J$10665*Sens!$J$10666)</f>
        <v>11.0164452588619</v>
      </c>
      <c r="K10683" s="36" t="n">
        <f aca="false">Sens!$K$10682*1000/(Sens!$K$10665*Sens!$K$10666)</f>
        <v>11.0945024026625</v>
      </c>
      <c r="L10683" s="36" t="n">
        <f aca="false">Sens!$L$10682*1000/(Sens!$L$10665*Sens!$L$10666)</f>
        <v>11.1321867124904</v>
      </c>
      <c r="M10683" s="36" t="n">
        <f aca="false">Sens!$M$10682*1000/(Sens!$M$10665*Sens!$M$10666)</f>
        <v>11.1471865950263</v>
      </c>
      <c r="N10683" s="36" t="n">
        <f aca="false">Sens!$N$10682*1000/(Sens!$N$10665*Sens!$N$10666)</f>
        <v>9.67085565405685</v>
      </c>
      <c r="O10683" s="36" t="n">
        <f aca="false">Sens!$O$10682*1000/(Sens!$O$10665*Sens!$O$10666)</f>
        <v>9.67085565405685</v>
      </c>
    </row>
    <row r="10684" customFormat="false" ht="17.15" hidden="false" customHeight="false" outlineLevel="0" collapsed="false">
      <c r="A10684" s="0" t="s">
        <v>626</v>
      </c>
      <c r="B10684" s="0" t="s">
        <v>86</v>
      </c>
      <c r="C10684" s="38" t="n">
        <f aca="false">Sens!$C$10665/ext_sh*(ox_open+rent_mw)*Sens!$C$10666/1000</f>
        <v>0.642569210675032</v>
      </c>
      <c r="D10684" s="38" t="n">
        <f aca="false">Sens!$D$10665/ext_sh*(ox_open+rent_mw)*Sens!$D$10666/1000</f>
        <v>2.40963454003137</v>
      </c>
      <c r="E10684" s="38" t="n">
        <f aca="false">Sens!$E$10665/ext_sh*(ox_open+rent_mw)*Sens!$E$10666/1000</f>
        <v>2.35608710580845</v>
      </c>
      <c r="F10684" s="38" t="n">
        <f aca="false">((mw_open*ox_open+Sens!$F$10680*Sens!$F$10678)/ext_sh+Sens!$F$10665/ext_sh*rent_mw)*Sens!$F$10666/1000</f>
        <v>4.05421991106232</v>
      </c>
      <c r="G10684" s="38" t="n">
        <f aca="false">Sens!$E$10684+Sens!$F$10684</f>
        <v>6.41030701687077</v>
      </c>
      <c r="H10684" s="38" t="n">
        <f aca="false">((mw_open*ox_open+Sens!$H$10680*Sens!$H$10678)/ext_sh+Sens!$H$10665/ext_sh*rent_mw)*Sens!$H$10666/1000</f>
        <v>15.8108975546616</v>
      </c>
      <c r="I10684" s="38" t="n">
        <f aca="false">((mw_open*ox_open+Sens!$I$10680*Sens!$I$10678)/ext_sh+Sens!$I$10665/ext_sh*rent_mw)*Sens!$I$10666/1000</f>
        <v>26.1871623400817</v>
      </c>
      <c r="J10684" s="38" t="n">
        <f aca="false">((mw_open*ox_open+Sens!$J$10680*Sens!$J$10678)/ext_sh+Sens!$J$10665/ext_sh*rent_mw)*Sens!$J$10666/1000</f>
        <v>36.5826128954935</v>
      </c>
      <c r="K10684" s="38" t="n">
        <f aca="false">((mw_open*ox_open+Sens!$K$10680*Sens!$K$10678)/ext_sh+Sens!$K$10665/ext_sh*rent_mw)*Sens!$K$10666/1000</f>
        <v>45.5256266941655</v>
      </c>
      <c r="L10684" s="38" t="n">
        <f aca="false">((mw_open*ox_open+Sens!$L$10680*Sens!$L$10678)/ext_sh+Sens!$L$10665/ext_sh*rent_mw)*Sens!$L$10666/1000</f>
        <v>51.568818942134</v>
      </c>
      <c r="M10684" s="38" t="n">
        <f aca="false">((mw_open*ox_open+Sens!$M$10680*Sens!$M$10678)/ext_sh+Sens!$M$10665/ext_sh*rent_mw)*Sens!$M$10666/1000</f>
        <v>54.7091842856355</v>
      </c>
      <c r="N10684" s="38" t="n">
        <f aca="false">Sens!$N$10665/ext_sh*(ox_open+rent_mw)*Sens!$N$10666/1000</f>
        <v>0.84337208901098</v>
      </c>
      <c r="O10684" s="38" t="n">
        <f aca="false">Sens!$O$10665/ext_sh*(ox_open+rent_mw)*Sens!$O$10666/1000</f>
        <v>1.56626245102039</v>
      </c>
    </row>
    <row r="10685" customFormat="false" ht="17.15" hidden="false" customHeight="false" outlineLevel="0" collapsed="false">
      <c r="A10685" s="0" t="s">
        <v>627</v>
      </c>
      <c r="B10685" s="0" t="s">
        <v>86</v>
      </c>
      <c r="C10685" s="38" t="n">
        <f aca="false">Q!$D$7</f>
        <v>107.556</v>
      </c>
      <c r="D10685" s="38" t="n">
        <f aca="false">Q!$E$7</f>
        <v>128.725</v>
      </c>
      <c r="E10685" s="38" t="n">
        <f aca="false">Q!$P$7</f>
        <v>79.819</v>
      </c>
      <c r="N10685" s="38" t="n">
        <f aca="false">Q!$N$7</f>
        <v>60.14</v>
      </c>
      <c r="O10685" s="38" t="n">
        <f aca="false">Q!$O$7</f>
        <v>68.585</v>
      </c>
    </row>
    <row r="10686" customFormat="false" ht="17.15" hidden="false" customHeight="false" outlineLevel="0" collapsed="false">
      <c r="A10686" s="1" t="s">
        <v>628</v>
      </c>
      <c r="B10686" s="8" t="s">
        <v>86</v>
      </c>
      <c r="C10686" s="38" t="n">
        <f aca="false">Sens!$C$10685-Sens!$C$10682</f>
        <v>105.234994643026</v>
      </c>
      <c r="D10686" s="38" t="n">
        <f aca="false">Sens!$D$10685-Sens!$D$10682</f>
        <v>120.021229911349</v>
      </c>
      <c r="E10686" s="38" t="n">
        <f aca="false">Sens!$E$10685-Sens!$E$10682</f>
        <v>71.30864702443</v>
      </c>
      <c r="F10686" s="38" t="n">
        <f aca="false">Sens!$O$10686*(1+Sens!$F$10687)</f>
        <v>71.7692997942464</v>
      </c>
      <c r="G10686" s="38" t="n">
        <f aca="false">Sens!$E$10686+Sens!$F$10686</f>
        <v>143.077946818676</v>
      </c>
      <c r="H10686" s="38" t="n">
        <f aca="false">Sens!$G$10686*(1+Sens!$H$10687)</f>
        <v>161.017077079203</v>
      </c>
      <c r="I10686" s="38" t="n">
        <f aca="false">Sens!$H$10686*(1+Sens!$I$10687)</f>
        <v>178.769759521457</v>
      </c>
      <c r="J10686" s="38" t="n">
        <f aca="false">Sens!$I$10686*(1+Sens!$J$10687)</f>
        <v>195.775538045907</v>
      </c>
      <c r="K10686" s="38" t="n">
        <f aca="false">Sens!$J$10686*(1+Sens!$K$10687)</f>
        <v>211.43758108958</v>
      </c>
      <c r="L10686" s="38" t="n">
        <f aca="false">Sens!$K$10686*(1+Sens!$L$10687)</f>
        <v>228.352587576746</v>
      </c>
      <c r="M10686" s="38" t="n">
        <f aca="false">Sens!$L$10686*(1+Sens!$M$10687)</f>
        <v>246.620794582886</v>
      </c>
      <c r="N10686" s="38" t="n">
        <f aca="false">Sens!$N$10685-Sens!$N$10682</f>
        <v>57.0936804689721</v>
      </c>
      <c r="O10686" s="38" t="n">
        <f aca="false">Sens!$O$10685-Sens!$O$10682</f>
        <v>62.9275494423768</v>
      </c>
      <c r="P10686" s="5" t="s">
        <v>629</v>
      </c>
    </row>
    <row r="10687" customFormat="false" ht="17.15" hidden="false" customHeight="false" outlineLevel="0" collapsed="false">
      <c r="A10687" s="0" t="s">
        <v>630</v>
      </c>
      <c r="B10687" s="0" t="s">
        <v>52</v>
      </c>
      <c r="D10687" s="13" t="n">
        <f aca="false">Sens!$D$10686/Sens!$C$10686-1</f>
        <v>0.140506827776062</v>
      </c>
      <c r="E10687" s="13" t="n">
        <f aca="false">Sens!$E$10686/Sens!$N$10686-1</f>
        <v>0.248976181579029</v>
      </c>
      <c r="F10687" s="13" t="n">
        <f aca="false">Sens!$D$10687</f>
        <v>0.140506827776062</v>
      </c>
      <c r="G10687" s="13" t="n">
        <f aca="false">Sens!$G$10686/Sens!$D$10686-1</f>
        <v>0.19210532106993</v>
      </c>
      <c r="H10687" s="13" t="n">
        <f aca="false">Sens!$F$10687+(g_awso_lt-Sens!$F$10687)*1/4</f>
        <v>0.125380120832046</v>
      </c>
      <c r="I10687" s="13" t="n">
        <f aca="false">Sens!$F$10687+(g_awso_lt-Sens!$F$10687)*2/4</f>
        <v>0.110253413888031</v>
      </c>
      <c r="J10687" s="13" t="n">
        <f aca="false">Sens!$F$10687+(g_awso_lt-Sens!$F$10687)*3/4</f>
        <v>0.0951267069440154</v>
      </c>
      <c r="K10687" s="13" t="n">
        <f aca="false">Sens!$F$10687+(g_awso_lt-Sens!$F$10687)*4/4</f>
        <v>0.08</v>
      </c>
      <c r="L10687" s="13" t="n">
        <f aca="false">g_awso_lt</f>
        <v>0.08</v>
      </c>
      <c r="M10687" s="13" t="n">
        <f aca="false">g_awso_lt</f>
        <v>0.08</v>
      </c>
      <c r="P10687" s="5" t="s">
        <v>631</v>
      </c>
    </row>
    <row r="10688" customFormat="false" ht="17.15" hidden="false" customHeight="false" outlineLevel="0" collapsed="false">
      <c r="A10688" s="1" t="s">
        <v>632</v>
      </c>
    </row>
    <row r="10689" customFormat="false" ht="17.15" hidden="false" customHeight="false" outlineLevel="0" collapsed="false">
      <c r="A10689" s="0" t="s">
        <v>633</v>
      </c>
      <c r="B10689" s="0" t="s">
        <v>86</v>
      </c>
      <c r="F10689" s="38" t="n">
        <f aca="false">cx_rt*Sens!$F$10654+cx_awso*Sens!$F$10686</f>
        <v>34.9734495387866</v>
      </c>
    </row>
    <row r="10690" customFormat="false" ht="17.15" hidden="false" customHeight="false" outlineLevel="0" collapsed="false">
      <c r="A10690" s="0" t="s">
        <v>634</v>
      </c>
      <c r="B10690" s="0" t="s">
        <v>52</v>
      </c>
      <c r="C10690" s="13" t="n">
        <f aca="false">tk_cx_h100/(tk_cx_h100+tk_fac*(1-colo_sh))</f>
        <v>0.730756458006641</v>
      </c>
      <c r="D10690" s="13" t="n">
        <f aca="false">tk_cx_h100/(tk_cx_h100+tk_fac*(1-colo_sh))</f>
        <v>0.730756458006641</v>
      </c>
      <c r="E10690" s="13" t="n">
        <f aca="false">Sens!$F$10690</f>
        <v>0.760792334328868</v>
      </c>
      <c r="F10690" s="13" t="n">
        <f aca="false">Sens!$F$10673/(Sens!$F$10673+tk_fac*(1-colo_sh))</f>
        <v>0.760792334328868</v>
      </c>
      <c r="G10690" s="13" t="n">
        <f aca="false">Sens!$G$10673/(Sens!$G$10673+tk_fac*(1-colo_sh))</f>
        <v>0.760792334328868</v>
      </c>
      <c r="H10690" s="13" t="n">
        <f aca="false">Sens!$H$10673/(Sens!$H$10673+tk_fac*(1-colo_sh))</f>
        <v>0.768110668862996</v>
      </c>
      <c r="I10690" s="13" t="n">
        <f aca="false">Sens!$I$10673/(Sens!$I$10673+tk_fac*(1-colo_sh))</f>
        <v>0.77499450139483</v>
      </c>
      <c r="J10690" s="13" t="n">
        <f aca="false">Sens!$J$10673/(Sens!$J$10673+tk_fac*(1-colo_sh))</f>
        <v>0.77499450139483</v>
      </c>
      <c r="K10690" s="13" t="n">
        <f aca="false">Sens!$K$10673/(Sens!$K$10673+tk_fac*(1-colo_sh))</f>
        <v>0.77499450139483</v>
      </c>
      <c r="L10690" s="13" t="n">
        <f aca="false">Sens!$L$10673/(Sens!$L$10673+tk_fac*(1-colo_sh))</f>
        <v>0.77499450139483</v>
      </c>
      <c r="M10690" s="13" t="n">
        <f aca="false">Sens!$M$10673/(Sens!$M$10673+tk_fac*(1-colo_sh))</f>
        <v>0.77499450139483</v>
      </c>
    </row>
    <row r="10691" customFormat="false" ht="17.15" hidden="false" customHeight="false" outlineLevel="0" collapsed="false">
      <c r="A10691" s="1" t="s">
        <v>635</v>
      </c>
      <c r="B10691" s="8" t="s">
        <v>86</v>
      </c>
      <c r="C10691" s="38" t="n">
        <f aca="false">Q!$D$46-cx_rt*Q!$D$16-cx_awso*Sens!$C$10686</f>
        <v>25.2781053077374</v>
      </c>
      <c r="D10691" s="38" t="n">
        <f aca="false">Q!$E$46-cx_rt*Q!$E$16-cx_awso*Sens!$D$10686</f>
        <v>69.5686316310026</v>
      </c>
      <c r="E10691" s="38" t="n">
        <f aca="false">Q!$P$46-cx_rt*Q!$P$16-cx_awso*Sens!$E$10686</f>
        <v>64.1899206485108</v>
      </c>
      <c r="F10691" s="38" t="n">
        <f aca="false">capex_g26-Q!$P$46-Sens!$F$10689</f>
        <v>88.7165504612134</v>
      </c>
      <c r="G10691" s="38" t="n">
        <f aca="false">Sens!$E$10691+Sens!$F$10691</f>
        <v>152.906471109724</v>
      </c>
      <c r="H10691" s="38" t="n">
        <f aca="false">Sens!$H$10668*(Sens!$H$10673+tk_fac*(1-colo_sh))/1000+Sens!$H$10692</f>
        <v>198.57136494475</v>
      </c>
      <c r="I10691" s="38" t="n">
        <f aca="false">Sens!$I$10668*(Sens!$I$10673+tk_fac*(1-colo_sh))/1000+Sens!$I$10692</f>
        <v>204.6464699105</v>
      </c>
      <c r="J10691" s="38" t="n">
        <f aca="false">Sens!$J$10668*(Sens!$J$10673+tk_fac*(1-colo_sh))/1000+Sens!$J$10692</f>
        <v>209.8832381105</v>
      </c>
      <c r="K10691" s="38" t="n">
        <f aca="false">Sens!$K$10668*(Sens!$K$10673+tk_fac*(1-colo_sh))/1000+Sens!$K$10692</f>
        <v>158.016341586823</v>
      </c>
      <c r="L10691" s="38" t="n">
        <f aca="false">Sens!$L$10668*(Sens!$L$10673+tk_fac*(1-colo_sh))/1000+Sens!$L$10692</f>
        <v>137.570054263147</v>
      </c>
      <c r="M10691" s="38" t="n">
        <f aca="false">Sens!$M$10668*(Sens!$M$10673+tk_fac*(1-colo_sh))/1000+Sens!$M$10692</f>
        <v>140.56485059472</v>
      </c>
      <c r="P10691" s="5" t="s">
        <v>636</v>
      </c>
      <c r="R10691" s="38" t="n">
        <f aca="false">Q!$C$46-cx_rt*Q!$C$16-cx_awso*(Q!$C$7-mw_ye23/2*rpm_open/1000)</f>
        <v>1.50429979529945</v>
      </c>
      <c r="S10691" s="38" t="n">
        <f aca="false">Sens!$C$10691</f>
        <v>25.2781053077374</v>
      </c>
      <c r="T10691" s="38" t="n">
        <f aca="false">Sens!$D$10691</f>
        <v>69.5686316310026</v>
      </c>
      <c r="U10691" s="38" t="n">
        <f aca="false">Sens!$G$10691</f>
        <v>152.906471109724</v>
      </c>
      <c r="V10691" s="38" t="n">
        <f aca="false">Sens!$H$10691</f>
        <v>198.57136494475</v>
      </c>
      <c r="W10691" s="38" t="n">
        <f aca="false">Sens!$I$10691</f>
        <v>204.6464699105</v>
      </c>
      <c r="X10691" s="38" t="n">
        <f aca="false">Sens!$J$10691</f>
        <v>209.8832381105</v>
      </c>
      <c r="Y10691" s="38" t="n">
        <f aca="false">Sens!$K$10691</f>
        <v>158.016341586823</v>
      </c>
      <c r="Z10691" s="38" t="n">
        <f aca="false">Sens!$L$10691</f>
        <v>137.570054263147</v>
      </c>
      <c r="AA10691" s="38" t="n">
        <f aca="false">Sens!$M$10691</f>
        <v>140.56485059472</v>
      </c>
    </row>
    <row r="10692" customFormat="false" ht="17.15" hidden="false" customHeight="false" outlineLevel="0" collapsed="false">
      <c r="A10692" s="0" t="s">
        <v>637</v>
      </c>
      <c r="B10692" s="0" t="s">
        <v>86</v>
      </c>
      <c r="H10692" s="38" t="n">
        <f aca="false">SUMPRODUCT(--(Sens!$R$10661:$AA$10661=2027-tk_life),Sens!$R$10668:$AA$10668)*Sens!$H$10673/1000</f>
        <v>0</v>
      </c>
      <c r="I10692" s="38" t="n">
        <f aca="false">SUMPRODUCT(--(Sens!$R$10661:$AA$10661=2028-tk_life),Sens!$R$10668:$AA$10668)*Sens!$I$10673/1000</f>
        <v>0</v>
      </c>
      <c r="J10692" s="38" t="n">
        <f aca="false">SUMPRODUCT(--(Sens!$R$10661:$AA$10661=2029-tk_life),Sens!$R$10668:$AA$10668)*Sens!$J$10673/1000</f>
        <v>5.2367682</v>
      </c>
      <c r="K10692" s="38" t="n">
        <f aca="false">SUMPRODUCT(--(Sens!$R$10661:$AA$10661=2030-tk_life),Sens!$R$10668:$AA$10668)*Sens!$K$10673/1000</f>
        <v>10.4735364</v>
      </c>
      <c r="L10692" s="38" t="n">
        <f aca="false">SUMPRODUCT(--(Sens!$R$10661:$AA$10661=2031-tk_life),Sens!$R$10668:$AA$10668)*Sens!$L$10673/1000</f>
        <v>47.1309138</v>
      </c>
      <c r="M10692" s="38" t="n">
        <f aca="false">SUMPRODUCT(--(Sens!$R$10661:$AA$10661=2032-tk_life),Sens!$R$10668:$AA$10668)*Sens!$M$10673/1000</f>
        <v>107.22937485525</v>
      </c>
    </row>
    <row r="10693" customFormat="false" ht="17.15" hidden="false" customHeight="false" outlineLevel="0" collapsed="false">
      <c r="A10693" s="0" t="s">
        <v>638</v>
      </c>
      <c r="B10693" s="0" t="s">
        <v>86</v>
      </c>
      <c r="C10693" s="38" t="n">
        <f aca="false">MIN(Sens!$C$10691,Sens!$C$10668*(tk_cx_h100+tk_fac*(1-colo_sh))/1000)</f>
        <v>11.2938642</v>
      </c>
      <c r="D10693" s="38" t="n">
        <f aca="false">MIN(Sens!$D$10691,Sens!$D$10668*(tk_cx_h100+tk_fac*(1-colo_sh))/1000)</f>
        <v>50.8223889</v>
      </c>
      <c r="E10693" s="38" t="n">
        <f aca="false">MIN(Sens!$E$10691,Sens!$E$10668*(Sens!$F$10673+tk_fac*(1-colo_sh))/1000)</f>
        <v>33.8985792</v>
      </c>
      <c r="F10693" s="38" t="n">
        <f aca="false">Sens!$F$10691</f>
        <v>88.7165504612134</v>
      </c>
      <c r="G10693" s="38" t="n">
        <f aca="false">Sens!$E$10693+Sens!$F$10693</f>
        <v>122.615129661213</v>
      </c>
      <c r="H10693" s="38" t="n">
        <f aca="false">Sens!$H$10691</f>
        <v>198.57136494475</v>
      </c>
      <c r="I10693" s="38" t="n">
        <f aca="false">Sens!$I$10691</f>
        <v>204.6464699105</v>
      </c>
      <c r="J10693" s="38" t="n">
        <f aca="false">Sens!$J$10691</f>
        <v>209.8832381105</v>
      </c>
      <c r="K10693" s="38" t="n">
        <f aca="false">Sens!$K$10691</f>
        <v>158.016341586823</v>
      </c>
      <c r="L10693" s="38" t="n">
        <f aca="false">Sens!$L$10691</f>
        <v>137.570054263147</v>
      </c>
      <c r="M10693" s="38" t="n">
        <f aca="false">Sens!$M$10691</f>
        <v>140.56485059472</v>
      </c>
      <c r="P10693" s="5" t="s">
        <v>639</v>
      </c>
      <c r="R10693" s="38" t="n">
        <f aca="false">MIN(Sens!$R$10691,Sens!$R$10668*(tk_cx_h100+tk_fac*(1-colo_sh))/1000)</f>
        <v>1.50429979529945</v>
      </c>
      <c r="S10693" s="38" t="n">
        <f aca="false">Sens!$C$10693</f>
        <v>11.2938642</v>
      </c>
      <c r="T10693" s="38" t="n">
        <f aca="false">Sens!$D$10693</f>
        <v>50.8223889</v>
      </c>
      <c r="U10693" s="38" t="n">
        <f aca="false">Sens!$G$10693</f>
        <v>122.615129661213</v>
      </c>
      <c r="V10693" s="38" t="n">
        <f aca="false">Sens!$H$10693</f>
        <v>198.57136494475</v>
      </c>
      <c r="W10693" s="38" t="n">
        <f aca="false">Sens!$I$10693</f>
        <v>204.6464699105</v>
      </c>
      <c r="X10693" s="38" t="n">
        <f aca="false">Sens!$J$10693</f>
        <v>209.8832381105</v>
      </c>
      <c r="Y10693" s="38" t="n">
        <f aca="false">Sens!$K$10693</f>
        <v>158.016341586823</v>
      </c>
      <c r="Z10693" s="38" t="n">
        <f aca="false">Sens!$L$10693</f>
        <v>137.570054263147</v>
      </c>
      <c r="AA10693" s="38" t="n">
        <f aca="false">Sens!$M$10693</f>
        <v>140.56485059472</v>
      </c>
    </row>
    <row r="10694" customFormat="false" ht="17.15" hidden="false" customHeight="false" outlineLevel="0" collapsed="false">
      <c r="A10694" s="5" t="s">
        <v>640</v>
      </c>
      <c r="B10694" s="0" t="s">
        <v>86</v>
      </c>
      <c r="C10694" s="38" t="n">
        <f aca="false">Sens!$C$10691-Sens!$C$10693</f>
        <v>13.9842411077374</v>
      </c>
      <c r="D10694" s="38" t="n">
        <f aca="false">Sens!$D$10691-Sens!$D$10693</f>
        <v>18.7462427310026</v>
      </c>
      <c r="E10694" s="38" t="n">
        <f aca="false">Sens!$E$10691-Sens!$E$10693</f>
        <v>30.2913414485108</v>
      </c>
      <c r="F10694" s="38" t="n">
        <f aca="false">Sens!$F$10691-Sens!$F$10693</f>
        <v>0</v>
      </c>
      <c r="G10694" s="38" t="n">
        <f aca="false">Sens!$G$10691-Sens!$G$10693</f>
        <v>30.2913414485108</v>
      </c>
      <c r="H10694" s="38" t="n">
        <f aca="false">Sens!$H$10691-Sens!$H$10693</f>
        <v>0</v>
      </c>
      <c r="I10694" s="38" t="n">
        <f aca="false">Sens!$I$10691-Sens!$I$10693</f>
        <v>0</v>
      </c>
      <c r="J10694" s="38" t="n">
        <f aca="false">Sens!$J$10691-Sens!$J$10693</f>
        <v>0</v>
      </c>
      <c r="K10694" s="38" t="n">
        <f aca="false">Sens!$K$10691-Sens!$K$10693</f>
        <v>0</v>
      </c>
      <c r="L10694" s="38" t="n">
        <f aca="false">Sens!$L$10691-Sens!$L$10693</f>
        <v>0</v>
      </c>
      <c r="M10694" s="38" t="n">
        <f aca="false">Sens!$M$10691-Sens!$M$10693</f>
        <v>0</v>
      </c>
      <c r="P10694" s="5" t="s">
        <v>641</v>
      </c>
      <c r="R10694" s="38" t="n">
        <f aca="false">Sens!$R$10691-Sens!$R$10693</f>
        <v>0</v>
      </c>
      <c r="S10694" s="38" t="n">
        <f aca="false">Sens!$S$10691-Sens!$S$10693</f>
        <v>13.9842411077374</v>
      </c>
      <c r="T10694" s="38" t="n">
        <f aca="false">Sens!$T$10691-Sens!$T$10693</f>
        <v>18.7462427310026</v>
      </c>
      <c r="U10694" s="38" t="n">
        <f aca="false">Sens!$U$10691-Sens!$U$10693</f>
        <v>30.2913414485108</v>
      </c>
      <c r="V10694" s="38" t="n">
        <f aca="false">Sens!$V$10691-Sens!$V$10693</f>
        <v>0</v>
      </c>
      <c r="W10694" s="38" t="n">
        <f aca="false">Sens!$W$10691-Sens!$W$10693</f>
        <v>0</v>
      </c>
      <c r="X10694" s="38" t="n">
        <f aca="false">Sens!$X$10691-Sens!$X$10693</f>
        <v>0</v>
      </c>
      <c r="Y10694" s="38" t="n">
        <f aca="false">Sens!$Y$10691-Sens!$Y$10693</f>
        <v>0</v>
      </c>
      <c r="Z10694" s="38" t="n">
        <f aca="false">Sens!$Z$10691-Sens!$Z$10693</f>
        <v>0</v>
      </c>
      <c r="AA10694" s="38" t="n">
        <f aca="false">Sens!$AA$10691-Sens!$AA$10693</f>
        <v>0</v>
      </c>
    </row>
    <row r="10695" customFormat="false" ht="17.15" hidden="false" customHeight="false" outlineLevel="0" collapsed="false">
      <c r="A10695" s="5" t="s">
        <v>642</v>
      </c>
      <c r="B10695" s="0" t="s">
        <v>86</v>
      </c>
      <c r="R10695" s="38" t="n">
        <f aca="false">Sens!$R$10694*Sens!$C$10690</f>
        <v>0</v>
      </c>
      <c r="S10695" s="38" t="n">
        <f aca="false">Sens!$S$10694*Sens!$C$10690</f>
        <v>10.219074499801</v>
      </c>
      <c r="T10695" s="38" t="n">
        <f aca="false">Sens!$T$10694*Sens!$C$10690</f>
        <v>13.6989379390402</v>
      </c>
      <c r="U10695" s="38" t="n">
        <f aca="false">Sens!$U$10694*Sens!$E$10690</f>
        <v>23.0454203705653</v>
      </c>
      <c r="V10695" s="38" t="n">
        <f aca="false">Sens!$V$10694*Sens!$E$10690</f>
        <v>0</v>
      </c>
      <c r="W10695" s="38" t="n">
        <f aca="false">Sens!$W$10694*Sens!$E$10690</f>
        <v>0</v>
      </c>
      <c r="X10695" s="38" t="n">
        <f aca="false">Sens!$X$10694*Sens!$E$10690</f>
        <v>0</v>
      </c>
      <c r="Y10695" s="38" t="n">
        <f aca="false">Sens!$Y$10694*Sens!$E$10690</f>
        <v>0</v>
      </c>
      <c r="Z10695" s="38" t="n">
        <f aca="false">Sens!$Z$10694*Sens!$E$10690</f>
        <v>0</v>
      </c>
      <c r="AA10695" s="38" t="n">
        <f aca="false">Sens!$AA$10694*Sens!$E$10690</f>
        <v>0</v>
      </c>
    </row>
    <row r="10696" customFormat="false" ht="17.15" hidden="false" customHeight="false" outlineLevel="0" collapsed="false">
      <c r="A10696" s="5" t="s">
        <v>643</v>
      </c>
      <c r="B10696" s="0" t="s">
        <v>86</v>
      </c>
      <c r="R10696" s="38" t="n">
        <f aca="false">SUMPRODUCT(--(Sens!$R$10661:$AA$10661=2023-cip_lag),Sens!$R$10695:$AA$10695)</f>
        <v>0</v>
      </c>
      <c r="S10696" s="38" t="n">
        <f aca="false">SUMPRODUCT(--(Sens!$R$10661:$AA$10661=2024-cip_lag),Sens!$R$10695:$AA$10695)</f>
        <v>0</v>
      </c>
      <c r="T10696" s="38" t="n">
        <f aca="false">SUMPRODUCT(--(Sens!$R$10661:$AA$10661=2025-cip_lag),Sens!$R$10695:$AA$10695)</f>
        <v>10.219074499801</v>
      </c>
      <c r="U10696" s="38" t="n">
        <f aca="false">SUMPRODUCT(--(Sens!$R$10661:$AA$10661=2026-cip_lag),Sens!$R$10695:$AA$10695)</f>
        <v>13.6989379390402</v>
      </c>
      <c r="V10696" s="38" t="n">
        <f aca="false">SUMPRODUCT(--(Sens!$R$10661:$AA$10661=2027-cip_lag),Sens!$R$10695:$AA$10695)</f>
        <v>23.0454203705653</v>
      </c>
      <c r="W10696" s="38" t="n">
        <f aca="false">SUMPRODUCT(--(Sens!$R$10661:$AA$10661=2028-cip_lag),Sens!$R$10695:$AA$10695)</f>
        <v>0</v>
      </c>
      <c r="X10696" s="38" t="n">
        <f aca="false">SUMPRODUCT(--(Sens!$R$10661:$AA$10661=2029-cip_lag),Sens!$R$10695:$AA$10695)</f>
        <v>0</v>
      </c>
      <c r="Y10696" s="38" t="n">
        <f aca="false">SUMPRODUCT(--(Sens!$R$10661:$AA$10661=2030-cip_lag),Sens!$R$10695:$AA$10695)</f>
        <v>0</v>
      </c>
      <c r="Z10696" s="38" t="n">
        <f aca="false">SUMPRODUCT(--(Sens!$R$10661:$AA$10661=2031-cip_lag),Sens!$R$10695:$AA$10695)</f>
        <v>0</v>
      </c>
      <c r="AA10696" s="38" t="n">
        <f aca="false">SUMPRODUCT(--(Sens!$R$10661:$AA$10661=2032-cip_lag),Sens!$R$10695:$AA$10695)</f>
        <v>0</v>
      </c>
    </row>
    <row r="10697" customFormat="false" ht="15" hidden="false" customHeight="false" outlineLevel="0" collapsed="false">
      <c r="A10697" s="5" t="s">
        <v>644</v>
      </c>
      <c r="B10697" s="0" t="s">
        <v>86</v>
      </c>
      <c r="R10697" s="38" t="n">
        <f aca="false">SUMPRODUCT(--(Sens!$R$10661:$AA$10661=2023-cip_lag),Sens!$R$10694:$AA$10694)-Sens!$R$10696</f>
        <v>0</v>
      </c>
      <c r="S10697" s="38" t="n">
        <f aca="false">SUMPRODUCT(--(Sens!$R$10661:$AA$10661=2024-cip_lag),Sens!$R$10694:$AA$10694)-Sens!$S$10696</f>
        <v>0</v>
      </c>
      <c r="T10697" s="38" t="n">
        <f aca="false">SUMPRODUCT(--(Sens!$R$10661:$AA$10661=2025-cip_lag),Sens!$R$10694:$AA$10694)-Sens!$T$10696</f>
        <v>3.76516660793636</v>
      </c>
      <c r="U10697" s="38" t="n">
        <f aca="false">SUMPRODUCT(--(Sens!$R$10661:$AA$10661=2026-cip_lag),Sens!$R$10694:$AA$10694)-Sens!$U$10696</f>
        <v>5.04730479196242</v>
      </c>
      <c r="V10697" s="38" t="n">
        <f aca="false">SUMPRODUCT(--(Sens!$R$10661:$AA$10661=2027-cip_lag),Sens!$R$10694:$AA$10694)-Sens!$V$10696</f>
        <v>7.24592107794548</v>
      </c>
      <c r="W10697" s="38" t="n">
        <f aca="false">SUMPRODUCT(--(Sens!$R$10661:$AA$10661=2028-cip_lag),Sens!$R$10694:$AA$10694)-Sens!$W$10696</f>
        <v>0</v>
      </c>
      <c r="X10697" s="38" t="n">
        <f aca="false">SUMPRODUCT(--(Sens!$R$10661:$AA$10661=2029-cip_lag),Sens!$R$10694:$AA$10694)-Sens!$X$10696</f>
        <v>0</v>
      </c>
      <c r="Y10697" s="38" t="n">
        <f aca="false">SUMPRODUCT(--(Sens!$R$10661:$AA$10661=2030-cip_lag),Sens!$R$10694:$AA$10694)-Sens!$Y$10696</f>
        <v>0</v>
      </c>
      <c r="Z10697" s="38" t="n">
        <f aca="false">SUMPRODUCT(--(Sens!$R$10661:$AA$10661=2031-cip_lag),Sens!$R$10694:$AA$10694)-Sens!$Z$10696</f>
        <v>0</v>
      </c>
      <c r="AA10697" s="38" t="n">
        <f aca="false">SUMPRODUCT(--(Sens!$R$10661:$AA$10661=2032-cip_lag),Sens!$R$10694:$AA$10694)-Sens!$AA$10696</f>
        <v>0</v>
      </c>
    </row>
    <row r="10698" customFormat="false" ht="17.15" hidden="false" customHeight="false" outlineLevel="0" collapsed="false">
      <c r="A10698" s="5" t="s">
        <v>645</v>
      </c>
      <c r="B10698" s="0" t="s">
        <v>86</v>
      </c>
      <c r="C10698" s="38" t="n">
        <f aca="false">Sens!$C$10693*Sens!$C$10690</f>
        <v>8.2530642</v>
      </c>
      <c r="D10698" s="38" t="n">
        <f aca="false">Sens!$D$10693*Sens!$D$10690</f>
        <v>37.1387889</v>
      </c>
      <c r="E10698" s="38" t="n">
        <f aca="false">Sens!$E$10693*Sens!$E$10690</f>
        <v>25.7897792</v>
      </c>
      <c r="F10698" s="38" t="n">
        <f aca="false">Sens!$F$10693*Sens!$F$10690</f>
        <v>67.4948715189913</v>
      </c>
      <c r="G10698" s="38" t="n">
        <f aca="false">Sens!$E$10698+Sens!$F$10698</f>
        <v>93.2846507189913</v>
      </c>
      <c r="H10698" s="38" t="n">
        <f aca="false">(Sens!$H$10693-Sens!$H$10692)*Sens!$H$10690+Sens!$H$10692</f>
        <v>152.52478394475</v>
      </c>
      <c r="I10698" s="38" t="n">
        <f aca="false">(Sens!$I$10693-Sens!$I$10692)*Sens!$I$10690+Sens!$I$10692</f>
        <v>158.5998889105</v>
      </c>
      <c r="J10698" s="38" t="n">
        <f aca="false">(Sens!$J$10693-Sens!$J$10692)*Sens!$J$10690+Sens!$J$10692</f>
        <v>163.8366571105</v>
      </c>
      <c r="K10698" s="38" t="n">
        <f aca="false">(Sens!$K$10693-Sens!$K$10692)*Sens!$K$10690+Sens!$K$10692</f>
        <v>124.818399140157</v>
      </c>
      <c r="L10698" s="38" t="n">
        <f aca="false">(Sens!$L$10693-Sens!$L$10692)*Sens!$L$10690+Sens!$L$10692</f>
        <v>117.220750369813</v>
      </c>
      <c r="M10698" s="38" t="n">
        <f aca="false">(Sens!$M$10693-Sens!$M$10692)*Sens!$M$10690+Sens!$M$10692</f>
        <v>133.06418525472</v>
      </c>
      <c r="R10698" s="38" t="n">
        <f aca="false">Sens!$R$10693*Sens!$C$10690</f>
        <v>1.09927679019314</v>
      </c>
      <c r="S10698" s="38" t="n">
        <f aca="false">Sens!$C$10698</f>
        <v>8.2530642</v>
      </c>
      <c r="T10698" s="38" t="n">
        <f aca="false">Sens!$D$10698</f>
        <v>37.1387889</v>
      </c>
      <c r="U10698" s="38" t="n">
        <f aca="false">Sens!$G$10698</f>
        <v>93.2846507189913</v>
      </c>
      <c r="V10698" s="38" t="n">
        <f aca="false">Sens!$H$10698</f>
        <v>152.52478394475</v>
      </c>
      <c r="W10698" s="38" t="n">
        <f aca="false">Sens!$I$10698</f>
        <v>158.5998889105</v>
      </c>
      <c r="X10698" s="38" t="n">
        <f aca="false">Sens!$J$10698</f>
        <v>163.8366571105</v>
      </c>
      <c r="Y10698" s="38" t="n">
        <f aca="false">Sens!$K$10698</f>
        <v>124.818399140157</v>
      </c>
      <c r="Z10698" s="38" t="n">
        <f aca="false">Sens!$L$10698</f>
        <v>117.220750369813</v>
      </c>
      <c r="AA10698" s="38" t="n">
        <f aca="false">Sens!$M$10698</f>
        <v>133.06418525472</v>
      </c>
    </row>
    <row r="10699" customFormat="false" ht="15" hidden="false" customHeight="false" outlineLevel="0" collapsed="false">
      <c r="A10699" s="5" t="s">
        <v>646</v>
      </c>
      <c r="B10699" s="0" t="s">
        <v>86</v>
      </c>
      <c r="C10699" s="38" t="n">
        <f aca="false">Sens!$C$10693-Sens!$C$10698</f>
        <v>3.0408</v>
      </c>
      <c r="D10699" s="38" t="n">
        <f aca="false">Sens!$D$10693-Sens!$D$10698</f>
        <v>13.6836</v>
      </c>
      <c r="E10699" s="38" t="n">
        <f aca="false">Sens!$E$10693-Sens!$E$10698</f>
        <v>8.1088</v>
      </c>
      <c r="F10699" s="38" t="n">
        <f aca="false">Sens!$F$10693-Sens!$F$10698</f>
        <v>21.2216789422221</v>
      </c>
      <c r="G10699" s="38" t="n">
        <f aca="false">Sens!$G$10693-Sens!$G$10698</f>
        <v>29.3304789422221</v>
      </c>
      <c r="H10699" s="38" t="n">
        <f aca="false">Sens!$H$10693-Sens!$H$10698</f>
        <v>46.046581</v>
      </c>
      <c r="I10699" s="38" t="n">
        <f aca="false">Sens!$I$10693-Sens!$I$10698</f>
        <v>46.046581</v>
      </c>
      <c r="J10699" s="38" t="n">
        <f aca="false">Sens!$J$10693-Sens!$J$10698</f>
        <v>46.046581</v>
      </c>
      <c r="K10699" s="38" t="n">
        <f aca="false">Sens!$K$10693-Sens!$K$10698</f>
        <v>33.1979424466667</v>
      </c>
      <c r="L10699" s="38" t="n">
        <f aca="false">Sens!$L$10693-Sens!$L$10698</f>
        <v>20.3493038933333</v>
      </c>
      <c r="M10699" s="38" t="n">
        <f aca="false">Sens!$M$10693-Sens!$M$10698</f>
        <v>7.50066534000001</v>
      </c>
      <c r="R10699" s="38" t="n">
        <f aca="false">Sens!$R$10693-Sens!$R$10698</f>
        <v>0.405023005106309</v>
      </c>
      <c r="S10699" s="38" t="n">
        <f aca="false">Sens!$S$10693-Sens!$S$10698</f>
        <v>3.0408</v>
      </c>
      <c r="T10699" s="38" t="n">
        <f aca="false">Sens!$T$10693-Sens!$T$10698</f>
        <v>13.6836</v>
      </c>
      <c r="U10699" s="38" t="n">
        <f aca="false">Sens!$U$10693-Sens!$U$10698</f>
        <v>29.3304789422221</v>
      </c>
      <c r="V10699" s="38" t="n">
        <f aca="false">Sens!$V$10693-Sens!$V$10698</f>
        <v>46.046581</v>
      </c>
      <c r="W10699" s="38" t="n">
        <f aca="false">Sens!$W$10693-Sens!$W$10698</f>
        <v>46.046581</v>
      </c>
      <c r="X10699" s="38" t="n">
        <f aca="false">Sens!$X$10693-Sens!$X$10698</f>
        <v>46.046581</v>
      </c>
      <c r="Y10699" s="38" t="n">
        <f aca="false">Sens!$Y$10693-Sens!$Y$10698</f>
        <v>33.1979424466667</v>
      </c>
      <c r="Z10699" s="38" t="n">
        <f aca="false">Sens!$Z$10693-Sens!$Z$10698</f>
        <v>20.3493038933333</v>
      </c>
      <c r="AA10699" s="38" t="n">
        <f aca="false">Sens!$AA$10693-Sens!$AA$10698</f>
        <v>7.50066534000001</v>
      </c>
    </row>
    <row r="10700" customFormat="false" ht="17.15" hidden="false" customHeight="false" outlineLevel="0" collapsed="false">
      <c r="A10700" s="0" t="s">
        <v>647</v>
      </c>
      <c r="B10700" s="0" t="s">
        <v>52</v>
      </c>
      <c r="C10700" s="13" t="n">
        <f aca="false">Sens!$C$10691/Sens!$C$10816</f>
        <v>0.325505489553393</v>
      </c>
      <c r="D10700" s="13" t="n">
        <f aca="false">Sens!$D$10691/Sens!$D$10816</f>
        <v>0.54214956071542</v>
      </c>
      <c r="E10700" s="13" t="n">
        <f aca="false">Sens!$E$10691/Sens!$E$10816</f>
        <v>0.666492790452817</v>
      </c>
      <c r="F10700" s="13" t="n">
        <f aca="false">Sens!$F$10691/Sens!$F$10816</f>
        <v>0.71724917504417</v>
      </c>
      <c r="G10700" s="13" t="n">
        <f aca="false">Sens!$G$10691/Sens!$G$10816</f>
        <v>0.69502941413511</v>
      </c>
      <c r="H10700" s="13" t="n">
        <f aca="false">Sens!$H$10691/Sens!$H$10816</f>
        <v>0.726376041178204</v>
      </c>
      <c r="I10700" s="13" t="n">
        <f aca="false">Sens!$I$10691/Sens!$I$10816</f>
        <v>0.713099092661699</v>
      </c>
      <c r="J10700" s="13" t="n">
        <f aca="false">Sens!$J$10691/Sens!$J$10816</f>
        <v>0.701208348786245</v>
      </c>
      <c r="K10700" s="13" t="n">
        <f aca="false">Sens!$K$10691/Sens!$K$10816</f>
        <v>0.622515721629545</v>
      </c>
      <c r="L10700" s="13" t="n">
        <f aca="false">Sens!$L$10691/Sens!$L$10816</f>
        <v>0.572606741433048</v>
      </c>
      <c r="M10700" s="13" t="n">
        <f aca="false">Sens!$M$10691/Sens!$M$10816</f>
        <v>0.560855994905929</v>
      </c>
    </row>
    <row r="10701" customFormat="false" ht="17.15" hidden="false" customHeight="false" outlineLevel="0" collapsed="false">
      <c r="A10701" s="0" t="s">
        <v>648</v>
      </c>
      <c r="B10701" s="0" t="s">
        <v>86</v>
      </c>
      <c r="C10701" s="38" t="n">
        <f aca="false">Sens!$S$10701</f>
        <v>0.183212798365523</v>
      </c>
      <c r="D10701" s="38" t="n">
        <f aca="false">Sens!$T$10701</f>
        <v>1.55872349836552</v>
      </c>
      <c r="E10701" s="38" t="n">
        <f aca="false">Sens!$G$10701/2</f>
        <v>4.72585036583285</v>
      </c>
      <c r="F10701" s="38" t="n">
        <f aca="false">Sens!$G$10701/2</f>
        <v>4.72585036583285</v>
      </c>
      <c r="G10701" s="38" t="n">
        <f aca="false">Sens!$U$10701</f>
        <v>9.4517007316657</v>
      </c>
      <c r="H10701" s="38" t="n">
        <f aca="false">Sens!$V$10701</f>
        <v>27.2822988413376</v>
      </c>
      <c r="I10701" s="38" t="n">
        <f aca="false">Sens!$W$10701</f>
        <v>56.5439995605568</v>
      </c>
      <c r="J10701" s="38" t="n">
        <f aca="false">Sens!$X$10701</f>
        <v>82.9773143789735</v>
      </c>
      <c r="K10701" s="38" t="n">
        <f aca="false">Sens!$Y$10701</f>
        <v>110.100211099025</v>
      </c>
      <c r="L10701" s="38" t="n">
        <f aca="false">Sens!$Z$10701</f>
        <v>129.527766922384</v>
      </c>
      <c r="M10701" s="38" t="n">
        <f aca="false">Sens!$AA$10701</f>
        <v>141.171581417386</v>
      </c>
      <c r="N10701" s="38" t="n">
        <f aca="false">Sens!$D$10701/2</f>
        <v>0.779361749182762</v>
      </c>
      <c r="O10701" s="38" t="n">
        <f aca="false">Sens!$D$10701/2</f>
        <v>0.779361749182762</v>
      </c>
      <c r="R10701" s="38" t="n">
        <f aca="false">(SUMPRODUCT(--(Sens!$R$10661:$AA$10661&lt;Sens!R$10661),--(Sens!$R$10661:$AA$10661&gt;=Sens!R$10661-tk_life),Sens!$R$10698:$AA$10698)+SUMPRODUCT(--(Sens!$R$10661:$AA$10661&lt;Sens!R$10661),--(Sens!$R$10661:$AA$10661&gt;=Sens!R$10661-tk_life),Sens!$R$10696:$AA$10696))/tk_life</f>
        <v>0</v>
      </c>
      <c r="S10701" s="38" t="n">
        <f aca="false">(SUMPRODUCT(--(Sens!$R$10661:$AA$10661&lt;Sens!S$10661),--(Sens!$R$10661:$AA$10661&gt;=Sens!S$10661-tk_life),Sens!$R$10698:$AA$10698)+SUMPRODUCT(--(Sens!$R$10661:$AA$10661&lt;Sens!S$10661),--(Sens!$R$10661:$AA$10661&gt;=Sens!S$10661-tk_life),Sens!$R$10696:$AA$10696))/tk_life</f>
        <v>0.183212798365523</v>
      </c>
      <c r="T10701" s="38" t="n">
        <f aca="false">(SUMPRODUCT(--(Sens!$R$10661:$AA$10661&lt;Sens!T$10661),--(Sens!$R$10661:$AA$10661&gt;=Sens!T$10661-tk_life),Sens!$R$10698:$AA$10698)+SUMPRODUCT(--(Sens!$R$10661:$AA$10661&lt;Sens!T$10661),--(Sens!$R$10661:$AA$10661&gt;=Sens!T$10661-tk_life),Sens!$R$10696:$AA$10696))/tk_life</f>
        <v>1.55872349836552</v>
      </c>
      <c r="U10701" s="38" t="n">
        <f aca="false">(SUMPRODUCT(--(Sens!$R$10661:$AA$10661&lt;Sens!U$10661),--(Sens!$R$10661:$AA$10661&gt;=Sens!U$10661-tk_life),Sens!$R$10698:$AA$10698)+SUMPRODUCT(--(Sens!$R$10661:$AA$10661&lt;Sens!U$10661),--(Sens!$R$10661:$AA$10661&gt;=Sens!U$10661-tk_life),Sens!$R$10696:$AA$10696))/tk_life</f>
        <v>9.4517007316657</v>
      </c>
      <c r="V10701" s="38" t="n">
        <f aca="false">(SUMPRODUCT(--(Sens!$R$10661:$AA$10661&lt;Sens!V$10661),--(Sens!$R$10661:$AA$10661&gt;=Sens!V$10661-tk_life),Sens!$R$10698:$AA$10698)+SUMPRODUCT(--(Sens!$R$10661:$AA$10661&lt;Sens!V$10661),--(Sens!$R$10661:$AA$10661&gt;=Sens!V$10661-tk_life),Sens!$R$10696:$AA$10696))/tk_life</f>
        <v>27.2822988413376</v>
      </c>
      <c r="W10701" s="38" t="n">
        <f aca="false">(SUMPRODUCT(--(Sens!$R$10661:$AA$10661&lt;Sens!W$10661),--(Sens!$R$10661:$AA$10661&gt;=Sens!W$10661-tk_life),Sens!$R$10698:$AA$10698)+SUMPRODUCT(--(Sens!$R$10661:$AA$10661&lt;Sens!W$10661),--(Sens!$R$10661:$AA$10661&gt;=Sens!W$10661-tk_life),Sens!$R$10696:$AA$10696))/tk_life</f>
        <v>56.5439995605568</v>
      </c>
      <c r="X10701" s="38" t="n">
        <f aca="false">(SUMPRODUCT(--(Sens!$R$10661:$AA$10661&lt;Sens!X$10661),--(Sens!$R$10661:$AA$10661&gt;=Sens!X$10661-tk_life),Sens!$R$10698:$AA$10698)+SUMPRODUCT(--(Sens!$R$10661:$AA$10661&lt;Sens!X$10661),--(Sens!$R$10661:$AA$10661&gt;=Sens!X$10661-tk_life),Sens!$R$10696:$AA$10696))/tk_life</f>
        <v>82.9773143789735</v>
      </c>
      <c r="Y10701" s="38" t="n">
        <f aca="false">(SUMPRODUCT(--(Sens!$R$10661:$AA$10661&lt;Sens!Y$10661),--(Sens!$R$10661:$AA$10661&gt;=Sens!Y$10661-tk_life),Sens!$R$10698:$AA$10698)+SUMPRODUCT(--(Sens!$R$10661:$AA$10661&lt;Sens!Y$10661),--(Sens!$R$10661:$AA$10661&gt;=Sens!Y$10661-tk_life),Sens!$R$10696:$AA$10696))/tk_life</f>
        <v>110.100211099025</v>
      </c>
      <c r="Z10701" s="38" t="n">
        <f aca="false">(SUMPRODUCT(--(Sens!$R$10661:$AA$10661&lt;Sens!Z$10661),--(Sens!$R$10661:$AA$10661&gt;=Sens!Z$10661-tk_life),Sens!$R$10698:$AA$10698)+SUMPRODUCT(--(Sens!$R$10661:$AA$10661&lt;Sens!Z$10661),--(Sens!$R$10661:$AA$10661&gt;=Sens!Z$10661-tk_life),Sens!$R$10696:$AA$10696))/tk_life</f>
        <v>129.527766922384</v>
      </c>
      <c r="AA10701" s="38" t="n">
        <f aca="false">(SUMPRODUCT(--(Sens!$R$10661:$AA$10661&lt;Sens!AA$10661),--(Sens!$R$10661:$AA$10661&gt;=Sens!AA$10661-tk_life),Sens!$R$10698:$AA$10698)+SUMPRODUCT(--(Sens!$R$10661:$AA$10661&lt;Sens!AA$10661),--(Sens!$R$10661:$AA$10661&gt;=Sens!AA$10661-tk_life),Sens!$R$10696:$AA$10696))/tk_life</f>
        <v>141.171581417386</v>
      </c>
    </row>
    <row r="10702" customFormat="false" ht="17.15" hidden="false" customHeight="false" outlineLevel="0" collapsed="false">
      <c r="A10702" s="0" t="s">
        <v>649</v>
      </c>
      <c r="B10702" s="0" t="s">
        <v>86</v>
      </c>
      <c r="C10702" s="38" t="n">
        <f aca="false">Sens!$S$10702</f>
        <v>0.0202511502553155</v>
      </c>
      <c r="D10702" s="38" t="n">
        <f aca="false">Sens!$T$10702</f>
        <v>0.172291150255315</v>
      </c>
      <c r="E10702" s="38" t="n">
        <f aca="false">Sens!$G$10702/2</f>
        <v>0.522364740326067</v>
      </c>
      <c r="F10702" s="38" t="n">
        <f aca="false">Sens!$G$10702/2</f>
        <v>0.522364740326067</v>
      </c>
      <c r="G10702" s="38" t="n">
        <f aca="false">Sens!$U$10702</f>
        <v>1.04472948065213</v>
      </c>
      <c r="H10702" s="38" t="n">
        <f aca="false">Sens!$V$10702</f>
        <v>2.76361866736136</v>
      </c>
      <c r="I10702" s="38" t="n">
        <f aca="false">Sens!$W$10702</f>
        <v>5.42824377125863</v>
      </c>
      <c r="J10702" s="38" t="n">
        <f aca="false">Sens!$X$10702</f>
        <v>7.73057282125864</v>
      </c>
      <c r="K10702" s="38" t="n">
        <f aca="false">Sens!$Y$10702</f>
        <v>10.0329018712586</v>
      </c>
      <c r="L10702" s="38" t="n">
        <f aca="false">Sens!$Z$10702</f>
        <v>11.692798993592</v>
      </c>
      <c r="M10702" s="38" t="n">
        <f aca="false">Sens!$AA$10702</f>
        <v>12.7102641882586</v>
      </c>
      <c r="N10702" s="38" t="n">
        <f aca="false">Sens!$D$10702/2</f>
        <v>0.0861455751276577</v>
      </c>
      <c r="O10702" s="38" t="n">
        <f aca="false">Sens!$D$10702/2</f>
        <v>0.0861455751276577</v>
      </c>
      <c r="R10702" s="38" t="n">
        <f aca="false">(SUMPRODUCT(--(Sens!$R$10661:$AA$10661&lt;Sens!R$10661),Sens!$R$10699:$AA$10699)+SUMPRODUCT(--(Sens!$R$10661:$AA$10661&lt;Sens!R$10661),Sens!$R$10697:$AA$10697))/fac_life</f>
        <v>0</v>
      </c>
      <c r="S10702" s="38" t="n">
        <f aca="false">(SUMPRODUCT(--(Sens!$R$10661:$AA$10661&lt;Sens!S$10661),Sens!$R$10699:$AA$10699)+SUMPRODUCT(--(Sens!$R$10661:$AA$10661&lt;Sens!S$10661),Sens!$R$10697:$AA$10697))/fac_life</f>
        <v>0.0202511502553155</v>
      </c>
      <c r="T10702" s="38" t="n">
        <f aca="false">(SUMPRODUCT(--(Sens!$R$10661:$AA$10661&lt;Sens!T$10661),Sens!$R$10699:$AA$10699)+SUMPRODUCT(--(Sens!$R$10661:$AA$10661&lt;Sens!T$10661),Sens!$R$10697:$AA$10697))/fac_life</f>
        <v>0.172291150255315</v>
      </c>
      <c r="U10702" s="38" t="n">
        <f aca="false">(SUMPRODUCT(--(Sens!$R$10661:$AA$10661&lt;Sens!U$10661),Sens!$R$10699:$AA$10699)+SUMPRODUCT(--(Sens!$R$10661:$AA$10661&lt;Sens!U$10661),Sens!$R$10697:$AA$10697))/fac_life</f>
        <v>1.04472948065213</v>
      </c>
      <c r="V10702" s="38" t="n">
        <f aca="false">(SUMPRODUCT(--(Sens!$R$10661:$AA$10661&lt;Sens!V$10661),Sens!$R$10699:$AA$10699)+SUMPRODUCT(--(Sens!$R$10661:$AA$10661&lt;Sens!V$10661),Sens!$R$10697:$AA$10697))/fac_life</f>
        <v>2.76361866736136</v>
      </c>
      <c r="W10702" s="38" t="n">
        <f aca="false">(SUMPRODUCT(--(Sens!$R$10661:$AA$10661&lt;Sens!W$10661),Sens!$R$10699:$AA$10699)+SUMPRODUCT(--(Sens!$R$10661:$AA$10661&lt;Sens!W$10661),Sens!$R$10697:$AA$10697))/fac_life</f>
        <v>5.42824377125863</v>
      </c>
      <c r="X10702" s="38" t="n">
        <f aca="false">(SUMPRODUCT(--(Sens!$R$10661:$AA$10661&lt;Sens!X$10661),Sens!$R$10699:$AA$10699)+SUMPRODUCT(--(Sens!$R$10661:$AA$10661&lt;Sens!X$10661),Sens!$R$10697:$AA$10697))/fac_life</f>
        <v>7.73057282125864</v>
      </c>
      <c r="Y10702" s="38" t="n">
        <f aca="false">(SUMPRODUCT(--(Sens!$R$10661:$AA$10661&lt;Sens!Y$10661),Sens!$R$10699:$AA$10699)+SUMPRODUCT(--(Sens!$R$10661:$AA$10661&lt;Sens!Y$10661),Sens!$R$10697:$AA$10697))/fac_life</f>
        <v>10.0329018712586</v>
      </c>
      <c r="Z10702" s="38" t="n">
        <f aca="false">(SUMPRODUCT(--(Sens!$R$10661:$AA$10661&lt;Sens!Z$10661),Sens!$R$10699:$AA$10699)+SUMPRODUCT(--(Sens!$R$10661:$AA$10661&lt;Sens!Z$10661),Sens!$R$10697:$AA$10697))/fac_life</f>
        <v>11.692798993592</v>
      </c>
      <c r="AA10702" s="38" t="n">
        <f aca="false">(SUMPRODUCT(--(Sens!$R$10661:$AA$10661&lt;Sens!AA$10661),Sens!$R$10699:$AA$10699)+SUMPRODUCT(--(Sens!$R$10661:$AA$10661&lt;Sens!AA$10661),Sens!$R$10697:$AA$10697))/fac_life</f>
        <v>12.7102641882586</v>
      </c>
    </row>
    <row r="10703" customFormat="false" ht="17.15" hidden="false" customHeight="false" outlineLevel="0" collapsed="false">
      <c r="A10703" s="1" t="s">
        <v>650</v>
      </c>
      <c r="B10703" s="8" t="s">
        <v>86</v>
      </c>
      <c r="C10703" s="38" t="n">
        <f aca="false">Sens!$C$10701+Sens!$C$10702</f>
        <v>0.203463948620839</v>
      </c>
      <c r="D10703" s="38" t="n">
        <f aca="false">Sens!$D$10701+Sens!$D$10702</f>
        <v>1.73101464862084</v>
      </c>
      <c r="E10703" s="38" t="n">
        <f aca="false">Sens!$E$10701+Sens!$E$10702</f>
        <v>5.24821510615892</v>
      </c>
      <c r="F10703" s="38" t="n">
        <f aca="false">Sens!$F$10701+Sens!$F$10702</f>
        <v>5.24821510615892</v>
      </c>
      <c r="G10703" s="38" t="n">
        <f aca="false">Sens!$G$10701+Sens!$G$10702</f>
        <v>10.4964302123178</v>
      </c>
      <c r="H10703" s="38" t="n">
        <f aca="false">Sens!$H$10701+Sens!$H$10702</f>
        <v>30.045917508699</v>
      </c>
      <c r="I10703" s="38" t="n">
        <f aca="false">Sens!$I$10701+Sens!$I$10702</f>
        <v>61.9722433318155</v>
      </c>
      <c r="J10703" s="38" t="n">
        <f aca="false">Sens!$J$10701+Sens!$J$10702</f>
        <v>90.7078872002321</v>
      </c>
      <c r="K10703" s="38" t="n">
        <f aca="false">Sens!$K$10701+Sens!$K$10702</f>
        <v>120.133112970283</v>
      </c>
      <c r="L10703" s="38" t="n">
        <f aca="false">Sens!$L$10701+Sens!$L$10702</f>
        <v>141.220565915976</v>
      </c>
      <c r="M10703" s="38" t="n">
        <f aca="false">Sens!$M$10701+Sens!$M$10702</f>
        <v>153.881845605645</v>
      </c>
      <c r="N10703" s="38" t="n">
        <f aca="false">Sens!$N$10701+Sens!$N$10702</f>
        <v>0.865507324310419</v>
      </c>
      <c r="O10703" s="38" t="n">
        <f aca="false">Sens!$O$10701+Sens!$O$10702</f>
        <v>0.865507324310419</v>
      </c>
      <c r="R10703" s="38" t="n">
        <f aca="false">Sens!$R$10701+Sens!$R$10702</f>
        <v>0</v>
      </c>
      <c r="S10703" s="38" t="n">
        <f aca="false">Sens!$S$10701+Sens!$S$10702</f>
        <v>0.203463948620839</v>
      </c>
      <c r="T10703" s="38" t="n">
        <f aca="false">Sens!$T$10701+Sens!$T$10702</f>
        <v>1.73101464862084</v>
      </c>
      <c r="U10703" s="38" t="n">
        <f aca="false">Sens!$U$10701+Sens!$U$10702</f>
        <v>10.4964302123178</v>
      </c>
      <c r="V10703" s="38" t="n">
        <f aca="false">Sens!$V$10701+Sens!$V$10702</f>
        <v>30.045917508699</v>
      </c>
      <c r="W10703" s="38" t="n">
        <f aca="false">Sens!$W$10701+Sens!$W$10702</f>
        <v>61.9722433318155</v>
      </c>
      <c r="X10703" s="38" t="n">
        <f aca="false">Sens!$X$10701+Sens!$X$10702</f>
        <v>90.7078872002321</v>
      </c>
      <c r="Y10703" s="38" t="n">
        <f aca="false">Sens!$Y$10701+Sens!$Y$10702</f>
        <v>120.133112970283</v>
      </c>
      <c r="Z10703" s="38" t="n">
        <f aca="false">Sens!$Z$10701+Sens!$Z$10702</f>
        <v>141.220565915976</v>
      </c>
      <c r="AA10703" s="38" t="n">
        <f aca="false">Sens!$AA$10701+Sens!$AA$10702</f>
        <v>153.881845605645</v>
      </c>
    </row>
    <row r="10704" customFormat="false" ht="17.15" hidden="false" customHeight="false" outlineLevel="0" collapsed="false">
      <c r="A10704" s="0" t="s">
        <v>651</v>
      </c>
      <c r="B10704" s="0" t="s">
        <v>86</v>
      </c>
      <c r="C10704" s="38" t="n">
        <f aca="false">Sens!$S$10704</f>
        <v>26.578941154416</v>
      </c>
      <c r="D10704" s="38" t="n">
        <f aca="false">Sens!$T$10704</f>
        <v>94.4165581367978</v>
      </c>
      <c r="G10704" s="38" t="n">
        <f aca="false">Sens!$U$10704</f>
        <v>236.826599034204</v>
      </c>
      <c r="H10704" s="38" t="n">
        <f aca="false">Sens!$V$10704</f>
        <v>405.352046470255</v>
      </c>
      <c r="I10704" s="38" t="n">
        <f aca="false">Sens!$W$10704</f>
        <v>548.02627304894</v>
      </c>
      <c r="J10704" s="38" t="n">
        <f aca="false">Sens!$X$10704</f>
        <v>667.201623959208</v>
      </c>
      <c r="K10704" s="38" t="n">
        <f aca="false">Sens!$Y$10704</f>
        <v>705.084852575748</v>
      </c>
      <c r="L10704" s="38" t="n">
        <f aca="false">Sens!$Z$10704</f>
        <v>701.434340922918</v>
      </c>
      <c r="M10704" s="38" t="n">
        <f aca="false">Sens!$AA$10704</f>
        <v>688.117345911993</v>
      </c>
      <c r="R10704" s="38" t="n">
        <f aca="false">SUM(Sens!$R$10691:$R$10691)-SUM(Sens!$R$10703:$R$10703)</f>
        <v>1.50429979529945</v>
      </c>
      <c r="S10704" s="38" t="n">
        <f aca="false">SUM(Sens!$R$10691:$S$10691)-SUM(Sens!$R$10703:$S$10703)</f>
        <v>26.578941154416</v>
      </c>
      <c r="T10704" s="38" t="n">
        <f aca="false">SUM(Sens!$R$10691:$T$10691)-SUM(Sens!$R$10703:$T$10703)</f>
        <v>94.4165581367978</v>
      </c>
      <c r="U10704" s="38" t="n">
        <f aca="false">SUM(Sens!$R$10691:$U$10691)-SUM(Sens!$R$10703:$U$10703)</f>
        <v>236.826599034204</v>
      </c>
      <c r="V10704" s="38" t="n">
        <f aca="false">SUM(Sens!$R$10691:$V$10691)-SUM(Sens!$R$10703:$V$10703)</f>
        <v>405.352046470255</v>
      </c>
      <c r="W10704" s="38" t="n">
        <f aca="false">SUM(Sens!$R$10691:$W$10691)-SUM(Sens!$R$10703:$W$10703)</f>
        <v>548.02627304894</v>
      </c>
      <c r="X10704" s="38" t="n">
        <f aca="false">SUM(Sens!$R$10691:$X$10691)-SUM(Sens!$R$10703:$X$10703)</f>
        <v>667.201623959208</v>
      </c>
      <c r="Y10704" s="38" t="n">
        <f aca="false">SUM(Sens!$R$10691:$Y$10691)-SUM(Sens!$R$10703:$Y$10703)</f>
        <v>705.084852575748</v>
      </c>
      <c r="Z10704" s="38" t="n">
        <f aca="false">SUM(Sens!$R$10691:$Z$10691)-SUM(Sens!$R$10703:$Z$10703)</f>
        <v>701.434340922918</v>
      </c>
      <c r="AA10704" s="38" t="n">
        <f aca="false">SUM(Sens!$R$10691:$AA$10691)-SUM(Sens!$R$10703:$AA$10703)</f>
        <v>688.117345911993</v>
      </c>
    </row>
    <row r="10705" customFormat="false" ht="17.15" hidden="false" customHeight="false" outlineLevel="0" collapsed="false">
      <c r="A10705" s="1" t="s">
        <v>652</v>
      </c>
    </row>
    <row r="10706" customFormat="false" ht="17.15" hidden="false" customHeight="false" outlineLevel="0" collapsed="false">
      <c r="A10706" s="0" t="s">
        <v>653</v>
      </c>
      <c r="B10706" s="0" t="s">
        <v>86</v>
      </c>
      <c r="C10706" s="38" t="n">
        <f aca="false">Sens!$C$10682-ext_sh*Sens!$C$10684</f>
        <v>1.80694998843362</v>
      </c>
      <c r="D10706" s="38" t="n">
        <f aca="false">Sens!$D$10682-ext_sh*Sens!$D$10684</f>
        <v>6.77606245662607</v>
      </c>
      <c r="E10706" s="38" t="n">
        <f aca="false">Sens!$E$10682-ext_sh*Sens!$E$10684</f>
        <v>6.62548329092326</v>
      </c>
      <c r="F10706" s="38" t="n">
        <f aca="false">Sens!$F$10682-ext_sh*Sens!$F$10684</f>
        <v>11.7200577158706</v>
      </c>
      <c r="G10706" s="38" t="n">
        <f aca="false">Sens!$G$10682-ext_sh*Sens!$G$10684</f>
        <v>18.3455410067939</v>
      </c>
      <c r="H10706" s="38" t="n">
        <f aca="false">Sens!$H$10682-ext_sh*Sens!$H$10684</f>
        <v>47.5171727060453</v>
      </c>
      <c r="I10706" s="38" t="n">
        <f aca="false">Sens!$I$10682-ext_sh*Sens!$I$10684</f>
        <v>80.5539692643667</v>
      </c>
      <c r="J10706" s="38" t="n">
        <f aca="false">Sens!$J$10682-ext_sh*Sens!$J$10684</f>
        <v>113.759316834883</v>
      </c>
      <c r="K10706" s="38" t="n">
        <f aca="false">Sens!$K$10682-ext_sh*Sens!$K$10684</f>
        <v>142.313600225088</v>
      </c>
      <c r="L10706" s="38" t="n">
        <f aca="false">Sens!$L$10682-ext_sh*Sens!$L$10684</f>
        <v>161.610137806934</v>
      </c>
      <c r="M10706" s="38" t="n">
        <f aca="false">Sens!$M$10682-ext_sh*Sens!$M$10684</f>
        <v>171.622526917459</v>
      </c>
      <c r="N10706" s="38" t="n">
        <f aca="false">Sens!$N$10682-ext_sh*Sens!$N$10684</f>
        <v>2.37162185981912</v>
      </c>
      <c r="O10706" s="38" t="n">
        <f aca="false">Sens!$O$10682-ext_sh*Sens!$O$10684</f>
        <v>4.40444059680694</v>
      </c>
    </row>
    <row r="10707" customFormat="false" ht="17.15" hidden="false" customHeight="false" outlineLevel="0" collapsed="false">
      <c r="A10707" s="1" t="s">
        <v>654</v>
      </c>
      <c r="B10707" s="8" t="s">
        <v>86</v>
      </c>
      <c r="C10707" s="38" t="n">
        <f aca="false">Sens!$C$10706-ext_sh*Sens!$C$10703</f>
        <v>1.64417882953695</v>
      </c>
      <c r="D10707" s="38" t="n">
        <f aca="false">Sens!$D$10706-ext_sh*Sens!$D$10703</f>
        <v>5.39125073772939</v>
      </c>
      <c r="E10707" s="38" t="n">
        <f aca="false">Sens!$E$10706-ext_sh*Sens!$E$10703</f>
        <v>2.42691120599613</v>
      </c>
      <c r="F10707" s="38" t="n">
        <f aca="false">Sens!$F$10706-ext_sh*Sens!$F$10703</f>
        <v>7.52148563094346</v>
      </c>
      <c r="G10707" s="38" t="n">
        <f aca="false">Sens!$G$10706-ext_sh*Sens!$G$10703</f>
        <v>9.94839683693959</v>
      </c>
      <c r="H10707" s="38" t="n">
        <f aca="false">Sens!$H$10706-ext_sh*Sens!$H$10703</f>
        <v>23.4804386990861</v>
      </c>
      <c r="I10707" s="38" t="n">
        <f aca="false">Sens!$I$10706-ext_sh*Sens!$I$10703</f>
        <v>30.9761745989143</v>
      </c>
      <c r="J10707" s="38" t="n">
        <f aca="false">Sens!$J$10706-ext_sh*Sens!$J$10703</f>
        <v>41.1930070746977</v>
      </c>
      <c r="K10707" s="38" t="n">
        <f aca="false">Sens!$K$10706-ext_sh*Sens!$K$10703</f>
        <v>46.207109848861</v>
      </c>
      <c r="L10707" s="38" t="n">
        <f aca="false">Sens!$L$10706-ext_sh*Sens!$L$10703</f>
        <v>48.6336850741534</v>
      </c>
      <c r="M10707" s="38" t="n">
        <f aca="false">Sens!$M$10706-ext_sh*Sens!$M$10703</f>
        <v>48.5170504329428</v>
      </c>
      <c r="N10707" s="38" t="n">
        <f aca="false">Sens!$N$10706-ext_sh*Sens!$N$10703</f>
        <v>1.67921600037079</v>
      </c>
      <c r="O10707" s="38" t="n">
        <f aca="false">Sens!$O$10706-ext_sh*Sens!$O$10703</f>
        <v>3.71203473735861</v>
      </c>
    </row>
    <row r="10708" customFormat="false" ht="17.15" hidden="false" customHeight="false" outlineLevel="0" collapsed="false">
      <c r="A10708" s="0" t="s">
        <v>655</v>
      </c>
      <c r="B10708" s="0" t="s">
        <v>52</v>
      </c>
      <c r="C10708" s="13" t="n">
        <f aca="false">Sens!$C$10707/Sens!$C$10682</f>
        <v>0.708390794789371</v>
      </c>
      <c r="D10708" s="13" t="n">
        <f aca="false">Sens!$D$10707/Sens!$D$10682</f>
        <v>0.619415573115729</v>
      </c>
      <c r="E10708" s="13" t="n">
        <f aca="false">Sens!$E$10707/Sens!$E$10682</f>
        <v>0.285171627189009</v>
      </c>
      <c r="F10708" s="13" t="n">
        <f aca="false">Sens!$F$10707/Sens!$F$10682</f>
        <v>0.502657732812366</v>
      </c>
      <c r="G10708" s="13" t="n">
        <f aca="false">Sens!$G$10707/Sens!$G$10682</f>
        <v>0.423808778611812</v>
      </c>
      <c r="H10708" s="13" t="n">
        <f aca="false">Sens!$H$10707/Sens!$H$10682</f>
        <v>0.390261631739809</v>
      </c>
      <c r="I10708" s="13" t="n">
        <f aca="false">Sens!$I$10707/Sens!$I$10682</f>
        <v>0.305172864264572</v>
      </c>
      <c r="J10708" s="13" t="n">
        <f aca="false">Sens!$J$10707/Sens!$J$10682</f>
        <v>0.288011814789856</v>
      </c>
      <c r="K10708" s="13" t="n">
        <f aca="false">Sens!$K$10707/Sens!$K$10682</f>
        <v>0.258524307562373</v>
      </c>
      <c r="L10708" s="13" t="n">
        <f aca="false">Sens!$L$10707/Sens!$L$10682</f>
        <v>0.23973400446073</v>
      </c>
      <c r="M10708" s="13" t="n">
        <f aca="false">Sens!$M$10707/Sens!$M$10682</f>
        <v>0.225252234257832</v>
      </c>
      <c r="N10708" s="13" t="n">
        <f aca="false">Sens!$N$10707/Sens!$N$10682</f>
        <v>0.551227795793364</v>
      </c>
      <c r="O10708" s="13" t="n">
        <f aca="false">Sens!$O$10707/Sens!$O$10682</f>
        <v>0.656132068597002</v>
      </c>
    </row>
    <row r="10709" customFormat="false" ht="17.15" hidden="false" customHeight="false" outlineLevel="0" collapsed="false">
      <c r="A10709" s="5" t="s">
        <v>656</v>
      </c>
      <c r="B10709" s="0" t="s">
        <v>86</v>
      </c>
      <c r="C10709" s="39" t="n">
        <v>0</v>
      </c>
      <c r="D10709" s="39" t="n">
        <v>0</v>
      </c>
      <c r="E10709" s="39" t="n">
        <v>0</v>
      </c>
      <c r="F10709" s="38" t="n">
        <f aca="false">IF(internal_ai_reading=2,1,0)*(1-ext_sh)/ext_sh*(mw_open*he_open+Sens!$F$10680*Sens!$F$10677)*Sens!$F$10666/1000</f>
        <v>3.77122048175818</v>
      </c>
      <c r="G10709" s="38" t="n">
        <f aca="false">Sens!$E$10709+Sens!$F$10709</f>
        <v>3.77122048175818</v>
      </c>
      <c r="H10709" s="38" t="n">
        <f aca="false">IF(internal_ai_reading=2,1,0)*(1-ext_sh)/ext_sh*(mw_open*he_open+Sens!$H$10680*Sens!$H$10677)*Sens!$H$10666/1000</f>
        <v>15.1635543609893</v>
      </c>
      <c r="I10709" s="38" t="n">
        <f aca="false">IF(internal_ai_reading=2,1,0)*(1-ext_sh)/ext_sh*(mw_open*he_open+Sens!$I$10680*Sens!$I$10677)*Sens!$I$10666/1000</f>
        <v>25.5818843619889</v>
      </c>
      <c r="J10709" s="38" t="n">
        <f aca="false">IF(internal_ai_reading=2,1,0)*(1-ext_sh)/ext_sh*(mw_open*he_open+Sens!$J$10680*Sens!$J$10677)*Sens!$J$10666/1000</f>
        <v>36.0465624179122</v>
      </c>
      <c r="K10709" s="38" t="n">
        <f aca="false">IF(internal_ai_reading=2,1,0)*(1-ext_sh)/ext_sh*(mw_open*he_open+Sens!$K$10680*Sens!$K$10677)*Sens!$K$10666/1000</f>
        <v>45.0461919819152</v>
      </c>
      <c r="L10709" s="38" t="n">
        <f aca="false">IF(internal_ai_reading=2,1,0)*(1-ext_sh)/ext_sh*(mw_open*he_open+Sens!$L$10680*Sens!$L$10677)*Sens!$L$10666/1000</f>
        <v>51.1279288493339</v>
      </c>
      <c r="M10709" s="38" t="n">
        <f aca="false">IF(internal_ai_reading=2,1,0)*(1-ext_sh)/ext_sh*(mw_open*he_open+Sens!$M$10680*Sens!$M$10677)*Sens!$M$10666/1000</f>
        <v>54.2845128319481</v>
      </c>
      <c r="N10709" s="39" t="n">
        <v>0</v>
      </c>
      <c r="O10709" s="39" t="n">
        <v>0</v>
      </c>
      <c r="P10709" s="8" t="s">
        <v>657</v>
      </c>
    </row>
    <row r="10710" customFormat="false" ht="17.15" hidden="false" customHeight="false" outlineLevel="0" collapsed="false">
      <c r="A10710" s="5" t="s">
        <v>658</v>
      </c>
      <c r="B10710" s="0" t="s">
        <v>86</v>
      </c>
      <c r="C10710" s="38" t="n">
        <f aca="false">(1-ext_sh)*(Sens!$C$10684+Sens!$C$10703)</f>
        <v>0.169206631859174</v>
      </c>
      <c r="D10710" s="38" t="n">
        <f aca="false">(1-ext_sh)*(Sens!$D$10684+Sens!$D$10703)</f>
        <v>0.828129837730442</v>
      </c>
      <c r="E10710" s="38" t="n">
        <f aca="false">(1-ext_sh)*(Sens!$E$10684+Sens!$E$10703)</f>
        <v>1.52086044239347</v>
      </c>
      <c r="F10710" s="38" t="n">
        <f aca="false">(1-ext_sh)*(Sens!$F$10684+Sens!$F$10703)</f>
        <v>1.86048700344425</v>
      </c>
      <c r="G10710" s="38" t="n">
        <f aca="false">(1-ext_sh)*(Sens!$G$10684+Sens!$G$10703)</f>
        <v>3.38134744583772</v>
      </c>
      <c r="H10710" s="38" t="n">
        <f aca="false">(1-ext_sh)*(Sens!$H$10684+Sens!$H$10703)</f>
        <v>9.17136301267211</v>
      </c>
      <c r="I10710" s="38" t="n">
        <f aca="false">(1-ext_sh)*(Sens!$I$10684+Sens!$I$10703)</f>
        <v>17.6318811343794</v>
      </c>
      <c r="J10710" s="38" t="n">
        <f aca="false">(1-ext_sh)*(Sens!$J$10684+Sens!$J$10703)</f>
        <v>25.4581000191451</v>
      </c>
      <c r="K10710" s="38" t="n">
        <f aca="false">(1-ext_sh)*(Sens!$K$10684+Sens!$K$10703)</f>
        <v>33.1317479328898</v>
      </c>
      <c r="L10710" s="38" t="n">
        <f aca="false">(1-ext_sh)*(Sens!$L$10684+Sens!$L$10703)</f>
        <v>38.557876971622</v>
      </c>
      <c r="M10710" s="38" t="n">
        <f aca="false">(1-ext_sh)*(Sens!$M$10684+Sens!$M$10703)</f>
        <v>41.718205978256</v>
      </c>
      <c r="N10710" s="38" t="n">
        <f aca="false">(1-ext_sh)*(Sens!$N$10684+Sens!$N$10703)</f>
        <v>0.34177588266428</v>
      </c>
      <c r="O10710" s="38" t="n">
        <f aca="false">(1-ext_sh)*(Sens!$O$10684+Sens!$O$10703)</f>
        <v>0.486353955066162</v>
      </c>
    </row>
    <row r="10711" customFormat="false" ht="17.15" hidden="false" customHeight="false" outlineLevel="0" collapsed="false">
      <c r="A10711" s="0" t="s">
        <v>659</v>
      </c>
      <c r="B10711" s="0" t="s">
        <v>86</v>
      </c>
      <c r="C10711" s="38" t="n">
        <f aca="false">Q!$D$24</f>
        <v>39.834</v>
      </c>
      <c r="D10711" s="38" t="n">
        <f aca="false">Q!$E$24</f>
        <v>45.606</v>
      </c>
      <c r="E10711" s="38" t="n">
        <f aca="false">Q!$P$24</f>
        <v>30.782</v>
      </c>
      <c r="N10711" s="38" t="n">
        <f aca="false">Q!$N$24</f>
        <v>21.707</v>
      </c>
      <c r="O10711" s="38" t="n">
        <f aca="false">Q!$O$24</f>
        <v>23.899</v>
      </c>
    </row>
    <row r="10712" customFormat="false" ht="17.15" hidden="false" customHeight="false" outlineLevel="0" collapsed="false">
      <c r="A10712" s="0" t="s">
        <v>660</v>
      </c>
      <c r="B10712" s="0" t="s">
        <v>86</v>
      </c>
      <c r="C10712" s="38" t="n">
        <f aca="false">Sens!$C$10711-Sens!$C$10707</f>
        <v>38.1898211704631</v>
      </c>
      <c r="D10712" s="38" t="n">
        <f aca="false">Sens!$D$10711-Sens!$D$10707</f>
        <v>40.2147492622706</v>
      </c>
      <c r="E10712" s="38" t="n">
        <f aca="false">Sens!$E$10711-Sens!$E$10707</f>
        <v>28.3550887940039</v>
      </c>
      <c r="F10712" s="38" t="n">
        <f aca="false">Sens!$F$10686*Sens!$F$10713</f>
        <v>25.9529793149447</v>
      </c>
      <c r="G10712" s="38" t="n">
        <f aca="false">Sens!$E$10712+Sens!$F$10712</f>
        <v>54.3080681089486</v>
      </c>
      <c r="H10712" s="38" t="n">
        <f aca="false">Sens!$H$10686*Sens!$H$10713</f>
        <v>58.2264684589333</v>
      </c>
      <c r="I10712" s="38" t="n">
        <f aca="false">Sens!$I$10686*Sens!$I$10713</f>
        <v>64.6461353851744</v>
      </c>
      <c r="J10712" s="38" t="n">
        <f aca="false">Sens!$J$10686*Sens!$J$10713</f>
        <v>70.7957093610231</v>
      </c>
      <c r="K10712" s="38" t="n">
        <f aca="false">Sens!$K$10686*Sens!$K$10713</f>
        <v>76.4593661099049</v>
      </c>
      <c r="L10712" s="38" t="n">
        <f aca="false">Sens!$L$10686*Sens!$L$10713</f>
        <v>82.5761153986973</v>
      </c>
      <c r="M10712" s="38" t="n">
        <f aca="false">Sens!$M$10686*Sens!$M$10713</f>
        <v>89.1822046305931</v>
      </c>
      <c r="N10712" s="38" t="n">
        <f aca="false">Sens!$N$10711-Sens!$N$10707</f>
        <v>20.0277839996292</v>
      </c>
      <c r="O10712" s="38" t="n">
        <f aca="false">Sens!$O$10711-Sens!$O$10707</f>
        <v>20.1869652626414</v>
      </c>
      <c r="P10712" s="5" t="s">
        <v>661</v>
      </c>
    </row>
    <row r="10713" customFormat="false" ht="17.15" hidden="false" customHeight="false" outlineLevel="0" collapsed="false">
      <c r="A10713" s="0" t="s">
        <v>662</v>
      </c>
      <c r="B10713" s="0" t="s">
        <v>52</v>
      </c>
      <c r="C10713" s="13" t="n">
        <f aca="false">Sens!$C$10712/Sens!$C$10686</f>
        <v>0.362900395443635</v>
      </c>
      <c r="D10713" s="13" t="n">
        <f aca="false">Sens!$D$10712/Sens!$D$10686</f>
        <v>0.335063632425483</v>
      </c>
      <c r="E10713" s="13" t="n">
        <f aca="false">Sens!$E$10712/Sens!$E$10686</f>
        <v>0.397638855555478</v>
      </c>
      <c r="F10713" s="13" t="n">
        <f aca="false">(Sens!$O$10712+Sens!$E$10712)/(Sens!$O$10686+Sens!$E$10686)</f>
        <v>0.361616727338133</v>
      </c>
      <c r="G10713" s="13" t="n">
        <f aca="false">Sens!$G$10712/Sens!$G$10686</f>
        <v>0.379569803149143</v>
      </c>
      <c r="H10713" s="13" t="n">
        <f aca="false">Sens!$F$10713</f>
        <v>0.361616727338133</v>
      </c>
      <c r="I10713" s="13" t="n">
        <f aca="false">Sens!$F$10713</f>
        <v>0.361616727338133</v>
      </c>
      <c r="J10713" s="13" t="n">
        <f aca="false">Sens!$F$10713</f>
        <v>0.361616727338133</v>
      </c>
      <c r="K10713" s="13" t="n">
        <f aca="false">Sens!$F$10713</f>
        <v>0.361616727338133</v>
      </c>
      <c r="L10713" s="13" t="n">
        <f aca="false">Sens!$F$10713</f>
        <v>0.361616727338133</v>
      </c>
      <c r="M10713" s="13" t="n">
        <f aca="false">Sens!$F$10713</f>
        <v>0.361616727338133</v>
      </c>
      <c r="N10713" s="13" t="n">
        <f aca="false">Sens!$N$10712/Sens!$N$10686</f>
        <v>0.35078810535806</v>
      </c>
      <c r="O10713" s="13" t="n">
        <f aca="false">Sens!$O$10712/Sens!$O$10686</f>
        <v>0.320796939361619</v>
      </c>
      <c r="P10713" s="8" t="s">
        <v>663</v>
      </c>
    </row>
    <row r="10714" customFormat="false" ht="17.15" hidden="false" customHeight="false" outlineLevel="0" collapsed="false">
      <c r="A10714" s="0" t="s">
        <v>664</v>
      </c>
      <c r="B10714" s="0" t="s">
        <v>52</v>
      </c>
      <c r="D10714" s="13" t="n">
        <f aca="false">(Q!$E$31-ext_sh*Sens!$D$10703)/Sens!$D$10686</f>
        <v>0.167180325480118</v>
      </c>
    </row>
    <row r="10715" customFormat="false" ht="17.15" hidden="false" customHeight="false" outlineLevel="0" collapsed="false">
      <c r="A10715" s="0" t="s">
        <v>665</v>
      </c>
      <c r="B10715" s="0" t="s">
        <v>86</v>
      </c>
      <c r="C10715" s="38" t="n">
        <f aca="false">Q!$D$31</f>
        <v>13.32</v>
      </c>
      <c r="D10715" s="38" t="n">
        <f aca="false">Q!$E$31</f>
        <v>21.45</v>
      </c>
      <c r="E10715" s="38" t="n">
        <f aca="false">Q!$P$31</f>
        <v>15.353</v>
      </c>
      <c r="F10715" s="38" t="n">
        <f aca="false">ext_sh*Sens!$F$10703+Sens!$D$10714*Sens!$F$10686</f>
        <v>16.1969869840094</v>
      </c>
      <c r="G10715" s="38" t="n">
        <f aca="false">Sens!$E$10715+Sens!$F$10715</f>
        <v>31.5499869840094</v>
      </c>
      <c r="H10715" s="38" t="n">
        <f aca="false">ext_sh*Sens!$H$10703+Sens!$D$10714*Sens!$H$10686</f>
        <v>50.9556213609176</v>
      </c>
      <c r="I10715" s="38" t="n">
        <f aca="false">ext_sh*Sens!$I$10703+Sens!$D$10714*Sens!$I$10686</f>
        <v>79.464581248252</v>
      </c>
      <c r="J10715" s="38" t="n">
        <f aca="false">ext_sh*Sens!$J$10703+Sens!$D$10714*Sens!$J$10686</f>
        <v>105.296127931746</v>
      </c>
      <c r="K10715" s="38" t="n">
        <f aca="false">ext_sh*Sens!$K$10703+Sens!$D$10714*Sens!$K$10686</f>
        <v>131.454694001511</v>
      </c>
      <c r="L10715" s="38" t="n">
        <f aca="false">ext_sh*Sens!$L$10703+Sens!$D$10714*Sens!$L$10686</f>
        <v>151.152512648088</v>
      </c>
      <c r="M10715" s="38" t="n">
        <f aca="false">ext_sh*Sens!$M$10703+Sens!$D$10714*Sens!$M$10686</f>
        <v>164.335621193048</v>
      </c>
      <c r="N10715" s="38" t="n">
        <f aca="false">Q!$N$31</f>
        <v>9.234</v>
      </c>
      <c r="O10715" s="38" t="n">
        <f aca="false">Q!$O$31</f>
        <v>12.216</v>
      </c>
    </row>
    <row r="10716" customFormat="false" ht="17.15" hidden="false" customHeight="false" outlineLevel="0" collapsed="false">
      <c r="A10716" s="1" t="s">
        <v>666</v>
      </c>
    </row>
    <row r="10717" customFormat="false" ht="17.15" hidden="false" customHeight="false" outlineLevel="0" collapsed="false">
      <c r="A10717" s="15" t="s">
        <v>667</v>
      </c>
      <c r="B10717" s="14" t="s">
        <v>52</v>
      </c>
      <c r="C10717" s="14"/>
      <c r="D10717" s="14"/>
      <c r="E10717" s="14"/>
      <c r="F10717" s="14"/>
      <c r="G10717" s="17" t="n">
        <f aca="false">Sens!$G$10707*(1-tax)/(ext_sh*(Sens!$D$10704+Sens!$G$10704)/2)</f>
        <v>0.0620504069546486</v>
      </c>
      <c r="H10717" s="17" t="n">
        <f aca="false">Sens!$H$10707*(1-tax)/(ext_sh*(Sens!$G$10704+Sens!$H$10704)/2)</f>
        <v>0.0755420551527686</v>
      </c>
      <c r="I10717" s="17" t="n">
        <f aca="false">Sens!$I$10707*(1-tax)/(ext_sh*(Sens!$H$10704+Sens!$I$10704)/2)</f>
        <v>0.067127575356291</v>
      </c>
      <c r="J10717" s="17" t="n">
        <f aca="false">Sens!$J$10707*(1-tax)/(ext_sh*(Sens!$I$10704+Sens!$J$10704)/2)</f>
        <v>0.0700332392906535</v>
      </c>
      <c r="K10717" s="17" t="n">
        <f aca="false">Sens!$K$10707*(1-tax)/(ext_sh*(Sens!$J$10704+Sens!$K$10704)/2)</f>
        <v>0.0695668710800853</v>
      </c>
      <c r="L10717" s="17" t="n">
        <f aca="false">Sens!$L$10707*(1-tax)/(ext_sh*(Sens!$K$10704+Sens!$L$10704)/2)</f>
        <v>0.0714381112936418</v>
      </c>
      <c r="M10717" s="17" t="n">
        <f aca="false">Sens!$M$10707*(1-tax)/(ext_sh*(Sens!$L$10704+Sens!$M$10704)/2)</f>
        <v>0.0721370093325208</v>
      </c>
      <c r="N10717" s="14"/>
      <c r="O10717" s="14"/>
      <c r="P10717" s="8" t="s">
        <v>668</v>
      </c>
    </row>
    <row r="10718" customFormat="false" ht="17.15" hidden="false" customHeight="false" outlineLevel="0" collapsed="false">
      <c r="A10718" s="5" t="s">
        <v>669</v>
      </c>
      <c r="B10718" s="0" t="s">
        <v>57</v>
      </c>
      <c r="H10718" s="36" t="n">
        <f aca="false">Sens!$H$10682*1000/(mw_open*he_open+Sens!$H$10680*Sens!$H$10677)</f>
        <v>0.991949006767191</v>
      </c>
      <c r="I10718" s="36" t="n">
        <f aca="false">Sens!$I$10682*1000/(mw_open*he_open+Sens!$I$10680*Sens!$I$10677)</f>
        <v>0.991949006767191</v>
      </c>
      <c r="J10718" s="36" t="n">
        <f aca="false">Sens!$J$10682*1000/(mw_open*he_open+Sens!$J$10680*Sens!$J$10677)</f>
        <v>0.991949006767191</v>
      </c>
      <c r="K10718" s="36" t="n">
        <f aca="false">Sens!$K$10682*1000/(mw_open*he_open+Sens!$K$10680*Sens!$K$10677)</f>
        <v>0.991949006767191</v>
      </c>
      <c r="L10718" s="36" t="n">
        <f aca="false">Sens!$L$10682*1000/(mw_open*he_open+Sens!$L$10680*Sens!$L$10677)</f>
        <v>0.991949006767191</v>
      </c>
      <c r="M10718" s="36" t="n">
        <f aca="false">Sens!$M$10682*1000/(mw_open*he_open+Sens!$M$10680*Sens!$M$10677)</f>
        <v>0.991949006767191</v>
      </c>
    </row>
    <row r="10719" customFormat="false" ht="17.15" hidden="false" customHeight="false" outlineLevel="0" collapsed="false">
      <c r="A10719" s="5" t="s">
        <v>670</v>
      </c>
      <c r="B10719" s="0" t="s">
        <v>57</v>
      </c>
      <c r="H10719" s="36" t="n">
        <f aca="false">Sens!$H$10718*(Sens!$H$10682+(wacc+0.01)*ext_sh*(Sens!$G$10704+Sens!$H$10704)/2/(1-tax)-Sens!$H$10707)/Sens!$H$10682</f>
        <v>1.23667415484871</v>
      </c>
      <c r="I10719" s="36" t="n">
        <f aca="false">Sens!$I$10718*(Sens!$I$10682+(wacc+0.01)*ext_sh*(Sens!$H$10704+Sens!$I$10704)/2/(1-tax)-Sens!$I$10707)/Sens!$I$10682</f>
        <v>1.24525038002681</v>
      </c>
      <c r="J10719" s="36" t="n">
        <f aca="false">Sens!$J$10718*(Sens!$J$10682+(wacc+0.01)*ext_sh*(Sens!$I$10704+Sens!$J$10704)/2/(1-tax)-Sens!$J$10707)/Sens!$J$10682</f>
        <v>1.2092344889586</v>
      </c>
      <c r="K10719" s="36" t="n">
        <f aca="false">Sens!$K$10718*(Sens!$K$10682+(wacc+0.01)*ext_sh*(Sens!$J$10704+Sens!$K$10704)/2/(1-tax)-Sens!$K$10707)/Sens!$K$10682</f>
        <v>1.19001483759297</v>
      </c>
      <c r="L10719" s="36" t="n">
        <f aca="false">Sens!$L$10718*(Sens!$L$10682+(wacc+0.01)*ext_sh*(Sens!$K$10704+Sens!$L$10704)/2/(1-tax)-Sens!$L$10707)/Sens!$L$10682</f>
        <v>1.16457880755498</v>
      </c>
      <c r="M10719" s="36" t="n">
        <f aca="false">Sens!$M$10718*(Sens!$M$10682+(wacc+0.01)*ext_sh*(Sens!$L$10704+Sens!$M$10704)/2/(1-tax)-Sens!$M$10707)/Sens!$M$10682</f>
        <v>1.15041437590963</v>
      </c>
    </row>
    <row r="10720" customFormat="false" ht="17.15" hidden="false" customHeight="false" outlineLevel="0" collapsed="false">
      <c r="A10720" s="5" t="s">
        <v>671</v>
      </c>
      <c r="B10720" s="0" t="s">
        <v>52</v>
      </c>
      <c r="C10720" s="13" t="n">
        <f aca="false">Sens!$C$10683/tk_pq</f>
        <v>0.195316432429398</v>
      </c>
      <c r="D10720" s="13" t="n">
        <f aca="false">Sens!$D$10683/tk_pq</f>
        <v>0.195316432429398</v>
      </c>
      <c r="E10720" s="13" t="n">
        <f aca="false">Sens!$E$10683/tk_pq</f>
        <v>0.195316432429398</v>
      </c>
      <c r="F10720" s="13" t="n">
        <f aca="false">Sens!$F$10683/tk_pq</f>
        <v>0.202241827274866</v>
      </c>
      <c r="G10720" s="13" t="n">
        <f aca="false">Sens!$G$10683/tk_pq</f>
        <v>0.199675016194063</v>
      </c>
      <c r="H10720" s="13" t="n">
        <f aca="false">Sens!$H$10683/tk_pq</f>
        <v>0.212647947710325</v>
      </c>
      <c r="I10720" s="13" t="n">
        <f aca="false">Sens!$I$10683/tk_pq</f>
        <v>0.219285125475351</v>
      </c>
      <c r="J10720" s="13" t="n">
        <f aca="false">Sens!$J$10683/tk_pq</f>
        <v>0.222492493217189</v>
      </c>
      <c r="K10720" s="13" t="n">
        <f aca="false">Sens!$K$10683/tk_pq</f>
        <v>0.224068966220005</v>
      </c>
      <c r="L10720" s="13" t="n">
        <f aca="false">Sens!$L$10683/tk_pq</f>
        <v>0.224830053471997</v>
      </c>
      <c r="M10720" s="13" t="n">
        <f aca="false">Sens!$M$10683/tk_pq</f>
        <v>0.22513299704272</v>
      </c>
      <c r="N10720" s="13" t="n">
        <f aca="false">Sens!$N$10683/tk_pq</f>
        <v>0.195316432429398</v>
      </c>
      <c r="O10720" s="13" t="n">
        <f aca="false">Sens!$O$10683/tk_pq</f>
        <v>0.195316432429398</v>
      </c>
      <c r="P10720" s="5" t="s">
        <v>672</v>
      </c>
    </row>
    <row r="10723" customFormat="false" ht="17.15" hidden="false" customHeight="false" outlineLevel="0" collapsed="false">
      <c r="A10723" s="1" t="s">
        <v>701</v>
      </c>
    </row>
    <row r="10724" customFormat="false" ht="17.15" hidden="false" customHeight="false" outlineLevel="0" collapsed="false">
      <c r="A10724" s="0" t="s">
        <v>702</v>
      </c>
      <c r="B10724" s="0" t="s">
        <v>86</v>
      </c>
      <c r="C10724" s="38" t="n">
        <f aca="false">Sens!$C$10682</f>
        <v>2.32100535697364</v>
      </c>
      <c r="D10724" s="38" t="n">
        <f aca="false">Sens!$D$10682</f>
        <v>8.70377008865116</v>
      </c>
      <c r="E10724" s="38" t="n">
        <f aca="false">Sens!$E$10682</f>
        <v>8.51035297557002</v>
      </c>
      <c r="F10724" s="38" t="n">
        <f aca="false">Sens!$F$10682</f>
        <v>14.9634336447205</v>
      </c>
      <c r="G10724" s="38" t="n">
        <f aca="false">Sens!$G$10682</f>
        <v>23.4737866202905</v>
      </c>
      <c r="H10724" s="38" t="n">
        <f aca="false">Sens!$H$10682</f>
        <v>60.1658907497746</v>
      </c>
      <c r="I10724" s="38" t="n">
        <f aca="false">Sens!$I$10682</f>
        <v>101.503699136432</v>
      </c>
      <c r="J10724" s="38" t="n">
        <f aca="false">Sens!$J$10682</f>
        <v>143.025407151278</v>
      </c>
      <c r="K10724" s="38" t="n">
        <f aca="false">Sens!$K$10682</f>
        <v>178.73410158042</v>
      </c>
      <c r="L10724" s="38" t="n">
        <f aca="false">Sens!$L$10682</f>
        <v>202.865192960641</v>
      </c>
      <c r="M10724" s="38" t="n">
        <f aca="false">Sens!$M$10682</f>
        <v>215.389874345967</v>
      </c>
      <c r="N10724" s="38" t="n">
        <f aca="false">Sens!$N$10682</f>
        <v>3.04631953102791</v>
      </c>
      <c r="O10724" s="38" t="n">
        <f aca="false">Sens!$O$10682</f>
        <v>5.65745055762326</v>
      </c>
      <c r="P10724" s="8" t="s">
        <v>703</v>
      </c>
    </row>
    <row r="10725" customFormat="false" ht="17.15" hidden="false" customHeight="false" outlineLevel="0" collapsed="false">
      <c r="A10725" s="0" t="s">
        <v>704</v>
      </c>
      <c r="B10725" s="0" t="s">
        <v>86</v>
      </c>
      <c r="C10725" s="38" t="n">
        <f aca="false">Sens!$C$10686</f>
        <v>105.234994643026</v>
      </c>
      <c r="D10725" s="38" t="n">
        <f aca="false">Sens!$D$10686</f>
        <v>120.021229911349</v>
      </c>
      <c r="E10725" s="38" t="n">
        <f aca="false">Sens!$E$10686</f>
        <v>71.30864702443</v>
      </c>
      <c r="F10725" s="38" t="n">
        <f aca="false">Sens!$F$10686</f>
        <v>71.7692997942464</v>
      </c>
      <c r="G10725" s="38" t="n">
        <f aca="false">Sens!$G$10686</f>
        <v>143.077946818676</v>
      </c>
      <c r="H10725" s="38" t="n">
        <f aca="false">Sens!$H$10686</f>
        <v>161.017077079203</v>
      </c>
      <c r="I10725" s="38" t="n">
        <f aca="false">Sens!$I$10686</f>
        <v>178.769759521457</v>
      </c>
      <c r="J10725" s="38" t="n">
        <f aca="false">Sens!$J$10686</f>
        <v>195.775538045907</v>
      </c>
      <c r="K10725" s="38" t="n">
        <f aca="false">Sens!$K$10686</f>
        <v>211.43758108958</v>
      </c>
      <c r="L10725" s="38" t="n">
        <f aca="false">Sens!$L$10686</f>
        <v>228.352587576746</v>
      </c>
      <c r="M10725" s="38" t="n">
        <f aca="false">Sens!$M$10686</f>
        <v>246.620794582886</v>
      </c>
      <c r="N10725" s="38" t="n">
        <f aca="false">Sens!$N$10686</f>
        <v>57.0936804689721</v>
      </c>
      <c r="O10725" s="38" t="n">
        <f aca="false">Sens!$O$10686</f>
        <v>62.9275494423768</v>
      </c>
      <c r="P10725" s="8" t="s">
        <v>703</v>
      </c>
    </row>
    <row r="10726" customFormat="false" ht="17.15" hidden="false" customHeight="false" outlineLevel="0" collapsed="false">
      <c r="A10726" s="1" t="s">
        <v>523</v>
      </c>
      <c r="B10726" s="8" t="s">
        <v>86</v>
      </c>
      <c r="C10726" s="38" t="n">
        <f aca="false">Q!$D$7</f>
        <v>107.556</v>
      </c>
      <c r="D10726" s="38" t="n">
        <f aca="false">Q!$E$7</f>
        <v>128.725</v>
      </c>
      <c r="E10726" s="38" t="n">
        <f aca="false">Q!$P$7</f>
        <v>79.819</v>
      </c>
      <c r="F10726" s="38" t="n">
        <f aca="false">Sens!$F$10724+Sens!$F$10725</f>
        <v>86.7327334389669</v>
      </c>
      <c r="G10726" s="38" t="n">
        <f aca="false">Sens!$G$10724+Sens!$G$10725</f>
        <v>166.551733438967</v>
      </c>
      <c r="H10726" s="38" t="n">
        <f aca="false">Sens!$H$10724+Sens!$H$10725</f>
        <v>221.182967828978</v>
      </c>
      <c r="I10726" s="38" t="n">
        <f aca="false">Sens!$I$10724+Sens!$I$10725</f>
        <v>280.27345865789</v>
      </c>
      <c r="J10726" s="38" t="n">
        <f aca="false">Sens!$J$10724+Sens!$J$10725</f>
        <v>338.800945197185</v>
      </c>
      <c r="K10726" s="38" t="n">
        <f aca="false">Sens!$K$10724+Sens!$K$10725</f>
        <v>390.17168267</v>
      </c>
      <c r="L10726" s="38" t="n">
        <f aca="false">Sens!$L$10724+Sens!$L$10725</f>
        <v>431.217780537388</v>
      </c>
      <c r="M10726" s="38" t="n">
        <f aca="false">Sens!$M$10724+Sens!$M$10725</f>
        <v>462.010668928853</v>
      </c>
      <c r="N10726" s="38" t="n">
        <f aca="false">Q!$N$7</f>
        <v>60.14</v>
      </c>
      <c r="O10726" s="38" t="n">
        <f aca="false">Q!$O$7</f>
        <v>68.585</v>
      </c>
      <c r="P10726" s="5" t="s">
        <v>705</v>
      </c>
    </row>
    <row r="10727" customFormat="false" ht="15" hidden="false" customHeight="false" outlineLevel="0" collapsed="false">
      <c r="A10727" s="3" t="s">
        <v>706</v>
      </c>
      <c r="B10727" s="8" t="s">
        <v>86</v>
      </c>
      <c r="C10727" s="38" t="n">
        <f aca="false">Q!$D$8</f>
        <v>637.959</v>
      </c>
      <c r="D10727" s="38" t="n">
        <f aca="false">Q!$E$8</f>
        <v>716.924</v>
      </c>
      <c r="E10727" s="38" t="n">
        <f aca="false">Q!$P$8</f>
        <v>382.125</v>
      </c>
      <c r="F10727" s="38" t="n">
        <f aca="false">Sens!$F$10654+Sens!$F$10726</f>
        <v>435.780975084504</v>
      </c>
      <c r="G10727" s="38" t="n">
        <f aca="false">Sens!$G$10654+Sens!$G$10726</f>
        <v>817.905975084504</v>
      </c>
      <c r="H10727" s="38" t="n">
        <f aca="false">Sens!$H$10654+Sens!$H$10726</f>
        <v>942.279857350364</v>
      </c>
      <c r="I10727" s="38" t="n">
        <f aca="false">Sens!$I$10654+Sens!$I$10726</f>
        <v>1068.80284981042</v>
      </c>
      <c r="J10727" s="38" t="n">
        <f aca="false">Sens!$J$10654+Sens!$J$10726</f>
        <v>1189.90935093863</v>
      </c>
      <c r="K10727" s="38" t="n">
        <f aca="false">Sens!$K$10654+Sens!$K$10726</f>
        <v>1296.34813810109</v>
      </c>
      <c r="L10727" s="38" t="n">
        <f aca="false">Sens!$L$10654+Sens!$L$10726</f>
        <v>1396.31088701298</v>
      </c>
      <c r="M10727" s="38" t="n">
        <f aca="false">Sens!$M$10654+Sens!$M$10726</f>
        <v>1490.15857687574</v>
      </c>
      <c r="N10727" s="38" t="n">
        <f aca="false">Q!$N$8</f>
        <v>323.369</v>
      </c>
      <c r="O10727" s="38" t="n">
        <f aca="false">Q!$O$8</f>
        <v>393.555</v>
      </c>
    </row>
    <row r="10728" customFormat="false" ht="17.15" hidden="false" customHeight="false" outlineLevel="0" collapsed="false">
      <c r="A10728" s="24" t="s">
        <v>714</v>
      </c>
      <c r="B10728" s="25" t="s">
        <v>86</v>
      </c>
      <c r="C10728" s="41" t="n">
        <f aca="false">Sens!$C$10654-(Sens!$C$10656+Sens!$C$10657)</f>
        <v>0</v>
      </c>
      <c r="D10728" s="41" t="n">
        <f aca="false">Sens!$D$10654-(Sens!$D$10656+Sens!$D$10657)</f>
        <v>0</v>
      </c>
      <c r="E10728" s="41" t="n">
        <f aca="false">Sens!$E$10654-(Sens!$E$10656+Sens!$E$10657)</f>
        <v>0</v>
      </c>
      <c r="F10728" s="41" t="n">
        <f aca="false">Sens!$F$10654-(Sens!$F$10656+Sens!$F$10657)</f>
        <v>0</v>
      </c>
      <c r="G10728" s="41" t="n">
        <f aca="false">Sens!$G$10654-(Sens!$G$10656+Sens!$G$10657)</f>
        <v>0</v>
      </c>
      <c r="H10728" s="41" t="n">
        <f aca="false">Sens!$H$10654-(Sens!$H$10656+Sens!$H$10657)</f>
        <v>0</v>
      </c>
      <c r="I10728" s="41" t="n">
        <f aca="false">Sens!$I$10654-(Sens!$I$10656+Sens!$I$10657)</f>
        <v>0</v>
      </c>
      <c r="J10728" s="41" t="n">
        <f aca="false">Sens!$J$10654-(Sens!$J$10656+Sens!$J$10657)</f>
        <v>0</v>
      </c>
      <c r="K10728" s="41" t="n">
        <f aca="false">Sens!$K$10654-(Sens!$K$10656+Sens!$K$10657)</f>
        <v>0</v>
      </c>
      <c r="L10728" s="41" t="n">
        <f aca="false">Sens!$L$10654-(Sens!$L$10656+Sens!$L$10657)</f>
        <v>0</v>
      </c>
      <c r="M10728" s="41" t="n">
        <f aca="false">Sens!$M$10654-(Sens!$M$10656+Sens!$M$10657)</f>
        <v>0</v>
      </c>
      <c r="N10728" s="41" t="n">
        <f aca="false">Sens!$N$10654-(Sens!$N$10656+Sens!$N$10657)</f>
        <v>0</v>
      </c>
      <c r="O10728" s="41" t="n">
        <f aca="false">Sens!$O$10654-(Sens!$O$10656+Sens!$O$10657)</f>
        <v>0</v>
      </c>
    </row>
    <row r="10729" customFormat="false" ht="17.15" hidden="false" customHeight="false" outlineLevel="0" collapsed="false">
      <c r="A10729" s="24" t="s">
        <v>715</v>
      </c>
      <c r="B10729" s="25" t="s">
        <v>86</v>
      </c>
      <c r="C10729" s="41" t="n">
        <f aca="false">Sens!$C$10724+Sens!$C$10725-Sens!$C$10726</f>
        <v>0</v>
      </c>
      <c r="D10729" s="41" t="n">
        <f aca="false">Sens!$D$10724+Sens!$D$10725-Sens!$D$10726</f>
        <v>0</v>
      </c>
      <c r="E10729" s="41" t="n">
        <f aca="false">Sens!$E$10724+Sens!$E$10725-Sens!$E$10726</f>
        <v>0</v>
      </c>
      <c r="F10729" s="41" t="n">
        <f aca="false">Sens!$F$10724+Sens!$F$10725-Sens!$F$10726</f>
        <v>0</v>
      </c>
      <c r="G10729" s="41" t="n">
        <f aca="false">Sens!$G$10724+Sens!$G$10725-Sens!$G$10726</f>
        <v>0</v>
      </c>
      <c r="H10729" s="41" t="n">
        <f aca="false">Sens!$H$10724+Sens!$H$10725-Sens!$H$10726</f>
        <v>0</v>
      </c>
      <c r="I10729" s="41" t="n">
        <f aca="false">Sens!$I$10724+Sens!$I$10725-Sens!$I$10726</f>
        <v>0</v>
      </c>
      <c r="J10729" s="41" t="n">
        <f aca="false">Sens!$J$10724+Sens!$J$10725-Sens!$J$10726</f>
        <v>0</v>
      </c>
      <c r="K10729" s="41" t="n">
        <f aca="false">Sens!$K$10724+Sens!$K$10725-Sens!$K$10726</f>
        <v>0</v>
      </c>
      <c r="L10729" s="41" t="n">
        <f aca="false">Sens!$L$10724+Sens!$L$10725-Sens!$L$10726</f>
        <v>0</v>
      </c>
      <c r="M10729" s="41" t="n">
        <f aca="false">Sens!$M$10724+Sens!$M$10725-Sens!$M$10726</f>
        <v>0</v>
      </c>
      <c r="N10729" s="41" t="n">
        <f aca="false">Sens!$N$10724+Sens!$N$10725-Sens!$N$10726</f>
        <v>0</v>
      </c>
      <c r="O10729" s="41" t="n">
        <f aca="false">Sens!$O$10724+Sens!$O$10725-Sens!$O$10726</f>
        <v>0</v>
      </c>
    </row>
    <row r="10730" customFormat="false" ht="17.15" hidden="false" customHeight="false" outlineLevel="0" collapsed="false">
      <c r="A10730" s="24" t="s">
        <v>716</v>
      </c>
      <c r="B10730" s="25" t="s">
        <v>86</v>
      </c>
      <c r="C10730" s="41" t="n">
        <f aca="false">Sens!$C$10656+Sens!$C$10657+Sens!$C$10726-Sens!$C$10727</f>
        <v>0</v>
      </c>
      <c r="D10730" s="41" t="n">
        <f aca="false">Sens!$D$10656+Sens!$D$10657+Sens!$D$10726-Sens!$D$10727</f>
        <v>0</v>
      </c>
      <c r="E10730" s="41" t="n">
        <f aca="false">Sens!$E$10656+Sens!$E$10657+Sens!$E$10726-Sens!$E$10727</f>
        <v>0</v>
      </c>
      <c r="F10730" s="41" t="n">
        <f aca="false">Sens!$F$10656+Sens!$F$10657+Sens!$F$10726-Sens!$F$10727</f>
        <v>0</v>
      </c>
      <c r="G10730" s="41" t="n">
        <f aca="false">Sens!$G$10656+Sens!$G$10657+Sens!$G$10726-Sens!$G$10727</f>
        <v>0</v>
      </c>
      <c r="H10730" s="41" t="n">
        <f aca="false">Sens!$H$10656+Sens!$H$10657+Sens!$H$10726-Sens!$H$10727</f>
        <v>0</v>
      </c>
      <c r="I10730" s="41" t="n">
        <f aca="false">Sens!$I$10656+Sens!$I$10657+Sens!$I$10726-Sens!$I$10727</f>
        <v>0</v>
      </c>
      <c r="J10730" s="41" t="n">
        <f aca="false">Sens!$J$10656+Sens!$J$10657+Sens!$J$10726-Sens!$J$10727</f>
        <v>0</v>
      </c>
      <c r="K10730" s="41" t="n">
        <f aca="false">Sens!$K$10656+Sens!$K$10657+Sens!$K$10726-Sens!$K$10727</f>
        <v>0</v>
      </c>
      <c r="L10730" s="41" t="n">
        <f aca="false">Sens!$L$10656+Sens!$L$10657+Sens!$L$10726-Sens!$L$10727</f>
        <v>0</v>
      </c>
      <c r="M10730" s="41" t="n">
        <f aca="false">Sens!$M$10656+Sens!$M$10657+Sens!$M$10726-Sens!$M$10727</f>
        <v>0</v>
      </c>
      <c r="N10730" s="41" t="n">
        <f aca="false">Sens!$N$10656+Sens!$N$10657+Sens!$N$10726-Sens!$N$10727</f>
        <v>0</v>
      </c>
      <c r="O10730" s="41" t="n">
        <f aca="false">Sens!$O$10656+Sens!$O$10657+Sens!$O$10726-Sens!$O$10727</f>
        <v>0</v>
      </c>
    </row>
    <row r="10731" customFormat="false" ht="15" hidden="false" customHeight="false" outlineLevel="0" collapsed="false">
      <c r="A10731" s="5" t="s">
        <v>710</v>
      </c>
      <c r="B10731" s="0" t="s">
        <v>52</v>
      </c>
      <c r="G10731" s="13" t="n">
        <f aca="false">Sens!$G$10727/Sens!$D$10727-1</f>
        <v>0.140854504918937</v>
      </c>
      <c r="H10731" s="13" t="n">
        <f aca="false">Sens!$H$10727/Sens!$G$10727-1</f>
        <v>0.152063789793209</v>
      </c>
      <c r="I10731" s="13" t="n">
        <f aca="false">Sens!$I$10727/Sens!$H$10727-1</f>
        <v>0.134273264437417</v>
      </c>
      <c r="J10731" s="13" t="n">
        <f aca="false">Sens!$J$10727/Sens!$I$10727-1</f>
        <v>0.113310421234083</v>
      </c>
      <c r="K10731" s="13" t="n">
        <f aca="false">Sens!$K$10727/Sens!$J$10727-1</f>
        <v>0.0894511729641407</v>
      </c>
      <c r="L10731" s="13" t="n">
        <f aca="false">Sens!$L$10727/Sens!$K$10727-1</f>
        <v>0.077111036745358</v>
      </c>
      <c r="M10731" s="13" t="n">
        <f aca="false">Sens!$M$10727/Sens!$L$10727-1</f>
        <v>0.067211171047677</v>
      </c>
    </row>
    <row r="10732" customFormat="false" ht="17.15" hidden="false" customHeight="false" outlineLevel="0" collapsed="false">
      <c r="A10732" s="0" t="s">
        <v>711</v>
      </c>
      <c r="B10732" s="0" t="s">
        <v>52</v>
      </c>
      <c r="C10732" s="13" t="n">
        <f aca="false">Sens!$C$10726/Sens!$C$10727</f>
        <v>0.168593906504964</v>
      </c>
      <c r="D10732" s="13" t="n">
        <f aca="false">Sens!$D$10726/Sens!$D$10727</f>
        <v>0.179551807444025</v>
      </c>
      <c r="E10732" s="13" t="n">
        <f aca="false">Sens!$E$10726/Sens!$E$10727</f>
        <v>0.208881910369643</v>
      </c>
      <c r="F10732" s="13" t="n">
        <f aca="false">Sens!$F$10726/Sens!$F$10727</f>
        <v>0.199028269699356</v>
      </c>
      <c r="G10732" s="13" t="n">
        <f aca="false">Sens!$G$10726/Sens!$G$10727</f>
        <v>0.203631882529968</v>
      </c>
      <c r="H10732" s="13" t="n">
        <f aca="false">Sens!$H$10726/Sens!$H$10727</f>
        <v>0.234731715958496</v>
      </c>
      <c r="I10732" s="13" t="n">
        <f aca="false">Sens!$I$10726/Sens!$I$10727</f>
        <v>0.262231204480418</v>
      </c>
      <c r="J10732" s="13" t="n">
        <f aca="false">Sens!$J$10726/Sens!$J$10727</f>
        <v>0.284728366013706</v>
      </c>
      <c r="K10732" s="13" t="n">
        <f aca="false">Sens!$K$10726/Sens!$K$10727</f>
        <v>0.300977547004873</v>
      </c>
      <c r="L10732" s="13" t="n">
        <f aca="false">Sens!$L$10726/Sens!$L$10727</f>
        <v>0.308826483090639</v>
      </c>
      <c r="M10732" s="13" t="n">
        <f aca="false">Sens!$M$10726/Sens!$M$10727</f>
        <v>0.310041277551482</v>
      </c>
      <c r="N10732" s="13" t="n">
        <f aca="false">Sens!$N$10726/Sens!$N$10727</f>
        <v>0.185979484737251</v>
      </c>
      <c r="O10732" s="13" t="n">
        <f aca="false">Sens!$O$10726/Sens!$O$10727</f>
        <v>0.174270432341096</v>
      </c>
    </row>
    <row r="10733" customFormat="false" ht="17.15" hidden="false" customHeight="false" outlineLevel="0" collapsed="false">
      <c r="A10733" s="0" t="s">
        <v>712</v>
      </c>
      <c r="B10733" s="0" t="s">
        <v>52</v>
      </c>
      <c r="C10733" s="13" t="n">
        <f aca="false">Sens!$C$10724/Sens!$C$10726</f>
        <v>0.0215795060896058</v>
      </c>
      <c r="D10733" s="13" t="n">
        <f aca="false">Sens!$D$10724/Sens!$D$10726</f>
        <v>0.0676152269462122</v>
      </c>
      <c r="E10733" s="13" t="n">
        <f aca="false">Sens!$E$10724/Sens!$E$10726</f>
        <v>0.106620641395783</v>
      </c>
      <c r="F10733" s="13" t="n">
        <f aca="false">Sens!$F$10724/Sens!$F$10726</f>
        <v>0.172523487401099</v>
      </c>
      <c r="G10733" s="13" t="n">
        <f aca="false">Sens!$G$10724/Sens!$G$10726</f>
        <v>0.140939911795589</v>
      </c>
      <c r="H10733" s="13" t="n">
        <f aca="false">Sens!$H$10724/Sens!$H$10726</f>
        <v>0.272018642937714</v>
      </c>
      <c r="I10733" s="13" t="n">
        <f aca="false">Sens!$I$10724/Sens!$I$10726</f>
        <v>0.362159512436497</v>
      </c>
      <c r="J10733" s="13" t="n">
        <f aca="false">Sens!$J$10724/Sens!$J$10726</f>
        <v>0.422151735934609</v>
      </c>
      <c r="K10733" s="13" t="n">
        <f aca="false">Sens!$K$10724/Sens!$K$10726</f>
        <v>0.458090911050534</v>
      </c>
      <c r="L10733" s="13" t="n">
        <f aca="false">Sens!$L$10724/Sens!$L$10726</f>
        <v>0.470447189602963</v>
      </c>
      <c r="M10733" s="13" t="n">
        <f aca="false">Sens!$M$10724/Sens!$M$10726</f>
        <v>0.466201083289563</v>
      </c>
      <c r="N10733" s="13" t="n">
        <f aca="false">Sens!$N$10724/Sens!$N$10726</f>
        <v>0.0506537999838362</v>
      </c>
      <c r="O10733" s="13" t="n">
        <f aca="false">Sens!$O$10724/Sens!$O$10726</f>
        <v>0.0824881615167056</v>
      </c>
    </row>
    <row r="10736" customFormat="false" ht="19.4" hidden="false" customHeight="false" outlineLevel="0" collapsed="false">
      <c r="A10736" s="31" t="s">
        <v>1369</v>
      </c>
    </row>
    <row r="10737" customFormat="false" ht="17.15" hidden="false" customHeight="false" outlineLevel="0" collapsed="false">
      <c r="A10737" s="6" t="s">
        <v>16</v>
      </c>
      <c r="B10737" s="6" t="s">
        <v>17</v>
      </c>
      <c r="C10737" s="20" t="s">
        <v>504</v>
      </c>
      <c r="D10737" s="20" t="s">
        <v>505</v>
      </c>
      <c r="E10737" s="20" t="s">
        <v>587</v>
      </c>
      <c r="F10737" s="20" t="s">
        <v>588</v>
      </c>
      <c r="G10737" s="20" t="s">
        <v>589</v>
      </c>
      <c r="H10737" s="20" t="s">
        <v>590</v>
      </c>
      <c r="I10737" s="20" t="s">
        <v>591</v>
      </c>
      <c r="J10737" s="20" t="s">
        <v>592</v>
      </c>
      <c r="K10737" s="20" t="s">
        <v>593</v>
      </c>
      <c r="L10737" s="20" t="s">
        <v>594</v>
      </c>
      <c r="M10737" s="20" t="s">
        <v>595</v>
      </c>
      <c r="N10737" s="20" t="s">
        <v>596</v>
      </c>
      <c r="O10737" s="20" t="s">
        <v>597</v>
      </c>
      <c r="P10737" s="6" t="s">
        <v>23</v>
      </c>
      <c r="R10737" s="20" t="n">
        <v>2023</v>
      </c>
      <c r="S10737" s="20" t="n">
        <v>2024</v>
      </c>
      <c r="T10737" s="20" t="n">
        <v>2025</v>
      </c>
      <c r="U10737" s="20" t="n">
        <v>2026</v>
      </c>
      <c r="V10737" s="20" t="n">
        <v>2027</v>
      </c>
      <c r="W10737" s="20" t="n">
        <v>2028</v>
      </c>
      <c r="X10737" s="20" t="n">
        <v>2029</v>
      </c>
      <c r="Y10737" s="20" t="n">
        <v>2030</v>
      </c>
      <c r="Z10737" s="20" t="n">
        <v>2031</v>
      </c>
      <c r="AA10737" s="20" t="n">
        <v>2032</v>
      </c>
    </row>
    <row r="10738" customFormat="false" ht="17.15" hidden="false" customHeight="false" outlineLevel="0" collapsed="false">
      <c r="A10738" s="1" t="s">
        <v>727</v>
      </c>
    </row>
    <row r="10739" customFormat="false" ht="15" hidden="false" customHeight="false" outlineLevel="0" collapsed="false">
      <c r="A10739" s="0" t="s">
        <v>526</v>
      </c>
      <c r="B10739" s="0" t="s">
        <v>86</v>
      </c>
      <c r="C10739" s="38" t="n">
        <f aca="false">Sens!$C$10641</f>
        <v>247.029</v>
      </c>
      <c r="D10739" s="38" t="n">
        <f aca="false">Sens!$D$10641</f>
        <v>269.287</v>
      </c>
      <c r="E10739" s="38" t="n">
        <f aca="false">Sens!$E$10641</f>
        <v>134.686</v>
      </c>
      <c r="F10739" s="38" t="n">
        <f aca="false">Sens!$F$10641</f>
        <v>158.293876822267</v>
      </c>
      <c r="G10739" s="38" t="n">
        <f aca="false">Sens!$G$10641</f>
        <v>292.979876822267</v>
      </c>
      <c r="H10739" s="38" t="n">
        <f aca="false">Sens!$H$10641</f>
        <v>318.184543087396</v>
      </c>
      <c r="I10739" s="38" t="n">
        <f aca="false">Sens!$I$10641</f>
        <v>341.736278761793</v>
      </c>
      <c r="J10739" s="38" t="n">
        <f aca="false">Sens!$J$10641</f>
        <v>362.927192787048</v>
      </c>
      <c r="K10739" s="38" t="n">
        <f aca="false">Sens!$K$10641</f>
        <v>381.0735524264</v>
      </c>
      <c r="L10739" s="38" t="n">
        <f aca="false">Sens!$L$10641</f>
        <v>400.12723004772</v>
      </c>
      <c r="M10739" s="38" t="n">
        <f aca="false">Sens!$M$10641</f>
        <v>420.133591550106</v>
      </c>
      <c r="N10739" s="38" t="n">
        <f aca="false">Sens!$N$10641</f>
        <v>118.892</v>
      </c>
      <c r="O10739" s="38" t="n">
        <f aca="false">Sens!$O$10641</f>
        <v>150.395</v>
      </c>
    </row>
    <row r="10740" customFormat="false" ht="15" hidden="false" customHeight="false" outlineLevel="0" collapsed="false">
      <c r="A10740" s="0" t="s">
        <v>527</v>
      </c>
      <c r="B10740" s="0" t="s">
        <v>86</v>
      </c>
      <c r="C10740" s="38" t="n">
        <f aca="false">Sens!$C$10643</f>
        <v>21.215</v>
      </c>
      <c r="D10740" s="38" t="n">
        <f aca="false">Sens!$D$10643</f>
        <v>22.561</v>
      </c>
      <c r="E10740" s="38" t="n">
        <f aca="false">Sens!$E$10643</f>
        <v>11.579</v>
      </c>
      <c r="F10740" s="38" t="n">
        <f aca="false">Sens!$F$10643</f>
        <v>11.5938724610325</v>
      </c>
      <c r="G10740" s="38" t="n">
        <f aca="false">Sens!$G$10643</f>
        <v>23.1728724610325</v>
      </c>
      <c r="H10740" s="38" t="n">
        <f aca="false">Sens!$H$10643</f>
        <v>24.353392759506</v>
      </c>
      <c r="I10740" s="38" t="n">
        <f aca="false">Sens!$I$10643</f>
        <v>25.4240338872015</v>
      </c>
      <c r="J10740" s="38" t="n">
        <f aca="false">Sens!$J$10643</f>
        <v>26.3642491017174</v>
      </c>
      <c r="K10740" s="38" t="n">
        <f aca="false">Sens!$K$10643</f>
        <v>27.155176574769</v>
      </c>
      <c r="L10740" s="38" t="n">
        <f aca="false">Sens!$L$10643</f>
        <v>27.969831872012</v>
      </c>
      <c r="M10740" s="38" t="n">
        <f aca="false">Sens!$M$10643</f>
        <v>28.8089268281724</v>
      </c>
      <c r="N10740" s="38" t="n">
        <f aca="false">Sens!$N$10643</f>
        <v>11.128</v>
      </c>
      <c r="O10740" s="38" t="n">
        <f aca="false">Sens!$O$10643</f>
        <v>11.433</v>
      </c>
    </row>
    <row r="10741" customFormat="false" ht="15" hidden="false" customHeight="false" outlineLevel="0" collapsed="false">
      <c r="A10741" s="0" t="s">
        <v>528</v>
      </c>
      <c r="B10741" s="0" t="s">
        <v>86</v>
      </c>
      <c r="C10741" s="38" t="n">
        <f aca="false">Sens!$C$10645</f>
        <v>156.146</v>
      </c>
      <c r="D10741" s="38" t="n">
        <f aca="false">Sens!$D$10645</f>
        <v>172.162</v>
      </c>
      <c r="E10741" s="38" t="n">
        <f aca="false">Sens!$E$10645</f>
        <v>88.358</v>
      </c>
      <c r="F10741" s="38" t="n">
        <f aca="false">Sens!$F$10645</f>
        <v>102.004388260171</v>
      </c>
      <c r="G10741" s="38" t="n">
        <f aca="false">Sens!$G$10645</f>
        <v>190.362388260171</v>
      </c>
      <c r="H10741" s="38" t="n">
        <f aca="false">Sens!$H$10645</f>
        <v>210.343106588311</v>
      </c>
      <c r="I10741" s="38" t="n">
        <f aca="false">Sens!$I$10645</f>
        <v>229.969728494648</v>
      </c>
      <c r="J10741" s="38" t="n">
        <f aca="false">Sens!$J$10645</f>
        <v>248.747636972598</v>
      </c>
      <c r="K10741" s="38" t="n">
        <f aca="false">Sens!$K$10645</f>
        <v>266.15997156068</v>
      </c>
      <c r="L10741" s="38" t="n">
        <f aca="false">Sens!$L$10645</f>
        <v>284.791169569927</v>
      </c>
      <c r="M10741" s="38" t="n">
        <f aca="false">Sens!$M$10645</f>
        <v>304.726551439822</v>
      </c>
      <c r="N10741" s="38" t="n">
        <f aca="false">Sens!$N$10645</f>
        <v>76.86</v>
      </c>
      <c r="O10741" s="38" t="n">
        <f aca="false">Sens!$O$10645</f>
        <v>95.302</v>
      </c>
    </row>
    <row r="10742" customFormat="false" ht="15" hidden="false" customHeight="false" outlineLevel="0" collapsed="false">
      <c r="A10742" s="0" t="s">
        <v>529</v>
      </c>
      <c r="B10742" s="0" t="s">
        <v>86</v>
      </c>
      <c r="C10742" s="38" t="n">
        <f aca="false">Sens!$C$10647</f>
        <v>56.214</v>
      </c>
      <c r="D10742" s="38" t="n">
        <f aca="false">Sens!$D$10647</f>
        <v>68.635</v>
      </c>
      <c r="E10742" s="38" t="n">
        <f aca="false">Sens!$E$10647</f>
        <v>37.052</v>
      </c>
      <c r="F10742" s="38" t="n">
        <f aca="false">Sens!$F$10647</f>
        <v>46.1572219944148</v>
      </c>
      <c r="G10742" s="38" t="n">
        <f aca="false">Sens!$G$10647</f>
        <v>83.2092219944148</v>
      </c>
      <c r="H10742" s="38" t="n">
        <f aca="false">Sens!$H$10647</f>
        <v>99.8969223878976</v>
      </c>
      <c r="I10742" s="38" t="n">
        <f aca="false">Sens!$I$10647</f>
        <v>116.583111095496</v>
      </c>
      <c r="J10742" s="38" t="n">
        <f aca="false">Sens!$J$10647</f>
        <v>132.148941941952</v>
      </c>
      <c r="K10742" s="38" t="n">
        <f aca="false">Sens!$K$10647</f>
        <v>145.363836136147</v>
      </c>
      <c r="L10742" s="38" t="n">
        <f aca="false">Sens!$L$10647</f>
        <v>159.900219749762</v>
      </c>
      <c r="M10742" s="38" t="n">
        <f aca="false">Sens!$M$10647</f>
        <v>175.890241724738</v>
      </c>
      <c r="N10742" s="38" t="n">
        <f aca="false">Sens!$N$10647</f>
        <v>29.615</v>
      </c>
      <c r="O10742" s="38" t="n">
        <f aca="false">Sens!$O$10647</f>
        <v>39.02</v>
      </c>
    </row>
    <row r="10743" customFormat="false" ht="15" hidden="false" customHeight="false" outlineLevel="0" collapsed="false">
      <c r="A10743" s="0" t="s">
        <v>530</v>
      </c>
      <c r="B10743" s="0" t="s">
        <v>86</v>
      </c>
      <c r="C10743" s="38" t="n">
        <f aca="false">Sens!$C$10649</f>
        <v>44.374</v>
      </c>
      <c r="D10743" s="38" t="n">
        <f aca="false">Sens!$D$10649</f>
        <v>49.619</v>
      </c>
      <c r="E10743" s="38" t="n">
        <f aca="false">Sens!$E$10649</f>
        <v>27.157</v>
      </c>
      <c r="F10743" s="38" t="n">
        <f aca="false">Sens!$F$10649</f>
        <v>27.7764165988154</v>
      </c>
      <c r="G10743" s="38" t="n">
        <f aca="false">Sens!$G$10649</f>
        <v>54.9334165988154</v>
      </c>
      <c r="H10743" s="38" t="n">
        <f aca="false">Sens!$H$10649</f>
        <v>61.1564112561829</v>
      </c>
      <c r="I10743" s="38" t="n">
        <f aca="false">Sens!$I$10649</f>
        <v>67.2020282103945</v>
      </c>
      <c r="J10743" s="38" t="n">
        <f aca="false">Sens!$J$10649</f>
        <v>72.8757274028885</v>
      </c>
      <c r="K10743" s="38" t="n">
        <f aca="false">Sens!$K$10649</f>
        <v>77.9770283210907</v>
      </c>
      <c r="L10743" s="38" t="n">
        <f aca="false">Sens!$L$10649</f>
        <v>83.4354203035671</v>
      </c>
      <c r="M10743" s="38" t="n">
        <f aca="false">Sens!$M$10649</f>
        <v>89.2758997248168</v>
      </c>
      <c r="N10743" s="38" t="n">
        <f aca="false">Sens!$N$10649</f>
        <v>23.923</v>
      </c>
      <c r="O10743" s="38" t="n">
        <f aca="false">Sens!$O$10649</f>
        <v>25.696</v>
      </c>
    </row>
    <row r="10744" customFormat="false" ht="15" hidden="false" customHeight="false" outlineLevel="0" collapsed="false">
      <c r="A10744" s="0" t="s">
        <v>531</v>
      </c>
      <c r="B10744" s="0" t="s">
        <v>86</v>
      </c>
      <c r="C10744" s="38" t="n">
        <f aca="false">Sens!$C$10651</f>
        <v>5.425</v>
      </c>
      <c r="D10744" s="38" t="n">
        <f aca="false">Sens!$D$10651</f>
        <v>5.935</v>
      </c>
      <c r="E10744" s="38" t="n">
        <f aca="false">Sens!$E$10651</f>
        <v>3.474</v>
      </c>
      <c r="F10744" s="38" t="n">
        <f aca="false">Sens!$F$10651</f>
        <v>3.22246550883619</v>
      </c>
      <c r="G10744" s="38" t="n">
        <f aca="false">Sens!$G$10651</f>
        <v>6.69646550883619</v>
      </c>
      <c r="H10744" s="38" t="n">
        <f aca="false">Sens!$H$10651</f>
        <v>7.16251344209196</v>
      </c>
      <c r="I10744" s="38" t="n">
        <f aca="false">Sens!$I$10651</f>
        <v>7.61421070299826</v>
      </c>
      <c r="J10744" s="38" t="n">
        <f aca="false">Sens!$J$10651</f>
        <v>8.04465753523932</v>
      </c>
      <c r="K10744" s="38" t="n">
        <f aca="false">Sens!$K$10651</f>
        <v>8.44689041200128</v>
      </c>
      <c r="L10744" s="38" t="n">
        <f aca="false">Sens!$L$10651</f>
        <v>8.86923493260135</v>
      </c>
      <c r="M10744" s="38" t="n">
        <f aca="false">Sens!$M$10651</f>
        <v>9.31269667923142</v>
      </c>
      <c r="N10744" s="38" t="n">
        <f aca="false">Sens!$N$10651</f>
        <v>2.811</v>
      </c>
      <c r="O10744" s="38" t="n">
        <f aca="false">Sens!$O$10651</f>
        <v>3.124</v>
      </c>
    </row>
    <row r="10745" customFormat="false" ht="17.15" hidden="false" customHeight="false" outlineLevel="0" collapsed="false">
      <c r="A10745" s="0" t="s">
        <v>728</v>
      </c>
      <c r="B10745" s="0" t="s">
        <v>86</v>
      </c>
      <c r="C10745" s="38" t="n">
        <f aca="false">Sens!$C$10726</f>
        <v>107.556</v>
      </c>
      <c r="D10745" s="38" t="n">
        <f aca="false">Sens!$D$10726</f>
        <v>128.725</v>
      </c>
      <c r="E10745" s="38" t="n">
        <f aca="false">Sens!$E$10726</f>
        <v>79.819</v>
      </c>
      <c r="F10745" s="38" t="n">
        <f aca="false">Sens!$F$10726</f>
        <v>86.7327334389669</v>
      </c>
      <c r="G10745" s="38" t="n">
        <f aca="false">Sens!$G$10726</f>
        <v>166.551733438967</v>
      </c>
      <c r="H10745" s="38" t="n">
        <f aca="false">Sens!$H$10726</f>
        <v>221.182967828978</v>
      </c>
      <c r="I10745" s="38" t="n">
        <f aca="false">Sens!$I$10726</f>
        <v>280.27345865789</v>
      </c>
      <c r="J10745" s="38" t="n">
        <f aca="false">Sens!$J$10726</f>
        <v>338.800945197185</v>
      </c>
      <c r="K10745" s="38" t="n">
        <f aca="false">Sens!$K$10726</f>
        <v>390.17168267</v>
      </c>
      <c r="L10745" s="38" t="n">
        <f aca="false">Sens!$L$10726</f>
        <v>431.217780537388</v>
      </c>
      <c r="M10745" s="38" t="n">
        <f aca="false">Sens!$M$10726</f>
        <v>462.010668928853</v>
      </c>
      <c r="N10745" s="38" t="n">
        <f aca="false">Sens!$N$10726</f>
        <v>60.14</v>
      </c>
      <c r="O10745" s="38" t="n">
        <f aca="false">Sens!$O$10726</f>
        <v>68.585</v>
      </c>
    </row>
    <row r="10746" customFormat="false" ht="15" hidden="false" customHeight="false" outlineLevel="0" collapsed="false">
      <c r="A10746" s="1" t="s">
        <v>519</v>
      </c>
      <c r="B10746" s="8" t="s">
        <v>86</v>
      </c>
      <c r="C10746" s="38" t="n">
        <f aca="false">Sens!$C$10656</f>
        <v>387.497</v>
      </c>
      <c r="D10746" s="38" t="n">
        <f aca="false">Sens!$D$10656</f>
        <v>426.305</v>
      </c>
      <c r="E10746" s="38" t="n">
        <f aca="false">Sens!$E$10656</f>
        <v>220.32</v>
      </c>
      <c r="F10746" s="38" t="n">
        <f aca="false">Sens!$F$10656</f>
        <v>250.639773480586</v>
      </c>
      <c r="G10746" s="38" t="n">
        <f aca="false">Sens!$G$10656</f>
        <v>470.959773480586</v>
      </c>
      <c r="H10746" s="38" t="n">
        <f aca="false">Sens!$H$10656</f>
        <v>521.386990416437</v>
      </c>
      <c r="I10746" s="38" t="n">
        <f aca="false">Sens!$I$10656</f>
        <v>570.143862887555</v>
      </c>
      <c r="J10746" s="38" t="n">
        <f aca="false">Sens!$J$10656</f>
        <v>615.391435791933</v>
      </c>
      <c r="K10746" s="38" t="n">
        <f aca="false">Sens!$K$10656</f>
        <v>655.208227561543</v>
      </c>
      <c r="L10746" s="38" t="n">
        <f aca="false">Sens!$L$10656</f>
        <v>697.807739249767</v>
      </c>
      <c r="M10746" s="38" t="n">
        <f aca="false">Sens!$M$10656</f>
        <v>743.399328463592</v>
      </c>
      <c r="N10746" s="38" t="n">
        <f aca="false">Sens!$N$10656</f>
        <v>192.955</v>
      </c>
      <c r="O10746" s="38" t="n">
        <f aca="false">Sens!$O$10656</f>
        <v>233.35</v>
      </c>
    </row>
    <row r="10747" customFormat="false" ht="15" hidden="false" customHeight="false" outlineLevel="0" collapsed="false">
      <c r="A10747" s="1" t="s">
        <v>522</v>
      </c>
      <c r="B10747" s="8" t="s">
        <v>86</v>
      </c>
      <c r="C10747" s="38" t="n">
        <f aca="false">Sens!$C$10657</f>
        <v>142.906</v>
      </c>
      <c r="D10747" s="38" t="n">
        <f aca="false">Sens!$D$10657</f>
        <v>161.894</v>
      </c>
      <c r="E10747" s="38" t="n">
        <f aca="false">Sens!$E$10657</f>
        <v>81.986</v>
      </c>
      <c r="F10747" s="38" t="n">
        <f aca="false">Sens!$F$10657</f>
        <v>98.408468164951</v>
      </c>
      <c r="G10747" s="38" t="n">
        <f aca="false">Sens!$G$10657</f>
        <v>180.394468164951</v>
      </c>
      <c r="H10747" s="38" t="n">
        <f aca="false">Sens!$H$10657</f>
        <v>199.709899104949</v>
      </c>
      <c r="I10747" s="38" t="n">
        <f aca="false">Sens!$I$10657</f>
        <v>218.385528264976</v>
      </c>
      <c r="J10747" s="38" t="n">
        <f aca="false">Sens!$J$10657</f>
        <v>235.71696994951</v>
      </c>
      <c r="K10747" s="38" t="n">
        <f aca="false">Sens!$K$10657</f>
        <v>250.968227869545</v>
      </c>
      <c r="L10747" s="38" t="n">
        <f aca="false">Sens!$L$10657</f>
        <v>267.285367225822</v>
      </c>
      <c r="M10747" s="38" t="n">
        <f aca="false">Sens!$M$10657</f>
        <v>284.748579483295</v>
      </c>
      <c r="N10747" s="38" t="n">
        <f aca="false">Sens!$N$10657</f>
        <v>70.274</v>
      </c>
      <c r="O10747" s="38" t="n">
        <f aca="false">Sens!$O$10657</f>
        <v>91.62</v>
      </c>
    </row>
    <row r="10748" customFormat="false" ht="15" hidden="false" customHeight="false" outlineLevel="0" collapsed="false">
      <c r="A10748" s="1" t="s">
        <v>523</v>
      </c>
      <c r="B10748" s="8" t="s">
        <v>86</v>
      </c>
      <c r="C10748" s="38" t="n">
        <f aca="false">Sens!$C$10726</f>
        <v>107.556</v>
      </c>
      <c r="D10748" s="38" t="n">
        <f aca="false">Sens!$D$10726</f>
        <v>128.725</v>
      </c>
      <c r="E10748" s="38" t="n">
        <f aca="false">Sens!$E$10726</f>
        <v>79.819</v>
      </c>
      <c r="F10748" s="38" t="n">
        <f aca="false">Sens!$F$10726</f>
        <v>86.7327334389669</v>
      </c>
      <c r="G10748" s="38" t="n">
        <f aca="false">Sens!$G$10726</f>
        <v>166.551733438967</v>
      </c>
      <c r="H10748" s="38" t="n">
        <f aca="false">Sens!$H$10726</f>
        <v>221.182967828978</v>
      </c>
      <c r="I10748" s="38" t="n">
        <f aca="false">Sens!$I$10726</f>
        <v>280.27345865789</v>
      </c>
      <c r="J10748" s="38" t="n">
        <f aca="false">Sens!$J$10726</f>
        <v>338.800945197185</v>
      </c>
      <c r="K10748" s="38" t="n">
        <f aca="false">Sens!$K$10726</f>
        <v>390.17168267</v>
      </c>
      <c r="L10748" s="38" t="n">
        <f aca="false">Sens!$L$10726</f>
        <v>431.217780537388</v>
      </c>
      <c r="M10748" s="38" t="n">
        <f aca="false">Sens!$M$10726</f>
        <v>462.010668928853</v>
      </c>
      <c r="N10748" s="38" t="n">
        <f aca="false">Sens!$N$10726</f>
        <v>60.14</v>
      </c>
      <c r="O10748" s="38" t="n">
        <f aca="false">Sens!$O$10726</f>
        <v>68.585</v>
      </c>
    </row>
    <row r="10749" customFormat="false" ht="17.15" hidden="false" customHeight="false" outlineLevel="0" collapsed="false">
      <c r="A10749" s="0" t="s">
        <v>702</v>
      </c>
      <c r="B10749" s="0" t="s">
        <v>86</v>
      </c>
      <c r="C10749" s="38" t="n">
        <f aca="false">Sens!$C$10724</f>
        <v>2.32100535697364</v>
      </c>
      <c r="D10749" s="38" t="n">
        <f aca="false">Sens!$D$10724</f>
        <v>8.70377008865116</v>
      </c>
      <c r="E10749" s="38" t="n">
        <f aca="false">Sens!$E$10724</f>
        <v>8.51035297557002</v>
      </c>
      <c r="F10749" s="38" t="n">
        <f aca="false">Sens!$F$10724</f>
        <v>14.9634336447205</v>
      </c>
      <c r="G10749" s="38" t="n">
        <f aca="false">Sens!$G$10724</f>
        <v>23.4737866202905</v>
      </c>
      <c r="H10749" s="38" t="n">
        <f aca="false">Sens!$H$10724</f>
        <v>60.1658907497746</v>
      </c>
      <c r="I10749" s="38" t="n">
        <f aca="false">Sens!$I$10724</f>
        <v>101.503699136432</v>
      </c>
      <c r="J10749" s="38" t="n">
        <f aca="false">Sens!$J$10724</f>
        <v>143.025407151278</v>
      </c>
      <c r="K10749" s="38" t="n">
        <f aca="false">Sens!$K$10724</f>
        <v>178.73410158042</v>
      </c>
      <c r="L10749" s="38" t="n">
        <f aca="false">Sens!$L$10724</f>
        <v>202.865192960641</v>
      </c>
      <c r="M10749" s="38" t="n">
        <f aca="false">Sens!$M$10724</f>
        <v>215.389874345967</v>
      </c>
      <c r="N10749" s="38" t="n">
        <f aca="false">Sens!$N$10724</f>
        <v>3.04631953102791</v>
      </c>
      <c r="O10749" s="38" t="n">
        <f aca="false">Sens!$O$10724</f>
        <v>5.65745055762326</v>
      </c>
    </row>
    <row r="10750" customFormat="false" ht="17.15" hidden="false" customHeight="false" outlineLevel="0" collapsed="false">
      <c r="A10750" s="0" t="s">
        <v>704</v>
      </c>
      <c r="B10750" s="0" t="s">
        <v>86</v>
      </c>
      <c r="C10750" s="38" t="n">
        <f aca="false">Sens!$C$10725</f>
        <v>105.234994643026</v>
      </c>
      <c r="D10750" s="38" t="n">
        <f aca="false">Sens!$D$10725</f>
        <v>120.021229911349</v>
      </c>
      <c r="E10750" s="38" t="n">
        <f aca="false">Sens!$E$10725</f>
        <v>71.30864702443</v>
      </c>
      <c r="F10750" s="38" t="n">
        <f aca="false">Sens!$F$10725</f>
        <v>71.7692997942464</v>
      </c>
      <c r="G10750" s="38" t="n">
        <f aca="false">Sens!$G$10725</f>
        <v>143.077946818676</v>
      </c>
      <c r="H10750" s="38" t="n">
        <f aca="false">Sens!$H$10725</f>
        <v>161.017077079203</v>
      </c>
      <c r="I10750" s="38" t="n">
        <f aca="false">Sens!$I$10725</f>
        <v>178.769759521457</v>
      </c>
      <c r="J10750" s="38" t="n">
        <f aca="false">Sens!$J$10725</f>
        <v>195.775538045907</v>
      </c>
      <c r="K10750" s="38" t="n">
        <f aca="false">Sens!$K$10725</f>
        <v>211.43758108958</v>
      </c>
      <c r="L10750" s="38" t="n">
        <f aca="false">Sens!$L$10725</f>
        <v>228.352587576746</v>
      </c>
      <c r="M10750" s="38" t="n">
        <f aca="false">Sens!$M$10725</f>
        <v>246.620794582886</v>
      </c>
      <c r="N10750" s="38" t="n">
        <f aca="false">Sens!$N$10725</f>
        <v>57.0936804689721</v>
      </c>
      <c r="O10750" s="38" t="n">
        <f aca="false">Sens!$O$10725</f>
        <v>62.9275494423768</v>
      </c>
    </row>
    <row r="10751" customFormat="false" ht="15" hidden="false" customHeight="false" outlineLevel="0" collapsed="false">
      <c r="A10751" s="3" t="s">
        <v>524</v>
      </c>
      <c r="B10751" s="8" t="s">
        <v>86</v>
      </c>
      <c r="C10751" s="38" t="n">
        <f aca="false">Sens!$C$10727</f>
        <v>637.959</v>
      </c>
      <c r="D10751" s="38" t="n">
        <f aca="false">Sens!$D$10727</f>
        <v>716.924</v>
      </c>
      <c r="E10751" s="38" t="n">
        <f aca="false">Sens!$E$10727</f>
        <v>382.125</v>
      </c>
      <c r="F10751" s="38" t="n">
        <f aca="false">Sens!$F$10727</f>
        <v>435.780975084504</v>
      </c>
      <c r="G10751" s="38" t="n">
        <f aca="false">Sens!$G$10727</f>
        <v>817.905975084504</v>
      </c>
      <c r="H10751" s="38" t="n">
        <f aca="false">Sens!$H$10727</f>
        <v>942.279857350364</v>
      </c>
      <c r="I10751" s="38" t="n">
        <f aca="false">Sens!$I$10727</f>
        <v>1068.80284981042</v>
      </c>
      <c r="J10751" s="38" t="n">
        <f aca="false">Sens!$J$10727</f>
        <v>1189.90935093863</v>
      </c>
      <c r="K10751" s="38" t="n">
        <f aca="false">Sens!$K$10727</f>
        <v>1296.34813810109</v>
      </c>
      <c r="L10751" s="38" t="n">
        <f aca="false">Sens!$L$10727</f>
        <v>1396.31088701298</v>
      </c>
      <c r="M10751" s="38" t="n">
        <f aca="false">Sens!$M$10727</f>
        <v>1490.15857687574</v>
      </c>
      <c r="N10751" s="38" t="n">
        <f aca="false">Sens!$N$10727</f>
        <v>323.369</v>
      </c>
      <c r="O10751" s="38" t="n">
        <f aca="false">Sens!$O$10727</f>
        <v>393.555</v>
      </c>
    </row>
    <row r="10752" customFormat="false" ht="17.15" hidden="false" customHeight="false" outlineLevel="0" collapsed="false">
      <c r="A10752" s="24" t="s">
        <v>714</v>
      </c>
      <c r="B10752" s="25" t="s">
        <v>86</v>
      </c>
      <c r="C10752" s="41" t="n">
        <f aca="false">Sens!$C$10739+Sens!$C$10740+Sens!$C$10741+Sens!$C$10742+Sens!$C$10743+Sens!$C$10744-(Sens!$C$10746+Sens!$C$10747)</f>
        <v>0</v>
      </c>
      <c r="D10752" s="41" t="n">
        <f aca="false">Sens!$D$10739+Sens!$D$10740+Sens!$D$10741+Sens!$D$10742+Sens!$D$10743+Sens!$D$10744-(Sens!$D$10746+Sens!$D$10747)</f>
        <v>0</v>
      </c>
      <c r="E10752" s="41" t="n">
        <f aca="false">Sens!$E$10739+Sens!$E$10740+Sens!$E$10741+Sens!$E$10742+Sens!$E$10743+Sens!$E$10744-(Sens!$E$10746+Sens!$E$10747)</f>
        <v>0</v>
      </c>
      <c r="F10752" s="41" t="n">
        <f aca="false">Sens!$F$10739+Sens!$F$10740+Sens!$F$10741+Sens!$F$10742+Sens!$F$10743+Sens!$F$10744-(Sens!$F$10746+Sens!$F$10747)</f>
        <v>0</v>
      </c>
      <c r="G10752" s="41" t="n">
        <f aca="false">Sens!$G$10739+Sens!$G$10740+Sens!$G$10741+Sens!$G$10742+Sens!$G$10743+Sens!$G$10744-(Sens!$G$10746+Sens!$G$10747)</f>
        <v>0</v>
      </c>
      <c r="H10752" s="41" t="n">
        <f aca="false">Sens!$H$10739+Sens!$H$10740+Sens!$H$10741+Sens!$H$10742+Sens!$H$10743+Sens!$H$10744-(Sens!$H$10746+Sens!$H$10747)</f>
        <v>0</v>
      </c>
      <c r="I10752" s="41" t="n">
        <f aca="false">Sens!$I$10739+Sens!$I$10740+Sens!$I$10741+Sens!$I$10742+Sens!$I$10743+Sens!$I$10744-(Sens!$I$10746+Sens!$I$10747)</f>
        <v>0</v>
      </c>
      <c r="J10752" s="41" t="n">
        <f aca="false">Sens!$J$10739+Sens!$J$10740+Sens!$J$10741+Sens!$J$10742+Sens!$J$10743+Sens!$J$10744-(Sens!$J$10746+Sens!$J$10747)</f>
        <v>0</v>
      </c>
      <c r="K10752" s="41" t="n">
        <f aca="false">Sens!$K$10739+Sens!$K$10740+Sens!$K$10741+Sens!$K$10742+Sens!$K$10743+Sens!$K$10744-(Sens!$K$10746+Sens!$K$10747)</f>
        <v>0</v>
      </c>
      <c r="L10752" s="41" t="n">
        <f aca="false">Sens!$L$10739+Sens!$L$10740+Sens!$L$10741+Sens!$L$10742+Sens!$L$10743+Sens!$L$10744-(Sens!$L$10746+Sens!$L$10747)</f>
        <v>0</v>
      </c>
      <c r="M10752" s="41" t="n">
        <f aca="false">Sens!$M$10739+Sens!$M$10740+Sens!$M$10741+Sens!$M$10742+Sens!$M$10743+Sens!$M$10744-(Sens!$M$10746+Sens!$M$10747)</f>
        <v>0</v>
      </c>
      <c r="N10752" s="41" t="n">
        <f aca="false">Sens!$N$10739+Sens!$N$10740+Sens!$N$10741+Sens!$N$10742+Sens!$N$10743+Sens!$N$10744-(Sens!$N$10746+Sens!$N$10747)</f>
        <v>0</v>
      </c>
      <c r="O10752" s="41" t="n">
        <f aca="false">Sens!$O$10739+Sens!$O$10740+Sens!$O$10741+Sens!$O$10742+Sens!$O$10743+Sens!$O$10744-(Sens!$O$10746+Sens!$O$10747)</f>
        <v>0</v>
      </c>
    </row>
    <row r="10753" customFormat="false" ht="17.15" hidden="false" customHeight="false" outlineLevel="0" collapsed="false">
      <c r="A10753" s="24" t="s">
        <v>715</v>
      </c>
      <c r="B10753" s="25" t="s">
        <v>86</v>
      </c>
      <c r="C10753" s="41" t="n">
        <f aca="false">Sens!$C$10749+Sens!$C$10750-Sens!$C$10748</f>
        <v>0</v>
      </c>
      <c r="D10753" s="41" t="n">
        <f aca="false">Sens!$D$10749+Sens!$D$10750-Sens!$D$10748</f>
        <v>0</v>
      </c>
      <c r="E10753" s="41" t="n">
        <f aca="false">Sens!$E$10749+Sens!$E$10750-Sens!$E$10748</f>
        <v>0</v>
      </c>
      <c r="F10753" s="41" t="n">
        <f aca="false">Sens!$F$10749+Sens!$F$10750-Sens!$F$10748</f>
        <v>0</v>
      </c>
      <c r="G10753" s="41" t="n">
        <f aca="false">Sens!$G$10749+Sens!$G$10750-Sens!$G$10748</f>
        <v>0</v>
      </c>
      <c r="H10753" s="41" t="n">
        <f aca="false">Sens!$H$10749+Sens!$H$10750-Sens!$H$10748</f>
        <v>0</v>
      </c>
      <c r="I10753" s="41" t="n">
        <f aca="false">Sens!$I$10749+Sens!$I$10750-Sens!$I$10748</f>
        <v>0</v>
      </c>
      <c r="J10753" s="41" t="n">
        <f aca="false">Sens!$J$10749+Sens!$J$10750-Sens!$J$10748</f>
        <v>0</v>
      </c>
      <c r="K10753" s="41" t="n">
        <f aca="false">Sens!$K$10749+Sens!$K$10750-Sens!$K$10748</f>
        <v>0</v>
      </c>
      <c r="L10753" s="41" t="n">
        <f aca="false">Sens!$L$10749+Sens!$L$10750-Sens!$L$10748</f>
        <v>0</v>
      </c>
      <c r="M10753" s="41" t="n">
        <f aca="false">Sens!$M$10749+Sens!$M$10750-Sens!$M$10748</f>
        <v>0</v>
      </c>
      <c r="N10753" s="41" t="n">
        <f aca="false">Sens!$N$10749+Sens!$N$10750-Sens!$N$10748</f>
        <v>0</v>
      </c>
      <c r="O10753" s="41" t="n">
        <f aca="false">Sens!$O$10749+Sens!$O$10750-Sens!$O$10748</f>
        <v>0</v>
      </c>
    </row>
    <row r="10754" customFormat="false" ht="17.15" hidden="false" customHeight="false" outlineLevel="0" collapsed="false">
      <c r="A10754" s="24" t="s">
        <v>774</v>
      </c>
      <c r="B10754" s="25" t="s">
        <v>86</v>
      </c>
      <c r="C10754" s="41" t="n">
        <f aca="false">Sens!$C$10739+Sens!$C$10740+Sens!$C$10741+Sens!$C$10742+Sens!$C$10743+Sens!$C$10744+Sens!$C$10745-Sens!$C$10751</f>
        <v>0</v>
      </c>
      <c r="D10754" s="41" t="n">
        <f aca="false">Sens!$D$10739+Sens!$D$10740+Sens!$D$10741+Sens!$D$10742+Sens!$D$10743+Sens!$D$10744+Sens!$D$10745-Sens!$D$10751</f>
        <v>0</v>
      </c>
      <c r="E10754" s="41" t="n">
        <f aca="false">Sens!$E$10739+Sens!$E$10740+Sens!$E$10741+Sens!$E$10742+Sens!$E$10743+Sens!$E$10744+Sens!$E$10745-Sens!$E$10751</f>
        <v>0</v>
      </c>
      <c r="F10754" s="41" t="n">
        <f aca="false">Sens!$F$10739+Sens!$F$10740+Sens!$F$10741+Sens!$F$10742+Sens!$F$10743+Sens!$F$10744+Sens!$F$10745-Sens!$F$10751</f>
        <v>0</v>
      </c>
      <c r="G10754" s="41" t="n">
        <f aca="false">Sens!$G$10739+Sens!$G$10740+Sens!$G$10741+Sens!$G$10742+Sens!$G$10743+Sens!$G$10744+Sens!$G$10745-Sens!$G$10751</f>
        <v>0</v>
      </c>
      <c r="H10754" s="41" t="n">
        <f aca="false">Sens!$H$10739+Sens!$H$10740+Sens!$H$10741+Sens!$H$10742+Sens!$H$10743+Sens!$H$10744+Sens!$H$10745-Sens!$H$10751</f>
        <v>0</v>
      </c>
      <c r="I10754" s="41" t="n">
        <f aca="false">Sens!$I$10739+Sens!$I$10740+Sens!$I$10741+Sens!$I$10742+Sens!$I$10743+Sens!$I$10744+Sens!$I$10745-Sens!$I$10751</f>
        <v>0</v>
      </c>
      <c r="J10754" s="41" t="n">
        <f aca="false">Sens!$J$10739+Sens!$J$10740+Sens!$J$10741+Sens!$J$10742+Sens!$J$10743+Sens!$J$10744+Sens!$J$10745-Sens!$J$10751</f>
        <v>0</v>
      </c>
      <c r="K10754" s="41" t="n">
        <f aca="false">Sens!$K$10739+Sens!$K$10740+Sens!$K$10741+Sens!$K$10742+Sens!$K$10743+Sens!$K$10744+Sens!$K$10745-Sens!$K$10751</f>
        <v>0</v>
      </c>
      <c r="L10754" s="41" t="n">
        <f aca="false">Sens!$L$10739+Sens!$L$10740+Sens!$L$10741+Sens!$L$10742+Sens!$L$10743+Sens!$L$10744+Sens!$L$10745-Sens!$L$10751</f>
        <v>0</v>
      </c>
      <c r="M10754" s="41" t="n">
        <f aca="false">Sens!$M$10739+Sens!$M$10740+Sens!$M$10741+Sens!$M$10742+Sens!$M$10743+Sens!$M$10744+Sens!$M$10745-Sens!$M$10751</f>
        <v>0</v>
      </c>
      <c r="N10754" s="41" t="n">
        <f aca="false">Sens!$N$10739+Sens!$N$10740+Sens!$N$10741+Sens!$N$10742+Sens!$N$10743+Sens!$N$10744+Sens!$N$10745-Sens!$N$10751</f>
        <v>0</v>
      </c>
      <c r="O10754" s="41" t="n">
        <f aca="false">Sens!$O$10739+Sens!$O$10740+Sens!$O$10741+Sens!$O$10742+Sens!$O$10743+Sens!$O$10744+Sens!$O$10745-Sens!$O$10751</f>
        <v>0</v>
      </c>
    </row>
    <row r="10755" customFormat="false" ht="17.15" hidden="false" customHeight="false" outlineLevel="0" collapsed="false">
      <c r="A10755" s="24" t="s">
        <v>716</v>
      </c>
      <c r="B10755" s="25" t="s">
        <v>86</v>
      </c>
      <c r="C10755" s="41" t="n">
        <f aca="false">Sens!$C$10746+Sens!$C$10747+Sens!$C$10748-Sens!$C$10751</f>
        <v>0</v>
      </c>
      <c r="D10755" s="41" t="n">
        <f aca="false">Sens!$D$10746+Sens!$D$10747+Sens!$D$10748-Sens!$D$10751</f>
        <v>0</v>
      </c>
      <c r="E10755" s="41" t="n">
        <f aca="false">Sens!$E$10746+Sens!$E$10747+Sens!$E$10748-Sens!$E$10751</f>
        <v>0</v>
      </c>
      <c r="F10755" s="41" t="n">
        <f aca="false">Sens!$F$10746+Sens!$F$10747+Sens!$F$10748-Sens!$F$10751</f>
        <v>0</v>
      </c>
      <c r="G10755" s="41" t="n">
        <f aca="false">Sens!$G$10746+Sens!$G$10747+Sens!$G$10748-Sens!$G$10751</f>
        <v>0</v>
      </c>
      <c r="H10755" s="41" t="n">
        <f aca="false">Sens!$H$10746+Sens!$H$10747+Sens!$H$10748-Sens!$H$10751</f>
        <v>0</v>
      </c>
      <c r="I10755" s="41" t="n">
        <f aca="false">Sens!$I$10746+Sens!$I$10747+Sens!$I$10748-Sens!$I$10751</f>
        <v>0</v>
      </c>
      <c r="J10755" s="41" t="n">
        <f aca="false">Sens!$J$10746+Sens!$J$10747+Sens!$J$10748-Sens!$J$10751</f>
        <v>0</v>
      </c>
      <c r="K10755" s="41" t="n">
        <f aca="false">Sens!$K$10746+Sens!$K$10747+Sens!$K$10748-Sens!$K$10751</f>
        <v>0</v>
      </c>
      <c r="L10755" s="41" t="n">
        <f aca="false">Sens!$L$10746+Sens!$L$10747+Sens!$L$10748-Sens!$L$10751</f>
        <v>0</v>
      </c>
      <c r="M10755" s="41" t="n">
        <f aca="false">Sens!$M$10746+Sens!$M$10747+Sens!$M$10748-Sens!$M$10751</f>
        <v>0</v>
      </c>
      <c r="N10755" s="41" t="n">
        <f aca="false">Sens!$N$10746+Sens!$N$10747+Sens!$N$10748-Sens!$N$10751</f>
        <v>0</v>
      </c>
      <c r="O10755" s="41" t="n">
        <f aca="false">Sens!$O$10746+Sens!$O$10747+Sens!$O$10748-Sens!$O$10751</f>
        <v>0</v>
      </c>
    </row>
    <row r="10756" customFormat="false" ht="17.15" hidden="false" customHeight="false" outlineLevel="0" collapsed="false">
      <c r="A10756" s="1" t="s">
        <v>730</v>
      </c>
    </row>
    <row r="10757" customFormat="false" ht="17.15" hidden="false" customHeight="false" outlineLevel="0" collapsed="false">
      <c r="A10757" s="0" t="s">
        <v>731</v>
      </c>
      <c r="B10757" s="0" t="s">
        <v>86</v>
      </c>
      <c r="C10757" s="38" t="n">
        <f aca="false">Sens!$C$10658*m_ad</f>
        <v>20.5341564414228</v>
      </c>
      <c r="D10757" s="38" t="n">
        <f aca="false">Sens!$D$10658*m_ad</f>
        <v>24.8720617299587</v>
      </c>
      <c r="E10757" s="38" t="n">
        <f aca="false">Sens!$E$10658*m_ad</f>
        <v>13.5017112462207</v>
      </c>
      <c r="F10757" s="38" t="n">
        <f aca="false">Sens!$F$10658*m_ad</f>
        <v>16.5719724165257</v>
      </c>
      <c r="G10757" s="38" t="n">
        <f aca="false">Sens!$G$10658*m_ad</f>
        <v>30.0820919220415</v>
      </c>
      <c r="H10757" s="38" t="n">
        <f aca="false">Sens!$H$10658*m_ad</f>
        <v>36.1150883276314</v>
      </c>
      <c r="I10757" s="38" t="n">
        <f aca="false">Sens!$I$10658*m_ad</f>
        <v>42.1475382231996</v>
      </c>
      <c r="J10757" s="38" t="n">
        <f aca="false">Sens!$J$10658*m_ad</f>
        <v>47.7749523864693</v>
      </c>
      <c r="K10757" s="38" t="n">
        <f aca="false">Sens!$K$10658*m_ad</f>
        <v>52.5524476251162</v>
      </c>
      <c r="L10757" s="38" t="n">
        <f aca="false">Sens!$L$10658*m_ad</f>
        <v>57.8076923876279</v>
      </c>
      <c r="M10757" s="38" t="n">
        <f aca="false">Sens!$M$10658*m_ad</f>
        <v>63.5884616263907</v>
      </c>
      <c r="N10757" s="38" t="n">
        <f aca="false">Sens!$N$10658*m_ad</f>
        <v>10.8543555706248</v>
      </c>
      <c r="O10757" s="38" t="n">
        <f aca="false">Sens!$O$10658*m_ad</f>
        <v>14.0094731821399</v>
      </c>
    </row>
    <row r="10758" customFormat="false" ht="17.15" hidden="false" customHeight="false" outlineLevel="0" collapsed="false">
      <c r="A10758" s="0" t="s">
        <v>732</v>
      </c>
      <c r="B10758" s="0" t="s">
        <v>86</v>
      </c>
      <c r="C10758" s="38" t="n">
        <f aca="false">Sens!$C$10656-Sens!$C$10658</f>
        <v>346.428687117154</v>
      </c>
      <c r="D10758" s="38" t="n">
        <f aca="false">Sens!$D$10656-Sens!$D$10658</f>
        <v>376.560876540083</v>
      </c>
      <c r="E10758" s="38" t="n">
        <f aca="false">Sens!$E$10656-Sens!$E$10658</f>
        <v>193.316577507559</v>
      </c>
      <c r="F10758" s="38" t="n">
        <f aca="false">Sens!$F$10656-Sens!$F$10658</f>
        <v>217.495828647535</v>
      </c>
      <c r="G10758" s="38" t="n">
        <f aca="false">Sens!$G$10656-Sens!$G$10658</f>
        <v>410.795589636503</v>
      </c>
      <c r="H10758" s="38" t="n">
        <f aca="false">Sens!$H$10656-Sens!$H$10658</f>
        <v>449.156813761174</v>
      </c>
      <c r="I10758" s="38" t="n">
        <f aca="false">Sens!$I$10656-Sens!$I$10658</f>
        <v>485.848786441156</v>
      </c>
      <c r="J10758" s="38" t="n">
        <f aca="false">Sens!$J$10656-Sens!$J$10658</f>
        <v>519.841531018994</v>
      </c>
      <c r="K10758" s="38" t="n">
        <f aca="false">Sens!$K$10656-Sens!$K$10658</f>
        <v>550.103332311311</v>
      </c>
      <c r="L10758" s="38" t="n">
        <f aca="false">Sens!$L$10656-Sens!$L$10658</f>
        <v>582.192354474511</v>
      </c>
      <c r="M10758" s="38" t="n">
        <f aca="false">Sens!$M$10656-Sens!$M$10658</f>
        <v>616.22240521081</v>
      </c>
      <c r="N10758" s="38" t="n">
        <f aca="false">Sens!$N$10656-Sens!$N$10658</f>
        <v>171.24628885875</v>
      </c>
      <c r="O10758" s="38" t="n">
        <f aca="false">Sens!$O$10656-Sens!$O$10658</f>
        <v>205.33105363572</v>
      </c>
    </row>
    <row r="10759" customFormat="false" ht="17.15" hidden="false" customHeight="false" outlineLevel="0" collapsed="false">
      <c r="A10759" s="0" t="s">
        <v>733</v>
      </c>
      <c r="B10759" s="0" t="s">
        <v>86</v>
      </c>
      <c r="C10759" s="38" t="n">
        <f aca="false">Sens!$C$10710*Sens!$C$10655</f>
        <v>0.123617442257179</v>
      </c>
      <c r="D10759" s="38" t="n">
        <f aca="false">Sens!$D$10710*Sens!$D$10655</f>
        <v>0.600198046024689</v>
      </c>
      <c r="E10759" s="38" t="n">
        <f aca="false">Sens!$E$10710*Sens!$E$10655</f>
        <v>1.10840000750276</v>
      </c>
      <c r="F10759" s="38" t="n">
        <f aca="false">Sens!$F$10710*Sens!$F$10655</f>
        <v>1.33595298721025</v>
      </c>
      <c r="G10759" s="38" t="n">
        <f aca="false">Sens!$G$10710*Sens!$G$10655</f>
        <v>2.44487335052545</v>
      </c>
      <c r="H10759" s="38" t="n">
        <f aca="false">Sens!$H$10710*Sens!$H$10655</f>
        <v>6.63132711939388</v>
      </c>
      <c r="I10759" s="38" t="n">
        <f aca="false">Sens!$I$10710*Sens!$I$10655</f>
        <v>12.7486799258504</v>
      </c>
      <c r="J10759" s="38" t="n">
        <f aca="false">Sens!$J$10710*Sens!$J$10655</f>
        <v>18.4074045299415</v>
      </c>
      <c r="K10759" s="38" t="n">
        <f aca="false">Sens!$K$10710*Sens!$K$10655</f>
        <v>23.9558131410482</v>
      </c>
      <c r="L10759" s="38" t="n">
        <f aca="false">Sens!$L$10710*Sens!$L$10655</f>
        <v>27.8791598233416</v>
      </c>
      <c r="M10759" s="38" t="n">
        <f aca="false">Sens!$M$10710*Sens!$M$10655</f>
        <v>30.1642264398241</v>
      </c>
      <c r="N10759" s="38" t="n">
        <f aca="false">Sens!$N$10710*Sens!$N$10655</f>
        <v>0.25053229484398</v>
      </c>
      <c r="O10759" s="38" t="n">
        <f aca="false">Sens!$O$10710*Sens!$O$10655</f>
        <v>0.349234376756897</v>
      </c>
    </row>
    <row r="10760" customFormat="false" ht="17.15" hidden="false" customHeight="false" outlineLevel="0" collapsed="false">
      <c r="A10760" s="0" t="s">
        <v>734</v>
      </c>
      <c r="B10760" s="0" t="s">
        <v>52</v>
      </c>
      <c r="C10760" s="28" t="n">
        <f aca="false">(Sens!$C$10761-Sens!$C$10757+Sens!$C$10759)/Sens!$C$10758</f>
        <v>0.0131526665379575</v>
      </c>
      <c r="D10760" s="28" t="n">
        <f aca="false">(Sens!$D$10761-Sens!$D$10757+Sens!$D$10759)/Sens!$D$10758</f>
        <v>0.0141999252954702</v>
      </c>
      <c r="E10760" s="28" t="n">
        <f aca="false">(Sens!$E$10761-Sens!$E$10757+Sens!$E$10759)/Sens!$E$10758</f>
        <v>0.0258471819939326</v>
      </c>
      <c r="F10760" s="28" t="n">
        <f aca="false">Sens!$O$10760+(Sens!$E$10760-Sens!$N$10760)</f>
        <v>0.0224302350712874</v>
      </c>
      <c r="G10760" s="28" t="n">
        <f aca="false">(Sens!$G$10761-Sens!$G$10757+Sens!$G$10759)/Sens!$G$10758</f>
        <v>0.0240199351461372</v>
      </c>
      <c r="H10760" s="28" t="n">
        <f aca="false">Sens!$G$10760+step_na</f>
        <v>0.0270199351461372</v>
      </c>
      <c r="I10760" s="28" t="n">
        <f aca="false">Sens!$H$10760+step_na</f>
        <v>0.0300199351461372</v>
      </c>
      <c r="J10760" s="28" t="n">
        <f aca="false">Sens!$I$10760+step_na</f>
        <v>0.0330199351461372</v>
      </c>
      <c r="K10760" s="28" t="n">
        <f aca="false">Sens!$J$10760+step_na</f>
        <v>0.0360199351461372</v>
      </c>
      <c r="L10760" s="28" t="n">
        <f aca="false">Sens!$K$10760</f>
        <v>0.0360199351461372</v>
      </c>
      <c r="M10760" s="28" t="n">
        <f aca="false">Sens!$L$10760</f>
        <v>0.0360199351461372</v>
      </c>
      <c r="N10760" s="28" t="n">
        <f aca="false">(Sens!$N$10761-Sens!$N$10757+Sens!$N$10759)/Sens!$N$10758</f>
        <v>0.0160831323269779</v>
      </c>
      <c r="O10760" s="28" t="n">
        <f aca="false">(Sens!$O$10761-Sens!$O$10757+Sens!$O$10759)/Sens!$O$10758</f>
        <v>0.0126661854043327</v>
      </c>
      <c r="P10760" s="8" t="s">
        <v>735</v>
      </c>
    </row>
    <row r="10761" customFormat="false" ht="17.15" hidden="false" customHeight="false" outlineLevel="0" collapsed="false">
      <c r="A10761" s="1" t="s">
        <v>736</v>
      </c>
      <c r="B10761" s="8" t="s">
        <v>86</v>
      </c>
      <c r="C10761" s="38" t="n">
        <f aca="false">Q!$D$22</f>
        <v>24.967</v>
      </c>
      <c r="D10761" s="38" t="n">
        <f aca="false">Q!$E$22</f>
        <v>29.619</v>
      </c>
      <c r="E10761" s="38" t="n">
        <f aca="false">Q!$P$22</f>
        <v>17.39</v>
      </c>
      <c r="F10761" s="38" t="n">
        <f aca="false">Sens!$F$10757+Sens!$F$10758*Sens!$F$10760-Sens!$F$10759</f>
        <v>20.1145019929041</v>
      </c>
      <c r="G10761" s="38" t="n">
        <f aca="false">Sens!$E$10761+Sens!$F$10761</f>
        <v>37.5045019929041</v>
      </c>
      <c r="H10761" s="38" t="n">
        <f aca="false">Sens!$H$10757+Sens!$H$10758*Sens!$H$10760-Sens!$H$10759</f>
        <v>41.6199491865101</v>
      </c>
      <c r="I10761" s="38" t="n">
        <f aca="false">Sens!$I$10757+Sens!$I$10758*Sens!$I$10760-Sens!$I$10759</f>
        <v>43.9840073571422</v>
      </c>
      <c r="J10761" s="38" t="n">
        <f aca="false">Sens!$J$10757+Sens!$J$10758*Sens!$J$10760-Sens!$J$10759</f>
        <v>46.5326814970436</v>
      </c>
      <c r="K10761" s="38" t="n">
        <f aca="false">Sens!$K$10757+Sens!$K$10758*Sens!$K$10760-Sens!$K$10759</f>
        <v>48.4113208375954</v>
      </c>
      <c r="L10761" s="38" t="n">
        <f aca="false">Sens!$L$10757+Sens!$L$10758*Sens!$L$10760-Sens!$L$10759</f>
        <v>50.8990634150351</v>
      </c>
      <c r="M10761" s="38" t="n">
        <f aca="false">Sens!$M$10757+Sens!$M$10758*Sens!$M$10760-Sens!$M$10759</f>
        <v>55.6205262578566</v>
      </c>
      <c r="N10761" s="38" t="n">
        <f aca="false">Q!$N$22</f>
        <v>13.358</v>
      </c>
      <c r="O10761" s="38" t="n">
        <f aca="false">Q!$O$22</f>
        <v>16.261</v>
      </c>
    </row>
    <row r="10762" customFormat="false" ht="17.15" hidden="false" customHeight="false" outlineLevel="0" collapsed="false">
      <c r="A10762" s="0" t="s">
        <v>737</v>
      </c>
      <c r="B10762" s="0" t="s">
        <v>86</v>
      </c>
      <c r="C10762" s="38" t="n">
        <f aca="false">Sens!$C$10659*m_ad</f>
        <v>7.57284355857716</v>
      </c>
      <c r="D10762" s="38" t="n">
        <f aca="false">Sens!$D$10659*m_ad</f>
        <v>9.44543827004127</v>
      </c>
      <c r="E10762" s="38" t="n">
        <f aca="false">Sens!$E$10659*m_ad</f>
        <v>5.02428875377928</v>
      </c>
      <c r="F10762" s="38" t="n">
        <f aca="false">Sens!$F$10659*m_ad</f>
        <v>6.50663858068173</v>
      </c>
      <c r="G10762" s="38" t="n">
        <f aca="false">Sens!$G$10659*m_ad</f>
        <v>11.5225190751659</v>
      </c>
      <c r="H10762" s="38" t="n">
        <f aca="false">Sens!$H$10659*m_ad</f>
        <v>13.8333728663174</v>
      </c>
      <c r="I10762" s="38" t="n">
        <f aca="false">Sens!$I$10659*m_ad</f>
        <v>16.1440173245485</v>
      </c>
      <c r="J10762" s="38" t="n">
        <f aca="false">Sens!$J$10659*m_ad</f>
        <v>18.2995185845066</v>
      </c>
      <c r="K10762" s="38" t="n">
        <f aca="false">Sens!$K$10659*m_ad</f>
        <v>20.1294704429572</v>
      </c>
      <c r="L10762" s="38" t="n">
        <f aca="false">Sens!$L$10659*m_ad</f>
        <v>22.142417487253</v>
      </c>
      <c r="M10762" s="38" t="n">
        <f aca="false">Sens!$M$10659*m_ad</f>
        <v>24.3566592359783</v>
      </c>
      <c r="N10762" s="38" t="n">
        <f aca="false">Sens!$N$10659*m_ad</f>
        <v>3.95314442937518</v>
      </c>
      <c r="O10762" s="38" t="n">
        <f aca="false">Sens!$O$10659*m_ad</f>
        <v>5.50052681786011</v>
      </c>
    </row>
    <row r="10763" customFormat="false" ht="17.15" hidden="false" customHeight="false" outlineLevel="0" collapsed="false">
      <c r="A10763" s="0" t="s">
        <v>738</v>
      </c>
      <c r="B10763" s="0" t="s">
        <v>86</v>
      </c>
      <c r="C10763" s="38" t="n">
        <f aca="false">Sens!$C$10657-Sens!$C$10659</f>
        <v>127.760312882846</v>
      </c>
      <c r="D10763" s="38" t="n">
        <f aca="false">Sens!$D$10657-Sens!$D$10659</f>
        <v>143.003123459917</v>
      </c>
      <c r="E10763" s="38" t="n">
        <f aca="false">Sens!$E$10657-Sens!$E$10659</f>
        <v>71.9374224924414</v>
      </c>
      <c r="F10763" s="38" t="n">
        <f aca="false">Sens!$F$10657-Sens!$F$10659</f>
        <v>85.3951910035875</v>
      </c>
      <c r="G10763" s="38" t="n">
        <f aca="false">Sens!$G$10657-Sens!$G$10659</f>
        <v>157.349430014619</v>
      </c>
      <c r="H10763" s="38" t="n">
        <f aca="false">Sens!$H$10657-Sens!$H$10659</f>
        <v>172.043153372315</v>
      </c>
      <c r="I10763" s="38" t="n">
        <f aca="false">Sens!$I$10657-Sens!$I$10659</f>
        <v>186.097493615879</v>
      </c>
      <c r="J10763" s="38" t="n">
        <f aca="false">Sens!$J$10657-Sens!$J$10659</f>
        <v>199.117932780497</v>
      </c>
      <c r="K10763" s="38" t="n">
        <f aca="false">Sens!$K$10657-Sens!$K$10659</f>
        <v>210.70928698363</v>
      </c>
      <c r="L10763" s="38" t="n">
        <f aca="false">Sens!$L$10657-Sens!$L$10659</f>
        <v>223.000532251316</v>
      </c>
      <c r="M10763" s="38" t="n">
        <f aca="false">Sens!$M$10657-Sens!$M$10659</f>
        <v>236.035261011339</v>
      </c>
      <c r="N10763" s="38" t="n">
        <f aca="false">Sens!$N$10657-Sens!$N$10659</f>
        <v>62.3677111412496</v>
      </c>
      <c r="O10763" s="38" t="n">
        <f aca="false">Sens!$O$10657-Sens!$O$10659</f>
        <v>80.6189463642798</v>
      </c>
    </row>
    <row r="10764" customFormat="false" ht="17.15" hidden="false" customHeight="false" outlineLevel="0" collapsed="false">
      <c r="A10764" s="0" t="s">
        <v>739</v>
      </c>
      <c r="B10764" s="0" t="s">
        <v>86</v>
      </c>
      <c r="C10764" s="38" t="n">
        <f aca="false">Sens!$C$10710*(1-Sens!$C$10655)</f>
        <v>0.0455891896019953</v>
      </c>
      <c r="D10764" s="38" t="n">
        <f aca="false">Sens!$D$10710*(1-Sens!$D$10655)</f>
        <v>0.227931791705753</v>
      </c>
      <c r="E10764" s="38" t="n">
        <f aca="false">Sens!$E$10710*(1-Sens!$E$10655)</f>
        <v>0.412460434890711</v>
      </c>
      <c r="F10764" s="38" t="n">
        <f aca="false">Sens!$F$10710*(1-Sens!$F$10655)</f>
        <v>0.524534016233997</v>
      </c>
      <c r="G10764" s="38" t="n">
        <f aca="false">Sens!$G$10710*(1-Sens!$G$10655)</f>
        <v>0.936474095312266</v>
      </c>
      <c r="H10764" s="38" t="n">
        <f aca="false">Sens!$H$10710*(1-Sens!$H$10655)</f>
        <v>2.54003589327823</v>
      </c>
      <c r="I10764" s="38" t="n">
        <f aca="false">Sens!$I$10710*(1-Sens!$I$10655)</f>
        <v>4.88320120852905</v>
      </c>
      <c r="J10764" s="38" t="n">
        <f aca="false">Sens!$J$10710*(1-Sens!$J$10655)</f>
        <v>7.05069548920359</v>
      </c>
      <c r="K10764" s="38" t="n">
        <f aca="false">Sens!$K$10710*(1-Sens!$K$10655)</f>
        <v>9.17593479184157</v>
      </c>
      <c r="L10764" s="38" t="n">
        <f aca="false">Sens!$L$10710*(1-Sens!$L$10655)</f>
        <v>10.6787171482804</v>
      </c>
      <c r="M10764" s="38" t="n">
        <f aca="false">Sens!$M$10710*(1-Sens!$M$10655)</f>
        <v>11.5539795384319</v>
      </c>
      <c r="N10764" s="38" t="n">
        <f aca="false">Sens!$N$10710*(1-Sens!$N$10655)</f>
        <v>0.0912435878202994</v>
      </c>
      <c r="O10764" s="38" t="n">
        <f aca="false">Sens!$O$10710*(1-Sens!$O$10655)</f>
        <v>0.137119578309265</v>
      </c>
    </row>
    <row r="10765" customFormat="false" ht="17.15" hidden="false" customHeight="false" outlineLevel="0" collapsed="false">
      <c r="A10765" s="0" t="s">
        <v>740</v>
      </c>
      <c r="B10765" s="0" t="s">
        <v>52</v>
      </c>
      <c r="C10765" s="28" t="n">
        <f aca="false">(Sens!$C$10766-Sens!$C$10762+Sens!$C$10764)/Sens!$C$10763</f>
        <v>-0.0292364215826579</v>
      </c>
      <c r="D10765" s="28" t="n">
        <f aca="false">(Sens!$D$10766-Sens!$D$10762+Sens!$D$10764)/Sens!$D$10763</f>
        <v>-0.0312406216748665</v>
      </c>
      <c r="E10765" s="28" t="n">
        <f aca="false">(Sens!$E$10766-Sens!$E$10762+Sens!$E$10764)/Sens!$E$10763</f>
        <v>-0.0204459413185552</v>
      </c>
      <c r="F10765" s="28" t="n">
        <f aca="false">Sens!$O$10765+(Sens!$E$10765-Sens!$N$10765)</f>
        <v>-0.0375409290246314</v>
      </c>
      <c r="G10765" s="28" t="n">
        <f aca="false">(Sens!$G$10766-Sens!$G$10762+Sens!$G$10764)/Sens!$G$10763</f>
        <v>-0.0296712560031684</v>
      </c>
      <c r="H10765" s="28" t="n">
        <f aca="false">Sens!$G$10765+step_in</f>
        <v>-0.0296712560031684</v>
      </c>
      <c r="I10765" s="28" t="n">
        <f aca="false">Sens!$H$10765+step_in</f>
        <v>-0.0296712560031684</v>
      </c>
      <c r="J10765" s="28" t="n">
        <f aca="false">Sens!$I$10765+step_in</f>
        <v>-0.0296712560031684</v>
      </c>
      <c r="K10765" s="28" t="n">
        <f aca="false">Sens!$J$10765+step_in</f>
        <v>-0.0296712560031684</v>
      </c>
      <c r="L10765" s="28" t="n">
        <f aca="false">Sens!$K$10765</f>
        <v>-0.0296712560031684</v>
      </c>
      <c r="M10765" s="28" t="n">
        <f aca="false">Sens!$L$10765</f>
        <v>-0.0296712560031684</v>
      </c>
      <c r="N10765" s="28" t="n">
        <f aca="false">(Sens!$N$10766-Sens!$N$10762+Sens!$N$10764)/Sens!$N$10763</f>
        <v>-0.0216602600421776</v>
      </c>
      <c r="O10765" s="28" t="n">
        <f aca="false">(Sens!$O$10766-Sens!$O$10762+Sens!$O$10764)/Sens!$O$10763</f>
        <v>-0.0387552477482538</v>
      </c>
      <c r="P10765" s="8" t="s">
        <v>735</v>
      </c>
    </row>
    <row r="10766" customFormat="false" ht="17.15" hidden="false" customHeight="false" outlineLevel="0" collapsed="false">
      <c r="A10766" s="1" t="s">
        <v>741</v>
      </c>
      <c r="B10766" s="8" t="s">
        <v>86</v>
      </c>
      <c r="C10766" s="38" t="n">
        <f aca="false">Q!$D$23</f>
        <v>3.792</v>
      </c>
      <c r="D10766" s="38" t="n">
        <f aca="false">Q!$E$23</f>
        <v>4.75</v>
      </c>
      <c r="E10766" s="38" t="n">
        <f aca="false">Q!$P$23</f>
        <v>3.141</v>
      </c>
      <c r="F10766" s="38" t="n">
        <f aca="false">Sens!$F$10762+Sens!$F$10763*Sens!$F$10765-Sens!$F$10764</f>
        <v>2.77628975993721</v>
      </c>
      <c r="G10766" s="38" t="n">
        <f aca="false">Sens!$E$10766+Sens!$F$10766</f>
        <v>5.91728975993721</v>
      </c>
      <c r="H10766" s="38" t="n">
        <f aca="false">Sens!$H$10762+Sens!$H$10763*Sens!$H$10765-Sens!$H$10764</f>
        <v>6.18860052573681</v>
      </c>
      <c r="I10766" s="38" t="n">
        <f aca="false">Sens!$I$10762+Sens!$I$10763*Sens!$I$10765-Sens!$I$10764</f>
        <v>5.73906974139474</v>
      </c>
      <c r="J10766" s="38" t="n">
        <f aca="false">Sens!$J$10762+Sens!$J$10763*Sens!$J$10765-Sens!$J$10764</f>
        <v>5.34074393695119</v>
      </c>
      <c r="K10766" s="38" t="n">
        <f aca="false">Sens!$K$10762+Sens!$K$10763*Sens!$K$10765-Sens!$K$10764</f>
        <v>4.7015264547793</v>
      </c>
      <c r="L10766" s="38" t="n">
        <f aca="false">Sens!$L$10762+Sens!$L$10763*Sens!$L$10765-Sens!$L$10764</f>
        <v>4.84699445770095</v>
      </c>
      <c r="M10766" s="38" t="n">
        <f aca="false">Sens!$M$10762+Sens!$M$10763*Sens!$M$10765-Sens!$M$10764</f>
        <v>5.79921704230423</v>
      </c>
      <c r="N10766" s="38" t="n">
        <f aca="false">Q!$N$23</f>
        <v>2.511</v>
      </c>
      <c r="O10766" s="38" t="n">
        <f aca="false">Q!$O$23</f>
        <v>2.239</v>
      </c>
    </row>
    <row r="10767" customFormat="false" ht="17.15" hidden="false" customHeight="false" outlineLevel="0" collapsed="false">
      <c r="A10767" s="0" t="s">
        <v>742</v>
      </c>
      <c r="B10767" s="0" t="s">
        <v>86</v>
      </c>
      <c r="C10767" s="38" t="n">
        <f aca="false">Sens!$C$10707</f>
        <v>1.64417882953695</v>
      </c>
      <c r="D10767" s="38" t="n">
        <f aca="false">Sens!$D$10707</f>
        <v>5.39125073772939</v>
      </c>
      <c r="E10767" s="38" t="n">
        <f aca="false">Sens!$E$10707</f>
        <v>2.42691120599613</v>
      </c>
      <c r="F10767" s="38" t="n">
        <f aca="false">Sens!$F$10707</f>
        <v>7.52148563094346</v>
      </c>
      <c r="G10767" s="38" t="n">
        <f aca="false">Sens!$G$10707</f>
        <v>9.94839683693959</v>
      </c>
      <c r="H10767" s="38" t="n">
        <f aca="false">Sens!$H$10707</f>
        <v>23.4804386990861</v>
      </c>
      <c r="I10767" s="38" t="n">
        <f aca="false">Sens!$I$10707</f>
        <v>30.9761745989143</v>
      </c>
      <c r="J10767" s="38" t="n">
        <f aca="false">Sens!$J$10707</f>
        <v>41.1930070746977</v>
      </c>
      <c r="K10767" s="38" t="n">
        <f aca="false">Sens!$K$10707</f>
        <v>46.207109848861</v>
      </c>
      <c r="L10767" s="38" t="n">
        <f aca="false">Sens!$L$10707</f>
        <v>48.6336850741534</v>
      </c>
      <c r="M10767" s="38" t="n">
        <f aca="false">Sens!$M$10707</f>
        <v>48.5170504329428</v>
      </c>
      <c r="N10767" s="38" t="n">
        <f aca="false">Sens!$N$10707</f>
        <v>1.67921600037079</v>
      </c>
      <c r="O10767" s="38" t="n">
        <f aca="false">Sens!$O$10707</f>
        <v>3.71203473735861</v>
      </c>
    </row>
    <row r="10768" customFormat="false" ht="17.15" hidden="false" customHeight="false" outlineLevel="0" collapsed="false">
      <c r="A10768" s="0" t="s">
        <v>660</v>
      </c>
      <c r="B10768" s="0" t="s">
        <v>86</v>
      </c>
      <c r="C10768" s="38" t="n">
        <f aca="false">Sens!$C$10712</f>
        <v>38.1898211704631</v>
      </c>
      <c r="D10768" s="38" t="n">
        <f aca="false">Sens!$D$10712</f>
        <v>40.2147492622706</v>
      </c>
      <c r="E10768" s="38" t="n">
        <f aca="false">Sens!$E$10712</f>
        <v>28.3550887940039</v>
      </c>
      <c r="F10768" s="38" t="n">
        <f aca="false">Sens!$F$10712</f>
        <v>25.9529793149447</v>
      </c>
      <c r="G10768" s="38" t="n">
        <f aca="false">Sens!$G$10712</f>
        <v>54.3080681089486</v>
      </c>
      <c r="H10768" s="38" t="n">
        <f aca="false">Sens!$H$10712</f>
        <v>58.2264684589333</v>
      </c>
      <c r="I10768" s="38" t="n">
        <f aca="false">Sens!$I$10712</f>
        <v>64.6461353851744</v>
      </c>
      <c r="J10768" s="38" t="n">
        <f aca="false">Sens!$J$10712</f>
        <v>70.7957093610231</v>
      </c>
      <c r="K10768" s="38" t="n">
        <f aca="false">Sens!$K$10712</f>
        <v>76.4593661099049</v>
      </c>
      <c r="L10768" s="38" t="n">
        <f aca="false">Sens!$L$10712</f>
        <v>82.5761153986973</v>
      </c>
      <c r="M10768" s="38" t="n">
        <f aca="false">Sens!$M$10712</f>
        <v>89.1822046305931</v>
      </c>
      <c r="N10768" s="38" t="n">
        <f aca="false">Sens!$N$10712</f>
        <v>20.0277839996292</v>
      </c>
      <c r="O10768" s="38" t="n">
        <f aca="false">Sens!$O$10712</f>
        <v>20.1869652626414</v>
      </c>
    </row>
    <row r="10769" customFormat="false" ht="17.15" hidden="false" customHeight="false" outlineLevel="0" collapsed="false">
      <c r="A10769" s="1" t="s">
        <v>743</v>
      </c>
      <c r="B10769" s="8" t="s">
        <v>86</v>
      </c>
      <c r="C10769" s="38" t="n">
        <f aca="false">Q!$D$24</f>
        <v>39.834</v>
      </c>
      <c r="D10769" s="38" t="n">
        <f aca="false">Q!$E$24</f>
        <v>45.606</v>
      </c>
      <c r="E10769" s="38" t="n">
        <f aca="false">Q!$P$24</f>
        <v>30.782</v>
      </c>
      <c r="F10769" s="38" t="n">
        <f aca="false">Sens!$F$10767+Sens!$F$10768</f>
        <v>33.4744649458882</v>
      </c>
      <c r="G10769" s="38" t="n">
        <f aca="false">Sens!$G$10767+Sens!$G$10768</f>
        <v>64.2564649458882</v>
      </c>
      <c r="H10769" s="38" t="n">
        <f aca="false">Sens!$H$10767+Sens!$H$10768</f>
        <v>81.7069071580194</v>
      </c>
      <c r="I10769" s="38" t="n">
        <f aca="false">Sens!$I$10767+Sens!$I$10768</f>
        <v>95.6223099840887</v>
      </c>
      <c r="J10769" s="38" t="n">
        <f aca="false">Sens!$J$10767+Sens!$J$10768</f>
        <v>111.988716435721</v>
      </c>
      <c r="K10769" s="38" t="n">
        <f aca="false">Sens!$K$10767+Sens!$K$10768</f>
        <v>122.666475958766</v>
      </c>
      <c r="L10769" s="38" t="n">
        <f aca="false">Sens!$L$10767+Sens!$L$10768</f>
        <v>131.209800472851</v>
      </c>
      <c r="M10769" s="38" t="n">
        <f aca="false">Sens!$M$10767+Sens!$M$10768</f>
        <v>137.699255063536</v>
      </c>
      <c r="N10769" s="38" t="n">
        <f aca="false">Q!$N$24</f>
        <v>21.707</v>
      </c>
      <c r="O10769" s="38" t="n">
        <f aca="false">Q!$O$24</f>
        <v>23.899</v>
      </c>
    </row>
    <row r="10770" customFormat="false" ht="17.15" hidden="false" customHeight="false" outlineLevel="0" collapsed="false">
      <c r="A10770" s="5" t="s">
        <v>744</v>
      </c>
      <c r="B10770" s="0" t="s">
        <v>86</v>
      </c>
      <c r="C10770" s="38" t="n">
        <f aca="false">Q!$D$26</f>
        <v>0</v>
      </c>
      <c r="D10770" s="38" t="n">
        <f aca="false">Q!$E$26</f>
        <v>0</v>
      </c>
      <c r="E10770" s="38" t="n">
        <f aca="false">Q!$P$26</f>
        <v>0</v>
      </c>
      <c r="F10770" s="39" t="n">
        <v>0</v>
      </c>
      <c r="G10770" s="38" t="n">
        <f aca="false">Sens!$E$10770+Sens!$F$10770</f>
        <v>0</v>
      </c>
      <c r="H10770" s="39" t="n">
        <v>0</v>
      </c>
      <c r="I10770" s="39" t="n">
        <v>0</v>
      </c>
      <c r="J10770" s="39" t="n">
        <v>0</v>
      </c>
      <c r="K10770" s="39" t="n">
        <v>0</v>
      </c>
      <c r="L10770" s="39" t="n">
        <v>0</v>
      </c>
      <c r="M10770" s="39" t="n">
        <v>0</v>
      </c>
      <c r="N10770" s="38" t="n">
        <f aca="false">Q!$N$26</f>
        <v>0</v>
      </c>
      <c r="O10770" s="38" t="n">
        <f aca="false">Q!$O$26</f>
        <v>0</v>
      </c>
    </row>
    <row r="10771" customFormat="false" ht="15" hidden="false" customHeight="false" outlineLevel="0" collapsed="false">
      <c r="A10771" s="3" t="s">
        <v>541</v>
      </c>
      <c r="B10771" s="8" t="s">
        <v>86</v>
      </c>
      <c r="C10771" s="38" t="n">
        <f aca="false">Q!$D$25</f>
        <v>68.593</v>
      </c>
      <c r="D10771" s="38" t="n">
        <f aca="false">Q!$E$25</f>
        <v>79.975</v>
      </c>
      <c r="E10771" s="38" t="n">
        <f aca="false">Q!$P$25</f>
        <v>51.313</v>
      </c>
      <c r="F10771" s="38" t="n">
        <f aca="false">Sens!$F$10761+Sens!$F$10766+Sens!$F$10769+Sens!$F$10770</f>
        <v>56.3652566987294</v>
      </c>
      <c r="G10771" s="38" t="n">
        <f aca="false">Sens!$G$10761+Sens!$G$10766+Sens!$G$10769+Sens!$G$10770</f>
        <v>107.678256698729</v>
      </c>
      <c r="H10771" s="38" t="n">
        <f aca="false">Sens!$H$10761+Sens!$H$10766+Sens!$H$10769+Sens!$H$10770</f>
        <v>129.515456870266</v>
      </c>
      <c r="I10771" s="38" t="n">
        <f aca="false">Sens!$I$10761+Sens!$I$10766+Sens!$I$10769+Sens!$I$10770</f>
        <v>145.345387082626</v>
      </c>
      <c r="J10771" s="38" t="n">
        <f aca="false">Sens!$J$10761+Sens!$J$10766+Sens!$J$10769+Sens!$J$10770</f>
        <v>163.862141869716</v>
      </c>
      <c r="K10771" s="38" t="n">
        <f aca="false">Sens!$K$10761+Sens!$K$10766+Sens!$K$10769+Sens!$K$10770</f>
        <v>175.779323251141</v>
      </c>
      <c r="L10771" s="38" t="n">
        <f aca="false">Sens!$L$10761+Sens!$L$10766+Sens!$L$10769+Sens!$L$10770</f>
        <v>186.955858345587</v>
      </c>
      <c r="M10771" s="38" t="n">
        <f aca="false">Sens!$M$10761+Sens!$M$10766+Sens!$M$10769+Sens!$M$10770</f>
        <v>199.118998363697</v>
      </c>
      <c r="N10771" s="38" t="n">
        <f aca="false">Q!$N$25</f>
        <v>37.576</v>
      </c>
      <c r="O10771" s="38" t="n">
        <f aca="false">Q!$O$25</f>
        <v>42.399</v>
      </c>
    </row>
    <row r="10772" customFormat="false" ht="17.15" hidden="false" customHeight="false" outlineLevel="0" collapsed="false">
      <c r="A10772" s="24" t="s">
        <v>775</v>
      </c>
      <c r="B10772" s="25" t="s">
        <v>86</v>
      </c>
      <c r="C10772" s="41" t="n">
        <f aca="false">Sens!$C$10761+Sens!$C$10766+Sens!$C$10769+Sens!$C$10770-Sens!$C$10771</f>
        <v>0</v>
      </c>
      <c r="D10772" s="41" t="n">
        <f aca="false">Sens!$D$10761+Sens!$D$10766+Sens!$D$10769+Sens!$D$10770-Sens!$D$10771</f>
        <v>0</v>
      </c>
      <c r="E10772" s="41" t="n">
        <f aca="false">Sens!$E$10761+Sens!$E$10766+Sens!$E$10769+Sens!$E$10770-Sens!$E$10771</f>
        <v>0</v>
      </c>
      <c r="F10772" s="41" t="n">
        <f aca="false">Sens!$F$10761+Sens!$F$10766+Sens!$F$10769+Sens!$F$10770-Sens!$F$10771</f>
        <v>0</v>
      </c>
      <c r="G10772" s="41" t="n">
        <f aca="false">Sens!$G$10761+Sens!$G$10766+Sens!$G$10769+Sens!$G$10770-Sens!$G$10771</f>
        <v>0</v>
      </c>
      <c r="H10772" s="41" t="n">
        <f aca="false">Sens!$H$10761+Sens!$H$10766+Sens!$H$10769+Sens!$H$10770-Sens!$H$10771</f>
        <v>0</v>
      </c>
      <c r="I10772" s="41" t="n">
        <f aca="false">Sens!$I$10761+Sens!$I$10766+Sens!$I$10769+Sens!$I$10770-Sens!$I$10771</f>
        <v>0</v>
      </c>
      <c r="J10772" s="41" t="n">
        <f aca="false">Sens!$J$10761+Sens!$J$10766+Sens!$J$10769+Sens!$J$10770-Sens!$J$10771</f>
        <v>0</v>
      </c>
      <c r="K10772" s="41" t="n">
        <f aca="false">Sens!$K$10761+Sens!$K$10766+Sens!$K$10769+Sens!$K$10770-Sens!$K$10771</f>
        <v>0</v>
      </c>
      <c r="L10772" s="41" t="n">
        <f aca="false">Sens!$L$10761+Sens!$L$10766+Sens!$L$10769+Sens!$L$10770-Sens!$L$10771</f>
        <v>0</v>
      </c>
      <c r="M10772" s="41" t="n">
        <f aca="false">Sens!$M$10761+Sens!$M$10766+Sens!$M$10769+Sens!$M$10770-Sens!$M$10771</f>
        <v>0</v>
      </c>
      <c r="N10772" s="41" t="n">
        <f aca="false">Sens!$N$10761+Sens!$N$10766+Sens!$N$10769+Sens!$N$10770-Sens!$N$10771</f>
        <v>0</v>
      </c>
      <c r="O10772" s="41" t="n">
        <f aca="false">Sens!$O$10761+Sens!$O$10766+Sens!$O$10769+Sens!$O$10770-Sens!$O$10771</f>
        <v>0</v>
      </c>
    </row>
    <row r="10773" customFormat="false" ht="17.15" hidden="false" customHeight="false" outlineLevel="0" collapsed="false">
      <c r="A10773" s="5" t="s">
        <v>746</v>
      </c>
      <c r="B10773" s="0" t="s">
        <v>86</v>
      </c>
      <c r="C10773" s="38" t="n">
        <f aca="false">Sens!$C$10709</f>
        <v>0</v>
      </c>
      <c r="D10773" s="38" t="n">
        <f aca="false">Sens!$D$10709</f>
        <v>0</v>
      </c>
      <c r="E10773" s="38" t="n">
        <f aca="false">Sens!$E$10709</f>
        <v>0</v>
      </c>
      <c r="F10773" s="38" t="n">
        <f aca="false">Sens!$F$10709</f>
        <v>3.77122048175818</v>
      </c>
      <c r="G10773" s="38" t="n">
        <f aca="false">Sens!$G$10709</f>
        <v>3.77122048175818</v>
      </c>
      <c r="H10773" s="38" t="n">
        <f aca="false">Sens!$H$10709</f>
        <v>15.1635543609893</v>
      </c>
      <c r="I10773" s="38" t="n">
        <f aca="false">Sens!$I$10709</f>
        <v>25.5818843619889</v>
      </c>
      <c r="J10773" s="38" t="n">
        <f aca="false">Sens!$J$10709</f>
        <v>36.0465624179122</v>
      </c>
      <c r="K10773" s="38" t="n">
        <f aca="false">Sens!$K$10709</f>
        <v>45.0461919819152</v>
      </c>
      <c r="L10773" s="38" t="n">
        <f aca="false">Sens!$L$10709</f>
        <v>51.1279288493339</v>
      </c>
      <c r="M10773" s="38" t="n">
        <f aca="false">Sens!$M$10709</f>
        <v>54.2845128319481</v>
      </c>
      <c r="N10773" s="38" t="n">
        <f aca="false">Sens!$N$10709</f>
        <v>0</v>
      </c>
      <c r="O10773" s="38" t="n">
        <f aca="false">Sens!$O$10709</f>
        <v>0</v>
      </c>
      <c r="P10773" s="5" t="s">
        <v>747</v>
      </c>
    </row>
    <row r="10774" customFormat="false" ht="17.15" hidden="false" customHeight="false" outlineLevel="0" collapsed="false">
      <c r="A10774" s="5" t="s">
        <v>748</v>
      </c>
      <c r="B10774" s="0" t="s">
        <v>86</v>
      </c>
      <c r="C10774" s="38" t="n">
        <f aca="false">Sens!$C$10771+Sens!$C$10773</f>
        <v>68.593</v>
      </c>
      <c r="D10774" s="38" t="n">
        <f aca="false">Sens!$D$10771+Sens!$D$10773</f>
        <v>79.975</v>
      </c>
      <c r="E10774" s="38" t="n">
        <f aca="false">Sens!$E$10771+Sens!$E$10773</f>
        <v>51.313</v>
      </c>
      <c r="F10774" s="38" t="n">
        <f aca="false">Sens!$F$10771+Sens!$F$10773</f>
        <v>60.1364771804876</v>
      </c>
      <c r="G10774" s="38" t="n">
        <f aca="false">Sens!$G$10771+Sens!$G$10773</f>
        <v>111.449477180488</v>
      </c>
      <c r="H10774" s="38" t="n">
        <f aca="false">Sens!$H$10771+Sens!$H$10773</f>
        <v>144.679011231256</v>
      </c>
      <c r="I10774" s="38" t="n">
        <f aca="false">Sens!$I$10771+Sens!$I$10773</f>
        <v>170.927271444615</v>
      </c>
      <c r="J10774" s="38" t="n">
        <f aca="false">Sens!$J$10771+Sens!$J$10773</f>
        <v>199.908704287628</v>
      </c>
      <c r="K10774" s="38" t="n">
        <f aca="false">Sens!$K$10771+Sens!$K$10773</f>
        <v>220.825515233056</v>
      </c>
      <c r="L10774" s="38" t="n">
        <f aca="false">Sens!$L$10771+Sens!$L$10773</f>
        <v>238.083787194921</v>
      </c>
      <c r="M10774" s="38" t="n">
        <f aca="false">Sens!$M$10771+Sens!$M$10773</f>
        <v>253.403511195645</v>
      </c>
      <c r="N10774" s="38" t="n">
        <f aca="false">Sens!$N$10771+Sens!$N$10773</f>
        <v>37.576</v>
      </c>
      <c r="O10774" s="38" t="n">
        <f aca="false">Sens!$O$10771+Sens!$O$10773</f>
        <v>42.399</v>
      </c>
    </row>
    <row r="10775" customFormat="false" ht="17.15" hidden="false" customHeight="false" outlineLevel="0" collapsed="false">
      <c r="A10775" s="0" t="s">
        <v>749</v>
      </c>
      <c r="B10775" s="0" t="s">
        <v>52</v>
      </c>
      <c r="C10775" s="13" t="n">
        <f aca="false">Sens!$C$10761/Sens!$C$10746</f>
        <v>0.0644314665661928</v>
      </c>
      <c r="D10775" s="13" t="n">
        <f aca="false">Sens!$D$10761/Sens!$D$10746</f>
        <v>0.0694784250712518</v>
      </c>
      <c r="E10775" s="13" t="n">
        <f aca="false">Sens!$E$10761/Sens!$E$10746</f>
        <v>0.0789306463326071</v>
      </c>
      <c r="F10775" s="13" t="n">
        <f aca="false">Sens!$F$10761/Sens!$F$10746</f>
        <v>0.0802526339438384</v>
      </c>
      <c r="G10775" s="13" t="n">
        <f aca="false">Sens!$G$10761/Sens!$G$10746</f>
        <v>0.0796341940538369</v>
      </c>
      <c r="H10775" s="13" t="n">
        <f aca="false">Sens!$H$10761/Sens!$H$10746</f>
        <v>0.0798254462645258</v>
      </c>
      <c r="I10775" s="13" t="n">
        <f aca="false">Sens!$I$10761/Sens!$I$10746</f>
        <v>0.0771454543672196</v>
      </c>
      <c r="J10775" s="13" t="n">
        <f aca="false">Sens!$J$10761/Sens!$J$10746</f>
        <v>0.0756147693819656</v>
      </c>
      <c r="K10775" s="13" t="n">
        <f aca="false">Sens!$K$10761/Sens!$K$10746</f>
        <v>0.0738869244938598</v>
      </c>
      <c r="L10775" s="13" t="n">
        <f aca="false">Sens!$L$10761/Sens!$L$10746</f>
        <v>0.0729413856455048</v>
      </c>
      <c r="M10775" s="13" t="n">
        <f aca="false">Sens!$M$10761/Sens!$M$10746</f>
        <v>0.0748191774302641</v>
      </c>
      <c r="N10775" s="13" t="n">
        <f aca="false">Sens!$N$10761/Sens!$N$10746</f>
        <v>0.069228576611127</v>
      </c>
      <c r="O10775" s="13" t="n">
        <f aca="false">Sens!$O$10761/Sens!$O$10746</f>
        <v>0.069685022498393</v>
      </c>
    </row>
    <row r="10776" customFormat="false" ht="17.15" hidden="false" customHeight="false" outlineLevel="0" collapsed="false">
      <c r="A10776" s="0" t="s">
        <v>750</v>
      </c>
      <c r="B10776" s="0" t="s">
        <v>52</v>
      </c>
      <c r="C10776" s="13" t="n">
        <f aca="false">Sens!$C$10766/Sens!$C$10747</f>
        <v>0.026534925055631</v>
      </c>
      <c r="D10776" s="13" t="n">
        <f aca="false">Sens!$D$10766/Sens!$D$10747</f>
        <v>0.0293401855535103</v>
      </c>
      <c r="E10776" s="13" t="n">
        <f aca="false">Sens!$E$10766/Sens!$E$10747</f>
        <v>0.03831141902276</v>
      </c>
      <c r="F10776" s="13" t="n">
        <f aca="false">Sens!$F$10766/Sens!$F$10747</f>
        <v>0.0282118989524726</v>
      </c>
      <c r="G10776" s="13" t="n">
        <f aca="false">Sens!$G$10766/Sens!$G$10747</f>
        <v>0.0328019468674976</v>
      </c>
      <c r="H10776" s="13" t="n">
        <f aca="false">Sens!$H$10766/Sens!$H$10747</f>
        <v>0.0309879507899839</v>
      </c>
      <c r="I10776" s="13" t="n">
        <f aca="false">Sens!$I$10766/Sens!$I$10747</f>
        <v>0.0262795332043765</v>
      </c>
      <c r="J10776" s="13" t="n">
        <f aca="false">Sens!$J$10766/Sens!$J$10747</f>
        <v>0.0226574435353346</v>
      </c>
      <c r="K10776" s="13" t="n">
        <f aca="false">Sens!$K$10766/Sens!$K$10747</f>
        <v>0.0187335524288883</v>
      </c>
      <c r="L10776" s="13" t="n">
        <f aca="false">Sens!$L$10766/Sens!$L$10747</f>
        <v>0.0181341556704294</v>
      </c>
      <c r="M10776" s="13" t="n">
        <f aca="false">Sens!$M$10766/Sens!$M$10747</f>
        <v>0.0203660964800158</v>
      </c>
      <c r="N10776" s="13" t="n">
        <f aca="false">Sens!$N$10766/Sens!$N$10747</f>
        <v>0.0357315650169337</v>
      </c>
      <c r="O10776" s="13" t="n">
        <f aca="false">Sens!$O$10766/Sens!$O$10747</f>
        <v>0.0244378956559703</v>
      </c>
    </row>
    <row r="10777" customFormat="false" ht="17.15" hidden="false" customHeight="false" outlineLevel="0" collapsed="false">
      <c r="A10777" s="14" t="s">
        <v>751</v>
      </c>
      <c r="B10777" s="14" t="s">
        <v>52</v>
      </c>
      <c r="C10777" s="17" t="n">
        <f aca="false">Sens!$C$10769/Sens!$C$10748</f>
        <v>0.370355907620217</v>
      </c>
      <c r="D10777" s="17" t="n">
        <f aca="false">Sens!$D$10769/Sens!$D$10748</f>
        <v>0.35429015342785</v>
      </c>
      <c r="E10777" s="17" t="n">
        <f aca="false">Sens!$E$10769/Sens!$E$10748</f>
        <v>0.385647527531039</v>
      </c>
      <c r="F10777" s="17" t="n">
        <f aca="false">Sens!$F$10769/Sens!$F$10748</f>
        <v>0.385949613469105</v>
      </c>
      <c r="G10777" s="17" t="n">
        <f aca="false">Sens!$G$10769/Sens!$G$10748</f>
        <v>0.385804840448779</v>
      </c>
      <c r="H10777" s="17" t="n">
        <f aca="false">Sens!$H$10769/Sens!$H$10748</f>
        <v>0.369408675360557</v>
      </c>
      <c r="I10777" s="17" t="n">
        <f aca="false">Sens!$I$10769/Sens!$I$10748</f>
        <v>0.34117504540738</v>
      </c>
      <c r="J10777" s="17" t="n">
        <f aca="false">Sens!$J$10769/Sens!$J$10748</f>
        <v>0.330544285732563</v>
      </c>
      <c r="K10777" s="17" t="n">
        <f aca="false">Sens!$K$10769/Sens!$K$10748</f>
        <v>0.314391026840651</v>
      </c>
      <c r="L10777" s="17" t="n">
        <f aca="false">Sens!$L$10769/Sens!$L$10748</f>
        <v>0.304277342899302</v>
      </c>
      <c r="M10777" s="17" t="n">
        <f aca="false">Sens!$M$10769/Sens!$M$10748</f>
        <v>0.298043452941865</v>
      </c>
      <c r="N10777" s="17" t="n">
        <f aca="false">Sens!$N$10769/Sens!$N$10748</f>
        <v>0.360941137346192</v>
      </c>
      <c r="O10777" s="17" t="n">
        <f aca="false">Sens!$O$10769/Sens!$O$10748</f>
        <v>0.348458117664212</v>
      </c>
    </row>
    <row r="10778" customFormat="false" ht="17.15" hidden="false" customHeight="false" outlineLevel="0" collapsed="false">
      <c r="A10778" s="0" t="s">
        <v>752</v>
      </c>
      <c r="B10778" s="0" t="s">
        <v>52</v>
      </c>
      <c r="C10778" s="13" t="n">
        <f aca="false">Sens!$C$10767/Sens!$C$10749</f>
        <v>0.708390794789371</v>
      </c>
      <c r="D10778" s="13" t="n">
        <f aca="false">Sens!$D$10767/Sens!$D$10749</f>
        <v>0.619415573115729</v>
      </c>
      <c r="E10778" s="13" t="n">
        <f aca="false">Sens!$E$10767/Sens!$E$10749</f>
        <v>0.285171627189009</v>
      </c>
      <c r="F10778" s="13" t="n">
        <f aca="false">Sens!$F$10767/Sens!$F$10749</f>
        <v>0.502657732812366</v>
      </c>
      <c r="G10778" s="13" t="n">
        <f aca="false">Sens!$G$10767/Sens!$G$10749</f>
        <v>0.423808778611812</v>
      </c>
      <c r="H10778" s="13" t="n">
        <f aca="false">Sens!$H$10767/Sens!$H$10749</f>
        <v>0.390261631739809</v>
      </c>
      <c r="I10778" s="13" t="n">
        <f aca="false">Sens!$I$10767/Sens!$I$10749</f>
        <v>0.305172864264572</v>
      </c>
      <c r="J10778" s="13" t="n">
        <f aca="false">Sens!$J$10767/Sens!$J$10749</f>
        <v>0.288011814789856</v>
      </c>
      <c r="K10778" s="13" t="n">
        <f aca="false">Sens!$K$10767/Sens!$K$10749</f>
        <v>0.258524307562373</v>
      </c>
      <c r="L10778" s="13" t="n">
        <f aca="false">Sens!$L$10767/Sens!$L$10749</f>
        <v>0.23973400446073</v>
      </c>
      <c r="M10778" s="13" t="n">
        <f aca="false">Sens!$M$10767/Sens!$M$10749</f>
        <v>0.225252234257832</v>
      </c>
      <c r="N10778" s="13" t="n">
        <f aca="false">Sens!$N$10767/Sens!$N$10749</f>
        <v>0.551227795793364</v>
      </c>
      <c r="O10778" s="13" t="n">
        <f aca="false">Sens!$O$10767/Sens!$O$10749</f>
        <v>0.656132068597002</v>
      </c>
    </row>
    <row r="10779" customFormat="false" ht="15" hidden="false" customHeight="false" outlineLevel="0" collapsed="false">
      <c r="A10779" s="5" t="s">
        <v>753</v>
      </c>
      <c r="B10779" s="0" t="s">
        <v>52</v>
      </c>
      <c r="C10779" s="13" t="n">
        <f aca="false">Sens!$C$10771/Sens!$C$10751</f>
        <v>0.107519448742004</v>
      </c>
      <c r="D10779" s="13" t="n">
        <f aca="false">Sens!$D$10771/Sens!$D$10751</f>
        <v>0.111552967957552</v>
      </c>
      <c r="E10779" s="13" t="n">
        <f aca="false">Sens!$E$10771/Sens!$E$10751</f>
        <v>0.13428328426562</v>
      </c>
      <c r="F10779" s="13" t="n">
        <f aca="false">Sens!$F$10771/Sens!$F$10751</f>
        <v>0.129343087287827</v>
      </c>
      <c r="G10779" s="13" t="n">
        <f aca="false">Sens!$G$10771/Sens!$G$10751</f>
        <v>0.131651143259596</v>
      </c>
      <c r="H10779" s="13" t="n">
        <f aca="false">Sens!$H$10771/Sens!$H$10751</f>
        <v>0.137449034763893</v>
      </c>
      <c r="I10779" s="13" t="n">
        <f aca="false">Sens!$I$10771/Sens!$I$10751</f>
        <v>0.13598895915033</v>
      </c>
      <c r="J10779" s="13" t="n">
        <f aca="false">Sens!$J$10771/Sens!$J$10751</f>
        <v>0.137709769017663</v>
      </c>
      <c r="K10779" s="13" t="n">
        <f aca="false">Sens!$K$10771/Sens!$K$10751</f>
        <v>0.135595769442478</v>
      </c>
      <c r="L10779" s="13" t="n">
        <f aca="false">Sens!$L$10771/Sens!$L$10751</f>
        <v>0.133892716933209</v>
      </c>
      <c r="M10779" s="13" t="n">
        <f aca="false">Sens!$M$10771/Sens!$M$10751</f>
        <v>0.133622690533493</v>
      </c>
      <c r="N10779" s="13" t="n">
        <f aca="false">Sens!$N$10771/Sens!$N$10751</f>
        <v>0.116201614873411</v>
      </c>
      <c r="O10779" s="13" t="n">
        <f aca="false">Sens!$O$10771/Sens!$O$10751</f>
        <v>0.107733353660861</v>
      </c>
    </row>
    <row r="10780" customFormat="false" ht="17.15" hidden="false" customHeight="false" outlineLevel="0" collapsed="false">
      <c r="A10780" s="1" t="s">
        <v>754</v>
      </c>
    </row>
    <row r="10781" customFormat="false" ht="17.15" hidden="false" customHeight="false" outlineLevel="0" collapsed="false">
      <c r="A10781" s="5" t="s">
        <v>755</v>
      </c>
      <c r="B10781" s="0" t="s">
        <v>52</v>
      </c>
      <c r="D10781" s="28" t="n">
        <f aca="false">(Q!$E$29+Q!$E$30-(1-ext_sh)*Sens!$D$10703)/Sens!$D$10654</f>
        <v>0.0341105596409988</v>
      </c>
    </row>
    <row r="10782" customFormat="false" ht="17.15" hidden="false" customHeight="false" outlineLevel="0" collapsed="false">
      <c r="A10782" s="0" t="s">
        <v>545</v>
      </c>
      <c r="B10782" s="0" t="s">
        <v>86</v>
      </c>
      <c r="C10782" s="38" t="n">
        <f aca="false">Q!$D$29</f>
        <v>14.285</v>
      </c>
      <c r="D10782" s="38" t="n">
        <f aca="false">Q!$E$29</f>
        <v>15.503</v>
      </c>
      <c r="E10782" s="38" t="n">
        <f aca="false">Q!$P$29</f>
        <v>8.78</v>
      </c>
      <c r="F10782" s="38" t="n">
        <f aca="false">(Sens!$D$10781*Sens!$F$10654+(1-ext_sh)*Sens!$F$10703)*Sens!$F$10655</f>
        <v>9.30317620449232</v>
      </c>
      <c r="G10782" s="38" t="n">
        <f aca="false">Sens!$E$10782+Sens!$F$10782</f>
        <v>18.0831762044923</v>
      </c>
      <c r="H10782" s="38" t="n">
        <f aca="false">(Sens!$D$10781*Sens!$H$10654+(1-ext_sh)*Sens!$H$10703)*Sens!$H$10655</f>
        <v>22.1297245338482</v>
      </c>
      <c r="I10782" s="38" t="n">
        <f aca="false">(Sens!$D$10781*Sens!$I$10654+(1-ext_sh)*Sens!$I$10703)*Sens!$I$10655</f>
        <v>28.409695984391</v>
      </c>
      <c r="J10782" s="38" t="n">
        <f aca="false">(Sens!$D$10781*Sens!$J$10654+(1-ext_sh)*Sens!$J$10703)*Sens!$J$10655</f>
        <v>34.1085606174579</v>
      </c>
      <c r="K10782" s="38" t="n">
        <f aca="false">(Sens!$D$10781*Sens!$K$10654+(1-ext_sh)*Sens!$K$10703)*Sens!$K$10655</f>
        <v>39.7218983009068</v>
      </c>
      <c r="L10782" s="38" t="n">
        <f aca="false">(Sens!$D$10781*Sens!$L$10654+(1-ext_sh)*Sens!$L$10703)*Sens!$L$10655</f>
        <v>44.2244356822401</v>
      </c>
      <c r="M10782" s="38" t="n">
        <f aca="false">(Sens!$D$10781*Sens!$M$10654+(1-ext_sh)*Sens!$M$10703)*Sens!$M$10655</f>
        <v>47.610530532044</v>
      </c>
      <c r="N10782" s="38" t="n">
        <f aca="false">Q!$N$29</f>
        <v>7.272</v>
      </c>
      <c r="O10782" s="38" t="n">
        <f aca="false">Q!$O$29</f>
        <v>8.231</v>
      </c>
    </row>
    <row r="10783" customFormat="false" ht="17.15" hidden="false" customHeight="false" outlineLevel="0" collapsed="false">
      <c r="A10783" s="0" t="s">
        <v>547</v>
      </c>
      <c r="B10783" s="0" t="s">
        <v>86</v>
      </c>
      <c r="C10783" s="38" t="n">
        <f aca="false">Q!$D$30</f>
        <v>4.462</v>
      </c>
      <c r="D10783" s="38" t="n">
        <f aca="false">Q!$E$30</f>
        <v>4.907</v>
      </c>
      <c r="E10783" s="38" t="n">
        <f aca="false">Q!$P$30</f>
        <v>2.57</v>
      </c>
      <c r="F10783" s="38" t="n">
        <f aca="false">(Sens!$D$10781*Sens!$F$10654+(1-ext_sh)*Sens!$F$10703)*(1-Sens!$F$10655)</f>
        <v>3.6526976809753</v>
      </c>
      <c r="G10783" s="38" t="n">
        <f aca="false">Sens!$E$10783+Sens!$F$10783</f>
        <v>6.2226976809753</v>
      </c>
      <c r="H10783" s="38" t="n">
        <f aca="false">(Sens!$D$10781*Sens!$H$10654+(1-ext_sh)*Sens!$H$10703)*(1-Sens!$H$10655)</f>
        <v>8.4764774248495</v>
      </c>
      <c r="I10783" s="38" t="n">
        <f aca="false">(Sens!$D$10781*Sens!$I$10654+(1-ext_sh)*Sens!$I$10703)*(1-Sens!$I$10655)</f>
        <v>10.881931507561</v>
      </c>
      <c r="J10783" s="38" t="n">
        <f aca="false">(Sens!$D$10781*Sens!$J$10654+(1-ext_sh)*Sens!$J$10703)*(1-Sens!$J$10655)</f>
        <v>13.0648008575874</v>
      </c>
      <c r="K10783" s="38" t="n">
        <f aca="false">(Sens!$D$10781*Sens!$K$10654+(1-ext_sh)*Sens!$K$10703)*(1-Sens!$K$10655)</f>
        <v>15.2149103214008</v>
      </c>
      <c r="L10783" s="38" t="n">
        <f aca="false">(Sens!$D$10781*Sens!$L$10654+(1-ext_sh)*Sens!$L$10703)*(1-Sens!$L$10655)</f>
        <v>16.9395434685074</v>
      </c>
      <c r="M10783" s="38" t="n">
        <f aca="false">(Sens!$D$10781*Sens!$M$10654+(1-ext_sh)*Sens!$M$10703)*(1-Sens!$M$10655)</f>
        <v>18.2365391228754</v>
      </c>
      <c r="N10783" s="38" t="n">
        <f aca="false">Q!$N$30</f>
        <v>2.316</v>
      </c>
      <c r="O10783" s="38" t="n">
        <f aca="false">Q!$O$30</f>
        <v>2.591</v>
      </c>
    </row>
    <row r="10784" customFormat="false" ht="17.15" hidden="false" customHeight="false" outlineLevel="0" collapsed="false">
      <c r="A10784" s="0" t="s">
        <v>548</v>
      </c>
      <c r="B10784" s="0" t="s">
        <v>86</v>
      </c>
      <c r="C10784" s="38" t="n">
        <f aca="false">Sens!$C$10715</f>
        <v>13.32</v>
      </c>
      <c r="D10784" s="38" t="n">
        <f aca="false">Sens!$D$10715</f>
        <v>21.45</v>
      </c>
      <c r="E10784" s="38" t="n">
        <f aca="false">Sens!$E$10715</f>
        <v>15.353</v>
      </c>
      <c r="F10784" s="38" t="n">
        <f aca="false">Sens!$F$10715</f>
        <v>16.1969869840094</v>
      </c>
      <c r="G10784" s="38" t="n">
        <f aca="false">Sens!$G$10715</f>
        <v>31.5499869840094</v>
      </c>
      <c r="H10784" s="38" t="n">
        <f aca="false">Sens!$H$10715</f>
        <v>50.9556213609176</v>
      </c>
      <c r="I10784" s="38" t="n">
        <f aca="false">Sens!$I$10715</f>
        <v>79.464581248252</v>
      </c>
      <c r="J10784" s="38" t="n">
        <f aca="false">Sens!$J$10715</f>
        <v>105.296127931746</v>
      </c>
      <c r="K10784" s="38" t="n">
        <f aca="false">Sens!$K$10715</f>
        <v>131.454694001511</v>
      </c>
      <c r="L10784" s="38" t="n">
        <f aca="false">Sens!$L$10715</f>
        <v>151.152512648088</v>
      </c>
      <c r="M10784" s="38" t="n">
        <f aca="false">Sens!$M$10715</f>
        <v>164.335621193048</v>
      </c>
      <c r="N10784" s="38" t="n">
        <f aca="false">Sens!$N$10715</f>
        <v>9.234</v>
      </c>
      <c r="O10784" s="38" t="n">
        <f aca="false">Sens!$O$10715</f>
        <v>12.216</v>
      </c>
    </row>
    <row r="10785" customFormat="false" ht="17.15" hidden="false" customHeight="false" outlineLevel="0" collapsed="false">
      <c r="A10785" s="5" t="s">
        <v>756</v>
      </c>
      <c r="B10785" s="0" t="s">
        <v>86</v>
      </c>
      <c r="C10785" s="38" t="n">
        <f aca="false">Sens!$C$10782+Sens!$C$10783+Sens!$C$10784</f>
        <v>32.067</v>
      </c>
      <c r="D10785" s="38" t="n">
        <f aca="false">Sens!$D$10782+Sens!$D$10783+Sens!$D$10784</f>
        <v>41.86</v>
      </c>
      <c r="E10785" s="38" t="n">
        <f aca="false">Sens!$E$10782+Sens!$E$10783+Sens!$E$10784</f>
        <v>26.703</v>
      </c>
      <c r="F10785" s="38" t="n">
        <f aca="false">Sens!$F$10782+Sens!$F$10783+Sens!$F$10784</f>
        <v>29.152860869477</v>
      </c>
      <c r="G10785" s="38" t="n">
        <f aca="false">Sens!$G$10782+Sens!$G$10783+Sens!$G$10784</f>
        <v>55.855860869477</v>
      </c>
      <c r="H10785" s="38" t="n">
        <f aca="false">Sens!$H$10782+Sens!$H$10783+Sens!$H$10784</f>
        <v>81.5618233196153</v>
      </c>
      <c r="I10785" s="38" t="n">
        <f aca="false">Sens!$I$10782+Sens!$I$10783+Sens!$I$10784</f>
        <v>118.756208740204</v>
      </c>
      <c r="J10785" s="38" t="n">
        <f aca="false">Sens!$J$10782+Sens!$J$10783+Sens!$J$10784</f>
        <v>152.469489406791</v>
      </c>
      <c r="K10785" s="38" t="n">
        <f aca="false">Sens!$K$10782+Sens!$K$10783+Sens!$K$10784</f>
        <v>186.391502623819</v>
      </c>
      <c r="L10785" s="38" t="n">
        <f aca="false">Sens!$L$10782+Sens!$L$10783+Sens!$L$10784</f>
        <v>212.316491798836</v>
      </c>
      <c r="M10785" s="38" t="n">
        <f aca="false">Sens!$M$10782+Sens!$M$10783+Sens!$M$10784</f>
        <v>230.182690847967</v>
      </c>
      <c r="N10785" s="38" t="n">
        <f aca="false">Sens!$N$10782+Sens!$N$10783+Sens!$N$10784</f>
        <v>18.822</v>
      </c>
      <c r="O10785" s="38" t="n">
        <f aca="false">Sens!$O$10782+Sens!$O$10783+Sens!$O$10784</f>
        <v>23.038</v>
      </c>
    </row>
    <row r="10786" customFormat="false" ht="17.15" hidden="false" customHeight="false" outlineLevel="0" collapsed="false">
      <c r="A10786" s="0" t="s">
        <v>757</v>
      </c>
      <c r="B10786" s="0" t="s">
        <v>86</v>
      </c>
      <c r="C10786" s="38" t="n">
        <f aca="false">Sens!$C$10757+Sens!$C$10762</f>
        <v>28.107</v>
      </c>
      <c r="D10786" s="38" t="n">
        <f aca="false">Sens!$D$10757+Sens!$D$10762</f>
        <v>34.3175</v>
      </c>
      <c r="E10786" s="38" t="n">
        <f aca="false">Sens!$E$10757+Sens!$E$10762</f>
        <v>18.526</v>
      </c>
      <c r="F10786" s="38" t="n">
        <f aca="false">Sens!$F$10757+Sens!$F$10762</f>
        <v>23.0786109972074</v>
      </c>
      <c r="G10786" s="38" t="n">
        <f aca="false">Sens!$G$10757+Sens!$G$10762</f>
        <v>41.6046109972074</v>
      </c>
      <c r="H10786" s="38" t="n">
        <f aca="false">Sens!$H$10757+Sens!$H$10762</f>
        <v>49.9484611939488</v>
      </c>
      <c r="I10786" s="38" t="n">
        <f aca="false">Sens!$I$10757+Sens!$I$10762</f>
        <v>58.2915555477481</v>
      </c>
      <c r="J10786" s="38" t="n">
        <f aca="false">Sens!$J$10757+Sens!$J$10762</f>
        <v>66.0744709709759</v>
      </c>
      <c r="K10786" s="38" t="n">
        <f aca="false">Sens!$K$10757+Sens!$K$10762</f>
        <v>72.6819180680735</v>
      </c>
      <c r="L10786" s="38" t="n">
        <f aca="false">Sens!$L$10757+Sens!$L$10762</f>
        <v>79.9501098748808</v>
      </c>
      <c r="M10786" s="38" t="n">
        <f aca="false">Sens!$M$10757+Sens!$M$10762</f>
        <v>87.9451208623689</v>
      </c>
      <c r="N10786" s="38" t="n">
        <f aca="false">Sens!$N$10757+Sens!$N$10762</f>
        <v>14.8075</v>
      </c>
      <c r="O10786" s="38" t="n">
        <f aca="false">Sens!$O$10757+Sens!$O$10762</f>
        <v>19.51</v>
      </c>
    </row>
    <row r="10787" customFormat="false" ht="17.15" hidden="false" customHeight="false" outlineLevel="0" collapsed="false">
      <c r="A10787" s="0" t="s">
        <v>758</v>
      </c>
      <c r="B10787" s="0" t="s">
        <v>86</v>
      </c>
      <c r="C10787" s="38" t="n">
        <f aca="false">Sens!$C$10761+Sens!$C$10766+Sens!$C$10782+Sens!$C$10783-Sens!$C$10786</f>
        <v>19.399</v>
      </c>
      <c r="D10787" s="38" t="n">
        <f aca="false">Sens!$D$10761+Sens!$D$10766+Sens!$D$10782+Sens!$D$10783-Sens!$D$10786</f>
        <v>20.4615</v>
      </c>
      <c r="E10787" s="38" t="n">
        <f aca="false">Sens!$E$10761+Sens!$E$10766+Sens!$E$10782+Sens!$E$10783-Sens!$E$10786</f>
        <v>13.355</v>
      </c>
      <c r="F10787" s="38" t="n">
        <f aca="false">Sens!$F$10761+Sens!$F$10766+Sens!$F$10782+Sens!$F$10783-Sens!$F$10786</f>
        <v>12.7680546411015</v>
      </c>
      <c r="G10787" s="38" t="n">
        <f aca="false">Sens!$G$10761+Sens!$G$10766+Sens!$G$10782+Sens!$G$10783-Sens!$G$10786</f>
        <v>26.1230546411015</v>
      </c>
      <c r="H10787" s="38" t="n">
        <f aca="false">Sens!$H$10761+Sens!$H$10766+Sens!$H$10782+Sens!$H$10783-Sens!$H$10786</f>
        <v>28.4662904769959</v>
      </c>
      <c r="I10787" s="38" t="n">
        <f aca="false">Sens!$I$10761+Sens!$I$10766+Sens!$I$10782+Sens!$I$10783-Sens!$I$10786</f>
        <v>30.7231490427408</v>
      </c>
      <c r="J10787" s="38" t="n">
        <f aca="false">Sens!$J$10761+Sens!$J$10766+Sens!$J$10782+Sens!$J$10783-Sens!$J$10786</f>
        <v>32.9723159380642</v>
      </c>
      <c r="K10787" s="38" t="n">
        <f aca="false">Sens!$K$10761+Sens!$K$10766+Sens!$K$10782+Sens!$K$10783-Sens!$K$10786</f>
        <v>35.3677378466089</v>
      </c>
      <c r="L10787" s="38" t="n">
        <f aca="false">Sens!$L$10761+Sens!$L$10766+Sens!$L$10782+Sens!$L$10783-Sens!$L$10786</f>
        <v>36.9599271486027</v>
      </c>
      <c r="M10787" s="38" t="n">
        <f aca="false">Sens!$M$10761+Sens!$M$10766+Sens!$M$10782+Sens!$M$10783-Sens!$M$10786</f>
        <v>39.3216920927112</v>
      </c>
      <c r="N10787" s="38" t="n">
        <f aca="false">Sens!$N$10761+Sens!$N$10766+Sens!$N$10782+Sens!$N$10783-Sens!$N$10786</f>
        <v>10.6495</v>
      </c>
      <c r="O10787" s="38" t="n">
        <f aca="false">Sens!$O$10761+Sens!$O$10766+Sens!$O$10782+Sens!$O$10783-Sens!$O$10786</f>
        <v>9.81200000000001</v>
      </c>
    </row>
    <row r="10788" customFormat="false" ht="17.15" hidden="false" customHeight="false" outlineLevel="0" collapsed="false">
      <c r="A10788" s="0" t="s">
        <v>759</v>
      </c>
      <c r="B10788" s="0" t="s">
        <v>86</v>
      </c>
      <c r="C10788" s="38" t="n">
        <f aca="false">Sens!$C$10768+Sens!$C$10784-ext_sh*Sens!$C$10703</f>
        <v>51.3470500115664</v>
      </c>
      <c r="D10788" s="38" t="n">
        <f aca="false">Sens!$D$10768+Sens!$D$10784-ext_sh*Sens!$D$10703</f>
        <v>60.2799375433739</v>
      </c>
      <c r="E10788" s="38" t="n">
        <f aca="false">Sens!$E$10768+Sens!$E$10784-ext_sh*Sens!$E$10703</f>
        <v>39.5095167090767</v>
      </c>
      <c r="F10788" s="38" t="n">
        <f aca="false">Sens!$F$10768+Sens!$F$10784-ext_sh*Sens!$F$10703</f>
        <v>37.951394214027</v>
      </c>
      <c r="G10788" s="38" t="n">
        <f aca="false">Sens!$G$10768+Sens!$G$10784-ext_sh*Sens!$G$10703</f>
        <v>77.4609109231037</v>
      </c>
      <c r="H10788" s="38" t="n">
        <f aca="false">Sens!$H$10768+Sens!$H$10784-ext_sh*Sens!$H$10703</f>
        <v>85.1453558128916</v>
      </c>
      <c r="I10788" s="38" t="n">
        <f aca="false">Sens!$I$10768+Sens!$I$10784-ext_sh*Sens!$I$10703</f>
        <v>94.532921967974</v>
      </c>
      <c r="J10788" s="38" t="n">
        <f aca="false">Sens!$J$10768+Sens!$J$10784-ext_sh*Sens!$J$10703</f>
        <v>103.525527532583</v>
      </c>
      <c r="K10788" s="38" t="n">
        <f aca="false">Sens!$K$10768+Sens!$K$10784-ext_sh*Sens!$K$10703</f>
        <v>111.80756973519</v>
      </c>
      <c r="L10788" s="38" t="n">
        <f aca="false">Sens!$L$10768+Sens!$L$10784-ext_sh*Sens!$L$10703</f>
        <v>120.752175314005</v>
      </c>
      <c r="M10788" s="38" t="n">
        <f aca="false">Sens!$M$10768+Sens!$M$10784-ext_sh*Sens!$M$10703</f>
        <v>130.412349339125</v>
      </c>
      <c r="N10788" s="38" t="n">
        <f aca="false">Sens!$N$10768+Sens!$N$10784-ext_sh*Sens!$N$10703</f>
        <v>28.5693781401809</v>
      </c>
      <c r="O10788" s="38" t="n">
        <f aca="false">Sens!$O$10768+Sens!$O$10784-ext_sh*Sens!$O$10703</f>
        <v>31.7105594031931</v>
      </c>
    </row>
    <row r="10789" customFormat="false" ht="17.15" hidden="false" customHeight="false" outlineLevel="0" collapsed="false">
      <c r="A10789" s="0" t="s">
        <v>760</v>
      </c>
      <c r="B10789" s="0" t="s">
        <v>86</v>
      </c>
      <c r="C10789" s="38" t="n">
        <f aca="false">Sens!$C$10706</f>
        <v>1.80694998843362</v>
      </c>
      <c r="D10789" s="38" t="n">
        <f aca="false">Sens!$D$10706</f>
        <v>6.77606245662607</v>
      </c>
      <c r="E10789" s="38" t="n">
        <f aca="false">Sens!$E$10706</f>
        <v>6.62548329092326</v>
      </c>
      <c r="F10789" s="38" t="n">
        <f aca="false">Sens!$F$10706</f>
        <v>11.7200577158706</v>
      </c>
      <c r="G10789" s="38" t="n">
        <f aca="false">Sens!$G$10706</f>
        <v>18.3455410067939</v>
      </c>
      <c r="H10789" s="38" t="n">
        <f aca="false">Sens!$H$10706</f>
        <v>47.5171727060453</v>
      </c>
      <c r="I10789" s="38" t="n">
        <f aca="false">Sens!$I$10706</f>
        <v>80.5539692643667</v>
      </c>
      <c r="J10789" s="38" t="n">
        <f aca="false">Sens!$J$10706</f>
        <v>113.759316834883</v>
      </c>
      <c r="K10789" s="38" t="n">
        <f aca="false">Sens!$K$10706</f>
        <v>142.313600225088</v>
      </c>
      <c r="L10789" s="38" t="n">
        <f aca="false">Sens!$L$10706</f>
        <v>161.610137806934</v>
      </c>
      <c r="M10789" s="38" t="n">
        <f aca="false">Sens!$M$10706</f>
        <v>171.622526917459</v>
      </c>
      <c r="N10789" s="38" t="n">
        <f aca="false">Sens!$N$10706</f>
        <v>2.37162185981912</v>
      </c>
      <c r="O10789" s="38" t="n">
        <f aca="false">Sens!$O$10706</f>
        <v>4.40444059680694</v>
      </c>
    </row>
    <row r="10790" customFormat="false" ht="17.15" hidden="false" customHeight="false" outlineLevel="0" collapsed="false">
      <c r="A10790" s="0" t="s">
        <v>761</v>
      </c>
      <c r="B10790" s="0" t="s">
        <v>86</v>
      </c>
      <c r="C10790" s="38" t="n">
        <f aca="false">Sens!$C$10771+Sens!$C$10785</f>
        <v>100.66</v>
      </c>
      <c r="D10790" s="38" t="n">
        <f aca="false">Sens!$D$10771+Sens!$D$10785</f>
        <v>121.835</v>
      </c>
      <c r="E10790" s="38" t="n">
        <f aca="false">Sens!$E$10771+Sens!$E$10785</f>
        <v>78.016</v>
      </c>
      <c r="F10790" s="38" t="n">
        <f aca="false">Sens!$F$10771+Sens!$F$10785</f>
        <v>85.5181175682064</v>
      </c>
      <c r="G10790" s="38" t="n">
        <f aca="false">Sens!$G$10771+Sens!$G$10785</f>
        <v>163.534117568206</v>
      </c>
      <c r="H10790" s="38" t="n">
        <f aca="false">Sens!$H$10771+Sens!$H$10785</f>
        <v>211.077280189882</v>
      </c>
      <c r="I10790" s="38" t="n">
        <f aca="false">Sens!$I$10771+Sens!$I$10785</f>
        <v>264.10159582283</v>
      </c>
      <c r="J10790" s="38" t="n">
        <f aca="false">Sens!$J$10771+Sens!$J$10785</f>
        <v>316.331631276507</v>
      </c>
      <c r="K10790" s="38" t="n">
        <f aca="false">Sens!$K$10771+Sens!$K$10785</f>
        <v>362.17082587496</v>
      </c>
      <c r="L10790" s="38" t="n">
        <f aca="false">Sens!$L$10771+Sens!$L$10785</f>
        <v>399.272350144423</v>
      </c>
      <c r="M10790" s="38" t="n">
        <f aca="false">Sens!$M$10771+Sens!$M$10785</f>
        <v>429.301689211664</v>
      </c>
      <c r="N10790" s="38" t="n">
        <f aca="false">Sens!$N$10771+Sens!$N$10785</f>
        <v>56.398</v>
      </c>
      <c r="O10790" s="38" t="n">
        <f aca="false">Sens!$O$10771+Sens!$O$10785</f>
        <v>65.437</v>
      </c>
    </row>
    <row r="10791" customFormat="false" ht="17.15" hidden="false" customHeight="false" outlineLevel="0" collapsed="false">
      <c r="A10791" s="1" t="s">
        <v>762</v>
      </c>
    </row>
    <row r="10792" customFormat="false" ht="15" hidden="false" customHeight="false" outlineLevel="0" collapsed="false">
      <c r="A10792" s="5" t="s">
        <v>551</v>
      </c>
      <c r="B10792" s="0" t="s">
        <v>86</v>
      </c>
      <c r="C10792" s="38" t="n">
        <f aca="false">Q!$D$34</f>
        <v>2.406</v>
      </c>
      <c r="D10792" s="38" t="n">
        <f aca="false">Q!$E$34</f>
        <v>2.274</v>
      </c>
      <c r="E10792" s="38" t="n">
        <f aca="false">Q!$P$34</f>
        <v>2.114</v>
      </c>
      <c r="F10792" s="38" t="n">
        <f aca="false">Sens!$F$10830</f>
        <v>3.24888962733561</v>
      </c>
      <c r="G10792" s="38" t="n">
        <f aca="false">Sens!$E$10792+Sens!$F$10792</f>
        <v>5.36288962733561</v>
      </c>
      <c r="H10792" s="38" t="n">
        <f aca="false">Sens!$H$10830</f>
        <v>7.42354172302123</v>
      </c>
      <c r="I10792" s="38" t="n">
        <f aca="false">Sens!$I$10830</f>
        <v>7.84418947693382</v>
      </c>
      <c r="J10792" s="38" t="n">
        <f aca="false">Sens!$J$10830</f>
        <v>8.79561318891235</v>
      </c>
      <c r="K10792" s="38" t="n">
        <f aca="false">Sens!$K$10830</f>
        <v>8.79561318891235</v>
      </c>
      <c r="L10792" s="38" t="n">
        <f aca="false">Sens!$L$10830</f>
        <v>8.79561318891235</v>
      </c>
      <c r="M10792" s="38" t="n">
        <f aca="false">Sens!$M$10830</f>
        <v>8.79561318891235</v>
      </c>
      <c r="N10792" s="38" t="n">
        <f aca="false">Q!$N$34</f>
        <v>1.057</v>
      </c>
      <c r="O10792" s="38" t="n">
        <f aca="false">Q!$O$34</f>
        <v>1.217</v>
      </c>
    </row>
    <row r="10793" customFormat="false" ht="15" hidden="false" customHeight="false" outlineLevel="0" collapsed="false">
      <c r="A10793" s="5" t="s">
        <v>763</v>
      </c>
      <c r="B10793" s="0" t="s">
        <v>86</v>
      </c>
      <c r="F10793" s="38" t="n">
        <f aca="false">Sens!$F$10831</f>
        <v>2.59</v>
      </c>
      <c r="H10793" s="38" t="n">
        <f aca="false">Sens!$H$10831</f>
        <v>4.1153774832261</v>
      </c>
      <c r="I10793" s="38" t="n">
        <f aca="false">Sens!$I$10831</f>
        <v>2.10589651022864</v>
      </c>
      <c r="J10793" s="38" t="n">
        <f aca="false">Sens!$J$10831</f>
        <v>2.10589651022864</v>
      </c>
      <c r="K10793" s="38" t="n">
        <f aca="false">Sens!$K$10831</f>
        <v>3.172800358404</v>
      </c>
      <c r="L10793" s="38" t="n">
        <f aca="false">Sens!$L$10831</f>
        <v>8.20129838047933</v>
      </c>
      <c r="M10793" s="38" t="n">
        <f aca="false">Sens!$M$10831</f>
        <v>15.6131222909464</v>
      </c>
    </row>
    <row r="10794" customFormat="false" ht="17.15" hidden="false" customHeight="false" outlineLevel="0" collapsed="false">
      <c r="A10794" s="5" t="s">
        <v>764</v>
      </c>
      <c r="B10794" s="0" t="s">
        <v>86</v>
      </c>
      <c r="C10794" s="38" t="n">
        <f aca="false">Q!$D$39</f>
        <v>2.427</v>
      </c>
      <c r="D10794" s="38" t="n">
        <f aca="false">Q!$E$39</f>
        <v>19.61</v>
      </c>
      <c r="E10794" s="38" t="n">
        <f aca="false">Q!$P$39</f>
        <v>71.492</v>
      </c>
      <c r="F10794" s="39" t="n">
        <v>0</v>
      </c>
      <c r="G10794" s="38" t="n">
        <f aca="false">Sens!$E$10794+Sens!$F$10794</f>
        <v>71.492</v>
      </c>
      <c r="H10794" s="39" t="n">
        <v>0</v>
      </c>
      <c r="I10794" s="39" t="n">
        <v>0</v>
      </c>
      <c r="J10794" s="39" t="n">
        <v>0</v>
      </c>
      <c r="K10794" s="39" t="n">
        <v>0</v>
      </c>
      <c r="L10794" s="39" t="n">
        <v>0</v>
      </c>
      <c r="M10794" s="39" t="n">
        <v>0</v>
      </c>
      <c r="N10794" s="38" t="n">
        <f aca="false">Q!$N$39</f>
        <v>6.017</v>
      </c>
      <c r="O10794" s="38" t="n">
        <f aca="false">Q!$O$39</f>
        <v>13.593</v>
      </c>
      <c r="P10794" s="5" t="s">
        <v>765</v>
      </c>
    </row>
    <row r="10795" customFormat="false" ht="15" hidden="false" customHeight="false" outlineLevel="0" collapsed="false">
      <c r="A10795" s="5" t="s">
        <v>554</v>
      </c>
      <c r="B10795" s="0" t="s">
        <v>86</v>
      </c>
      <c r="C10795" s="38" t="n">
        <f aca="false">Q!$D$36</f>
        <v>68.614</v>
      </c>
      <c r="D10795" s="38" t="n">
        <f aca="false">Q!$E$36</f>
        <v>97.311</v>
      </c>
      <c r="E10795" s="38" t="n">
        <f aca="false">Q!$P$36</f>
        <v>120.691</v>
      </c>
      <c r="F10795" s="38" t="n">
        <f aca="false">Sens!$F$10771-Sens!$F$10792+Sens!$F$10793+Sens!$F$10794</f>
        <v>55.7063670713938</v>
      </c>
      <c r="G10795" s="38" t="n">
        <f aca="false">Sens!$E$10795+Sens!$F$10795</f>
        <v>176.397367071394</v>
      </c>
      <c r="H10795" s="38" t="n">
        <f aca="false">Sens!$H$10771-Sens!$H$10792+Sens!$H$10793+Sens!$H$10794</f>
        <v>126.207292630471</v>
      </c>
      <c r="I10795" s="38" t="n">
        <f aca="false">Sens!$I$10771-Sens!$I$10792+Sens!$I$10793+Sens!$I$10794</f>
        <v>139.60709411592</v>
      </c>
      <c r="J10795" s="38" t="n">
        <f aca="false">Sens!$J$10771-Sens!$J$10792+Sens!$J$10793+Sens!$J$10794</f>
        <v>157.172425191032</v>
      </c>
      <c r="K10795" s="38" t="n">
        <f aca="false">Sens!$K$10771-Sens!$K$10792+Sens!$K$10793+Sens!$K$10794</f>
        <v>170.156510420632</v>
      </c>
      <c r="L10795" s="38" t="n">
        <f aca="false">Sens!$L$10771-Sens!$L$10792+Sens!$L$10793+Sens!$L$10794</f>
        <v>186.361543537154</v>
      </c>
      <c r="M10795" s="38" t="n">
        <f aca="false">Sens!$M$10771-Sens!$M$10792+Sens!$M$10793+Sens!$M$10794</f>
        <v>205.936507465731</v>
      </c>
      <c r="N10795" s="38" t="n">
        <f aca="false">Q!$N$36</f>
        <v>42.536</v>
      </c>
      <c r="O10795" s="38" t="n">
        <f aca="false">Q!$O$36</f>
        <v>54.775</v>
      </c>
    </row>
    <row r="10796" customFormat="false" ht="15" hidden="false" customHeight="false" outlineLevel="0" collapsed="false">
      <c r="A10796" s="5" t="s">
        <v>555</v>
      </c>
      <c r="B10796" s="0" t="s">
        <v>86</v>
      </c>
      <c r="C10796" s="38" t="n">
        <f aca="false">Q!$D$37</f>
        <v>9.265</v>
      </c>
      <c r="D10796" s="38" t="n">
        <f aca="false">Q!$E$37</f>
        <v>19.087</v>
      </c>
      <c r="E10796" s="38" t="n">
        <f aca="false">Q!$P$37</f>
        <v>27.759</v>
      </c>
      <c r="F10796" s="38" t="n">
        <f aca="false">Sens!$F$10795*tax</f>
        <v>9.669763357865</v>
      </c>
      <c r="G10796" s="38" t="n">
        <f aca="false">Sens!$E$10796+Sens!$F$10796</f>
        <v>37.428763357865</v>
      </c>
      <c r="H10796" s="38" t="n">
        <f aca="false">Sens!$H$10795*tax</f>
        <v>21.9076331473816</v>
      </c>
      <c r="I10796" s="38" t="n">
        <f aca="false">Sens!$I$10795*tax</f>
        <v>24.2336313450491</v>
      </c>
      <c r="J10796" s="38" t="n">
        <f aca="false">Sens!$J$10795*tax</f>
        <v>27.2827010246639</v>
      </c>
      <c r="K10796" s="38" t="n">
        <f aca="false">Sens!$K$10795*tax</f>
        <v>29.5365373128511</v>
      </c>
      <c r="L10796" s="38" t="n">
        <f aca="false">Sens!$L$10795*tax</f>
        <v>32.3494803152605</v>
      </c>
      <c r="M10796" s="38" t="n">
        <f aca="false">Sens!$M$10795*tax</f>
        <v>35.7473911624262</v>
      </c>
      <c r="N10796" s="38" t="n">
        <f aca="false">Q!$N$37</f>
        <v>7.231</v>
      </c>
      <c r="O10796" s="38" t="n">
        <f aca="false">Q!$O$37</f>
        <v>11.856</v>
      </c>
    </row>
    <row r="10797" customFormat="false" ht="15" hidden="false" customHeight="false" outlineLevel="0" collapsed="false">
      <c r="A10797" s="3" t="s">
        <v>556</v>
      </c>
      <c r="B10797" s="8" t="s">
        <v>86</v>
      </c>
      <c r="C10797" s="38" t="n">
        <f aca="false">Q!$D$38</f>
        <v>59.248</v>
      </c>
      <c r="D10797" s="38" t="n">
        <f aca="false">Q!$E$38</f>
        <v>77.67</v>
      </c>
      <c r="E10797" s="38" t="n">
        <f aca="false">Q!$P$38</f>
        <v>92.902</v>
      </c>
      <c r="F10797" s="38" t="n">
        <f aca="false">Sens!$F$10795-Sens!$F$10796</f>
        <v>46.0366037135288</v>
      </c>
      <c r="G10797" s="38" t="n">
        <f aca="false">Sens!$E$10797+Sens!$F$10797</f>
        <v>138.938603713529</v>
      </c>
      <c r="H10797" s="38" t="n">
        <f aca="false">Sens!$H$10795-Sens!$H$10796</f>
        <v>104.29965948309</v>
      </c>
      <c r="I10797" s="38" t="n">
        <f aca="false">Sens!$I$10795-Sens!$I$10796</f>
        <v>115.373462770871</v>
      </c>
      <c r="J10797" s="38" t="n">
        <f aca="false">Sens!$J$10795-Sens!$J$10796</f>
        <v>129.889724166368</v>
      </c>
      <c r="K10797" s="38" t="n">
        <f aca="false">Sens!$K$10795-Sens!$K$10796</f>
        <v>140.619973107781</v>
      </c>
      <c r="L10797" s="38" t="n">
        <f aca="false">Sens!$L$10795-Sens!$L$10796</f>
        <v>154.012063221893</v>
      </c>
      <c r="M10797" s="38" t="n">
        <f aca="false">Sens!$M$10795-Sens!$M$10796</f>
        <v>170.189116303305</v>
      </c>
      <c r="N10797" s="38" t="n">
        <f aca="false">Q!$N$38</f>
        <v>35.291</v>
      </c>
      <c r="O10797" s="38" t="n">
        <f aca="false">Q!$O$38</f>
        <v>42.379</v>
      </c>
    </row>
    <row r="10798" customFormat="false" ht="17.15" hidden="false" customHeight="false" outlineLevel="0" collapsed="false">
      <c r="A10798" s="5" t="s">
        <v>559</v>
      </c>
      <c r="B10798" s="5" t="s">
        <v>33</v>
      </c>
      <c r="C10798" s="22" t="n">
        <f aca="false">Q!$D$41</f>
        <v>10.721</v>
      </c>
      <c r="D10798" s="22" t="n">
        <f aca="false">Q!$E$41</f>
        <v>10.827</v>
      </c>
      <c r="E10798" s="22" t="n">
        <f aca="false">(Q!$L$41+Q!$M$41)/2</f>
        <v>10.8885</v>
      </c>
      <c r="F10798" s="22" t="n">
        <f aca="false">Sens!$G$10798</f>
        <v>10.924806</v>
      </c>
      <c r="G10798" s="22" t="n">
        <f aca="false">Q!$M$41*(1+sh_g*0.25)</f>
        <v>10.924806</v>
      </c>
      <c r="H10798" s="22" t="n">
        <f aca="false">Sens!$G$10798*(1+sh_g)</f>
        <v>11.012204448</v>
      </c>
      <c r="I10798" s="22" t="n">
        <f aca="false">Sens!$H$10798*(1+sh_g)</f>
        <v>11.100302083584</v>
      </c>
      <c r="J10798" s="22" t="n">
        <f aca="false">Sens!$I$10798*(1+sh_g)</f>
        <v>11.1891045002527</v>
      </c>
      <c r="K10798" s="22" t="n">
        <f aca="false">Sens!$J$10798*(1+sh_g)</f>
        <v>11.2786173362547</v>
      </c>
      <c r="L10798" s="22" t="n">
        <f aca="false">Sens!$K$10798*(1+sh_g)</f>
        <v>11.3688462749447</v>
      </c>
      <c r="M10798" s="22" t="n">
        <f aca="false">Sens!$L$10798*(1+sh_g)</f>
        <v>11.4597970451443</v>
      </c>
      <c r="P10798" s="5" t="s">
        <v>766</v>
      </c>
    </row>
    <row r="10799" customFormat="false" ht="17.15" hidden="false" customHeight="false" outlineLevel="0" collapsed="false">
      <c r="A10799" s="5" t="s">
        <v>767</v>
      </c>
      <c r="B10799" s="0" t="s">
        <v>86</v>
      </c>
      <c r="C10799" s="38" t="n">
        <f aca="false">Sens!$C$10797+Sens!$C$10773*(1-tax)</f>
        <v>59.248</v>
      </c>
      <c r="D10799" s="38" t="n">
        <f aca="false">Sens!$D$10797+Sens!$D$10773*(1-tax)</f>
        <v>77.67</v>
      </c>
      <c r="E10799" s="38" t="n">
        <f aca="false">Sens!$E$10797+Sens!$E$10773*(1-tax)</f>
        <v>92.902</v>
      </c>
      <c r="F10799" s="38" t="n">
        <f aca="false">Sens!$F$10797+Sens!$F$10773*(1-tax)</f>
        <v>49.1531986731775</v>
      </c>
      <c r="G10799" s="38" t="n">
        <f aca="false">Sens!$G$10797+Sens!$G$10773*(1-tax)</f>
        <v>142.055198673178</v>
      </c>
      <c r="H10799" s="38" t="n">
        <f aca="false">Sens!$H$10797+Sens!$H$10773*(1-tax)</f>
        <v>116.831055438434</v>
      </c>
      <c r="I10799" s="38" t="n">
        <f aca="false">Sens!$I$10797+Sens!$I$10773*(1-tax)</f>
        <v>136.514727845811</v>
      </c>
      <c r="J10799" s="38" t="n">
        <f aca="false">Sens!$J$10797+Sens!$J$10773*(1-tax)</f>
        <v>159.679161110652</v>
      </c>
      <c r="K10799" s="38" t="n">
        <f aca="false">Sens!$K$10797+Sens!$K$10773*(1-tax)</f>
        <v>177.846843178436</v>
      </c>
      <c r="L10799" s="38" t="n">
        <f aca="false">Sens!$L$10797+Sens!$L$10773*(1-tax)</f>
        <v>196.264974744802</v>
      </c>
      <c r="M10799" s="38" t="n">
        <f aca="false">Sens!$M$10797+Sens!$M$10773*(1-tax)</f>
        <v>215.050677672466</v>
      </c>
      <c r="N10799" s="38" t="n">
        <f aca="false">Sens!$N$10797+Sens!$N$10773*(1-tax)</f>
        <v>35.291</v>
      </c>
      <c r="O10799" s="38" t="n">
        <f aca="false">Sens!$O$10797+Sens!$O$10773*(1-tax)</f>
        <v>42.379</v>
      </c>
    </row>
    <row r="10800" customFormat="false" ht="17.15" hidden="false" customHeight="false" outlineLevel="0" collapsed="false">
      <c r="A10800" s="43" t="s">
        <v>768</v>
      </c>
      <c r="B10800" s="14" t="s">
        <v>27</v>
      </c>
      <c r="C10800" s="44" t="n">
        <f aca="false">Sens!$C$10799/Sens!$C$10798</f>
        <v>5.52635015390355</v>
      </c>
      <c r="D10800" s="44" t="n">
        <f aca="false">Sens!$D$10799/Sens!$D$10798</f>
        <v>7.1737323358271</v>
      </c>
      <c r="E10800" s="44" t="n">
        <f aca="false">Sens!$E$10799/Sens!$E$10798</f>
        <v>8.53212104513937</v>
      </c>
      <c r="F10800" s="14"/>
      <c r="G10800" s="44" t="n">
        <f aca="false">Sens!$G$10799/Sens!$G$10798</f>
        <v>13.0029950804781</v>
      </c>
      <c r="H10800" s="44" t="n">
        <f aca="false">Sens!$H$10799/Sens!$H$10798</f>
        <v>10.6092341447268</v>
      </c>
      <c r="I10800" s="44" t="n">
        <f aca="false">Sens!$I$10799/Sens!$I$10798</f>
        <v>12.298289435537</v>
      </c>
      <c r="J10800" s="44" t="n">
        <f aca="false">Sens!$J$10799/Sens!$J$10798</f>
        <v>14.2709509154236</v>
      </c>
      <c r="K10800" s="44" t="n">
        <f aca="false">Sens!$K$10799/Sens!$K$10798</f>
        <v>15.7684969598848</v>
      </c>
      <c r="L10800" s="44" t="n">
        <f aca="false">Sens!$L$10799/Sens!$L$10798</f>
        <v>17.2634029872795</v>
      </c>
      <c r="M10800" s="44" t="n">
        <f aca="false">Sens!$M$10799/Sens!$M$10798</f>
        <v>18.7656619768486</v>
      </c>
      <c r="N10800" s="14"/>
      <c r="O10800" s="14"/>
    </row>
    <row r="10801" customFormat="false" ht="17.15" hidden="false" customHeight="false" outlineLevel="0" collapsed="false">
      <c r="A10801" s="0" t="s">
        <v>769</v>
      </c>
      <c r="B10801" s="0" t="s">
        <v>27</v>
      </c>
      <c r="C10801" s="30" t="n">
        <f aca="false">Sens!$C$10797/Sens!$C$10798</f>
        <v>5.52635015390355</v>
      </c>
      <c r="D10801" s="30" t="n">
        <f aca="false">Sens!$D$10797/Sens!$D$10798</f>
        <v>7.1737323358271</v>
      </c>
      <c r="E10801" s="30" t="n">
        <f aca="false">Sens!$E$10797/Sens!$E$10798</f>
        <v>8.53212104513937</v>
      </c>
      <c r="G10801" s="30" t="n">
        <f aca="false">Sens!$G$10797/Sens!$G$10798</f>
        <v>12.7177181648378</v>
      </c>
      <c r="H10801" s="30" t="n">
        <f aca="false">Sens!$H$10797/Sens!$H$10798</f>
        <v>9.47127888658407</v>
      </c>
      <c r="I10801" s="30" t="n">
        <f aca="false">Sens!$I$10797/Sens!$I$10798</f>
        <v>10.3937227925981</v>
      </c>
      <c r="J10801" s="30" t="n">
        <f aca="false">Sens!$J$10797/Sens!$J$10798</f>
        <v>11.6085897815536</v>
      </c>
      <c r="K10801" s="30" t="n">
        <f aca="false">Sens!$K$10797/Sens!$K$10798</f>
        <v>12.4678379375248</v>
      </c>
      <c r="L10801" s="30" t="n">
        <f aca="false">Sens!$L$10797/Sens!$L$10798</f>
        <v>13.5468507091448</v>
      </c>
      <c r="M10801" s="30" t="n">
        <f aca="false">Sens!$M$10797/Sens!$M$10798</f>
        <v>14.8509712373498</v>
      </c>
    </row>
    <row r="10802" customFormat="false" ht="17.15" hidden="false" customHeight="false" outlineLevel="0" collapsed="false">
      <c r="A10802" s="0" t="s">
        <v>770</v>
      </c>
      <c r="B10802" s="0" t="s">
        <v>27</v>
      </c>
      <c r="C10802" s="30" t="n">
        <f aca="false">(Sens!$C$10797-Sens!$C$10794*(1-tax))/Sens!$C$10798</f>
        <v>5.33926775917445</v>
      </c>
      <c r="D10802" s="30" t="n">
        <f aca="false">(Sens!$D$10797-Sens!$D$10794*(1-tax))/Sens!$D$10798</f>
        <v>5.67691812755503</v>
      </c>
      <c r="E10802" s="30" t="n">
        <f aca="false">(Sens!$E$10797-Sens!$E$10794*(1-tax))/Sens!$E$10798</f>
        <v>3.10602057006846</v>
      </c>
      <c r="G10802" s="30" t="n">
        <f aca="false">(Sens!$G$10797-Sens!$G$10794*(1-tax))/Sens!$G$10798</f>
        <v>7.30965004694081</v>
      </c>
      <c r="H10802" s="30" t="n">
        <f aca="false">(Sens!$H$10797-Sens!$H$10794*(1-tax))/Sens!$H$10798</f>
        <v>9.47127888658407</v>
      </c>
      <c r="I10802" s="30" t="n">
        <f aca="false">(Sens!$I$10797-Sens!$I$10794*(1-tax))/Sens!$I$10798</f>
        <v>10.3937227925981</v>
      </c>
      <c r="J10802" s="30" t="n">
        <f aca="false">(Sens!$J$10797-Sens!$J$10794*(1-tax))/Sens!$J$10798</f>
        <v>11.6085897815536</v>
      </c>
      <c r="K10802" s="30" t="n">
        <f aca="false">(Sens!$K$10797-Sens!$K$10794*(1-tax))/Sens!$K$10798</f>
        <v>12.4678379375248</v>
      </c>
      <c r="L10802" s="30" t="n">
        <f aca="false">(Sens!$L$10797-Sens!$L$10794*(1-tax))/Sens!$L$10798</f>
        <v>13.5468507091448</v>
      </c>
      <c r="M10802" s="30" t="n">
        <f aca="false">(Sens!$M$10797-Sens!$M$10794*(1-tax))/Sens!$M$10798</f>
        <v>14.8509712373498</v>
      </c>
      <c r="P10802" s="5" t="s">
        <v>771</v>
      </c>
    </row>
    <row r="10803" customFormat="false" ht="17.15" hidden="false" customHeight="false" outlineLevel="0" collapsed="false">
      <c r="A10803" s="0" t="s">
        <v>772</v>
      </c>
      <c r="B10803" s="0" t="s">
        <v>52</v>
      </c>
      <c r="H10803" s="13" t="n">
        <f aca="false">Sens!$H$10800/Sens!$G$10800-1</f>
        <v>-0.184093043251635</v>
      </c>
      <c r="I10803" s="13" t="n">
        <f aca="false">Sens!$I$10800/Sens!$H$10800-1</f>
        <v>0.159206147000695</v>
      </c>
      <c r="J10803" s="13" t="n">
        <f aca="false">Sens!$J$10800/Sens!$I$10800-1</f>
        <v>0.160401289157047</v>
      </c>
      <c r="K10803" s="13" t="n">
        <f aca="false">Sens!$K$10800/Sens!$J$10800-1</f>
        <v>0.104936668434801</v>
      </c>
      <c r="L10803" s="13" t="n">
        <f aca="false">Sens!$L$10800/Sens!$K$10800-1</f>
        <v>0.0948033304123883</v>
      </c>
      <c r="M10803" s="13" t="n">
        <f aca="false">Sens!$M$10800/Sens!$L$10800-1</f>
        <v>0.0870198645467559</v>
      </c>
    </row>
    <row r="10806" customFormat="false" ht="19.4" hidden="false" customHeight="false" outlineLevel="0" collapsed="false">
      <c r="A10806" s="31" t="s">
        <v>1370</v>
      </c>
    </row>
    <row r="10807" customFormat="false" ht="17.15" hidden="false" customHeight="false" outlineLevel="0" collapsed="false">
      <c r="A10807" s="6" t="s">
        <v>16</v>
      </c>
      <c r="B10807" s="6" t="s">
        <v>17</v>
      </c>
      <c r="C10807" s="20" t="s">
        <v>504</v>
      </c>
      <c r="D10807" s="20" t="s">
        <v>505</v>
      </c>
      <c r="E10807" s="20" t="s">
        <v>587</v>
      </c>
      <c r="F10807" s="20" t="s">
        <v>588</v>
      </c>
      <c r="G10807" s="20" t="s">
        <v>589</v>
      </c>
      <c r="H10807" s="20" t="s">
        <v>590</v>
      </c>
      <c r="I10807" s="20" t="s">
        <v>591</v>
      </c>
      <c r="J10807" s="20" t="s">
        <v>592</v>
      </c>
      <c r="K10807" s="20" t="s">
        <v>593</v>
      </c>
      <c r="L10807" s="20" t="s">
        <v>594</v>
      </c>
      <c r="M10807" s="20" t="s">
        <v>595</v>
      </c>
      <c r="N10807" s="20" t="s">
        <v>596</v>
      </c>
      <c r="O10807" s="20" t="s">
        <v>597</v>
      </c>
      <c r="P10807" s="6" t="s">
        <v>23</v>
      </c>
      <c r="R10807" s="20" t="n">
        <v>2023</v>
      </c>
      <c r="S10807" s="20" t="n">
        <v>2024</v>
      </c>
      <c r="T10807" s="20" t="n">
        <v>2025</v>
      </c>
      <c r="U10807" s="20" t="n">
        <v>2026</v>
      </c>
      <c r="V10807" s="20" t="n">
        <v>2027</v>
      </c>
      <c r="W10807" s="20" t="n">
        <v>2028</v>
      </c>
      <c r="X10807" s="20" t="n">
        <v>2029</v>
      </c>
      <c r="Y10807" s="20" t="n">
        <v>2030</v>
      </c>
      <c r="Z10807" s="20" t="n">
        <v>2031</v>
      </c>
      <c r="AA10807" s="20" t="n">
        <v>2032</v>
      </c>
    </row>
    <row r="10808" customFormat="false" ht="15" hidden="false" customHeight="false" outlineLevel="0" collapsed="false">
      <c r="A10808" s="5" t="s">
        <v>556</v>
      </c>
      <c r="B10808" s="0" t="s">
        <v>86</v>
      </c>
      <c r="C10808" s="38" t="n">
        <f aca="false">Sens!$C$10797</f>
        <v>59.248</v>
      </c>
      <c r="D10808" s="38" t="n">
        <f aca="false">Sens!$D$10797</f>
        <v>77.67</v>
      </c>
      <c r="E10808" s="38" t="n">
        <f aca="false">Sens!$E$10797</f>
        <v>92.902</v>
      </c>
      <c r="F10808" s="38" t="n">
        <f aca="false">Sens!$F$10797</f>
        <v>46.0366037135288</v>
      </c>
      <c r="G10808" s="38" t="n">
        <f aca="false">Sens!$G$10797</f>
        <v>138.938603713529</v>
      </c>
      <c r="H10808" s="38" t="n">
        <f aca="false">Sens!$H$10797</f>
        <v>104.29965948309</v>
      </c>
      <c r="I10808" s="38" t="n">
        <f aca="false">Sens!$I$10797</f>
        <v>115.373462770871</v>
      </c>
      <c r="J10808" s="38" t="n">
        <f aca="false">Sens!$J$10797</f>
        <v>129.889724166368</v>
      </c>
      <c r="K10808" s="38" t="n">
        <f aca="false">Sens!$K$10797</f>
        <v>140.619973107781</v>
      </c>
      <c r="L10808" s="38" t="n">
        <f aca="false">Sens!$L$10797</f>
        <v>154.012063221893</v>
      </c>
      <c r="M10808" s="38" t="n">
        <f aca="false">Sens!$M$10797</f>
        <v>170.189116303305</v>
      </c>
    </row>
    <row r="10809" customFormat="false" ht="17.15" hidden="false" customHeight="false" outlineLevel="0" collapsed="false">
      <c r="A10809" s="5" t="s">
        <v>795</v>
      </c>
      <c r="B10809" s="0" t="s">
        <v>86</v>
      </c>
      <c r="C10809" s="38" t="n">
        <f aca="false">Sens!$C$10785</f>
        <v>32.067</v>
      </c>
      <c r="D10809" s="38" t="n">
        <f aca="false">Sens!$D$10785</f>
        <v>41.86</v>
      </c>
      <c r="E10809" s="38" t="n">
        <f aca="false">Sens!$E$10785</f>
        <v>26.703</v>
      </c>
      <c r="F10809" s="38" t="n">
        <f aca="false">Sens!$F$10785</f>
        <v>29.152860869477</v>
      </c>
      <c r="G10809" s="38" t="n">
        <f aca="false">Sens!$G$10785</f>
        <v>55.855860869477</v>
      </c>
      <c r="H10809" s="38" t="n">
        <f aca="false">Sens!$H$10785</f>
        <v>81.5618233196153</v>
      </c>
      <c r="I10809" s="38" t="n">
        <f aca="false">Sens!$I$10785</f>
        <v>118.756208740204</v>
      </c>
      <c r="J10809" s="38" t="n">
        <f aca="false">Sens!$J$10785</f>
        <v>152.469489406791</v>
      </c>
      <c r="K10809" s="38" t="n">
        <f aca="false">Sens!$K$10785</f>
        <v>186.391502623819</v>
      </c>
      <c r="L10809" s="38" t="n">
        <f aca="false">Sens!$L$10785</f>
        <v>212.316491798836</v>
      </c>
      <c r="M10809" s="38" t="n">
        <f aca="false">Sens!$M$10785</f>
        <v>230.182690847967</v>
      </c>
    </row>
    <row r="10810" customFormat="false" ht="15" hidden="false" customHeight="false" outlineLevel="0" collapsed="false">
      <c r="A10810" s="5" t="s">
        <v>796</v>
      </c>
      <c r="B10810" s="0" t="s">
        <v>86</v>
      </c>
      <c r="C10810" s="38" t="n">
        <f aca="false">Q!$D$48</f>
        <v>22.011</v>
      </c>
      <c r="D10810" s="38" t="n">
        <f aca="false">Q!$E$48</f>
        <v>19.467</v>
      </c>
      <c r="E10810" s="38" t="n">
        <f aca="false">Q!$P$48</f>
        <v>10.07</v>
      </c>
      <c r="F10810" s="38" t="n">
        <f aca="false">sbc_r*Sens!$F$10727</f>
        <v>10.8507035798037</v>
      </c>
      <c r="G10810" s="38" t="n">
        <f aca="false">Sens!$E$10810+Sens!$F$10810</f>
        <v>20.9207035798037</v>
      </c>
      <c r="H10810" s="38" t="n">
        <f aca="false">sbc_r*Sens!$H$10727</f>
        <v>23.46224366345</v>
      </c>
      <c r="I10810" s="38" t="n">
        <f aca="false">sbc_r*Sens!$I$10727</f>
        <v>26.6125957111676</v>
      </c>
      <c r="J10810" s="38" t="n">
        <f aca="false">sbc_r*Sens!$J$10727</f>
        <v>29.6280801413323</v>
      </c>
      <c r="K10810" s="38" t="n">
        <f aca="false">sbc_r*Sens!$K$10727</f>
        <v>32.2783466626501</v>
      </c>
      <c r="L10810" s="38" t="n">
        <f aca="false">sbc_r*Sens!$L$10727</f>
        <v>34.7673634382331</v>
      </c>
      <c r="M10810" s="38" t="n">
        <f aca="false">sbc_r*Sens!$M$10727</f>
        <v>37.1041186491569</v>
      </c>
    </row>
    <row r="10811" customFormat="false" ht="17.15" hidden="false" customHeight="false" outlineLevel="0" collapsed="false">
      <c r="A10811" s="5" t="s">
        <v>797</v>
      </c>
      <c r="B10811" s="0" t="s">
        <v>86</v>
      </c>
      <c r="C10811" s="38" t="n">
        <f aca="false">Q!$D$44-Sens!$C$10808-Sens!$C$10809-Sens!$C$10810</f>
        <v>2.551</v>
      </c>
      <c r="D10811" s="38" t="n">
        <f aca="false">Q!$E$44-Sens!$D$10808-Sens!$D$10809-Sens!$D$10810</f>
        <v>0.51700000000001</v>
      </c>
      <c r="E10811" s="38" t="n">
        <f aca="false">Q!$P$44-Sens!$E$10808-Sens!$E$10809-Sens!$E$10810</f>
        <v>-58.256</v>
      </c>
      <c r="F10811" s="38" t="n">
        <f aca="false">oth_r*Sens!$F$10727</f>
        <v>5.22265251035878</v>
      </c>
      <c r="G10811" s="38" t="n">
        <f aca="false">Sens!$E$10811+Sens!$F$10811</f>
        <v>-53.0333474896412</v>
      </c>
      <c r="H10811" s="38" t="n">
        <f aca="false">oth_r*Sens!$H$10727</f>
        <v>11.2928295263397</v>
      </c>
      <c r="I10811" s="38" t="n">
        <f aca="false">oth_r*Sens!$I$10727</f>
        <v>12.8091546115766</v>
      </c>
      <c r="J10811" s="38" t="n">
        <f aca="false">oth_r*Sens!$J$10727</f>
        <v>14.2605653162668</v>
      </c>
      <c r="K10811" s="38" t="n">
        <f aca="false">oth_r*Sens!$K$10727</f>
        <v>15.5361896109386</v>
      </c>
      <c r="L10811" s="38" t="n">
        <f aca="false">oth_r*Sens!$L$10727</f>
        <v>16.7342012989106</v>
      </c>
      <c r="M10811" s="38" t="n">
        <f aca="false">oth_r*Sens!$M$10727</f>
        <v>17.8589265647579</v>
      </c>
      <c r="P10811" s="8" t="s">
        <v>798</v>
      </c>
    </row>
    <row r="10812" customFormat="false" ht="15" hidden="false" customHeight="false" outlineLevel="0" collapsed="false">
      <c r="A10812" s="3" t="s">
        <v>562</v>
      </c>
      <c r="B10812" s="8" t="s">
        <v>86</v>
      </c>
      <c r="C10812" s="38" t="n">
        <f aca="false">Q!$D$44</f>
        <v>115.877</v>
      </c>
      <c r="D10812" s="38" t="n">
        <f aca="false">Q!$E$44</f>
        <v>139.514</v>
      </c>
      <c r="E10812" s="38" t="n">
        <f aca="false">Q!$P$44</f>
        <v>71.419</v>
      </c>
      <c r="F10812" s="38" t="n">
        <f aca="false">Sens!$F$10808+Sens!$F$10809+Sens!$F$10810+Sens!$F$10811</f>
        <v>91.2628206731683</v>
      </c>
      <c r="G10812" s="38" t="n">
        <f aca="false">Sens!$E$10812+Sens!$F$10812</f>
        <v>162.681820673168</v>
      </c>
      <c r="H10812" s="38" t="n">
        <f aca="false">Sens!$H$10808+Sens!$H$10809+Sens!$H$10810+Sens!$H$10811</f>
        <v>220.616555992495</v>
      </c>
      <c r="I10812" s="38" t="n">
        <f aca="false">Sens!$I$10808+Sens!$I$10809+Sens!$I$10810+Sens!$I$10811</f>
        <v>273.55142183382</v>
      </c>
      <c r="J10812" s="38" t="n">
        <f aca="false">Sens!$J$10808+Sens!$J$10809+Sens!$J$10810+Sens!$J$10811</f>
        <v>326.247859030758</v>
      </c>
      <c r="K10812" s="38" t="n">
        <f aca="false">Sens!$K$10808+Sens!$K$10809+Sens!$K$10810+Sens!$K$10811</f>
        <v>374.826012005189</v>
      </c>
      <c r="L10812" s="38" t="n">
        <f aca="false">Sens!$L$10808+Sens!$L$10809+Sens!$L$10810+Sens!$L$10811</f>
        <v>417.830119757873</v>
      </c>
      <c r="M10812" s="38" t="n">
        <f aca="false">Sens!$M$10808+Sens!$M$10809+Sens!$M$10810+Sens!$M$10811</f>
        <v>455.334852365187</v>
      </c>
    </row>
    <row r="10813" customFormat="false" ht="17.15" hidden="false" customHeight="false" outlineLevel="0" collapsed="false">
      <c r="A10813" s="5" t="s">
        <v>799</v>
      </c>
      <c r="B10813" s="0" t="s">
        <v>86</v>
      </c>
      <c r="C10813" s="38" t="n">
        <f aca="false">Sens!$C$10691</f>
        <v>25.2781053077374</v>
      </c>
      <c r="D10813" s="38" t="n">
        <f aca="false">Sens!$D$10691</f>
        <v>69.5686316310026</v>
      </c>
      <c r="E10813" s="38" t="n">
        <f aca="false">Sens!$E$10691</f>
        <v>64.1899206485108</v>
      </c>
      <c r="F10813" s="38" t="n">
        <f aca="false">Sens!$F$10691</f>
        <v>88.7165504612134</v>
      </c>
      <c r="G10813" s="38" t="n">
        <f aca="false">Sens!$G$10691</f>
        <v>152.906471109724</v>
      </c>
      <c r="H10813" s="38" t="n">
        <f aca="false">Sens!$H$10691</f>
        <v>198.57136494475</v>
      </c>
      <c r="I10813" s="38" t="n">
        <f aca="false">Sens!$I$10691</f>
        <v>204.6464699105</v>
      </c>
      <c r="J10813" s="38" t="n">
        <f aca="false">Sens!$J$10691</f>
        <v>209.8832381105</v>
      </c>
      <c r="K10813" s="38" t="n">
        <f aca="false">Sens!$K$10691</f>
        <v>158.016341586823</v>
      </c>
      <c r="L10813" s="38" t="n">
        <f aca="false">Sens!$L$10691</f>
        <v>137.570054263147</v>
      </c>
      <c r="M10813" s="38" t="n">
        <f aca="false">Sens!$M$10691</f>
        <v>140.56485059472</v>
      </c>
    </row>
    <row r="10814" customFormat="false" ht="17.15" hidden="false" customHeight="false" outlineLevel="0" collapsed="false">
      <c r="A10814" s="5" t="s">
        <v>800</v>
      </c>
      <c r="B10814" s="0" t="s">
        <v>86</v>
      </c>
      <c r="C10814" s="38" t="n">
        <f aca="false">cx_awso*Sens!$C$10725</f>
        <v>21.0469989286053</v>
      </c>
      <c r="D10814" s="38" t="n">
        <f aca="false">cx_awso*Sens!$D$10725</f>
        <v>24.0042459822698</v>
      </c>
      <c r="E10814" s="38" t="n">
        <f aca="false">cx_awso*Sens!$E$10725</f>
        <v>14.261729404886</v>
      </c>
      <c r="F10814" s="38" t="n">
        <f aca="false">cx_awso*Sens!$F$10725</f>
        <v>14.3538599588493</v>
      </c>
      <c r="G10814" s="38" t="n">
        <f aca="false">Sens!$E$10814+Sens!$F$10814</f>
        <v>28.6155893637353</v>
      </c>
      <c r="H10814" s="38" t="n">
        <f aca="false">cx_awso*Sens!$H$10725</f>
        <v>32.2034154158406</v>
      </c>
      <c r="I10814" s="38" t="n">
        <f aca="false">cx_awso*Sens!$I$10725</f>
        <v>35.7539519042915</v>
      </c>
      <c r="J10814" s="38" t="n">
        <f aca="false">cx_awso*Sens!$J$10725</f>
        <v>39.1551076091815</v>
      </c>
      <c r="K10814" s="38" t="n">
        <f aca="false">cx_awso*Sens!$K$10725</f>
        <v>42.287516217916</v>
      </c>
      <c r="L10814" s="38" t="n">
        <f aca="false">cx_awso*Sens!$L$10725</f>
        <v>45.6705175153492</v>
      </c>
      <c r="M10814" s="38" t="n">
        <f aca="false">cx_awso*Sens!$M$10725</f>
        <v>49.3241589165772</v>
      </c>
    </row>
    <row r="10815" customFormat="false" ht="17.15" hidden="false" customHeight="false" outlineLevel="0" collapsed="false">
      <c r="A10815" s="5" t="s">
        <v>801</v>
      </c>
      <c r="B10815" s="0" t="s">
        <v>86</v>
      </c>
      <c r="C10815" s="38" t="n">
        <f aca="false">Q!$D$46-Sens!$C$10813-Sens!$C$10814</f>
        <v>31.3328957636573</v>
      </c>
      <c r="D10815" s="38" t="n">
        <f aca="false">Q!$E$46-Sens!$D$10813-Sens!$D$10814</f>
        <v>34.7471223867276</v>
      </c>
      <c r="E10815" s="38" t="n">
        <f aca="false">Q!$P$46-Sens!$E$10813-Sens!$E$10814</f>
        <v>17.8583499466032</v>
      </c>
      <c r="F10815" s="38" t="n">
        <f aca="false">cx_rt*Sens!$F$10654</f>
        <v>20.6195895799373</v>
      </c>
      <c r="G10815" s="38" t="n">
        <f aca="false">Sens!$E$10815+Sens!$F$10815</f>
        <v>38.4779395265405</v>
      </c>
      <c r="H10815" s="38" t="n">
        <f aca="false">cx_rt*Sens!$H$10654</f>
        <v>42.5978994743075</v>
      </c>
      <c r="I10815" s="38" t="n">
        <f aca="false">cx_rt*Sens!$I$10654</f>
        <v>46.5813904136335</v>
      </c>
      <c r="J10815" s="38" t="n">
        <f aca="false">cx_rt*Sens!$J$10654</f>
        <v>50.2781676586844</v>
      </c>
      <c r="K10815" s="38" t="n">
        <f aca="false">cx_rt*Sens!$K$10654</f>
        <v>53.5312440191755</v>
      </c>
      <c r="L10815" s="38" t="n">
        <f aca="false">cx_rt*Sens!$L$10654</f>
        <v>57.0116717051447</v>
      </c>
      <c r="M10815" s="38" t="n">
        <f aca="false">cx_rt*Sens!$M$10654</f>
        <v>60.7365554669226</v>
      </c>
    </row>
    <row r="10816" customFormat="false" ht="15" hidden="false" customHeight="false" outlineLevel="0" collapsed="false">
      <c r="A10816" s="3" t="s">
        <v>802</v>
      </c>
      <c r="B10816" s="8" t="s">
        <v>86</v>
      </c>
      <c r="C10816" s="38" t="n">
        <f aca="false">Q!$D$46</f>
        <v>77.658</v>
      </c>
      <c r="D10816" s="38" t="n">
        <f aca="false">Q!$E$46</f>
        <v>128.32</v>
      </c>
      <c r="E10816" s="38" t="n">
        <f aca="false">Q!$P$46</f>
        <v>96.31</v>
      </c>
      <c r="F10816" s="38" t="n">
        <f aca="false">Sens!$F$10813+Sens!$F$10814+Sens!$F$10815</f>
        <v>123.69</v>
      </c>
      <c r="G10816" s="38" t="n">
        <f aca="false">Sens!$E$10816+Sens!$F$10816</f>
        <v>220</v>
      </c>
      <c r="H10816" s="38" t="n">
        <f aca="false">Sens!$H$10813+Sens!$H$10814+Sens!$H$10815</f>
        <v>273.372679834898</v>
      </c>
      <c r="I10816" s="38" t="n">
        <f aca="false">Sens!$I$10813+Sens!$I$10814+Sens!$I$10815</f>
        <v>286.981812228425</v>
      </c>
      <c r="J10816" s="38" t="n">
        <f aca="false">Sens!$J$10813+Sens!$J$10814+Sens!$J$10815</f>
        <v>299.316513378366</v>
      </c>
      <c r="K10816" s="38" t="n">
        <f aca="false">Sens!$K$10813+Sens!$K$10814+Sens!$K$10815</f>
        <v>253.835101823915</v>
      </c>
      <c r="L10816" s="38" t="n">
        <f aca="false">Sens!$L$10813+Sens!$L$10814+Sens!$L$10815</f>
        <v>240.252243483641</v>
      </c>
      <c r="M10816" s="38" t="n">
        <f aca="false">Sens!$M$10813+Sens!$M$10814+Sens!$M$10815</f>
        <v>250.62556497822</v>
      </c>
    </row>
    <row r="10817" customFormat="false" ht="17.15" hidden="false" customHeight="false" outlineLevel="0" collapsed="false">
      <c r="A10817" s="5" t="s">
        <v>570</v>
      </c>
      <c r="B10817" s="0" t="s">
        <v>86</v>
      </c>
      <c r="C10817" s="38" t="n">
        <f aca="false">Q!$D$50</f>
        <v>2.043</v>
      </c>
      <c r="D10817" s="38" t="n">
        <f aca="false">Q!$E$50</f>
        <v>1.557</v>
      </c>
      <c r="E10817" s="38" t="n">
        <f aca="false">lease_pr/2</f>
        <v>0.8</v>
      </c>
      <c r="F10817" s="38" t="n">
        <f aca="false">lease_pr/2</f>
        <v>0.8</v>
      </c>
      <c r="G10817" s="38" t="n">
        <f aca="false">Sens!$E$10817+Sens!$F$10817</f>
        <v>1.6</v>
      </c>
      <c r="H10817" s="38" t="n">
        <f aca="false">lease_pr</f>
        <v>1.6</v>
      </c>
      <c r="I10817" s="38" t="n">
        <f aca="false">lease_pr</f>
        <v>1.6</v>
      </c>
      <c r="J10817" s="38" t="n">
        <f aca="false">lease_pr</f>
        <v>1.6</v>
      </c>
      <c r="K10817" s="38" t="n">
        <f aca="false">lease_pr</f>
        <v>1.6</v>
      </c>
      <c r="L10817" s="38" t="n">
        <f aca="false">lease_pr</f>
        <v>1.6</v>
      </c>
      <c r="M10817" s="38" t="n">
        <f aca="false">lease_pr</f>
        <v>1.6</v>
      </c>
      <c r="P10817" s="8" t="s">
        <v>803</v>
      </c>
    </row>
    <row r="10818" customFormat="false" ht="15" hidden="false" customHeight="false" outlineLevel="0" collapsed="false">
      <c r="A10818" s="47" t="s">
        <v>804</v>
      </c>
      <c r="B10818" s="14" t="s">
        <v>86</v>
      </c>
      <c r="C10818" s="48" t="n">
        <f aca="false">Sens!$C$10812-Sens!$C$10816-Sens!$C$10817</f>
        <v>36.176</v>
      </c>
      <c r="D10818" s="48" t="n">
        <f aca="false">Sens!$D$10812-Sens!$D$10816-Sens!$D$10817</f>
        <v>9.63700000000002</v>
      </c>
      <c r="E10818" s="48" t="n">
        <f aca="false">Sens!$E$10812-Sens!$E$10816-Sens!$E$10817</f>
        <v>-25.691</v>
      </c>
      <c r="F10818" s="48" t="n">
        <f aca="false">Sens!$F$10812-Sens!$F$10816-Sens!$F$10817</f>
        <v>-33.2271793268317</v>
      </c>
      <c r="G10818" s="48" t="n">
        <f aca="false">Sens!$G$10812-Sens!$G$10816-Sens!$G$10817</f>
        <v>-58.9181793268317</v>
      </c>
      <c r="H10818" s="48" t="n">
        <f aca="false">Sens!$H$10812-Sens!$H$10816-Sens!$H$10817</f>
        <v>-54.3561238424036</v>
      </c>
      <c r="I10818" s="48" t="n">
        <f aca="false">Sens!$I$10812-Sens!$I$10816-Sens!$I$10817</f>
        <v>-15.0303903946055</v>
      </c>
      <c r="J10818" s="48" t="n">
        <f aca="false">Sens!$J$10812-Sens!$J$10816-Sens!$J$10817</f>
        <v>25.3313456523922</v>
      </c>
      <c r="K10818" s="48" t="n">
        <f aca="false">Sens!$K$10812-Sens!$K$10816-Sens!$K$10817</f>
        <v>119.390910181274</v>
      </c>
      <c r="L10818" s="48" t="n">
        <f aca="false">Sens!$L$10812-Sens!$L$10816-Sens!$L$10817</f>
        <v>175.977876274232</v>
      </c>
      <c r="M10818" s="48" t="n">
        <f aca="false">Sens!$M$10812-Sens!$M$10816-Sens!$M$10817</f>
        <v>203.109287386967</v>
      </c>
      <c r="N10818" s="14"/>
      <c r="O10818" s="14"/>
    </row>
    <row r="10819" customFormat="false" ht="17.15" hidden="false" customHeight="false" outlineLevel="0" collapsed="false">
      <c r="A10819" s="5" t="s">
        <v>805</v>
      </c>
      <c r="B10819" s="0" t="s">
        <v>86</v>
      </c>
      <c r="C10819" s="38" t="n">
        <f aca="false">dps*Sens!$C$10798</f>
        <v>0</v>
      </c>
      <c r="D10819" s="38" t="n">
        <f aca="false">dps*Sens!$D$10798</f>
        <v>0</v>
      </c>
      <c r="E10819" s="38" t="n">
        <f aca="false">dps*Sens!$E$10798</f>
        <v>0</v>
      </c>
      <c r="F10819" s="38" t="n">
        <f aca="false">0</f>
        <v>0</v>
      </c>
      <c r="G10819" s="38" t="n">
        <f aca="false">dps*Sens!$G$10798</f>
        <v>0</v>
      </c>
      <c r="H10819" s="38" t="n">
        <f aca="false">dps*Sens!$H$10798</f>
        <v>0</v>
      </c>
      <c r="I10819" s="38" t="n">
        <f aca="false">dps*Sens!$I$10798</f>
        <v>0</v>
      </c>
      <c r="J10819" s="38" t="n">
        <f aca="false">dps*Sens!$J$10798</f>
        <v>0</v>
      </c>
      <c r="K10819" s="38" t="n">
        <f aca="false">dps*Sens!$K$10798</f>
        <v>0</v>
      </c>
      <c r="L10819" s="38" t="n">
        <f aca="false">dps*Sens!$L$10798</f>
        <v>0</v>
      </c>
      <c r="M10819" s="38" t="n">
        <f aca="false">dps*Sens!$M$10798</f>
        <v>0</v>
      </c>
      <c r="P10819" s="8" t="s">
        <v>806</v>
      </c>
    </row>
    <row r="10820" customFormat="false" ht="17.15" hidden="false" customHeight="false" outlineLevel="0" collapsed="false">
      <c r="A10820" s="5" t="s">
        <v>807</v>
      </c>
      <c r="B10820" s="0" t="s">
        <v>86</v>
      </c>
      <c r="C10820" s="38" t="n">
        <f aca="false">0</f>
        <v>0</v>
      </c>
      <c r="D10820" s="38" t="n">
        <f aca="false">0</f>
        <v>0</v>
      </c>
      <c r="E10820" s="38" t="n">
        <f aca="false">0</f>
        <v>0</v>
      </c>
      <c r="F10820" s="38" t="n">
        <f aca="false">0</f>
        <v>0</v>
      </c>
      <c r="G10820" s="38" t="n">
        <f aca="false">0</f>
        <v>0</v>
      </c>
      <c r="H10820" s="38" t="n">
        <f aca="false">0</f>
        <v>0</v>
      </c>
      <c r="I10820" s="38" t="n">
        <f aca="false">0</f>
        <v>0</v>
      </c>
      <c r="J10820" s="38" t="n">
        <f aca="false">0</f>
        <v>0</v>
      </c>
      <c r="K10820" s="38" t="n">
        <f aca="false">0</f>
        <v>0</v>
      </c>
      <c r="L10820" s="38" t="n">
        <f aca="false">0</f>
        <v>0</v>
      </c>
      <c r="M10820" s="38" t="n">
        <f aca="false">0</f>
        <v>0</v>
      </c>
      <c r="P10820" s="8" t="s">
        <v>808</v>
      </c>
    </row>
    <row r="10821" customFormat="false" ht="15" hidden="false" customHeight="false" outlineLevel="0" collapsed="false">
      <c r="A10821" s="3" t="s">
        <v>809</v>
      </c>
      <c r="B10821" s="8" t="s">
        <v>86</v>
      </c>
      <c r="C10821" s="38" t="n">
        <f aca="false">Sens!$C$10818-Sens!$C$10819</f>
        <v>36.176</v>
      </c>
      <c r="D10821" s="38" t="n">
        <f aca="false">Sens!$D$10818-Sens!$D$10819</f>
        <v>9.63700000000002</v>
      </c>
      <c r="E10821" s="38" t="n">
        <f aca="false">Sens!$E$10818-Sens!$E$10819</f>
        <v>-25.691</v>
      </c>
      <c r="F10821" s="38" t="n">
        <f aca="false">Sens!$F$10818-Sens!$F$10819</f>
        <v>-33.2271793268317</v>
      </c>
      <c r="G10821" s="38" t="n">
        <f aca="false">Sens!$G$10818-Sens!$G$10819</f>
        <v>-58.9181793268317</v>
      </c>
      <c r="H10821" s="38" t="n">
        <f aca="false">Sens!$H$10818-Sens!$H$10819</f>
        <v>-54.3561238424036</v>
      </c>
      <c r="I10821" s="38" t="n">
        <f aca="false">Sens!$I$10818-Sens!$I$10819</f>
        <v>-15.0303903946055</v>
      </c>
      <c r="J10821" s="38" t="n">
        <f aca="false">Sens!$J$10818-Sens!$J$10819</f>
        <v>25.3313456523922</v>
      </c>
      <c r="K10821" s="38" t="n">
        <f aca="false">Sens!$K$10818-Sens!$K$10819</f>
        <v>119.390910181274</v>
      </c>
      <c r="L10821" s="38" t="n">
        <f aca="false">Sens!$L$10818-Sens!$L$10819</f>
        <v>175.977876274232</v>
      </c>
      <c r="M10821" s="38" t="n">
        <f aca="false">Sens!$M$10818-Sens!$M$10819</f>
        <v>203.109287386967</v>
      </c>
    </row>
    <row r="10822" customFormat="false" ht="17.15" hidden="false" customHeight="false" outlineLevel="0" collapsed="false">
      <c r="A10822" s="5" t="s">
        <v>810</v>
      </c>
      <c r="B10822" s="0" t="s">
        <v>86</v>
      </c>
      <c r="E10822" s="38" t="n">
        <f aca="false">Q!$P$53</f>
        <v>39.767</v>
      </c>
      <c r="F10822" s="38" t="n">
        <f aca="false">inv_2h26</f>
        <v>21.3</v>
      </c>
      <c r="G10822" s="38" t="n">
        <f aca="false">Sens!$E$10822+Sens!$F$10822</f>
        <v>61.067</v>
      </c>
      <c r="H10822" s="39" t="n">
        <v>0</v>
      </c>
      <c r="I10822" s="39" t="n">
        <v>0</v>
      </c>
      <c r="J10822" s="39" t="n">
        <v>0</v>
      </c>
      <c r="K10822" s="39" t="n">
        <v>0</v>
      </c>
      <c r="L10822" s="39" t="n">
        <v>0</v>
      </c>
      <c r="M10822" s="39" t="n">
        <v>0</v>
      </c>
    </row>
    <row r="10823" customFormat="false" ht="17.15" hidden="false" customHeight="false" outlineLevel="0" collapsed="false">
      <c r="A10823" s="5" t="s">
        <v>811</v>
      </c>
      <c r="B10823" s="0" t="s">
        <v>86</v>
      </c>
      <c r="F10823" s="38" t="n">
        <f aca="false">iss_2h26</f>
        <v>29.249999</v>
      </c>
      <c r="G10823" s="38" t="n">
        <f aca="false">Sens!$F$10823</f>
        <v>29.249999</v>
      </c>
      <c r="H10823" s="39" t="n">
        <v>0</v>
      </c>
      <c r="I10823" s="39" t="n">
        <v>0</v>
      </c>
      <c r="J10823" s="39" t="n">
        <v>0</v>
      </c>
      <c r="K10823" s="39" t="n">
        <v>0</v>
      </c>
      <c r="L10823" s="39" t="n">
        <v>0</v>
      </c>
      <c r="M10823" s="39" t="n">
        <v>0</v>
      </c>
    </row>
    <row r="10824" customFormat="false" ht="17.15" hidden="false" customHeight="false" outlineLevel="0" collapsed="false">
      <c r="A10824" s="5" t="s">
        <v>812</v>
      </c>
      <c r="B10824" s="0" t="s">
        <v>86</v>
      </c>
      <c r="F10824" s="38" t="n">
        <f aca="false">cash_q2</f>
        <v>122.988</v>
      </c>
      <c r="G10824" s="38" t="n">
        <f aca="false">cash_q2</f>
        <v>122.988</v>
      </c>
      <c r="H10824" s="38" t="n">
        <f aca="false">Sens!$G$10827</f>
        <v>97.7108196731683</v>
      </c>
      <c r="I10824" s="38" t="n">
        <f aca="false">Sens!$H$10827</f>
        <v>50</v>
      </c>
      <c r="J10824" s="38" t="n">
        <f aca="false">Sens!$I$10827</f>
        <v>50</v>
      </c>
      <c r="K10824" s="38" t="n">
        <f aca="false">Sens!$J$10827</f>
        <v>75.3313456523922</v>
      </c>
      <c r="L10824" s="38" t="n">
        <f aca="false">Sens!$K$10827</f>
        <v>194.722255833666</v>
      </c>
      <c r="M10824" s="38" t="n">
        <f aca="false">Sens!$L$10827</f>
        <v>370.700132107898</v>
      </c>
    </row>
    <row r="10825" customFormat="false" ht="15" hidden="false" customHeight="false" outlineLevel="0" collapsed="false">
      <c r="A10825" s="5" t="s">
        <v>813</v>
      </c>
      <c r="B10825" s="0" t="s">
        <v>86</v>
      </c>
      <c r="F10825" s="38" t="n">
        <f aca="false">Sens!$F$10824+Sens!$F$10821-Sens!$F$10820-Sens!$F$10822+Sens!$F$10823</f>
        <v>97.7108196731683</v>
      </c>
      <c r="H10825" s="38" t="n">
        <f aca="false">Sens!$H$10824+Sens!$H$10821-Sens!$H$10820-Sens!$H$10822+Sens!$H$10823</f>
        <v>43.3546958307647</v>
      </c>
      <c r="I10825" s="38" t="n">
        <f aca="false">Sens!$I$10824+Sens!$I$10821-Sens!$I$10820-Sens!$I$10822+Sens!$I$10823</f>
        <v>34.9696096053945</v>
      </c>
      <c r="J10825" s="38" t="n">
        <f aca="false">Sens!$J$10824+Sens!$J$10821-Sens!$J$10820-Sens!$J$10822+Sens!$J$10823</f>
        <v>75.3313456523922</v>
      </c>
      <c r="K10825" s="38" t="n">
        <f aca="false">Sens!$K$10824+Sens!$K$10821-Sens!$K$10820-Sens!$K$10822+Sens!$K$10823</f>
        <v>194.722255833666</v>
      </c>
      <c r="L10825" s="38" t="n">
        <f aca="false">Sens!$L$10824+Sens!$L$10821-Sens!$L$10820-Sens!$L$10822+Sens!$L$10823</f>
        <v>370.700132107898</v>
      </c>
      <c r="M10825" s="38" t="n">
        <f aca="false">Sens!$M$10824+Sens!$M$10821-Sens!$M$10820-Sens!$M$10822+Sens!$M$10823</f>
        <v>573.809419494865</v>
      </c>
    </row>
    <row r="10826" customFormat="false" ht="17.15" hidden="false" customHeight="false" outlineLevel="0" collapsed="false">
      <c r="A10826" s="5" t="s">
        <v>814</v>
      </c>
      <c r="B10826" s="0" t="s">
        <v>86</v>
      </c>
      <c r="F10826" s="38" t="n">
        <f aca="false">MAX(0,min_cash-Sens!$F$10825)</f>
        <v>0</v>
      </c>
      <c r="G10826" s="38" t="n">
        <f aca="false">Sens!$F$10826</f>
        <v>0</v>
      </c>
      <c r="H10826" s="38" t="n">
        <f aca="false">MAX(0,min_cash-Sens!$H$10825)</f>
        <v>6.64530416923528</v>
      </c>
      <c r="I10826" s="38" t="n">
        <f aca="false">MAX(0,min_cash-Sens!$I$10825)</f>
        <v>15.0303903946055</v>
      </c>
      <c r="J10826" s="38" t="n">
        <f aca="false">MAX(0,min_cash-Sens!$J$10825)</f>
        <v>0</v>
      </c>
      <c r="K10826" s="38" t="n">
        <f aca="false">MAX(0,min_cash-Sens!$K$10825)</f>
        <v>0</v>
      </c>
      <c r="L10826" s="38" t="n">
        <f aca="false">MAX(0,min_cash-Sens!$L$10825)</f>
        <v>0</v>
      </c>
      <c r="M10826" s="38" t="n">
        <f aca="false">MAX(0,min_cash-Sens!$M$10825)</f>
        <v>0</v>
      </c>
      <c r="P10826" s="5" t="s">
        <v>815</v>
      </c>
    </row>
    <row r="10827" customFormat="false" ht="15" hidden="false" customHeight="false" outlineLevel="0" collapsed="false">
      <c r="A10827" s="5" t="s">
        <v>816</v>
      </c>
      <c r="B10827" s="0" t="s">
        <v>86</v>
      </c>
      <c r="D10827" s="38" t="n">
        <f aca="false">Q!$E$61</f>
        <v>123.029</v>
      </c>
      <c r="E10827" s="38" t="n">
        <f aca="false">Q!$M$61</f>
        <v>122.988</v>
      </c>
      <c r="F10827" s="38" t="n">
        <f aca="false">Sens!$F$10825+Sens!$F$10826</f>
        <v>97.7108196731683</v>
      </c>
      <c r="G10827" s="38" t="n">
        <f aca="false">Sens!$F$10827</f>
        <v>97.7108196731683</v>
      </c>
      <c r="H10827" s="38" t="n">
        <f aca="false">Sens!$H$10825+Sens!$H$10826</f>
        <v>50</v>
      </c>
      <c r="I10827" s="38" t="n">
        <f aca="false">Sens!$I$10825+Sens!$I$10826</f>
        <v>50</v>
      </c>
      <c r="J10827" s="38" t="n">
        <f aca="false">Sens!$J$10825+Sens!$J$10826</f>
        <v>75.3313456523922</v>
      </c>
      <c r="K10827" s="38" t="n">
        <f aca="false">Sens!$K$10825+Sens!$K$10826</f>
        <v>194.722255833666</v>
      </c>
      <c r="L10827" s="38" t="n">
        <f aca="false">Sens!$L$10825+Sens!$L$10826</f>
        <v>370.700132107898</v>
      </c>
      <c r="M10827" s="38" t="n">
        <f aca="false">Sens!$M$10825+Sens!$M$10826</f>
        <v>573.809419494865</v>
      </c>
    </row>
    <row r="10828" customFormat="false" ht="15" hidden="false" customHeight="false" outlineLevel="0" collapsed="false">
      <c r="A10828" s="5" t="s">
        <v>817</v>
      </c>
      <c r="B10828" s="0" t="s">
        <v>86</v>
      </c>
      <c r="D10828" s="38" t="n">
        <f aca="false">Q!$E$62</f>
        <v>68.836</v>
      </c>
      <c r="E10828" s="38" t="n">
        <f aca="false">Q!$M$62</f>
        <v>132.995</v>
      </c>
      <c r="F10828" s="38" t="n">
        <f aca="false">debt_q2+Sens!$F$10823+Sens!$F$10826</f>
        <v>162.244999</v>
      </c>
      <c r="G10828" s="38" t="n">
        <f aca="false">Sens!$F$10828</f>
        <v>162.244999</v>
      </c>
      <c r="H10828" s="38" t="n">
        <f aca="false">Sens!$G$10828+Sens!$H$10826</f>
        <v>168.890303169235</v>
      </c>
      <c r="I10828" s="38" t="n">
        <f aca="false">Sens!$H$10828+Sens!$I$10826</f>
        <v>183.920693563841</v>
      </c>
      <c r="J10828" s="38" t="n">
        <f aca="false">Sens!$I$10828+Sens!$J$10826</f>
        <v>183.920693563841</v>
      </c>
      <c r="K10828" s="38" t="n">
        <f aca="false">Sens!$J$10828+Sens!$K$10826</f>
        <v>183.920693563841</v>
      </c>
      <c r="L10828" s="38" t="n">
        <f aca="false">Sens!$K$10828+Sens!$L$10826</f>
        <v>183.920693563841</v>
      </c>
      <c r="M10828" s="38" t="n">
        <f aca="false">Sens!$L$10828+Sens!$M$10826</f>
        <v>183.920693563841</v>
      </c>
    </row>
    <row r="10829" customFormat="false" ht="15" hidden="false" customHeight="false" outlineLevel="0" collapsed="false">
      <c r="A10829" s="5" t="s">
        <v>818</v>
      </c>
      <c r="B10829" s="0" t="s">
        <v>86</v>
      </c>
      <c r="D10829" s="38" t="n">
        <f aca="false">Sens!$D$10828-Sens!$D$10827</f>
        <v>-54.193</v>
      </c>
      <c r="E10829" s="38" t="n">
        <f aca="false">Sens!$E$10828-Sens!$E$10827</f>
        <v>10.007</v>
      </c>
      <c r="F10829" s="38" t="n">
        <f aca="false">Sens!$F$10828-Sens!$F$10827</f>
        <v>64.5341793268317</v>
      </c>
      <c r="G10829" s="38" t="n">
        <f aca="false">Sens!$G$10828-Sens!$G$10827</f>
        <v>64.5341793268317</v>
      </c>
      <c r="H10829" s="38" t="n">
        <f aca="false">Sens!$H$10828-Sens!$H$10827</f>
        <v>118.890303169235</v>
      </c>
      <c r="I10829" s="38" t="n">
        <f aca="false">Sens!$I$10828-Sens!$I$10827</f>
        <v>133.920693563841</v>
      </c>
      <c r="J10829" s="38" t="n">
        <f aca="false">Sens!$J$10828-Sens!$J$10827</f>
        <v>108.589347911449</v>
      </c>
      <c r="K10829" s="38" t="n">
        <f aca="false">Sens!$K$10828-Sens!$K$10827</f>
        <v>-10.8015622698255</v>
      </c>
      <c r="L10829" s="38" t="n">
        <f aca="false">Sens!$L$10828-Sens!$L$10827</f>
        <v>-186.779438544058</v>
      </c>
      <c r="M10829" s="38" t="n">
        <f aca="false">Sens!$M$10828-Sens!$M$10827</f>
        <v>-389.888725931024</v>
      </c>
    </row>
    <row r="10830" customFormat="false" ht="17.15" hidden="false" customHeight="false" outlineLevel="0" collapsed="false">
      <c r="A10830" s="5" t="s">
        <v>819</v>
      </c>
      <c r="B10830" s="0" t="s">
        <v>86</v>
      </c>
      <c r="F10830" s="38" t="n">
        <f aca="false">debt_q2*kd_book*0.5+iss_2h26*kd_new*iss_t</f>
        <v>3.24888962733561</v>
      </c>
      <c r="H10830" s="38" t="n">
        <f aca="false">debt_q2*kd_book+(Sens!$G$10828-debt_q2)*kd_new</f>
        <v>7.42354172302123</v>
      </c>
      <c r="I10830" s="38" t="n">
        <f aca="false">debt_q2*kd_book+(Sens!$H$10828-debt_q2)*kd_new</f>
        <v>7.84418947693382</v>
      </c>
      <c r="J10830" s="38" t="n">
        <f aca="false">debt_q2*kd_book+(Sens!$I$10828-debt_q2)*kd_new</f>
        <v>8.79561318891235</v>
      </c>
      <c r="K10830" s="38" t="n">
        <f aca="false">debt_q2*kd_book+(Sens!$J$10828-debt_q2)*kd_new</f>
        <v>8.79561318891235</v>
      </c>
      <c r="L10830" s="38" t="n">
        <f aca="false">debt_q2*kd_book+(Sens!$K$10828-debt_q2)*kd_new</f>
        <v>8.79561318891235</v>
      </c>
      <c r="M10830" s="38" t="n">
        <f aca="false">debt_q2*kd_book+(Sens!$L$10828-debt_q2)*kd_new</f>
        <v>8.79561318891235</v>
      </c>
    </row>
    <row r="10831" customFormat="false" ht="17.15" hidden="false" customHeight="false" outlineLevel="0" collapsed="false">
      <c r="A10831" s="5" t="s">
        <v>820</v>
      </c>
      <c r="B10831" s="0" t="s">
        <v>86</v>
      </c>
      <c r="F10831" s="38" t="n">
        <f aca="false">cash_q2*y_cash*0.5</f>
        <v>2.59</v>
      </c>
      <c r="H10831" s="38" t="n">
        <f aca="false">Sens!$G$10827*y_cash</f>
        <v>4.1153774832261</v>
      </c>
      <c r="I10831" s="38" t="n">
        <f aca="false">Sens!$H$10827*y_cash</f>
        <v>2.10589651022864</v>
      </c>
      <c r="J10831" s="38" t="n">
        <f aca="false">Sens!$I$10827*y_cash</f>
        <v>2.10589651022864</v>
      </c>
      <c r="K10831" s="38" t="n">
        <f aca="false">Sens!$J$10827*y_cash</f>
        <v>3.172800358404</v>
      </c>
      <c r="L10831" s="38" t="n">
        <f aca="false">Sens!$K$10827*y_cash</f>
        <v>8.20129838047933</v>
      </c>
      <c r="M10831" s="38" t="n">
        <f aca="false">Sens!$L$10827*y_cash</f>
        <v>15.6131222909464</v>
      </c>
    </row>
    <row r="10832" customFormat="false" ht="17.15" hidden="false" customHeight="false" outlineLevel="0" collapsed="false">
      <c r="A10832" s="47" t="s">
        <v>821</v>
      </c>
      <c r="B10832" s="14" t="s">
        <v>86</v>
      </c>
      <c r="C10832" s="14"/>
      <c r="D10832" s="14"/>
      <c r="E10832" s="14"/>
      <c r="F10832" s="14"/>
      <c r="G10832" s="48" t="n">
        <f aca="false">SUM(Sens!$G$10821:$K$10821)</f>
        <v>16.4175622698255</v>
      </c>
      <c r="H10832" s="14"/>
      <c r="I10832" s="14"/>
      <c r="J10832" s="14"/>
      <c r="K10832" s="14"/>
      <c r="L10832" s="14"/>
      <c r="M10832" s="14"/>
      <c r="N10832" s="14"/>
      <c r="O10832" s="14"/>
    </row>
    <row r="10833" customFormat="false" ht="17.15" hidden="false" customHeight="false" outlineLevel="0" collapsed="false">
      <c r="A10833" s="0" t="s">
        <v>787</v>
      </c>
      <c r="B10833" s="0" t="s">
        <v>86</v>
      </c>
      <c r="G10833" s="38" t="n">
        <f aca="false">SUM(Sens!$G$10826:$K$10826)</f>
        <v>21.6756945638408</v>
      </c>
    </row>
    <row r="10834" customFormat="false" ht="17.15" hidden="false" customHeight="false" outlineLevel="0" collapsed="false">
      <c r="A10834" s="24" t="s">
        <v>824</v>
      </c>
      <c r="B10834" s="25" t="s">
        <v>86</v>
      </c>
      <c r="C10834" s="25"/>
      <c r="D10834" s="25"/>
      <c r="E10834" s="25"/>
      <c r="F10834" s="25"/>
      <c r="G10834" s="41" t="n">
        <f aca="false">Sens!$G$10832-(Sens!$G$10821+Sens!$H$10821+Sens!$I$10821+Sens!$J$10821+Sens!$K$10821)</f>
        <v>0</v>
      </c>
      <c r="H10834" s="25"/>
      <c r="I10834" s="25"/>
      <c r="J10834" s="25"/>
      <c r="K10834" s="25"/>
      <c r="L10834" s="25"/>
      <c r="M10834" s="25"/>
      <c r="N10834" s="25"/>
      <c r="O10834" s="25"/>
    </row>
    <row r="10837" customFormat="false" ht="19.4" hidden="false" customHeight="false" outlineLevel="0" collapsed="false">
      <c r="A10837" s="31" t="s">
        <v>1371</v>
      </c>
    </row>
    <row r="10838" customFormat="false" ht="17.15" hidden="false" customHeight="false" outlineLevel="0" collapsed="false">
      <c r="A10838" s="6" t="s">
        <v>16</v>
      </c>
      <c r="B10838" s="6" t="s">
        <v>17</v>
      </c>
      <c r="C10838" s="20" t="s">
        <v>504</v>
      </c>
      <c r="D10838" s="20" t="s">
        <v>505</v>
      </c>
      <c r="E10838" s="20" t="s">
        <v>587</v>
      </c>
      <c r="F10838" s="20" t="s">
        <v>588</v>
      </c>
      <c r="G10838" s="20" t="s">
        <v>589</v>
      </c>
      <c r="H10838" s="20" t="s">
        <v>590</v>
      </c>
      <c r="I10838" s="20" t="s">
        <v>591</v>
      </c>
      <c r="J10838" s="20" t="s">
        <v>592</v>
      </c>
      <c r="K10838" s="20" t="s">
        <v>593</v>
      </c>
      <c r="L10838" s="20" t="s">
        <v>594</v>
      </c>
      <c r="M10838" s="20" t="s">
        <v>595</v>
      </c>
      <c r="N10838" s="20" t="s">
        <v>596</v>
      </c>
      <c r="O10838" s="20" t="s">
        <v>597</v>
      </c>
      <c r="P10838" s="6" t="s">
        <v>23</v>
      </c>
      <c r="R10838" s="20" t="n">
        <v>2023</v>
      </c>
      <c r="S10838" s="20" t="n">
        <v>2024</v>
      </c>
      <c r="T10838" s="20" t="n">
        <v>2025</v>
      </c>
      <c r="U10838" s="20" t="n">
        <v>2026</v>
      </c>
      <c r="V10838" s="20" t="n">
        <v>2027</v>
      </c>
      <c r="W10838" s="20" t="n">
        <v>2028</v>
      </c>
      <c r="X10838" s="20" t="n">
        <v>2029</v>
      </c>
      <c r="Y10838" s="20" t="n">
        <v>2030</v>
      </c>
      <c r="Z10838" s="20" t="n">
        <v>2031</v>
      </c>
      <c r="AA10838" s="20" t="n">
        <v>2032</v>
      </c>
    </row>
    <row r="10839" customFormat="false" ht="17.15" hidden="false" customHeight="false" outlineLevel="0" collapsed="false">
      <c r="A10839" s="1" t="s">
        <v>926</v>
      </c>
    </row>
    <row r="10840" customFormat="false" ht="17.15" hidden="false" customHeight="false" outlineLevel="0" collapsed="false">
      <c r="A10840" s="0" t="s">
        <v>927</v>
      </c>
      <c r="B10840" s="0" t="s">
        <v>86</v>
      </c>
      <c r="H10840" s="38" t="n">
        <f aca="false">Sens!$H$10774*(1-tax)</f>
        <v>119.56497355468</v>
      </c>
      <c r="I10840" s="38" t="n">
        <f aca="false">Sens!$I$10774*(1-tax)</f>
        <v>141.256941944278</v>
      </c>
      <c r="J10840" s="38" t="n">
        <f aca="false">Sens!$J$10774*(1-tax)</f>
        <v>165.207646486437</v>
      </c>
      <c r="K10840" s="38" t="n">
        <f aca="false">Sens!$K$10774*(1-tax)</f>
        <v>182.493622705482</v>
      </c>
      <c r="L10840" s="38" t="n">
        <f aca="false">Sens!$L$10774*(1-tax)</f>
        <v>196.756125698549</v>
      </c>
      <c r="M10840" s="38" t="n">
        <f aca="false">Sens!$M$10774*(1-tax)</f>
        <v>209.416582660643</v>
      </c>
    </row>
    <row r="10841" customFormat="false" ht="15" hidden="false" customHeight="false" outlineLevel="0" collapsed="false">
      <c r="A10841" s="5" t="s">
        <v>928</v>
      </c>
      <c r="B10841" s="0" t="s">
        <v>86</v>
      </c>
      <c r="H10841" s="38" t="n">
        <f aca="false">Sens!$H$10785</f>
        <v>81.5618233196153</v>
      </c>
      <c r="I10841" s="38" t="n">
        <f aca="false">Sens!$I$10785</f>
        <v>118.756208740204</v>
      </c>
      <c r="J10841" s="38" t="n">
        <f aca="false">Sens!$J$10785</f>
        <v>152.469489406791</v>
      </c>
      <c r="K10841" s="38" t="n">
        <f aca="false">Sens!$K$10785</f>
        <v>186.391502623819</v>
      </c>
      <c r="L10841" s="38" t="n">
        <f aca="false">Sens!$L$10785</f>
        <v>212.316491798836</v>
      </c>
      <c r="M10841" s="38" t="n">
        <f aca="false">Sens!$M$10785</f>
        <v>230.182690847967</v>
      </c>
    </row>
    <row r="10842" customFormat="false" ht="15" hidden="false" customHeight="false" outlineLevel="0" collapsed="false">
      <c r="A10842" s="5" t="s">
        <v>929</v>
      </c>
      <c r="B10842" s="0" t="s">
        <v>86</v>
      </c>
      <c r="H10842" s="38" t="n">
        <f aca="false">Sens!$H$10816</f>
        <v>273.372679834898</v>
      </c>
      <c r="I10842" s="38" t="n">
        <f aca="false">Sens!$I$10816</f>
        <v>286.981812228425</v>
      </c>
      <c r="J10842" s="38" t="n">
        <f aca="false">Sens!$J$10816</f>
        <v>299.316513378366</v>
      </c>
      <c r="K10842" s="38" t="n">
        <f aca="false">Sens!$K$10816</f>
        <v>253.835101823915</v>
      </c>
      <c r="L10842" s="38" t="n">
        <f aca="false">Sens!$L$10816</f>
        <v>240.252243483641</v>
      </c>
      <c r="M10842" s="38" t="n">
        <f aca="false">Sens!$M$10816</f>
        <v>250.62556497822</v>
      </c>
    </row>
    <row r="10843" customFormat="false" ht="15" hidden="false" customHeight="false" outlineLevel="0" collapsed="false">
      <c r="A10843" s="5" t="s">
        <v>930</v>
      </c>
      <c r="B10843" s="0" t="s">
        <v>86</v>
      </c>
      <c r="H10843" s="38" t="n">
        <f aca="false">Sens!$H$10817</f>
        <v>1.6</v>
      </c>
      <c r="I10843" s="38" t="n">
        <f aca="false">Sens!$I$10817</f>
        <v>1.6</v>
      </c>
      <c r="J10843" s="38" t="n">
        <f aca="false">Sens!$J$10817</f>
        <v>1.6</v>
      </c>
      <c r="K10843" s="38" t="n">
        <f aca="false">Sens!$K$10817</f>
        <v>1.6</v>
      </c>
      <c r="L10843" s="38" t="n">
        <f aca="false">Sens!$L$10817</f>
        <v>1.6</v>
      </c>
      <c r="M10843" s="38" t="n">
        <f aca="false">Sens!$M$10817</f>
        <v>1.6</v>
      </c>
    </row>
    <row r="10844" customFormat="false" ht="15" hidden="false" customHeight="false" outlineLevel="0" collapsed="false">
      <c r="A10844" s="5" t="s">
        <v>931</v>
      </c>
      <c r="B10844" s="0" t="s">
        <v>86</v>
      </c>
      <c r="H10844" s="38" t="n">
        <f aca="false">Sens!$H$10811</f>
        <v>11.2928295263397</v>
      </c>
      <c r="I10844" s="38" t="n">
        <f aca="false">Sens!$I$10811</f>
        <v>12.8091546115766</v>
      </c>
      <c r="J10844" s="38" t="n">
        <f aca="false">Sens!$J$10811</f>
        <v>14.2605653162668</v>
      </c>
      <c r="K10844" s="38" t="n">
        <f aca="false">Sens!$K$10811</f>
        <v>15.5361896109386</v>
      </c>
      <c r="L10844" s="38" t="n">
        <f aca="false">Sens!$L$10811</f>
        <v>16.7342012989106</v>
      </c>
      <c r="M10844" s="38" t="n">
        <f aca="false">Sens!$M$10811</f>
        <v>17.8589265647579</v>
      </c>
    </row>
    <row r="10845" customFormat="false" ht="17.15" hidden="false" customHeight="false" outlineLevel="0" collapsed="false">
      <c r="A10845" s="1" t="s">
        <v>932</v>
      </c>
      <c r="B10845" s="8" t="s">
        <v>86</v>
      </c>
      <c r="H10845" s="38" t="n">
        <f aca="false">Sens!$H$10840+Sens!$H$10841-Sens!$H$10842-Sens!$H$10843+Sens!$H$10844</f>
        <v>-62.5530534342631</v>
      </c>
      <c r="I10845" s="38" t="n">
        <f aca="false">Sens!$I$10840+Sens!$I$10841-Sens!$I$10842-Sens!$I$10843+Sens!$I$10844</f>
        <v>-15.7595069323669</v>
      </c>
      <c r="J10845" s="38" t="n">
        <f aca="false">Sens!$J$10840+Sens!$J$10841-Sens!$J$10842-Sens!$J$10843+Sens!$J$10844</f>
        <v>31.0211878311291</v>
      </c>
      <c r="K10845" s="38" t="n">
        <f aca="false">Sens!$K$10840+Sens!$K$10841-Sens!$K$10842-Sens!$K$10843+Sens!$K$10844</f>
        <v>128.986213116324</v>
      </c>
      <c r="L10845" s="38" t="n">
        <f aca="false">Sens!$L$10840+Sens!$L$10841-Sens!$L$10842-Sens!$L$10843+Sens!$L$10844</f>
        <v>183.954575312655</v>
      </c>
      <c r="M10845" s="38" t="n">
        <f aca="false">Sens!$M$10840+Sens!$M$10841-Sens!$M$10842-Sens!$M$10843+Sens!$M$10844</f>
        <v>205.232635095148</v>
      </c>
    </row>
    <row r="10846" customFormat="false" ht="15" hidden="false" customHeight="false" outlineLevel="0" collapsed="false">
      <c r="A10846" s="5" t="s">
        <v>933</v>
      </c>
      <c r="B10846" s="0" t="s">
        <v>57</v>
      </c>
      <c r="H10846" s="40" t="n">
        <f aca="false">1/(1+(wacc+0.01))^(2027-2026-0.5)</f>
        <v>0.943523276903728</v>
      </c>
      <c r="I10846" s="40" t="n">
        <f aca="false">1/(1+(wacc+0.01))^(2028-2026-0.5)</f>
        <v>0.839958552166526</v>
      </c>
      <c r="J10846" s="40" t="n">
        <f aca="false">1/(1+(wacc+0.01))^(2029-2026-0.5)</f>
        <v>0.747761487848991</v>
      </c>
      <c r="K10846" s="40" t="n">
        <f aca="false">1/(1+(wacc+0.01))^(2030-2026-0.5)</f>
        <v>0.665684326051463</v>
      </c>
      <c r="L10846" s="40" t="n">
        <f aca="false">1/(1+(wacc+0.01))^(2031-2026-0.5)</f>
        <v>0.592616267555198</v>
      </c>
      <c r="M10846" s="40" t="n">
        <f aca="false">1/(1+(wacc+0.01))^(2032-2026-0.5)</f>
        <v>0.527568438713552</v>
      </c>
    </row>
    <row r="10847" customFormat="false" ht="15" hidden="false" customHeight="false" outlineLevel="0" collapsed="false">
      <c r="A10847" s="5" t="s">
        <v>934</v>
      </c>
      <c r="B10847" s="0" t="s">
        <v>86</v>
      </c>
      <c r="H10847" s="38" t="n">
        <f aca="false">Sens!$H$10845*Sens!$H$10846</f>
        <v>-59.02026195663</v>
      </c>
      <c r="I10847" s="38" t="n">
        <f aca="false">Sens!$I$10845*Sens!$I$10846</f>
        <v>-13.2373326257692</v>
      </c>
      <c r="J10847" s="38" t="n">
        <f aca="false">Sens!$J$10845*Sens!$J$10846</f>
        <v>23.1964495674481</v>
      </c>
      <c r="K10847" s="38" t="n">
        <f aca="false">Sens!$K$10845*Sens!$K$10846</f>
        <v>85.8641003482708</v>
      </c>
      <c r="L10847" s="38" t="n">
        <f aca="false">Sens!$L$10845*Sens!$L$10846</f>
        <v>109.014473821487</v>
      </c>
      <c r="M10847" s="38" t="n">
        <f aca="false">Sens!$M$10845*Sens!$M$10846</f>
        <v>108.274260870216</v>
      </c>
    </row>
    <row r="10848" customFormat="false" ht="15" hidden="false" customHeight="false" outlineLevel="0" collapsed="false">
      <c r="A10848" s="5" t="s">
        <v>935</v>
      </c>
      <c r="B10848" s="0" t="s">
        <v>86</v>
      </c>
      <c r="C10848" s="38" t="n">
        <f aca="false">SUM(Sens!$H$10847:$M$10847)</f>
        <v>254.091690025022</v>
      </c>
    </row>
    <row r="10849" customFormat="false" ht="17.15" hidden="false" customHeight="false" outlineLevel="0" collapsed="false">
      <c r="A10849" s="5" t="s">
        <v>936</v>
      </c>
      <c r="B10849" s="0" t="s">
        <v>86</v>
      </c>
      <c r="C10849" s="38" t="n">
        <f aca="false">Sens!$M$10840*(1+tg_hi)*(1-tg_hi/ronic)/((wacc+0.01)-tg_hi)</f>
        <v>1691.53705814663</v>
      </c>
    </row>
    <row r="10850" customFormat="false" ht="15" hidden="false" customHeight="false" outlineLevel="0" collapsed="false">
      <c r="A10850" s="5" t="s">
        <v>937</v>
      </c>
      <c r="B10850" s="0" t="s">
        <v>86</v>
      </c>
      <c r="C10850" s="38" t="n">
        <f aca="false">Sens!$C$10849/(1+(wacc+0.01))^6</f>
        <v>842.001648727064</v>
      </c>
    </row>
    <row r="10851" customFormat="false" ht="17.15" hidden="false" customHeight="false" outlineLevel="0" collapsed="false">
      <c r="A10851" s="5" t="s">
        <v>938</v>
      </c>
      <c r="B10851" s="0" t="s">
        <v>86</v>
      </c>
      <c r="C10851" s="38" t="n">
        <f aca="false">Sens!$C$10848+Sens!$C$10850</f>
        <v>1096.09333875209</v>
      </c>
    </row>
    <row r="10852" customFormat="false" ht="17.15" hidden="false" customHeight="false" outlineLevel="0" collapsed="false">
      <c r="A10852" s="5" t="s">
        <v>939</v>
      </c>
      <c r="B10852" s="0" t="s">
        <v>52</v>
      </c>
      <c r="C10852" s="13" t="n">
        <f aca="false">Sens!$C$10850/Sens!$C$10851</f>
        <v>0.768184258546532</v>
      </c>
    </row>
    <row r="10853" customFormat="false" ht="17.15" hidden="false" customHeight="false" outlineLevel="0" collapsed="false">
      <c r="A10853" s="5" t="s">
        <v>940</v>
      </c>
      <c r="B10853" s="0" t="s">
        <v>86</v>
      </c>
      <c r="C10853" s="38" t="n">
        <f aca="false">Sens!$G$10829+fin_debt</f>
        <v>89.0551793268317</v>
      </c>
    </row>
    <row r="10854" customFormat="false" ht="17.15" hidden="false" customHeight="false" outlineLevel="0" collapsed="false">
      <c r="A10854" s="5" t="s">
        <v>941</v>
      </c>
      <c r="B10854" s="0" t="s">
        <v>86</v>
      </c>
      <c r="C10854" s="38" t="n">
        <f aca="false">(ant_val*ant_sh+oai_val*oai_sh)*(1-liq_disc)</f>
        <v>178.944</v>
      </c>
    </row>
    <row r="10855" customFormat="false" ht="15" hidden="false" customHeight="false" outlineLevel="0" collapsed="false">
      <c r="A10855" s="5" t="s">
        <v>942</v>
      </c>
      <c r="B10855" s="0" t="s">
        <v>86</v>
      </c>
      <c r="C10855" s="38" t="n">
        <f aca="false">Sens!$C$10851-Sens!$C$10853+Sens!$C$10854</f>
        <v>1185.98215942525</v>
      </c>
    </row>
    <row r="10856" customFormat="false" ht="17.15" hidden="false" customHeight="false" outlineLevel="0" collapsed="false">
      <c r="A10856" s="5" t="s">
        <v>943</v>
      </c>
      <c r="B10856" s="0" t="s">
        <v>27</v>
      </c>
      <c r="C10856" s="30" t="n">
        <f aca="false">Sens!$C$10855/sh_out</f>
        <v>109.952497157533</v>
      </c>
    </row>
    <row r="10857" customFormat="false" ht="17.15" hidden="false" customHeight="false" outlineLevel="0" collapsed="false">
      <c r="A10857" s="1" t="s">
        <v>944</v>
      </c>
      <c r="B10857" s="8" t="s">
        <v>27</v>
      </c>
      <c r="C10857" s="30" t="n">
        <f aca="false">Sens!$C$10856*(1+ke)^tp_yf-dps*tp_yf</f>
        <v>120.438539978452</v>
      </c>
    </row>
    <row r="10858" customFormat="false" ht="17.15" hidden="false" customHeight="false" outlineLevel="0" collapsed="false">
      <c r="A10858" s="3" t="s">
        <v>945</v>
      </c>
    </row>
    <row r="10859" customFormat="false" ht="17.15" hidden="false" customHeight="false" outlineLevel="0" collapsed="false">
      <c r="A10859" s="5" t="s">
        <v>946</v>
      </c>
      <c r="B10859" s="0" t="s">
        <v>86</v>
      </c>
      <c r="C10859" s="38" t="n">
        <f aca="false">(1-tp_yf)*(Sens!$H$10786+sbc_ab*Sens!$H$10810*Sens!$H$10647/Sens!$H$10727)+tp_yf*(Sens!$I$10786+sbc_ab*Sens!$I$10810*Sens!$I$10647/Sens!$I$10727)</f>
        <v>59.634664536349</v>
      </c>
    </row>
    <row r="10860" customFormat="false" ht="15" hidden="false" customHeight="false" outlineLevel="0" collapsed="false">
      <c r="A10860" s="5" t="s">
        <v>947</v>
      </c>
      <c r="B10860" s="0" t="s">
        <v>57</v>
      </c>
      <c r="C10860" s="30" t="n">
        <f aca="false">m_ads*m_x</f>
        <v>9.11</v>
      </c>
    </row>
    <row r="10861" customFormat="false" ht="17.15" hidden="false" customHeight="false" outlineLevel="0" collapsed="false">
      <c r="A10861" s="5" t="s">
        <v>948</v>
      </c>
      <c r="B10861" s="0" t="s">
        <v>86</v>
      </c>
      <c r="C10861" s="38" t="n">
        <f aca="false">Sens!$C$10859*Sens!$C$10860</f>
        <v>543.271793926139</v>
      </c>
    </row>
    <row r="10862" customFormat="false" ht="17.15" hidden="false" customHeight="false" outlineLevel="0" collapsed="false">
      <c r="A10862" s="5" t="s">
        <v>949</v>
      </c>
      <c r="B10862" s="0" t="s">
        <v>86</v>
      </c>
      <c r="C10862" s="38" t="n">
        <f aca="false">(1-tp_yf)*(Sens!$H$10787+sbc_ab*Sens!$H$10810*(Sens!$H$10654-Sens!$H$10647)/Sens!$H$10727+IF(internal_ai_reading=2,1,0)*(1-ext_sh)*Sens!$H$10684)+tp_yf*(Sens!$I$10787+sbc_ab*Sens!$I$10810*(Sens!$I$10654-Sens!$I$10647)/Sens!$I$10727+IF(internal_ai_reading=2,1,0)*(1-ext_sh)*Sens!$I$10684)</f>
        <v>51.6951811103438</v>
      </c>
    </row>
    <row r="10863" customFormat="false" ht="17.15" hidden="false" customHeight="false" outlineLevel="0" collapsed="false">
      <c r="A10863" s="5" t="s">
        <v>950</v>
      </c>
      <c r="B10863" s="0" t="s">
        <v>57</v>
      </c>
      <c r="C10863" s="30" t="n">
        <f aca="false">m_retail*m_x</f>
        <v>17.72</v>
      </c>
    </row>
    <row r="10864" customFormat="false" ht="17.15" hidden="false" customHeight="false" outlineLevel="0" collapsed="false">
      <c r="A10864" s="5" t="s">
        <v>951</v>
      </c>
      <c r="B10864" s="0" t="s">
        <v>86</v>
      </c>
      <c r="C10864" s="38" t="n">
        <f aca="false">Sens!$C$10862*Sens!$C$10863</f>
        <v>916.038609275292</v>
      </c>
    </row>
    <row r="10865" customFormat="false" ht="17.15" hidden="false" customHeight="false" outlineLevel="0" collapsed="false">
      <c r="A10865" s="0" t="s">
        <v>952</v>
      </c>
      <c r="B10865" s="0" t="s">
        <v>86</v>
      </c>
      <c r="C10865" s="38" t="n">
        <f aca="false">(1-tp_yf)*(Sens!$H$10788+sbc_ab*Sens!$H$10810*Sens!$H$10725/Sens!$H$10727)+tp_yf*(Sens!$I$10788+sbc_ab*Sens!$I$10810*Sens!$I$10725/Sens!$I$10727)</f>
        <v>97.2337130506861</v>
      </c>
    </row>
    <row r="10866" customFormat="false" ht="17.15" hidden="false" customHeight="false" outlineLevel="0" collapsed="false">
      <c r="A10866" s="0" t="s">
        <v>953</v>
      </c>
      <c r="B10866" s="0" t="s">
        <v>57</v>
      </c>
      <c r="C10866" s="30" t="n">
        <f aca="false">m_cloud*m_x</f>
        <v>13.82</v>
      </c>
    </row>
    <row r="10867" customFormat="false" ht="17.15" hidden="false" customHeight="false" outlineLevel="0" collapsed="false">
      <c r="A10867" s="0" t="s">
        <v>954</v>
      </c>
      <c r="B10867" s="0" t="s">
        <v>86</v>
      </c>
      <c r="C10867" s="38" t="n">
        <f aca="false">Sens!$C$10865*Sens!$C$10866</f>
        <v>1343.76991436048</v>
      </c>
    </row>
    <row r="10868" customFormat="false" ht="17.15" hidden="false" customHeight="false" outlineLevel="0" collapsed="false">
      <c r="A10868" s="0" t="s">
        <v>955</v>
      </c>
      <c r="B10868" s="0" t="s">
        <v>86</v>
      </c>
      <c r="H10868" s="38" t="n">
        <f aca="false">Sens!$H$10706-tax*Sens!$H$10707-ext_sh*Sens!$H$10691</f>
        <v>-115.41576008619</v>
      </c>
      <c r="I10868" s="38" t="n">
        <f aca="false">Sens!$I$10706-tax*Sens!$I$10707-ext_sh*Sens!$I$10691</f>
        <v>-88.5401912683161</v>
      </c>
      <c r="J10868" s="38" t="n">
        <f aca="false">Sens!$J$10706-tax*Sens!$J$10707-ext_sh*Sens!$J$10691</f>
        <v>-61.2977422866746</v>
      </c>
      <c r="K10868" s="38" t="n">
        <f aca="false">Sens!$K$10706-tax*Sens!$K$10707-ext_sh*Sens!$K$10691</f>
        <v>7.87968766598863</v>
      </c>
      <c r="L10868" s="38" t="n">
        <f aca="false">Sens!$L$10706-tax*Sens!$L$10707-ext_sh*Sens!$L$10691</f>
        <v>43.1120391949839</v>
      </c>
      <c r="M10868" s="38" t="n">
        <f aca="false">Sens!$M$10706-tax*Sens!$M$10707-ext_sh*Sens!$M$10691</f>
        <v>50.7488372092318</v>
      </c>
    </row>
    <row r="10869" customFormat="false" ht="17.15" hidden="false" customHeight="false" outlineLevel="0" collapsed="false">
      <c r="A10869" s="5" t="s">
        <v>956</v>
      </c>
      <c r="B10869" s="0" t="s">
        <v>86</v>
      </c>
      <c r="H10869" s="38" t="n">
        <f aca="false">Sens!$H$10868*Sens!$H$10846</f>
        <v>-108.897456162856</v>
      </c>
      <c r="I10869" s="38" t="n">
        <f aca="false">Sens!$I$10868*Sens!$I$10846</f>
        <v>-74.3700908662821</v>
      </c>
      <c r="J10869" s="38" t="n">
        <f aca="false">Sens!$J$10868*Sens!$J$10846</f>
        <v>-45.8360909740678</v>
      </c>
      <c r="K10869" s="38" t="n">
        <f aca="false">Sens!$K$10868*Sens!$K$10846</f>
        <v>5.24538457342966</v>
      </c>
      <c r="L10869" s="38" t="n">
        <f aca="false">Sens!$L$10868*Sens!$L$10846</f>
        <v>25.5488957544248</v>
      </c>
      <c r="M10869" s="38" t="n">
        <f aca="false">Sens!$M$10868*Sens!$M$10846</f>
        <v>26.7734848130026</v>
      </c>
    </row>
    <row r="10870" customFormat="false" ht="17.15" hidden="false" customHeight="false" outlineLevel="0" collapsed="false">
      <c r="A10870" s="5" t="s">
        <v>957</v>
      </c>
      <c r="B10870" s="0" t="s">
        <v>86</v>
      </c>
      <c r="C10870" s="38" t="n">
        <f aca="false">Sens!$M$10707*(1-tax)*(1+tg_hi)*(1-tg_hi/ronic)/((wacc+0.01)-tg_hi)</f>
        <v>323.864449912571</v>
      </c>
    </row>
    <row r="10871" customFormat="false" ht="17.15" hidden="false" customHeight="false" outlineLevel="0" collapsed="false">
      <c r="A10871" s="0" t="s">
        <v>958</v>
      </c>
      <c r="B10871" s="0" t="s">
        <v>86</v>
      </c>
      <c r="C10871" s="38" t="n">
        <f aca="false">(SUM(Sens!$I$10869:$M$10869)+Sens!$C$10870/(1+(wacc+0.01))^6)*(1+(wacc+0.01))^tp_yf</f>
        <v>108.457286645422</v>
      </c>
    </row>
    <row r="10872" customFormat="false" ht="17.15" hidden="false" customHeight="false" outlineLevel="0" collapsed="false">
      <c r="A10872" s="5" t="s">
        <v>959</v>
      </c>
      <c r="B10872" s="0" t="s">
        <v>86</v>
      </c>
      <c r="C10872" s="38" t="n">
        <f aca="false">(1-tp_yf)*(Sens!$H$10789)+tp_yf*(Sens!$I$10789)</f>
        <v>74.6707041238437</v>
      </c>
    </row>
    <row r="10873" customFormat="false" ht="17.15" hidden="false" customHeight="false" outlineLevel="0" collapsed="false">
      <c r="A10873" s="5" t="s">
        <v>960</v>
      </c>
      <c r="B10873" s="0" t="s">
        <v>86</v>
      </c>
      <c r="C10873" s="38" t="n">
        <f aca="false">Sens!$C$10872*m_ai</f>
        <v>448.024224743062</v>
      </c>
    </row>
    <row r="10874" customFormat="false" ht="17.15" hidden="false" customHeight="false" outlineLevel="0" collapsed="false">
      <c r="A10874" s="0" t="s">
        <v>961</v>
      </c>
      <c r="B10874" s="0" t="s">
        <v>86</v>
      </c>
      <c r="C10874" s="38" t="n">
        <f aca="false">IF(ai_leg=1,Sens!$C$10871,Sens!$C$10873)</f>
        <v>108.457286645422</v>
      </c>
    </row>
    <row r="10875" customFormat="false" ht="17.15" hidden="false" customHeight="false" outlineLevel="0" collapsed="false">
      <c r="A10875" s="5" t="s">
        <v>962</v>
      </c>
      <c r="B10875" s="0" t="s">
        <v>86</v>
      </c>
      <c r="C10875" s="38" t="n">
        <f aca="false">Sens!$C$10861+Sens!$C$10864+Sens!$C$10867+Sens!$C$10874</f>
        <v>2911.53760420734</v>
      </c>
    </row>
    <row r="10876" customFormat="false" ht="17.15" hidden="false" customHeight="false" outlineLevel="0" collapsed="false">
      <c r="A10876" s="5" t="s">
        <v>963</v>
      </c>
      <c r="B10876" s="0" t="s">
        <v>86</v>
      </c>
      <c r="C10876" s="38" t="n">
        <f aca="false">Sens!$H$10829+fin_debt</f>
        <v>143.411303169235</v>
      </c>
    </row>
    <row r="10877" customFormat="false" ht="15" hidden="false" customHeight="false" outlineLevel="0" collapsed="false">
      <c r="A10877" s="5" t="s">
        <v>964</v>
      </c>
      <c r="B10877" s="0" t="s">
        <v>86</v>
      </c>
      <c r="C10877" s="38" t="n">
        <f aca="false">Sens!$C$10875-Sens!$C$10876+Sens!$C$10854</f>
        <v>2947.0703010381</v>
      </c>
    </row>
    <row r="10878" customFormat="false" ht="15" hidden="false" customHeight="false" outlineLevel="0" collapsed="false">
      <c r="A10878" s="3" t="s">
        <v>965</v>
      </c>
      <c r="B10878" s="8" t="s">
        <v>27</v>
      </c>
      <c r="C10878" s="30" t="n">
        <f aca="false">Sens!$C$10877/sh_val</f>
        <v>267.179184657672</v>
      </c>
    </row>
    <row r="10879" customFormat="false" ht="17.15" hidden="false" customHeight="false" outlineLevel="0" collapsed="false">
      <c r="A10879" s="47" t="s">
        <v>966</v>
      </c>
      <c r="B10879" s="14" t="s">
        <v>27</v>
      </c>
      <c r="C10879" s="44" t="n">
        <f aca="false">w_dcf*Sens!$C$10857+(1-w_dcf)*Sens!$C$10878</f>
        <v>193.808862318062</v>
      </c>
      <c r="D10879" s="14"/>
      <c r="E10879" s="14"/>
      <c r="F10879" s="14"/>
      <c r="G10879" s="14"/>
      <c r="H10879" s="14"/>
      <c r="I10879" s="14"/>
      <c r="J10879" s="14"/>
      <c r="K10879" s="14"/>
      <c r="L10879" s="14"/>
      <c r="M10879" s="14"/>
      <c r="N10879" s="14"/>
      <c r="O10879" s="14"/>
    </row>
    <row r="10880" customFormat="false" ht="17.15" hidden="false" customHeight="false" outlineLevel="0" collapsed="false">
      <c r="A10880" s="5" t="s">
        <v>967</v>
      </c>
      <c r="B10880" s="0" t="s">
        <v>27</v>
      </c>
      <c r="C10880" s="30" t="n">
        <f aca="false">v022_wdcf*Sens!$C$10857+(1-v022_wdcf)*Sens!$C$10878</f>
        <v>201.145894552023</v>
      </c>
    </row>
    <row r="10881" customFormat="false" ht="17.15" hidden="false" customHeight="false" outlineLevel="0" collapsed="false">
      <c r="A10881" s="5" t="s">
        <v>968</v>
      </c>
      <c r="B10881" s="0" t="s">
        <v>27</v>
      </c>
      <c r="C10881" s="30" t="n">
        <f aca="false">(Sens!$C$10877-Sens!$C$10874+Sens!$C$10873)/sh_val</f>
        <v>297.964068759578</v>
      </c>
    </row>
    <row r="10884" customFormat="false" ht="19.4" hidden="false" customHeight="false" outlineLevel="0" collapsed="false">
      <c r="A10884" s="31" t="s">
        <v>1372</v>
      </c>
    </row>
    <row r="10885" customFormat="false" ht="17.15" hidden="false" customHeight="false" outlineLevel="0" collapsed="false">
      <c r="A10885" s="6" t="s">
        <v>16</v>
      </c>
      <c r="B10885" s="6" t="s">
        <v>17</v>
      </c>
      <c r="C10885" s="20" t="s">
        <v>504</v>
      </c>
      <c r="D10885" s="20" t="s">
        <v>505</v>
      </c>
      <c r="E10885" s="20" t="s">
        <v>587</v>
      </c>
      <c r="F10885" s="20" t="s">
        <v>588</v>
      </c>
      <c r="G10885" s="20" t="s">
        <v>589</v>
      </c>
      <c r="H10885" s="20" t="s">
        <v>590</v>
      </c>
      <c r="I10885" s="20" t="s">
        <v>591</v>
      </c>
      <c r="J10885" s="20" t="s">
        <v>592</v>
      </c>
      <c r="K10885" s="20" t="s">
        <v>593</v>
      </c>
      <c r="L10885" s="20" t="s">
        <v>594</v>
      </c>
      <c r="M10885" s="20" t="s">
        <v>595</v>
      </c>
      <c r="N10885" s="20" t="s">
        <v>596</v>
      </c>
      <c r="O10885" s="20" t="s">
        <v>597</v>
      </c>
      <c r="P10885" s="6" t="s">
        <v>23</v>
      </c>
      <c r="R10885" s="20" t="n">
        <v>2023</v>
      </c>
      <c r="S10885" s="20" t="n">
        <v>2024</v>
      </c>
      <c r="T10885" s="20" t="n">
        <v>2025</v>
      </c>
      <c r="U10885" s="20" t="n">
        <v>2026</v>
      </c>
      <c r="V10885" s="20" t="n">
        <v>2027</v>
      </c>
      <c r="W10885" s="20" t="n">
        <v>2028</v>
      </c>
      <c r="X10885" s="20" t="n">
        <v>2029</v>
      </c>
      <c r="Y10885" s="20" t="n">
        <v>2030</v>
      </c>
      <c r="Z10885" s="20" t="n">
        <v>2031</v>
      </c>
      <c r="AA10885" s="20" t="n">
        <v>2032</v>
      </c>
    </row>
    <row r="10886" customFormat="false" ht="17.15" hidden="false" customHeight="false" outlineLevel="0" collapsed="false">
      <c r="A10886" s="1" t="s">
        <v>677</v>
      </c>
    </row>
    <row r="10887" customFormat="false" ht="17.15" hidden="false" customHeight="false" outlineLevel="0" collapsed="false">
      <c r="A10887" s="0" t="s">
        <v>526</v>
      </c>
      <c r="B10887" s="0" t="s">
        <v>86</v>
      </c>
      <c r="C10887" s="38" t="n">
        <f aca="false">Q!$D$10</f>
        <v>247.029</v>
      </c>
      <c r="D10887" s="38" t="n">
        <f aca="false">Q!$E$10</f>
        <v>269.287</v>
      </c>
      <c r="E10887" s="38" t="n">
        <f aca="false">Q!$P$10</f>
        <v>134.686</v>
      </c>
      <c r="F10887" s="38" t="n">
        <f aca="false">Sens!$O$10887*(1+Sens!$F$10888)*Sens!$F$10899</f>
        <v>158.293876822267</v>
      </c>
      <c r="G10887" s="38" t="n">
        <f aca="false">Sens!$E$10887+Sens!$F$10887</f>
        <v>292.979876822267</v>
      </c>
      <c r="H10887" s="38" t="n">
        <f aca="false">Sens!$G$10887*(1+Sens!$H$10888)</f>
        <v>318.184543087396</v>
      </c>
      <c r="I10887" s="38" t="n">
        <f aca="false">Sens!$H$10887*(1+Sens!$I$10888)</f>
        <v>341.736278761793</v>
      </c>
      <c r="J10887" s="38" t="n">
        <f aca="false">Sens!$I$10887*(1+Sens!$J$10888)</f>
        <v>362.927192787048</v>
      </c>
      <c r="K10887" s="38" t="n">
        <f aca="false">Sens!$J$10887*(1+Sens!$K$10888)</f>
        <v>381.0735524264</v>
      </c>
      <c r="L10887" s="38" t="n">
        <f aca="false">Sens!$K$10887*(1+Sens!$L$10888)</f>
        <v>400.12723004772</v>
      </c>
      <c r="M10887" s="38" t="n">
        <f aca="false">Sens!$L$10887*(1+Sens!$M$10888)</f>
        <v>420.133591550106</v>
      </c>
      <c r="N10887" s="38" t="n">
        <f aca="false">Q!$N$10</f>
        <v>118.892</v>
      </c>
      <c r="O10887" s="38" t="n">
        <f aca="false">Q!$O$10</f>
        <v>150.395</v>
      </c>
      <c r="P10887" s="8" t="s">
        <v>678</v>
      </c>
    </row>
    <row r="10888" customFormat="false" ht="17.15" hidden="false" customHeight="false" outlineLevel="0" collapsed="false">
      <c r="A10888" s="0" t="s">
        <v>679</v>
      </c>
      <c r="B10888" s="0" t="s">
        <v>52</v>
      </c>
      <c r="E10888" s="13" t="n">
        <f aca="false">Sens!$E$10887/Sens!$N$10887-1</f>
        <v>0.132843252699929</v>
      </c>
      <c r="F10888" s="13" t="n">
        <f aca="false">Sens!$O$10887/(Q!$F$10+Q!$G$10)-1</f>
        <v>0.0980382135842941</v>
      </c>
      <c r="G10888" s="13" t="n">
        <f aca="false">Sens!$G$10887/Sens!$D$10887-1</f>
        <v>0.0879837378791657</v>
      </c>
      <c r="H10888" s="13" t="n">
        <f aca="false">Sens!$F$10888+(g_os-Sens!$F$10888)*1/4</f>
        <v>0.0860286601882206</v>
      </c>
      <c r="I10888" s="13" t="n">
        <f aca="false">Sens!$F$10888+(g_os-Sens!$F$10888)*2/4</f>
        <v>0.074019106792147</v>
      </c>
      <c r="J10888" s="13" t="n">
        <f aca="false">Sens!$F$10888+(g_os-Sens!$F$10888)*3/4</f>
        <v>0.0620095533960735</v>
      </c>
      <c r="K10888" s="13" t="n">
        <f aca="false">Sens!$F$10888+(g_os-Sens!$F$10888)*4/4</f>
        <v>0.05</v>
      </c>
      <c r="L10888" s="13" t="n">
        <f aca="false">g_os</f>
        <v>0.05</v>
      </c>
      <c r="M10888" s="13" t="n">
        <f aca="false">g_os</f>
        <v>0.05</v>
      </c>
      <c r="P10888" s="8" t="s">
        <v>680</v>
      </c>
    </row>
    <row r="10889" customFormat="false" ht="17.15" hidden="false" customHeight="false" outlineLevel="0" collapsed="false">
      <c r="A10889" s="0" t="s">
        <v>527</v>
      </c>
      <c r="B10889" s="0" t="s">
        <v>86</v>
      </c>
      <c r="C10889" s="38" t="n">
        <f aca="false">Q!$D$11</f>
        <v>21.215</v>
      </c>
      <c r="D10889" s="38" t="n">
        <f aca="false">Q!$E$11</f>
        <v>22.561</v>
      </c>
      <c r="E10889" s="38" t="n">
        <f aca="false">Q!$P$11</f>
        <v>11.579</v>
      </c>
      <c r="F10889" s="38" t="n">
        <f aca="false">Sens!$O$10889*(1+Sens!$F$10890)*Sens!$F$10899</f>
        <v>11.5938724610325</v>
      </c>
      <c r="G10889" s="38" t="n">
        <f aca="false">Sens!$E$10889+Sens!$F$10889</f>
        <v>23.1728724610325</v>
      </c>
      <c r="H10889" s="38" t="n">
        <f aca="false">Sens!$G$10889*(1+Sens!$H$10890)</f>
        <v>24.353392759506</v>
      </c>
      <c r="I10889" s="38" t="n">
        <f aca="false">Sens!$H$10889*(1+Sens!$I$10890)</f>
        <v>25.4240338872015</v>
      </c>
      <c r="J10889" s="38" t="n">
        <f aca="false">Sens!$I$10889*(1+Sens!$J$10890)</f>
        <v>26.3642491017174</v>
      </c>
      <c r="K10889" s="38" t="n">
        <f aca="false">Sens!$J$10889*(1+Sens!$K$10890)</f>
        <v>27.155176574769</v>
      </c>
      <c r="L10889" s="38" t="n">
        <f aca="false">Sens!$K$10889*(1+Sens!$L$10890)</f>
        <v>27.969831872012</v>
      </c>
      <c r="M10889" s="38" t="n">
        <f aca="false">Sens!$L$10889*(1+Sens!$M$10890)</f>
        <v>28.8089268281724</v>
      </c>
      <c r="N10889" s="38" t="n">
        <f aca="false">Q!$N$11</f>
        <v>11.128</v>
      </c>
      <c r="O10889" s="38" t="n">
        <f aca="false">Q!$O$11</f>
        <v>11.433</v>
      </c>
      <c r="P10889" s="8" t="s">
        <v>678</v>
      </c>
    </row>
    <row r="10890" customFormat="false" ht="17.15" hidden="false" customHeight="false" outlineLevel="0" collapsed="false">
      <c r="A10890" s="0" t="s">
        <v>681</v>
      </c>
      <c r="B10890" s="0" t="s">
        <v>52</v>
      </c>
      <c r="E10890" s="13" t="n">
        <f aca="false">Sens!$E$10889/Sens!$N$10889-1</f>
        <v>0.0405283968368082</v>
      </c>
      <c r="F10890" s="13" t="n">
        <f aca="false">Sens!$O$10889/(Q!$F$11+Q!$G$11)-1</f>
        <v>0.0579254187100955</v>
      </c>
      <c r="G10890" s="13" t="n">
        <f aca="false">Sens!$G$10889/Sens!$D$10889-1</f>
        <v>0.0271208040881397</v>
      </c>
      <c r="H10890" s="13" t="n">
        <f aca="false">Sens!$F$10890+(g_ps-Sens!$F$10890)*1/4</f>
        <v>0.0509440640325716</v>
      </c>
      <c r="I10890" s="13" t="n">
        <f aca="false">Sens!$F$10890+(g_ps-Sens!$F$10890)*2/4</f>
        <v>0.0439627093550477</v>
      </c>
      <c r="J10890" s="13" t="n">
        <f aca="false">Sens!$F$10890+(g_ps-Sens!$F$10890)*3/4</f>
        <v>0.0369813546775239</v>
      </c>
      <c r="K10890" s="13" t="n">
        <f aca="false">Sens!$F$10890+(g_ps-Sens!$F$10890)*4/4</f>
        <v>0.03</v>
      </c>
      <c r="L10890" s="13" t="n">
        <f aca="false">g_ps</f>
        <v>0.03</v>
      </c>
      <c r="M10890" s="13" t="n">
        <f aca="false">g_ps</f>
        <v>0.03</v>
      </c>
      <c r="P10890" s="8" t="s">
        <v>682</v>
      </c>
    </row>
    <row r="10891" customFormat="false" ht="17.15" hidden="false" customHeight="false" outlineLevel="0" collapsed="false">
      <c r="A10891" s="0" t="s">
        <v>528</v>
      </c>
      <c r="B10891" s="0" t="s">
        <v>86</v>
      </c>
      <c r="C10891" s="38" t="n">
        <f aca="false">Q!$D$12</f>
        <v>156.146</v>
      </c>
      <c r="D10891" s="38" t="n">
        <f aca="false">Q!$E$12</f>
        <v>172.162</v>
      </c>
      <c r="E10891" s="38" t="n">
        <f aca="false">Q!$P$12</f>
        <v>88.358</v>
      </c>
      <c r="F10891" s="38" t="n">
        <f aca="false">Sens!$O$10891*(1+Sens!$F$10892)*Sens!$F$10899</f>
        <v>102.004388260171</v>
      </c>
      <c r="G10891" s="38" t="n">
        <f aca="false">Sens!$E$10891+Sens!$F$10891</f>
        <v>190.362388260171</v>
      </c>
      <c r="H10891" s="38" t="n">
        <f aca="false">Sens!$G$10891*(1+Sens!$H$10892)</f>
        <v>210.343106588311</v>
      </c>
      <c r="I10891" s="38" t="n">
        <f aca="false">Sens!$H$10891*(1+Sens!$I$10892)</f>
        <v>229.969728494648</v>
      </c>
      <c r="J10891" s="38" t="n">
        <f aca="false">Sens!$I$10891*(1+Sens!$J$10892)</f>
        <v>248.747636972598</v>
      </c>
      <c r="K10891" s="38" t="n">
        <f aca="false">Sens!$J$10891*(1+Sens!$K$10892)</f>
        <v>266.15997156068</v>
      </c>
      <c r="L10891" s="38" t="n">
        <f aca="false">Sens!$K$10891*(1+Sens!$L$10892)</f>
        <v>284.791169569927</v>
      </c>
      <c r="M10891" s="38" t="n">
        <f aca="false">Sens!$L$10891*(1+Sens!$M$10892)</f>
        <v>304.726551439822</v>
      </c>
      <c r="N10891" s="38" t="n">
        <f aca="false">Q!$N$12</f>
        <v>76.86</v>
      </c>
      <c r="O10891" s="38" t="n">
        <f aca="false">Q!$O$12</f>
        <v>95.302</v>
      </c>
      <c r="P10891" s="8" t="s">
        <v>678</v>
      </c>
    </row>
    <row r="10892" customFormat="false" ht="17.15" hidden="false" customHeight="false" outlineLevel="0" collapsed="false">
      <c r="A10892" s="0" t="s">
        <v>683</v>
      </c>
      <c r="B10892" s="0" t="s">
        <v>52</v>
      </c>
      <c r="E10892" s="13" t="n">
        <f aca="false">Sens!$E$10891/Sens!$N$10891-1</f>
        <v>0.1495966692688</v>
      </c>
      <c r="F10892" s="13" t="n">
        <f aca="false">Sens!$O$10891/(Q!$F$12+Q!$G$12)-1</f>
        <v>0.11661530890813</v>
      </c>
      <c r="G10892" s="13" t="n">
        <f aca="false">Sens!$G$10891/Sens!$D$10891-1</f>
        <v>0.105716640490767</v>
      </c>
      <c r="H10892" s="13" t="n">
        <f aca="false">Sens!$F$10892+(g_sp-Sens!$F$10892)*1/4</f>
        <v>0.104961481681098</v>
      </c>
      <c r="I10892" s="13" t="n">
        <f aca="false">Sens!$F$10892+(g_sp-Sens!$F$10892)*2/4</f>
        <v>0.0933076544540651</v>
      </c>
      <c r="J10892" s="13" t="n">
        <f aca="false">Sens!$F$10892+(g_sp-Sens!$F$10892)*3/4</f>
        <v>0.0816538272270325</v>
      </c>
      <c r="K10892" s="13" t="n">
        <f aca="false">Sens!$F$10892+(g_sp-Sens!$F$10892)*4/4</f>
        <v>0.07</v>
      </c>
      <c r="L10892" s="13" t="n">
        <f aca="false">g_sp</f>
        <v>0.07</v>
      </c>
      <c r="M10892" s="13" t="n">
        <f aca="false">g_sp</f>
        <v>0.07</v>
      </c>
      <c r="P10892" s="8" t="s">
        <v>684</v>
      </c>
    </row>
    <row r="10893" customFormat="false" ht="17.15" hidden="false" customHeight="false" outlineLevel="0" collapsed="false">
      <c r="A10893" s="0" t="s">
        <v>529</v>
      </c>
      <c r="B10893" s="0" t="s">
        <v>86</v>
      </c>
      <c r="C10893" s="38" t="n">
        <f aca="false">Q!$D$13</f>
        <v>56.214</v>
      </c>
      <c r="D10893" s="38" t="n">
        <f aca="false">Q!$E$13</f>
        <v>68.635</v>
      </c>
      <c r="E10893" s="38" t="n">
        <f aca="false">Q!$P$13</f>
        <v>37.052</v>
      </c>
      <c r="F10893" s="38" t="n">
        <f aca="false">Sens!$O$10893*(1+Sens!$F$10894)*Sens!$F$10899</f>
        <v>46.1572219944148</v>
      </c>
      <c r="G10893" s="38" t="n">
        <f aca="false">Sens!$E$10893+Sens!$F$10893</f>
        <v>83.2092219944148</v>
      </c>
      <c r="H10893" s="38" t="n">
        <f aca="false">Sens!$G$10893*(1+Sens!$H$10894)</f>
        <v>99.8969223878976</v>
      </c>
      <c r="I10893" s="38" t="n">
        <f aca="false">Sens!$H$10893*(1+Sens!$I$10894)</f>
        <v>116.583111095496</v>
      </c>
      <c r="J10893" s="38" t="n">
        <f aca="false">Sens!$I$10893*(1+Sens!$J$10894)</f>
        <v>132.148941941952</v>
      </c>
      <c r="K10893" s="38" t="n">
        <f aca="false">Sens!$J$10893*(1+Sens!$K$10894)</f>
        <v>145.363836136147</v>
      </c>
      <c r="L10893" s="38" t="n">
        <f aca="false">Sens!$K$10893*(1+Sens!$L$10894)</f>
        <v>159.900219749762</v>
      </c>
      <c r="M10893" s="38" t="n">
        <f aca="false">Sens!$L$10893*(1+Sens!$M$10894)</f>
        <v>175.890241724738</v>
      </c>
      <c r="N10893" s="38" t="n">
        <f aca="false">Q!$N$13</f>
        <v>29.615</v>
      </c>
      <c r="O10893" s="38" t="n">
        <f aca="false">Q!$O$13</f>
        <v>39.02</v>
      </c>
      <c r="P10893" s="8" t="s">
        <v>678</v>
      </c>
    </row>
    <row r="10894" customFormat="false" ht="17.15" hidden="false" customHeight="false" outlineLevel="0" collapsed="false">
      <c r="A10894" s="0" t="s">
        <v>685</v>
      </c>
      <c r="B10894" s="0" t="s">
        <v>52</v>
      </c>
      <c r="E10894" s="13" t="n">
        <f aca="false">Sens!$E$10893/Sens!$N$10893-1</f>
        <v>0.25112274185379</v>
      </c>
      <c r="F10894" s="13" t="n">
        <f aca="false">Sens!$O$10893/(Q!$F$13+Q!$G$13)-1</f>
        <v>0.234068123596572</v>
      </c>
      <c r="G10894" s="13" t="n">
        <f aca="false">Sens!$G$10893/Sens!$D$10893-1</f>
        <v>0.212343876949294</v>
      </c>
      <c r="H10894" s="13" t="n">
        <f aca="false">Sens!$F$10894+(g_ad-Sens!$F$10894)*1/4</f>
        <v>0.200551092697429</v>
      </c>
      <c r="I10894" s="13" t="n">
        <f aca="false">Sens!$F$10894+(g_ad-Sens!$F$10894)*2/4</f>
        <v>0.167034061798286</v>
      </c>
      <c r="J10894" s="13" t="n">
        <f aca="false">Sens!$F$10894+(g_ad-Sens!$F$10894)*3/4</f>
        <v>0.133517030899143</v>
      </c>
      <c r="K10894" s="13" t="n">
        <f aca="false">Sens!$F$10894+(g_ad-Sens!$F$10894)*4/4</f>
        <v>0.1</v>
      </c>
      <c r="L10894" s="13" t="n">
        <f aca="false">g_ad</f>
        <v>0.1</v>
      </c>
      <c r="M10894" s="13" t="n">
        <f aca="false">g_ad</f>
        <v>0.1</v>
      </c>
      <c r="P10894" s="8" t="s">
        <v>686</v>
      </c>
    </row>
    <row r="10895" customFormat="false" ht="17.15" hidden="false" customHeight="false" outlineLevel="0" collapsed="false">
      <c r="A10895" s="0" t="s">
        <v>530</v>
      </c>
      <c r="B10895" s="0" t="s">
        <v>86</v>
      </c>
      <c r="C10895" s="38" t="n">
        <f aca="false">Q!$D$14</f>
        <v>44.374</v>
      </c>
      <c r="D10895" s="38" t="n">
        <f aca="false">Q!$E$14</f>
        <v>49.619</v>
      </c>
      <c r="E10895" s="38" t="n">
        <f aca="false">Q!$P$14</f>
        <v>27.157</v>
      </c>
      <c r="F10895" s="38" t="n">
        <f aca="false">Sens!$O$10895*(1+Sens!$F$10896)*Sens!$F$10899</f>
        <v>27.7764165988154</v>
      </c>
      <c r="G10895" s="38" t="n">
        <f aca="false">Sens!$E$10895+Sens!$F$10895</f>
        <v>54.9334165988154</v>
      </c>
      <c r="H10895" s="38" t="n">
        <f aca="false">Sens!$G$10895*(1+Sens!$H$10896)</f>
        <v>61.1564112561829</v>
      </c>
      <c r="I10895" s="38" t="n">
        <f aca="false">Sens!$H$10895*(1+Sens!$I$10896)</f>
        <v>67.2020282103945</v>
      </c>
      <c r="J10895" s="38" t="n">
        <f aca="false">Sens!$I$10895*(1+Sens!$J$10896)</f>
        <v>72.8757274028885</v>
      </c>
      <c r="K10895" s="38" t="n">
        <f aca="false">Sens!$J$10895*(1+Sens!$K$10896)</f>
        <v>77.9770283210907</v>
      </c>
      <c r="L10895" s="38" t="n">
        <f aca="false">Sens!$K$10895*(1+Sens!$L$10896)</f>
        <v>83.4354203035671</v>
      </c>
      <c r="M10895" s="38" t="n">
        <f aca="false">Sens!$L$10895*(1+Sens!$M$10896)</f>
        <v>89.2758997248168</v>
      </c>
      <c r="N10895" s="38" t="n">
        <f aca="false">Q!$N$14</f>
        <v>23.923</v>
      </c>
      <c r="O10895" s="38" t="n">
        <f aca="false">Q!$O$14</f>
        <v>25.696</v>
      </c>
      <c r="P10895" s="8" t="s">
        <v>678</v>
      </c>
    </row>
    <row r="10896" customFormat="false" ht="17.15" hidden="false" customHeight="false" outlineLevel="0" collapsed="false">
      <c r="A10896" s="0" t="s">
        <v>687</v>
      </c>
      <c r="B10896" s="0" t="s">
        <v>52</v>
      </c>
      <c r="E10896" s="13" t="n">
        <f aca="false">Sens!$E$10895/Sens!$N$10895-1</f>
        <v>0.135183714417088</v>
      </c>
      <c r="F10896" s="13" t="n">
        <f aca="false">Sens!$O$10895/(Q!$F$14+Q!$G$14)-1</f>
        <v>0.127709997366804</v>
      </c>
      <c r="G10896" s="13" t="n">
        <f aca="false">Sens!$G$10895/Sens!$D$10895-1</f>
        <v>0.107104468022641</v>
      </c>
      <c r="H10896" s="13" t="n">
        <f aca="false">Sens!$F$10896+(g_sub-Sens!$F$10896)*1/4</f>
        <v>0.113282498025103</v>
      </c>
      <c r="I10896" s="13" t="n">
        <f aca="false">Sens!$F$10896+(g_sub-Sens!$F$10896)*2/4</f>
        <v>0.0988549986834021</v>
      </c>
      <c r="J10896" s="13" t="n">
        <f aca="false">Sens!$F$10896+(g_sub-Sens!$F$10896)*3/4</f>
        <v>0.084427499341701</v>
      </c>
      <c r="K10896" s="13" t="n">
        <f aca="false">Sens!$F$10896+(g_sub-Sens!$F$10896)*4/4</f>
        <v>0.07</v>
      </c>
      <c r="L10896" s="13" t="n">
        <f aca="false">g_sub</f>
        <v>0.07</v>
      </c>
      <c r="M10896" s="13" t="n">
        <f aca="false">g_sub</f>
        <v>0.07</v>
      </c>
      <c r="P10896" s="8" t="s">
        <v>688</v>
      </c>
    </row>
    <row r="10897" customFormat="false" ht="17.15" hidden="false" customHeight="false" outlineLevel="0" collapsed="false">
      <c r="A10897" s="0" t="s">
        <v>531</v>
      </c>
      <c r="B10897" s="0" t="s">
        <v>86</v>
      </c>
      <c r="C10897" s="38" t="n">
        <f aca="false">Q!$D$15</f>
        <v>5.425</v>
      </c>
      <c r="D10897" s="38" t="n">
        <f aca="false">Q!$E$15</f>
        <v>5.935</v>
      </c>
      <c r="E10897" s="38" t="n">
        <f aca="false">Q!$P$15</f>
        <v>3.474</v>
      </c>
      <c r="F10897" s="38" t="n">
        <f aca="false">Sens!$O$10897*(1+Sens!$F$10898)*Sens!$F$10899</f>
        <v>3.22246550883619</v>
      </c>
      <c r="G10897" s="38" t="n">
        <f aca="false">Sens!$E$10897+Sens!$F$10897</f>
        <v>6.69646550883619</v>
      </c>
      <c r="H10897" s="38" t="n">
        <f aca="false">Sens!$G$10897*(1+Sens!$H$10898)</f>
        <v>7.16251344209196</v>
      </c>
      <c r="I10897" s="38" t="n">
        <f aca="false">Sens!$H$10897*(1+Sens!$I$10898)</f>
        <v>7.61421070299826</v>
      </c>
      <c r="J10897" s="38" t="n">
        <f aca="false">Sens!$I$10897*(1+Sens!$J$10898)</f>
        <v>8.04465753523932</v>
      </c>
      <c r="K10897" s="38" t="n">
        <f aca="false">Sens!$J$10897*(1+Sens!$K$10898)</f>
        <v>8.44689041200128</v>
      </c>
      <c r="L10897" s="38" t="n">
        <f aca="false">Sens!$K$10897*(1+Sens!$L$10898)</f>
        <v>8.86923493260135</v>
      </c>
      <c r="M10897" s="38" t="n">
        <f aca="false">Sens!$L$10897*(1+Sens!$M$10898)</f>
        <v>9.31269667923142</v>
      </c>
      <c r="N10897" s="38" t="n">
        <f aca="false">Q!$N$15</f>
        <v>2.811</v>
      </c>
      <c r="O10897" s="38" t="n">
        <f aca="false">Q!$O$15</f>
        <v>3.124</v>
      </c>
      <c r="P10897" s="8" t="s">
        <v>678</v>
      </c>
    </row>
    <row r="10898" customFormat="false" ht="17.15" hidden="false" customHeight="false" outlineLevel="0" collapsed="false">
      <c r="A10898" s="0" t="s">
        <v>689</v>
      </c>
      <c r="B10898" s="0" t="s">
        <v>52</v>
      </c>
      <c r="E10898" s="13" t="n">
        <f aca="false">Sens!$E$10897/Sens!$N$10897-1</f>
        <v>0.235859124866596</v>
      </c>
      <c r="F10898" s="13" t="n">
        <f aca="false">Sens!$O$10897/(Q!$F$15+Q!$G$15)-1</f>
        <v>0.0761281433000345</v>
      </c>
      <c r="G10898" s="13" t="n">
        <f aca="false">Sens!$G$10897/Sens!$D$10897-1</f>
        <v>0.128300843948811</v>
      </c>
      <c r="H10898" s="13" t="n">
        <f aca="false">Sens!$F$10898+(g_ot-Sens!$F$10898)*1/4</f>
        <v>0.0695961074750259</v>
      </c>
      <c r="I10898" s="13" t="n">
        <f aca="false">Sens!$F$10898+(g_ot-Sens!$F$10898)*2/4</f>
        <v>0.0630640716500172</v>
      </c>
      <c r="J10898" s="13" t="n">
        <f aca="false">Sens!$F$10898+(g_ot-Sens!$F$10898)*3/4</f>
        <v>0.0565320358250086</v>
      </c>
      <c r="K10898" s="13" t="n">
        <f aca="false">Sens!$F$10898+(g_ot-Sens!$F$10898)*4/4</f>
        <v>0.05</v>
      </c>
      <c r="L10898" s="13" t="n">
        <f aca="false">g_ot</f>
        <v>0.05</v>
      </c>
      <c r="M10898" s="13" t="n">
        <f aca="false">g_ot</f>
        <v>0.05</v>
      </c>
      <c r="P10898" s="8" t="s">
        <v>690</v>
      </c>
    </row>
    <row r="10899" customFormat="false" ht="17.15" hidden="false" customHeight="false" outlineLevel="0" collapsed="false">
      <c r="A10899" s="0" t="s">
        <v>691</v>
      </c>
      <c r="B10899" s="0" t="s">
        <v>57</v>
      </c>
      <c r="F10899" s="40" t="n">
        <f aca="false">(g26q3_mid*Q!$O$8/Q!$J$8-Thesis!$F$89-Thesis!$F$93)/(Sens!$O$10887*(1+Sens!$F$10888)+Sens!$O$10889*(1+Sens!$F$10890)+Sens!$O$10891*(1+Sens!$F$10892)+Sens!$O$10893*(1+Sens!$F$10894)+Sens!$O$10895*(1+Sens!$F$10896)+Sens!$O$10897*(1+Sens!$F$10898))</f>
        <v>0.958546670622329</v>
      </c>
      <c r="P10899" s="8" t="s">
        <v>692</v>
      </c>
    </row>
    <row r="10900" customFormat="false" ht="17.15" hidden="false" customHeight="false" outlineLevel="0" collapsed="false">
      <c r="A10900" s="3" t="s">
        <v>693</v>
      </c>
      <c r="B10900" s="8" t="s">
        <v>86</v>
      </c>
      <c r="C10900" s="38" t="n">
        <f aca="false">Sens!$C$10887+Sens!$C$10889+Sens!$C$10891+Sens!$C$10893+Sens!$C$10895+Sens!$C$10897</f>
        <v>530.403</v>
      </c>
      <c r="D10900" s="38" t="n">
        <f aca="false">Sens!$D$10887+Sens!$D$10889+Sens!$D$10891+Sens!$D$10893+Sens!$D$10895+Sens!$D$10897</f>
        <v>588.199</v>
      </c>
      <c r="E10900" s="38" t="n">
        <f aca="false">Sens!$E$10887+Sens!$E$10889+Sens!$E$10891+Sens!$E$10893+Sens!$E$10895+Sens!$E$10897</f>
        <v>302.306</v>
      </c>
      <c r="F10900" s="38" t="n">
        <f aca="false">Sens!$F$10887+Sens!$F$10889+Sens!$F$10891+Sens!$F$10893+Sens!$F$10895+Sens!$F$10897</f>
        <v>349.048241645537</v>
      </c>
      <c r="G10900" s="38" t="n">
        <f aca="false">Sens!$G$10887+Sens!$G$10889+Sens!$G$10891+Sens!$G$10893+Sens!$G$10895+Sens!$G$10897</f>
        <v>651.354241645537</v>
      </c>
      <c r="H10900" s="38" t="n">
        <f aca="false">Sens!$H$10887+Sens!$H$10889+Sens!$H$10891+Sens!$H$10893+Sens!$H$10895+Sens!$H$10897</f>
        <v>721.096889521386</v>
      </c>
      <c r="I10900" s="38" t="n">
        <f aca="false">Sens!$I$10887+Sens!$I$10889+Sens!$I$10891+Sens!$I$10893+Sens!$I$10895+Sens!$I$10897</f>
        <v>788.529391152531</v>
      </c>
      <c r="J10900" s="38" t="n">
        <f aca="false">Sens!$J$10887+Sens!$J$10889+Sens!$J$10891+Sens!$J$10893+Sens!$J$10895+Sens!$J$10897</f>
        <v>851.108405741443</v>
      </c>
      <c r="K10900" s="38" t="n">
        <f aca="false">Sens!$K$10887+Sens!$K$10889+Sens!$K$10891+Sens!$K$10893+Sens!$K$10895+Sens!$K$10897</f>
        <v>906.176455431088</v>
      </c>
      <c r="L10900" s="38" t="n">
        <f aca="false">Sens!$L$10887+Sens!$L$10889+Sens!$L$10891+Sens!$L$10893+Sens!$L$10895+Sens!$L$10897</f>
        <v>965.093106475589</v>
      </c>
      <c r="M10900" s="38" t="n">
        <f aca="false">Sens!$M$10887+Sens!$M$10889+Sens!$M$10891+Sens!$M$10893+Sens!$M$10895+Sens!$M$10897</f>
        <v>1028.14790794689</v>
      </c>
      <c r="N10900" s="38" t="n">
        <f aca="false">Sens!$N$10887+Sens!$N$10889+Sens!$N$10891+Sens!$N$10893+Sens!$N$10895+Sens!$N$10897</f>
        <v>263.229</v>
      </c>
      <c r="O10900" s="38" t="n">
        <f aca="false">Sens!$O$10887+Sens!$O$10889+Sens!$O$10891+Sens!$O$10893+Sens!$O$10895+Sens!$O$10897</f>
        <v>324.97</v>
      </c>
    </row>
    <row r="10901" customFormat="false" ht="17.15" hidden="false" customHeight="false" outlineLevel="0" collapsed="false">
      <c r="A10901" s="5" t="s">
        <v>694</v>
      </c>
      <c r="B10901" s="0" t="s">
        <v>52</v>
      </c>
      <c r="C10901" s="13" t="n">
        <f aca="false">Q!$D$5/(Q!$D$5+Q!$D$6)</f>
        <v>0.730570905519011</v>
      </c>
      <c r="D10901" s="13" t="n">
        <f aca="false">Q!$E$5/(Q!$E$5+Q!$E$6)</f>
        <v>0.724763217890544</v>
      </c>
      <c r="E10901" s="13" t="n">
        <f aca="false">Q!$P$5/(Q!$P$5+Q!$P$6)</f>
        <v>0.728797972914861</v>
      </c>
      <c r="F10901" s="13" t="n">
        <f aca="false">Sens!$O$10901</f>
        <v>0.718066283041511</v>
      </c>
      <c r="G10901" s="13" t="n">
        <f aca="false">Sens!$G$10902/Sens!$G$10900</f>
        <v>0.723047066202847</v>
      </c>
      <c r="H10901" s="13" t="n">
        <f aca="false">Sens!$G$10901</f>
        <v>0.723047066202847</v>
      </c>
      <c r="I10901" s="13" t="n">
        <f aca="false">Sens!$G$10901</f>
        <v>0.723047066202847</v>
      </c>
      <c r="J10901" s="13" t="n">
        <f aca="false">Sens!$G$10901</f>
        <v>0.723047066202847</v>
      </c>
      <c r="K10901" s="13" t="n">
        <f aca="false">Sens!$G$10901</f>
        <v>0.723047066202847</v>
      </c>
      <c r="L10901" s="13" t="n">
        <f aca="false">Sens!$G$10901</f>
        <v>0.723047066202847</v>
      </c>
      <c r="M10901" s="13" t="n">
        <f aca="false">Sens!$G$10901</f>
        <v>0.723047066202847</v>
      </c>
      <c r="N10901" s="13" t="n">
        <f aca="false">Q!$N$5/(Q!$N$5+Q!$N$6)</f>
        <v>0.733030935041352</v>
      </c>
      <c r="O10901" s="13" t="n">
        <f aca="false">Q!$O$5/(Q!$O$5+Q!$O$6)</f>
        <v>0.718066283041511</v>
      </c>
      <c r="P10901" s="8" t="s">
        <v>695</v>
      </c>
    </row>
    <row r="10902" customFormat="false" ht="17.15" hidden="false" customHeight="false" outlineLevel="0" collapsed="false">
      <c r="A10902" s="1" t="s">
        <v>519</v>
      </c>
      <c r="B10902" s="8" t="s">
        <v>86</v>
      </c>
      <c r="C10902" s="38" t="n">
        <f aca="false">Q!$D$5</f>
        <v>387.497</v>
      </c>
      <c r="D10902" s="38" t="n">
        <f aca="false">Q!$E$5</f>
        <v>426.305</v>
      </c>
      <c r="E10902" s="38" t="n">
        <f aca="false">Q!$P$5</f>
        <v>220.32</v>
      </c>
      <c r="F10902" s="38" t="n">
        <f aca="false">Sens!$F$10900*Sens!$F$10901</f>
        <v>250.639773480586</v>
      </c>
      <c r="G10902" s="38" t="n">
        <f aca="false">Sens!$E$10902+Sens!$F$10902</f>
        <v>470.959773480586</v>
      </c>
      <c r="H10902" s="38" t="n">
        <f aca="false">Sens!$H$10900*Sens!$H$10901</f>
        <v>521.386990416437</v>
      </c>
      <c r="I10902" s="38" t="n">
        <f aca="false">Sens!$I$10900*Sens!$I$10901</f>
        <v>570.143862887555</v>
      </c>
      <c r="J10902" s="38" t="n">
        <f aca="false">Sens!$J$10900*Sens!$J$10901</f>
        <v>615.391435791933</v>
      </c>
      <c r="K10902" s="38" t="n">
        <f aca="false">Sens!$K$10900*Sens!$K$10901</f>
        <v>655.208227561543</v>
      </c>
      <c r="L10902" s="38" t="n">
        <f aca="false">Sens!$L$10900*Sens!$L$10901</f>
        <v>697.807739249767</v>
      </c>
      <c r="M10902" s="38" t="n">
        <f aca="false">Sens!$M$10900*Sens!$M$10901</f>
        <v>743.399328463592</v>
      </c>
      <c r="N10902" s="38" t="n">
        <f aca="false">Q!$N$5</f>
        <v>192.955</v>
      </c>
      <c r="O10902" s="38" t="n">
        <f aca="false">Q!$O$5</f>
        <v>233.35</v>
      </c>
      <c r="P10902" s="5" t="s">
        <v>696</v>
      </c>
    </row>
    <row r="10903" customFormat="false" ht="17.15" hidden="false" customHeight="false" outlineLevel="0" collapsed="false">
      <c r="A10903" s="1" t="s">
        <v>522</v>
      </c>
      <c r="B10903" s="8" t="s">
        <v>86</v>
      </c>
      <c r="C10903" s="38" t="n">
        <f aca="false">Q!$D$6</f>
        <v>142.906</v>
      </c>
      <c r="D10903" s="38" t="n">
        <f aca="false">Q!$E$6</f>
        <v>161.894</v>
      </c>
      <c r="E10903" s="38" t="n">
        <f aca="false">Q!$P$6</f>
        <v>81.986</v>
      </c>
      <c r="F10903" s="38" t="n">
        <f aca="false">Sens!$F$10900*(1-Sens!$F$10901)</f>
        <v>98.408468164951</v>
      </c>
      <c r="G10903" s="38" t="n">
        <f aca="false">Sens!$E$10903+Sens!$F$10903</f>
        <v>180.394468164951</v>
      </c>
      <c r="H10903" s="38" t="n">
        <f aca="false">Sens!$H$10900*(1-Sens!$H$10901)</f>
        <v>199.709899104949</v>
      </c>
      <c r="I10903" s="38" t="n">
        <f aca="false">Sens!$I$10900*(1-Sens!$I$10901)</f>
        <v>218.385528264976</v>
      </c>
      <c r="J10903" s="38" t="n">
        <f aca="false">Sens!$J$10900*(1-Sens!$J$10901)</f>
        <v>235.71696994951</v>
      </c>
      <c r="K10903" s="38" t="n">
        <f aca="false">Sens!$K$10900*(1-Sens!$K$10901)</f>
        <v>250.968227869545</v>
      </c>
      <c r="L10903" s="38" t="n">
        <f aca="false">Sens!$L$10900*(1-Sens!$L$10901)</f>
        <v>267.285367225822</v>
      </c>
      <c r="M10903" s="38" t="n">
        <f aca="false">Sens!$M$10900*(1-Sens!$M$10901)</f>
        <v>284.748579483295</v>
      </c>
      <c r="N10903" s="38" t="n">
        <f aca="false">Q!$N$6</f>
        <v>70.274</v>
      </c>
      <c r="O10903" s="38" t="n">
        <f aca="false">Q!$O$6</f>
        <v>91.62</v>
      </c>
      <c r="P10903" s="5" t="s">
        <v>697</v>
      </c>
    </row>
    <row r="10904" customFormat="false" ht="17.15" hidden="false" customHeight="false" outlineLevel="0" collapsed="false">
      <c r="A10904" s="5" t="s">
        <v>698</v>
      </c>
      <c r="B10904" s="0" t="s">
        <v>86</v>
      </c>
      <c r="C10904" s="38" t="n">
        <f aca="false">Sens!$C$10893*Sens!$C$10901</f>
        <v>41.0683128828457</v>
      </c>
      <c r="D10904" s="38" t="n">
        <f aca="false">Sens!$D$10893*Sens!$D$10901</f>
        <v>49.7441234599175</v>
      </c>
      <c r="E10904" s="38" t="n">
        <f aca="false">Sens!$E$10893*Sens!$E$10901</f>
        <v>27.0034224924414</v>
      </c>
      <c r="F10904" s="38" t="n">
        <f aca="false">Sens!$F$10893*Sens!$F$10901</f>
        <v>33.1439448330513</v>
      </c>
      <c r="G10904" s="38" t="n">
        <f aca="false">Sens!$G$10893*Sens!$G$10901</f>
        <v>60.164183844083</v>
      </c>
      <c r="H10904" s="38" t="n">
        <f aca="false">Sens!$H$10893*Sens!$H$10901</f>
        <v>72.2301766552629</v>
      </c>
      <c r="I10904" s="38" t="n">
        <f aca="false">Sens!$I$10893*Sens!$I$10901</f>
        <v>84.2950764463991</v>
      </c>
      <c r="J10904" s="38" t="n">
        <f aca="false">Sens!$J$10893*Sens!$J$10901</f>
        <v>95.5499047729386</v>
      </c>
      <c r="K10904" s="38" t="n">
        <f aca="false">Sens!$K$10893*Sens!$K$10901</f>
        <v>105.104895250232</v>
      </c>
      <c r="L10904" s="38" t="n">
        <f aca="false">Sens!$L$10893*Sens!$L$10901</f>
        <v>115.615384775256</v>
      </c>
      <c r="M10904" s="38" t="n">
        <f aca="false">Sens!$M$10893*Sens!$M$10901</f>
        <v>127.176923252781</v>
      </c>
      <c r="N10904" s="38" t="n">
        <f aca="false">Sens!$N$10893*Sens!$N$10901</f>
        <v>21.7087111412496</v>
      </c>
      <c r="O10904" s="38" t="n">
        <f aca="false">Sens!$O$10893*Sens!$O$10901</f>
        <v>28.0189463642798</v>
      </c>
      <c r="P10904" s="5" t="s">
        <v>699</v>
      </c>
    </row>
    <row r="10905" customFormat="false" ht="15" hidden="false" customHeight="false" outlineLevel="0" collapsed="false">
      <c r="A10905" s="5" t="s">
        <v>700</v>
      </c>
      <c r="B10905" s="0" t="s">
        <v>86</v>
      </c>
      <c r="C10905" s="38" t="n">
        <f aca="false">Sens!$C$10893-Sens!$C$10904</f>
        <v>15.1456871171543</v>
      </c>
      <c r="D10905" s="38" t="n">
        <f aca="false">Sens!$D$10893-Sens!$D$10904</f>
        <v>18.8908765400825</v>
      </c>
      <c r="E10905" s="38" t="n">
        <f aca="false">Sens!$E$10893-Sens!$E$10904</f>
        <v>10.0485775075586</v>
      </c>
      <c r="F10905" s="38" t="n">
        <f aca="false">Sens!$F$10893-Sens!$F$10904</f>
        <v>13.0132771613635</v>
      </c>
      <c r="G10905" s="38" t="n">
        <f aca="false">Sens!$G$10893-Sens!$G$10904</f>
        <v>23.0450381503318</v>
      </c>
      <c r="H10905" s="38" t="n">
        <f aca="false">Sens!$H$10893-Sens!$H$10904</f>
        <v>27.6667457326347</v>
      </c>
      <c r="I10905" s="38" t="n">
        <f aca="false">Sens!$I$10893-Sens!$I$10904</f>
        <v>32.2880346490971</v>
      </c>
      <c r="J10905" s="38" t="n">
        <f aca="false">Sens!$J$10893-Sens!$J$10904</f>
        <v>36.5990371690132</v>
      </c>
      <c r="K10905" s="38" t="n">
        <f aca="false">Sens!$K$10893-Sens!$K$10904</f>
        <v>40.2589408859145</v>
      </c>
      <c r="L10905" s="38" t="n">
        <f aca="false">Sens!$L$10893-Sens!$L$10904</f>
        <v>44.2848349745059</v>
      </c>
      <c r="M10905" s="38" t="n">
        <f aca="false">Sens!$M$10893-Sens!$M$10904</f>
        <v>48.7133184719565</v>
      </c>
      <c r="N10905" s="38" t="n">
        <f aca="false">Sens!$N$10893-Sens!$N$10904</f>
        <v>7.90628885875037</v>
      </c>
      <c r="O10905" s="38" t="n">
        <f aca="false">Sens!$O$10893-Sens!$O$10904</f>
        <v>11.0010536357202</v>
      </c>
    </row>
    <row r="10906" customFormat="false" ht="19.4" hidden="false" customHeight="false" outlineLevel="0" collapsed="false">
      <c r="A10906" s="31" t="s">
        <v>1373</v>
      </c>
    </row>
    <row r="10907" customFormat="false" ht="17.15" hidden="false" customHeight="false" outlineLevel="0" collapsed="false">
      <c r="A10907" s="6" t="s">
        <v>16</v>
      </c>
      <c r="B10907" s="6" t="s">
        <v>17</v>
      </c>
      <c r="C10907" s="20" t="s">
        <v>504</v>
      </c>
      <c r="D10907" s="20" t="s">
        <v>505</v>
      </c>
      <c r="E10907" s="20" t="s">
        <v>587</v>
      </c>
      <c r="F10907" s="20" t="s">
        <v>588</v>
      </c>
      <c r="G10907" s="20" t="s">
        <v>589</v>
      </c>
      <c r="H10907" s="20" t="s">
        <v>590</v>
      </c>
      <c r="I10907" s="20" t="s">
        <v>591</v>
      </c>
      <c r="J10907" s="20" t="s">
        <v>592</v>
      </c>
      <c r="K10907" s="20" t="s">
        <v>593</v>
      </c>
      <c r="L10907" s="20" t="s">
        <v>594</v>
      </c>
      <c r="M10907" s="20" t="s">
        <v>595</v>
      </c>
      <c r="N10907" s="20" t="s">
        <v>596</v>
      </c>
      <c r="O10907" s="20" t="s">
        <v>597</v>
      </c>
      <c r="P10907" s="6" t="s">
        <v>23</v>
      </c>
      <c r="R10907" s="20" t="n">
        <v>2023</v>
      </c>
      <c r="S10907" s="20" t="n">
        <v>2024</v>
      </c>
      <c r="T10907" s="20" t="n">
        <v>2025</v>
      </c>
      <c r="U10907" s="20" t="n">
        <v>2026</v>
      </c>
      <c r="V10907" s="20" t="n">
        <v>2027</v>
      </c>
      <c r="W10907" s="20" t="n">
        <v>2028</v>
      </c>
      <c r="X10907" s="20" t="n">
        <v>2029</v>
      </c>
      <c r="Y10907" s="20" t="n">
        <v>2030</v>
      </c>
      <c r="Z10907" s="20" t="n">
        <v>2031</v>
      </c>
      <c r="AA10907" s="20" t="n">
        <v>2032</v>
      </c>
    </row>
    <row r="10908" customFormat="false" ht="17.15" hidden="false" customHeight="false" outlineLevel="0" collapsed="false">
      <c r="A10908" s="1" t="s">
        <v>598</v>
      </c>
    </row>
    <row r="10909" customFormat="false" ht="17.15" hidden="false" customHeight="false" outlineLevel="0" collapsed="false">
      <c r="A10909" s="5" t="s">
        <v>599</v>
      </c>
      <c r="B10909" s="0" t="s">
        <v>144</v>
      </c>
      <c r="H10909" s="32" t="n">
        <f aca="false">pace_A</f>
        <v>3733</v>
      </c>
      <c r="I10909" s="32" t="n">
        <f aca="false">pace_A</f>
        <v>3733</v>
      </c>
      <c r="J10909" s="32" t="n">
        <f aca="false">pace_A</f>
        <v>3733</v>
      </c>
      <c r="K10909" s="32" t="n">
        <f aca="false">pace_A+(Sens!$J$10910*tg-pace_A)*1/3</f>
        <v>2640.12166666667</v>
      </c>
      <c r="L10909" s="32" t="n">
        <f aca="false">pace_A+(Sens!$J$10910*tg-pace_A)*2/3</f>
        <v>1547.24333333333</v>
      </c>
      <c r="M10909" s="32" t="n">
        <f aca="false">pace_A+(Sens!$J$10910*tg-pace_A)*3/3</f>
        <v>454.365</v>
      </c>
      <c r="P10909" s="5" t="s">
        <v>600</v>
      </c>
    </row>
    <row r="10910" customFormat="false" ht="17.15" hidden="false" customHeight="false" outlineLevel="0" collapsed="false">
      <c r="A10910" s="15" t="s">
        <v>601</v>
      </c>
      <c r="B10910" s="14" t="s">
        <v>129</v>
      </c>
      <c r="C10910" s="33" t="n">
        <f aca="false">mw_ye24</f>
        <v>360</v>
      </c>
      <c r="D10910" s="33" t="n">
        <f aca="false">mw_ye25</f>
        <v>1440</v>
      </c>
      <c r="E10910" s="33" t="n">
        <f aca="false">mw_open</f>
        <v>2080</v>
      </c>
      <c r="F10910" s="33" t="n">
        <f aca="false">Sens!$E$10910+pace_A*0.5</f>
        <v>3946.5</v>
      </c>
      <c r="G10910" s="33" t="n">
        <f aca="false">Sens!$F$10910</f>
        <v>3946.5</v>
      </c>
      <c r="H10910" s="33" t="n">
        <f aca="false">Sens!$G$10910+Sens!$H$10909</f>
        <v>7679.5</v>
      </c>
      <c r="I10910" s="33" t="n">
        <f aca="false">Sens!$H$10910+Sens!$I$10909</f>
        <v>11412.5</v>
      </c>
      <c r="J10910" s="33" t="n">
        <f aca="false">Sens!$I$10910+Sens!$J$10909</f>
        <v>15145.5</v>
      </c>
      <c r="K10910" s="33" t="n">
        <f aca="false">Sens!$J$10910+Sens!$K$10909</f>
        <v>17785.6216666667</v>
      </c>
      <c r="L10910" s="33" t="n">
        <f aca="false">Sens!$K$10910+Sens!$L$10909</f>
        <v>19332.865</v>
      </c>
      <c r="M10910" s="33" t="n">
        <f aca="false">Sens!$L$10910+Sens!$M$10909</f>
        <v>19787.23</v>
      </c>
      <c r="N10910" s="33" t="n">
        <f aca="false">(mw_ye24+mw_ye25)/2</f>
        <v>900</v>
      </c>
      <c r="O10910" s="33" t="n">
        <f aca="false">mw_ye25</f>
        <v>1440</v>
      </c>
      <c r="P10910" s="5" t="s">
        <v>602</v>
      </c>
    </row>
    <row r="10911" customFormat="false" ht="17.15" hidden="false" customHeight="false" outlineLevel="0" collapsed="false">
      <c r="A10911" s="5" t="s">
        <v>603</v>
      </c>
      <c r="B10911" s="0" t="s">
        <v>129</v>
      </c>
      <c r="C10911" s="32" t="n">
        <f aca="false">(mw_ye23+mw_ye24)/2</f>
        <v>240</v>
      </c>
      <c r="D10911" s="32" t="n">
        <f aca="false">(Sens!$C$10910+Sens!$D$10910)/2</f>
        <v>900</v>
      </c>
      <c r="E10911" s="32" t="n">
        <f aca="false">(Sens!$D$10910+Sens!$E$10910)/2</f>
        <v>1760</v>
      </c>
      <c r="F10911" s="32" t="n">
        <f aca="false">(Sens!$E$10910+Sens!$F$10910)/2</f>
        <v>3013.25</v>
      </c>
      <c r="G10911" s="32" t="n">
        <f aca="false">(Sens!$E$10911+Sens!$F$10911)/2</f>
        <v>2386.625</v>
      </c>
      <c r="H10911" s="32" t="n">
        <f aca="false">(Sens!$G$10910+Sens!$H$10910)/2</f>
        <v>5813</v>
      </c>
      <c r="I10911" s="32" t="n">
        <f aca="false">(Sens!$H$10910+Sens!$I$10910)/2</f>
        <v>9546</v>
      </c>
      <c r="J10911" s="32" t="n">
        <f aca="false">(Sens!$I$10910+Sens!$J$10910)/2</f>
        <v>13279</v>
      </c>
      <c r="K10911" s="32" t="n">
        <f aca="false">(Sens!$J$10910+Sens!$K$10910)/2</f>
        <v>16465.5608333333</v>
      </c>
      <c r="L10911" s="32" t="n">
        <f aca="false">(Sens!$K$10910+Sens!$L$10910)/2</f>
        <v>18559.2433333333</v>
      </c>
      <c r="M10911" s="32" t="n">
        <f aca="false">(Sens!$L$10910+Sens!$M$10910)/2</f>
        <v>19560.0475</v>
      </c>
      <c r="N10911" s="32" t="n">
        <f aca="false">(Sens!$C$10910+Sens!$N$10910)/2</f>
        <v>630</v>
      </c>
      <c r="O10911" s="32" t="n">
        <f aca="false">(Sens!$N$10910+Sens!$O$10910)/2</f>
        <v>1170</v>
      </c>
    </row>
    <row r="10912" customFormat="false" ht="15" hidden="false" customHeight="false" outlineLevel="0" collapsed="false">
      <c r="A10912" s="5" t="s">
        <v>604</v>
      </c>
      <c r="B10912" s="5" t="s">
        <v>123</v>
      </c>
      <c r="C10912" s="34" t="n">
        <v>1</v>
      </c>
      <c r="D10912" s="34" t="n">
        <v>1</v>
      </c>
      <c r="E10912" s="34" t="n">
        <v>0.5</v>
      </c>
      <c r="F10912" s="34" t="n">
        <v>0.5</v>
      </c>
      <c r="G10912" s="34" t="n">
        <v>1</v>
      </c>
      <c r="H10912" s="34" t="n">
        <v>1</v>
      </c>
      <c r="I10912" s="34" t="n">
        <v>1</v>
      </c>
      <c r="J10912" s="34" t="n">
        <v>1</v>
      </c>
      <c r="K10912" s="34" t="n">
        <v>1</v>
      </c>
      <c r="L10912" s="34" t="n">
        <v>1</v>
      </c>
      <c r="M10912" s="34" t="n">
        <v>1</v>
      </c>
      <c r="N10912" s="34" t="n">
        <v>0.5</v>
      </c>
      <c r="O10912" s="34" t="n">
        <v>0.5</v>
      </c>
    </row>
    <row r="10913" customFormat="false" ht="17.15" hidden="false" customHeight="false" outlineLevel="0" collapsed="false">
      <c r="A10913" s="5" t="s">
        <v>605</v>
      </c>
      <c r="B10913" s="0" t="s">
        <v>129</v>
      </c>
      <c r="C10913" s="32" t="n">
        <f aca="false">Sens!$C$10910-mw_ye23</f>
        <v>240</v>
      </c>
      <c r="D10913" s="32" t="n">
        <f aca="false">Sens!$D$10910-Sens!$C$10910</f>
        <v>1080</v>
      </c>
      <c r="E10913" s="32" t="n">
        <f aca="false">Sens!$E$10910-Sens!$D$10910</f>
        <v>640</v>
      </c>
      <c r="F10913" s="32" t="n">
        <f aca="false">Sens!$F$10910-Sens!$E$10910</f>
        <v>1866.5</v>
      </c>
      <c r="G10913" s="32" t="n">
        <f aca="false">Sens!$E$10913+Sens!$F$10913</f>
        <v>2506.5</v>
      </c>
      <c r="H10913" s="32" t="n">
        <f aca="false">Sens!$H$10910-Sens!$G$10910</f>
        <v>3733</v>
      </c>
      <c r="I10913" s="32" t="n">
        <f aca="false">Sens!$I$10910-Sens!$H$10910</f>
        <v>3733</v>
      </c>
      <c r="J10913" s="32" t="n">
        <f aca="false">Sens!$J$10910-Sens!$I$10910</f>
        <v>3733</v>
      </c>
      <c r="K10913" s="32" t="n">
        <f aca="false">Sens!$K$10910-Sens!$J$10910</f>
        <v>2640.12166666667</v>
      </c>
      <c r="L10913" s="32" t="n">
        <f aca="false">Sens!$L$10910-Sens!$K$10910</f>
        <v>1547.24333333333</v>
      </c>
      <c r="M10913" s="32" t="n">
        <f aca="false">Sens!$M$10910-Sens!$L$10910</f>
        <v>454.364999999998</v>
      </c>
      <c r="N10913" s="32" t="n">
        <f aca="false">Sens!$N$10910-Sens!$C$10910</f>
        <v>540</v>
      </c>
      <c r="O10913" s="32" t="n">
        <f aca="false">Sens!$O$10910-Sens!$N$10910</f>
        <v>540</v>
      </c>
    </row>
    <row r="10914" customFormat="false" ht="17.15" hidden="false" customHeight="false" outlineLevel="0" collapsed="false">
      <c r="A10914" s="5" t="s">
        <v>606</v>
      </c>
      <c r="B10914" s="0" t="s">
        <v>129</v>
      </c>
      <c r="C10914" s="32" t="n">
        <f aca="false">Sens!$C$10913/ext_sh</f>
        <v>300</v>
      </c>
      <c r="D10914" s="32" t="n">
        <f aca="false">Sens!$D$10913/ext_sh</f>
        <v>1350</v>
      </c>
      <c r="E10914" s="32" t="n">
        <f aca="false">Sens!$E$10913/ext_sh</f>
        <v>800</v>
      </c>
      <c r="F10914" s="32" t="n">
        <f aca="false">Sens!$F$10913/ext_sh</f>
        <v>2333.125</v>
      </c>
      <c r="G10914" s="32" t="n">
        <f aca="false">Sens!$G$10913/ext_sh</f>
        <v>3133.125</v>
      </c>
      <c r="H10914" s="32" t="n">
        <f aca="false">Sens!$H$10913/ext_sh</f>
        <v>4666.25</v>
      </c>
      <c r="I10914" s="32" t="n">
        <f aca="false">Sens!$I$10913/ext_sh</f>
        <v>4666.25</v>
      </c>
      <c r="J10914" s="32" t="n">
        <f aca="false">Sens!$J$10913/ext_sh</f>
        <v>4666.25</v>
      </c>
      <c r="K10914" s="32" t="n">
        <f aca="false">Sens!$K$10913/ext_sh</f>
        <v>3300.15208333333</v>
      </c>
      <c r="L10914" s="32" t="n">
        <f aca="false">Sens!$L$10913/ext_sh</f>
        <v>1934.05416666667</v>
      </c>
      <c r="M10914" s="32" t="n">
        <f aca="false">Sens!$M$10913/ext_sh</f>
        <v>567.956249999998</v>
      </c>
      <c r="N10914" s="32" t="n">
        <f aca="false">Sens!$N$10913/ext_sh</f>
        <v>675</v>
      </c>
      <c r="O10914" s="32" t="n">
        <f aca="false">Sens!$O$10913/ext_sh</f>
        <v>675</v>
      </c>
      <c r="P10914" s="8" t="s">
        <v>607</v>
      </c>
      <c r="R10914" s="32" t="n">
        <f aca="false">mw_ye23/ext_sh</f>
        <v>150</v>
      </c>
      <c r="S10914" s="32" t="n">
        <f aca="false">Sens!$C$10914</f>
        <v>300</v>
      </c>
      <c r="T10914" s="32" t="n">
        <f aca="false">Sens!$D$10914</f>
        <v>1350</v>
      </c>
      <c r="U10914" s="32" t="n">
        <f aca="false">Sens!$G$10914</f>
        <v>3133.125</v>
      </c>
      <c r="V10914" s="32" t="n">
        <f aca="false">Sens!$H$10914</f>
        <v>4666.25</v>
      </c>
      <c r="W10914" s="32" t="n">
        <f aca="false">Sens!$I$10914</f>
        <v>4666.25</v>
      </c>
      <c r="X10914" s="32" t="n">
        <f aca="false">Sens!$J$10914</f>
        <v>4666.25</v>
      </c>
      <c r="Y10914" s="32" t="n">
        <f aca="false">Sens!$K$10914</f>
        <v>3300.15208333333</v>
      </c>
      <c r="Z10914" s="32" t="n">
        <f aca="false">Sens!$L$10914</f>
        <v>1934.05416666667</v>
      </c>
      <c r="AA10914" s="32" t="n">
        <f aca="false">Sens!$M$10914</f>
        <v>567.956249999998</v>
      </c>
    </row>
    <row r="10915" customFormat="false" ht="17.15" hidden="false" customHeight="false" outlineLevel="0" collapsed="false">
      <c r="A10915" s="1" t="s">
        <v>608</v>
      </c>
    </row>
    <row r="10916" customFormat="false" ht="17.15" hidden="false" customHeight="false" outlineLevel="0" collapsed="false">
      <c r="A10916" s="0" t="s">
        <v>609</v>
      </c>
      <c r="B10916" s="0" t="s">
        <v>52</v>
      </c>
      <c r="F10916" s="35" t="n">
        <f aca="false">na_vr26</f>
        <v>0</v>
      </c>
      <c r="G10916" s="35" t="n">
        <f aca="false">na_vr26</f>
        <v>0</v>
      </c>
      <c r="H10916" s="35" t="n">
        <f aca="false">na_vr27</f>
        <v>0.5</v>
      </c>
      <c r="I10916" s="35" t="n">
        <f aca="false">na_vr28</f>
        <v>1</v>
      </c>
      <c r="J10916" s="35" t="n">
        <f aca="false">na_vr28</f>
        <v>1</v>
      </c>
      <c r="K10916" s="35" t="n">
        <f aca="false">na_vr28</f>
        <v>1</v>
      </c>
      <c r="L10916" s="35" t="n">
        <f aca="false">na_vr28</f>
        <v>1</v>
      </c>
      <c r="M10916" s="35" t="n">
        <f aca="false">na_vr28</f>
        <v>1</v>
      </c>
    </row>
    <row r="10917" customFormat="false" ht="17.15" hidden="false" customHeight="false" outlineLevel="0" collapsed="false">
      <c r="A10917" s="5" t="s">
        <v>610</v>
      </c>
      <c r="B10917" s="0" t="s">
        <v>173</v>
      </c>
      <c r="F10917" s="36" t="n">
        <f aca="false">cust_sh*tk_he_gb300*cf_chip+(1-cust_sh)*((1-Sens!$F$10916)*tk_he_gb300+Sens!$F$10916*tk_he_vr200)</f>
        <v>10.8864110021101</v>
      </c>
      <c r="G10917" s="36" t="n">
        <f aca="false">cust_sh*tk_he_gb300*cf_chip+(1-cust_sh)*((1-Sens!$G$10916)*tk_he_gb300+Sens!$G$10916*tk_he_vr200)</f>
        <v>10.8864110021101</v>
      </c>
      <c r="H10917" s="36" t="n">
        <f aca="false">cust_sh*tk_he_gb300*cf_chip+(1-cust_sh)*((1-Sens!$H$10916)*tk_he_gb300+Sens!$H$10916*tk_he_vr200)</f>
        <v>11.2211760027286</v>
      </c>
      <c r="I10917" s="36" t="n">
        <f aca="false">cust_sh*tk_he_gb300*cf_chip+(1-cust_sh)*((1-Sens!$I$10916)*tk_he_gb300+Sens!$I$10916*tk_he_vr200)</f>
        <v>11.5559410033471</v>
      </c>
      <c r="J10917" s="36" t="n">
        <f aca="false">cust_sh*tk_he_gb300*cf_chip+(1-cust_sh)*((1-Sens!$J$10916)*tk_he_gb300+Sens!$J$10916*tk_he_vr200)</f>
        <v>11.5559410033471</v>
      </c>
      <c r="K10917" s="36" t="n">
        <f aca="false">cust_sh*tk_he_gb300*cf_chip+(1-cust_sh)*((1-Sens!$K$10916)*tk_he_gb300+Sens!$K$10916*tk_he_vr200)</f>
        <v>11.5559410033471</v>
      </c>
      <c r="L10917" s="36" t="n">
        <f aca="false">cust_sh*tk_he_gb300*cf_chip+(1-cust_sh)*((1-Sens!$L$10916)*tk_he_gb300+Sens!$L$10916*tk_he_vr200)</f>
        <v>11.5559410033471</v>
      </c>
      <c r="M10917" s="36" t="n">
        <f aca="false">cust_sh*tk_he_gb300*cf_chip+(1-cust_sh)*((1-Sens!$M$10916)*tk_he_gb300+Sens!$M$10916*tk_he_vr200)</f>
        <v>11.5559410033471</v>
      </c>
    </row>
    <row r="10918" customFormat="false" ht="17.15" hidden="false" customHeight="false" outlineLevel="0" collapsed="false">
      <c r="A10918" s="5" t="s">
        <v>611</v>
      </c>
      <c r="B10918" s="0" t="s">
        <v>173</v>
      </c>
      <c r="F10918" s="36" t="n">
        <f aca="false">cust_sh*tk_ox_gb300+(1-cust_sh)*((1-Sens!$F$10916)*tk_ox_gb300+Sens!$F$10916*tk_ox_vr200)</f>
        <v>1.98263481314457</v>
      </c>
      <c r="G10918" s="36" t="n">
        <f aca="false">cust_sh*tk_ox_gb300+(1-cust_sh)*((1-Sens!$G$10916)*tk_ox_gb300+Sens!$G$10916*tk_ox_vr200)</f>
        <v>1.98263481314457</v>
      </c>
      <c r="H10918" s="36" t="n">
        <f aca="false">cust_sh*tk_ox_gb300+(1-cust_sh)*((1-Sens!$H$10916)*tk_ox_gb300+Sens!$H$10916*tk_ox_vr200)</f>
        <v>2.01034999693694</v>
      </c>
      <c r="I10918" s="36" t="n">
        <f aca="false">cust_sh*tk_ox_gb300+(1-cust_sh)*((1-Sens!$I$10916)*tk_ox_gb300+Sens!$I$10916*tk_ox_vr200)</f>
        <v>2.0380651807293</v>
      </c>
      <c r="J10918" s="36" t="n">
        <f aca="false">cust_sh*tk_ox_gb300+(1-cust_sh)*((1-Sens!$J$10916)*tk_ox_gb300+Sens!$J$10916*tk_ox_vr200)</f>
        <v>2.0380651807293</v>
      </c>
      <c r="K10918" s="36" t="n">
        <f aca="false">cust_sh*tk_ox_gb300+(1-cust_sh)*((1-Sens!$K$10916)*tk_ox_gb300+Sens!$K$10916*tk_ox_vr200)</f>
        <v>2.0380651807293</v>
      </c>
      <c r="L10918" s="36" t="n">
        <f aca="false">cust_sh*tk_ox_gb300+(1-cust_sh)*((1-Sens!$L$10916)*tk_ox_gb300+Sens!$L$10916*tk_ox_vr200)</f>
        <v>2.0380651807293</v>
      </c>
      <c r="M10918" s="36" t="n">
        <f aca="false">cust_sh*tk_ox_gb300+(1-cust_sh)*((1-Sens!$M$10916)*tk_ox_gb300+Sens!$M$10916*tk_ox_vr200)</f>
        <v>2.0380651807293</v>
      </c>
    </row>
    <row r="10919" customFormat="false" ht="17.15" hidden="false" customHeight="false" outlineLevel="0" collapsed="false">
      <c r="A10919" s="5" t="s">
        <v>612</v>
      </c>
      <c r="B10919" s="0" t="s">
        <v>192</v>
      </c>
      <c r="F10919" s="36" t="n">
        <f aca="false">cust_sh*tk_cx_gb300*cf_cx+(1-cust_sh)*((1-Sens!$F$10916)*tk_cx_gb300+Sens!$F$10916*tk_cx_vr200)</f>
        <v>32.237224</v>
      </c>
      <c r="G10919" s="36" t="n">
        <f aca="false">cust_sh*tk_cx_gb300*cf_cx+(1-cust_sh)*((1-Sens!$G$10916)*tk_cx_gb300+Sens!$G$10916*tk_cx_vr200)</f>
        <v>32.237224</v>
      </c>
      <c r="H10919" s="36" t="n">
        <f aca="false">cust_sh*tk_cx_gb300*cf_cx+(1-cust_sh)*((1-Sens!$H$10916)*tk_cx_gb300+Sens!$H$10916*tk_cx_vr200)</f>
        <v>33.574506</v>
      </c>
      <c r="I10919" s="36" t="n">
        <f aca="false">cust_sh*tk_cx_gb300*cf_cx+(1-cust_sh)*((1-Sens!$I$10916)*tk_cx_gb300+Sens!$I$10916*tk_cx_vr200)</f>
        <v>34.911788</v>
      </c>
      <c r="J10919" s="36" t="n">
        <f aca="false">cust_sh*tk_cx_gb300*cf_cx+(1-cust_sh)*((1-Sens!$J$10916)*tk_cx_gb300+Sens!$J$10916*tk_cx_vr200)</f>
        <v>34.911788</v>
      </c>
      <c r="K10919" s="36" t="n">
        <f aca="false">cust_sh*tk_cx_gb300*cf_cx+(1-cust_sh)*((1-Sens!$K$10916)*tk_cx_gb300+Sens!$K$10916*tk_cx_vr200)</f>
        <v>34.911788</v>
      </c>
      <c r="L10919" s="36" t="n">
        <f aca="false">cust_sh*tk_cx_gb300*cf_cx+(1-cust_sh)*((1-Sens!$L$10916)*tk_cx_gb300+Sens!$L$10916*tk_cx_vr200)</f>
        <v>34.911788</v>
      </c>
      <c r="M10919" s="36" t="n">
        <f aca="false">cust_sh*tk_cx_gb300*cf_cx+(1-cust_sh)*((1-Sens!$M$10916)*tk_cx_gb300+Sens!$M$10916*tk_cx_vr200)</f>
        <v>34.911788</v>
      </c>
    </row>
    <row r="10920" customFormat="false" ht="17.15" hidden="false" customHeight="false" outlineLevel="0" collapsed="false">
      <c r="A10920" s="5" t="s">
        <v>613</v>
      </c>
      <c r="B10920" s="0" t="s">
        <v>129</v>
      </c>
      <c r="F10920" s="32" t="n">
        <f aca="false">Sens!$F$10910-mw_open</f>
        <v>1866.5</v>
      </c>
      <c r="G10920" s="32" t="n">
        <f aca="false">Sens!$F$10920</f>
        <v>1866.5</v>
      </c>
      <c r="H10920" s="32" t="n">
        <f aca="false">Sens!$H$10910-mw_open</f>
        <v>5599.5</v>
      </c>
      <c r="I10920" s="32" t="n">
        <f aca="false">Sens!$I$10910-mw_open</f>
        <v>9332.5</v>
      </c>
      <c r="J10920" s="32" t="n">
        <f aca="false">Sens!$J$10910-mw_open</f>
        <v>13065.5</v>
      </c>
      <c r="K10920" s="32" t="n">
        <f aca="false">Sens!$K$10910-mw_open</f>
        <v>15705.6216666667</v>
      </c>
      <c r="L10920" s="32" t="n">
        <f aca="false">Sens!$L$10910-mw_open</f>
        <v>17252.865</v>
      </c>
      <c r="M10920" s="32" t="n">
        <f aca="false">Sens!$M$10910-mw_open</f>
        <v>17707.23</v>
      </c>
    </row>
    <row r="10921" customFormat="false" ht="17.15" hidden="false" customHeight="false" outlineLevel="0" collapsed="false">
      <c r="A10921" s="0" t="s">
        <v>614</v>
      </c>
      <c r="B10921" s="0" t="s">
        <v>615</v>
      </c>
      <c r="F10921" s="32" t="n">
        <f aca="false">Sens!$F$10913*Sens!$F$10917</f>
        <v>20319.4861354385</v>
      </c>
      <c r="G10921" s="32" t="n">
        <f aca="false">Sens!$F$10921</f>
        <v>20319.4861354385</v>
      </c>
      <c r="H10921" s="32" t="n">
        <f aca="false">Sens!$G$10921+Sens!$H$10913*Sens!$H$10917</f>
        <v>62208.1361536244</v>
      </c>
      <c r="I10921" s="32" t="n">
        <f aca="false">Sens!$H$10921+Sens!$I$10913*Sens!$I$10917</f>
        <v>105346.463919119</v>
      </c>
      <c r="J10921" s="32" t="n">
        <f aca="false">Sens!$I$10921+Sens!$J$10913*Sens!$J$10917</f>
        <v>148484.791684614</v>
      </c>
      <c r="K10921" s="32" t="n">
        <f aca="false">Sens!$J$10921+Sens!$K$10913*Sens!$K$10917</f>
        <v>178993.881906272</v>
      </c>
      <c r="L10921" s="32" t="n">
        <f aca="false">Sens!$K$10921+Sens!$L$10913*Sens!$L$10917</f>
        <v>196873.734584094</v>
      </c>
      <c r="M10921" s="32" t="n">
        <f aca="false">Sens!$L$10921+Sens!$M$10913*Sens!$M$10917</f>
        <v>202124.34971808</v>
      </c>
    </row>
    <row r="10922" customFormat="false" ht="17.15" hidden="false" customHeight="false" outlineLevel="0" collapsed="false">
      <c r="A10922" s="0" t="s">
        <v>616</v>
      </c>
      <c r="B10922" s="0" t="s">
        <v>615</v>
      </c>
      <c r="F10922" s="32" t="n">
        <f aca="false">Sens!$F$10913*Sens!$F$10918</f>
        <v>3700.58787873434</v>
      </c>
      <c r="G10922" s="32" t="n">
        <f aca="false">Sens!$F$10922</f>
        <v>3700.58787873434</v>
      </c>
      <c r="H10922" s="32" t="n">
        <f aca="false">Sens!$G$10922+Sens!$H$10913*Sens!$H$10918</f>
        <v>11205.2244172999</v>
      </c>
      <c r="I10922" s="32" t="n">
        <f aca="false">Sens!$H$10922+Sens!$I$10913*Sens!$I$10918</f>
        <v>18813.3217369624</v>
      </c>
      <c r="J10922" s="32" t="n">
        <f aca="false">Sens!$I$10922+Sens!$J$10913*Sens!$J$10918</f>
        <v>26421.4190566249</v>
      </c>
      <c r="K10922" s="32" t="n">
        <f aca="false">Sens!$J$10922+Sens!$K$10913*Sens!$K$10918</f>
        <v>31802.1590983472</v>
      </c>
      <c r="L10922" s="32" t="n">
        <f aca="false">Sens!$K$10922+Sens!$L$10913*Sens!$L$10918</f>
        <v>34955.5418621294</v>
      </c>
      <c r="M10922" s="32" t="n">
        <f aca="false">Sens!$L$10922+Sens!$M$10913*Sens!$M$10918</f>
        <v>35881.5673479715</v>
      </c>
    </row>
    <row r="10923" customFormat="false" ht="17.15" hidden="false" customHeight="false" outlineLevel="0" collapsed="false">
      <c r="A10923" s="5" t="s">
        <v>617</v>
      </c>
      <c r="B10923" s="0" t="s">
        <v>173</v>
      </c>
      <c r="F10923" s="36" t="n">
        <f aca="false">IF(Sens!$F$10920&gt;0,Sens!$F$10921/Sens!$F$10920,Sens!$F$10917)</f>
        <v>10.8864110021101</v>
      </c>
      <c r="G10923" s="36" t="n">
        <f aca="false">IF(Sens!$G$10920&gt;0,Sens!$G$10921/Sens!$G$10920,Sens!$G$10917)</f>
        <v>10.8864110021101</v>
      </c>
      <c r="H10923" s="36" t="n">
        <f aca="false">IF(Sens!$H$10920&gt;0,Sens!$H$10921/Sens!$H$10920,Sens!$H$10917)</f>
        <v>11.1095876691891</v>
      </c>
      <c r="I10923" s="36" t="n">
        <f aca="false">IF(Sens!$I$10920&gt;0,Sens!$I$10921/Sens!$I$10920,Sens!$I$10917)</f>
        <v>11.2881290028523</v>
      </c>
      <c r="J10923" s="36" t="n">
        <f aca="false">IF(Sens!$J$10920&gt;0,Sens!$J$10921/Sens!$J$10920,Sens!$J$10917)</f>
        <v>11.3646467172794</v>
      </c>
      <c r="K10923" s="36" t="n">
        <f aca="false">IF(Sens!$K$10920&gt;0,Sens!$K$10921/Sens!$K$10920,Sens!$K$10917)</f>
        <v>11.3968033679409</v>
      </c>
      <c r="L10923" s="36" t="n">
        <f aca="false">IF(Sens!$L$10920&gt;0,Sens!$L$10921/Sens!$L$10920,Sens!$L$10917)</f>
        <v>11.4110748901179</v>
      </c>
      <c r="M10923" s="36" t="n">
        <f aca="false">IF(Sens!$M$10920&gt;0,Sens!$M$10921/Sens!$M$10920,Sens!$M$10917)</f>
        <v>11.4147921339521</v>
      </c>
    </row>
    <row r="10924" customFormat="false" ht="17.15" hidden="false" customHeight="false" outlineLevel="0" collapsed="false">
      <c r="A10924" s="5" t="s">
        <v>618</v>
      </c>
      <c r="B10924" s="0" t="s">
        <v>173</v>
      </c>
      <c r="F10924" s="36" t="n">
        <f aca="false">IF(Sens!$F$10920&gt;0,Sens!$F$10922/Sens!$F$10920,Sens!$F$10918)</f>
        <v>1.98263481314457</v>
      </c>
      <c r="G10924" s="36" t="n">
        <f aca="false">IF(Sens!$G$10920&gt;0,Sens!$G$10922/Sens!$G$10920,Sens!$G$10918)</f>
        <v>1.98263481314457</v>
      </c>
      <c r="H10924" s="36" t="n">
        <f aca="false">IF(Sens!$H$10920&gt;0,Sens!$H$10922/Sens!$H$10920,Sens!$H$10918)</f>
        <v>2.00111160233948</v>
      </c>
      <c r="I10924" s="36" t="n">
        <f aca="false">IF(Sens!$I$10920&gt;0,Sens!$I$10922/Sens!$I$10920,Sens!$I$10918)</f>
        <v>2.01589303369541</v>
      </c>
      <c r="J10924" s="36" t="n">
        <f aca="false">IF(Sens!$J$10920&gt;0,Sens!$J$10922/Sens!$J$10920,Sens!$J$10918)</f>
        <v>2.02222793284795</v>
      </c>
      <c r="K10924" s="36" t="n">
        <f aca="false">IF(Sens!$K$10920&gt;0,Sens!$K$10922/Sens!$K$10920,Sens!$K$10918)</f>
        <v>2.02489018093716</v>
      </c>
      <c r="L10924" s="36" t="n">
        <f aca="false">IF(Sens!$L$10920&gt;0,Sens!$L$10922/Sens!$L$10920,Sens!$L$10918)</f>
        <v>2.02607171980592</v>
      </c>
      <c r="M10924" s="36" t="n">
        <f aca="false">IF(Sens!$M$10920&gt;0,Sens!$M$10922/Sens!$M$10920,Sens!$M$10918)</f>
        <v>2.02637947030515</v>
      </c>
    </row>
    <row r="10925" customFormat="false" ht="17.15" hidden="false" customHeight="false" outlineLevel="0" collapsed="false">
      <c r="A10925" s="15" t="s">
        <v>619</v>
      </c>
      <c r="B10925" s="14" t="s">
        <v>173</v>
      </c>
      <c r="C10925" s="14"/>
      <c r="D10925" s="14"/>
      <c r="E10925" s="14"/>
      <c r="F10925" s="37" t="n">
        <f aca="false">Sens!$F$10923*k_A</f>
        <v>16.5292102673303</v>
      </c>
      <c r="G10925" s="37" t="n">
        <f aca="false">Sens!$G$10923*k_A</f>
        <v>16.5292102673303</v>
      </c>
      <c r="H10925" s="37" t="n">
        <f aca="false">Sens!$H$10923*k_A</f>
        <v>16.8680670362136</v>
      </c>
      <c r="I10925" s="37" t="n">
        <f aca="false">Sens!$I$10923*k_A</f>
        <v>17.1391524513203</v>
      </c>
      <c r="J10925" s="37" t="n">
        <f aca="false">Sens!$J$10923*k_A</f>
        <v>17.2553319149374</v>
      </c>
      <c r="K10925" s="37" t="n">
        <f aca="false">Sens!$K$10923*k_A</f>
        <v>17.304156457771</v>
      </c>
      <c r="L10925" s="37" t="n">
        <f aca="false">Sens!$L$10923*k_A</f>
        <v>17.3258253981457</v>
      </c>
      <c r="M10925" s="37" t="n">
        <f aca="false">Sens!$M$10923*k_A</f>
        <v>17.3314694166324</v>
      </c>
      <c r="N10925" s="14"/>
      <c r="O10925" s="14"/>
      <c r="P10925" s="5" t="s">
        <v>620</v>
      </c>
    </row>
    <row r="10926" customFormat="false" ht="17.15" hidden="false" customHeight="false" outlineLevel="0" collapsed="false">
      <c r="A10926" s="5" t="s">
        <v>621</v>
      </c>
      <c r="B10926" s="0" t="s">
        <v>129</v>
      </c>
      <c r="F10926" s="32" t="n">
        <f aca="false">Sens!$F$10920/2</f>
        <v>933.25</v>
      </c>
      <c r="H10926" s="32" t="n">
        <f aca="false">(Sens!$G$10920+Sens!$H$10920)/2</f>
        <v>3733</v>
      </c>
      <c r="I10926" s="32" t="n">
        <f aca="false">(Sens!$H$10920+Sens!$I$10920)/2</f>
        <v>7466</v>
      </c>
      <c r="J10926" s="32" t="n">
        <f aca="false">(Sens!$I$10920+Sens!$J$10920)/2</f>
        <v>11199</v>
      </c>
      <c r="K10926" s="32" t="n">
        <f aca="false">(Sens!$J$10920+Sens!$K$10920)/2</f>
        <v>14385.5608333333</v>
      </c>
      <c r="L10926" s="32" t="n">
        <f aca="false">(Sens!$K$10920+Sens!$L$10920)/2</f>
        <v>16479.2433333333</v>
      </c>
      <c r="M10926" s="32" t="n">
        <f aca="false">(Sens!$L$10920+Sens!$M$10920)/2</f>
        <v>17480.0475</v>
      </c>
    </row>
    <row r="10927" customFormat="false" ht="17.15" hidden="false" customHeight="false" outlineLevel="0" collapsed="false">
      <c r="A10927" s="1" t="s">
        <v>622</v>
      </c>
    </row>
    <row r="10928" customFormat="false" ht="17.15" hidden="false" customHeight="false" outlineLevel="0" collapsed="false">
      <c r="A10928" s="1" t="s">
        <v>623</v>
      </c>
      <c r="B10928" s="8" t="s">
        <v>86</v>
      </c>
      <c r="C10928" s="38" t="n">
        <f aca="false">Sens!$C$10911*rpm_open*Sens!$C$10912/1000</f>
        <v>2.32100535697364</v>
      </c>
      <c r="D10928" s="38" t="n">
        <f aca="false">Sens!$D$10911*rpm_open*Sens!$D$10912/1000</f>
        <v>8.70377008865116</v>
      </c>
      <c r="E10928" s="38" t="n">
        <f aca="false">Sens!$E$10911*rpm_open*Sens!$E$10912/1000</f>
        <v>8.51035297557002</v>
      </c>
      <c r="F10928" s="38" t="n">
        <f aca="false">(mw_open*rpm_open+Sens!$F$10926*Sens!$F$10925)*Sens!$F$10912/1000</f>
        <v>17.7706326212121</v>
      </c>
      <c r="G10928" s="38" t="n">
        <f aca="false">Sens!$E$10928+Sens!$F$10928</f>
        <v>26.2809855967821</v>
      </c>
      <c r="H10928" s="38" t="n">
        <f aca="false">(mw_open*rpm_open+Sens!$H$10926*Sens!$H$10925)/1000</f>
        <v>83.0838740066237</v>
      </c>
      <c r="I10928" s="38" t="n">
        <f aca="false">(mw_open*rpm_open+Sens!$I$10926*Sens!$I$10925)/1000</f>
        <v>148.076291961995</v>
      </c>
      <c r="J10928" s="38" t="n">
        <f aca="false">(mw_open*rpm_open+Sens!$J$10926*Sens!$J$10925)/1000</f>
        <v>213.357841875822</v>
      </c>
      <c r="K10928" s="38" t="n">
        <f aca="false">(mw_open*rpm_open+Sens!$K$10926*Sens!$K$10925)/1000</f>
        <v>269.045375153221</v>
      </c>
      <c r="L10928" s="38" t="n">
        <f aca="false">(mw_open*rpm_open+Sens!$L$10926*Sens!$L$10925)/1000</f>
        <v>305.631872447328</v>
      </c>
      <c r="M10928" s="38" t="n">
        <f aca="false">(mw_open*rpm_open+Sens!$M$10926*Sens!$M$10925)/1000</f>
        <v>323.07028840797</v>
      </c>
      <c r="N10928" s="38" t="n">
        <f aca="false">Sens!$N$10911*rpm_open*Sens!$N$10912/1000</f>
        <v>3.04631953102791</v>
      </c>
      <c r="O10928" s="38" t="n">
        <f aca="false">Sens!$O$10911*rpm_open*Sens!$O$10912/1000</f>
        <v>5.65745055762326</v>
      </c>
      <c r="P10928" s="5" t="s">
        <v>624</v>
      </c>
    </row>
    <row r="10929" customFormat="false" ht="17.15" hidden="false" customHeight="false" outlineLevel="0" collapsed="false">
      <c r="A10929" s="5" t="s">
        <v>625</v>
      </c>
      <c r="B10929" s="0" t="s">
        <v>173</v>
      </c>
      <c r="C10929" s="36" t="n">
        <f aca="false">Sens!$C$10928*1000/(Sens!$C$10911*Sens!$C$10912)</f>
        <v>9.67085565405685</v>
      </c>
      <c r="D10929" s="36" t="n">
        <f aca="false">Sens!$D$10928*1000/(Sens!$D$10911*Sens!$D$10912)</f>
        <v>9.67085565405685</v>
      </c>
      <c r="E10929" s="36" t="n">
        <f aca="false">Sens!$E$10928*1000/(Sens!$E$10911*Sens!$E$10912)</f>
        <v>9.67085565405685</v>
      </c>
      <c r="F10929" s="36" t="n">
        <f aca="false">Sens!$F$10928*1000/(Sens!$F$10911*Sens!$F$10912)</f>
        <v>11.7949938579355</v>
      </c>
      <c r="G10929" s="36" t="n">
        <f aca="false">Sens!$G$10928*1000/(Sens!$G$10911*Sens!$G$10912)</f>
        <v>11.0117783886376</v>
      </c>
      <c r="H10929" s="36" t="n">
        <f aca="false">Sens!$H$10928*1000/(Sens!$H$10911*Sens!$H$10912)</f>
        <v>14.2927703434756</v>
      </c>
      <c r="I10929" s="36" t="n">
        <f aca="false">Sens!$I$10928*1000/(Sens!$I$10911*Sens!$I$10912)</f>
        <v>15.5118680035612</v>
      </c>
      <c r="J10929" s="36" t="n">
        <f aca="false">Sens!$J$10928*1000/(Sens!$J$10911*Sens!$J$10912)</f>
        <v>16.0673124388751</v>
      </c>
      <c r="K10929" s="36" t="n">
        <f aca="false">Sens!$K$10928*1000/(Sens!$K$10911*Sens!$K$10912)</f>
        <v>16.3398852839898</v>
      </c>
      <c r="L10929" s="36" t="n">
        <f aca="false">Sens!$L$10928*1000/(Sens!$L$10911*Sens!$L$10912)</f>
        <v>16.4679058816152</v>
      </c>
      <c r="M10929" s="36" t="n">
        <f aca="false">Sens!$M$10928*1000/(Sens!$M$10911*Sens!$M$10912)</f>
        <v>16.5168458005007</v>
      </c>
      <c r="N10929" s="36" t="n">
        <f aca="false">Sens!$N$10928*1000/(Sens!$N$10911*Sens!$N$10912)</f>
        <v>9.67085565405685</v>
      </c>
      <c r="O10929" s="36" t="n">
        <f aca="false">Sens!$O$10928*1000/(Sens!$O$10911*Sens!$O$10912)</f>
        <v>9.67085565405685</v>
      </c>
    </row>
    <row r="10930" customFormat="false" ht="17.15" hidden="false" customHeight="false" outlineLevel="0" collapsed="false">
      <c r="A10930" s="0" t="s">
        <v>626</v>
      </c>
      <c r="B10930" s="0" t="s">
        <v>86</v>
      </c>
      <c r="C10930" s="38" t="n">
        <f aca="false">Sens!$C$10911/ext_sh*(ox_open+rent_mw)*Sens!$C$10912/1000</f>
        <v>0.642569210675032</v>
      </c>
      <c r="D10930" s="38" t="n">
        <f aca="false">Sens!$D$10911/ext_sh*(ox_open+rent_mw)*Sens!$D$10912/1000</f>
        <v>2.40963454003137</v>
      </c>
      <c r="E10930" s="38" t="n">
        <f aca="false">Sens!$E$10911/ext_sh*(ox_open+rent_mw)*Sens!$E$10912/1000</f>
        <v>2.35608710580845</v>
      </c>
      <c r="F10930" s="38" t="n">
        <f aca="false">((mw_open*ox_open+Sens!$F$10926*Sens!$F$10924)/ext_sh+Sens!$F$10911/ext_sh*rent_mw)*Sens!$F$10912/1000</f>
        <v>4.08870376044629</v>
      </c>
      <c r="G10930" s="38" t="n">
        <f aca="false">Sens!$E$10930+Sens!$F$10930</f>
        <v>6.44479086625474</v>
      </c>
      <c r="H10930" s="38" t="n">
        <f aca="false">((mw_open*ox_open+Sens!$H$10926*Sens!$H$10924)/ext_sh+Sens!$H$10911/ext_sh*rent_mw)*Sens!$H$10912/1000</f>
        <v>16.0890479236002</v>
      </c>
      <c r="I10930" s="38" t="n">
        <f aca="false">((mw_open*ox_open+Sens!$I$10926*Sens!$I$10924)/ext_sh+Sens!$I$10911/ext_sh*rent_mw)*Sens!$I$10912/1000</f>
        <v>26.747110396146</v>
      </c>
      <c r="J10930" s="38" t="n">
        <f aca="false">((mw_open*ox_open+Sens!$J$10926*Sens!$J$10924)/ext_sh+Sens!$J$10911/ext_sh*rent_mw)*Sens!$J$10912/1000</f>
        <v>37.4248796841388</v>
      </c>
      <c r="K10930" s="38" t="n">
        <f aca="false">((mw_open*ox_open+Sens!$K$10926*Sens!$K$10924)/ext_sh+Sens!$K$10911/ext_sh*rent_mw)*Sens!$K$10912/1000</f>
        <v>46.5370356515055</v>
      </c>
      <c r="L10930" s="38" t="n">
        <f aca="false">((mw_open*ox_open+Sens!$L$10926*Sens!$L$10924)/ext_sh+Sens!$L$10911/ext_sh*rent_mw)*Sens!$L$10912/1000</f>
        <v>52.5238945868506</v>
      </c>
      <c r="M10930" s="38" t="n">
        <f aca="false">((mw_open*ox_open+Sens!$M$10926*Sens!$M$10924)/ext_sh+Sens!$M$10911/ext_sh*rent_mw)*Sens!$M$10912/1000</f>
        <v>55.3822499472572</v>
      </c>
      <c r="N10930" s="38" t="n">
        <f aca="false">Sens!$N$10911/ext_sh*(ox_open+rent_mw)*Sens!$N$10912/1000</f>
        <v>0.84337208901098</v>
      </c>
      <c r="O10930" s="38" t="n">
        <f aca="false">Sens!$O$10911/ext_sh*(ox_open+rent_mw)*Sens!$O$10912/1000</f>
        <v>1.56626245102039</v>
      </c>
    </row>
    <row r="10931" customFormat="false" ht="17.15" hidden="false" customHeight="false" outlineLevel="0" collapsed="false">
      <c r="A10931" s="0" t="s">
        <v>627</v>
      </c>
      <c r="B10931" s="0" t="s">
        <v>86</v>
      </c>
      <c r="C10931" s="38" t="n">
        <f aca="false">Q!$D$7</f>
        <v>107.556</v>
      </c>
      <c r="D10931" s="38" t="n">
        <f aca="false">Q!$E$7</f>
        <v>128.725</v>
      </c>
      <c r="E10931" s="38" t="n">
        <f aca="false">Q!$P$7</f>
        <v>79.819</v>
      </c>
      <c r="N10931" s="38" t="n">
        <f aca="false">Q!$N$7</f>
        <v>60.14</v>
      </c>
      <c r="O10931" s="38" t="n">
        <f aca="false">Q!$O$7</f>
        <v>68.585</v>
      </c>
    </row>
    <row r="10932" customFormat="false" ht="17.15" hidden="false" customHeight="false" outlineLevel="0" collapsed="false">
      <c r="A10932" s="1" t="s">
        <v>628</v>
      </c>
      <c r="B10932" s="8" t="s">
        <v>86</v>
      </c>
      <c r="C10932" s="38" t="n">
        <f aca="false">Sens!$C$10931-Sens!$C$10928</f>
        <v>105.234994643026</v>
      </c>
      <c r="D10932" s="38" t="n">
        <f aca="false">Sens!$D$10931-Sens!$D$10928</f>
        <v>120.021229911349</v>
      </c>
      <c r="E10932" s="38" t="n">
        <f aca="false">Sens!$E$10931-Sens!$E$10928</f>
        <v>71.30864702443</v>
      </c>
      <c r="F10932" s="38" t="n">
        <f aca="false">Sens!$O$10932*(1+Sens!$F$10933)</f>
        <v>71.7692997942464</v>
      </c>
      <c r="G10932" s="38" t="n">
        <f aca="false">Sens!$E$10932+Sens!$F$10932</f>
        <v>143.077946818676</v>
      </c>
      <c r="H10932" s="38" t="n">
        <f aca="false">Sens!$G$10932*(1+Sens!$H$10933)</f>
        <v>161.017077079203</v>
      </c>
      <c r="I10932" s="38" t="n">
        <f aca="false">Sens!$H$10932*(1+Sens!$I$10933)</f>
        <v>178.769759521457</v>
      </c>
      <c r="J10932" s="38" t="n">
        <f aca="false">Sens!$I$10932*(1+Sens!$J$10933)</f>
        <v>195.775538045907</v>
      </c>
      <c r="K10932" s="38" t="n">
        <f aca="false">Sens!$J$10932*(1+Sens!$K$10933)</f>
        <v>211.43758108958</v>
      </c>
      <c r="L10932" s="38" t="n">
        <f aca="false">Sens!$K$10932*(1+Sens!$L$10933)</f>
        <v>228.352587576746</v>
      </c>
      <c r="M10932" s="38" t="n">
        <f aca="false">Sens!$L$10932*(1+Sens!$M$10933)</f>
        <v>246.620794582886</v>
      </c>
      <c r="N10932" s="38" t="n">
        <f aca="false">Sens!$N$10931-Sens!$N$10928</f>
        <v>57.0936804689721</v>
      </c>
      <c r="O10932" s="38" t="n">
        <f aca="false">Sens!$O$10931-Sens!$O$10928</f>
        <v>62.9275494423768</v>
      </c>
      <c r="P10932" s="5" t="s">
        <v>629</v>
      </c>
    </row>
    <row r="10933" customFormat="false" ht="17.15" hidden="false" customHeight="false" outlineLevel="0" collapsed="false">
      <c r="A10933" s="0" t="s">
        <v>630</v>
      </c>
      <c r="B10933" s="0" t="s">
        <v>52</v>
      </c>
      <c r="D10933" s="13" t="n">
        <f aca="false">Sens!$D$10932/Sens!$C$10932-1</f>
        <v>0.140506827776062</v>
      </c>
      <c r="E10933" s="13" t="n">
        <f aca="false">Sens!$E$10932/Sens!$N$10932-1</f>
        <v>0.248976181579029</v>
      </c>
      <c r="F10933" s="13" t="n">
        <f aca="false">Sens!$D$10933</f>
        <v>0.140506827776062</v>
      </c>
      <c r="G10933" s="13" t="n">
        <f aca="false">Sens!$G$10932/Sens!$D$10932-1</f>
        <v>0.19210532106993</v>
      </c>
      <c r="H10933" s="13" t="n">
        <f aca="false">Sens!$F$10933+(g_awso_lt-Sens!$F$10933)*1/4</f>
        <v>0.125380120832046</v>
      </c>
      <c r="I10933" s="13" t="n">
        <f aca="false">Sens!$F$10933+(g_awso_lt-Sens!$F$10933)*2/4</f>
        <v>0.110253413888031</v>
      </c>
      <c r="J10933" s="13" t="n">
        <f aca="false">Sens!$F$10933+(g_awso_lt-Sens!$F$10933)*3/4</f>
        <v>0.0951267069440154</v>
      </c>
      <c r="K10933" s="13" t="n">
        <f aca="false">Sens!$F$10933+(g_awso_lt-Sens!$F$10933)*4/4</f>
        <v>0.08</v>
      </c>
      <c r="L10933" s="13" t="n">
        <f aca="false">g_awso_lt</f>
        <v>0.08</v>
      </c>
      <c r="M10933" s="13" t="n">
        <f aca="false">g_awso_lt</f>
        <v>0.08</v>
      </c>
      <c r="P10933" s="5" t="s">
        <v>631</v>
      </c>
    </row>
    <row r="10934" customFormat="false" ht="17.15" hidden="false" customHeight="false" outlineLevel="0" collapsed="false">
      <c r="A10934" s="1" t="s">
        <v>632</v>
      </c>
    </row>
    <row r="10935" customFormat="false" ht="17.15" hidden="false" customHeight="false" outlineLevel="0" collapsed="false">
      <c r="A10935" s="0" t="s">
        <v>633</v>
      </c>
      <c r="B10935" s="0" t="s">
        <v>86</v>
      </c>
      <c r="F10935" s="38" t="n">
        <f aca="false">cx_rt*Sens!$F$10900+cx_awso*Sens!$F$10932</f>
        <v>34.9734495387866</v>
      </c>
    </row>
    <row r="10936" customFormat="false" ht="17.15" hidden="false" customHeight="false" outlineLevel="0" collapsed="false">
      <c r="A10936" s="0" t="s">
        <v>634</v>
      </c>
      <c r="B10936" s="0" t="s">
        <v>52</v>
      </c>
      <c r="C10936" s="13" t="n">
        <f aca="false">tk_cx_h100/(tk_cx_h100+tk_fac*(1-colo_sh))</f>
        <v>0.730756458006641</v>
      </c>
      <c r="D10936" s="13" t="n">
        <f aca="false">tk_cx_h100/(tk_cx_h100+tk_fac*(1-colo_sh))</f>
        <v>0.730756458006641</v>
      </c>
      <c r="E10936" s="13" t="n">
        <f aca="false">Sens!$F$10936</f>
        <v>0.760792334328868</v>
      </c>
      <c r="F10936" s="13" t="n">
        <f aca="false">Sens!$F$10919/(Sens!$F$10919+tk_fac*(1-colo_sh))</f>
        <v>0.760792334328868</v>
      </c>
      <c r="G10936" s="13" t="n">
        <f aca="false">Sens!$G$10919/(Sens!$G$10919+tk_fac*(1-colo_sh))</f>
        <v>0.760792334328868</v>
      </c>
      <c r="H10936" s="13" t="n">
        <f aca="false">Sens!$H$10919/(Sens!$H$10919+tk_fac*(1-colo_sh))</f>
        <v>0.768110668862996</v>
      </c>
      <c r="I10936" s="13" t="n">
        <f aca="false">Sens!$I$10919/(Sens!$I$10919+tk_fac*(1-colo_sh))</f>
        <v>0.77499450139483</v>
      </c>
      <c r="J10936" s="13" t="n">
        <f aca="false">Sens!$J$10919/(Sens!$J$10919+tk_fac*(1-colo_sh))</f>
        <v>0.77499450139483</v>
      </c>
      <c r="K10936" s="13" t="n">
        <f aca="false">Sens!$K$10919/(Sens!$K$10919+tk_fac*(1-colo_sh))</f>
        <v>0.77499450139483</v>
      </c>
      <c r="L10936" s="13" t="n">
        <f aca="false">Sens!$L$10919/(Sens!$L$10919+tk_fac*(1-colo_sh))</f>
        <v>0.77499450139483</v>
      </c>
      <c r="M10936" s="13" t="n">
        <f aca="false">Sens!$M$10919/(Sens!$M$10919+tk_fac*(1-colo_sh))</f>
        <v>0.77499450139483</v>
      </c>
    </row>
    <row r="10937" customFormat="false" ht="17.15" hidden="false" customHeight="false" outlineLevel="0" collapsed="false">
      <c r="A10937" s="1" t="s">
        <v>635</v>
      </c>
      <c r="B10937" s="8" t="s">
        <v>86</v>
      </c>
      <c r="C10937" s="38" t="n">
        <f aca="false">Q!$D$46-cx_rt*Q!$D$16-cx_awso*Sens!$C$10932</f>
        <v>25.2781053077374</v>
      </c>
      <c r="D10937" s="38" t="n">
        <f aca="false">Q!$E$46-cx_rt*Q!$E$16-cx_awso*Sens!$D$10932</f>
        <v>69.5686316310026</v>
      </c>
      <c r="E10937" s="38" t="n">
        <f aca="false">Q!$P$46-cx_rt*Q!$P$16-cx_awso*Sens!$E$10932</f>
        <v>64.1899206485108</v>
      </c>
      <c r="F10937" s="38" t="n">
        <f aca="false">capex_g26-Q!$P$46-Sens!$F$10935</f>
        <v>88.7165504612134</v>
      </c>
      <c r="G10937" s="38" t="n">
        <f aca="false">Sens!$E$10937+Sens!$F$10937</f>
        <v>152.906471109724</v>
      </c>
      <c r="H10937" s="38" t="n">
        <f aca="false">Sens!$H$10914*(Sens!$H$10919+tk_fac*(1-colo_sh))/1000+Sens!$H$10938</f>
        <v>203.9641486225</v>
      </c>
      <c r="I10937" s="38" t="n">
        <f aca="false">Sens!$I$10914*(Sens!$I$10919+tk_fac*(1-colo_sh))/1000+Sens!$I$10938</f>
        <v>210.204240755</v>
      </c>
      <c r="J10937" s="38" t="n">
        <f aca="false">Sens!$J$10914*(Sens!$J$10919+tk_fac*(1-colo_sh))/1000+Sens!$J$10938</f>
        <v>215.441008955</v>
      </c>
      <c r="K10937" s="38" t="n">
        <f aca="false">Sens!$K$10914*(Sens!$K$10919+tk_fac*(1-colo_sh))/1000+Sens!$K$10938</f>
        <v>159.138087817758</v>
      </c>
      <c r="L10937" s="38" t="n">
        <f aca="false">Sens!$L$10914*(Sens!$L$10919+tk_fac*(1-colo_sh))/1000+Sens!$L$10938</f>
        <v>134.255775880517</v>
      </c>
      <c r="M10937" s="38" t="n">
        <f aca="false">Sens!$M$10914*(Sens!$M$10919+tk_fac*(1-colo_sh))/1000+Sens!$M$10938</f>
        <v>134.968168520775</v>
      </c>
      <c r="P10937" s="5" t="s">
        <v>636</v>
      </c>
      <c r="R10937" s="38" t="n">
        <f aca="false">Q!$C$46-cx_rt*Q!$C$16-cx_awso*(Q!$C$7-mw_ye23/2*rpm_open/1000)</f>
        <v>1.50429979529945</v>
      </c>
      <c r="S10937" s="38" t="n">
        <f aca="false">Sens!$C$10937</f>
        <v>25.2781053077374</v>
      </c>
      <c r="T10937" s="38" t="n">
        <f aca="false">Sens!$D$10937</f>
        <v>69.5686316310026</v>
      </c>
      <c r="U10937" s="38" t="n">
        <f aca="false">Sens!$G$10937</f>
        <v>152.906471109724</v>
      </c>
      <c r="V10937" s="38" t="n">
        <f aca="false">Sens!$H$10937</f>
        <v>203.9641486225</v>
      </c>
      <c r="W10937" s="38" t="n">
        <f aca="false">Sens!$I$10937</f>
        <v>210.204240755</v>
      </c>
      <c r="X10937" s="38" t="n">
        <f aca="false">Sens!$J$10937</f>
        <v>215.441008955</v>
      </c>
      <c r="Y10937" s="38" t="n">
        <f aca="false">Sens!$K$10937</f>
        <v>159.138087817758</v>
      </c>
      <c r="Z10937" s="38" t="n">
        <f aca="false">Sens!$L$10937</f>
        <v>134.255775880517</v>
      </c>
      <c r="AA10937" s="38" t="n">
        <f aca="false">Sens!$M$10937</f>
        <v>134.968168520775</v>
      </c>
    </row>
    <row r="10938" customFormat="false" ht="17.15" hidden="false" customHeight="false" outlineLevel="0" collapsed="false">
      <c r="A10938" s="0" t="s">
        <v>637</v>
      </c>
      <c r="B10938" s="0" t="s">
        <v>86</v>
      </c>
      <c r="H10938" s="38" t="n">
        <f aca="false">SUMPRODUCT(--(Sens!$R$10907:$AA$10907=2027-tk_life),Sens!$R$10914:$AA$10914)*Sens!$H$10919/1000</f>
        <v>0</v>
      </c>
      <c r="I10938" s="38" t="n">
        <f aca="false">SUMPRODUCT(--(Sens!$R$10907:$AA$10907=2028-tk_life),Sens!$R$10914:$AA$10914)*Sens!$I$10919/1000</f>
        <v>0</v>
      </c>
      <c r="J10938" s="38" t="n">
        <f aca="false">SUMPRODUCT(--(Sens!$R$10907:$AA$10907=2029-tk_life),Sens!$R$10914:$AA$10914)*Sens!$J$10919/1000</f>
        <v>5.2367682</v>
      </c>
      <c r="K10938" s="38" t="n">
        <f aca="false">SUMPRODUCT(--(Sens!$R$10907:$AA$10907=2030-tk_life),Sens!$R$10914:$AA$10914)*Sens!$K$10919/1000</f>
        <v>10.4735364</v>
      </c>
      <c r="L10938" s="38" t="n">
        <f aca="false">SUMPRODUCT(--(Sens!$R$10907:$AA$10907=2031-tk_life),Sens!$R$10914:$AA$10914)*Sens!$L$10919/1000</f>
        <v>47.1309138</v>
      </c>
      <c r="M10938" s="38" t="n">
        <f aca="false">SUMPRODUCT(--(Sens!$R$10907:$AA$10907=2032-tk_life),Sens!$R$10914:$AA$10914)*Sens!$M$10919/1000</f>
        <v>109.3829957775</v>
      </c>
    </row>
    <row r="10939" customFormat="false" ht="17.15" hidden="false" customHeight="false" outlineLevel="0" collapsed="false">
      <c r="A10939" s="0" t="s">
        <v>638</v>
      </c>
      <c r="B10939" s="0" t="s">
        <v>86</v>
      </c>
      <c r="C10939" s="38" t="n">
        <f aca="false">MIN(Sens!$C$10937,Sens!$C$10914*(tk_cx_h100+tk_fac*(1-colo_sh))/1000)</f>
        <v>11.2938642</v>
      </c>
      <c r="D10939" s="38" t="n">
        <f aca="false">MIN(Sens!$D$10937,Sens!$D$10914*(tk_cx_h100+tk_fac*(1-colo_sh))/1000)</f>
        <v>50.8223889</v>
      </c>
      <c r="E10939" s="38" t="n">
        <f aca="false">MIN(Sens!$E$10937,Sens!$E$10914*(Sens!$F$10919+tk_fac*(1-colo_sh))/1000)</f>
        <v>33.8985792</v>
      </c>
      <c r="F10939" s="38" t="n">
        <f aca="false">Sens!$F$10937</f>
        <v>88.7165504612134</v>
      </c>
      <c r="G10939" s="38" t="n">
        <f aca="false">Sens!$E$10939+Sens!$F$10939</f>
        <v>122.615129661213</v>
      </c>
      <c r="H10939" s="38" t="n">
        <f aca="false">Sens!$H$10937</f>
        <v>203.9641486225</v>
      </c>
      <c r="I10939" s="38" t="n">
        <f aca="false">Sens!$I$10937</f>
        <v>210.204240755</v>
      </c>
      <c r="J10939" s="38" t="n">
        <f aca="false">Sens!$J$10937</f>
        <v>215.441008955</v>
      </c>
      <c r="K10939" s="38" t="n">
        <f aca="false">Sens!$K$10937</f>
        <v>159.138087817758</v>
      </c>
      <c r="L10939" s="38" t="n">
        <f aca="false">Sens!$L$10937</f>
        <v>134.255775880517</v>
      </c>
      <c r="M10939" s="38" t="n">
        <f aca="false">Sens!$M$10937</f>
        <v>134.968168520775</v>
      </c>
      <c r="P10939" s="5" t="s">
        <v>639</v>
      </c>
      <c r="R10939" s="38" t="n">
        <f aca="false">MIN(Sens!$R$10937,Sens!$R$10914*(tk_cx_h100+tk_fac*(1-colo_sh))/1000)</f>
        <v>1.50429979529945</v>
      </c>
      <c r="S10939" s="38" t="n">
        <f aca="false">Sens!$C$10939</f>
        <v>11.2938642</v>
      </c>
      <c r="T10939" s="38" t="n">
        <f aca="false">Sens!$D$10939</f>
        <v>50.8223889</v>
      </c>
      <c r="U10939" s="38" t="n">
        <f aca="false">Sens!$G$10939</f>
        <v>122.615129661213</v>
      </c>
      <c r="V10939" s="38" t="n">
        <f aca="false">Sens!$H$10939</f>
        <v>203.9641486225</v>
      </c>
      <c r="W10939" s="38" t="n">
        <f aca="false">Sens!$I$10939</f>
        <v>210.204240755</v>
      </c>
      <c r="X10939" s="38" t="n">
        <f aca="false">Sens!$J$10939</f>
        <v>215.441008955</v>
      </c>
      <c r="Y10939" s="38" t="n">
        <f aca="false">Sens!$K$10939</f>
        <v>159.138087817758</v>
      </c>
      <c r="Z10939" s="38" t="n">
        <f aca="false">Sens!$L$10939</f>
        <v>134.255775880517</v>
      </c>
      <c r="AA10939" s="38" t="n">
        <f aca="false">Sens!$M$10939</f>
        <v>134.968168520775</v>
      </c>
    </row>
    <row r="10940" customFormat="false" ht="17.15" hidden="false" customHeight="false" outlineLevel="0" collapsed="false">
      <c r="A10940" s="5" t="s">
        <v>640</v>
      </c>
      <c r="B10940" s="0" t="s">
        <v>86</v>
      </c>
      <c r="C10940" s="38" t="n">
        <f aca="false">Sens!$C$10937-Sens!$C$10939</f>
        <v>13.9842411077374</v>
      </c>
      <c r="D10940" s="38" t="n">
        <f aca="false">Sens!$D$10937-Sens!$D$10939</f>
        <v>18.7462427310026</v>
      </c>
      <c r="E10940" s="38" t="n">
        <f aca="false">Sens!$E$10937-Sens!$E$10939</f>
        <v>30.2913414485108</v>
      </c>
      <c r="F10940" s="38" t="n">
        <f aca="false">Sens!$F$10937-Sens!$F$10939</f>
        <v>0</v>
      </c>
      <c r="G10940" s="38" t="n">
        <f aca="false">Sens!$G$10937-Sens!$G$10939</f>
        <v>30.2913414485108</v>
      </c>
      <c r="H10940" s="38" t="n">
        <f aca="false">Sens!$H$10937-Sens!$H$10939</f>
        <v>0</v>
      </c>
      <c r="I10940" s="38" t="n">
        <f aca="false">Sens!$I$10937-Sens!$I$10939</f>
        <v>0</v>
      </c>
      <c r="J10940" s="38" t="n">
        <f aca="false">Sens!$J$10937-Sens!$J$10939</f>
        <v>0</v>
      </c>
      <c r="K10940" s="38" t="n">
        <f aca="false">Sens!$K$10937-Sens!$K$10939</f>
        <v>0</v>
      </c>
      <c r="L10940" s="38" t="n">
        <f aca="false">Sens!$L$10937-Sens!$L$10939</f>
        <v>0</v>
      </c>
      <c r="M10940" s="38" t="n">
        <f aca="false">Sens!$M$10937-Sens!$M$10939</f>
        <v>0</v>
      </c>
      <c r="P10940" s="5" t="s">
        <v>641</v>
      </c>
      <c r="R10940" s="38" t="n">
        <f aca="false">Sens!$R$10937-Sens!$R$10939</f>
        <v>0</v>
      </c>
      <c r="S10940" s="38" t="n">
        <f aca="false">Sens!$S$10937-Sens!$S$10939</f>
        <v>13.9842411077374</v>
      </c>
      <c r="T10940" s="38" t="n">
        <f aca="false">Sens!$T$10937-Sens!$T$10939</f>
        <v>18.7462427310026</v>
      </c>
      <c r="U10940" s="38" t="n">
        <f aca="false">Sens!$U$10937-Sens!$U$10939</f>
        <v>30.2913414485108</v>
      </c>
      <c r="V10940" s="38" t="n">
        <f aca="false">Sens!$V$10937-Sens!$V$10939</f>
        <v>0</v>
      </c>
      <c r="W10940" s="38" t="n">
        <f aca="false">Sens!$W$10937-Sens!$W$10939</f>
        <v>0</v>
      </c>
      <c r="X10940" s="38" t="n">
        <f aca="false">Sens!$X$10937-Sens!$X$10939</f>
        <v>0</v>
      </c>
      <c r="Y10940" s="38" t="n">
        <f aca="false">Sens!$Y$10937-Sens!$Y$10939</f>
        <v>0</v>
      </c>
      <c r="Z10940" s="38" t="n">
        <f aca="false">Sens!$Z$10937-Sens!$Z$10939</f>
        <v>0</v>
      </c>
      <c r="AA10940" s="38" t="n">
        <f aca="false">Sens!$AA$10937-Sens!$AA$10939</f>
        <v>0</v>
      </c>
    </row>
    <row r="10941" customFormat="false" ht="17.15" hidden="false" customHeight="false" outlineLevel="0" collapsed="false">
      <c r="A10941" s="5" t="s">
        <v>642</v>
      </c>
      <c r="B10941" s="0" t="s">
        <v>86</v>
      </c>
      <c r="R10941" s="38" t="n">
        <f aca="false">Sens!$R$10940*Sens!$C$10936</f>
        <v>0</v>
      </c>
      <c r="S10941" s="38" t="n">
        <f aca="false">Sens!$S$10940*Sens!$C$10936</f>
        <v>10.219074499801</v>
      </c>
      <c r="T10941" s="38" t="n">
        <f aca="false">Sens!$T$10940*Sens!$C$10936</f>
        <v>13.6989379390402</v>
      </c>
      <c r="U10941" s="38" t="n">
        <f aca="false">Sens!$U$10940*Sens!$E$10936</f>
        <v>23.0454203705653</v>
      </c>
      <c r="V10941" s="38" t="n">
        <f aca="false">Sens!$V$10940*Sens!$E$10936</f>
        <v>0</v>
      </c>
      <c r="W10941" s="38" t="n">
        <f aca="false">Sens!$W$10940*Sens!$E$10936</f>
        <v>0</v>
      </c>
      <c r="X10941" s="38" t="n">
        <f aca="false">Sens!$X$10940*Sens!$E$10936</f>
        <v>0</v>
      </c>
      <c r="Y10941" s="38" t="n">
        <f aca="false">Sens!$Y$10940*Sens!$E$10936</f>
        <v>0</v>
      </c>
      <c r="Z10941" s="38" t="n">
        <f aca="false">Sens!$Z$10940*Sens!$E$10936</f>
        <v>0</v>
      </c>
      <c r="AA10941" s="38" t="n">
        <f aca="false">Sens!$AA$10940*Sens!$E$10936</f>
        <v>0</v>
      </c>
    </row>
    <row r="10942" customFormat="false" ht="17.15" hidden="false" customHeight="false" outlineLevel="0" collapsed="false">
      <c r="A10942" s="5" t="s">
        <v>643</v>
      </c>
      <c r="B10942" s="0" t="s">
        <v>86</v>
      </c>
      <c r="R10942" s="38" t="n">
        <f aca="false">SUMPRODUCT(--(Sens!$R$10907:$AA$10907=2023-cip_lag),Sens!$R$10941:$AA$10941)</f>
        <v>0</v>
      </c>
      <c r="S10942" s="38" t="n">
        <f aca="false">SUMPRODUCT(--(Sens!$R$10907:$AA$10907=2024-cip_lag),Sens!$R$10941:$AA$10941)</f>
        <v>0</v>
      </c>
      <c r="T10942" s="38" t="n">
        <f aca="false">SUMPRODUCT(--(Sens!$R$10907:$AA$10907=2025-cip_lag),Sens!$R$10941:$AA$10941)</f>
        <v>10.219074499801</v>
      </c>
      <c r="U10942" s="38" t="n">
        <f aca="false">SUMPRODUCT(--(Sens!$R$10907:$AA$10907=2026-cip_lag),Sens!$R$10941:$AA$10941)</f>
        <v>13.6989379390402</v>
      </c>
      <c r="V10942" s="38" t="n">
        <f aca="false">SUMPRODUCT(--(Sens!$R$10907:$AA$10907=2027-cip_lag),Sens!$R$10941:$AA$10941)</f>
        <v>23.0454203705653</v>
      </c>
      <c r="W10942" s="38" t="n">
        <f aca="false">SUMPRODUCT(--(Sens!$R$10907:$AA$10907=2028-cip_lag),Sens!$R$10941:$AA$10941)</f>
        <v>0</v>
      </c>
      <c r="X10942" s="38" t="n">
        <f aca="false">SUMPRODUCT(--(Sens!$R$10907:$AA$10907=2029-cip_lag),Sens!$R$10941:$AA$10941)</f>
        <v>0</v>
      </c>
      <c r="Y10942" s="38" t="n">
        <f aca="false">SUMPRODUCT(--(Sens!$R$10907:$AA$10907=2030-cip_lag),Sens!$R$10941:$AA$10941)</f>
        <v>0</v>
      </c>
      <c r="Z10942" s="38" t="n">
        <f aca="false">SUMPRODUCT(--(Sens!$R$10907:$AA$10907=2031-cip_lag),Sens!$R$10941:$AA$10941)</f>
        <v>0</v>
      </c>
      <c r="AA10942" s="38" t="n">
        <f aca="false">SUMPRODUCT(--(Sens!$R$10907:$AA$10907=2032-cip_lag),Sens!$R$10941:$AA$10941)</f>
        <v>0</v>
      </c>
    </row>
    <row r="10943" customFormat="false" ht="15" hidden="false" customHeight="false" outlineLevel="0" collapsed="false">
      <c r="A10943" s="5" t="s">
        <v>644</v>
      </c>
      <c r="B10943" s="0" t="s">
        <v>86</v>
      </c>
      <c r="R10943" s="38" t="n">
        <f aca="false">SUMPRODUCT(--(Sens!$R$10907:$AA$10907=2023-cip_lag),Sens!$R$10940:$AA$10940)-Sens!$R$10942</f>
        <v>0</v>
      </c>
      <c r="S10943" s="38" t="n">
        <f aca="false">SUMPRODUCT(--(Sens!$R$10907:$AA$10907=2024-cip_lag),Sens!$R$10940:$AA$10940)-Sens!$S$10942</f>
        <v>0</v>
      </c>
      <c r="T10943" s="38" t="n">
        <f aca="false">SUMPRODUCT(--(Sens!$R$10907:$AA$10907=2025-cip_lag),Sens!$R$10940:$AA$10940)-Sens!$T$10942</f>
        <v>3.76516660793636</v>
      </c>
      <c r="U10943" s="38" t="n">
        <f aca="false">SUMPRODUCT(--(Sens!$R$10907:$AA$10907=2026-cip_lag),Sens!$R$10940:$AA$10940)-Sens!$U$10942</f>
        <v>5.04730479196242</v>
      </c>
      <c r="V10943" s="38" t="n">
        <f aca="false">SUMPRODUCT(--(Sens!$R$10907:$AA$10907=2027-cip_lag),Sens!$R$10940:$AA$10940)-Sens!$V$10942</f>
        <v>7.24592107794548</v>
      </c>
      <c r="W10943" s="38" t="n">
        <f aca="false">SUMPRODUCT(--(Sens!$R$10907:$AA$10907=2028-cip_lag),Sens!$R$10940:$AA$10940)-Sens!$W$10942</f>
        <v>0</v>
      </c>
      <c r="X10943" s="38" t="n">
        <f aca="false">SUMPRODUCT(--(Sens!$R$10907:$AA$10907=2029-cip_lag),Sens!$R$10940:$AA$10940)-Sens!$X$10942</f>
        <v>0</v>
      </c>
      <c r="Y10943" s="38" t="n">
        <f aca="false">SUMPRODUCT(--(Sens!$R$10907:$AA$10907=2030-cip_lag),Sens!$R$10940:$AA$10940)-Sens!$Y$10942</f>
        <v>0</v>
      </c>
      <c r="Z10943" s="38" t="n">
        <f aca="false">SUMPRODUCT(--(Sens!$R$10907:$AA$10907=2031-cip_lag),Sens!$R$10940:$AA$10940)-Sens!$Z$10942</f>
        <v>0</v>
      </c>
      <c r="AA10943" s="38" t="n">
        <f aca="false">SUMPRODUCT(--(Sens!$R$10907:$AA$10907=2032-cip_lag),Sens!$R$10940:$AA$10940)-Sens!$AA$10942</f>
        <v>0</v>
      </c>
    </row>
    <row r="10944" customFormat="false" ht="17.15" hidden="false" customHeight="false" outlineLevel="0" collapsed="false">
      <c r="A10944" s="5" t="s">
        <v>645</v>
      </c>
      <c r="B10944" s="0" t="s">
        <v>86</v>
      </c>
      <c r="C10944" s="38" t="n">
        <f aca="false">Sens!$C$10939*Sens!$C$10936</f>
        <v>8.2530642</v>
      </c>
      <c r="D10944" s="38" t="n">
        <f aca="false">Sens!$D$10939*Sens!$D$10936</f>
        <v>37.1387889</v>
      </c>
      <c r="E10944" s="38" t="n">
        <f aca="false">Sens!$E$10939*Sens!$E$10936</f>
        <v>25.7897792</v>
      </c>
      <c r="F10944" s="38" t="n">
        <f aca="false">Sens!$F$10939*Sens!$F$10936</f>
        <v>67.4948715189913</v>
      </c>
      <c r="G10944" s="38" t="n">
        <f aca="false">Sens!$E$10944+Sens!$F$10944</f>
        <v>93.2846507189913</v>
      </c>
      <c r="H10944" s="38" t="n">
        <f aca="false">(Sens!$H$10939-Sens!$H$10938)*Sens!$H$10936+Sens!$H$10938</f>
        <v>156.6670386225</v>
      </c>
      <c r="I10944" s="38" t="n">
        <f aca="false">(Sens!$I$10939-Sens!$I$10938)*Sens!$I$10936+Sens!$I$10938</f>
        <v>162.907130755</v>
      </c>
      <c r="J10944" s="38" t="n">
        <f aca="false">(Sens!$J$10939-Sens!$J$10938)*Sens!$J$10936+Sens!$J$10938</f>
        <v>168.143898955</v>
      </c>
      <c r="K10944" s="38" t="n">
        <f aca="false">(Sens!$K$10939-Sens!$K$10938)*Sens!$K$10936+Sens!$K$10938</f>
        <v>125.687746301092</v>
      </c>
      <c r="L10944" s="38" t="n">
        <f aca="false">(Sens!$L$10939-Sens!$L$10938)*Sens!$L$10936+Sens!$L$10938</f>
        <v>114.652202847183</v>
      </c>
      <c r="M10944" s="38" t="n">
        <f aca="false">(Sens!$M$10939-Sens!$M$10938)*Sens!$M$10936+Sens!$M$10938</f>
        <v>129.211363970775</v>
      </c>
      <c r="R10944" s="38" t="n">
        <f aca="false">Sens!$R$10939*Sens!$C$10936</f>
        <v>1.09927679019314</v>
      </c>
      <c r="S10944" s="38" t="n">
        <f aca="false">Sens!$C$10944</f>
        <v>8.2530642</v>
      </c>
      <c r="T10944" s="38" t="n">
        <f aca="false">Sens!$D$10944</f>
        <v>37.1387889</v>
      </c>
      <c r="U10944" s="38" t="n">
        <f aca="false">Sens!$G$10944</f>
        <v>93.2846507189913</v>
      </c>
      <c r="V10944" s="38" t="n">
        <f aca="false">Sens!$H$10944</f>
        <v>156.6670386225</v>
      </c>
      <c r="W10944" s="38" t="n">
        <f aca="false">Sens!$I$10944</f>
        <v>162.907130755</v>
      </c>
      <c r="X10944" s="38" t="n">
        <f aca="false">Sens!$J$10944</f>
        <v>168.143898955</v>
      </c>
      <c r="Y10944" s="38" t="n">
        <f aca="false">Sens!$K$10944</f>
        <v>125.687746301092</v>
      </c>
      <c r="Z10944" s="38" t="n">
        <f aca="false">Sens!$L$10944</f>
        <v>114.652202847183</v>
      </c>
      <c r="AA10944" s="38" t="n">
        <f aca="false">Sens!$M$10944</f>
        <v>129.211363970775</v>
      </c>
    </row>
    <row r="10945" customFormat="false" ht="15" hidden="false" customHeight="false" outlineLevel="0" collapsed="false">
      <c r="A10945" s="5" t="s">
        <v>646</v>
      </c>
      <c r="B10945" s="0" t="s">
        <v>86</v>
      </c>
      <c r="C10945" s="38" t="n">
        <f aca="false">Sens!$C$10939-Sens!$C$10944</f>
        <v>3.0408</v>
      </c>
      <c r="D10945" s="38" t="n">
        <f aca="false">Sens!$D$10939-Sens!$D$10944</f>
        <v>13.6836</v>
      </c>
      <c r="E10945" s="38" t="n">
        <f aca="false">Sens!$E$10939-Sens!$E$10944</f>
        <v>8.1088</v>
      </c>
      <c r="F10945" s="38" t="n">
        <f aca="false">Sens!$F$10939-Sens!$F$10944</f>
        <v>21.2216789422221</v>
      </c>
      <c r="G10945" s="38" t="n">
        <f aca="false">Sens!$G$10939-Sens!$G$10944</f>
        <v>29.3304789422221</v>
      </c>
      <c r="H10945" s="38" t="n">
        <f aca="false">Sens!$H$10939-Sens!$H$10944</f>
        <v>47.29711</v>
      </c>
      <c r="I10945" s="38" t="n">
        <f aca="false">Sens!$I$10939-Sens!$I$10944</f>
        <v>47.29711</v>
      </c>
      <c r="J10945" s="38" t="n">
        <f aca="false">Sens!$J$10939-Sens!$J$10944</f>
        <v>47.29711</v>
      </c>
      <c r="K10945" s="38" t="n">
        <f aca="false">Sens!$K$10939-Sens!$K$10944</f>
        <v>33.4503415166667</v>
      </c>
      <c r="L10945" s="38" t="n">
        <f aca="false">Sens!$L$10939-Sens!$L$10944</f>
        <v>19.6035730333333</v>
      </c>
      <c r="M10945" s="38" t="n">
        <f aca="false">Sens!$M$10939-Sens!$M$10944</f>
        <v>5.75680454999997</v>
      </c>
      <c r="R10945" s="38" t="n">
        <f aca="false">Sens!$R$10939-Sens!$R$10944</f>
        <v>0.405023005106309</v>
      </c>
      <c r="S10945" s="38" t="n">
        <f aca="false">Sens!$S$10939-Sens!$S$10944</f>
        <v>3.0408</v>
      </c>
      <c r="T10945" s="38" t="n">
        <f aca="false">Sens!$T$10939-Sens!$T$10944</f>
        <v>13.6836</v>
      </c>
      <c r="U10945" s="38" t="n">
        <f aca="false">Sens!$U$10939-Sens!$U$10944</f>
        <v>29.3304789422221</v>
      </c>
      <c r="V10945" s="38" t="n">
        <f aca="false">Sens!$V$10939-Sens!$V$10944</f>
        <v>47.29711</v>
      </c>
      <c r="W10945" s="38" t="n">
        <f aca="false">Sens!$W$10939-Sens!$W$10944</f>
        <v>47.29711</v>
      </c>
      <c r="X10945" s="38" t="n">
        <f aca="false">Sens!$X$10939-Sens!$X$10944</f>
        <v>47.29711</v>
      </c>
      <c r="Y10945" s="38" t="n">
        <f aca="false">Sens!$Y$10939-Sens!$Y$10944</f>
        <v>33.4503415166667</v>
      </c>
      <c r="Z10945" s="38" t="n">
        <f aca="false">Sens!$Z$10939-Sens!$Z$10944</f>
        <v>19.6035730333333</v>
      </c>
      <c r="AA10945" s="38" t="n">
        <f aca="false">Sens!$AA$10939-Sens!$AA$10944</f>
        <v>5.75680454999997</v>
      </c>
    </row>
    <row r="10946" customFormat="false" ht="17.15" hidden="false" customHeight="false" outlineLevel="0" collapsed="false">
      <c r="A10946" s="0" t="s">
        <v>647</v>
      </c>
      <c r="B10946" s="0" t="s">
        <v>52</v>
      </c>
      <c r="C10946" s="13" t="n">
        <f aca="false">Sens!$C$10937/Sens!$C$11062</f>
        <v>0.325505489553393</v>
      </c>
      <c r="D10946" s="13" t="n">
        <f aca="false">Sens!$D$10937/Sens!$D$11062</f>
        <v>0.54214956071542</v>
      </c>
      <c r="E10946" s="13" t="n">
        <f aca="false">Sens!$E$10937/Sens!$E$11062</f>
        <v>0.666492790452817</v>
      </c>
      <c r="F10946" s="13" t="n">
        <f aca="false">Sens!$F$10937/Sens!$F$11062</f>
        <v>0.71724917504417</v>
      </c>
      <c r="G10946" s="13" t="n">
        <f aca="false">Sens!$G$10937/Sens!$G$11062</f>
        <v>0.69502941413511</v>
      </c>
      <c r="H10946" s="13" t="n">
        <f aca="false">Sens!$H$10937/Sens!$H$11062</f>
        <v>0.731669361234362</v>
      </c>
      <c r="I10946" s="13" t="n">
        <f aca="false">Sens!$I$10937/Sens!$I$11062</f>
        <v>0.718549737942984</v>
      </c>
      <c r="J10946" s="13" t="n">
        <f aca="false">Sens!$J$10937/Sens!$J$11062</f>
        <v>0.706655234973871</v>
      </c>
      <c r="K10946" s="13" t="n">
        <f aca="false">Sens!$K$10937/Sens!$K$11062</f>
        <v>0.624176557844496</v>
      </c>
      <c r="L10946" s="13" t="n">
        <f aca="false">Sens!$L$10937/Sens!$L$11062</f>
        <v>0.566628382341687</v>
      </c>
      <c r="M10946" s="13" t="n">
        <f aca="false">Sens!$M$10937/Sens!$M$11062</f>
        <v>0.550825547262128</v>
      </c>
    </row>
    <row r="10947" customFormat="false" ht="17.15" hidden="false" customHeight="false" outlineLevel="0" collapsed="false">
      <c r="A10947" s="0" t="s">
        <v>648</v>
      </c>
      <c r="B10947" s="0" t="s">
        <v>86</v>
      </c>
      <c r="C10947" s="38" t="n">
        <f aca="false">Sens!$S$10947</f>
        <v>0.183212798365523</v>
      </c>
      <c r="D10947" s="38" t="n">
        <f aca="false">Sens!$T$10947</f>
        <v>1.55872349836552</v>
      </c>
      <c r="E10947" s="38" t="n">
        <f aca="false">Sens!$G$10947/2</f>
        <v>4.72585036583285</v>
      </c>
      <c r="F10947" s="38" t="n">
        <f aca="false">Sens!$G$10947/2</f>
        <v>4.72585036583285</v>
      </c>
      <c r="G10947" s="38" t="n">
        <f aca="false">Sens!$U$10947</f>
        <v>9.4517007316657</v>
      </c>
      <c r="H10947" s="38" t="n">
        <f aca="false">Sens!$V$10947</f>
        <v>27.2822988413376</v>
      </c>
      <c r="I10947" s="38" t="n">
        <f aca="false">Sens!$W$10947</f>
        <v>57.2343753401818</v>
      </c>
      <c r="J10947" s="38" t="n">
        <f aca="false">Sens!$X$10947</f>
        <v>84.3855637993485</v>
      </c>
      <c r="K10947" s="38" t="n">
        <f aca="false">Sens!$Y$10947</f>
        <v>112.22633416015</v>
      </c>
      <c r="L10947" s="38" t="n">
        <f aca="false">Sens!$Z$10947</f>
        <v>131.798781176998</v>
      </c>
      <c r="M10947" s="38" t="n">
        <f aca="false">Sens!$AA$10947</f>
        <v>143.014504418229</v>
      </c>
      <c r="N10947" s="38" t="n">
        <f aca="false">Sens!$D$10947/2</f>
        <v>0.779361749182762</v>
      </c>
      <c r="O10947" s="38" t="n">
        <f aca="false">Sens!$D$10947/2</f>
        <v>0.779361749182762</v>
      </c>
      <c r="R10947" s="38" t="n">
        <f aca="false">(SUMPRODUCT(--(Sens!$R$10907:$AA$10907&lt;Sens!R$10907),--(Sens!$R$10907:$AA$10907&gt;=Sens!R$10907-tk_life),Sens!$R$10944:$AA$10944)+SUMPRODUCT(--(Sens!$R$10907:$AA$10907&lt;Sens!R$10907),--(Sens!$R$10907:$AA$10907&gt;=Sens!R$10907-tk_life),Sens!$R$10942:$AA$10942))/tk_life</f>
        <v>0</v>
      </c>
      <c r="S10947" s="38" t="n">
        <f aca="false">(SUMPRODUCT(--(Sens!$R$10907:$AA$10907&lt;Sens!S$10907),--(Sens!$R$10907:$AA$10907&gt;=Sens!S$10907-tk_life),Sens!$R$10944:$AA$10944)+SUMPRODUCT(--(Sens!$R$10907:$AA$10907&lt;Sens!S$10907),--(Sens!$R$10907:$AA$10907&gt;=Sens!S$10907-tk_life),Sens!$R$10942:$AA$10942))/tk_life</f>
        <v>0.183212798365523</v>
      </c>
      <c r="T10947" s="38" t="n">
        <f aca="false">(SUMPRODUCT(--(Sens!$R$10907:$AA$10907&lt;Sens!T$10907),--(Sens!$R$10907:$AA$10907&gt;=Sens!T$10907-tk_life),Sens!$R$10944:$AA$10944)+SUMPRODUCT(--(Sens!$R$10907:$AA$10907&lt;Sens!T$10907),--(Sens!$R$10907:$AA$10907&gt;=Sens!T$10907-tk_life),Sens!$R$10942:$AA$10942))/tk_life</f>
        <v>1.55872349836552</v>
      </c>
      <c r="U10947" s="38" t="n">
        <f aca="false">(SUMPRODUCT(--(Sens!$R$10907:$AA$10907&lt;Sens!U$10907),--(Sens!$R$10907:$AA$10907&gt;=Sens!U$10907-tk_life),Sens!$R$10944:$AA$10944)+SUMPRODUCT(--(Sens!$R$10907:$AA$10907&lt;Sens!U$10907),--(Sens!$R$10907:$AA$10907&gt;=Sens!U$10907-tk_life),Sens!$R$10942:$AA$10942))/tk_life</f>
        <v>9.4517007316657</v>
      </c>
      <c r="V10947" s="38" t="n">
        <f aca="false">(SUMPRODUCT(--(Sens!$R$10907:$AA$10907&lt;Sens!V$10907),--(Sens!$R$10907:$AA$10907&gt;=Sens!V$10907-tk_life),Sens!$R$10944:$AA$10944)+SUMPRODUCT(--(Sens!$R$10907:$AA$10907&lt;Sens!V$10907),--(Sens!$R$10907:$AA$10907&gt;=Sens!V$10907-tk_life),Sens!$R$10942:$AA$10942))/tk_life</f>
        <v>27.2822988413376</v>
      </c>
      <c r="W10947" s="38" t="n">
        <f aca="false">(SUMPRODUCT(--(Sens!$R$10907:$AA$10907&lt;Sens!W$10907),--(Sens!$R$10907:$AA$10907&gt;=Sens!W$10907-tk_life),Sens!$R$10944:$AA$10944)+SUMPRODUCT(--(Sens!$R$10907:$AA$10907&lt;Sens!W$10907),--(Sens!$R$10907:$AA$10907&gt;=Sens!W$10907-tk_life),Sens!$R$10942:$AA$10942))/tk_life</f>
        <v>57.2343753401818</v>
      </c>
      <c r="X10947" s="38" t="n">
        <f aca="false">(SUMPRODUCT(--(Sens!$R$10907:$AA$10907&lt;Sens!X$10907),--(Sens!$R$10907:$AA$10907&gt;=Sens!X$10907-tk_life),Sens!$R$10944:$AA$10944)+SUMPRODUCT(--(Sens!$R$10907:$AA$10907&lt;Sens!X$10907),--(Sens!$R$10907:$AA$10907&gt;=Sens!X$10907-tk_life),Sens!$R$10942:$AA$10942))/tk_life</f>
        <v>84.3855637993485</v>
      </c>
      <c r="Y10947" s="38" t="n">
        <f aca="false">(SUMPRODUCT(--(Sens!$R$10907:$AA$10907&lt;Sens!Y$10907),--(Sens!$R$10907:$AA$10907&gt;=Sens!Y$10907-tk_life),Sens!$R$10944:$AA$10944)+SUMPRODUCT(--(Sens!$R$10907:$AA$10907&lt;Sens!Y$10907),--(Sens!$R$10907:$AA$10907&gt;=Sens!Y$10907-tk_life),Sens!$R$10942:$AA$10942))/tk_life</f>
        <v>112.22633416015</v>
      </c>
      <c r="Z10947" s="38" t="n">
        <f aca="false">(SUMPRODUCT(--(Sens!$R$10907:$AA$10907&lt;Sens!Z$10907),--(Sens!$R$10907:$AA$10907&gt;=Sens!Z$10907-tk_life),Sens!$R$10944:$AA$10944)+SUMPRODUCT(--(Sens!$R$10907:$AA$10907&lt;Sens!Z$10907),--(Sens!$R$10907:$AA$10907&gt;=Sens!Z$10907-tk_life),Sens!$R$10942:$AA$10942))/tk_life</f>
        <v>131.798781176998</v>
      </c>
      <c r="AA10947" s="38" t="n">
        <f aca="false">(SUMPRODUCT(--(Sens!$R$10907:$AA$10907&lt;Sens!AA$10907),--(Sens!$R$10907:$AA$10907&gt;=Sens!AA$10907-tk_life),Sens!$R$10944:$AA$10944)+SUMPRODUCT(--(Sens!$R$10907:$AA$10907&lt;Sens!AA$10907),--(Sens!$R$10907:$AA$10907&gt;=Sens!AA$10907-tk_life),Sens!$R$10942:$AA$10942))/tk_life</f>
        <v>143.014504418229</v>
      </c>
    </row>
    <row r="10948" customFormat="false" ht="17.15" hidden="false" customHeight="false" outlineLevel="0" collapsed="false">
      <c r="A10948" s="0" t="s">
        <v>649</v>
      </c>
      <c r="B10948" s="0" t="s">
        <v>86</v>
      </c>
      <c r="C10948" s="38" t="n">
        <f aca="false">Sens!$S$10948</f>
        <v>0.0202511502553155</v>
      </c>
      <c r="D10948" s="38" t="n">
        <f aca="false">Sens!$T$10948</f>
        <v>0.172291150255315</v>
      </c>
      <c r="E10948" s="38" t="n">
        <f aca="false">Sens!$G$10948/2</f>
        <v>0.522364740326067</v>
      </c>
      <c r="F10948" s="38" t="n">
        <f aca="false">Sens!$G$10948/2</f>
        <v>0.522364740326067</v>
      </c>
      <c r="G10948" s="38" t="n">
        <f aca="false">Sens!$U$10948</f>
        <v>1.04472948065213</v>
      </c>
      <c r="H10948" s="38" t="n">
        <f aca="false">Sens!$V$10948</f>
        <v>2.76361866736136</v>
      </c>
      <c r="I10948" s="38" t="n">
        <f aca="false">Sens!$W$10948</f>
        <v>5.49077022125863</v>
      </c>
      <c r="J10948" s="38" t="n">
        <f aca="false">Sens!$X$10948</f>
        <v>7.85562572125863</v>
      </c>
      <c r="K10948" s="38" t="n">
        <f aca="false">Sens!$Y$10948</f>
        <v>10.2204812212586</v>
      </c>
      <c r="L10948" s="38" t="n">
        <f aca="false">Sens!$Z$10948</f>
        <v>11.892998297092</v>
      </c>
      <c r="M10948" s="38" t="n">
        <f aca="false">Sens!$AA$10948</f>
        <v>12.8731769487586</v>
      </c>
      <c r="N10948" s="38" t="n">
        <f aca="false">Sens!$D$10948/2</f>
        <v>0.0861455751276577</v>
      </c>
      <c r="O10948" s="38" t="n">
        <f aca="false">Sens!$D$10948/2</f>
        <v>0.0861455751276577</v>
      </c>
      <c r="R10948" s="38" t="n">
        <f aca="false">(SUMPRODUCT(--(Sens!$R$10907:$AA$10907&lt;Sens!R$10907),Sens!$R$10945:$AA$10945)+SUMPRODUCT(--(Sens!$R$10907:$AA$10907&lt;Sens!R$10907),Sens!$R$10943:$AA$10943))/fac_life</f>
        <v>0</v>
      </c>
      <c r="S10948" s="38" t="n">
        <f aca="false">(SUMPRODUCT(--(Sens!$R$10907:$AA$10907&lt;Sens!S$10907),Sens!$R$10945:$AA$10945)+SUMPRODUCT(--(Sens!$R$10907:$AA$10907&lt;Sens!S$10907),Sens!$R$10943:$AA$10943))/fac_life</f>
        <v>0.0202511502553155</v>
      </c>
      <c r="T10948" s="38" t="n">
        <f aca="false">(SUMPRODUCT(--(Sens!$R$10907:$AA$10907&lt;Sens!T$10907),Sens!$R$10945:$AA$10945)+SUMPRODUCT(--(Sens!$R$10907:$AA$10907&lt;Sens!T$10907),Sens!$R$10943:$AA$10943))/fac_life</f>
        <v>0.172291150255315</v>
      </c>
      <c r="U10948" s="38" t="n">
        <f aca="false">(SUMPRODUCT(--(Sens!$R$10907:$AA$10907&lt;Sens!U$10907),Sens!$R$10945:$AA$10945)+SUMPRODUCT(--(Sens!$R$10907:$AA$10907&lt;Sens!U$10907),Sens!$R$10943:$AA$10943))/fac_life</f>
        <v>1.04472948065213</v>
      </c>
      <c r="V10948" s="38" t="n">
        <f aca="false">(SUMPRODUCT(--(Sens!$R$10907:$AA$10907&lt;Sens!V$10907),Sens!$R$10945:$AA$10945)+SUMPRODUCT(--(Sens!$R$10907:$AA$10907&lt;Sens!V$10907),Sens!$R$10943:$AA$10943))/fac_life</f>
        <v>2.76361866736136</v>
      </c>
      <c r="W10948" s="38" t="n">
        <f aca="false">(SUMPRODUCT(--(Sens!$R$10907:$AA$10907&lt;Sens!W$10907),Sens!$R$10945:$AA$10945)+SUMPRODUCT(--(Sens!$R$10907:$AA$10907&lt;Sens!W$10907),Sens!$R$10943:$AA$10943))/fac_life</f>
        <v>5.49077022125863</v>
      </c>
      <c r="X10948" s="38" t="n">
        <f aca="false">(SUMPRODUCT(--(Sens!$R$10907:$AA$10907&lt;Sens!X$10907),Sens!$R$10945:$AA$10945)+SUMPRODUCT(--(Sens!$R$10907:$AA$10907&lt;Sens!X$10907),Sens!$R$10943:$AA$10943))/fac_life</f>
        <v>7.85562572125863</v>
      </c>
      <c r="Y10948" s="38" t="n">
        <f aca="false">(SUMPRODUCT(--(Sens!$R$10907:$AA$10907&lt;Sens!Y$10907),Sens!$R$10945:$AA$10945)+SUMPRODUCT(--(Sens!$R$10907:$AA$10907&lt;Sens!Y$10907),Sens!$R$10943:$AA$10943))/fac_life</f>
        <v>10.2204812212586</v>
      </c>
      <c r="Z10948" s="38" t="n">
        <f aca="false">(SUMPRODUCT(--(Sens!$R$10907:$AA$10907&lt;Sens!Z$10907),Sens!$R$10945:$AA$10945)+SUMPRODUCT(--(Sens!$R$10907:$AA$10907&lt;Sens!Z$10907),Sens!$R$10943:$AA$10943))/fac_life</f>
        <v>11.892998297092</v>
      </c>
      <c r="AA10948" s="38" t="n">
        <f aca="false">(SUMPRODUCT(--(Sens!$R$10907:$AA$10907&lt;Sens!AA$10907),Sens!$R$10945:$AA$10945)+SUMPRODUCT(--(Sens!$R$10907:$AA$10907&lt;Sens!AA$10907),Sens!$R$10943:$AA$10943))/fac_life</f>
        <v>12.8731769487586</v>
      </c>
    </row>
    <row r="10949" customFormat="false" ht="17.15" hidden="false" customHeight="false" outlineLevel="0" collapsed="false">
      <c r="A10949" s="1" t="s">
        <v>650</v>
      </c>
      <c r="B10949" s="8" t="s">
        <v>86</v>
      </c>
      <c r="C10949" s="38" t="n">
        <f aca="false">Sens!$C$10947+Sens!$C$10948</f>
        <v>0.203463948620839</v>
      </c>
      <c r="D10949" s="38" t="n">
        <f aca="false">Sens!$D$10947+Sens!$D$10948</f>
        <v>1.73101464862084</v>
      </c>
      <c r="E10949" s="38" t="n">
        <f aca="false">Sens!$E$10947+Sens!$E$10948</f>
        <v>5.24821510615892</v>
      </c>
      <c r="F10949" s="38" t="n">
        <f aca="false">Sens!$F$10947+Sens!$F$10948</f>
        <v>5.24821510615892</v>
      </c>
      <c r="G10949" s="38" t="n">
        <f aca="false">Sens!$G$10947+Sens!$G$10948</f>
        <v>10.4964302123178</v>
      </c>
      <c r="H10949" s="38" t="n">
        <f aca="false">Sens!$H$10947+Sens!$H$10948</f>
        <v>30.045917508699</v>
      </c>
      <c r="I10949" s="38" t="n">
        <f aca="false">Sens!$I$10947+Sens!$I$10948</f>
        <v>62.7251455614405</v>
      </c>
      <c r="J10949" s="38" t="n">
        <f aca="false">Sens!$J$10947+Sens!$J$10948</f>
        <v>92.2411895206071</v>
      </c>
      <c r="K10949" s="38" t="n">
        <f aca="false">Sens!$K$10947+Sens!$K$10948</f>
        <v>122.446815381408</v>
      </c>
      <c r="L10949" s="38" t="n">
        <f aca="false">Sens!$L$10947+Sens!$L$10948</f>
        <v>143.69177947409</v>
      </c>
      <c r="M10949" s="38" t="n">
        <f aca="false">Sens!$M$10947+Sens!$M$10948</f>
        <v>155.887681366987</v>
      </c>
      <c r="N10949" s="38" t="n">
        <f aca="false">Sens!$N$10947+Sens!$N$10948</f>
        <v>0.865507324310419</v>
      </c>
      <c r="O10949" s="38" t="n">
        <f aca="false">Sens!$O$10947+Sens!$O$10948</f>
        <v>0.865507324310419</v>
      </c>
      <c r="R10949" s="38" t="n">
        <f aca="false">Sens!$R$10947+Sens!$R$10948</f>
        <v>0</v>
      </c>
      <c r="S10949" s="38" t="n">
        <f aca="false">Sens!$S$10947+Sens!$S$10948</f>
        <v>0.203463948620839</v>
      </c>
      <c r="T10949" s="38" t="n">
        <f aca="false">Sens!$T$10947+Sens!$T$10948</f>
        <v>1.73101464862084</v>
      </c>
      <c r="U10949" s="38" t="n">
        <f aca="false">Sens!$U$10947+Sens!$U$10948</f>
        <v>10.4964302123178</v>
      </c>
      <c r="V10949" s="38" t="n">
        <f aca="false">Sens!$V$10947+Sens!$V$10948</f>
        <v>30.045917508699</v>
      </c>
      <c r="W10949" s="38" t="n">
        <f aca="false">Sens!$W$10947+Sens!$W$10948</f>
        <v>62.7251455614405</v>
      </c>
      <c r="X10949" s="38" t="n">
        <f aca="false">Sens!$X$10947+Sens!$X$10948</f>
        <v>92.2411895206071</v>
      </c>
      <c r="Y10949" s="38" t="n">
        <f aca="false">Sens!$Y$10947+Sens!$Y$10948</f>
        <v>122.446815381408</v>
      </c>
      <c r="Z10949" s="38" t="n">
        <f aca="false">Sens!$Z$10947+Sens!$Z$10948</f>
        <v>143.69177947409</v>
      </c>
      <c r="AA10949" s="38" t="n">
        <f aca="false">Sens!$AA$10947+Sens!$AA$10948</f>
        <v>155.887681366987</v>
      </c>
    </row>
    <row r="10950" customFormat="false" ht="17.15" hidden="false" customHeight="false" outlineLevel="0" collapsed="false">
      <c r="A10950" s="0" t="s">
        <v>651</v>
      </c>
      <c r="B10950" s="0" t="s">
        <v>86</v>
      </c>
      <c r="C10950" s="38" t="n">
        <f aca="false">Sens!$S$10950</f>
        <v>26.578941154416</v>
      </c>
      <c r="D10950" s="38" t="n">
        <f aca="false">Sens!$T$10950</f>
        <v>94.4165581367978</v>
      </c>
      <c r="G10950" s="38" t="n">
        <f aca="false">Sens!$U$10950</f>
        <v>236.826599034204</v>
      </c>
      <c r="H10950" s="38" t="n">
        <f aca="false">Sens!$V$10950</f>
        <v>410.744830148005</v>
      </c>
      <c r="I10950" s="38" t="n">
        <f aca="false">Sens!$W$10950</f>
        <v>558.223925341565</v>
      </c>
      <c r="J10950" s="38" t="n">
        <f aca="false">Sens!$X$10950</f>
        <v>681.423744775958</v>
      </c>
      <c r="K10950" s="38" t="n">
        <f aca="false">Sens!$Y$10950</f>
        <v>718.115017212308</v>
      </c>
      <c r="L10950" s="38" t="n">
        <f aca="false">Sens!$Z$10950</f>
        <v>708.679013618734</v>
      </c>
      <c r="M10950" s="38" t="n">
        <f aca="false">Sens!$AA$10950</f>
        <v>687.759500772522</v>
      </c>
      <c r="R10950" s="38" t="n">
        <f aca="false">SUM(Sens!$R$10937:$R$10937)-SUM(Sens!$R$10949:$R$10949)</f>
        <v>1.50429979529945</v>
      </c>
      <c r="S10950" s="38" t="n">
        <f aca="false">SUM(Sens!$R$10937:$S$10937)-SUM(Sens!$R$10949:$S$10949)</f>
        <v>26.578941154416</v>
      </c>
      <c r="T10950" s="38" t="n">
        <f aca="false">SUM(Sens!$R$10937:$T$10937)-SUM(Sens!$R$10949:$T$10949)</f>
        <v>94.4165581367978</v>
      </c>
      <c r="U10950" s="38" t="n">
        <f aca="false">SUM(Sens!$R$10937:$U$10937)-SUM(Sens!$R$10949:$U$10949)</f>
        <v>236.826599034204</v>
      </c>
      <c r="V10950" s="38" t="n">
        <f aca="false">SUM(Sens!$R$10937:$V$10937)-SUM(Sens!$R$10949:$V$10949)</f>
        <v>410.744830148005</v>
      </c>
      <c r="W10950" s="38" t="n">
        <f aca="false">SUM(Sens!$R$10937:$W$10937)-SUM(Sens!$R$10949:$W$10949)</f>
        <v>558.223925341565</v>
      </c>
      <c r="X10950" s="38" t="n">
        <f aca="false">SUM(Sens!$R$10937:$X$10937)-SUM(Sens!$R$10949:$X$10949)</f>
        <v>681.423744775958</v>
      </c>
      <c r="Y10950" s="38" t="n">
        <f aca="false">SUM(Sens!$R$10937:$Y$10937)-SUM(Sens!$R$10949:$Y$10949)</f>
        <v>718.115017212308</v>
      </c>
      <c r="Z10950" s="38" t="n">
        <f aca="false">SUM(Sens!$R$10937:$Z$10937)-SUM(Sens!$R$10949:$Z$10949)</f>
        <v>708.679013618734</v>
      </c>
      <c r="AA10950" s="38" t="n">
        <f aca="false">SUM(Sens!$R$10937:$AA$10937)-SUM(Sens!$R$10949:$AA$10949)</f>
        <v>687.759500772522</v>
      </c>
    </row>
    <row r="10951" customFormat="false" ht="17.15" hidden="false" customHeight="false" outlineLevel="0" collapsed="false">
      <c r="A10951" s="1" t="s">
        <v>652</v>
      </c>
    </row>
    <row r="10952" customFormat="false" ht="17.15" hidden="false" customHeight="false" outlineLevel="0" collapsed="false">
      <c r="A10952" s="0" t="s">
        <v>653</v>
      </c>
      <c r="B10952" s="0" t="s">
        <v>86</v>
      </c>
      <c r="C10952" s="38" t="n">
        <f aca="false">Sens!$C$10928-ext_sh*Sens!$C$10930</f>
        <v>1.80694998843362</v>
      </c>
      <c r="D10952" s="38" t="n">
        <f aca="false">Sens!$D$10928-ext_sh*Sens!$D$10930</f>
        <v>6.77606245662607</v>
      </c>
      <c r="E10952" s="38" t="n">
        <f aca="false">Sens!$E$10928-ext_sh*Sens!$E$10930</f>
        <v>6.62548329092326</v>
      </c>
      <c r="F10952" s="38" t="n">
        <f aca="false">Sens!$F$10928-ext_sh*Sens!$F$10930</f>
        <v>14.4996696128551</v>
      </c>
      <c r="G10952" s="38" t="n">
        <f aca="false">Sens!$G$10928-ext_sh*Sens!$G$10930</f>
        <v>21.1251529037784</v>
      </c>
      <c r="H10952" s="38" t="n">
        <f aca="false">Sens!$H$10928-ext_sh*Sens!$H$10930</f>
        <v>70.2126356677435</v>
      </c>
      <c r="I10952" s="38" t="n">
        <f aca="false">Sens!$I$10928-ext_sh*Sens!$I$10930</f>
        <v>126.678603645079</v>
      </c>
      <c r="J10952" s="38" t="n">
        <f aca="false">Sens!$J$10928-ext_sh*Sens!$J$10930</f>
        <v>183.417938128511</v>
      </c>
      <c r="K10952" s="38" t="n">
        <f aca="false">Sens!$K$10928-ext_sh*Sens!$K$10930</f>
        <v>231.815746632017</v>
      </c>
      <c r="L10952" s="38" t="n">
        <f aca="false">Sens!$L$10928-ext_sh*Sens!$L$10930</f>
        <v>263.612756777848</v>
      </c>
      <c r="M10952" s="38" t="n">
        <f aca="false">Sens!$M$10928-ext_sh*Sens!$M$10930</f>
        <v>278.764488450164</v>
      </c>
      <c r="N10952" s="38" t="n">
        <f aca="false">Sens!$N$10928-ext_sh*Sens!$N$10930</f>
        <v>2.37162185981912</v>
      </c>
      <c r="O10952" s="38" t="n">
        <f aca="false">Sens!$O$10928-ext_sh*Sens!$O$10930</f>
        <v>4.40444059680694</v>
      </c>
    </row>
    <row r="10953" customFormat="false" ht="17.15" hidden="false" customHeight="false" outlineLevel="0" collapsed="false">
      <c r="A10953" s="1" t="s">
        <v>654</v>
      </c>
      <c r="B10953" s="8" t="s">
        <v>86</v>
      </c>
      <c r="C10953" s="38" t="n">
        <f aca="false">Sens!$C$10952-ext_sh*Sens!$C$10949</f>
        <v>1.64417882953695</v>
      </c>
      <c r="D10953" s="38" t="n">
        <f aca="false">Sens!$D$10952-ext_sh*Sens!$D$10949</f>
        <v>5.39125073772939</v>
      </c>
      <c r="E10953" s="38" t="n">
        <f aca="false">Sens!$E$10952-ext_sh*Sens!$E$10949</f>
        <v>2.42691120599613</v>
      </c>
      <c r="F10953" s="38" t="n">
        <f aca="false">Sens!$F$10952-ext_sh*Sens!$F$10949</f>
        <v>10.301097527928</v>
      </c>
      <c r="G10953" s="38" t="n">
        <f aca="false">Sens!$G$10952-ext_sh*Sens!$G$10949</f>
        <v>12.7280087339241</v>
      </c>
      <c r="H10953" s="38" t="n">
        <f aca="false">Sens!$H$10952-ext_sh*Sens!$H$10949</f>
        <v>46.1759016607843</v>
      </c>
      <c r="I10953" s="38" t="n">
        <f aca="false">Sens!$I$10952-ext_sh*Sens!$I$10949</f>
        <v>76.4984871959261</v>
      </c>
      <c r="J10953" s="38" t="n">
        <f aca="false">Sens!$J$10952-ext_sh*Sens!$J$10949</f>
        <v>109.624986512025</v>
      </c>
      <c r="K10953" s="38" t="n">
        <f aca="false">Sens!$K$10952-ext_sh*Sens!$K$10949</f>
        <v>133.85829432689</v>
      </c>
      <c r="L10953" s="38" t="n">
        <f aca="false">Sens!$L$10952-ext_sh*Sens!$L$10949</f>
        <v>148.659333198576</v>
      </c>
      <c r="M10953" s="38" t="n">
        <f aca="false">Sens!$M$10952-ext_sh*Sens!$M$10949</f>
        <v>154.054343356574</v>
      </c>
      <c r="N10953" s="38" t="n">
        <f aca="false">Sens!$N$10952-ext_sh*Sens!$N$10949</f>
        <v>1.67921600037079</v>
      </c>
      <c r="O10953" s="38" t="n">
        <f aca="false">Sens!$O$10952-ext_sh*Sens!$O$10949</f>
        <v>3.71203473735861</v>
      </c>
    </row>
    <row r="10954" customFormat="false" ht="17.15" hidden="false" customHeight="false" outlineLevel="0" collapsed="false">
      <c r="A10954" s="0" t="s">
        <v>655</v>
      </c>
      <c r="B10954" s="0" t="s">
        <v>52</v>
      </c>
      <c r="C10954" s="13" t="n">
        <f aca="false">Sens!$C$10953/Sens!$C$10928</f>
        <v>0.708390794789371</v>
      </c>
      <c r="D10954" s="13" t="n">
        <f aca="false">Sens!$D$10953/Sens!$D$10928</f>
        <v>0.619415573115729</v>
      </c>
      <c r="E10954" s="13" t="n">
        <f aca="false">Sens!$E$10953/Sens!$E$10928</f>
        <v>0.285171627189009</v>
      </c>
      <c r="F10954" s="13" t="n">
        <f aca="false">Sens!$F$10953/Sens!$F$10928</f>
        <v>0.579669713931958</v>
      </c>
      <c r="G10954" s="13" t="n">
        <f aca="false">Sens!$G$10953/Sens!$G$10928</f>
        <v>0.484304847968963</v>
      </c>
      <c r="H10954" s="13" t="n">
        <f aca="false">Sens!$H$10953/Sens!$H$10928</f>
        <v>0.555774537632935</v>
      </c>
      <c r="I10954" s="13" t="n">
        <f aca="false">Sens!$I$10953/Sens!$I$10928</f>
        <v>0.516615362137512</v>
      </c>
      <c r="J10954" s="13" t="n">
        <f aca="false">Sens!$J$10953/Sens!$J$10928</f>
        <v>0.513808096052213</v>
      </c>
      <c r="K10954" s="13" t="n">
        <f aca="false">Sens!$K$10953/Sens!$K$10928</f>
        <v>0.497530553166573</v>
      </c>
      <c r="L10954" s="13" t="n">
        <f aca="false">Sens!$L$10953/Sens!$L$10928</f>
        <v>0.486399968721178</v>
      </c>
      <c r="M10954" s="13" t="n">
        <f aca="false">Sens!$M$10953/Sens!$M$10928</f>
        <v>0.476844664719016</v>
      </c>
      <c r="N10954" s="13" t="n">
        <f aca="false">Sens!$N$10953/Sens!$N$10928</f>
        <v>0.551227795793364</v>
      </c>
      <c r="O10954" s="13" t="n">
        <f aca="false">Sens!$O$10953/Sens!$O$10928</f>
        <v>0.656132068597002</v>
      </c>
    </row>
    <row r="10955" customFormat="false" ht="17.15" hidden="false" customHeight="false" outlineLevel="0" collapsed="false">
      <c r="A10955" s="5" t="s">
        <v>656</v>
      </c>
      <c r="B10955" s="0" t="s">
        <v>86</v>
      </c>
      <c r="C10955" s="39" t="n">
        <v>0</v>
      </c>
      <c r="D10955" s="39" t="n">
        <v>0</v>
      </c>
      <c r="E10955" s="39" t="n">
        <v>0</v>
      </c>
      <c r="F10955" s="38" t="n">
        <f aca="false">IF(1=2,1,0)*(1-ext_sh)/ext_sh*(mw_open*he_open+Sens!$F$10926*Sens!$F$10923)*Sens!$F$10912/1000</f>
        <v>0</v>
      </c>
      <c r="G10955" s="38" t="n">
        <f aca="false">Sens!$E$10955+Sens!$F$10955</f>
        <v>0</v>
      </c>
      <c r="H10955" s="38" t="n">
        <f aca="false">IF(1=2,1,0)*(1-ext_sh)/ext_sh*(mw_open*he_open+Sens!$H$10926*Sens!$H$10923)*Sens!$H$10912/1000</f>
        <v>0</v>
      </c>
      <c r="I10955" s="38" t="n">
        <f aca="false">IF(1=2,1,0)*(1-ext_sh)/ext_sh*(mw_open*he_open+Sens!$I$10926*Sens!$I$10923)*Sens!$I$10912/1000</f>
        <v>0</v>
      </c>
      <c r="J10955" s="38" t="n">
        <f aca="false">IF(1=2,1,0)*(1-ext_sh)/ext_sh*(mw_open*he_open+Sens!$J$10926*Sens!$J$10923)*Sens!$J$10912/1000</f>
        <v>0</v>
      </c>
      <c r="K10955" s="38" t="n">
        <f aca="false">IF(1=2,1,0)*(1-ext_sh)/ext_sh*(mw_open*he_open+Sens!$K$10926*Sens!$K$10923)*Sens!$K$10912/1000</f>
        <v>0</v>
      </c>
      <c r="L10955" s="38" t="n">
        <f aca="false">IF(1=2,1,0)*(1-ext_sh)/ext_sh*(mw_open*he_open+Sens!$L$10926*Sens!$L$10923)*Sens!$L$10912/1000</f>
        <v>0</v>
      </c>
      <c r="M10955" s="38" t="n">
        <f aca="false">IF(1=2,1,0)*(1-ext_sh)/ext_sh*(mw_open*he_open+Sens!$M$10926*Sens!$M$10923)*Sens!$M$10912/1000</f>
        <v>0</v>
      </c>
      <c r="N10955" s="39" t="n">
        <v>0</v>
      </c>
      <c r="O10955" s="39" t="n">
        <v>0</v>
      </c>
      <c r="P10955" s="8" t="s">
        <v>657</v>
      </c>
    </row>
    <row r="10956" customFormat="false" ht="17.15" hidden="false" customHeight="false" outlineLevel="0" collapsed="false">
      <c r="A10956" s="5" t="s">
        <v>658</v>
      </c>
      <c r="B10956" s="0" t="s">
        <v>86</v>
      </c>
      <c r="C10956" s="38" t="n">
        <f aca="false">(1-ext_sh)*(Sens!$C$10930+Sens!$C$10949)</f>
        <v>0.169206631859174</v>
      </c>
      <c r="D10956" s="38" t="n">
        <f aca="false">(1-ext_sh)*(Sens!$D$10930+Sens!$D$10949)</f>
        <v>0.828129837730442</v>
      </c>
      <c r="E10956" s="38" t="n">
        <f aca="false">(1-ext_sh)*(Sens!$E$10930+Sens!$E$10949)</f>
        <v>1.52086044239347</v>
      </c>
      <c r="F10956" s="38" t="n">
        <f aca="false">(1-ext_sh)*(Sens!$F$10930+Sens!$F$10949)</f>
        <v>1.86738377332104</v>
      </c>
      <c r="G10956" s="38" t="n">
        <f aca="false">(1-ext_sh)*(Sens!$G$10930+Sens!$G$10949)</f>
        <v>3.38824421571451</v>
      </c>
      <c r="H10956" s="38" t="n">
        <f aca="false">(1-ext_sh)*(Sens!$H$10930+Sens!$H$10949)</f>
        <v>9.22699308645984</v>
      </c>
      <c r="I10956" s="38" t="n">
        <f aca="false">(1-ext_sh)*(Sens!$I$10930+Sens!$I$10949)</f>
        <v>17.8944511915173</v>
      </c>
      <c r="J10956" s="38" t="n">
        <f aca="false">(1-ext_sh)*(Sens!$J$10930+Sens!$J$10949)</f>
        <v>25.9332138409492</v>
      </c>
      <c r="K10956" s="38" t="n">
        <f aca="false">(1-ext_sh)*(Sens!$K$10930+Sens!$K$10949)</f>
        <v>33.7967702065827</v>
      </c>
      <c r="L10956" s="38" t="n">
        <f aca="false">(1-ext_sh)*(Sens!$L$10930+Sens!$L$10949)</f>
        <v>39.2431348121882</v>
      </c>
      <c r="M10956" s="38" t="n">
        <f aca="false">(1-ext_sh)*(Sens!$M$10930+Sens!$M$10949)</f>
        <v>42.2539862628489</v>
      </c>
      <c r="N10956" s="38" t="n">
        <f aca="false">(1-ext_sh)*(Sens!$N$10930+Sens!$N$10949)</f>
        <v>0.34177588266428</v>
      </c>
      <c r="O10956" s="38" t="n">
        <f aca="false">(1-ext_sh)*(Sens!$O$10930+Sens!$O$10949)</f>
        <v>0.486353955066162</v>
      </c>
    </row>
    <row r="10957" customFormat="false" ht="17.15" hidden="false" customHeight="false" outlineLevel="0" collapsed="false">
      <c r="A10957" s="0" t="s">
        <v>659</v>
      </c>
      <c r="B10957" s="0" t="s">
        <v>86</v>
      </c>
      <c r="C10957" s="38" t="n">
        <f aca="false">Q!$D$24</f>
        <v>39.834</v>
      </c>
      <c r="D10957" s="38" t="n">
        <f aca="false">Q!$E$24</f>
        <v>45.606</v>
      </c>
      <c r="E10957" s="38" t="n">
        <f aca="false">Q!$P$24</f>
        <v>30.782</v>
      </c>
      <c r="N10957" s="38" t="n">
        <f aca="false">Q!$N$24</f>
        <v>21.707</v>
      </c>
      <c r="O10957" s="38" t="n">
        <f aca="false">Q!$O$24</f>
        <v>23.899</v>
      </c>
    </row>
    <row r="10958" customFormat="false" ht="17.15" hidden="false" customHeight="false" outlineLevel="0" collapsed="false">
      <c r="A10958" s="0" t="s">
        <v>660</v>
      </c>
      <c r="B10958" s="0" t="s">
        <v>86</v>
      </c>
      <c r="C10958" s="38" t="n">
        <f aca="false">Sens!$C$10957-Sens!$C$10953</f>
        <v>38.1898211704631</v>
      </c>
      <c r="D10958" s="38" t="n">
        <f aca="false">Sens!$D$10957-Sens!$D$10953</f>
        <v>40.2147492622706</v>
      </c>
      <c r="E10958" s="38" t="n">
        <f aca="false">Sens!$E$10957-Sens!$E$10953</f>
        <v>28.3550887940039</v>
      </c>
      <c r="F10958" s="38" t="n">
        <f aca="false">Sens!$F$10932*Sens!$F$10959</f>
        <v>25.9529793149447</v>
      </c>
      <c r="G10958" s="38" t="n">
        <f aca="false">Sens!$E$10958+Sens!$F$10958</f>
        <v>54.3080681089486</v>
      </c>
      <c r="H10958" s="38" t="n">
        <f aca="false">Sens!$H$10932*Sens!$H$10959</f>
        <v>58.2264684589333</v>
      </c>
      <c r="I10958" s="38" t="n">
        <f aca="false">Sens!$I$10932*Sens!$I$10959</f>
        <v>64.6461353851744</v>
      </c>
      <c r="J10958" s="38" t="n">
        <f aca="false">Sens!$J$10932*Sens!$J$10959</f>
        <v>70.7957093610231</v>
      </c>
      <c r="K10958" s="38" t="n">
        <f aca="false">Sens!$K$10932*Sens!$K$10959</f>
        <v>76.4593661099049</v>
      </c>
      <c r="L10958" s="38" t="n">
        <f aca="false">Sens!$L$10932*Sens!$L$10959</f>
        <v>82.5761153986973</v>
      </c>
      <c r="M10958" s="38" t="n">
        <f aca="false">Sens!$M$10932*Sens!$M$10959</f>
        <v>89.1822046305931</v>
      </c>
      <c r="N10958" s="38" t="n">
        <f aca="false">Sens!$N$10957-Sens!$N$10953</f>
        <v>20.0277839996292</v>
      </c>
      <c r="O10958" s="38" t="n">
        <f aca="false">Sens!$O$10957-Sens!$O$10953</f>
        <v>20.1869652626414</v>
      </c>
      <c r="P10958" s="5" t="s">
        <v>661</v>
      </c>
    </row>
    <row r="10959" customFormat="false" ht="17.15" hidden="false" customHeight="false" outlineLevel="0" collapsed="false">
      <c r="A10959" s="0" t="s">
        <v>662</v>
      </c>
      <c r="B10959" s="0" t="s">
        <v>52</v>
      </c>
      <c r="C10959" s="13" t="n">
        <f aca="false">Sens!$C$10958/Sens!$C$10932</f>
        <v>0.362900395443635</v>
      </c>
      <c r="D10959" s="13" t="n">
        <f aca="false">Sens!$D$10958/Sens!$D$10932</f>
        <v>0.335063632425483</v>
      </c>
      <c r="E10959" s="13" t="n">
        <f aca="false">Sens!$E$10958/Sens!$E$10932</f>
        <v>0.397638855555478</v>
      </c>
      <c r="F10959" s="13" t="n">
        <f aca="false">(Sens!$O$10958+Sens!$E$10958)/(Sens!$O$10932+Sens!$E$10932)</f>
        <v>0.361616727338133</v>
      </c>
      <c r="G10959" s="13" t="n">
        <f aca="false">Sens!$G$10958/Sens!$G$10932</f>
        <v>0.379569803149143</v>
      </c>
      <c r="H10959" s="13" t="n">
        <f aca="false">Sens!$F$10959</f>
        <v>0.361616727338133</v>
      </c>
      <c r="I10959" s="13" t="n">
        <f aca="false">Sens!$F$10959</f>
        <v>0.361616727338133</v>
      </c>
      <c r="J10959" s="13" t="n">
        <f aca="false">Sens!$F$10959</f>
        <v>0.361616727338133</v>
      </c>
      <c r="K10959" s="13" t="n">
        <f aca="false">Sens!$F$10959</f>
        <v>0.361616727338133</v>
      </c>
      <c r="L10959" s="13" t="n">
        <f aca="false">Sens!$F$10959</f>
        <v>0.361616727338133</v>
      </c>
      <c r="M10959" s="13" t="n">
        <f aca="false">Sens!$F$10959</f>
        <v>0.361616727338133</v>
      </c>
      <c r="N10959" s="13" t="n">
        <f aca="false">Sens!$N$10958/Sens!$N$10932</f>
        <v>0.35078810535806</v>
      </c>
      <c r="O10959" s="13" t="n">
        <f aca="false">Sens!$O$10958/Sens!$O$10932</f>
        <v>0.320796939361619</v>
      </c>
      <c r="P10959" s="8" t="s">
        <v>663</v>
      </c>
    </row>
    <row r="10960" customFormat="false" ht="17.15" hidden="false" customHeight="false" outlineLevel="0" collapsed="false">
      <c r="A10960" s="0" t="s">
        <v>664</v>
      </c>
      <c r="B10960" s="0" t="s">
        <v>52</v>
      </c>
      <c r="D10960" s="13" t="n">
        <f aca="false">(Q!$E$31-ext_sh*Sens!$D$10949)/Sens!$D$10932</f>
        <v>0.167180325480118</v>
      </c>
    </row>
    <row r="10961" customFormat="false" ht="17.15" hidden="false" customHeight="false" outlineLevel="0" collapsed="false">
      <c r="A10961" s="0" t="s">
        <v>665</v>
      </c>
      <c r="B10961" s="0" t="s">
        <v>86</v>
      </c>
      <c r="C10961" s="38" t="n">
        <f aca="false">Q!$D$31</f>
        <v>13.32</v>
      </c>
      <c r="D10961" s="38" t="n">
        <f aca="false">Q!$E$31</f>
        <v>21.45</v>
      </c>
      <c r="E10961" s="38" t="n">
        <f aca="false">Q!$P$31</f>
        <v>15.353</v>
      </c>
      <c r="F10961" s="38" t="n">
        <f aca="false">ext_sh*Sens!$F$10949+Sens!$D$10960*Sens!$F$10932</f>
        <v>16.1969869840094</v>
      </c>
      <c r="G10961" s="38" t="n">
        <f aca="false">Sens!$E$10961+Sens!$F$10961</f>
        <v>31.5499869840094</v>
      </c>
      <c r="H10961" s="38" t="n">
        <f aca="false">ext_sh*Sens!$H$10949+Sens!$D$10960*Sens!$H$10932</f>
        <v>50.9556213609176</v>
      </c>
      <c r="I10961" s="38" t="n">
        <f aca="false">ext_sh*Sens!$I$10949+Sens!$D$10960*Sens!$I$10932</f>
        <v>80.066903031952</v>
      </c>
      <c r="J10961" s="38" t="n">
        <f aca="false">ext_sh*Sens!$J$10949+Sens!$D$10960*Sens!$J$10932</f>
        <v>106.522769788046</v>
      </c>
      <c r="K10961" s="38" t="n">
        <f aca="false">ext_sh*Sens!$K$10949+Sens!$D$10960*Sens!$K$10932</f>
        <v>133.305655930411</v>
      </c>
      <c r="L10961" s="38" t="n">
        <f aca="false">ext_sh*Sens!$L$10949+Sens!$D$10960*Sens!$L$10932</f>
        <v>153.12948349458</v>
      </c>
      <c r="M10961" s="38" t="n">
        <f aca="false">ext_sh*Sens!$M$10949+Sens!$D$10960*Sens!$M$10932</f>
        <v>165.940289802122</v>
      </c>
      <c r="N10961" s="38" t="n">
        <f aca="false">Q!$N$31</f>
        <v>9.234</v>
      </c>
      <c r="O10961" s="38" t="n">
        <f aca="false">Q!$O$31</f>
        <v>12.216</v>
      </c>
    </row>
    <row r="10962" customFormat="false" ht="17.15" hidden="false" customHeight="false" outlineLevel="0" collapsed="false">
      <c r="A10962" s="1" t="s">
        <v>666</v>
      </c>
    </row>
    <row r="10963" customFormat="false" ht="17.15" hidden="false" customHeight="false" outlineLevel="0" collapsed="false">
      <c r="A10963" s="15" t="s">
        <v>667</v>
      </c>
      <c r="B10963" s="14" t="s">
        <v>52</v>
      </c>
      <c r="C10963" s="14"/>
      <c r="D10963" s="14"/>
      <c r="E10963" s="14"/>
      <c r="F10963" s="14"/>
      <c r="G10963" s="17" t="n">
        <f aca="false">Sens!$G$10953*(1-tax)/(ext_sh*(Sens!$D$10950+Sens!$G$10950)/2)</f>
        <v>0.0793874766565172</v>
      </c>
      <c r="H10963" s="17" t="n">
        <f aca="false">Sens!$H$10953*(1-tax)/(ext_sh*(Sens!$G$10950+Sens!$H$10950)/2)</f>
        <v>0.147321507365949</v>
      </c>
      <c r="I10963" s="17" t="n">
        <f aca="false">Sens!$I$10953*(1-tax)/(ext_sh*(Sens!$H$10950+Sens!$I$10950)/2)</f>
        <v>0.163110350954647</v>
      </c>
      <c r="J10963" s="17" t="n">
        <f aca="false">Sens!$J$10953*(1-tax)/(ext_sh*(Sens!$I$10950+Sens!$J$10950)/2)</f>
        <v>0.182704705753027</v>
      </c>
      <c r="K10963" s="17" t="n">
        <f aca="false">Sens!$K$10953*(1-tax)/(ext_sh*(Sens!$J$10950+Sens!$K$10950)/2)</f>
        <v>0.197605398071831</v>
      </c>
      <c r="L10963" s="17" t="n">
        <f aca="false">Sens!$L$10953*(1-tax)/(ext_sh*(Sens!$K$10950+Sens!$L$10950)/2)</f>
        <v>0.215262978682961</v>
      </c>
      <c r="M10963" s="17" t="n">
        <f aca="false">Sens!$M$10953*(1-tax)/(ext_sh*(Sens!$L$10950+Sens!$M$10950)/2)</f>
        <v>0.227924272674851</v>
      </c>
      <c r="N10963" s="14"/>
      <c r="O10963" s="14"/>
      <c r="P10963" s="8" t="s">
        <v>668</v>
      </c>
    </row>
    <row r="10964" customFormat="false" ht="17.15" hidden="false" customHeight="false" outlineLevel="0" collapsed="false">
      <c r="A10964" s="5" t="s">
        <v>669</v>
      </c>
      <c r="B10964" s="0" t="s">
        <v>57</v>
      </c>
      <c r="H10964" s="36" t="n">
        <f aca="false">Sens!$H$10928*1000/(mw_open*he_open+Sens!$H$10926*Sens!$H$10923)</f>
        <v>1.34547185053953</v>
      </c>
      <c r="I10964" s="36" t="n">
        <f aca="false">Sens!$I$10928*1000/(mw_open*he_open+Sens!$I$10926*Sens!$I$10923)</f>
        <v>1.41624158558789</v>
      </c>
      <c r="J10964" s="36" t="n">
        <f aca="false">Sens!$J$10928*1000/(mw_open*he_open+Sens!$J$10926*Sens!$J$10923)</f>
        <v>1.44599072114959</v>
      </c>
      <c r="K10964" s="36" t="n">
        <f aca="false">Sens!$K$10928*1000/(mw_open*he_open+Sens!$K$10926*Sens!$K$10923)</f>
        <v>1.46039310245524</v>
      </c>
      <c r="L10964" s="36" t="n">
        <f aca="false">Sens!$L$10928*1000/(mw_open*he_open+Sens!$L$10926*Sens!$L$10923)</f>
        <v>1.46709503210944</v>
      </c>
      <c r="M10964" s="36" t="n">
        <f aca="false">Sens!$M$10928*1000/(mw_open*he_open+Sens!$M$10926*Sens!$M$10923)</f>
        <v>1.46977231872523</v>
      </c>
    </row>
    <row r="10965" customFormat="false" ht="17.15" hidden="false" customHeight="false" outlineLevel="0" collapsed="false">
      <c r="A10965" s="5" t="s">
        <v>670</v>
      </c>
      <c r="B10965" s="0" t="s">
        <v>57</v>
      </c>
      <c r="H10965" s="36" t="n">
        <f aca="false">Sens!$H$10964*(Sens!$H$10928+wacc*ext_sh*(Sens!$G$10950+Sens!$H$10950)/2/(1-tax)-Sens!$H$10953)/Sens!$H$10928</f>
        <v>1.17277136544231</v>
      </c>
      <c r="I10965" s="36" t="n">
        <f aca="false">Sens!$I$10964*(Sens!$I$10928+wacc*ext_sh*(Sens!$H$10950+Sens!$I$10950)/2/(1-tax)-Sens!$I$10953)/Sens!$I$10928</f>
        <v>1.19279938065768</v>
      </c>
      <c r="J10965" s="36" t="n">
        <f aca="false">Sens!$J$10964*(Sens!$J$10928+wacc*ext_sh*(Sens!$I$10950+Sens!$J$10950)/2/(1-tax)-Sens!$J$10953)/Sens!$J$10928</f>
        <v>1.16374864393195</v>
      </c>
      <c r="K10965" s="36" t="n">
        <f aca="false">Sens!$K$10964*(Sens!$K$10928+wacc*ext_sh*(Sens!$J$10950+Sens!$K$10950)/2/(1-tax)-Sens!$K$10953)/Sens!$K$10928</f>
        <v>1.15039475113234</v>
      </c>
      <c r="L10965" s="36" t="n">
        <f aca="false">Sens!$L$10964*(Sens!$L$10928+wacc*ext_sh*(Sens!$K$10950+Sens!$L$10950)/2/(1-tax)-Sens!$L$10953)/Sens!$L$10928</f>
        <v>1.12908006535671</v>
      </c>
      <c r="M10965" s="36" t="n">
        <f aca="false">Sens!$M$10964*(Sens!$M$10928+wacc*ext_sh*(Sens!$L$10950+Sens!$M$10950)/2/(1-tax)-Sens!$M$10953)/Sens!$M$10928</f>
        <v>1.11730182129095</v>
      </c>
    </row>
    <row r="10966" customFormat="false" ht="17.15" hidden="false" customHeight="false" outlineLevel="0" collapsed="false">
      <c r="A10966" s="5" t="s">
        <v>671</v>
      </c>
      <c r="B10966" s="0" t="s">
        <v>52</v>
      </c>
      <c r="C10966" s="13" t="n">
        <f aca="false">Sens!$C$10929/tk_pq</f>
        <v>0.195316432429398</v>
      </c>
      <c r="D10966" s="13" t="n">
        <f aca="false">Sens!$D$10929/tk_pq</f>
        <v>0.195316432429398</v>
      </c>
      <c r="E10966" s="13" t="n">
        <f aca="false">Sens!$E$10929/tk_pq</f>
        <v>0.195316432429398</v>
      </c>
      <c r="F10966" s="13" t="n">
        <f aca="false">Sens!$F$10929/tk_pq</f>
        <v>0.238216369188823</v>
      </c>
      <c r="G10966" s="13" t="n">
        <f aca="false">Sens!$G$10929/tk_pq</f>
        <v>0.222398239257102</v>
      </c>
      <c r="H10966" s="13" t="n">
        <f aca="false">Sens!$H$10929/tk_pq</f>
        <v>0.288662452721988</v>
      </c>
      <c r="I10966" s="13" t="n">
        <f aca="false">Sens!$I$10929/tk_pq</f>
        <v>0.313283832077501</v>
      </c>
      <c r="J10966" s="13" t="n">
        <f aca="false">Sens!$J$10929/tk_pq</f>
        <v>0.324501807962888</v>
      </c>
      <c r="K10966" s="13" t="n">
        <f aca="false">Sens!$K$10929/tk_pq</f>
        <v>0.330006797137512</v>
      </c>
      <c r="L10966" s="13" t="n">
        <f aca="false">Sens!$L$10929/tk_pq</f>
        <v>0.332592351849539</v>
      </c>
      <c r="M10966" s="13" t="n">
        <f aca="false">Sens!$M$10929/tk_pq</f>
        <v>0.333580761841585</v>
      </c>
      <c r="N10966" s="13" t="n">
        <f aca="false">Sens!$N$10929/tk_pq</f>
        <v>0.195316432429398</v>
      </c>
      <c r="O10966" s="13" t="n">
        <f aca="false">Sens!$O$10929/tk_pq</f>
        <v>0.195316432429398</v>
      </c>
      <c r="P10966" s="5" t="s">
        <v>672</v>
      </c>
    </row>
    <row r="10969" customFormat="false" ht="17.15" hidden="false" customHeight="false" outlineLevel="0" collapsed="false">
      <c r="A10969" s="1" t="s">
        <v>701</v>
      </c>
    </row>
    <row r="10970" customFormat="false" ht="17.15" hidden="false" customHeight="false" outlineLevel="0" collapsed="false">
      <c r="A10970" s="0" t="s">
        <v>702</v>
      </c>
      <c r="B10970" s="0" t="s">
        <v>86</v>
      </c>
      <c r="C10970" s="38" t="n">
        <f aca="false">Sens!$C$10928</f>
        <v>2.32100535697364</v>
      </c>
      <c r="D10970" s="38" t="n">
        <f aca="false">Sens!$D$10928</f>
        <v>8.70377008865116</v>
      </c>
      <c r="E10970" s="38" t="n">
        <f aca="false">Sens!$E$10928</f>
        <v>8.51035297557002</v>
      </c>
      <c r="F10970" s="38" t="n">
        <f aca="false">Sens!$F$10928</f>
        <v>17.7706326212121</v>
      </c>
      <c r="G10970" s="38" t="n">
        <f aca="false">Sens!$G$10928</f>
        <v>26.2809855967821</v>
      </c>
      <c r="H10970" s="38" t="n">
        <f aca="false">Sens!$H$10928</f>
        <v>83.0838740066237</v>
      </c>
      <c r="I10970" s="38" t="n">
        <f aca="false">Sens!$I$10928</f>
        <v>148.076291961995</v>
      </c>
      <c r="J10970" s="38" t="n">
        <f aca="false">Sens!$J$10928</f>
        <v>213.357841875822</v>
      </c>
      <c r="K10970" s="38" t="n">
        <f aca="false">Sens!$K$10928</f>
        <v>269.045375153221</v>
      </c>
      <c r="L10970" s="38" t="n">
        <f aca="false">Sens!$L$10928</f>
        <v>305.631872447328</v>
      </c>
      <c r="M10970" s="38" t="n">
        <f aca="false">Sens!$M$10928</f>
        <v>323.07028840797</v>
      </c>
      <c r="N10970" s="38" t="n">
        <f aca="false">Sens!$N$10928</f>
        <v>3.04631953102791</v>
      </c>
      <c r="O10970" s="38" t="n">
        <f aca="false">Sens!$O$10928</f>
        <v>5.65745055762326</v>
      </c>
      <c r="P10970" s="8" t="s">
        <v>703</v>
      </c>
    </row>
    <row r="10971" customFormat="false" ht="17.15" hidden="false" customHeight="false" outlineLevel="0" collapsed="false">
      <c r="A10971" s="0" t="s">
        <v>704</v>
      </c>
      <c r="B10971" s="0" t="s">
        <v>86</v>
      </c>
      <c r="C10971" s="38" t="n">
        <f aca="false">Sens!$C$10932</f>
        <v>105.234994643026</v>
      </c>
      <c r="D10971" s="38" t="n">
        <f aca="false">Sens!$D$10932</f>
        <v>120.021229911349</v>
      </c>
      <c r="E10971" s="38" t="n">
        <f aca="false">Sens!$E$10932</f>
        <v>71.30864702443</v>
      </c>
      <c r="F10971" s="38" t="n">
        <f aca="false">Sens!$F$10932</f>
        <v>71.7692997942464</v>
      </c>
      <c r="G10971" s="38" t="n">
        <f aca="false">Sens!$G$10932</f>
        <v>143.077946818676</v>
      </c>
      <c r="H10971" s="38" t="n">
        <f aca="false">Sens!$H$10932</f>
        <v>161.017077079203</v>
      </c>
      <c r="I10971" s="38" t="n">
        <f aca="false">Sens!$I$10932</f>
        <v>178.769759521457</v>
      </c>
      <c r="J10971" s="38" t="n">
        <f aca="false">Sens!$J$10932</f>
        <v>195.775538045907</v>
      </c>
      <c r="K10971" s="38" t="n">
        <f aca="false">Sens!$K$10932</f>
        <v>211.43758108958</v>
      </c>
      <c r="L10971" s="38" t="n">
        <f aca="false">Sens!$L$10932</f>
        <v>228.352587576746</v>
      </c>
      <c r="M10971" s="38" t="n">
        <f aca="false">Sens!$M$10932</f>
        <v>246.620794582886</v>
      </c>
      <c r="N10971" s="38" t="n">
        <f aca="false">Sens!$N$10932</f>
        <v>57.0936804689721</v>
      </c>
      <c r="O10971" s="38" t="n">
        <f aca="false">Sens!$O$10932</f>
        <v>62.9275494423768</v>
      </c>
      <c r="P10971" s="8" t="s">
        <v>703</v>
      </c>
    </row>
    <row r="10972" customFormat="false" ht="17.15" hidden="false" customHeight="false" outlineLevel="0" collapsed="false">
      <c r="A10972" s="1" t="s">
        <v>523</v>
      </c>
      <c r="B10972" s="8" t="s">
        <v>86</v>
      </c>
      <c r="C10972" s="38" t="n">
        <f aca="false">Q!$D$7</f>
        <v>107.556</v>
      </c>
      <c r="D10972" s="38" t="n">
        <f aca="false">Q!$E$7</f>
        <v>128.725</v>
      </c>
      <c r="E10972" s="38" t="n">
        <f aca="false">Q!$P$7</f>
        <v>79.819</v>
      </c>
      <c r="F10972" s="38" t="n">
        <f aca="false">Sens!$F$10970+Sens!$F$10971</f>
        <v>89.5399324154585</v>
      </c>
      <c r="G10972" s="38" t="n">
        <f aca="false">Sens!$G$10970+Sens!$G$10971</f>
        <v>169.358932415459</v>
      </c>
      <c r="H10972" s="38" t="n">
        <f aca="false">Sens!$H$10970+Sens!$H$10971</f>
        <v>244.100951085827</v>
      </c>
      <c r="I10972" s="38" t="n">
        <f aca="false">Sens!$I$10970+Sens!$I$10971</f>
        <v>326.846051483453</v>
      </c>
      <c r="J10972" s="38" t="n">
        <f aca="false">Sens!$J$10970+Sens!$J$10971</f>
        <v>409.133379921729</v>
      </c>
      <c r="K10972" s="38" t="n">
        <f aca="false">Sens!$K$10970+Sens!$K$10971</f>
        <v>480.482956242801</v>
      </c>
      <c r="L10972" s="38" t="n">
        <f aca="false">Sens!$L$10970+Sens!$L$10971</f>
        <v>533.984460024075</v>
      </c>
      <c r="M10972" s="38" t="n">
        <f aca="false">Sens!$M$10970+Sens!$M$10971</f>
        <v>569.691082990856</v>
      </c>
      <c r="N10972" s="38" t="n">
        <f aca="false">Q!$N$7</f>
        <v>60.14</v>
      </c>
      <c r="O10972" s="38" t="n">
        <f aca="false">Q!$O$7</f>
        <v>68.585</v>
      </c>
      <c r="P10972" s="5" t="s">
        <v>705</v>
      </c>
    </row>
    <row r="10973" customFormat="false" ht="15" hidden="false" customHeight="false" outlineLevel="0" collapsed="false">
      <c r="A10973" s="3" t="s">
        <v>706</v>
      </c>
      <c r="B10973" s="8" t="s">
        <v>86</v>
      </c>
      <c r="C10973" s="38" t="n">
        <f aca="false">Q!$D$8</f>
        <v>637.959</v>
      </c>
      <c r="D10973" s="38" t="n">
        <f aca="false">Q!$E$8</f>
        <v>716.924</v>
      </c>
      <c r="E10973" s="38" t="n">
        <f aca="false">Q!$P$8</f>
        <v>382.125</v>
      </c>
      <c r="F10973" s="38" t="n">
        <f aca="false">Sens!$F$10900+Sens!$F$10972</f>
        <v>438.588174060996</v>
      </c>
      <c r="G10973" s="38" t="n">
        <f aca="false">Sens!$G$10900+Sens!$G$10972</f>
        <v>820.713174060996</v>
      </c>
      <c r="H10973" s="38" t="n">
        <f aca="false">Sens!$H$10900+Sens!$H$10972</f>
        <v>965.197840607213</v>
      </c>
      <c r="I10973" s="38" t="n">
        <f aca="false">Sens!$I$10900+Sens!$I$10972</f>
        <v>1115.37544263598</v>
      </c>
      <c r="J10973" s="38" t="n">
        <f aca="false">Sens!$J$10900+Sens!$J$10972</f>
        <v>1260.24178566317</v>
      </c>
      <c r="K10973" s="38" t="n">
        <f aca="false">Sens!$K$10900+Sens!$K$10972</f>
        <v>1386.65941167389</v>
      </c>
      <c r="L10973" s="38" t="n">
        <f aca="false">Sens!$L$10900+Sens!$L$10972</f>
        <v>1499.07756649966</v>
      </c>
      <c r="M10973" s="38" t="n">
        <f aca="false">Sens!$M$10900+Sens!$M$10972</f>
        <v>1597.83899093774</v>
      </c>
      <c r="N10973" s="38" t="n">
        <f aca="false">Q!$N$8</f>
        <v>323.369</v>
      </c>
      <c r="O10973" s="38" t="n">
        <f aca="false">Q!$O$8</f>
        <v>393.555</v>
      </c>
    </row>
    <row r="10974" customFormat="false" ht="17.15" hidden="false" customHeight="false" outlineLevel="0" collapsed="false">
      <c r="A10974" s="24" t="s">
        <v>707</v>
      </c>
      <c r="B10974" s="25" t="s">
        <v>86</v>
      </c>
      <c r="C10974" s="41" t="n">
        <f aca="false">Sens!$C$10900-(Sens!$C$10902+Sens!$C$10903)</f>
        <v>0</v>
      </c>
      <c r="D10974" s="41" t="n">
        <f aca="false">Sens!$D$10900-(Sens!$D$10902+Sens!$D$10903)</f>
        <v>0</v>
      </c>
      <c r="E10974" s="41" t="n">
        <f aca="false">Sens!$E$10900-(Sens!$E$10902+Sens!$E$10903)</f>
        <v>0</v>
      </c>
      <c r="F10974" s="41" t="n">
        <f aca="false">Sens!$F$10900-(Sens!$F$10902+Sens!$F$10903)</f>
        <v>0</v>
      </c>
      <c r="G10974" s="41" t="n">
        <f aca="false">Sens!$G$10900-(Sens!$G$10902+Sens!$G$10903)</f>
        <v>0</v>
      </c>
      <c r="H10974" s="41" t="n">
        <f aca="false">Sens!$H$10900-(Sens!$H$10902+Sens!$H$10903)</f>
        <v>0</v>
      </c>
      <c r="I10974" s="41" t="n">
        <f aca="false">Sens!$I$10900-(Sens!$I$10902+Sens!$I$10903)</f>
        <v>0</v>
      </c>
      <c r="J10974" s="41" t="n">
        <f aca="false">Sens!$J$10900-(Sens!$J$10902+Sens!$J$10903)</f>
        <v>0</v>
      </c>
      <c r="K10974" s="41" t="n">
        <f aca="false">Sens!$K$10900-(Sens!$K$10902+Sens!$K$10903)</f>
        <v>0</v>
      </c>
      <c r="L10974" s="41" t="n">
        <f aca="false">Sens!$L$10900-(Sens!$L$10902+Sens!$L$10903)</f>
        <v>0</v>
      </c>
      <c r="M10974" s="41" t="n">
        <f aca="false">Sens!$M$10900-(Sens!$M$10902+Sens!$M$10903)</f>
        <v>0</v>
      </c>
      <c r="N10974" s="41" t="n">
        <f aca="false">Sens!$N$10900-(Sens!$N$10902+Sens!$N$10903)</f>
        <v>0</v>
      </c>
      <c r="O10974" s="41" t="n">
        <f aca="false">Sens!$O$10900-(Sens!$O$10902+Sens!$O$10903)</f>
        <v>0</v>
      </c>
    </row>
    <row r="10975" customFormat="false" ht="17.15" hidden="false" customHeight="false" outlineLevel="0" collapsed="false">
      <c r="A10975" s="24" t="s">
        <v>708</v>
      </c>
      <c r="B10975" s="25" t="s">
        <v>86</v>
      </c>
      <c r="C10975" s="41" t="n">
        <f aca="false">Sens!$C$10970+Sens!$C$10971-Sens!$C$10972</f>
        <v>0</v>
      </c>
      <c r="D10975" s="41" t="n">
        <f aca="false">Sens!$D$10970+Sens!$D$10971-Sens!$D$10972</f>
        <v>0</v>
      </c>
      <c r="E10975" s="41" t="n">
        <f aca="false">Sens!$E$10970+Sens!$E$10971-Sens!$E$10972</f>
        <v>0</v>
      </c>
      <c r="F10975" s="41" t="n">
        <f aca="false">Sens!$F$10970+Sens!$F$10971-Sens!$F$10972</f>
        <v>0</v>
      </c>
      <c r="G10975" s="41" t="n">
        <f aca="false">Sens!$G$10970+Sens!$G$10971-Sens!$G$10972</f>
        <v>0</v>
      </c>
      <c r="H10975" s="41" t="n">
        <f aca="false">Sens!$H$10970+Sens!$H$10971-Sens!$H$10972</f>
        <v>0</v>
      </c>
      <c r="I10975" s="41" t="n">
        <f aca="false">Sens!$I$10970+Sens!$I$10971-Sens!$I$10972</f>
        <v>0</v>
      </c>
      <c r="J10975" s="41" t="n">
        <f aca="false">Sens!$J$10970+Sens!$J$10971-Sens!$J$10972</f>
        <v>0</v>
      </c>
      <c r="K10975" s="41" t="n">
        <f aca="false">Sens!$K$10970+Sens!$K$10971-Sens!$K$10972</f>
        <v>0</v>
      </c>
      <c r="L10975" s="41" t="n">
        <f aca="false">Sens!$L$10970+Sens!$L$10971-Sens!$L$10972</f>
        <v>0</v>
      </c>
      <c r="M10975" s="41" t="n">
        <f aca="false">Sens!$M$10970+Sens!$M$10971-Sens!$M$10972</f>
        <v>0</v>
      </c>
      <c r="N10975" s="41" t="n">
        <f aca="false">Sens!$N$10970+Sens!$N$10971-Sens!$N$10972</f>
        <v>0</v>
      </c>
      <c r="O10975" s="41" t="n">
        <f aca="false">Sens!$O$10970+Sens!$O$10971-Sens!$O$10972</f>
        <v>0</v>
      </c>
    </row>
    <row r="10976" customFormat="false" ht="17.15" hidden="false" customHeight="false" outlineLevel="0" collapsed="false">
      <c r="A10976" s="24" t="s">
        <v>709</v>
      </c>
      <c r="B10976" s="25" t="s">
        <v>86</v>
      </c>
      <c r="C10976" s="41" t="n">
        <f aca="false">Sens!$C$10902+Sens!$C$10903+Sens!$C$10972-Sens!$C$10973</f>
        <v>0</v>
      </c>
      <c r="D10976" s="41" t="n">
        <f aca="false">Sens!$D$10902+Sens!$D$10903+Sens!$D$10972-Sens!$D$10973</f>
        <v>0</v>
      </c>
      <c r="E10976" s="41" t="n">
        <f aca="false">Sens!$E$10902+Sens!$E$10903+Sens!$E$10972-Sens!$E$10973</f>
        <v>0</v>
      </c>
      <c r="F10976" s="41" t="n">
        <f aca="false">Sens!$F$10902+Sens!$F$10903+Sens!$F$10972-Sens!$F$10973</f>
        <v>0</v>
      </c>
      <c r="G10976" s="41" t="n">
        <f aca="false">Sens!$G$10902+Sens!$G$10903+Sens!$G$10972-Sens!$G$10973</f>
        <v>0</v>
      </c>
      <c r="H10976" s="41" t="n">
        <f aca="false">Sens!$H$10902+Sens!$H$10903+Sens!$H$10972-Sens!$H$10973</f>
        <v>0</v>
      </c>
      <c r="I10976" s="41" t="n">
        <f aca="false">Sens!$I$10902+Sens!$I$10903+Sens!$I$10972-Sens!$I$10973</f>
        <v>0</v>
      </c>
      <c r="J10976" s="41" t="n">
        <f aca="false">Sens!$J$10902+Sens!$J$10903+Sens!$J$10972-Sens!$J$10973</f>
        <v>0</v>
      </c>
      <c r="K10976" s="41" t="n">
        <f aca="false">Sens!$K$10902+Sens!$K$10903+Sens!$K$10972-Sens!$K$10973</f>
        <v>0</v>
      </c>
      <c r="L10976" s="41" t="n">
        <f aca="false">Sens!$L$10902+Sens!$L$10903+Sens!$L$10972-Sens!$L$10973</f>
        <v>0</v>
      </c>
      <c r="M10976" s="41" t="n">
        <f aca="false">Sens!$M$10902+Sens!$M$10903+Sens!$M$10972-Sens!$M$10973</f>
        <v>0</v>
      </c>
      <c r="N10976" s="41" t="n">
        <f aca="false">Sens!$N$10902+Sens!$N$10903+Sens!$N$10972-Sens!$N$10973</f>
        <v>0</v>
      </c>
      <c r="O10976" s="41" t="n">
        <f aca="false">Sens!$O$10902+Sens!$O$10903+Sens!$O$10972-Sens!$O$10973</f>
        <v>0</v>
      </c>
    </row>
    <row r="10977" customFormat="false" ht="15" hidden="false" customHeight="false" outlineLevel="0" collapsed="false">
      <c r="A10977" s="5" t="s">
        <v>710</v>
      </c>
      <c r="B10977" s="0" t="s">
        <v>52</v>
      </c>
      <c r="G10977" s="13" t="n">
        <f aca="false">Sens!$G$10973/Sens!$D$10973-1</f>
        <v>0.144770120767328</v>
      </c>
      <c r="H10977" s="13" t="n">
        <f aca="false">Sens!$H$10973/Sens!$G$10973-1</f>
        <v>0.176047699869722</v>
      </c>
      <c r="I10977" s="13" t="n">
        <f aca="false">Sens!$I$10973/Sens!$H$10973-1</f>
        <v>0.155592559069852</v>
      </c>
      <c r="J10977" s="13" t="n">
        <f aca="false">Sens!$J$10973/Sens!$I$10973-1</f>
        <v>0.129881237733568</v>
      </c>
      <c r="K10977" s="13" t="n">
        <f aca="false">Sens!$K$10973/Sens!$J$10973-1</f>
        <v>0.1003121999674</v>
      </c>
      <c r="L10977" s="13" t="n">
        <f aca="false">Sens!$L$10973/Sens!$K$10973-1</f>
        <v>0.0810712088919303</v>
      </c>
      <c r="M10977" s="13" t="n">
        <f aca="false">Sens!$M$10973/Sens!$L$10973-1</f>
        <v>0.0658814638048957</v>
      </c>
    </row>
    <row r="10978" customFormat="false" ht="17.15" hidden="false" customHeight="false" outlineLevel="0" collapsed="false">
      <c r="A10978" s="0" t="s">
        <v>711</v>
      </c>
      <c r="B10978" s="0" t="s">
        <v>52</v>
      </c>
      <c r="C10978" s="13" t="n">
        <f aca="false">Sens!$C$10972/Sens!$C$10973</f>
        <v>0.168593906504964</v>
      </c>
      <c r="D10978" s="13" t="n">
        <f aca="false">Sens!$D$10972/Sens!$D$10973</f>
        <v>0.179551807444025</v>
      </c>
      <c r="E10978" s="13" t="n">
        <f aca="false">Sens!$E$10972/Sens!$E$10973</f>
        <v>0.208881910369643</v>
      </c>
      <c r="F10978" s="13" t="n">
        <f aca="false">Sens!$F$10972/Sens!$F$10973</f>
        <v>0.204154917325714</v>
      </c>
      <c r="G10978" s="13" t="n">
        <f aca="false">Sens!$G$10972/Sens!$G$10973</f>
        <v>0.20635581073647</v>
      </c>
      <c r="H10978" s="13" t="n">
        <f aca="false">Sens!$H$10972/Sens!$H$10973</f>
        <v>0.252902504353161</v>
      </c>
      <c r="I10978" s="13" t="n">
        <f aca="false">Sens!$I$10972/Sens!$I$10973</f>
        <v>0.293036800873984</v>
      </c>
      <c r="J10978" s="13" t="n">
        <f aca="false">Sens!$J$10972/Sens!$J$10973</f>
        <v>0.324646734123669</v>
      </c>
      <c r="K10978" s="13" t="n">
        <f aca="false">Sens!$K$10972/Sens!$K$10973</f>
        <v>0.346503944802705</v>
      </c>
      <c r="L10978" s="13" t="n">
        <f aca="false">Sens!$L$10972/Sens!$L$10973</f>
        <v>0.356208692570141</v>
      </c>
      <c r="M10978" s="13" t="n">
        <f aca="false">Sens!$M$10972/Sens!$M$10973</f>
        <v>0.356538478671443</v>
      </c>
      <c r="N10978" s="13" t="n">
        <f aca="false">Sens!$N$10972/Sens!$N$10973</f>
        <v>0.185979484737251</v>
      </c>
      <c r="O10978" s="13" t="n">
        <f aca="false">Sens!$O$10972/Sens!$O$10973</f>
        <v>0.174270432341096</v>
      </c>
    </row>
    <row r="10979" customFormat="false" ht="17.15" hidden="false" customHeight="false" outlineLevel="0" collapsed="false">
      <c r="A10979" s="0" t="s">
        <v>712</v>
      </c>
      <c r="B10979" s="0" t="s">
        <v>52</v>
      </c>
      <c r="C10979" s="13" t="n">
        <f aca="false">Sens!$C$10970/Sens!$C$10972</f>
        <v>0.0215795060896058</v>
      </c>
      <c r="D10979" s="13" t="n">
        <f aca="false">Sens!$D$10970/Sens!$D$10972</f>
        <v>0.0676152269462122</v>
      </c>
      <c r="E10979" s="13" t="n">
        <f aca="false">Sens!$E$10970/Sens!$E$10972</f>
        <v>0.106620641395783</v>
      </c>
      <c r="F10979" s="13" t="n">
        <f aca="false">Sens!$F$10970/Sens!$F$10972</f>
        <v>0.198466004405249</v>
      </c>
      <c r="G10979" s="13" t="n">
        <f aca="false">Sens!$G$10970/Sens!$G$10972</f>
        <v>0.155179211524029</v>
      </c>
      <c r="H10979" s="13" t="n">
        <f aca="false">Sens!$H$10970/Sens!$H$10972</f>
        <v>0.340366859027153</v>
      </c>
      <c r="I10979" s="13" t="n">
        <f aca="false">Sens!$I$10970/Sens!$I$10972</f>
        <v>0.453045986910116</v>
      </c>
      <c r="J10979" s="13" t="n">
        <f aca="false">Sens!$J$10970/Sens!$J$10972</f>
        <v>0.521487251704174</v>
      </c>
      <c r="K10979" s="13" t="n">
        <f aca="false">Sens!$K$10970/Sens!$K$10972</f>
        <v>0.559947801805618</v>
      </c>
      <c r="L10979" s="13" t="n">
        <f aca="false">Sens!$L$10970/Sens!$L$10972</f>
        <v>0.572360986747721</v>
      </c>
      <c r="M10979" s="13" t="n">
        <f aca="false">Sens!$M$10970/Sens!$M$10972</f>
        <v>0.567097323538686</v>
      </c>
      <c r="N10979" s="13" t="n">
        <f aca="false">Sens!$N$10970/Sens!$N$10972</f>
        <v>0.0506537999838362</v>
      </c>
      <c r="O10979" s="13" t="n">
        <f aca="false">Sens!$O$10970/Sens!$O$10972</f>
        <v>0.0824881615167056</v>
      </c>
    </row>
    <row r="10982" customFormat="false" ht="19.4" hidden="false" customHeight="false" outlineLevel="0" collapsed="false">
      <c r="A10982" s="31" t="s">
        <v>1374</v>
      </c>
    </row>
    <row r="10983" customFormat="false" ht="17.15" hidden="false" customHeight="false" outlineLevel="0" collapsed="false">
      <c r="A10983" s="6" t="s">
        <v>16</v>
      </c>
      <c r="B10983" s="6" t="s">
        <v>17</v>
      </c>
      <c r="C10983" s="20" t="s">
        <v>504</v>
      </c>
      <c r="D10983" s="20" t="s">
        <v>505</v>
      </c>
      <c r="E10983" s="20" t="s">
        <v>587</v>
      </c>
      <c r="F10983" s="20" t="s">
        <v>588</v>
      </c>
      <c r="G10983" s="20" t="s">
        <v>589</v>
      </c>
      <c r="H10983" s="20" t="s">
        <v>590</v>
      </c>
      <c r="I10983" s="20" t="s">
        <v>591</v>
      </c>
      <c r="J10983" s="20" t="s">
        <v>592</v>
      </c>
      <c r="K10983" s="20" t="s">
        <v>593</v>
      </c>
      <c r="L10983" s="20" t="s">
        <v>594</v>
      </c>
      <c r="M10983" s="20" t="s">
        <v>595</v>
      </c>
      <c r="N10983" s="20" t="s">
        <v>596</v>
      </c>
      <c r="O10983" s="20" t="s">
        <v>597</v>
      </c>
      <c r="P10983" s="6" t="s">
        <v>23</v>
      </c>
      <c r="R10983" s="20" t="n">
        <v>2023</v>
      </c>
      <c r="S10983" s="20" t="n">
        <v>2024</v>
      </c>
      <c r="T10983" s="20" t="n">
        <v>2025</v>
      </c>
      <c r="U10983" s="20" t="n">
        <v>2026</v>
      </c>
      <c r="V10983" s="20" t="n">
        <v>2027</v>
      </c>
      <c r="W10983" s="20" t="n">
        <v>2028</v>
      </c>
      <c r="X10983" s="20" t="n">
        <v>2029</v>
      </c>
      <c r="Y10983" s="20" t="n">
        <v>2030</v>
      </c>
      <c r="Z10983" s="20" t="n">
        <v>2031</v>
      </c>
      <c r="AA10983" s="20" t="n">
        <v>2032</v>
      </c>
    </row>
    <row r="10984" customFormat="false" ht="17.15" hidden="false" customHeight="false" outlineLevel="0" collapsed="false">
      <c r="A10984" s="1" t="s">
        <v>727</v>
      </c>
    </row>
    <row r="10985" customFormat="false" ht="15" hidden="false" customHeight="false" outlineLevel="0" collapsed="false">
      <c r="A10985" s="0" t="s">
        <v>526</v>
      </c>
      <c r="B10985" s="0" t="s">
        <v>86</v>
      </c>
      <c r="C10985" s="38" t="n">
        <f aca="false">Sens!$C$10887</f>
        <v>247.029</v>
      </c>
      <c r="D10985" s="38" t="n">
        <f aca="false">Sens!$D$10887</f>
        <v>269.287</v>
      </c>
      <c r="E10985" s="38" t="n">
        <f aca="false">Sens!$E$10887</f>
        <v>134.686</v>
      </c>
      <c r="F10985" s="38" t="n">
        <f aca="false">Sens!$F$10887</f>
        <v>158.293876822267</v>
      </c>
      <c r="G10985" s="38" t="n">
        <f aca="false">Sens!$G$10887</f>
        <v>292.979876822267</v>
      </c>
      <c r="H10985" s="38" t="n">
        <f aca="false">Sens!$H$10887</f>
        <v>318.184543087396</v>
      </c>
      <c r="I10985" s="38" t="n">
        <f aca="false">Sens!$I$10887</f>
        <v>341.736278761793</v>
      </c>
      <c r="J10985" s="38" t="n">
        <f aca="false">Sens!$J$10887</f>
        <v>362.927192787048</v>
      </c>
      <c r="K10985" s="38" t="n">
        <f aca="false">Sens!$K$10887</f>
        <v>381.0735524264</v>
      </c>
      <c r="L10985" s="38" t="n">
        <f aca="false">Sens!$L$10887</f>
        <v>400.12723004772</v>
      </c>
      <c r="M10985" s="38" t="n">
        <f aca="false">Sens!$M$10887</f>
        <v>420.133591550106</v>
      </c>
      <c r="N10985" s="38" t="n">
        <f aca="false">Sens!$N$10887</f>
        <v>118.892</v>
      </c>
      <c r="O10985" s="38" t="n">
        <f aca="false">Sens!$O$10887</f>
        <v>150.395</v>
      </c>
    </row>
    <row r="10986" customFormat="false" ht="15" hidden="false" customHeight="false" outlineLevel="0" collapsed="false">
      <c r="A10986" s="0" t="s">
        <v>527</v>
      </c>
      <c r="B10986" s="0" t="s">
        <v>86</v>
      </c>
      <c r="C10986" s="38" t="n">
        <f aca="false">Sens!$C$10889</f>
        <v>21.215</v>
      </c>
      <c r="D10986" s="38" t="n">
        <f aca="false">Sens!$D$10889</f>
        <v>22.561</v>
      </c>
      <c r="E10986" s="38" t="n">
        <f aca="false">Sens!$E$10889</f>
        <v>11.579</v>
      </c>
      <c r="F10986" s="38" t="n">
        <f aca="false">Sens!$F$10889</f>
        <v>11.5938724610325</v>
      </c>
      <c r="G10986" s="38" t="n">
        <f aca="false">Sens!$G$10889</f>
        <v>23.1728724610325</v>
      </c>
      <c r="H10986" s="38" t="n">
        <f aca="false">Sens!$H$10889</f>
        <v>24.353392759506</v>
      </c>
      <c r="I10986" s="38" t="n">
        <f aca="false">Sens!$I$10889</f>
        <v>25.4240338872015</v>
      </c>
      <c r="J10986" s="38" t="n">
        <f aca="false">Sens!$J$10889</f>
        <v>26.3642491017174</v>
      </c>
      <c r="K10986" s="38" t="n">
        <f aca="false">Sens!$K$10889</f>
        <v>27.155176574769</v>
      </c>
      <c r="L10986" s="38" t="n">
        <f aca="false">Sens!$L$10889</f>
        <v>27.969831872012</v>
      </c>
      <c r="M10986" s="38" t="n">
        <f aca="false">Sens!$M$10889</f>
        <v>28.8089268281724</v>
      </c>
      <c r="N10986" s="38" t="n">
        <f aca="false">Sens!$N$10889</f>
        <v>11.128</v>
      </c>
      <c r="O10986" s="38" t="n">
        <f aca="false">Sens!$O$10889</f>
        <v>11.433</v>
      </c>
    </row>
    <row r="10987" customFormat="false" ht="15" hidden="false" customHeight="false" outlineLevel="0" collapsed="false">
      <c r="A10987" s="0" t="s">
        <v>528</v>
      </c>
      <c r="B10987" s="0" t="s">
        <v>86</v>
      </c>
      <c r="C10987" s="38" t="n">
        <f aca="false">Sens!$C$10891</f>
        <v>156.146</v>
      </c>
      <c r="D10987" s="38" t="n">
        <f aca="false">Sens!$D$10891</f>
        <v>172.162</v>
      </c>
      <c r="E10987" s="38" t="n">
        <f aca="false">Sens!$E$10891</f>
        <v>88.358</v>
      </c>
      <c r="F10987" s="38" t="n">
        <f aca="false">Sens!$F$10891</f>
        <v>102.004388260171</v>
      </c>
      <c r="G10987" s="38" t="n">
        <f aca="false">Sens!$G$10891</f>
        <v>190.362388260171</v>
      </c>
      <c r="H10987" s="38" t="n">
        <f aca="false">Sens!$H$10891</f>
        <v>210.343106588311</v>
      </c>
      <c r="I10987" s="38" t="n">
        <f aca="false">Sens!$I$10891</f>
        <v>229.969728494648</v>
      </c>
      <c r="J10987" s="38" t="n">
        <f aca="false">Sens!$J$10891</f>
        <v>248.747636972598</v>
      </c>
      <c r="K10987" s="38" t="n">
        <f aca="false">Sens!$K$10891</f>
        <v>266.15997156068</v>
      </c>
      <c r="L10987" s="38" t="n">
        <f aca="false">Sens!$L$10891</f>
        <v>284.791169569927</v>
      </c>
      <c r="M10987" s="38" t="n">
        <f aca="false">Sens!$M$10891</f>
        <v>304.726551439822</v>
      </c>
      <c r="N10987" s="38" t="n">
        <f aca="false">Sens!$N$10891</f>
        <v>76.86</v>
      </c>
      <c r="O10987" s="38" t="n">
        <f aca="false">Sens!$O$10891</f>
        <v>95.302</v>
      </c>
    </row>
    <row r="10988" customFormat="false" ht="15" hidden="false" customHeight="false" outlineLevel="0" collapsed="false">
      <c r="A10988" s="0" t="s">
        <v>529</v>
      </c>
      <c r="B10988" s="0" t="s">
        <v>86</v>
      </c>
      <c r="C10988" s="38" t="n">
        <f aca="false">Sens!$C$10893</f>
        <v>56.214</v>
      </c>
      <c r="D10988" s="38" t="n">
        <f aca="false">Sens!$D$10893</f>
        <v>68.635</v>
      </c>
      <c r="E10988" s="38" t="n">
        <f aca="false">Sens!$E$10893</f>
        <v>37.052</v>
      </c>
      <c r="F10988" s="38" t="n">
        <f aca="false">Sens!$F$10893</f>
        <v>46.1572219944148</v>
      </c>
      <c r="G10988" s="38" t="n">
        <f aca="false">Sens!$G$10893</f>
        <v>83.2092219944148</v>
      </c>
      <c r="H10988" s="38" t="n">
        <f aca="false">Sens!$H$10893</f>
        <v>99.8969223878976</v>
      </c>
      <c r="I10988" s="38" t="n">
        <f aca="false">Sens!$I$10893</f>
        <v>116.583111095496</v>
      </c>
      <c r="J10988" s="38" t="n">
        <f aca="false">Sens!$J$10893</f>
        <v>132.148941941952</v>
      </c>
      <c r="K10988" s="38" t="n">
        <f aca="false">Sens!$K$10893</f>
        <v>145.363836136147</v>
      </c>
      <c r="L10988" s="38" t="n">
        <f aca="false">Sens!$L$10893</f>
        <v>159.900219749762</v>
      </c>
      <c r="M10988" s="38" t="n">
        <f aca="false">Sens!$M$10893</f>
        <v>175.890241724738</v>
      </c>
      <c r="N10988" s="38" t="n">
        <f aca="false">Sens!$N$10893</f>
        <v>29.615</v>
      </c>
      <c r="O10988" s="38" t="n">
        <f aca="false">Sens!$O$10893</f>
        <v>39.02</v>
      </c>
    </row>
    <row r="10989" customFormat="false" ht="15" hidden="false" customHeight="false" outlineLevel="0" collapsed="false">
      <c r="A10989" s="0" t="s">
        <v>530</v>
      </c>
      <c r="B10989" s="0" t="s">
        <v>86</v>
      </c>
      <c r="C10989" s="38" t="n">
        <f aca="false">Sens!$C$10895</f>
        <v>44.374</v>
      </c>
      <c r="D10989" s="38" t="n">
        <f aca="false">Sens!$D$10895</f>
        <v>49.619</v>
      </c>
      <c r="E10989" s="38" t="n">
        <f aca="false">Sens!$E$10895</f>
        <v>27.157</v>
      </c>
      <c r="F10989" s="38" t="n">
        <f aca="false">Sens!$F$10895</f>
        <v>27.7764165988154</v>
      </c>
      <c r="G10989" s="38" t="n">
        <f aca="false">Sens!$G$10895</f>
        <v>54.9334165988154</v>
      </c>
      <c r="H10989" s="38" t="n">
        <f aca="false">Sens!$H$10895</f>
        <v>61.1564112561829</v>
      </c>
      <c r="I10989" s="38" t="n">
        <f aca="false">Sens!$I$10895</f>
        <v>67.2020282103945</v>
      </c>
      <c r="J10989" s="38" t="n">
        <f aca="false">Sens!$J$10895</f>
        <v>72.8757274028885</v>
      </c>
      <c r="K10989" s="38" t="n">
        <f aca="false">Sens!$K$10895</f>
        <v>77.9770283210907</v>
      </c>
      <c r="L10989" s="38" t="n">
        <f aca="false">Sens!$L$10895</f>
        <v>83.4354203035671</v>
      </c>
      <c r="M10989" s="38" t="n">
        <f aca="false">Sens!$M$10895</f>
        <v>89.2758997248168</v>
      </c>
      <c r="N10989" s="38" t="n">
        <f aca="false">Sens!$N$10895</f>
        <v>23.923</v>
      </c>
      <c r="O10989" s="38" t="n">
        <f aca="false">Sens!$O$10895</f>
        <v>25.696</v>
      </c>
    </row>
    <row r="10990" customFormat="false" ht="15" hidden="false" customHeight="false" outlineLevel="0" collapsed="false">
      <c r="A10990" s="0" t="s">
        <v>531</v>
      </c>
      <c r="B10990" s="0" t="s">
        <v>86</v>
      </c>
      <c r="C10990" s="38" t="n">
        <f aca="false">Sens!$C$10897</f>
        <v>5.425</v>
      </c>
      <c r="D10990" s="38" t="n">
        <f aca="false">Sens!$D$10897</f>
        <v>5.935</v>
      </c>
      <c r="E10990" s="38" t="n">
        <f aca="false">Sens!$E$10897</f>
        <v>3.474</v>
      </c>
      <c r="F10990" s="38" t="n">
        <f aca="false">Sens!$F$10897</f>
        <v>3.22246550883619</v>
      </c>
      <c r="G10990" s="38" t="n">
        <f aca="false">Sens!$G$10897</f>
        <v>6.69646550883619</v>
      </c>
      <c r="H10990" s="38" t="n">
        <f aca="false">Sens!$H$10897</f>
        <v>7.16251344209196</v>
      </c>
      <c r="I10990" s="38" t="n">
        <f aca="false">Sens!$I$10897</f>
        <v>7.61421070299826</v>
      </c>
      <c r="J10990" s="38" t="n">
        <f aca="false">Sens!$J$10897</f>
        <v>8.04465753523932</v>
      </c>
      <c r="K10990" s="38" t="n">
        <f aca="false">Sens!$K$10897</f>
        <v>8.44689041200128</v>
      </c>
      <c r="L10990" s="38" t="n">
        <f aca="false">Sens!$L$10897</f>
        <v>8.86923493260135</v>
      </c>
      <c r="M10990" s="38" t="n">
        <f aca="false">Sens!$M$10897</f>
        <v>9.31269667923142</v>
      </c>
      <c r="N10990" s="38" t="n">
        <f aca="false">Sens!$N$10897</f>
        <v>2.811</v>
      </c>
      <c r="O10990" s="38" t="n">
        <f aca="false">Sens!$O$10897</f>
        <v>3.124</v>
      </c>
    </row>
    <row r="10991" customFormat="false" ht="17.15" hidden="false" customHeight="false" outlineLevel="0" collapsed="false">
      <c r="A10991" s="0" t="s">
        <v>728</v>
      </c>
      <c r="B10991" s="0" t="s">
        <v>86</v>
      </c>
      <c r="C10991" s="38" t="n">
        <f aca="false">Sens!$C$10972</f>
        <v>107.556</v>
      </c>
      <c r="D10991" s="38" t="n">
        <f aca="false">Sens!$D$10972</f>
        <v>128.725</v>
      </c>
      <c r="E10991" s="38" t="n">
        <f aca="false">Sens!$E$10972</f>
        <v>79.819</v>
      </c>
      <c r="F10991" s="38" t="n">
        <f aca="false">Sens!$F$10972</f>
        <v>89.5399324154585</v>
      </c>
      <c r="G10991" s="38" t="n">
        <f aca="false">Sens!$G$10972</f>
        <v>169.358932415459</v>
      </c>
      <c r="H10991" s="38" t="n">
        <f aca="false">Sens!$H$10972</f>
        <v>244.100951085827</v>
      </c>
      <c r="I10991" s="38" t="n">
        <f aca="false">Sens!$I$10972</f>
        <v>326.846051483453</v>
      </c>
      <c r="J10991" s="38" t="n">
        <f aca="false">Sens!$J$10972</f>
        <v>409.133379921729</v>
      </c>
      <c r="K10991" s="38" t="n">
        <f aca="false">Sens!$K$10972</f>
        <v>480.482956242801</v>
      </c>
      <c r="L10991" s="38" t="n">
        <f aca="false">Sens!$L$10972</f>
        <v>533.984460024075</v>
      </c>
      <c r="M10991" s="38" t="n">
        <f aca="false">Sens!$M$10972</f>
        <v>569.691082990856</v>
      </c>
      <c r="N10991" s="38" t="n">
        <f aca="false">Sens!$N$10972</f>
        <v>60.14</v>
      </c>
      <c r="O10991" s="38" t="n">
        <f aca="false">Sens!$O$10972</f>
        <v>68.585</v>
      </c>
    </row>
    <row r="10992" customFormat="false" ht="15" hidden="false" customHeight="false" outlineLevel="0" collapsed="false">
      <c r="A10992" s="1" t="s">
        <v>519</v>
      </c>
      <c r="B10992" s="8" t="s">
        <v>86</v>
      </c>
      <c r="C10992" s="38" t="n">
        <f aca="false">Sens!$C$10902</f>
        <v>387.497</v>
      </c>
      <c r="D10992" s="38" t="n">
        <f aca="false">Sens!$D$10902</f>
        <v>426.305</v>
      </c>
      <c r="E10992" s="38" t="n">
        <f aca="false">Sens!$E$10902</f>
        <v>220.32</v>
      </c>
      <c r="F10992" s="38" t="n">
        <f aca="false">Sens!$F$10902</f>
        <v>250.639773480586</v>
      </c>
      <c r="G10992" s="38" t="n">
        <f aca="false">Sens!$G$10902</f>
        <v>470.959773480586</v>
      </c>
      <c r="H10992" s="38" t="n">
        <f aca="false">Sens!$H$10902</f>
        <v>521.386990416437</v>
      </c>
      <c r="I10992" s="38" t="n">
        <f aca="false">Sens!$I$10902</f>
        <v>570.143862887555</v>
      </c>
      <c r="J10992" s="38" t="n">
        <f aca="false">Sens!$J$10902</f>
        <v>615.391435791933</v>
      </c>
      <c r="K10992" s="38" t="n">
        <f aca="false">Sens!$K$10902</f>
        <v>655.208227561543</v>
      </c>
      <c r="L10992" s="38" t="n">
        <f aca="false">Sens!$L$10902</f>
        <v>697.807739249767</v>
      </c>
      <c r="M10992" s="38" t="n">
        <f aca="false">Sens!$M$10902</f>
        <v>743.399328463592</v>
      </c>
      <c r="N10992" s="38" t="n">
        <f aca="false">Sens!$N$10902</f>
        <v>192.955</v>
      </c>
      <c r="O10992" s="38" t="n">
        <f aca="false">Sens!$O$10902</f>
        <v>233.35</v>
      </c>
    </row>
    <row r="10993" customFormat="false" ht="15" hidden="false" customHeight="false" outlineLevel="0" collapsed="false">
      <c r="A10993" s="1" t="s">
        <v>522</v>
      </c>
      <c r="B10993" s="8" t="s">
        <v>86</v>
      </c>
      <c r="C10993" s="38" t="n">
        <f aca="false">Sens!$C$10903</f>
        <v>142.906</v>
      </c>
      <c r="D10993" s="38" t="n">
        <f aca="false">Sens!$D$10903</f>
        <v>161.894</v>
      </c>
      <c r="E10993" s="38" t="n">
        <f aca="false">Sens!$E$10903</f>
        <v>81.986</v>
      </c>
      <c r="F10993" s="38" t="n">
        <f aca="false">Sens!$F$10903</f>
        <v>98.408468164951</v>
      </c>
      <c r="G10993" s="38" t="n">
        <f aca="false">Sens!$G$10903</f>
        <v>180.394468164951</v>
      </c>
      <c r="H10993" s="38" t="n">
        <f aca="false">Sens!$H$10903</f>
        <v>199.709899104949</v>
      </c>
      <c r="I10993" s="38" t="n">
        <f aca="false">Sens!$I$10903</f>
        <v>218.385528264976</v>
      </c>
      <c r="J10993" s="38" t="n">
        <f aca="false">Sens!$J$10903</f>
        <v>235.71696994951</v>
      </c>
      <c r="K10993" s="38" t="n">
        <f aca="false">Sens!$K$10903</f>
        <v>250.968227869545</v>
      </c>
      <c r="L10993" s="38" t="n">
        <f aca="false">Sens!$L$10903</f>
        <v>267.285367225822</v>
      </c>
      <c r="M10993" s="38" t="n">
        <f aca="false">Sens!$M$10903</f>
        <v>284.748579483295</v>
      </c>
      <c r="N10993" s="38" t="n">
        <f aca="false">Sens!$N$10903</f>
        <v>70.274</v>
      </c>
      <c r="O10993" s="38" t="n">
        <f aca="false">Sens!$O$10903</f>
        <v>91.62</v>
      </c>
    </row>
    <row r="10994" customFormat="false" ht="15" hidden="false" customHeight="false" outlineLevel="0" collapsed="false">
      <c r="A10994" s="1" t="s">
        <v>523</v>
      </c>
      <c r="B10994" s="8" t="s">
        <v>86</v>
      </c>
      <c r="C10994" s="38" t="n">
        <f aca="false">Sens!$C$10972</f>
        <v>107.556</v>
      </c>
      <c r="D10994" s="38" t="n">
        <f aca="false">Sens!$D$10972</f>
        <v>128.725</v>
      </c>
      <c r="E10994" s="38" t="n">
        <f aca="false">Sens!$E$10972</f>
        <v>79.819</v>
      </c>
      <c r="F10994" s="38" t="n">
        <f aca="false">Sens!$F$10972</f>
        <v>89.5399324154585</v>
      </c>
      <c r="G10994" s="38" t="n">
        <f aca="false">Sens!$G$10972</f>
        <v>169.358932415459</v>
      </c>
      <c r="H10994" s="38" t="n">
        <f aca="false">Sens!$H$10972</f>
        <v>244.100951085827</v>
      </c>
      <c r="I10994" s="38" t="n">
        <f aca="false">Sens!$I$10972</f>
        <v>326.846051483453</v>
      </c>
      <c r="J10994" s="38" t="n">
        <f aca="false">Sens!$J$10972</f>
        <v>409.133379921729</v>
      </c>
      <c r="K10994" s="38" t="n">
        <f aca="false">Sens!$K$10972</f>
        <v>480.482956242801</v>
      </c>
      <c r="L10994" s="38" t="n">
        <f aca="false">Sens!$L$10972</f>
        <v>533.984460024075</v>
      </c>
      <c r="M10994" s="38" t="n">
        <f aca="false">Sens!$M$10972</f>
        <v>569.691082990856</v>
      </c>
      <c r="N10994" s="38" t="n">
        <f aca="false">Sens!$N$10972</f>
        <v>60.14</v>
      </c>
      <c r="O10994" s="38" t="n">
        <f aca="false">Sens!$O$10972</f>
        <v>68.585</v>
      </c>
    </row>
    <row r="10995" customFormat="false" ht="17.15" hidden="false" customHeight="false" outlineLevel="0" collapsed="false">
      <c r="A10995" s="0" t="s">
        <v>702</v>
      </c>
      <c r="B10995" s="0" t="s">
        <v>86</v>
      </c>
      <c r="C10995" s="38" t="n">
        <f aca="false">Sens!$C$10970</f>
        <v>2.32100535697364</v>
      </c>
      <c r="D10995" s="38" t="n">
        <f aca="false">Sens!$D$10970</f>
        <v>8.70377008865116</v>
      </c>
      <c r="E10995" s="38" t="n">
        <f aca="false">Sens!$E$10970</f>
        <v>8.51035297557002</v>
      </c>
      <c r="F10995" s="38" t="n">
        <f aca="false">Sens!$F$10970</f>
        <v>17.7706326212121</v>
      </c>
      <c r="G10995" s="38" t="n">
        <f aca="false">Sens!$G$10970</f>
        <v>26.2809855967821</v>
      </c>
      <c r="H10995" s="38" t="n">
        <f aca="false">Sens!$H$10970</f>
        <v>83.0838740066237</v>
      </c>
      <c r="I10995" s="38" t="n">
        <f aca="false">Sens!$I$10970</f>
        <v>148.076291961995</v>
      </c>
      <c r="J10995" s="38" t="n">
        <f aca="false">Sens!$J$10970</f>
        <v>213.357841875822</v>
      </c>
      <c r="K10995" s="38" t="n">
        <f aca="false">Sens!$K$10970</f>
        <v>269.045375153221</v>
      </c>
      <c r="L10995" s="38" t="n">
        <f aca="false">Sens!$L$10970</f>
        <v>305.631872447328</v>
      </c>
      <c r="M10995" s="38" t="n">
        <f aca="false">Sens!$M$10970</f>
        <v>323.07028840797</v>
      </c>
      <c r="N10995" s="38" t="n">
        <f aca="false">Sens!$N$10970</f>
        <v>3.04631953102791</v>
      </c>
      <c r="O10995" s="38" t="n">
        <f aca="false">Sens!$O$10970</f>
        <v>5.65745055762326</v>
      </c>
    </row>
    <row r="10996" customFormat="false" ht="17.15" hidden="false" customHeight="false" outlineLevel="0" collapsed="false">
      <c r="A10996" s="0" t="s">
        <v>704</v>
      </c>
      <c r="B10996" s="0" t="s">
        <v>86</v>
      </c>
      <c r="C10996" s="38" t="n">
        <f aca="false">Sens!$C$10971</f>
        <v>105.234994643026</v>
      </c>
      <c r="D10996" s="38" t="n">
        <f aca="false">Sens!$D$10971</f>
        <v>120.021229911349</v>
      </c>
      <c r="E10996" s="38" t="n">
        <f aca="false">Sens!$E$10971</f>
        <v>71.30864702443</v>
      </c>
      <c r="F10996" s="38" t="n">
        <f aca="false">Sens!$F$10971</f>
        <v>71.7692997942464</v>
      </c>
      <c r="G10996" s="38" t="n">
        <f aca="false">Sens!$G$10971</f>
        <v>143.077946818676</v>
      </c>
      <c r="H10996" s="38" t="n">
        <f aca="false">Sens!$H$10971</f>
        <v>161.017077079203</v>
      </c>
      <c r="I10996" s="38" t="n">
        <f aca="false">Sens!$I$10971</f>
        <v>178.769759521457</v>
      </c>
      <c r="J10996" s="38" t="n">
        <f aca="false">Sens!$J$10971</f>
        <v>195.775538045907</v>
      </c>
      <c r="K10996" s="38" t="n">
        <f aca="false">Sens!$K$10971</f>
        <v>211.43758108958</v>
      </c>
      <c r="L10996" s="38" t="n">
        <f aca="false">Sens!$L$10971</f>
        <v>228.352587576746</v>
      </c>
      <c r="M10996" s="38" t="n">
        <f aca="false">Sens!$M$10971</f>
        <v>246.620794582886</v>
      </c>
      <c r="N10996" s="38" t="n">
        <f aca="false">Sens!$N$10971</f>
        <v>57.0936804689721</v>
      </c>
      <c r="O10996" s="38" t="n">
        <f aca="false">Sens!$O$10971</f>
        <v>62.9275494423768</v>
      </c>
    </row>
    <row r="10997" customFormat="false" ht="15" hidden="false" customHeight="false" outlineLevel="0" collapsed="false">
      <c r="A10997" s="3" t="s">
        <v>524</v>
      </c>
      <c r="B10997" s="8" t="s">
        <v>86</v>
      </c>
      <c r="C10997" s="38" t="n">
        <f aca="false">Sens!$C$10973</f>
        <v>637.959</v>
      </c>
      <c r="D10997" s="38" t="n">
        <f aca="false">Sens!$D$10973</f>
        <v>716.924</v>
      </c>
      <c r="E10997" s="38" t="n">
        <f aca="false">Sens!$E$10973</f>
        <v>382.125</v>
      </c>
      <c r="F10997" s="38" t="n">
        <f aca="false">Sens!$F$10973</f>
        <v>438.588174060996</v>
      </c>
      <c r="G10997" s="38" t="n">
        <f aca="false">Sens!$G$10973</f>
        <v>820.713174060996</v>
      </c>
      <c r="H10997" s="38" t="n">
        <f aca="false">Sens!$H$10973</f>
        <v>965.197840607213</v>
      </c>
      <c r="I10997" s="38" t="n">
        <f aca="false">Sens!$I$10973</f>
        <v>1115.37544263598</v>
      </c>
      <c r="J10997" s="38" t="n">
        <f aca="false">Sens!$J$10973</f>
        <v>1260.24178566317</v>
      </c>
      <c r="K10997" s="38" t="n">
        <f aca="false">Sens!$K$10973</f>
        <v>1386.65941167389</v>
      </c>
      <c r="L10997" s="38" t="n">
        <f aca="false">Sens!$L$10973</f>
        <v>1499.07756649966</v>
      </c>
      <c r="M10997" s="38" t="n">
        <f aca="false">Sens!$M$10973</f>
        <v>1597.83899093774</v>
      </c>
      <c r="N10997" s="38" t="n">
        <f aca="false">Sens!$N$10973</f>
        <v>323.369</v>
      </c>
      <c r="O10997" s="38" t="n">
        <f aca="false">Sens!$O$10973</f>
        <v>393.555</v>
      </c>
    </row>
    <row r="10998" customFormat="false" ht="17.15" hidden="false" customHeight="false" outlineLevel="0" collapsed="false">
      <c r="A10998" s="24" t="s">
        <v>707</v>
      </c>
      <c r="B10998" s="25" t="s">
        <v>86</v>
      </c>
      <c r="C10998" s="41" t="n">
        <f aca="false">Sens!$C$10985+Sens!$C$10986+Sens!$C$10987+Sens!$C$10988+Sens!$C$10989+Sens!$C$10990-(Sens!$C$10992+Sens!$C$10993)</f>
        <v>0</v>
      </c>
      <c r="D10998" s="41" t="n">
        <f aca="false">Sens!$D$10985+Sens!$D$10986+Sens!$D$10987+Sens!$D$10988+Sens!$D$10989+Sens!$D$10990-(Sens!$D$10992+Sens!$D$10993)</f>
        <v>0</v>
      </c>
      <c r="E10998" s="41" t="n">
        <f aca="false">Sens!$E$10985+Sens!$E$10986+Sens!$E$10987+Sens!$E$10988+Sens!$E$10989+Sens!$E$10990-(Sens!$E$10992+Sens!$E$10993)</f>
        <v>0</v>
      </c>
      <c r="F10998" s="41" t="n">
        <f aca="false">Sens!$F$10985+Sens!$F$10986+Sens!$F$10987+Sens!$F$10988+Sens!$F$10989+Sens!$F$10990-(Sens!$F$10992+Sens!$F$10993)</f>
        <v>0</v>
      </c>
      <c r="G10998" s="41" t="n">
        <f aca="false">Sens!$G$10985+Sens!$G$10986+Sens!$G$10987+Sens!$G$10988+Sens!$G$10989+Sens!$G$10990-(Sens!$G$10992+Sens!$G$10993)</f>
        <v>0</v>
      </c>
      <c r="H10998" s="41" t="n">
        <f aca="false">Sens!$H$10985+Sens!$H$10986+Sens!$H$10987+Sens!$H$10988+Sens!$H$10989+Sens!$H$10990-(Sens!$H$10992+Sens!$H$10993)</f>
        <v>0</v>
      </c>
      <c r="I10998" s="41" t="n">
        <f aca="false">Sens!$I$10985+Sens!$I$10986+Sens!$I$10987+Sens!$I$10988+Sens!$I$10989+Sens!$I$10990-(Sens!$I$10992+Sens!$I$10993)</f>
        <v>0</v>
      </c>
      <c r="J10998" s="41" t="n">
        <f aca="false">Sens!$J$10985+Sens!$J$10986+Sens!$J$10987+Sens!$J$10988+Sens!$J$10989+Sens!$J$10990-(Sens!$J$10992+Sens!$J$10993)</f>
        <v>0</v>
      </c>
      <c r="K10998" s="41" t="n">
        <f aca="false">Sens!$K$10985+Sens!$K$10986+Sens!$K$10987+Sens!$K$10988+Sens!$K$10989+Sens!$K$10990-(Sens!$K$10992+Sens!$K$10993)</f>
        <v>0</v>
      </c>
      <c r="L10998" s="41" t="n">
        <f aca="false">Sens!$L$10985+Sens!$L$10986+Sens!$L$10987+Sens!$L$10988+Sens!$L$10989+Sens!$L$10990-(Sens!$L$10992+Sens!$L$10993)</f>
        <v>0</v>
      </c>
      <c r="M10998" s="41" t="n">
        <f aca="false">Sens!$M$10985+Sens!$M$10986+Sens!$M$10987+Sens!$M$10988+Sens!$M$10989+Sens!$M$10990-(Sens!$M$10992+Sens!$M$10993)</f>
        <v>0</v>
      </c>
      <c r="N10998" s="41" t="n">
        <f aca="false">Sens!$N$10985+Sens!$N$10986+Sens!$N$10987+Sens!$N$10988+Sens!$N$10989+Sens!$N$10990-(Sens!$N$10992+Sens!$N$10993)</f>
        <v>0</v>
      </c>
      <c r="O10998" s="41" t="n">
        <f aca="false">Sens!$O$10985+Sens!$O$10986+Sens!$O$10987+Sens!$O$10988+Sens!$O$10989+Sens!$O$10990-(Sens!$O$10992+Sens!$O$10993)</f>
        <v>0</v>
      </c>
    </row>
    <row r="10999" customFormat="false" ht="17.15" hidden="false" customHeight="false" outlineLevel="0" collapsed="false">
      <c r="A10999" s="24" t="s">
        <v>708</v>
      </c>
      <c r="B10999" s="25" t="s">
        <v>86</v>
      </c>
      <c r="C10999" s="41" t="n">
        <f aca="false">Sens!$C$10995+Sens!$C$10996-Sens!$C$10994</f>
        <v>0</v>
      </c>
      <c r="D10999" s="41" t="n">
        <f aca="false">Sens!$D$10995+Sens!$D$10996-Sens!$D$10994</f>
        <v>0</v>
      </c>
      <c r="E10999" s="41" t="n">
        <f aca="false">Sens!$E$10995+Sens!$E$10996-Sens!$E$10994</f>
        <v>0</v>
      </c>
      <c r="F10999" s="41" t="n">
        <f aca="false">Sens!$F$10995+Sens!$F$10996-Sens!$F$10994</f>
        <v>0</v>
      </c>
      <c r="G10999" s="41" t="n">
        <f aca="false">Sens!$G$10995+Sens!$G$10996-Sens!$G$10994</f>
        <v>0</v>
      </c>
      <c r="H10999" s="41" t="n">
        <f aca="false">Sens!$H$10995+Sens!$H$10996-Sens!$H$10994</f>
        <v>0</v>
      </c>
      <c r="I10999" s="41" t="n">
        <f aca="false">Sens!$I$10995+Sens!$I$10996-Sens!$I$10994</f>
        <v>0</v>
      </c>
      <c r="J10999" s="41" t="n">
        <f aca="false">Sens!$J$10995+Sens!$J$10996-Sens!$J$10994</f>
        <v>0</v>
      </c>
      <c r="K10999" s="41" t="n">
        <f aca="false">Sens!$K$10995+Sens!$K$10996-Sens!$K$10994</f>
        <v>0</v>
      </c>
      <c r="L10999" s="41" t="n">
        <f aca="false">Sens!$L$10995+Sens!$L$10996-Sens!$L$10994</f>
        <v>0</v>
      </c>
      <c r="M10999" s="41" t="n">
        <f aca="false">Sens!$M$10995+Sens!$M$10996-Sens!$M$10994</f>
        <v>0</v>
      </c>
      <c r="N10999" s="41" t="n">
        <f aca="false">Sens!$N$10995+Sens!$N$10996-Sens!$N$10994</f>
        <v>0</v>
      </c>
      <c r="O10999" s="41" t="n">
        <f aca="false">Sens!$O$10995+Sens!$O$10996-Sens!$O$10994</f>
        <v>0</v>
      </c>
    </row>
    <row r="11000" customFormat="false" ht="17.15" hidden="false" customHeight="false" outlineLevel="0" collapsed="false">
      <c r="A11000" s="24" t="s">
        <v>729</v>
      </c>
      <c r="B11000" s="25" t="s">
        <v>86</v>
      </c>
      <c r="C11000" s="41" t="n">
        <f aca="false">Sens!$C$10985+Sens!$C$10986+Sens!$C$10987+Sens!$C$10988+Sens!$C$10989+Sens!$C$10990+Sens!$C$10991-Sens!$C$10997</f>
        <v>0</v>
      </c>
      <c r="D11000" s="41" t="n">
        <f aca="false">Sens!$D$10985+Sens!$D$10986+Sens!$D$10987+Sens!$D$10988+Sens!$D$10989+Sens!$D$10990+Sens!$D$10991-Sens!$D$10997</f>
        <v>0</v>
      </c>
      <c r="E11000" s="41" t="n">
        <f aca="false">Sens!$E$10985+Sens!$E$10986+Sens!$E$10987+Sens!$E$10988+Sens!$E$10989+Sens!$E$10990+Sens!$E$10991-Sens!$E$10997</f>
        <v>0</v>
      </c>
      <c r="F11000" s="41" t="n">
        <f aca="false">Sens!$F$10985+Sens!$F$10986+Sens!$F$10987+Sens!$F$10988+Sens!$F$10989+Sens!$F$10990+Sens!$F$10991-Sens!$F$10997</f>
        <v>0</v>
      </c>
      <c r="G11000" s="41" t="n">
        <f aca="false">Sens!$G$10985+Sens!$G$10986+Sens!$G$10987+Sens!$G$10988+Sens!$G$10989+Sens!$G$10990+Sens!$G$10991-Sens!$G$10997</f>
        <v>0</v>
      </c>
      <c r="H11000" s="41" t="n">
        <f aca="false">Sens!$H$10985+Sens!$H$10986+Sens!$H$10987+Sens!$H$10988+Sens!$H$10989+Sens!$H$10990+Sens!$H$10991-Sens!$H$10997</f>
        <v>0</v>
      </c>
      <c r="I11000" s="41" t="n">
        <f aca="false">Sens!$I$10985+Sens!$I$10986+Sens!$I$10987+Sens!$I$10988+Sens!$I$10989+Sens!$I$10990+Sens!$I$10991-Sens!$I$10997</f>
        <v>0</v>
      </c>
      <c r="J11000" s="41" t="n">
        <f aca="false">Sens!$J$10985+Sens!$J$10986+Sens!$J$10987+Sens!$J$10988+Sens!$J$10989+Sens!$J$10990+Sens!$J$10991-Sens!$J$10997</f>
        <v>0</v>
      </c>
      <c r="K11000" s="41" t="n">
        <f aca="false">Sens!$K$10985+Sens!$K$10986+Sens!$K$10987+Sens!$K$10988+Sens!$K$10989+Sens!$K$10990+Sens!$K$10991-Sens!$K$10997</f>
        <v>0</v>
      </c>
      <c r="L11000" s="41" t="n">
        <f aca="false">Sens!$L$10985+Sens!$L$10986+Sens!$L$10987+Sens!$L$10988+Sens!$L$10989+Sens!$L$10990+Sens!$L$10991-Sens!$L$10997</f>
        <v>0</v>
      </c>
      <c r="M11000" s="41" t="n">
        <f aca="false">Sens!$M$10985+Sens!$M$10986+Sens!$M$10987+Sens!$M$10988+Sens!$M$10989+Sens!$M$10990+Sens!$M$10991-Sens!$M$10997</f>
        <v>0</v>
      </c>
      <c r="N11000" s="41" t="n">
        <f aca="false">Sens!$N$10985+Sens!$N$10986+Sens!$N$10987+Sens!$N$10988+Sens!$N$10989+Sens!$N$10990+Sens!$N$10991-Sens!$N$10997</f>
        <v>0</v>
      </c>
      <c r="O11000" s="41" t="n">
        <f aca="false">Sens!$O$10985+Sens!$O$10986+Sens!$O$10987+Sens!$O$10988+Sens!$O$10989+Sens!$O$10990+Sens!$O$10991-Sens!$O$10997</f>
        <v>0</v>
      </c>
    </row>
    <row r="11001" customFormat="false" ht="17.15" hidden="false" customHeight="false" outlineLevel="0" collapsed="false">
      <c r="A11001" s="24" t="s">
        <v>709</v>
      </c>
      <c r="B11001" s="25" t="s">
        <v>86</v>
      </c>
      <c r="C11001" s="41" t="n">
        <f aca="false">Sens!$C$10992+Sens!$C$10993+Sens!$C$10994-Sens!$C$10997</f>
        <v>0</v>
      </c>
      <c r="D11001" s="41" t="n">
        <f aca="false">Sens!$D$10992+Sens!$D$10993+Sens!$D$10994-Sens!$D$10997</f>
        <v>0</v>
      </c>
      <c r="E11001" s="41" t="n">
        <f aca="false">Sens!$E$10992+Sens!$E$10993+Sens!$E$10994-Sens!$E$10997</f>
        <v>0</v>
      </c>
      <c r="F11001" s="41" t="n">
        <f aca="false">Sens!$F$10992+Sens!$F$10993+Sens!$F$10994-Sens!$F$10997</f>
        <v>0</v>
      </c>
      <c r="G11001" s="41" t="n">
        <f aca="false">Sens!$G$10992+Sens!$G$10993+Sens!$G$10994-Sens!$G$10997</f>
        <v>0</v>
      </c>
      <c r="H11001" s="41" t="n">
        <f aca="false">Sens!$H$10992+Sens!$H$10993+Sens!$H$10994-Sens!$H$10997</f>
        <v>0</v>
      </c>
      <c r="I11001" s="41" t="n">
        <f aca="false">Sens!$I$10992+Sens!$I$10993+Sens!$I$10994-Sens!$I$10997</f>
        <v>0</v>
      </c>
      <c r="J11001" s="41" t="n">
        <f aca="false">Sens!$J$10992+Sens!$J$10993+Sens!$J$10994-Sens!$J$10997</f>
        <v>0</v>
      </c>
      <c r="K11001" s="41" t="n">
        <f aca="false">Sens!$K$10992+Sens!$K$10993+Sens!$K$10994-Sens!$K$10997</f>
        <v>0</v>
      </c>
      <c r="L11001" s="41" t="n">
        <f aca="false">Sens!$L$10992+Sens!$L$10993+Sens!$L$10994-Sens!$L$10997</f>
        <v>0</v>
      </c>
      <c r="M11001" s="41" t="n">
        <f aca="false">Sens!$M$10992+Sens!$M$10993+Sens!$M$10994-Sens!$M$10997</f>
        <v>0</v>
      </c>
      <c r="N11001" s="41" t="n">
        <f aca="false">Sens!$N$10992+Sens!$N$10993+Sens!$N$10994-Sens!$N$10997</f>
        <v>0</v>
      </c>
      <c r="O11001" s="41" t="n">
        <f aca="false">Sens!$O$10992+Sens!$O$10993+Sens!$O$10994-Sens!$O$10997</f>
        <v>0</v>
      </c>
    </row>
    <row r="11002" customFormat="false" ht="17.15" hidden="false" customHeight="false" outlineLevel="0" collapsed="false">
      <c r="A11002" s="1" t="s">
        <v>730</v>
      </c>
    </row>
    <row r="11003" customFormat="false" ht="17.15" hidden="false" customHeight="false" outlineLevel="0" collapsed="false">
      <c r="A11003" s="0" t="s">
        <v>731</v>
      </c>
      <c r="B11003" s="0" t="s">
        <v>86</v>
      </c>
      <c r="C11003" s="38" t="n">
        <f aca="false">Sens!$C$10904*m_ad</f>
        <v>20.5341564414228</v>
      </c>
      <c r="D11003" s="38" t="n">
        <f aca="false">Sens!$D$10904*m_ad</f>
        <v>24.8720617299587</v>
      </c>
      <c r="E11003" s="38" t="n">
        <f aca="false">Sens!$E$10904*m_ad</f>
        <v>13.5017112462207</v>
      </c>
      <c r="F11003" s="38" t="n">
        <f aca="false">Sens!$F$10904*m_ad</f>
        <v>16.5719724165257</v>
      </c>
      <c r="G11003" s="38" t="n">
        <f aca="false">Sens!$G$10904*m_ad</f>
        <v>30.0820919220415</v>
      </c>
      <c r="H11003" s="38" t="n">
        <f aca="false">Sens!$H$10904*m_ad</f>
        <v>36.1150883276314</v>
      </c>
      <c r="I11003" s="38" t="n">
        <f aca="false">Sens!$I$10904*m_ad</f>
        <v>42.1475382231996</v>
      </c>
      <c r="J11003" s="38" t="n">
        <f aca="false">Sens!$J$10904*m_ad</f>
        <v>47.7749523864693</v>
      </c>
      <c r="K11003" s="38" t="n">
        <f aca="false">Sens!$K$10904*m_ad</f>
        <v>52.5524476251162</v>
      </c>
      <c r="L11003" s="38" t="n">
        <f aca="false">Sens!$L$10904*m_ad</f>
        <v>57.8076923876279</v>
      </c>
      <c r="M11003" s="38" t="n">
        <f aca="false">Sens!$M$10904*m_ad</f>
        <v>63.5884616263907</v>
      </c>
      <c r="N11003" s="38" t="n">
        <f aca="false">Sens!$N$10904*m_ad</f>
        <v>10.8543555706248</v>
      </c>
      <c r="O11003" s="38" t="n">
        <f aca="false">Sens!$O$10904*m_ad</f>
        <v>14.0094731821399</v>
      </c>
    </row>
    <row r="11004" customFormat="false" ht="17.15" hidden="false" customHeight="false" outlineLevel="0" collapsed="false">
      <c r="A11004" s="0" t="s">
        <v>732</v>
      </c>
      <c r="B11004" s="0" t="s">
        <v>86</v>
      </c>
      <c r="C11004" s="38" t="n">
        <f aca="false">Sens!$C$10902-Sens!$C$10904</f>
        <v>346.428687117154</v>
      </c>
      <c r="D11004" s="38" t="n">
        <f aca="false">Sens!$D$10902-Sens!$D$10904</f>
        <v>376.560876540083</v>
      </c>
      <c r="E11004" s="38" t="n">
        <f aca="false">Sens!$E$10902-Sens!$E$10904</f>
        <v>193.316577507559</v>
      </c>
      <c r="F11004" s="38" t="n">
        <f aca="false">Sens!$F$10902-Sens!$F$10904</f>
        <v>217.495828647535</v>
      </c>
      <c r="G11004" s="38" t="n">
        <f aca="false">Sens!$G$10902-Sens!$G$10904</f>
        <v>410.795589636503</v>
      </c>
      <c r="H11004" s="38" t="n">
        <f aca="false">Sens!$H$10902-Sens!$H$10904</f>
        <v>449.156813761174</v>
      </c>
      <c r="I11004" s="38" t="n">
        <f aca="false">Sens!$I$10902-Sens!$I$10904</f>
        <v>485.848786441156</v>
      </c>
      <c r="J11004" s="38" t="n">
        <f aca="false">Sens!$J$10902-Sens!$J$10904</f>
        <v>519.841531018994</v>
      </c>
      <c r="K11004" s="38" t="n">
        <f aca="false">Sens!$K$10902-Sens!$K$10904</f>
        <v>550.103332311311</v>
      </c>
      <c r="L11004" s="38" t="n">
        <f aca="false">Sens!$L$10902-Sens!$L$10904</f>
        <v>582.192354474511</v>
      </c>
      <c r="M11004" s="38" t="n">
        <f aca="false">Sens!$M$10902-Sens!$M$10904</f>
        <v>616.22240521081</v>
      </c>
      <c r="N11004" s="38" t="n">
        <f aca="false">Sens!$N$10902-Sens!$N$10904</f>
        <v>171.24628885875</v>
      </c>
      <c r="O11004" s="38" t="n">
        <f aca="false">Sens!$O$10902-Sens!$O$10904</f>
        <v>205.33105363572</v>
      </c>
    </row>
    <row r="11005" customFormat="false" ht="17.15" hidden="false" customHeight="false" outlineLevel="0" collapsed="false">
      <c r="A11005" s="0" t="s">
        <v>733</v>
      </c>
      <c r="B11005" s="0" t="s">
        <v>86</v>
      </c>
      <c r="C11005" s="38" t="n">
        <f aca="false">Sens!$C$10956*Sens!$C$10901</f>
        <v>0.123617442257179</v>
      </c>
      <c r="D11005" s="38" t="n">
        <f aca="false">Sens!$D$10956*Sens!$D$10901</f>
        <v>0.600198046024689</v>
      </c>
      <c r="E11005" s="38" t="n">
        <f aca="false">Sens!$E$10956*Sens!$E$10901</f>
        <v>1.10840000750276</v>
      </c>
      <c r="F11005" s="38" t="n">
        <f aca="false">Sens!$F$10956*Sens!$F$10901</f>
        <v>1.34090532512067</v>
      </c>
      <c r="G11005" s="38" t="n">
        <f aca="false">Sens!$G$10956*Sens!$G$10901</f>
        <v>2.44986003975115</v>
      </c>
      <c r="H11005" s="38" t="n">
        <f aca="false">Sens!$H$10956*Sens!$H$10901</f>
        <v>6.67155028103874</v>
      </c>
      <c r="I11005" s="38" t="n">
        <f aca="false">Sens!$I$10956*Sens!$I$10901</f>
        <v>12.9385304353366</v>
      </c>
      <c r="J11005" s="38" t="n">
        <f aca="false">Sens!$J$10956*Sens!$J$10901</f>
        <v>18.7509341849094</v>
      </c>
      <c r="K11005" s="38" t="n">
        <f aca="false">Sens!$K$10956*Sens!$K$10901</f>
        <v>24.4366555450014</v>
      </c>
      <c r="L11005" s="38" t="n">
        <f aca="false">Sens!$L$10956*Sens!$L$10901</f>
        <v>28.3746334945555</v>
      </c>
      <c r="M11005" s="38" t="n">
        <f aca="false">Sens!$M$10956*Sens!$M$10901</f>
        <v>30.5516208027283</v>
      </c>
      <c r="N11005" s="38" t="n">
        <f aca="false">Sens!$N$10956*Sens!$N$10901</f>
        <v>0.25053229484398</v>
      </c>
      <c r="O11005" s="38" t="n">
        <f aca="false">Sens!$O$10956*Sens!$O$10901</f>
        <v>0.349234376756897</v>
      </c>
    </row>
    <row r="11006" customFormat="false" ht="17.15" hidden="false" customHeight="false" outlineLevel="0" collapsed="false">
      <c r="A11006" s="0" t="s">
        <v>734</v>
      </c>
      <c r="B11006" s="0" t="s">
        <v>52</v>
      </c>
      <c r="C11006" s="28" t="n">
        <f aca="false">(Sens!$C$11007-Sens!$C$11003+Sens!$C$11005)/Sens!$C$11004</f>
        <v>0.0131526665379575</v>
      </c>
      <c r="D11006" s="28" t="n">
        <f aca="false">(Sens!$D$11007-Sens!$D$11003+Sens!$D$11005)/Sens!$D$11004</f>
        <v>0.0141999252954702</v>
      </c>
      <c r="E11006" s="28" t="n">
        <f aca="false">(Sens!$E$11007-Sens!$E$11003+Sens!$E$11005)/Sens!$E$11004</f>
        <v>0.0258471819939326</v>
      </c>
      <c r="F11006" s="28" t="n">
        <f aca="false">Sens!$O$11006+(Sens!$E$11006-Sens!$N$11006)</f>
        <v>0.0224302350712874</v>
      </c>
      <c r="G11006" s="28" t="n">
        <f aca="false">(Sens!$G$11007-Sens!$G$11003+Sens!$G$11005)/Sens!$G$11004</f>
        <v>0.0240200187675687</v>
      </c>
      <c r="H11006" s="28" t="n">
        <f aca="false">Sens!$G$11006+step_na</f>
        <v>0.0270200187675687</v>
      </c>
      <c r="I11006" s="28" t="n">
        <f aca="false">Sens!$H$11006+step_na</f>
        <v>0.0300200187675687</v>
      </c>
      <c r="J11006" s="28" t="n">
        <f aca="false">Sens!$I$11006+step_na</f>
        <v>0.0330200187675687</v>
      </c>
      <c r="K11006" s="28" t="n">
        <f aca="false">Sens!$J$11006+step_na</f>
        <v>0.0360200187675687</v>
      </c>
      <c r="L11006" s="28" t="n">
        <f aca="false">Sens!$K$11006</f>
        <v>0.0360200187675687</v>
      </c>
      <c r="M11006" s="28" t="n">
        <f aca="false">Sens!$L$11006</f>
        <v>0.0360200187675687</v>
      </c>
      <c r="N11006" s="28" t="n">
        <f aca="false">(Sens!$N$11007-Sens!$N$11003+Sens!$N$11005)/Sens!$N$11004</f>
        <v>0.0160831323269779</v>
      </c>
      <c r="O11006" s="28" t="n">
        <f aca="false">(Sens!$O$11007-Sens!$O$11003+Sens!$O$11005)/Sens!$O$11004</f>
        <v>0.0126661854043327</v>
      </c>
      <c r="P11006" s="8" t="s">
        <v>735</v>
      </c>
    </row>
    <row r="11007" customFormat="false" ht="17.15" hidden="false" customHeight="false" outlineLevel="0" collapsed="false">
      <c r="A11007" s="1" t="s">
        <v>736</v>
      </c>
      <c r="B11007" s="8" t="s">
        <v>86</v>
      </c>
      <c r="C11007" s="38" t="n">
        <f aca="false">Q!$D$22</f>
        <v>24.967</v>
      </c>
      <c r="D11007" s="38" t="n">
        <f aca="false">Q!$E$22</f>
        <v>29.619</v>
      </c>
      <c r="E11007" s="38" t="n">
        <f aca="false">Q!$P$22</f>
        <v>17.39</v>
      </c>
      <c r="F11007" s="38" t="n">
        <f aca="false">Sens!$F$11003+Sens!$F$11004*Sens!$F$11006-Sens!$F$11005</f>
        <v>20.1095496549936</v>
      </c>
      <c r="G11007" s="38" t="n">
        <f aca="false">Sens!$E$11007+Sens!$F$11007</f>
        <v>37.4995496549936</v>
      </c>
      <c r="H11007" s="38" t="n">
        <f aca="false">Sens!$H$11003+Sens!$H$11004*Sens!$H$11006-Sens!$H$11005</f>
        <v>41.579763584001</v>
      </c>
      <c r="I11007" s="38" t="n">
        <f aca="false">Sens!$I$11003+Sens!$I$11004*Sens!$I$11006-Sens!$I$11005</f>
        <v>43.794197475027</v>
      </c>
      <c r="J11007" s="38" t="n">
        <f aca="false">Sens!$J$11003+Sens!$J$11004*Sens!$J$11006-Sens!$J$11005</f>
        <v>46.1891953119688</v>
      </c>
      <c r="K11007" s="38" t="n">
        <f aca="false">Sens!$K$11003+Sens!$K$11004*Sens!$K$11006-Sens!$K$11005</f>
        <v>47.9305244340703</v>
      </c>
      <c r="L11007" s="38" t="n">
        <f aca="false">Sens!$L$11003+Sens!$L$11004*Sens!$L$11006-Sens!$L$11005</f>
        <v>50.4036384275793</v>
      </c>
      <c r="M11007" s="38" t="n">
        <f aca="false">Sens!$M$11003+Sens!$M$11004*Sens!$M$11006-Sens!$M$11005</f>
        <v>55.2331834243521</v>
      </c>
      <c r="N11007" s="38" t="n">
        <f aca="false">Q!$N$22</f>
        <v>13.358</v>
      </c>
      <c r="O11007" s="38" t="n">
        <f aca="false">Q!$O$22</f>
        <v>16.261</v>
      </c>
    </row>
    <row r="11008" customFormat="false" ht="17.15" hidden="false" customHeight="false" outlineLevel="0" collapsed="false">
      <c r="A11008" s="0" t="s">
        <v>737</v>
      </c>
      <c r="B11008" s="0" t="s">
        <v>86</v>
      </c>
      <c r="C11008" s="38" t="n">
        <f aca="false">Sens!$C$10905*m_ad</f>
        <v>7.57284355857716</v>
      </c>
      <c r="D11008" s="38" t="n">
        <f aca="false">Sens!$D$10905*m_ad</f>
        <v>9.44543827004127</v>
      </c>
      <c r="E11008" s="38" t="n">
        <f aca="false">Sens!$E$10905*m_ad</f>
        <v>5.02428875377928</v>
      </c>
      <c r="F11008" s="38" t="n">
        <f aca="false">Sens!$F$10905*m_ad</f>
        <v>6.50663858068173</v>
      </c>
      <c r="G11008" s="38" t="n">
        <f aca="false">Sens!$G$10905*m_ad</f>
        <v>11.5225190751659</v>
      </c>
      <c r="H11008" s="38" t="n">
        <f aca="false">Sens!$H$10905*m_ad</f>
        <v>13.8333728663174</v>
      </c>
      <c r="I11008" s="38" t="n">
        <f aca="false">Sens!$I$10905*m_ad</f>
        <v>16.1440173245485</v>
      </c>
      <c r="J11008" s="38" t="n">
        <f aca="false">Sens!$J$10905*m_ad</f>
        <v>18.2995185845066</v>
      </c>
      <c r="K11008" s="38" t="n">
        <f aca="false">Sens!$K$10905*m_ad</f>
        <v>20.1294704429572</v>
      </c>
      <c r="L11008" s="38" t="n">
        <f aca="false">Sens!$L$10905*m_ad</f>
        <v>22.142417487253</v>
      </c>
      <c r="M11008" s="38" t="n">
        <f aca="false">Sens!$M$10905*m_ad</f>
        <v>24.3566592359783</v>
      </c>
      <c r="N11008" s="38" t="n">
        <f aca="false">Sens!$N$10905*m_ad</f>
        <v>3.95314442937518</v>
      </c>
      <c r="O11008" s="38" t="n">
        <f aca="false">Sens!$O$10905*m_ad</f>
        <v>5.50052681786011</v>
      </c>
    </row>
    <row r="11009" customFormat="false" ht="17.15" hidden="false" customHeight="false" outlineLevel="0" collapsed="false">
      <c r="A11009" s="0" t="s">
        <v>738</v>
      </c>
      <c r="B11009" s="0" t="s">
        <v>86</v>
      </c>
      <c r="C11009" s="38" t="n">
        <f aca="false">Sens!$C$10903-Sens!$C$10905</f>
        <v>127.760312882846</v>
      </c>
      <c r="D11009" s="38" t="n">
        <f aca="false">Sens!$D$10903-Sens!$D$10905</f>
        <v>143.003123459917</v>
      </c>
      <c r="E11009" s="38" t="n">
        <f aca="false">Sens!$E$10903-Sens!$E$10905</f>
        <v>71.9374224924414</v>
      </c>
      <c r="F11009" s="38" t="n">
        <f aca="false">Sens!$F$10903-Sens!$F$10905</f>
        <v>85.3951910035875</v>
      </c>
      <c r="G11009" s="38" t="n">
        <f aca="false">Sens!$G$10903-Sens!$G$10905</f>
        <v>157.349430014619</v>
      </c>
      <c r="H11009" s="38" t="n">
        <f aca="false">Sens!$H$10903-Sens!$H$10905</f>
        <v>172.043153372315</v>
      </c>
      <c r="I11009" s="38" t="n">
        <f aca="false">Sens!$I$10903-Sens!$I$10905</f>
        <v>186.097493615879</v>
      </c>
      <c r="J11009" s="38" t="n">
        <f aca="false">Sens!$J$10903-Sens!$J$10905</f>
        <v>199.117932780497</v>
      </c>
      <c r="K11009" s="38" t="n">
        <f aca="false">Sens!$K$10903-Sens!$K$10905</f>
        <v>210.70928698363</v>
      </c>
      <c r="L11009" s="38" t="n">
        <f aca="false">Sens!$L$10903-Sens!$L$10905</f>
        <v>223.000532251316</v>
      </c>
      <c r="M11009" s="38" t="n">
        <f aca="false">Sens!$M$10903-Sens!$M$10905</f>
        <v>236.035261011339</v>
      </c>
      <c r="N11009" s="38" t="n">
        <f aca="false">Sens!$N$10903-Sens!$N$10905</f>
        <v>62.3677111412496</v>
      </c>
      <c r="O11009" s="38" t="n">
        <f aca="false">Sens!$O$10903-Sens!$O$10905</f>
        <v>80.6189463642798</v>
      </c>
    </row>
    <row r="11010" customFormat="false" ht="17.15" hidden="false" customHeight="false" outlineLevel="0" collapsed="false">
      <c r="A11010" s="0" t="s">
        <v>739</v>
      </c>
      <c r="B11010" s="0" t="s">
        <v>86</v>
      </c>
      <c r="C11010" s="38" t="n">
        <f aca="false">Sens!$C$10956*(1-Sens!$C$10901)</f>
        <v>0.0455891896019953</v>
      </c>
      <c r="D11010" s="38" t="n">
        <f aca="false">Sens!$D$10956*(1-Sens!$D$10901)</f>
        <v>0.227931791705753</v>
      </c>
      <c r="E11010" s="38" t="n">
        <f aca="false">Sens!$E$10956*(1-Sens!$E$10901)</f>
        <v>0.412460434890711</v>
      </c>
      <c r="F11010" s="38" t="n">
        <f aca="false">Sens!$F$10956*(1-Sens!$F$10901)</f>
        <v>0.526478448200369</v>
      </c>
      <c r="G11010" s="38" t="n">
        <f aca="false">Sens!$G$10956*(1-Sens!$G$10901)</f>
        <v>0.938384175963367</v>
      </c>
      <c r="H11010" s="38" t="n">
        <f aca="false">Sens!$H$10956*(1-Sens!$H$10901)</f>
        <v>2.5554428054211</v>
      </c>
      <c r="I11010" s="38" t="n">
        <f aca="false">Sens!$I$10956*(1-Sens!$I$10901)</f>
        <v>4.95592075618067</v>
      </c>
      <c r="J11010" s="38" t="n">
        <f aca="false">Sens!$J$10956*(1-Sens!$J$10901)</f>
        <v>7.18227965603981</v>
      </c>
      <c r="K11010" s="38" t="n">
        <f aca="false">Sens!$K$10956*(1-Sens!$K$10901)</f>
        <v>9.3601146615813</v>
      </c>
      <c r="L11010" s="38" t="n">
        <f aca="false">Sens!$L$10956*(1-Sens!$L$10901)</f>
        <v>10.8685013176327</v>
      </c>
      <c r="M11010" s="38" t="n">
        <f aca="false">Sens!$M$10956*(1-Sens!$M$10901)</f>
        <v>11.7023654601206</v>
      </c>
      <c r="N11010" s="38" t="n">
        <f aca="false">Sens!$N$10956*(1-Sens!$N$10901)</f>
        <v>0.0912435878202994</v>
      </c>
      <c r="O11010" s="38" t="n">
        <f aca="false">Sens!$O$10956*(1-Sens!$O$10901)</f>
        <v>0.137119578309265</v>
      </c>
    </row>
    <row r="11011" customFormat="false" ht="17.15" hidden="false" customHeight="false" outlineLevel="0" collapsed="false">
      <c r="A11011" s="0" t="s">
        <v>740</v>
      </c>
      <c r="B11011" s="0" t="s">
        <v>52</v>
      </c>
      <c r="C11011" s="28" t="n">
        <f aca="false">(Sens!$C$11012-Sens!$C$11008+Sens!$C$11010)/Sens!$C$11009</f>
        <v>-0.0292364215826579</v>
      </c>
      <c r="D11011" s="28" t="n">
        <f aca="false">(Sens!$D$11012-Sens!$D$11008+Sens!$D$11010)/Sens!$D$11009</f>
        <v>-0.0312406216748665</v>
      </c>
      <c r="E11011" s="28" t="n">
        <f aca="false">(Sens!$E$11012-Sens!$E$11008+Sens!$E$11010)/Sens!$E$11009</f>
        <v>-0.0204459413185552</v>
      </c>
      <c r="F11011" s="28" t="n">
        <f aca="false">Sens!$O$11011+(Sens!$E$11011-Sens!$N$11011)</f>
        <v>-0.0375409290246314</v>
      </c>
      <c r="G11011" s="28" t="n">
        <f aca="false">(Sens!$G$11012-Sens!$G$11008+Sens!$G$11010)/Sens!$G$11009</f>
        <v>-0.029671474315464</v>
      </c>
      <c r="H11011" s="28" t="n">
        <f aca="false">Sens!$G$11011+step_in</f>
        <v>-0.029671474315464</v>
      </c>
      <c r="I11011" s="28" t="n">
        <f aca="false">Sens!$H$11011+step_in</f>
        <v>-0.029671474315464</v>
      </c>
      <c r="J11011" s="28" t="n">
        <f aca="false">Sens!$I$11011+step_in</f>
        <v>-0.029671474315464</v>
      </c>
      <c r="K11011" s="28" t="n">
        <f aca="false">Sens!$J$11011+step_in</f>
        <v>-0.029671474315464</v>
      </c>
      <c r="L11011" s="28" t="n">
        <f aca="false">Sens!$K$11011</f>
        <v>-0.029671474315464</v>
      </c>
      <c r="M11011" s="28" t="n">
        <f aca="false">Sens!$L$11011</f>
        <v>-0.029671474315464</v>
      </c>
      <c r="N11011" s="28" t="n">
        <f aca="false">(Sens!$N$11012-Sens!$N$11008+Sens!$N$11010)/Sens!$N$11009</f>
        <v>-0.0216602600421776</v>
      </c>
      <c r="O11011" s="28" t="n">
        <f aca="false">(Sens!$O$11012-Sens!$O$11008+Sens!$O$11010)/Sens!$O$11009</f>
        <v>-0.0387552477482538</v>
      </c>
      <c r="P11011" s="8" t="s">
        <v>735</v>
      </c>
    </row>
    <row r="11012" customFormat="false" ht="17.15" hidden="false" customHeight="false" outlineLevel="0" collapsed="false">
      <c r="A11012" s="1" t="s">
        <v>741</v>
      </c>
      <c r="B11012" s="8" t="s">
        <v>86</v>
      </c>
      <c r="C11012" s="38" t="n">
        <f aca="false">Q!$D$23</f>
        <v>3.792</v>
      </c>
      <c r="D11012" s="38" t="n">
        <f aca="false">Q!$E$23</f>
        <v>4.75</v>
      </c>
      <c r="E11012" s="38" t="n">
        <f aca="false">Q!$P$23</f>
        <v>3.141</v>
      </c>
      <c r="F11012" s="38" t="n">
        <f aca="false">Sens!$F$11008+Sens!$F$11009*Sens!$F$11011-Sens!$F$11010</f>
        <v>2.77434532797084</v>
      </c>
      <c r="G11012" s="38" t="n">
        <f aca="false">Sens!$E$11012+Sens!$F$11012</f>
        <v>5.91534532797084</v>
      </c>
      <c r="H11012" s="38" t="n">
        <f aca="false">Sens!$H$11008+Sens!$H$11009*Sens!$H$11011-Sens!$H$11010</f>
        <v>6.1731560544582</v>
      </c>
      <c r="I11012" s="38" t="n">
        <f aca="false">Sens!$I$11008+Sens!$I$11009*Sens!$I$11011-Sens!$I$11010</f>
        <v>5.66630956637209</v>
      </c>
      <c r="J11012" s="38" t="n">
        <f aca="false">Sens!$J$11008+Sens!$J$11009*Sens!$J$11011-Sens!$J$11010</f>
        <v>5.20911630022198</v>
      </c>
      <c r="K11012" s="38" t="n">
        <f aca="false">Sens!$K$11008+Sens!$K$11009*Sens!$K$11011-Sens!$K$11010</f>
        <v>4.51730058461144</v>
      </c>
      <c r="L11012" s="38" t="n">
        <f aca="false">Sens!$L$11008+Sens!$L$11009*Sens!$L$11011-Sens!$L$11010</f>
        <v>4.65716160459054</v>
      </c>
      <c r="M11012" s="38" t="n">
        <f aca="false">Sens!$M$11008+Sens!$M$11009*Sens!$M$11011-Sens!$M$11010</f>
        <v>5.6507795912159</v>
      </c>
      <c r="N11012" s="38" t="n">
        <f aca="false">Q!$N$23</f>
        <v>2.511</v>
      </c>
      <c r="O11012" s="38" t="n">
        <f aca="false">Q!$O$23</f>
        <v>2.239</v>
      </c>
    </row>
    <row r="11013" customFormat="false" ht="17.15" hidden="false" customHeight="false" outlineLevel="0" collapsed="false">
      <c r="A11013" s="0" t="s">
        <v>742</v>
      </c>
      <c r="B11013" s="0" t="s">
        <v>86</v>
      </c>
      <c r="C11013" s="38" t="n">
        <f aca="false">Sens!$C$10953</f>
        <v>1.64417882953695</v>
      </c>
      <c r="D11013" s="38" t="n">
        <f aca="false">Sens!$D$10953</f>
        <v>5.39125073772939</v>
      </c>
      <c r="E11013" s="38" t="n">
        <f aca="false">Sens!$E$10953</f>
        <v>2.42691120599613</v>
      </c>
      <c r="F11013" s="38" t="n">
        <f aca="false">Sens!$F$10953</f>
        <v>10.301097527928</v>
      </c>
      <c r="G11013" s="38" t="n">
        <f aca="false">Sens!$G$10953</f>
        <v>12.7280087339241</v>
      </c>
      <c r="H11013" s="38" t="n">
        <f aca="false">Sens!$H$10953</f>
        <v>46.1759016607843</v>
      </c>
      <c r="I11013" s="38" t="n">
        <f aca="false">Sens!$I$10953</f>
        <v>76.4984871959261</v>
      </c>
      <c r="J11013" s="38" t="n">
        <f aca="false">Sens!$J$10953</f>
        <v>109.624986512025</v>
      </c>
      <c r="K11013" s="38" t="n">
        <f aca="false">Sens!$K$10953</f>
        <v>133.85829432689</v>
      </c>
      <c r="L11013" s="38" t="n">
        <f aca="false">Sens!$L$10953</f>
        <v>148.659333198576</v>
      </c>
      <c r="M11013" s="38" t="n">
        <f aca="false">Sens!$M$10953</f>
        <v>154.054343356574</v>
      </c>
      <c r="N11013" s="38" t="n">
        <f aca="false">Sens!$N$10953</f>
        <v>1.67921600037079</v>
      </c>
      <c r="O11013" s="38" t="n">
        <f aca="false">Sens!$O$10953</f>
        <v>3.71203473735861</v>
      </c>
    </row>
    <row r="11014" customFormat="false" ht="17.15" hidden="false" customHeight="false" outlineLevel="0" collapsed="false">
      <c r="A11014" s="0" t="s">
        <v>660</v>
      </c>
      <c r="B11014" s="0" t="s">
        <v>86</v>
      </c>
      <c r="C11014" s="38" t="n">
        <f aca="false">Sens!$C$10958</f>
        <v>38.1898211704631</v>
      </c>
      <c r="D11014" s="38" t="n">
        <f aca="false">Sens!$D$10958</f>
        <v>40.2147492622706</v>
      </c>
      <c r="E11014" s="38" t="n">
        <f aca="false">Sens!$E$10958</f>
        <v>28.3550887940039</v>
      </c>
      <c r="F11014" s="38" t="n">
        <f aca="false">Sens!$F$10958</f>
        <v>25.9529793149447</v>
      </c>
      <c r="G11014" s="38" t="n">
        <f aca="false">Sens!$G$10958</f>
        <v>54.3080681089486</v>
      </c>
      <c r="H11014" s="38" t="n">
        <f aca="false">Sens!$H$10958</f>
        <v>58.2264684589333</v>
      </c>
      <c r="I11014" s="38" t="n">
        <f aca="false">Sens!$I$10958</f>
        <v>64.6461353851744</v>
      </c>
      <c r="J11014" s="38" t="n">
        <f aca="false">Sens!$J$10958</f>
        <v>70.7957093610231</v>
      </c>
      <c r="K11014" s="38" t="n">
        <f aca="false">Sens!$K$10958</f>
        <v>76.4593661099049</v>
      </c>
      <c r="L11014" s="38" t="n">
        <f aca="false">Sens!$L$10958</f>
        <v>82.5761153986973</v>
      </c>
      <c r="M11014" s="38" t="n">
        <f aca="false">Sens!$M$10958</f>
        <v>89.1822046305931</v>
      </c>
      <c r="N11014" s="38" t="n">
        <f aca="false">Sens!$N$10958</f>
        <v>20.0277839996292</v>
      </c>
      <c r="O11014" s="38" t="n">
        <f aca="false">Sens!$O$10958</f>
        <v>20.1869652626414</v>
      </c>
    </row>
    <row r="11015" customFormat="false" ht="17.15" hidden="false" customHeight="false" outlineLevel="0" collapsed="false">
      <c r="A11015" s="1" t="s">
        <v>743</v>
      </c>
      <c r="B11015" s="8" t="s">
        <v>86</v>
      </c>
      <c r="C11015" s="38" t="n">
        <f aca="false">Q!$D$24</f>
        <v>39.834</v>
      </c>
      <c r="D11015" s="38" t="n">
        <f aca="false">Q!$E$24</f>
        <v>45.606</v>
      </c>
      <c r="E11015" s="38" t="n">
        <f aca="false">Q!$P$24</f>
        <v>30.782</v>
      </c>
      <c r="F11015" s="38" t="n">
        <f aca="false">Sens!$F$11013+Sens!$F$11014</f>
        <v>36.2540768428727</v>
      </c>
      <c r="G11015" s="38" t="n">
        <f aca="false">Sens!$G$11013+Sens!$G$11014</f>
        <v>67.0360768428727</v>
      </c>
      <c r="H11015" s="38" t="n">
        <f aca="false">Sens!$H$11013+Sens!$H$11014</f>
        <v>104.402370119718</v>
      </c>
      <c r="I11015" s="38" t="n">
        <f aca="false">Sens!$I$11013+Sens!$I$11014</f>
        <v>141.144622581101</v>
      </c>
      <c r="J11015" s="38" t="n">
        <f aca="false">Sens!$J$11013+Sens!$J$11014</f>
        <v>180.420695873048</v>
      </c>
      <c r="K11015" s="38" t="n">
        <f aca="false">Sens!$K$11013+Sens!$K$11014</f>
        <v>210.317660436795</v>
      </c>
      <c r="L11015" s="38" t="n">
        <f aca="false">Sens!$L$11013+Sens!$L$11014</f>
        <v>231.235448597273</v>
      </c>
      <c r="M11015" s="38" t="n">
        <f aca="false">Sens!$M$11013+Sens!$M$11014</f>
        <v>243.236547987167</v>
      </c>
      <c r="N11015" s="38" t="n">
        <f aca="false">Q!$N$24</f>
        <v>21.707</v>
      </c>
      <c r="O11015" s="38" t="n">
        <f aca="false">Q!$O$24</f>
        <v>23.899</v>
      </c>
    </row>
    <row r="11016" customFormat="false" ht="17.15" hidden="false" customHeight="false" outlineLevel="0" collapsed="false">
      <c r="A11016" s="5" t="s">
        <v>744</v>
      </c>
      <c r="B11016" s="0" t="s">
        <v>86</v>
      </c>
      <c r="C11016" s="38" t="n">
        <f aca="false">Q!$D$26</f>
        <v>0</v>
      </c>
      <c r="D11016" s="38" t="n">
        <f aca="false">Q!$E$26</f>
        <v>0</v>
      </c>
      <c r="E11016" s="38" t="n">
        <f aca="false">Q!$P$26</f>
        <v>0</v>
      </c>
      <c r="F11016" s="39" t="n">
        <v>0</v>
      </c>
      <c r="G11016" s="38" t="n">
        <f aca="false">Sens!$E$11016+Sens!$F$11016</f>
        <v>0</v>
      </c>
      <c r="H11016" s="39" t="n">
        <v>0</v>
      </c>
      <c r="I11016" s="39" t="n">
        <v>0</v>
      </c>
      <c r="J11016" s="39" t="n">
        <v>0</v>
      </c>
      <c r="K11016" s="39" t="n">
        <v>0</v>
      </c>
      <c r="L11016" s="39" t="n">
        <v>0</v>
      </c>
      <c r="M11016" s="39" t="n">
        <v>0</v>
      </c>
      <c r="N11016" s="38" t="n">
        <f aca="false">Q!$N$26</f>
        <v>0</v>
      </c>
      <c r="O11016" s="38" t="n">
        <f aca="false">Q!$O$26</f>
        <v>0</v>
      </c>
    </row>
    <row r="11017" customFormat="false" ht="15" hidden="false" customHeight="false" outlineLevel="0" collapsed="false">
      <c r="A11017" s="3" t="s">
        <v>541</v>
      </c>
      <c r="B11017" s="8" t="s">
        <v>86</v>
      </c>
      <c r="C11017" s="38" t="n">
        <f aca="false">Q!$D$25</f>
        <v>68.593</v>
      </c>
      <c r="D11017" s="38" t="n">
        <f aca="false">Q!$E$25</f>
        <v>79.975</v>
      </c>
      <c r="E11017" s="38" t="n">
        <f aca="false">Q!$P$25</f>
        <v>51.313</v>
      </c>
      <c r="F11017" s="38" t="n">
        <f aca="false">Sens!$F$11007+Sens!$F$11012+Sens!$F$11015+Sens!$F$11016</f>
        <v>59.1379718258371</v>
      </c>
      <c r="G11017" s="38" t="n">
        <f aca="false">Sens!$G$11007+Sens!$G$11012+Sens!$G$11015+Sens!$G$11016</f>
        <v>110.450971825837</v>
      </c>
      <c r="H11017" s="38" t="n">
        <f aca="false">Sens!$H$11007+Sens!$H$11012+Sens!$H$11015+Sens!$H$11016</f>
        <v>152.155289758177</v>
      </c>
      <c r="I11017" s="38" t="n">
        <f aca="false">Sens!$I$11007+Sens!$I$11012+Sens!$I$11015+Sens!$I$11016</f>
        <v>190.6051296225</v>
      </c>
      <c r="J11017" s="38" t="n">
        <f aca="false">Sens!$J$11007+Sens!$J$11012+Sens!$J$11015+Sens!$J$11016</f>
        <v>231.819007485239</v>
      </c>
      <c r="K11017" s="38" t="n">
        <f aca="false">Sens!$K$11007+Sens!$K$11012+Sens!$K$11015+Sens!$K$11016</f>
        <v>262.765485455477</v>
      </c>
      <c r="L11017" s="38" t="n">
        <f aca="false">Sens!$L$11007+Sens!$L$11012+Sens!$L$11015+Sens!$L$11016</f>
        <v>286.296248629443</v>
      </c>
      <c r="M11017" s="38" t="n">
        <f aca="false">Sens!$M$11007+Sens!$M$11012+Sens!$M$11015+Sens!$M$11016</f>
        <v>304.120511002735</v>
      </c>
      <c r="N11017" s="38" t="n">
        <f aca="false">Q!$N$25</f>
        <v>37.576</v>
      </c>
      <c r="O11017" s="38" t="n">
        <f aca="false">Q!$O$25</f>
        <v>42.399</v>
      </c>
    </row>
    <row r="11018" customFormat="false" ht="17.15" hidden="false" customHeight="false" outlineLevel="0" collapsed="false">
      <c r="A11018" s="24" t="s">
        <v>745</v>
      </c>
      <c r="B11018" s="25" t="s">
        <v>86</v>
      </c>
      <c r="C11018" s="41" t="n">
        <f aca="false">Sens!$C$11007+Sens!$C$11012+Sens!$C$11015+Sens!$C$11016-Sens!$C$11017</f>
        <v>0</v>
      </c>
      <c r="D11018" s="41" t="n">
        <f aca="false">Sens!$D$11007+Sens!$D$11012+Sens!$D$11015+Sens!$D$11016-Sens!$D$11017</f>
        <v>0</v>
      </c>
      <c r="E11018" s="41" t="n">
        <f aca="false">Sens!$E$11007+Sens!$E$11012+Sens!$E$11015+Sens!$E$11016-Sens!$E$11017</f>
        <v>0</v>
      </c>
      <c r="F11018" s="41" t="n">
        <f aca="false">Sens!$F$11007+Sens!$F$11012+Sens!$F$11015+Sens!$F$11016-Sens!$F$11017</f>
        <v>0</v>
      </c>
      <c r="G11018" s="41" t="n">
        <f aca="false">Sens!$G$11007+Sens!$G$11012+Sens!$G$11015+Sens!$G$11016-Sens!$G$11017</f>
        <v>0</v>
      </c>
      <c r="H11018" s="41" t="n">
        <f aca="false">Sens!$H$11007+Sens!$H$11012+Sens!$H$11015+Sens!$H$11016-Sens!$H$11017</f>
        <v>0</v>
      </c>
      <c r="I11018" s="41" t="n">
        <f aca="false">Sens!$I$11007+Sens!$I$11012+Sens!$I$11015+Sens!$I$11016-Sens!$I$11017</f>
        <v>0</v>
      </c>
      <c r="J11018" s="41" t="n">
        <f aca="false">Sens!$J$11007+Sens!$J$11012+Sens!$J$11015+Sens!$J$11016-Sens!$J$11017</f>
        <v>0</v>
      </c>
      <c r="K11018" s="41" t="n">
        <f aca="false">Sens!$K$11007+Sens!$K$11012+Sens!$K$11015+Sens!$K$11016-Sens!$K$11017</f>
        <v>0</v>
      </c>
      <c r="L11018" s="41" t="n">
        <f aca="false">Sens!$L$11007+Sens!$L$11012+Sens!$L$11015+Sens!$L$11016-Sens!$L$11017</f>
        <v>0</v>
      </c>
      <c r="M11018" s="41" t="n">
        <f aca="false">Sens!$M$11007+Sens!$M$11012+Sens!$M$11015+Sens!$M$11016-Sens!$M$11017</f>
        <v>0</v>
      </c>
      <c r="N11018" s="41" t="n">
        <f aca="false">Sens!$N$11007+Sens!$N$11012+Sens!$N$11015+Sens!$N$11016-Sens!$N$11017</f>
        <v>0</v>
      </c>
      <c r="O11018" s="41" t="n">
        <f aca="false">Sens!$O$11007+Sens!$O$11012+Sens!$O$11015+Sens!$O$11016-Sens!$O$11017</f>
        <v>0</v>
      </c>
    </row>
    <row r="11019" customFormat="false" ht="17.15" hidden="false" customHeight="false" outlineLevel="0" collapsed="false">
      <c r="A11019" s="5" t="s">
        <v>746</v>
      </c>
      <c r="B11019" s="0" t="s">
        <v>86</v>
      </c>
      <c r="C11019" s="38" t="n">
        <f aca="false">Sens!$C$10955</f>
        <v>0</v>
      </c>
      <c r="D11019" s="38" t="n">
        <f aca="false">Sens!$D$10955</f>
        <v>0</v>
      </c>
      <c r="E11019" s="38" t="n">
        <f aca="false">Sens!$E$10955</f>
        <v>0</v>
      </c>
      <c r="F11019" s="38" t="n">
        <f aca="false">Sens!$F$10955</f>
        <v>0</v>
      </c>
      <c r="G11019" s="38" t="n">
        <f aca="false">Sens!$G$10955</f>
        <v>0</v>
      </c>
      <c r="H11019" s="38" t="n">
        <f aca="false">Sens!$H$10955</f>
        <v>0</v>
      </c>
      <c r="I11019" s="38" t="n">
        <f aca="false">Sens!$I$10955</f>
        <v>0</v>
      </c>
      <c r="J11019" s="38" t="n">
        <f aca="false">Sens!$J$10955</f>
        <v>0</v>
      </c>
      <c r="K11019" s="38" t="n">
        <f aca="false">Sens!$K$10955</f>
        <v>0</v>
      </c>
      <c r="L11019" s="38" t="n">
        <f aca="false">Sens!$L$10955</f>
        <v>0</v>
      </c>
      <c r="M11019" s="38" t="n">
        <f aca="false">Sens!$M$10955</f>
        <v>0</v>
      </c>
      <c r="N11019" s="38" t="n">
        <f aca="false">Sens!$N$10955</f>
        <v>0</v>
      </c>
      <c r="O11019" s="38" t="n">
        <f aca="false">Sens!$O$10955</f>
        <v>0</v>
      </c>
      <c r="P11019" s="5" t="s">
        <v>747</v>
      </c>
    </row>
    <row r="11020" customFormat="false" ht="17.15" hidden="false" customHeight="false" outlineLevel="0" collapsed="false">
      <c r="A11020" s="5" t="s">
        <v>748</v>
      </c>
      <c r="B11020" s="0" t="s">
        <v>86</v>
      </c>
      <c r="C11020" s="38" t="n">
        <f aca="false">Sens!$C$11017+Sens!$C$11019</f>
        <v>68.593</v>
      </c>
      <c r="D11020" s="38" t="n">
        <f aca="false">Sens!$D$11017+Sens!$D$11019</f>
        <v>79.975</v>
      </c>
      <c r="E11020" s="38" t="n">
        <f aca="false">Sens!$E$11017+Sens!$E$11019</f>
        <v>51.313</v>
      </c>
      <c r="F11020" s="38" t="n">
        <f aca="false">Sens!$F$11017+Sens!$F$11019</f>
        <v>59.1379718258371</v>
      </c>
      <c r="G11020" s="38" t="n">
        <f aca="false">Sens!$G$11017+Sens!$G$11019</f>
        <v>110.450971825837</v>
      </c>
      <c r="H11020" s="38" t="n">
        <f aca="false">Sens!$H$11017+Sens!$H$11019</f>
        <v>152.155289758177</v>
      </c>
      <c r="I11020" s="38" t="n">
        <f aca="false">Sens!$I$11017+Sens!$I$11019</f>
        <v>190.6051296225</v>
      </c>
      <c r="J11020" s="38" t="n">
        <f aca="false">Sens!$J$11017+Sens!$J$11019</f>
        <v>231.819007485239</v>
      </c>
      <c r="K11020" s="38" t="n">
        <f aca="false">Sens!$K$11017+Sens!$K$11019</f>
        <v>262.765485455477</v>
      </c>
      <c r="L11020" s="38" t="n">
        <f aca="false">Sens!$L$11017+Sens!$L$11019</f>
        <v>286.296248629443</v>
      </c>
      <c r="M11020" s="38" t="n">
        <f aca="false">Sens!$M$11017+Sens!$M$11019</f>
        <v>304.120511002735</v>
      </c>
      <c r="N11020" s="38" t="n">
        <f aca="false">Sens!$N$11017+Sens!$N$11019</f>
        <v>37.576</v>
      </c>
      <c r="O11020" s="38" t="n">
        <f aca="false">Sens!$O$11017+Sens!$O$11019</f>
        <v>42.399</v>
      </c>
    </row>
    <row r="11021" customFormat="false" ht="17.15" hidden="false" customHeight="false" outlineLevel="0" collapsed="false">
      <c r="A11021" s="0" t="s">
        <v>749</v>
      </c>
      <c r="B11021" s="0" t="s">
        <v>52</v>
      </c>
      <c r="C11021" s="13" t="n">
        <f aca="false">Sens!$C$11007/Sens!$C$10992</f>
        <v>0.0644314665661928</v>
      </c>
      <c r="D11021" s="13" t="n">
        <f aca="false">Sens!$D$11007/Sens!$D$10992</f>
        <v>0.0694784250712518</v>
      </c>
      <c r="E11021" s="13" t="n">
        <f aca="false">Sens!$E$11007/Sens!$E$10992</f>
        <v>0.0789306463326071</v>
      </c>
      <c r="F11021" s="13" t="n">
        <f aca="false">Sens!$F$11007/Sens!$F$10992</f>
        <v>0.0802328751567886</v>
      </c>
      <c r="G11021" s="13" t="n">
        <f aca="false">Sens!$G$11007/Sens!$G$10992</f>
        <v>0.0796236786378942</v>
      </c>
      <c r="H11021" s="13" t="n">
        <f aca="false">Sens!$H$11007/Sens!$H$10992</f>
        <v>0.0797483718394869</v>
      </c>
      <c r="I11021" s="13" t="n">
        <f aca="false">Sens!$I$11007/Sens!$I$10992</f>
        <v>0.0768125385989889</v>
      </c>
      <c r="J11021" s="13" t="n">
        <f aca="false">Sens!$J$11007/Sens!$J$10992</f>
        <v>0.075056610517384</v>
      </c>
      <c r="K11021" s="13" t="n">
        <f aca="false">Sens!$K$11007/Sens!$K$10992</f>
        <v>0.0731531174638191</v>
      </c>
      <c r="L11021" s="13" t="n">
        <f aca="false">Sens!$L$11007/Sens!$L$10992</f>
        <v>0.0722314121677265</v>
      </c>
      <c r="M11021" s="13" t="n">
        <f aca="false">Sens!$M$11007/Sens!$M$10992</f>
        <v>0.0742981346761563</v>
      </c>
      <c r="N11021" s="13" t="n">
        <f aca="false">Sens!$N$11007/Sens!$N$10992</f>
        <v>0.069228576611127</v>
      </c>
      <c r="O11021" s="13" t="n">
        <f aca="false">Sens!$O$11007/Sens!$O$10992</f>
        <v>0.069685022498393</v>
      </c>
    </row>
    <row r="11022" customFormat="false" ht="17.15" hidden="false" customHeight="false" outlineLevel="0" collapsed="false">
      <c r="A11022" s="0" t="s">
        <v>750</v>
      </c>
      <c r="B11022" s="0" t="s">
        <v>52</v>
      </c>
      <c r="C11022" s="13" t="n">
        <f aca="false">Sens!$C$11012/Sens!$C$10993</f>
        <v>0.026534925055631</v>
      </c>
      <c r="D11022" s="13" t="n">
        <f aca="false">Sens!$D$11012/Sens!$D$10993</f>
        <v>0.0293401855535103</v>
      </c>
      <c r="E11022" s="13" t="n">
        <f aca="false">Sens!$E$11012/Sens!$E$10993</f>
        <v>0.03831141902276</v>
      </c>
      <c r="F11022" s="13" t="n">
        <f aca="false">Sens!$F$11012/Sens!$F$10993</f>
        <v>0.0281921401654227</v>
      </c>
      <c r="G11022" s="13" t="n">
        <f aca="false">Sens!$G$11012/Sens!$G$10993</f>
        <v>0.032791168089267</v>
      </c>
      <c r="H11022" s="13" t="n">
        <f aca="false">Sens!$H$11012/Sens!$H$10993</f>
        <v>0.0309106162595083</v>
      </c>
      <c r="I11022" s="13" t="n">
        <f aca="false">Sens!$I$11012/Sens!$I$10993</f>
        <v>0.0259463601429529</v>
      </c>
      <c r="J11022" s="13" t="n">
        <f aca="false">Sens!$J$11012/Sens!$J$10993</f>
        <v>0.022099029617332</v>
      </c>
      <c r="K11022" s="13" t="n">
        <f aca="false">Sens!$K$11012/Sens!$K$10993</f>
        <v>0.0179994918996662</v>
      </c>
      <c r="L11022" s="13" t="n">
        <f aca="false">Sens!$L$11012/Sens!$L$10993</f>
        <v>0.0174239302844283</v>
      </c>
      <c r="M11022" s="13" t="n">
        <f aca="false">Sens!$M$11012/Sens!$M$10993</f>
        <v>0.0198448034454458</v>
      </c>
      <c r="N11022" s="13" t="n">
        <f aca="false">Sens!$N$11012/Sens!$N$10993</f>
        <v>0.0357315650169337</v>
      </c>
      <c r="O11022" s="13" t="n">
        <f aca="false">Sens!$O$11012/Sens!$O$10993</f>
        <v>0.0244378956559703</v>
      </c>
    </row>
    <row r="11023" customFormat="false" ht="17.15" hidden="false" customHeight="false" outlineLevel="0" collapsed="false">
      <c r="A11023" s="14" t="s">
        <v>751</v>
      </c>
      <c r="B11023" s="14" t="s">
        <v>52</v>
      </c>
      <c r="C11023" s="17" t="n">
        <f aca="false">Sens!$C$11015/Sens!$C$10994</f>
        <v>0.370355907620217</v>
      </c>
      <c r="D11023" s="17" t="n">
        <f aca="false">Sens!$D$11015/Sens!$D$10994</f>
        <v>0.35429015342785</v>
      </c>
      <c r="E11023" s="17" t="n">
        <f aca="false">Sens!$E$11015/Sens!$E$10994</f>
        <v>0.385647527531039</v>
      </c>
      <c r="F11023" s="17" t="n">
        <f aca="false">Sens!$F$11015/Sens!$F$10994</f>
        <v>0.404892832336041</v>
      </c>
      <c r="G11023" s="17" t="n">
        <f aca="false">Sens!$G$11015/Sens!$G$10994</f>
        <v>0.395822504823217</v>
      </c>
      <c r="H11023" s="17" t="n">
        <f aca="false">Sens!$H$11015/Sens!$H$10994</f>
        <v>0.427701611383765</v>
      </c>
      <c r="I11023" s="17" t="n">
        <f aca="false">Sens!$I$11015/Sens!$I$10994</f>
        <v>0.431838236810538</v>
      </c>
      <c r="J11023" s="17" t="n">
        <f aca="false">Sens!$J$11015/Sens!$J$10994</f>
        <v>0.440982585941935</v>
      </c>
      <c r="K11023" s="17" t="n">
        <f aca="false">Sens!$K$11015/Sens!$K$10994</f>
        <v>0.43772137534576</v>
      </c>
      <c r="L11023" s="17" t="n">
        <f aca="false">Sens!$L$11015/Sens!$L$10994</f>
        <v>0.433037786505712</v>
      </c>
      <c r="M11023" s="17" t="n">
        <f aca="false">Sens!$M$11015/Sens!$M$10994</f>
        <v>0.426962182223715</v>
      </c>
      <c r="N11023" s="17" t="n">
        <f aca="false">Sens!$N$11015/Sens!$N$10994</f>
        <v>0.360941137346192</v>
      </c>
      <c r="O11023" s="17" t="n">
        <f aca="false">Sens!$O$11015/Sens!$O$10994</f>
        <v>0.348458117664212</v>
      </c>
    </row>
    <row r="11024" customFormat="false" ht="17.15" hidden="false" customHeight="false" outlineLevel="0" collapsed="false">
      <c r="A11024" s="0" t="s">
        <v>752</v>
      </c>
      <c r="B11024" s="0" t="s">
        <v>52</v>
      </c>
      <c r="C11024" s="13" t="n">
        <f aca="false">Sens!$C$11013/Sens!$C$10995</f>
        <v>0.708390794789371</v>
      </c>
      <c r="D11024" s="13" t="n">
        <f aca="false">Sens!$D$11013/Sens!$D$10995</f>
        <v>0.619415573115729</v>
      </c>
      <c r="E11024" s="13" t="n">
        <f aca="false">Sens!$E$11013/Sens!$E$10995</f>
        <v>0.285171627189009</v>
      </c>
      <c r="F11024" s="13" t="n">
        <f aca="false">Sens!$F$11013/Sens!$F$10995</f>
        <v>0.579669713931958</v>
      </c>
      <c r="G11024" s="13" t="n">
        <f aca="false">Sens!$G$11013/Sens!$G$10995</f>
        <v>0.484304847968963</v>
      </c>
      <c r="H11024" s="13" t="n">
        <f aca="false">Sens!$H$11013/Sens!$H$10995</f>
        <v>0.555774537632935</v>
      </c>
      <c r="I11024" s="13" t="n">
        <f aca="false">Sens!$I$11013/Sens!$I$10995</f>
        <v>0.516615362137512</v>
      </c>
      <c r="J11024" s="13" t="n">
        <f aca="false">Sens!$J$11013/Sens!$J$10995</f>
        <v>0.513808096052213</v>
      </c>
      <c r="K11024" s="13" t="n">
        <f aca="false">Sens!$K$11013/Sens!$K$10995</f>
        <v>0.497530553166573</v>
      </c>
      <c r="L11024" s="13" t="n">
        <f aca="false">Sens!$L$11013/Sens!$L$10995</f>
        <v>0.486399968721178</v>
      </c>
      <c r="M11024" s="13" t="n">
        <f aca="false">Sens!$M$11013/Sens!$M$10995</f>
        <v>0.476844664719016</v>
      </c>
      <c r="N11024" s="13" t="n">
        <f aca="false">Sens!$N$11013/Sens!$N$10995</f>
        <v>0.551227795793364</v>
      </c>
      <c r="O11024" s="13" t="n">
        <f aca="false">Sens!$O$11013/Sens!$O$10995</f>
        <v>0.656132068597002</v>
      </c>
    </row>
    <row r="11025" customFormat="false" ht="15" hidden="false" customHeight="false" outlineLevel="0" collapsed="false">
      <c r="A11025" s="5" t="s">
        <v>753</v>
      </c>
      <c r="B11025" s="0" t="s">
        <v>52</v>
      </c>
      <c r="C11025" s="13" t="n">
        <f aca="false">Sens!$C$11017/Sens!$C$10997</f>
        <v>0.107519448742004</v>
      </c>
      <c r="D11025" s="13" t="n">
        <f aca="false">Sens!$D$11017/Sens!$D$10997</f>
        <v>0.111552967957552</v>
      </c>
      <c r="E11025" s="13" t="n">
        <f aca="false">Sens!$E$11017/Sens!$E$10997</f>
        <v>0.13428328426562</v>
      </c>
      <c r="F11025" s="13" t="n">
        <f aca="false">Sens!$F$11017/Sens!$F$10997</f>
        <v>0.134837132698459</v>
      </c>
      <c r="G11025" s="13" t="n">
        <f aca="false">Sens!$G$11017/Sens!$G$10997</f>
        <v>0.134579260229626</v>
      </c>
      <c r="H11025" s="13" t="n">
        <f aca="false">Sens!$H$11017/Sens!$H$10997</f>
        <v>0.157641556328446</v>
      </c>
      <c r="I11025" s="13" t="n">
        <f aca="false">Sens!$I$11017/Sens!$I$10997</f>
        <v>0.170888762955046</v>
      </c>
      <c r="J11025" s="13" t="n">
        <f aca="false">Sens!$J$11017/Sens!$J$10997</f>
        <v>0.183948040862056</v>
      </c>
      <c r="K11025" s="13" t="n">
        <f aca="false">Sens!$K$11017/Sens!$K$10997</f>
        <v>0.189495331905823</v>
      </c>
      <c r="L11025" s="13" t="n">
        <f aca="false">Sens!$L$11017/Sens!$L$10997</f>
        <v>0.190981610976904</v>
      </c>
      <c r="M11025" s="13" t="n">
        <f aca="false">Sens!$M$11017/Sens!$M$10997</f>
        <v>0.190332388136462</v>
      </c>
      <c r="N11025" s="13" t="n">
        <f aca="false">Sens!$N$11017/Sens!$N$10997</f>
        <v>0.116201614873411</v>
      </c>
      <c r="O11025" s="13" t="n">
        <f aca="false">Sens!$O$11017/Sens!$O$10997</f>
        <v>0.107733353660861</v>
      </c>
    </row>
    <row r="11026" customFormat="false" ht="17.15" hidden="false" customHeight="false" outlineLevel="0" collapsed="false">
      <c r="A11026" s="1" t="s">
        <v>754</v>
      </c>
    </row>
    <row r="11027" customFormat="false" ht="17.15" hidden="false" customHeight="false" outlineLevel="0" collapsed="false">
      <c r="A11027" s="5" t="s">
        <v>755</v>
      </c>
      <c r="B11027" s="0" t="s">
        <v>52</v>
      </c>
      <c r="D11027" s="28" t="n">
        <f aca="false">(Q!$E$29+Q!$E$30-(1-ext_sh)*Sens!$D$10949)/Sens!$D$10900</f>
        <v>0.0341105596409988</v>
      </c>
    </row>
    <row r="11028" customFormat="false" ht="17.15" hidden="false" customHeight="false" outlineLevel="0" collapsed="false">
      <c r="A11028" s="0" t="s">
        <v>545</v>
      </c>
      <c r="B11028" s="0" t="s">
        <v>86</v>
      </c>
      <c r="C11028" s="38" t="n">
        <f aca="false">Q!$D$29</f>
        <v>14.285</v>
      </c>
      <c r="D11028" s="38" t="n">
        <f aca="false">Q!$E$29</f>
        <v>15.503</v>
      </c>
      <c r="E11028" s="38" t="n">
        <f aca="false">Q!$P$29</f>
        <v>8.78</v>
      </c>
      <c r="F11028" s="38" t="n">
        <f aca="false">(Sens!$D$11027*Sens!$F$10900+(1-ext_sh)*Sens!$F$10949)*Sens!$F$10901</f>
        <v>9.30317620449232</v>
      </c>
      <c r="G11028" s="38" t="n">
        <f aca="false">Sens!$E$11028+Sens!$F$11028</f>
        <v>18.0831762044923</v>
      </c>
      <c r="H11028" s="38" t="n">
        <f aca="false">(Sens!$D$11027*Sens!$H$10900+(1-ext_sh)*Sens!$H$10949)*Sens!$H$10901</f>
        <v>22.1297245338482</v>
      </c>
      <c r="I11028" s="38" t="n">
        <f aca="false">(Sens!$D$11027*Sens!$I$10900+(1-ext_sh)*Sens!$I$10949)*Sens!$I$10901</f>
        <v>28.5185727340446</v>
      </c>
      <c r="J11028" s="38" t="n">
        <f aca="false">(Sens!$D$11027*Sens!$J$10900+(1-ext_sh)*Sens!$J$10949)*Sens!$J$10901</f>
        <v>34.3302905663277</v>
      </c>
      <c r="K11028" s="38" t="n">
        <f aca="false">(Sens!$D$11027*Sens!$K$10900+(1-ext_sh)*Sens!$K$10949)*Sens!$K$10901</f>
        <v>40.0564814489929</v>
      </c>
      <c r="L11028" s="38" t="n">
        <f aca="false">(Sens!$D$11027*Sens!$L$10900+(1-ext_sh)*Sens!$L$10949)*Sens!$L$10901</f>
        <v>44.5817964248712</v>
      </c>
      <c r="M11028" s="38" t="n">
        <f aca="false">(Sens!$D$11027*Sens!$M$10900+(1-ext_sh)*Sens!$M$10949)*Sens!$M$10901</f>
        <v>47.9005932645486</v>
      </c>
      <c r="N11028" s="38" t="n">
        <f aca="false">Q!$N$29</f>
        <v>7.272</v>
      </c>
      <c r="O11028" s="38" t="n">
        <f aca="false">Q!$O$29</f>
        <v>8.231</v>
      </c>
    </row>
    <row r="11029" customFormat="false" ht="17.15" hidden="false" customHeight="false" outlineLevel="0" collapsed="false">
      <c r="A11029" s="0" t="s">
        <v>547</v>
      </c>
      <c r="B11029" s="0" t="s">
        <v>86</v>
      </c>
      <c r="C11029" s="38" t="n">
        <f aca="false">Q!$D$30</f>
        <v>4.462</v>
      </c>
      <c r="D11029" s="38" t="n">
        <f aca="false">Q!$E$30</f>
        <v>4.907</v>
      </c>
      <c r="E11029" s="38" t="n">
        <f aca="false">Q!$P$30</f>
        <v>2.57</v>
      </c>
      <c r="F11029" s="38" t="n">
        <f aca="false">(Sens!$D$11027*Sens!$F$10900+(1-ext_sh)*Sens!$F$10949)*(1-Sens!$F$10901)</f>
        <v>3.6526976809753</v>
      </c>
      <c r="G11029" s="38" t="n">
        <f aca="false">Sens!$E$11029+Sens!$F$11029</f>
        <v>6.2226976809753</v>
      </c>
      <c r="H11029" s="38" t="n">
        <f aca="false">(Sens!$D$11027*Sens!$H$10900+(1-ext_sh)*Sens!$H$10949)*(1-Sens!$H$10901)</f>
        <v>8.4764774248495</v>
      </c>
      <c r="I11029" s="38" t="n">
        <f aca="false">(Sens!$D$11027*Sens!$I$10900+(1-ext_sh)*Sens!$I$10949)*(1-Sens!$I$10901)</f>
        <v>10.9236352038324</v>
      </c>
      <c r="J11029" s="38" t="n">
        <f aca="false">(Sens!$D$11027*Sens!$J$10900+(1-ext_sh)*Sens!$J$10949)*(1-Sens!$J$10901)</f>
        <v>13.1497313727925</v>
      </c>
      <c r="K11029" s="38" t="n">
        <f aca="false">(Sens!$D$11027*Sens!$K$10900+(1-ext_sh)*Sens!$K$10949)*(1-Sens!$K$10901)</f>
        <v>15.3430676555397</v>
      </c>
      <c r="L11029" s="38" t="n">
        <f aca="false">(Sens!$D$11027*Sens!$L$10900+(1-ext_sh)*Sens!$L$10949)*(1-Sens!$L$10901)</f>
        <v>17.0764254374992</v>
      </c>
      <c r="M11029" s="38" t="n">
        <f aca="false">(Sens!$D$11027*Sens!$M$10900+(1-ext_sh)*Sens!$M$10949)*(1-Sens!$M$10901)</f>
        <v>18.3476435426392</v>
      </c>
      <c r="N11029" s="38" t="n">
        <f aca="false">Q!$N$30</f>
        <v>2.316</v>
      </c>
      <c r="O11029" s="38" t="n">
        <f aca="false">Q!$O$30</f>
        <v>2.591</v>
      </c>
    </row>
    <row r="11030" customFormat="false" ht="17.15" hidden="false" customHeight="false" outlineLevel="0" collapsed="false">
      <c r="A11030" s="0" t="s">
        <v>548</v>
      </c>
      <c r="B11030" s="0" t="s">
        <v>86</v>
      </c>
      <c r="C11030" s="38" t="n">
        <f aca="false">Sens!$C$10961</f>
        <v>13.32</v>
      </c>
      <c r="D11030" s="38" t="n">
        <f aca="false">Sens!$D$10961</f>
        <v>21.45</v>
      </c>
      <c r="E11030" s="38" t="n">
        <f aca="false">Sens!$E$10961</f>
        <v>15.353</v>
      </c>
      <c r="F11030" s="38" t="n">
        <f aca="false">Sens!$F$10961</f>
        <v>16.1969869840094</v>
      </c>
      <c r="G11030" s="38" t="n">
        <f aca="false">Sens!$G$10961</f>
        <v>31.5499869840094</v>
      </c>
      <c r="H11030" s="38" t="n">
        <f aca="false">Sens!$H$10961</f>
        <v>50.9556213609176</v>
      </c>
      <c r="I11030" s="38" t="n">
        <f aca="false">Sens!$I$10961</f>
        <v>80.066903031952</v>
      </c>
      <c r="J11030" s="38" t="n">
        <f aca="false">Sens!$J$10961</f>
        <v>106.522769788046</v>
      </c>
      <c r="K11030" s="38" t="n">
        <f aca="false">Sens!$K$10961</f>
        <v>133.305655930411</v>
      </c>
      <c r="L11030" s="38" t="n">
        <f aca="false">Sens!$L$10961</f>
        <v>153.12948349458</v>
      </c>
      <c r="M11030" s="38" t="n">
        <f aca="false">Sens!$M$10961</f>
        <v>165.940289802122</v>
      </c>
      <c r="N11030" s="38" t="n">
        <f aca="false">Sens!$N$10961</f>
        <v>9.234</v>
      </c>
      <c r="O11030" s="38" t="n">
        <f aca="false">Sens!$O$10961</f>
        <v>12.216</v>
      </c>
    </row>
    <row r="11031" customFormat="false" ht="17.15" hidden="false" customHeight="false" outlineLevel="0" collapsed="false">
      <c r="A11031" s="5" t="s">
        <v>756</v>
      </c>
      <c r="B11031" s="0" t="s">
        <v>86</v>
      </c>
      <c r="C11031" s="38" t="n">
        <f aca="false">Sens!$C$11028+Sens!$C$11029+Sens!$C$11030</f>
        <v>32.067</v>
      </c>
      <c r="D11031" s="38" t="n">
        <f aca="false">Sens!$D$11028+Sens!$D$11029+Sens!$D$11030</f>
        <v>41.86</v>
      </c>
      <c r="E11031" s="38" t="n">
        <f aca="false">Sens!$E$11028+Sens!$E$11029+Sens!$E$11030</f>
        <v>26.703</v>
      </c>
      <c r="F11031" s="38" t="n">
        <f aca="false">Sens!$F$11028+Sens!$F$11029+Sens!$F$11030</f>
        <v>29.152860869477</v>
      </c>
      <c r="G11031" s="38" t="n">
        <f aca="false">Sens!$G$11028+Sens!$G$11029+Sens!$G$11030</f>
        <v>55.855860869477</v>
      </c>
      <c r="H11031" s="38" t="n">
        <f aca="false">Sens!$H$11028+Sens!$H$11029+Sens!$H$11030</f>
        <v>81.5618233196153</v>
      </c>
      <c r="I11031" s="38" t="n">
        <f aca="false">Sens!$I$11028+Sens!$I$11029+Sens!$I$11030</f>
        <v>119.509110969829</v>
      </c>
      <c r="J11031" s="38" t="n">
        <f aca="false">Sens!$J$11028+Sens!$J$11029+Sens!$J$11030</f>
        <v>154.002791727166</v>
      </c>
      <c r="K11031" s="38" t="n">
        <f aca="false">Sens!$K$11028+Sens!$K$11029+Sens!$K$11030</f>
        <v>188.705205034944</v>
      </c>
      <c r="L11031" s="38" t="n">
        <f aca="false">Sens!$L$11028+Sens!$L$11029+Sens!$L$11030</f>
        <v>214.78770535695</v>
      </c>
      <c r="M11031" s="38" t="n">
        <f aca="false">Sens!$M$11028+Sens!$M$11029+Sens!$M$11030</f>
        <v>232.18852660931</v>
      </c>
      <c r="N11031" s="38" t="n">
        <f aca="false">Sens!$N$11028+Sens!$N$11029+Sens!$N$11030</f>
        <v>18.822</v>
      </c>
      <c r="O11031" s="38" t="n">
        <f aca="false">Sens!$O$11028+Sens!$O$11029+Sens!$O$11030</f>
        <v>23.038</v>
      </c>
    </row>
    <row r="11032" customFormat="false" ht="17.15" hidden="false" customHeight="false" outlineLevel="0" collapsed="false">
      <c r="A11032" s="0" t="s">
        <v>757</v>
      </c>
      <c r="B11032" s="0" t="s">
        <v>86</v>
      </c>
      <c r="C11032" s="38" t="n">
        <f aca="false">Sens!$C$11003+Sens!$C$11008</f>
        <v>28.107</v>
      </c>
      <c r="D11032" s="38" t="n">
        <f aca="false">Sens!$D$11003+Sens!$D$11008</f>
        <v>34.3175</v>
      </c>
      <c r="E11032" s="38" t="n">
        <f aca="false">Sens!$E$11003+Sens!$E$11008</f>
        <v>18.526</v>
      </c>
      <c r="F11032" s="38" t="n">
        <f aca="false">Sens!$F$11003+Sens!$F$11008</f>
        <v>23.0786109972074</v>
      </c>
      <c r="G11032" s="38" t="n">
        <f aca="false">Sens!$G$11003+Sens!$G$11008</f>
        <v>41.6046109972074</v>
      </c>
      <c r="H11032" s="38" t="n">
        <f aca="false">Sens!$H$11003+Sens!$H$11008</f>
        <v>49.9484611939488</v>
      </c>
      <c r="I11032" s="38" t="n">
        <f aca="false">Sens!$I$11003+Sens!$I$11008</f>
        <v>58.2915555477481</v>
      </c>
      <c r="J11032" s="38" t="n">
        <f aca="false">Sens!$J$11003+Sens!$J$11008</f>
        <v>66.0744709709759</v>
      </c>
      <c r="K11032" s="38" t="n">
        <f aca="false">Sens!$K$11003+Sens!$K$11008</f>
        <v>72.6819180680735</v>
      </c>
      <c r="L11032" s="38" t="n">
        <f aca="false">Sens!$L$11003+Sens!$L$11008</f>
        <v>79.9501098748808</v>
      </c>
      <c r="M11032" s="38" t="n">
        <f aca="false">Sens!$M$11003+Sens!$M$11008</f>
        <v>87.9451208623689</v>
      </c>
      <c r="N11032" s="38" t="n">
        <f aca="false">Sens!$N$11003+Sens!$N$11008</f>
        <v>14.8075</v>
      </c>
      <c r="O11032" s="38" t="n">
        <f aca="false">Sens!$O$11003+Sens!$O$11008</f>
        <v>19.51</v>
      </c>
    </row>
    <row r="11033" customFormat="false" ht="17.15" hidden="false" customHeight="false" outlineLevel="0" collapsed="false">
      <c r="A11033" s="0" t="s">
        <v>758</v>
      </c>
      <c r="B11033" s="0" t="s">
        <v>86</v>
      </c>
      <c r="C11033" s="38" t="n">
        <f aca="false">Sens!$C$11007+Sens!$C$11012+Sens!$C$11028+Sens!$C$11029-Sens!$C$11032</f>
        <v>19.399</v>
      </c>
      <c r="D11033" s="38" t="n">
        <f aca="false">Sens!$D$11007+Sens!$D$11012+Sens!$D$11028+Sens!$D$11029-Sens!$D$11032</f>
        <v>20.4615</v>
      </c>
      <c r="E11033" s="38" t="n">
        <f aca="false">Sens!$E$11007+Sens!$E$11012+Sens!$E$11028+Sens!$E$11029-Sens!$E$11032</f>
        <v>13.355</v>
      </c>
      <c r="F11033" s="38" t="n">
        <f aca="false">Sens!$F$11007+Sens!$F$11012+Sens!$F$11028+Sens!$F$11029-Sens!$F$11032</f>
        <v>12.7611578712247</v>
      </c>
      <c r="G11033" s="38" t="n">
        <f aca="false">Sens!$G$11007+Sens!$G$11012+Sens!$G$11028+Sens!$G$11029-Sens!$G$11032</f>
        <v>26.1161578712247</v>
      </c>
      <c r="H11033" s="38" t="n">
        <f aca="false">Sens!$H$11007+Sens!$H$11012+Sens!$H$11028+Sens!$H$11029-Sens!$H$11032</f>
        <v>28.4106604032081</v>
      </c>
      <c r="I11033" s="38" t="n">
        <f aca="false">Sens!$I$11007+Sens!$I$11012+Sens!$I$11028+Sens!$I$11029-Sens!$I$11032</f>
        <v>30.6111594315279</v>
      </c>
      <c r="J11033" s="38" t="n">
        <f aca="false">Sens!$J$11007+Sens!$J$11012+Sens!$J$11028+Sens!$J$11029-Sens!$J$11032</f>
        <v>32.8038625803351</v>
      </c>
      <c r="K11033" s="38" t="n">
        <f aca="false">Sens!$K$11007+Sens!$K$11012+Sens!$K$11028+Sens!$K$11029-Sens!$K$11032</f>
        <v>35.1654560551409</v>
      </c>
      <c r="L11033" s="38" t="n">
        <f aca="false">Sens!$L$11007+Sens!$L$11012+Sens!$L$11028+Sens!$L$11029-Sens!$L$11032</f>
        <v>36.7689120196594</v>
      </c>
      <c r="M11033" s="38" t="n">
        <f aca="false">Sens!$M$11007+Sens!$M$11012+Sens!$M$11028+Sens!$M$11029-Sens!$M$11032</f>
        <v>39.1870789603869</v>
      </c>
      <c r="N11033" s="38" t="n">
        <f aca="false">Sens!$N$11007+Sens!$N$11012+Sens!$N$11028+Sens!$N$11029-Sens!$N$11032</f>
        <v>10.6495</v>
      </c>
      <c r="O11033" s="38" t="n">
        <f aca="false">Sens!$O$11007+Sens!$O$11012+Sens!$O$11028+Sens!$O$11029-Sens!$O$11032</f>
        <v>9.81200000000001</v>
      </c>
    </row>
    <row r="11034" customFormat="false" ht="17.15" hidden="false" customHeight="false" outlineLevel="0" collapsed="false">
      <c r="A11034" s="0" t="s">
        <v>759</v>
      </c>
      <c r="B11034" s="0" t="s">
        <v>86</v>
      </c>
      <c r="C11034" s="38" t="n">
        <f aca="false">Sens!$C$11014+Sens!$C$11030-ext_sh*Sens!$C$10949</f>
        <v>51.3470500115664</v>
      </c>
      <c r="D11034" s="38" t="n">
        <f aca="false">Sens!$D$11014+Sens!$D$11030-ext_sh*Sens!$D$10949</f>
        <v>60.2799375433739</v>
      </c>
      <c r="E11034" s="38" t="n">
        <f aca="false">Sens!$E$11014+Sens!$E$11030-ext_sh*Sens!$E$10949</f>
        <v>39.5095167090767</v>
      </c>
      <c r="F11034" s="38" t="n">
        <f aca="false">Sens!$F$11014+Sens!$F$11030-ext_sh*Sens!$F$10949</f>
        <v>37.951394214027</v>
      </c>
      <c r="G11034" s="38" t="n">
        <f aca="false">Sens!$G$11014+Sens!$G$11030-ext_sh*Sens!$G$10949</f>
        <v>77.4609109231037</v>
      </c>
      <c r="H11034" s="38" t="n">
        <f aca="false">Sens!$H$11014+Sens!$H$11030-ext_sh*Sens!$H$10949</f>
        <v>85.1453558128916</v>
      </c>
      <c r="I11034" s="38" t="n">
        <f aca="false">Sens!$I$11014+Sens!$I$11030-ext_sh*Sens!$I$10949</f>
        <v>94.5329219679741</v>
      </c>
      <c r="J11034" s="38" t="n">
        <f aca="false">Sens!$J$11014+Sens!$J$11030-ext_sh*Sens!$J$10949</f>
        <v>103.525527532583</v>
      </c>
      <c r="K11034" s="38" t="n">
        <f aca="false">Sens!$K$11014+Sens!$K$11030-ext_sh*Sens!$K$10949</f>
        <v>111.80756973519</v>
      </c>
      <c r="L11034" s="38" t="n">
        <f aca="false">Sens!$L$11014+Sens!$L$11030-ext_sh*Sens!$L$10949</f>
        <v>120.752175314005</v>
      </c>
      <c r="M11034" s="38" t="n">
        <f aca="false">Sens!$M$11014+Sens!$M$11030-ext_sh*Sens!$M$10949</f>
        <v>130.412349339125</v>
      </c>
      <c r="N11034" s="38" t="n">
        <f aca="false">Sens!$N$11014+Sens!$N$11030-ext_sh*Sens!$N$10949</f>
        <v>28.5693781401809</v>
      </c>
      <c r="O11034" s="38" t="n">
        <f aca="false">Sens!$O$11014+Sens!$O$11030-ext_sh*Sens!$O$10949</f>
        <v>31.7105594031931</v>
      </c>
    </row>
    <row r="11035" customFormat="false" ht="17.15" hidden="false" customHeight="false" outlineLevel="0" collapsed="false">
      <c r="A11035" s="0" t="s">
        <v>760</v>
      </c>
      <c r="B11035" s="0" t="s">
        <v>86</v>
      </c>
      <c r="C11035" s="38" t="n">
        <f aca="false">Sens!$C$10952</f>
        <v>1.80694998843362</v>
      </c>
      <c r="D11035" s="38" t="n">
        <f aca="false">Sens!$D$10952</f>
        <v>6.77606245662607</v>
      </c>
      <c r="E11035" s="38" t="n">
        <f aca="false">Sens!$E$10952</f>
        <v>6.62548329092326</v>
      </c>
      <c r="F11035" s="38" t="n">
        <f aca="false">Sens!$F$10952</f>
        <v>14.4996696128551</v>
      </c>
      <c r="G11035" s="38" t="n">
        <f aca="false">Sens!$G$10952</f>
        <v>21.1251529037784</v>
      </c>
      <c r="H11035" s="38" t="n">
        <f aca="false">Sens!$H$10952</f>
        <v>70.2126356677435</v>
      </c>
      <c r="I11035" s="38" t="n">
        <f aca="false">Sens!$I$10952</f>
        <v>126.678603645079</v>
      </c>
      <c r="J11035" s="38" t="n">
        <f aca="false">Sens!$J$10952</f>
        <v>183.417938128511</v>
      </c>
      <c r="K11035" s="38" t="n">
        <f aca="false">Sens!$K$10952</f>
        <v>231.815746632017</v>
      </c>
      <c r="L11035" s="38" t="n">
        <f aca="false">Sens!$L$10952</f>
        <v>263.612756777848</v>
      </c>
      <c r="M11035" s="38" t="n">
        <f aca="false">Sens!$M$10952</f>
        <v>278.764488450164</v>
      </c>
      <c r="N11035" s="38" t="n">
        <f aca="false">Sens!$N$10952</f>
        <v>2.37162185981912</v>
      </c>
      <c r="O11035" s="38" t="n">
        <f aca="false">Sens!$O$10952</f>
        <v>4.40444059680694</v>
      </c>
    </row>
    <row r="11036" customFormat="false" ht="17.15" hidden="false" customHeight="false" outlineLevel="0" collapsed="false">
      <c r="A11036" s="0" t="s">
        <v>761</v>
      </c>
      <c r="B11036" s="0" t="s">
        <v>86</v>
      </c>
      <c r="C11036" s="38" t="n">
        <f aca="false">Sens!$C$11017+Sens!$C$11031</f>
        <v>100.66</v>
      </c>
      <c r="D11036" s="38" t="n">
        <f aca="false">Sens!$D$11017+Sens!$D$11031</f>
        <v>121.835</v>
      </c>
      <c r="E11036" s="38" t="n">
        <f aca="false">Sens!$E$11017+Sens!$E$11031</f>
        <v>78.016</v>
      </c>
      <c r="F11036" s="38" t="n">
        <f aca="false">Sens!$F$11017+Sens!$F$11031</f>
        <v>88.2908326953142</v>
      </c>
      <c r="G11036" s="38" t="n">
        <f aca="false">Sens!$G$11017+Sens!$G$11031</f>
        <v>166.306832695314</v>
      </c>
      <c r="H11036" s="38" t="n">
        <f aca="false">Sens!$H$11017+Sens!$H$11031</f>
        <v>233.717113077792</v>
      </c>
      <c r="I11036" s="38" t="n">
        <f aca="false">Sens!$I$11017+Sens!$I$11031</f>
        <v>310.114240592329</v>
      </c>
      <c r="J11036" s="38" t="n">
        <f aca="false">Sens!$J$11017+Sens!$J$11031</f>
        <v>385.821799212405</v>
      </c>
      <c r="K11036" s="38" t="n">
        <f aca="false">Sens!$K$11017+Sens!$K$11031</f>
        <v>451.470690490421</v>
      </c>
      <c r="L11036" s="38" t="n">
        <f aca="false">Sens!$L$11017+Sens!$L$11031</f>
        <v>501.083953986393</v>
      </c>
      <c r="M11036" s="38" t="n">
        <f aca="false">Sens!$M$11017+Sens!$M$11031</f>
        <v>536.309037612045</v>
      </c>
      <c r="N11036" s="38" t="n">
        <f aca="false">Sens!$N$11017+Sens!$N$11031</f>
        <v>56.398</v>
      </c>
      <c r="O11036" s="38" t="n">
        <f aca="false">Sens!$O$11017+Sens!$O$11031</f>
        <v>65.437</v>
      </c>
    </row>
    <row r="11037" customFormat="false" ht="17.15" hidden="false" customHeight="false" outlineLevel="0" collapsed="false">
      <c r="A11037" s="1" t="s">
        <v>762</v>
      </c>
    </row>
    <row r="11038" customFormat="false" ht="15" hidden="false" customHeight="false" outlineLevel="0" collapsed="false">
      <c r="A11038" s="5" t="s">
        <v>551</v>
      </c>
      <c r="B11038" s="0" t="s">
        <v>86</v>
      </c>
      <c r="C11038" s="38" t="n">
        <f aca="false">Q!$D$34</f>
        <v>2.406</v>
      </c>
      <c r="D11038" s="38" t="n">
        <f aca="false">Q!$E$34</f>
        <v>2.274</v>
      </c>
      <c r="E11038" s="38" t="n">
        <f aca="false">Q!$P$34</f>
        <v>2.114</v>
      </c>
      <c r="F11038" s="38" t="n">
        <f aca="false">Sens!$F$11076</f>
        <v>3.24888962733561</v>
      </c>
      <c r="G11038" s="38" t="n">
        <f aca="false">Sens!$E$11038+Sens!$F$11038</f>
        <v>5.36288962733561</v>
      </c>
      <c r="H11038" s="38" t="n">
        <f aca="false">Sens!$H$11076</f>
        <v>7.42354172302123</v>
      </c>
      <c r="I11038" s="38" t="n">
        <f aca="false">Sens!$I$11076</f>
        <v>7.42354172302123</v>
      </c>
      <c r="J11038" s="38" t="n">
        <f aca="false">Sens!$J$11076</f>
        <v>7.42354172302123</v>
      </c>
      <c r="K11038" s="38" t="n">
        <f aca="false">Sens!$K$11076</f>
        <v>7.42354172302123</v>
      </c>
      <c r="L11038" s="38" t="n">
        <f aca="false">Sens!$L$11076</f>
        <v>7.42354172302123</v>
      </c>
      <c r="M11038" s="38" t="n">
        <f aca="false">Sens!$M$11076</f>
        <v>7.42354172302123</v>
      </c>
      <c r="N11038" s="38" t="n">
        <f aca="false">Q!$N$34</f>
        <v>1.057</v>
      </c>
      <c r="O11038" s="38" t="n">
        <f aca="false">Q!$O$34</f>
        <v>1.217</v>
      </c>
    </row>
    <row r="11039" customFormat="false" ht="15" hidden="false" customHeight="false" outlineLevel="0" collapsed="false">
      <c r="A11039" s="5" t="s">
        <v>763</v>
      </c>
      <c r="B11039" s="0" t="s">
        <v>86</v>
      </c>
      <c r="F11039" s="38" t="n">
        <f aca="false">Sens!$F$11077</f>
        <v>2.59</v>
      </c>
      <c r="H11039" s="38" t="n">
        <f aca="false">Sens!$H$11077</f>
        <v>4.21624805096226</v>
      </c>
      <c r="I11039" s="38" t="n">
        <f aca="false">Sens!$I$11077</f>
        <v>2.52688393545712</v>
      </c>
      <c r="J11039" s="38" t="n">
        <f aca="false">Sens!$J$11077</f>
        <v>3.36845988432222</v>
      </c>
      <c r="K11039" s="38" t="n">
        <f aca="false">Sens!$K$11077</f>
        <v>6.8321933403636</v>
      </c>
      <c r="L11039" s="38" t="n">
        <f aca="false">Sens!$L$11077</f>
        <v>15.254039913402</v>
      </c>
      <c r="M11039" s="38" t="n">
        <f aca="false">Sens!$M$11077</f>
        <v>26.820156272289</v>
      </c>
    </row>
    <row r="11040" customFormat="false" ht="17.15" hidden="false" customHeight="false" outlineLevel="0" collapsed="false">
      <c r="A11040" s="5" t="s">
        <v>764</v>
      </c>
      <c r="B11040" s="0" t="s">
        <v>86</v>
      </c>
      <c r="C11040" s="38" t="n">
        <f aca="false">Q!$D$39</f>
        <v>2.427</v>
      </c>
      <c r="D11040" s="38" t="n">
        <f aca="false">Q!$E$39</f>
        <v>19.61</v>
      </c>
      <c r="E11040" s="38" t="n">
        <f aca="false">Q!$P$39</f>
        <v>71.492</v>
      </c>
      <c r="F11040" s="39" t="n">
        <v>0</v>
      </c>
      <c r="G11040" s="38" t="n">
        <f aca="false">Sens!$E$11040+Sens!$F$11040</f>
        <v>71.492</v>
      </c>
      <c r="H11040" s="39" t="n">
        <v>0</v>
      </c>
      <c r="I11040" s="39" t="n">
        <v>0</v>
      </c>
      <c r="J11040" s="39" t="n">
        <v>0</v>
      </c>
      <c r="K11040" s="39" t="n">
        <v>0</v>
      </c>
      <c r="L11040" s="39" t="n">
        <v>0</v>
      </c>
      <c r="M11040" s="39" t="n">
        <v>0</v>
      </c>
      <c r="N11040" s="38" t="n">
        <f aca="false">Q!$N$39</f>
        <v>6.017</v>
      </c>
      <c r="O11040" s="38" t="n">
        <f aca="false">Q!$O$39</f>
        <v>13.593</v>
      </c>
      <c r="P11040" s="5" t="s">
        <v>765</v>
      </c>
    </row>
    <row r="11041" customFormat="false" ht="15" hidden="false" customHeight="false" outlineLevel="0" collapsed="false">
      <c r="A11041" s="5" t="s">
        <v>554</v>
      </c>
      <c r="B11041" s="0" t="s">
        <v>86</v>
      </c>
      <c r="C11041" s="38" t="n">
        <f aca="false">Q!$D$36</f>
        <v>68.614</v>
      </c>
      <c r="D11041" s="38" t="n">
        <f aca="false">Q!$E$36</f>
        <v>97.311</v>
      </c>
      <c r="E11041" s="38" t="n">
        <f aca="false">Q!$P$36</f>
        <v>120.691</v>
      </c>
      <c r="F11041" s="38" t="n">
        <f aca="false">Sens!$F$11017-Sens!$F$11038+Sens!$F$11039+Sens!$F$11040</f>
        <v>58.4790821985015</v>
      </c>
      <c r="G11041" s="38" t="n">
        <f aca="false">Sens!$E$11041+Sens!$F$11041</f>
        <v>179.170082198502</v>
      </c>
      <c r="H11041" s="38" t="n">
        <f aca="false">Sens!$H$11017-Sens!$H$11038+Sens!$H$11039+Sens!$H$11040</f>
        <v>148.947996086118</v>
      </c>
      <c r="I11041" s="38" t="n">
        <f aca="false">Sens!$I$11017-Sens!$I$11038+Sens!$I$11039+Sens!$I$11040</f>
        <v>185.708471834936</v>
      </c>
      <c r="J11041" s="38" t="n">
        <f aca="false">Sens!$J$11017-Sens!$J$11038+Sens!$J$11039+Sens!$J$11040</f>
        <v>227.76392564654</v>
      </c>
      <c r="K11041" s="38" t="n">
        <f aca="false">Sens!$K$11017-Sens!$K$11038+Sens!$K$11039+Sens!$K$11040</f>
        <v>262.174137072819</v>
      </c>
      <c r="L11041" s="38" t="n">
        <f aca="false">Sens!$L$11017-Sens!$L$11038+Sens!$L$11039+Sens!$L$11040</f>
        <v>294.126746819824</v>
      </c>
      <c r="M11041" s="38" t="n">
        <f aca="false">Sens!$M$11017-Sens!$M$11038+Sens!$M$11039+Sens!$M$11040</f>
        <v>323.517125552003</v>
      </c>
      <c r="N11041" s="38" t="n">
        <f aca="false">Q!$N$36</f>
        <v>42.536</v>
      </c>
      <c r="O11041" s="38" t="n">
        <f aca="false">Q!$O$36</f>
        <v>54.775</v>
      </c>
    </row>
    <row r="11042" customFormat="false" ht="15" hidden="false" customHeight="false" outlineLevel="0" collapsed="false">
      <c r="A11042" s="5" t="s">
        <v>555</v>
      </c>
      <c r="B11042" s="0" t="s">
        <v>86</v>
      </c>
      <c r="C11042" s="38" t="n">
        <f aca="false">Q!$D$37</f>
        <v>9.265</v>
      </c>
      <c r="D11042" s="38" t="n">
        <f aca="false">Q!$E$37</f>
        <v>19.087</v>
      </c>
      <c r="E11042" s="38" t="n">
        <f aca="false">Q!$P$37</f>
        <v>27.759</v>
      </c>
      <c r="F11042" s="38" t="n">
        <f aca="false">Sens!$F$11041*tax</f>
        <v>10.1510638006589</v>
      </c>
      <c r="G11042" s="38" t="n">
        <f aca="false">Sens!$E$11042+Sens!$F$11042</f>
        <v>37.9100638006589</v>
      </c>
      <c r="H11042" s="38" t="n">
        <f aca="false">Sens!$H$11041*tax</f>
        <v>25.8550673917592</v>
      </c>
      <c r="I11042" s="38" t="n">
        <f aca="false">Sens!$I$11041*tax</f>
        <v>32.2361171729814</v>
      </c>
      <c r="J11042" s="38" t="n">
        <f aca="false">Sens!$J$11041*tax</f>
        <v>39.5362932147012</v>
      </c>
      <c r="K11042" s="38" t="n">
        <f aca="false">Sens!$K$11041*tax</f>
        <v>45.5093734760613</v>
      </c>
      <c r="L11042" s="38" t="n">
        <f aca="false">Sens!$L$11041*tax</f>
        <v>51.0558521133014</v>
      </c>
      <c r="M11042" s="38" t="n">
        <f aca="false">Sens!$M$11041*tax</f>
        <v>56.1575670927395</v>
      </c>
      <c r="N11042" s="38" t="n">
        <f aca="false">Q!$N$37</f>
        <v>7.231</v>
      </c>
      <c r="O11042" s="38" t="n">
        <f aca="false">Q!$O$37</f>
        <v>11.856</v>
      </c>
    </row>
    <row r="11043" customFormat="false" ht="15" hidden="false" customHeight="false" outlineLevel="0" collapsed="false">
      <c r="A11043" s="3" t="s">
        <v>556</v>
      </c>
      <c r="B11043" s="8" t="s">
        <v>86</v>
      </c>
      <c r="C11043" s="38" t="n">
        <f aca="false">Q!$D$38</f>
        <v>59.248</v>
      </c>
      <c r="D11043" s="38" t="n">
        <f aca="false">Q!$E$38</f>
        <v>77.67</v>
      </c>
      <c r="E11043" s="38" t="n">
        <f aca="false">Q!$P$38</f>
        <v>92.902</v>
      </c>
      <c r="F11043" s="38" t="n">
        <f aca="false">Sens!$F$11041-Sens!$F$11042</f>
        <v>48.3280183978426</v>
      </c>
      <c r="G11043" s="38" t="n">
        <f aca="false">Sens!$E$11043+Sens!$F$11043</f>
        <v>141.230018397843</v>
      </c>
      <c r="H11043" s="38" t="n">
        <f aca="false">Sens!$H$11041-Sens!$H$11042</f>
        <v>123.092928694359</v>
      </c>
      <c r="I11043" s="38" t="n">
        <f aca="false">Sens!$I$11041-Sens!$I$11042</f>
        <v>153.472354661954</v>
      </c>
      <c r="J11043" s="38" t="n">
        <f aca="false">Sens!$J$11041-Sens!$J$11042</f>
        <v>188.227632431839</v>
      </c>
      <c r="K11043" s="38" t="n">
        <f aca="false">Sens!$K$11041-Sens!$K$11042</f>
        <v>216.664763596758</v>
      </c>
      <c r="L11043" s="38" t="n">
        <f aca="false">Sens!$L$11041-Sens!$L$11042</f>
        <v>243.070894706522</v>
      </c>
      <c r="M11043" s="38" t="n">
        <f aca="false">Sens!$M$11041-Sens!$M$11042</f>
        <v>267.359558459264</v>
      </c>
      <c r="N11043" s="38" t="n">
        <f aca="false">Q!$N$38</f>
        <v>35.291</v>
      </c>
      <c r="O11043" s="38" t="n">
        <f aca="false">Q!$O$38</f>
        <v>42.379</v>
      </c>
    </row>
    <row r="11044" customFormat="false" ht="17.15" hidden="false" customHeight="false" outlineLevel="0" collapsed="false">
      <c r="A11044" s="5" t="s">
        <v>559</v>
      </c>
      <c r="B11044" s="5" t="s">
        <v>33</v>
      </c>
      <c r="C11044" s="22" t="n">
        <f aca="false">Q!$D$41</f>
        <v>10.721</v>
      </c>
      <c r="D11044" s="22" t="n">
        <f aca="false">Q!$E$41</f>
        <v>10.827</v>
      </c>
      <c r="E11044" s="22" t="n">
        <f aca="false">(Q!$L$41+Q!$M$41)/2</f>
        <v>10.8885</v>
      </c>
      <c r="F11044" s="22" t="n">
        <f aca="false">Sens!$G$11044</f>
        <v>10.924806</v>
      </c>
      <c r="G11044" s="22" t="n">
        <f aca="false">Q!$M$41*(1+sh_g*0.25)</f>
        <v>10.924806</v>
      </c>
      <c r="H11044" s="22" t="n">
        <f aca="false">Sens!$G$11044*(1+sh_g)</f>
        <v>11.012204448</v>
      </c>
      <c r="I11044" s="22" t="n">
        <f aca="false">Sens!$H$11044*(1+sh_g)</f>
        <v>11.100302083584</v>
      </c>
      <c r="J11044" s="22" t="n">
        <f aca="false">Sens!$I$11044*(1+sh_g)</f>
        <v>11.1891045002527</v>
      </c>
      <c r="K11044" s="22" t="n">
        <f aca="false">Sens!$J$11044*(1+sh_g)</f>
        <v>11.2786173362547</v>
      </c>
      <c r="L11044" s="22" t="n">
        <f aca="false">Sens!$K$11044*(1+sh_g)</f>
        <v>11.3688462749447</v>
      </c>
      <c r="M11044" s="22" t="n">
        <f aca="false">Sens!$L$11044*(1+sh_g)</f>
        <v>11.4597970451443</v>
      </c>
      <c r="P11044" s="5" t="s">
        <v>766</v>
      </c>
    </row>
    <row r="11045" customFormat="false" ht="17.15" hidden="false" customHeight="false" outlineLevel="0" collapsed="false">
      <c r="A11045" s="5" t="s">
        <v>767</v>
      </c>
      <c r="B11045" s="0" t="s">
        <v>86</v>
      </c>
      <c r="C11045" s="38" t="n">
        <f aca="false">Sens!$C$11043+Sens!$C$11019*(1-tax)</f>
        <v>59.248</v>
      </c>
      <c r="D11045" s="38" t="n">
        <f aca="false">Sens!$D$11043+Sens!$D$11019*(1-tax)</f>
        <v>77.67</v>
      </c>
      <c r="E11045" s="38" t="n">
        <f aca="false">Sens!$E$11043+Sens!$E$11019*(1-tax)</f>
        <v>92.902</v>
      </c>
      <c r="F11045" s="38" t="n">
        <f aca="false">Sens!$F$11043+Sens!$F$11019*(1-tax)</f>
        <v>48.3280183978426</v>
      </c>
      <c r="G11045" s="38" t="n">
        <f aca="false">Sens!$G$11043+Sens!$G$11019*(1-tax)</f>
        <v>141.230018397843</v>
      </c>
      <c r="H11045" s="38" t="n">
        <f aca="false">Sens!$H$11043+Sens!$H$11019*(1-tax)</f>
        <v>123.092928694359</v>
      </c>
      <c r="I11045" s="38" t="n">
        <f aca="false">Sens!$I$11043+Sens!$I$11019*(1-tax)</f>
        <v>153.472354661954</v>
      </c>
      <c r="J11045" s="38" t="n">
        <f aca="false">Sens!$J$11043+Sens!$J$11019*(1-tax)</f>
        <v>188.227632431839</v>
      </c>
      <c r="K11045" s="38" t="n">
        <f aca="false">Sens!$K$11043+Sens!$K$11019*(1-tax)</f>
        <v>216.664763596758</v>
      </c>
      <c r="L11045" s="38" t="n">
        <f aca="false">Sens!$L$11043+Sens!$L$11019*(1-tax)</f>
        <v>243.070894706522</v>
      </c>
      <c r="M11045" s="38" t="n">
        <f aca="false">Sens!$M$11043+Sens!$M$11019*(1-tax)</f>
        <v>267.359558459264</v>
      </c>
      <c r="N11045" s="38" t="n">
        <f aca="false">Sens!$N$11043+Sens!$N$11019*(1-tax)</f>
        <v>35.291</v>
      </c>
      <c r="O11045" s="38" t="n">
        <f aca="false">Sens!$O$11043+Sens!$O$11019*(1-tax)</f>
        <v>42.379</v>
      </c>
    </row>
    <row r="11046" customFormat="false" ht="17.15" hidden="false" customHeight="false" outlineLevel="0" collapsed="false">
      <c r="A11046" s="43" t="s">
        <v>768</v>
      </c>
      <c r="B11046" s="14" t="s">
        <v>27</v>
      </c>
      <c r="C11046" s="44" t="n">
        <f aca="false">Sens!$C$11045/Sens!$C$11044</f>
        <v>5.52635015390355</v>
      </c>
      <c r="D11046" s="44" t="n">
        <f aca="false">Sens!$D$11045/Sens!$D$11044</f>
        <v>7.1737323358271</v>
      </c>
      <c r="E11046" s="44" t="n">
        <f aca="false">Sens!$E$11045/Sens!$E$11044</f>
        <v>8.53212104513937</v>
      </c>
      <c r="F11046" s="14"/>
      <c r="G11046" s="44" t="n">
        <f aca="false">Sens!$G$11045/Sens!$G$11044</f>
        <v>12.9274623638939</v>
      </c>
      <c r="H11046" s="44" t="n">
        <f aca="false">Sens!$H$11045/Sens!$H$11044</f>
        <v>11.1778644571673</v>
      </c>
      <c r="I11046" s="44" t="n">
        <f aca="false">Sens!$I$11045/Sens!$I$11044</f>
        <v>13.8259619879103</v>
      </c>
      <c r="J11046" s="44" t="n">
        <f aca="false">Sens!$J$11045/Sens!$J$11044</f>
        <v>16.8224036541609</v>
      </c>
      <c r="K11046" s="44" t="n">
        <f aca="false">Sens!$K$11045/Sens!$K$11044</f>
        <v>19.2102238365954</v>
      </c>
      <c r="L11046" s="44" t="n">
        <f aca="false">Sens!$L$11045/Sens!$L$11044</f>
        <v>21.3804363985653</v>
      </c>
      <c r="M11046" s="44" t="n">
        <f aca="false">Sens!$M$11045/Sens!$M$11044</f>
        <v>23.3302175776794</v>
      </c>
      <c r="N11046" s="14"/>
      <c r="O11046" s="14"/>
    </row>
    <row r="11047" customFormat="false" ht="17.15" hidden="false" customHeight="false" outlineLevel="0" collapsed="false">
      <c r="A11047" s="0" t="s">
        <v>769</v>
      </c>
      <c r="B11047" s="0" t="s">
        <v>27</v>
      </c>
      <c r="C11047" s="30" t="n">
        <f aca="false">Sens!$C$11043/Sens!$C$11044</f>
        <v>5.52635015390355</v>
      </c>
      <c r="D11047" s="30" t="n">
        <f aca="false">Sens!$D$11043/Sens!$D$11044</f>
        <v>7.1737323358271</v>
      </c>
      <c r="E11047" s="30" t="n">
        <f aca="false">Sens!$E$11043/Sens!$E$11044</f>
        <v>8.53212104513937</v>
      </c>
      <c r="G11047" s="30" t="n">
        <f aca="false">Sens!$G$11043/Sens!$G$11044</f>
        <v>12.9274623638939</v>
      </c>
      <c r="H11047" s="30" t="n">
        <f aca="false">Sens!$H$11043/Sens!$H$11044</f>
        <v>11.1778644571673</v>
      </c>
      <c r="I11047" s="30" t="n">
        <f aca="false">Sens!$I$11043/Sens!$I$11044</f>
        <v>13.8259619879103</v>
      </c>
      <c r="J11047" s="30" t="n">
        <f aca="false">Sens!$J$11043/Sens!$J$11044</f>
        <v>16.8224036541609</v>
      </c>
      <c r="K11047" s="30" t="n">
        <f aca="false">Sens!$K$11043/Sens!$K$11044</f>
        <v>19.2102238365954</v>
      </c>
      <c r="L11047" s="30" t="n">
        <f aca="false">Sens!$L$11043/Sens!$L$11044</f>
        <v>21.3804363985653</v>
      </c>
      <c r="M11047" s="30" t="n">
        <f aca="false">Sens!$M$11043/Sens!$M$11044</f>
        <v>23.3302175776794</v>
      </c>
    </row>
    <row r="11048" customFormat="false" ht="17.15" hidden="false" customHeight="false" outlineLevel="0" collapsed="false">
      <c r="A11048" s="0" t="s">
        <v>770</v>
      </c>
      <c r="B11048" s="0" t="s">
        <v>27</v>
      </c>
      <c r="C11048" s="30" t="n">
        <f aca="false">(Sens!$C$11043-Sens!$C$11040*(1-tax))/Sens!$C$11044</f>
        <v>5.33926775917445</v>
      </c>
      <c r="D11048" s="30" t="n">
        <f aca="false">(Sens!$D$11043-Sens!$D$11040*(1-tax))/Sens!$D$11044</f>
        <v>5.67691812755503</v>
      </c>
      <c r="E11048" s="30" t="n">
        <f aca="false">(Sens!$E$11043-Sens!$E$11040*(1-tax))/Sens!$E$11044</f>
        <v>3.10602057006846</v>
      </c>
      <c r="G11048" s="30" t="n">
        <f aca="false">(Sens!$G$11043-Sens!$G$11040*(1-tax))/Sens!$G$11044</f>
        <v>7.51939424599695</v>
      </c>
      <c r="H11048" s="30" t="n">
        <f aca="false">(Sens!$H$11043-Sens!$H$11040*(1-tax))/Sens!$H$11044</f>
        <v>11.1778644571673</v>
      </c>
      <c r="I11048" s="30" t="n">
        <f aca="false">(Sens!$I$11043-Sens!$I$11040*(1-tax))/Sens!$I$11044</f>
        <v>13.8259619879103</v>
      </c>
      <c r="J11048" s="30" t="n">
        <f aca="false">(Sens!$J$11043-Sens!$J$11040*(1-tax))/Sens!$J$11044</f>
        <v>16.8224036541609</v>
      </c>
      <c r="K11048" s="30" t="n">
        <f aca="false">(Sens!$K$11043-Sens!$K$11040*(1-tax))/Sens!$K$11044</f>
        <v>19.2102238365954</v>
      </c>
      <c r="L11048" s="30" t="n">
        <f aca="false">(Sens!$L$11043-Sens!$L$11040*(1-tax))/Sens!$L$11044</f>
        <v>21.3804363985653</v>
      </c>
      <c r="M11048" s="30" t="n">
        <f aca="false">(Sens!$M$11043-Sens!$M$11040*(1-tax))/Sens!$M$11044</f>
        <v>23.3302175776794</v>
      </c>
      <c r="P11048" s="5" t="s">
        <v>771</v>
      </c>
    </row>
    <row r="11049" customFormat="false" ht="17.15" hidden="false" customHeight="false" outlineLevel="0" collapsed="false">
      <c r="A11049" s="0" t="s">
        <v>772</v>
      </c>
      <c r="B11049" s="0" t="s">
        <v>52</v>
      </c>
      <c r="H11049" s="13" t="n">
        <f aca="false">Sens!$H$11046/Sens!$G$11046-1</f>
        <v>-0.135339624860424</v>
      </c>
      <c r="I11049" s="13" t="n">
        <f aca="false">Sens!$I$11046/Sens!$H$11046-1</f>
        <v>0.236905496652813</v>
      </c>
      <c r="J11049" s="13" t="n">
        <f aca="false">Sens!$J$11046/Sens!$I$11046-1</f>
        <v>0.216725727213104</v>
      </c>
      <c r="K11049" s="13" t="n">
        <f aca="false">Sens!$K$11046/Sens!$J$11046-1</f>
        <v>0.141942865688155</v>
      </c>
      <c r="L11049" s="13" t="n">
        <f aca="false">Sens!$L$11046/Sens!$K$11046-1</f>
        <v>0.11297174777504</v>
      </c>
      <c r="M11049" s="13" t="n">
        <f aca="false">Sens!$M$11046/Sens!$L$11046-1</f>
        <v>0.09119463900395</v>
      </c>
    </row>
    <row r="11052" customFormat="false" ht="19.4" hidden="false" customHeight="false" outlineLevel="0" collapsed="false">
      <c r="A11052" s="31" t="s">
        <v>1375</v>
      </c>
    </row>
    <row r="11053" customFormat="false" ht="17.15" hidden="false" customHeight="false" outlineLevel="0" collapsed="false">
      <c r="A11053" s="6" t="s">
        <v>16</v>
      </c>
      <c r="B11053" s="6" t="s">
        <v>17</v>
      </c>
      <c r="C11053" s="20" t="s">
        <v>504</v>
      </c>
      <c r="D11053" s="20" t="s">
        <v>505</v>
      </c>
      <c r="E11053" s="20" t="s">
        <v>587</v>
      </c>
      <c r="F11053" s="20" t="s">
        <v>588</v>
      </c>
      <c r="G11053" s="20" t="s">
        <v>589</v>
      </c>
      <c r="H11053" s="20" t="s">
        <v>590</v>
      </c>
      <c r="I11053" s="20" t="s">
        <v>591</v>
      </c>
      <c r="J11053" s="20" t="s">
        <v>592</v>
      </c>
      <c r="K11053" s="20" t="s">
        <v>593</v>
      </c>
      <c r="L11053" s="20" t="s">
        <v>594</v>
      </c>
      <c r="M11053" s="20" t="s">
        <v>595</v>
      </c>
      <c r="N11053" s="20" t="s">
        <v>596</v>
      </c>
      <c r="O11053" s="20" t="s">
        <v>597</v>
      </c>
      <c r="P11053" s="6" t="s">
        <v>23</v>
      </c>
      <c r="R11053" s="20" t="n">
        <v>2023</v>
      </c>
      <c r="S11053" s="20" t="n">
        <v>2024</v>
      </c>
      <c r="T11053" s="20" t="n">
        <v>2025</v>
      </c>
      <c r="U11053" s="20" t="n">
        <v>2026</v>
      </c>
      <c r="V11053" s="20" t="n">
        <v>2027</v>
      </c>
      <c r="W11053" s="20" t="n">
        <v>2028</v>
      </c>
      <c r="X11053" s="20" t="n">
        <v>2029</v>
      </c>
      <c r="Y11053" s="20" t="n">
        <v>2030</v>
      </c>
      <c r="Z11053" s="20" t="n">
        <v>2031</v>
      </c>
      <c r="AA11053" s="20" t="n">
        <v>2032</v>
      </c>
    </row>
    <row r="11054" customFormat="false" ht="15" hidden="false" customHeight="false" outlineLevel="0" collapsed="false">
      <c r="A11054" s="5" t="s">
        <v>556</v>
      </c>
      <c r="B11054" s="0" t="s">
        <v>86</v>
      </c>
      <c r="C11054" s="38" t="n">
        <f aca="false">Sens!$C$11043</f>
        <v>59.248</v>
      </c>
      <c r="D11054" s="38" t="n">
        <f aca="false">Sens!$D$11043</f>
        <v>77.67</v>
      </c>
      <c r="E11054" s="38" t="n">
        <f aca="false">Sens!$E$11043</f>
        <v>92.902</v>
      </c>
      <c r="F11054" s="38" t="n">
        <f aca="false">Sens!$F$11043</f>
        <v>48.3280183978426</v>
      </c>
      <c r="G11054" s="38" t="n">
        <f aca="false">Sens!$G$11043</f>
        <v>141.230018397843</v>
      </c>
      <c r="H11054" s="38" t="n">
        <f aca="false">Sens!$H$11043</f>
        <v>123.092928694359</v>
      </c>
      <c r="I11054" s="38" t="n">
        <f aca="false">Sens!$I$11043</f>
        <v>153.472354661954</v>
      </c>
      <c r="J11054" s="38" t="n">
        <f aca="false">Sens!$J$11043</f>
        <v>188.227632431839</v>
      </c>
      <c r="K11054" s="38" t="n">
        <f aca="false">Sens!$K$11043</f>
        <v>216.664763596758</v>
      </c>
      <c r="L11054" s="38" t="n">
        <f aca="false">Sens!$L$11043</f>
        <v>243.070894706522</v>
      </c>
      <c r="M11054" s="38" t="n">
        <f aca="false">Sens!$M$11043</f>
        <v>267.359558459264</v>
      </c>
    </row>
    <row r="11055" customFormat="false" ht="17.15" hidden="false" customHeight="false" outlineLevel="0" collapsed="false">
      <c r="A11055" s="5" t="s">
        <v>795</v>
      </c>
      <c r="B11055" s="0" t="s">
        <v>86</v>
      </c>
      <c r="C11055" s="38" t="n">
        <f aca="false">Sens!$C$11031</f>
        <v>32.067</v>
      </c>
      <c r="D11055" s="38" t="n">
        <f aca="false">Sens!$D$11031</f>
        <v>41.86</v>
      </c>
      <c r="E11055" s="38" t="n">
        <f aca="false">Sens!$E$11031</f>
        <v>26.703</v>
      </c>
      <c r="F11055" s="38" t="n">
        <f aca="false">Sens!$F$11031</f>
        <v>29.152860869477</v>
      </c>
      <c r="G11055" s="38" t="n">
        <f aca="false">Sens!$G$11031</f>
        <v>55.855860869477</v>
      </c>
      <c r="H11055" s="38" t="n">
        <f aca="false">Sens!$H$11031</f>
        <v>81.5618233196153</v>
      </c>
      <c r="I11055" s="38" t="n">
        <f aca="false">Sens!$I$11031</f>
        <v>119.509110969829</v>
      </c>
      <c r="J11055" s="38" t="n">
        <f aca="false">Sens!$J$11031</f>
        <v>154.002791727166</v>
      </c>
      <c r="K11055" s="38" t="n">
        <f aca="false">Sens!$K$11031</f>
        <v>188.705205034944</v>
      </c>
      <c r="L11055" s="38" t="n">
        <f aca="false">Sens!$L$11031</f>
        <v>214.78770535695</v>
      </c>
      <c r="M11055" s="38" t="n">
        <f aca="false">Sens!$M$11031</f>
        <v>232.18852660931</v>
      </c>
    </row>
    <row r="11056" customFormat="false" ht="15" hidden="false" customHeight="false" outlineLevel="0" collapsed="false">
      <c r="A11056" s="5" t="s">
        <v>796</v>
      </c>
      <c r="B11056" s="0" t="s">
        <v>86</v>
      </c>
      <c r="C11056" s="38" t="n">
        <f aca="false">Q!$D$48</f>
        <v>22.011</v>
      </c>
      <c r="D11056" s="38" t="n">
        <f aca="false">Q!$E$48</f>
        <v>19.467</v>
      </c>
      <c r="E11056" s="38" t="n">
        <f aca="false">Q!$P$48</f>
        <v>10.07</v>
      </c>
      <c r="F11056" s="38" t="n">
        <f aca="false">sbc_r*Sens!$F$10973</f>
        <v>10.920601270903</v>
      </c>
      <c r="G11056" s="38" t="n">
        <f aca="false">Sens!$E$11056+Sens!$F$11056</f>
        <v>20.990601270903</v>
      </c>
      <c r="H11056" s="38" t="n">
        <f aca="false">sbc_r*Sens!$H$10973</f>
        <v>24.0328886828173</v>
      </c>
      <c r="I11056" s="38" t="n">
        <f aca="false">sbc_r*Sens!$I$10973</f>
        <v>27.7722273348177</v>
      </c>
      <c r="J11056" s="38" t="n">
        <f aca="false">sbc_r*Sens!$J$10973</f>
        <v>31.3793185956819</v>
      </c>
      <c r="K11056" s="38" t="n">
        <f aca="false">sbc_r*Sens!$K$10973</f>
        <v>34.5270470774926</v>
      </c>
      <c r="L11056" s="38" t="n">
        <f aca="false">sbc_r*Sens!$L$10973</f>
        <v>37.3261965235336</v>
      </c>
      <c r="M11056" s="38" t="n">
        <f aca="false">sbc_r*Sens!$M$10973</f>
        <v>39.7853009887732</v>
      </c>
    </row>
    <row r="11057" customFormat="false" ht="17.15" hidden="false" customHeight="false" outlineLevel="0" collapsed="false">
      <c r="A11057" s="5" t="s">
        <v>797</v>
      </c>
      <c r="B11057" s="0" t="s">
        <v>86</v>
      </c>
      <c r="C11057" s="38" t="n">
        <f aca="false">Q!$D$44-Sens!$C$11054-Sens!$C$11055-Sens!$C$11056</f>
        <v>2.551</v>
      </c>
      <c r="D11057" s="38" t="n">
        <f aca="false">Q!$E$44-Sens!$D$11054-Sens!$D$11055-Sens!$D$11056</f>
        <v>0.51700000000001</v>
      </c>
      <c r="E11057" s="38" t="n">
        <f aca="false">Q!$P$44-Sens!$E$11054-Sens!$E$11055-Sens!$E$11056</f>
        <v>-58.256</v>
      </c>
      <c r="F11057" s="38" t="n">
        <f aca="false">oth_r*Sens!$F$10973</f>
        <v>5.2562956146242</v>
      </c>
      <c r="G11057" s="38" t="n">
        <f aca="false">Sens!$E$11057+Sens!$F$11057</f>
        <v>-52.9997043853758</v>
      </c>
      <c r="H11057" s="38" t="n">
        <f aca="false">oth_r*Sens!$H$10973</f>
        <v>11.5674919591491</v>
      </c>
      <c r="I11057" s="38" t="n">
        <f aca="false">oth_r*Sens!$I$10973</f>
        <v>13.367307635093</v>
      </c>
      <c r="J11057" s="38" t="n">
        <f aca="false">oth_r*Sens!$J$10973</f>
        <v>15.1034700959042</v>
      </c>
      <c r="K11057" s="38" t="n">
        <f aca="false">oth_r*Sens!$K$10973</f>
        <v>16.6185324083662</v>
      </c>
      <c r="L11057" s="38" t="n">
        <f aca="false">oth_r*Sens!$L$10973</f>
        <v>17.9658169207222</v>
      </c>
      <c r="M11057" s="38" t="n">
        <f aca="false">oth_r*Sens!$M$10973</f>
        <v>19.1494312379102</v>
      </c>
      <c r="P11057" s="8" t="s">
        <v>798</v>
      </c>
    </row>
    <row r="11058" customFormat="false" ht="15" hidden="false" customHeight="false" outlineLevel="0" collapsed="false">
      <c r="A11058" s="3" t="s">
        <v>562</v>
      </c>
      <c r="B11058" s="8" t="s">
        <v>86</v>
      </c>
      <c r="C11058" s="38" t="n">
        <f aca="false">Q!$D$44</f>
        <v>115.877</v>
      </c>
      <c r="D11058" s="38" t="n">
        <f aca="false">Q!$E$44</f>
        <v>139.514</v>
      </c>
      <c r="E11058" s="38" t="n">
        <f aca="false">Q!$P$44</f>
        <v>71.419</v>
      </c>
      <c r="F11058" s="38" t="n">
        <f aca="false">Sens!$F$11054+Sens!$F$11055+Sens!$F$11056+Sens!$F$11057</f>
        <v>93.6577761528468</v>
      </c>
      <c r="G11058" s="38" t="n">
        <f aca="false">Sens!$E$11058+Sens!$F$11058</f>
        <v>165.076776152847</v>
      </c>
      <c r="H11058" s="38" t="n">
        <f aca="false">Sens!$H$11054+Sens!$H$11055+Sens!$H$11056+Sens!$H$11057</f>
        <v>240.25513265594</v>
      </c>
      <c r="I11058" s="38" t="n">
        <f aca="false">Sens!$I$11054+Sens!$I$11055+Sens!$I$11056+Sens!$I$11057</f>
        <v>314.121000601694</v>
      </c>
      <c r="J11058" s="38" t="n">
        <f aca="false">Sens!$J$11054+Sens!$J$11055+Sens!$J$11056+Sens!$J$11057</f>
        <v>388.713212850591</v>
      </c>
      <c r="K11058" s="38" t="n">
        <f aca="false">Sens!$K$11054+Sens!$K$11055+Sens!$K$11056+Sens!$K$11057</f>
        <v>456.515548117561</v>
      </c>
      <c r="L11058" s="38" t="n">
        <f aca="false">Sens!$L$11054+Sens!$L$11055+Sens!$L$11056+Sens!$L$11057</f>
        <v>513.150613507728</v>
      </c>
      <c r="M11058" s="38" t="n">
        <f aca="false">Sens!$M$11054+Sens!$M$11055+Sens!$M$11056+Sens!$M$11057</f>
        <v>558.482817295257</v>
      </c>
    </row>
    <row r="11059" customFormat="false" ht="17.15" hidden="false" customHeight="false" outlineLevel="0" collapsed="false">
      <c r="A11059" s="5" t="s">
        <v>799</v>
      </c>
      <c r="B11059" s="0" t="s">
        <v>86</v>
      </c>
      <c r="C11059" s="38" t="n">
        <f aca="false">Sens!$C$10937</f>
        <v>25.2781053077374</v>
      </c>
      <c r="D11059" s="38" t="n">
        <f aca="false">Sens!$D$10937</f>
        <v>69.5686316310026</v>
      </c>
      <c r="E11059" s="38" t="n">
        <f aca="false">Sens!$E$10937</f>
        <v>64.1899206485108</v>
      </c>
      <c r="F11059" s="38" t="n">
        <f aca="false">Sens!$F$10937</f>
        <v>88.7165504612134</v>
      </c>
      <c r="G11059" s="38" t="n">
        <f aca="false">Sens!$G$10937</f>
        <v>152.906471109724</v>
      </c>
      <c r="H11059" s="38" t="n">
        <f aca="false">Sens!$H$10937</f>
        <v>203.9641486225</v>
      </c>
      <c r="I11059" s="38" t="n">
        <f aca="false">Sens!$I$10937</f>
        <v>210.204240755</v>
      </c>
      <c r="J11059" s="38" t="n">
        <f aca="false">Sens!$J$10937</f>
        <v>215.441008955</v>
      </c>
      <c r="K11059" s="38" t="n">
        <f aca="false">Sens!$K$10937</f>
        <v>159.138087817758</v>
      </c>
      <c r="L11059" s="38" t="n">
        <f aca="false">Sens!$L$10937</f>
        <v>134.255775880517</v>
      </c>
      <c r="M11059" s="38" t="n">
        <f aca="false">Sens!$M$10937</f>
        <v>134.968168520775</v>
      </c>
    </row>
    <row r="11060" customFormat="false" ht="17.15" hidden="false" customHeight="false" outlineLevel="0" collapsed="false">
      <c r="A11060" s="5" t="s">
        <v>800</v>
      </c>
      <c r="B11060" s="0" t="s">
        <v>86</v>
      </c>
      <c r="C11060" s="38" t="n">
        <f aca="false">cx_awso*Sens!$C$10971</f>
        <v>21.0469989286053</v>
      </c>
      <c r="D11060" s="38" t="n">
        <f aca="false">cx_awso*Sens!$D$10971</f>
        <v>24.0042459822698</v>
      </c>
      <c r="E11060" s="38" t="n">
        <f aca="false">cx_awso*Sens!$E$10971</f>
        <v>14.261729404886</v>
      </c>
      <c r="F11060" s="38" t="n">
        <f aca="false">cx_awso*Sens!$F$10971</f>
        <v>14.3538599588493</v>
      </c>
      <c r="G11060" s="38" t="n">
        <f aca="false">Sens!$E$11060+Sens!$F$11060</f>
        <v>28.6155893637353</v>
      </c>
      <c r="H11060" s="38" t="n">
        <f aca="false">cx_awso*Sens!$H$10971</f>
        <v>32.2034154158406</v>
      </c>
      <c r="I11060" s="38" t="n">
        <f aca="false">cx_awso*Sens!$I$10971</f>
        <v>35.7539519042915</v>
      </c>
      <c r="J11060" s="38" t="n">
        <f aca="false">cx_awso*Sens!$J$10971</f>
        <v>39.1551076091815</v>
      </c>
      <c r="K11060" s="38" t="n">
        <f aca="false">cx_awso*Sens!$K$10971</f>
        <v>42.287516217916</v>
      </c>
      <c r="L11060" s="38" t="n">
        <f aca="false">cx_awso*Sens!$L$10971</f>
        <v>45.6705175153492</v>
      </c>
      <c r="M11060" s="38" t="n">
        <f aca="false">cx_awso*Sens!$M$10971</f>
        <v>49.3241589165772</v>
      </c>
    </row>
    <row r="11061" customFormat="false" ht="17.15" hidden="false" customHeight="false" outlineLevel="0" collapsed="false">
      <c r="A11061" s="5" t="s">
        <v>801</v>
      </c>
      <c r="B11061" s="0" t="s">
        <v>86</v>
      </c>
      <c r="C11061" s="38" t="n">
        <f aca="false">Q!$D$46-Sens!$C$11059-Sens!$C$11060</f>
        <v>31.3328957636573</v>
      </c>
      <c r="D11061" s="38" t="n">
        <f aca="false">Q!$E$46-Sens!$D$11059-Sens!$D$11060</f>
        <v>34.7471223867276</v>
      </c>
      <c r="E11061" s="38" t="n">
        <f aca="false">Q!$P$46-Sens!$E$11059-Sens!$E$11060</f>
        <v>17.8583499466032</v>
      </c>
      <c r="F11061" s="38" t="n">
        <f aca="false">cx_rt*Sens!$F$10900</f>
        <v>20.6195895799373</v>
      </c>
      <c r="G11061" s="38" t="n">
        <f aca="false">Sens!$E$11061+Sens!$F$11061</f>
        <v>38.4779395265405</v>
      </c>
      <c r="H11061" s="38" t="n">
        <f aca="false">cx_rt*Sens!$H$10900</f>
        <v>42.5978994743075</v>
      </c>
      <c r="I11061" s="38" t="n">
        <f aca="false">cx_rt*Sens!$I$10900</f>
        <v>46.5813904136335</v>
      </c>
      <c r="J11061" s="38" t="n">
        <f aca="false">cx_rt*Sens!$J$10900</f>
        <v>50.2781676586844</v>
      </c>
      <c r="K11061" s="38" t="n">
        <f aca="false">cx_rt*Sens!$K$10900</f>
        <v>53.5312440191755</v>
      </c>
      <c r="L11061" s="38" t="n">
        <f aca="false">cx_rt*Sens!$L$10900</f>
        <v>57.0116717051447</v>
      </c>
      <c r="M11061" s="38" t="n">
        <f aca="false">cx_rt*Sens!$M$10900</f>
        <v>60.7365554669226</v>
      </c>
    </row>
    <row r="11062" customFormat="false" ht="15" hidden="false" customHeight="false" outlineLevel="0" collapsed="false">
      <c r="A11062" s="3" t="s">
        <v>802</v>
      </c>
      <c r="B11062" s="8" t="s">
        <v>86</v>
      </c>
      <c r="C11062" s="38" t="n">
        <f aca="false">Q!$D$46</f>
        <v>77.658</v>
      </c>
      <c r="D11062" s="38" t="n">
        <f aca="false">Q!$E$46</f>
        <v>128.32</v>
      </c>
      <c r="E11062" s="38" t="n">
        <f aca="false">Q!$P$46</f>
        <v>96.31</v>
      </c>
      <c r="F11062" s="38" t="n">
        <f aca="false">Sens!$F$11059+Sens!$F$11060+Sens!$F$11061</f>
        <v>123.69</v>
      </c>
      <c r="G11062" s="38" t="n">
        <f aca="false">Sens!$E$11062+Sens!$F$11062</f>
        <v>220</v>
      </c>
      <c r="H11062" s="38" t="n">
        <f aca="false">Sens!$H$11059+Sens!$H$11060+Sens!$H$11061</f>
        <v>278.765463512648</v>
      </c>
      <c r="I11062" s="38" t="n">
        <f aca="false">Sens!$I$11059+Sens!$I$11060+Sens!$I$11061</f>
        <v>292.539583072925</v>
      </c>
      <c r="J11062" s="38" t="n">
        <f aca="false">Sens!$J$11059+Sens!$J$11060+Sens!$J$11061</f>
        <v>304.874284222866</v>
      </c>
      <c r="K11062" s="38" t="n">
        <f aca="false">Sens!$K$11059+Sens!$K$11060+Sens!$K$11061</f>
        <v>254.95684805485</v>
      </c>
      <c r="L11062" s="38" t="n">
        <f aca="false">Sens!$L$11059+Sens!$L$11060+Sens!$L$11061</f>
        <v>236.937965101011</v>
      </c>
      <c r="M11062" s="38" t="n">
        <f aca="false">Sens!$M$11059+Sens!$M$11060+Sens!$M$11061</f>
        <v>245.028882904275</v>
      </c>
    </row>
    <row r="11063" customFormat="false" ht="17.15" hidden="false" customHeight="false" outlineLevel="0" collapsed="false">
      <c r="A11063" s="5" t="s">
        <v>570</v>
      </c>
      <c r="B11063" s="0" t="s">
        <v>86</v>
      </c>
      <c r="C11063" s="38" t="n">
        <f aca="false">Q!$D$50</f>
        <v>2.043</v>
      </c>
      <c r="D11063" s="38" t="n">
        <f aca="false">Q!$E$50</f>
        <v>1.557</v>
      </c>
      <c r="E11063" s="38" t="n">
        <f aca="false">lease_pr/2</f>
        <v>0.8</v>
      </c>
      <c r="F11063" s="38" t="n">
        <f aca="false">lease_pr/2</f>
        <v>0.8</v>
      </c>
      <c r="G11063" s="38" t="n">
        <f aca="false">Sens!$E$11063+Sens!$F$11063</f>
        <v>1.6</v>
      </c>
      <c r="H11063" s="38" t="n">
        <f aca="false">lease_pr</f>
        <v>1.6</v>
      </c>
      <c r="I11063" s="38" t="n">
        <f aca="false">lease_pr</f>
        <v>1.6</v>
      </c>
      <c r="J11063" s="38" t="n">
        <f aca="false">lease_pr</f>
        <v>1.6</v>
      </c>
      <c r="K11063" s="38" t="n">
        <f aca="false">lease_pr</f>
        <v>1.6</v>
      </c>
      <c r="L11063" s="38" t="n">
        <f aca="false">lease_pr</f>
        <v>1.6</v>
      </c>
      <c r="M11063" s="38" t="n">
        <f aca="false">lease_pr</f>
        <v>1.6</v>
      </c>
      <c r="P11063" s="8" t="s">
        <v>803</v>
      </c>
    </row>
    <row r="11064" customFormat="false" ht="15" hidden="false" customHeight="false" outlineLevel="0" collapsed="false">
      <c r="A11064" s="47" t="s">
        <v>804</v>
      </c>
      <c r="B11064" s="14" t="s">
        <v>86</v>
      </c>
      <c r="C11064" s="48" t="n">
        <f aca="false">Sens!$C$11058-Sens!$C$11062-Sens!$C$11063</f>
        <v>36.176</v>
      </c>
      <c r="D11064" s="48" t="n">
        <f aca="false">Sens!$D$11058-Sens!$D$11062-Sens!$D$11063</f>
        <v>9.63700000000002</v>
      </c>
      <c r="E11064" s="48" t="n">
        <f aca="false">Sens!$E$11058-Sens!$E$11062-Sens!$E$11063</f>
        <v>-25.691</v>
      </c>
      <c r="F11064" s="48" t="n">
        <f aca="false">Sens!$F$11058-Sens!$F$11062-Sens!$F$11063</f>
        <v>-30.8322238471532</v>
      </c>
      <c r="G11064" s="48" t="n">
        <f aca="false">Sens!$G$11058-Sens!$G$11062-Sens!$G$11063</f>
        <v>-56.5232238471532</v>
      </c>
      <c r="H11064" s="48" t="n">
        <f aca="false">Sens!$H$11058-Sens!$H$11062-Sens!$H$11063</f>
        <v>-40.1103308567079</v>
      </c>
      <c r="I11064" s="48" t="n">
        <f aca="false">Sens!$I$11058-Sens!$I$11062-Sens!$I$11063</f>
        <v>19.9814175287687</v>
      </c>
      <c r="J11064" s="48" t="n">
        <f aca="false">Sens!$J$11058-Sens!$J$11062-Sens!$J$11063</f>
        <v>82.2389286277251</v>
      </c>
      <c r="K11064" s="48" t="n">
        <f aca="false">Sens!$K$11058-Sens!$K$11062-Sens!$K$11063</f>
        <v>199.958700062711</v>
      </c>
      <c r="L11064" s="48" t="n">
        <f aca="false">Sens!$L$11058-Sens!$L$11062-Sens!$L$11063</f>
        <v>274.612648406718</v>
      </c>
      <c r="M11064" s="48" t="n">
        <f aca="false">Sens!$M$11058-Sens!$M$11062-Sens!$M$11063</f>
        <v>311.853934390982</v>
      </c>
      <c r="N11064" s="14"/>
      <c r="O11064" s="14"/>
    </row>
    <row r="11065" customFormat="false" ht="17.15" hidden="false" customHeight="false" outlineLevel="0" collapsed="false">
      <c r="A11065" s="5" t="s">
        <v>805</v>
      </c>
      <c r="B11065" s="0" t="s">
        <v>86</v>
      </c>
      <c r="C11065" s="38" t="n">
        <f aca="false">dps*Sens!$C$11044</f>
        <v>0</v>
      </c>
      <c r="D11065" s="38" t="n">
        <f aca="false">dps*Sens!$D$11044</f>
        <v>0</v>
      </c>
      <c r="E11065" s="38" t="n">
        <f aca="false">dps*Sens!$E$11044</f>
        <v>0</v>
      </c>
      <c r="F11065" s="38" t="n">
        <f aca="false">0</f>
        <v>0</v>
      </c>
      <c r="G11065" s="38" t="n">
        <f aca="false">dps*Sens!$G$11044</f>
        <v>0</v>
      </c>
      <c r="H11065" s="38" t="n">
        <f aca="false">dps*Sens!$H$11044</f>
        <v>0</v>
      </c>
      <c r="I11065" s="38" t="n">
        <f aca="false">dps*Sens!$I$11044</f>
        <v>0</v>
      </c>
      <c r="J11065" s="38" t="n">
        <f aca="false">dps*Sens!$J$11044</f>
        <v>0</v>
      </c>
      <c r="K11065" s="38" t="n">
        <f aca="false">dps*Sens!$K$11044</f>
        <v>0</v>
      </c>
      <c r="L11065" s="38" t="n">
        <f aca="false">dps*Sens!$L$11044</f>
        <v>0</v>
      </c>
      <c r="M11065" s="38" t="n">
        <f aca="false">dps*Sens!$M$11044</f>
        <v>0</v>
      </c>
      <c r="P11065" s="8" t="s">
        <v>806</v>
      </c>
    </row>
    <row r="11066" customFormat="false" ht="17.15" hidden="false" customHeight="false" outlineLevel="0" collapsed="false">
      <c r="A11066" s="5" t="s">
        <v>807</v>
      </c>
      <c r="B11066" s="0" t="s">
        <v>86</v>
      </c>
      <c r="C11066" s="38" t="n">
        <f aca="false">0</f>
        <v>0</v>
      </c>
      <c r="D11066" s="38" t="n">
        <f aca="false">0</f>
        <v>0</v>
      </c>
      <c r="E11066" s="38" t="n">
        <f aca="false">0</f>
        <v>0</v>
      </c>
      <c r="F11066" s="38" t="n">
        <f aca="false">0</f>
        <v>0</v>
      </c>
      <c r="G11066" s="38" t="n">
        <f aca="false">0</f>
        <v>0</v>
      </c>
      <c r="H11066" s="38" t="n">
        <f aca="false">0</f>
        <v>0</v>
      </c>
      <c r="I11066" s="38" t="n">
        <f aca="false">0</f>
        <v>0</v>
      </c>
      <c r="J11066" s="38" t="n">
        <f aca="false">0</f>
        <v>0</v>
      </c>
      <c r="K11066" s="38" t="n">
        <f aca="false">0</f>
        <v>0</v>
      </c>
      <c r="L11066" s="38" t="n">
        <f aca="false">0</f>
        <v>0</v>
      </c>
      <c r="M11066" s="38" t="n">
        <f aca="false">0</f>
        <v>0</v>
      </c>
      <c r="P11066" s="8" t="s">
        <v>808</v>
      </c>
    </row>
    <row r="11067" customFormat="false" ht="15" hidden="false" customHeight="false" outlineLevel="0" collapsed="false">
      <c r="A11067" s="3" t="s">
        <v>809</v>
      </c>
      <c r="B11067" s="8" t="s">
        <v>86</v>
      </c>
      <c r="C11067" s="38" t="n">
        <f aca="false">Sens!$C$11064-Sens!$C$11065</f>
        <v>36.176</v>
      </c>
      <c r="D11067" s="38" t="n">
        <f aca="false">Sens!$D$11064-Sens!$D$11065</f>
        <v>9.63700000000002</v>
      </c>
      <c r="E11067" s="38" t="n">
        <f aca="false">Sens!$E$11064-Sens!$E$11065</f>
        <v>-25.691</v>
      </c>
      <c r="F11067" s="38" t="n">
        <f aca="false">Sens!$F$11064-Sens!$F$11065</f>
        <v>-30.8322238471532</v>
      </c>
      <c r="G11067" s="38" t="n">
        <f aca="false">Sens!$G$11064-Sens!$G$11065</f>
        <v>-56.5232238471532</v>
      </c>
      <c r="H11067" s="38" t="n">
        <f aca="false">Sens!$H$11064-Sens!$H$11065</f>
        <v>-40.1103308567079</v>
      </c>
      <c r="I11067" s="38" t="n">
        <f aca="false">Sens!$I$11064-Sens!$I$11065</f>
        <v>19.9814175287687</v>
      </c>
      <c r="J11067" s="38" t="n">
        <f aca="false">Sens!$J$11064-Sens!$J$11065</f>
        <v>82.2389286277251</v>
      </c>
      <c r="K11067" s="38" t="n">
        <f aca="false">Sens!$K$11064-Sens!$K$11065</f>
        <v>199.958700062711</v>
      </c>
      <c r="L11067" s="38" t="n">
        <f aca="false">Sens!$L$11064-Sens!$L$11065</f>
        <v>274.612648406718</v>
      </c>
      <c r="M11067" s="38" t="n">
        <f aca="false">Sens!$M$11064-Sens!$M$11065</f>
        <v>311.853934390982</v>
      </c>
    </row>
    <row r="11068" customFormat="false" ht="17.15" hidden="false" customHeight="false" outlineLevel="0" collapsed="false">
      <c r="A11068" s="5" t="s">
        <v>810</v>
      </c>
      <c r="B11068" s="0" t="s">
        <v>86</v>
      </c>
      <c r="E11068" s="38" t="n">
        <f aca="false">Q!$P$53</f>
        <v>39.767</v>
      </c>
      <c r="F11068" s="38" t="n">
        <f aca="false">inv_2h26</f>
        <v>21.3</v>
      </c>
      <c r="G11068" s="38" t="n">
        <f aca="false">Sens!$E$11068+Sens!$F$11068</f>
        <v>61.067</v>
      </c>
      <c r="H11068" s="39" t="n">
        <v>0</v>
      </c>
      <c r="I11068" s="39" t="n">
        <v>0</v>
      </c>
      <c r="J11068" s="39" t="n">
        <v>0</v>
      </c>
      <c r="K11068" s="39" t="n">
        <v>0</v>
      </c>
      <c r="L11068" s="39" t="n">
        <v>0</v>
      </c>
      <c r="M11068" s="39" t="n">
        <v>0</v>
      </c>
    </row>
    <row r="11069" customFormat="false" ht="17.15" hidden="false" customHeight="false" outlineLevel="0" collapsed="false">
      <c r="A11069" s="5" t="s">
        <v>811</v>
      </c>
      <c r="B11069" s="0" t="s">
        <v>86</v>
      </c>
      <c r="F11069" s="38" t="n">
        <f aca="false">iss_2h26</f>
        <v>29.249999</v>
      </c>
      <c r="G11069" s="38" t="n">
        <f aca="false">Sens!$F$11069</f>
        <v>29.249999</v>
      </c>
      <c r="H11069" s="39" t="n">
        <v>0</v>
      </c>
      <c r="I11069" s="39" t="n">
        <v>0</v>
      </c>
      <c r="J11069" s="39" t="n">
        <v>0</v>
      </c>
      <c r="K11069" s="39" t="n">
        <v>0</v>
      </c>
      <c r="L11069" s="39" t="n">
        <v>0</v>
      </c>
      <c r="M11069" s="39" t="n">
        <v>0</v>
      </c>
    </row>
    <row r="11070" customFormat="false" ht="17.15" hidden="false" customHeight="false" outlineLevel="0" collapsed="false">
      <c r="A11070" s="5" t="s">
        <v>812</v>
      </c>
      <c r="B11070" s="0" t="s">
        <v>86</v>
      </c>
      <c r="F11070" s="38" t="n">
        <f aca="false">cash_q2</f>
        <v>122.988</v>
      </c>
      <c r="G11070" s="38" t="n">
        <f aca="false">cash_q2</f>
        <v>122.988</v>
      </c>
      <c r="H11070" s="38" t="n">
        <f aca="false">Sens!$G$11073</f>
        <v>100.105775152847</v>
      </c>
      <c r="I11070" s="38" t="n">
        <f aca="false">Sens!$H$11073</f>
        <v>59.995444296139</v>
      </c>
      <c r="J11070" s="38" t="n">
        <f aca="false">Sens!$I$11073</f>
        <v>79.9768618249077</v>
      </c>
      <c r="K11070" s="38" t="n">
        <f aca="false">Sens!$J$11073</f>
        <v>162.215790452633</v>
      </c>
      <c r="L11070" s="38" t="n">
        <f aca="false">Sens!$K$11073</f>
        <v>362.174490515344</v>
      </c>
      <c r="M11070" s="38" t="n">
        <f aca="false">Sens!$L$11073</f>
        <v>636.787138922062</v>
      </c>
    </row>
    <row r="11071" customFormat="false" ht="15" hidden="false" customHeight="false" outlineLevel="0" collapsed="false">
      <c r="A11071" s="5" t="s">
        <v>813</v>
      </c>
      <c r="B11071" s="0" t="s">
        <v>86</v>
      </c>
      <c r="F11071" s="38" t="n">
        <f aca="false">Sens!$F$11070+Sens!$F$11067-Sens!$F$11066-Sens!$F$11068+Sens!$F$11069</f>
        <v>100.105775152847</v>
      </c>
      <c r="H11071" s="38" t="n">
        <f aca="false">Sens!$H$11070+Sens!$H$11067-Sens!$H$11066-Sens!$H$11068+Sens!$H$11069</f>
        <v>59.995444296139</v>
      </c>
      <c r="I11071" s="38" t="n">
        <f aca="false">Sens!$I$11070+Sens!$I$11067-Sens!$I$11066-Sens!$I$11068+Sens!$I$11069</f>
        <v>79.9768618249077</v>
      </c>
      <c r="J11071" s="38" t="n">
        <f aca="false">Sens!$J$11070+Sens!$J$11067-Sens!$J$11066-Sens!$J$11068+Sens!$J$11069</f>
        <v>162.215790452633</v>
      </c>
      <c r="K11071" s="38" t="n">
        <f aca="false">Sens!$K$11070+Sens!$K$11067-Sens!$K$11066-Sens!$K$11068+Sens!$K$11069</f>
        <v>362.174490515344</v>
      </c>
      <c r="L11071" s="38" t="n">
        <f aca="false">Sens!$L$11070+Sens!$L$11067-Sens!$L$11066-Sens!$L$11068+Sens!$L$11069</f>
        <v>636.787138922062</v>
      </c>
      <c r="M11071" s="38" t="n">
        <f aca="false">Sens!$M$11070+Sens!$M$11067-Sens!$M$11066-Sens!$M$11068+Sens!$M$11069</f>
        <v>948.641073313044</v>
      </c>
    </row>
    <row r="11072" customFormat="false" ht="17.15" hidden="false" customHeight="false" outlineLevel="0" collapsed="false">
      <c r="A11072" s="5" t="s">
        <v>814</v>
      </c>
      <c r="B11072" s="0" t="s">
        <v>86</v>
      </c>
      <c r="F11072" s="38" t="n">
        <f aca="false">MAX(0,min_cash-Sens!$F$11071)</f>
        <v>0</v>
      </c>
      <c r="G11072" s="38" t="n">
        <f aca="false">Sens!$F$11072</f>
        <v>0</v>
      </c>
      <c r="H11072" s="38" t="n">
        <f aca="false">MAX(0,min_cash-Sens!$H$11071)</f>
        <v>0</v>
      </c>
      <c r="I11072" s="38" t="n">
        <f aca="false">MAX(0,min_cash-Sens!$I$11071)</f>
        <v>0</v>
      </c>
      <c r="J11072" s="38" t="n">
        <f aca="false">MAX(0,min_cash-Sens!$J$11071)</f>
        <v>0</v>
      </c>
      <c r="K11072" s="38" t="n">
        <f aca="false">MAX(0,min_cash-Sens!$K$11071)</f>
        <v>0</v>
      </c>
      <c r="L11072" s="38" t="n">
        <f aca="false">MAX(0,min_cash-Sens!$L$11071)</f>
        <v>0</v>
      </c>
      <c r="M11072" s="38" t="n">
        <f aca="false">MAX(0,min_cash-Sens!$M$11071)</f>
        <v>0</v>
      </c>
      <c r="P11072" s="5" t="s">
        <v>815</v>
      </c>
    </row>
    <row r="11073" customFormat="false" ht="15" hidden="false" customHeight="false" outlineLevel="0" collapsed="false">
      <c r="A11073" s="5" t="s">
        <v>816</v>
      </c>
      <c r="B11073" s="0" t="s">
        <v>86</v>
      </c>
      <c r="D11073" s="38" t="n">
        <f aca="false">Q!$E$61</f>
        <v>123.029</v>
      </c>
      <c r="E11073" s="38" t="n">
        <f aca="false">Q!$M$61</f>
        <v>122.988</v>
      </c>
      <c r="F11073" s="38" t="n">
        <f aca="false">Sens!$F$11071+Sens!$F$11072</f>
        <v>100.105775152847</v>
      </c>
      <c r="G11073" s="38" t="n">
        <f aca="false">Sens!$F$11073</f>
        <v>100.105775152847</v>
      </c>
      <c r="H11073" s="38" t="n">
        <f aca="false">Sens!$H$11071+Sens!$H$11072</f>
        <v>59.995444296139</v>
      </c>
      <c r="I11073" s="38" t="n">
        <f aca="false">Sens!$I$11071+Sens!$I$11072</f>
        <v>79.9768618249077</v>
      </c>
      <c r="J11073" s="38" t="n">
        <f aca="false">Sens!$J$11071+Sens!$J$11072</f>
        <v>162.215790452633</v>
      </c>
      <c r="K11073" s="38" t="n">
        <f aca="false">Sens!$K$11071+Sens!$K$11072</f>
        <v>362.174490515344</v>
      </c>
      <c r="L11073" s="38" t="n">
        <f aca="false">Sens!$L$11071+Sens!$L$11072</f>
        <v>636.787138922062</v>
      </c>
      <c r="M11073" s="38" t="n">
        <f aca="false">Sens!$M$11071+Sens!$M$11072</f>
        <v>948.641073313044</v>
      </c>
    </row>
    <row r="11074" customFormat="false" ht="15" hidden="false" customHeight="false" outlineLevel="0" collapsed="false">
      <c r="A11074" s="5" t="s">
        <v>817</v>
      </c>
      <c r="B11074" s="0" t="s">
        <v>86</v>
      </c>
      <c r="D11074" s="38" t="n">
        <f aca="false">Q!$E$62</f>
        <v>68.836</v>
      </c>
      <c r="E11074" s="38" t="n">
        <f aca="false">Q!$M$62</f>
        <v>132.995</v>
      </c>
      <c r="F11074" s="38" t="n">
        <f aca="false">debt_q2+Sens!$F$11069+Sens!$F$11072</f>
        <v>162.244999</v>
      </c>
      <c r="G11074" s="38" t="n">
        <f aca="false">Sens!$F$11074</f>
        <v>162.244999</v>
      </c>
      <c r="H11074" s="38" t="n">
        <f aca="false">Sens!$G$11074+Sens!$H$11072</f>
        <v>162.244999</v>
      </c>
      <c r="I11074" s="38" t="n">
        <f aca="false">Sens!$H$11074+Sens!$I$11072</f>
        <v>162.244999</v>
      </c>
      <c r="J11074" s="38" t="n">
        <f aca="false">Sens!$I$11074+Sens!$J$11072</f>
        <v>162.244999</v>
      </c>
      <c r="K11074" s="38" t="n">
        <f aca="false">Sens!$J$11074+Sens!$K$11072</f>
        <v>162.244999</v>
      </c>
      <c r="L11074" s="38" t="n">
        <f aca="false">Sens!$K$11074+Sens!$L$11072</f>
        <v>162.244999</v>
      </c>
      <c r="M11074" s="38" t="n">
        <f aca="false">Sens!$L$11074+Sens!$M$11072</f>
        <v>162.244999</v>
      </c>
    </row>
    <row r="11075" customFormat="false" ht="15" hidden="false" customHeight="false" outlineLevel="0" collapsed="false">
      <c r="A11075" s="5" t="s">
        <v>818</v>
      </c>
      <c r="B11075" s="0" t="s">
        <v>86</v>
      </c>
      <c r="D11075" s="38" t="n">
        <f aca="false">Sens!$D$11074-Sens!$D$11073</f>
        <v>-54.193</v>
      </c>
      <c r="E11075" s="38" t="n">
        <f aca="false">Sens!$E$11074-Sens!$E$11073</f>
        <v>10.007</v>
      </c>
      <c r="F11075" s="38" t="n">
        <f aca="false">Sens!$F$11074-Sens!$F$11073</f>
        <v>62.1392238471532</v>
      </c>
      <c r="G11075" s="38" t="n">
        <f aca="false">Sens!$G$11074-Sens!$G$11073</f>
        <v>62.1392238471532</v>
      </c>
      <c r="H11075" s="38" t="n">
        <f aca="false">Sens!$H$11074-Sens!$H$11073</f>
        <v>102.249554703861</v>
      </c>
      <c r="I11075" s="38" t="n">
        <f aca="false">Sens!$I$11074-Sens!$I$11073</f>
        <v>82.2681371750923</v>
      </c>
      <c r="J11075" s="38" t="n">
        <f aca="false">Sens!$J$11074-Sens!$J$11073</f>
        <v>0.0292085473672046</v>
      </c>
      <c r="K11075" s="38" t="n">
        <f aca="false">Sens!$K$11074-Sens!$K$11073</f>
        <v>-199.929491515344</v>
      </c>
      <c r="L11075" s="38" t="n">
        <f aca="false">Sens!$L$11074-Sens!$L$11073</f>
        <v>-474.542139922062</v>
      </c>
      <c r="M11075" s="38" t="n">
        <f aca="false">Sens!$M$11074-Sens!$M$11073</f>
        <v>-786.396074313044</v>
      </c>
    </row>
    <row r="11076" customFormat="false" ht="17.15" hidden="false" customHeight="false" outlineLevel="0" collapsed="false">
      <c r="A11076" s="5" t="s">
        <v>819</v>
      </c>
      <c r="B11076" s="0" t="s">
        <v>86</v>
      </c>
      <c r="F11076" s="38" t="n">
        <f aca="false">debt_q2*kd_book*0.5+iss_2h26*kd_new*iss_t</f>
        <v>3.24888962733561</v>
      </c>
      <c r="H11076" s="38" t="n">
        <f aca="false">debt_q2*kd_book+(Sens!$G$11074-debt_q2)*kd_new</f>
        <v>7.42354172302123</v>
      </c>
      <c r="I11076" s="38" t="n">
        <f aca="false">debt_q2*kd_book+(Sens!$H$11074-debt_q2)*kd_new</f>
        <v>7.42354172302123</v>
      </c>
      <c r="J11076" s="38" t="n">
        <f aca="false">debt_q2*kd_book+(Sens!$I$11074-debt_q2)*kd_new</f>
        <v>7.42354172302123</v>
      </c>
      <c r="K11076" s="38" t="n">
        <f aca="false">debt_q2*kd_book+(Sens!$J$11074-debt_q2)*kd_new</f>
        <v>7.42354172302123</v>
      </c>
      <c r="L11076" s="38" t="n">
        <f aca="false">debt_q2*kd_book+(Sens!$K$11074-debt_q2)*kd_new</f>
        <v>7.42354172302123</v>
      </c>
      <c r="M11076" s="38" t="n">
        <f aca="false">debt_q2*kd_book+(Sens!$L$11074-debt_q2)*kd_new</f>
        <v>7.42354172302123</v>
      </c>
    </row>
    <row r="11077" customFormat="false" ht="17.15" hidden="false" customHeight="false" outlineLevel="0" collapsed="false">
      <c r="A11077" s="5" t="s">
        <v>820</v>
      </c>
      <c r="B11077" s="0" t="s">
        <v>86</v>
      </c>
      <c r="F11077" s="38" t="n">
        <f aca="false">cash_q2*y_cash*0.5</f>
        <v>2.59</v>
      </c>
      <c r="H11077" s="38" t="n">
        <f aca="false">Sens!$G$11073*y_cash</f>
        <v>4.21624805096226</v>
      </c>
      <c r="I11077" s="38" t="n">
        <f aca="false">Sens!$H$11073*y_cash</f>
        <v>2.52688393545712</v>
      </c>
      <c r="J11077" s="38" t="n">
        <f aca="false">Sens!$I$11073*y_cash</f>
        <v>3.36845988432222</v>
      </c>
      <c r="K11077" s="38" t="n">
        <f aca="false">Sens!$J$11073*y_cash</f>
        <v>6.8321933403636</v>
      </c>
      <c r="L11077" s="38" t="n">
        <f aca="false">Sens!$K$11073*y_cash</f>
        <v>15.254039913402</v>
      </c>
      <c r="M11077" s="38" t="n">
        <f aca="false">Sens!$L$11073*y_cash</f>
        <v>26.820156272289</v>
      </c>
    </row>
    <row r="11078" customFormat="false" ht="17.15" hidden="false" customHeight="false" outlineLevel="0" collapsed="false">
      <c r="A11078" s="47" t="s">
        <v>821</v>
      </c>
      <c r="B11078" s="14" t="s">
        <v>86</v>
      </c>
      <c r="C11078" s="14"/>
      <c r="D11078" s="14"/>
      <c r="E11078" s="14"/>
      <c r="F11078" s="14"/>
      <c r="G11078" s="48" t="n">
        <f aca="false">SUM(Sens!$G$11067:$K$11067)</f>
        <v>205.545491515344</v>
      </c>
      <c r="H11078" s="14"/>
      <c r="I11078" s="14"/>
      <c r="J11078" s="14"/>
      <c r="K11078" s="14"/>
      <c r="L11078" s="14"/>
      <c r="M11078" s="14"/>
      <c r="N11078" s="14"/>
      <c r="O11078" s="14"/>
    </row>
    <row r="11079" customFormat="false" ht="17.15" hidden="false" customHeight="false" outlineLevel="0" collapsed="false">
      <c r="A11079" s="0" t="s">
        <v>787</v>
      </c>
      <c r="B11079" s="0" t="s">
        <v>86</v>
      </c>
      <c r="G11079" s="38" t="n">
        <f aca="false">SUM(Sens!$G$11072:$K$11072)</f>
        <v>0</v>
      </c>
    </row>
    <row r="11080" customFormat="false" ht="17.15" hidden="false" customHeight="false" outlineLevel="0" collapsed="false">
      <c r="A11080" s="24" t="s">
        <v>822</v>
      </c>
      <c r="B11080" s="25" t="s">
        <v>86</v>
      </c>
      <c r="C11080" s="25"/>
      <c r="D11080" s="25"/>
      <c r="E11080" s="25"/>
      <c r="F11080" s="25"/>
      <c r="G11080" s="41" t="n">
        <f aca="false">Sens!$G$11078-(Sens!$G$11067+Sens!$H$11067+Sens!$I$11067+Sens!$J$11067+Sens!$K$11067)</f>
        <v>0</v>
      </c>
      <c r="H11080" s="25"/>
      <c r="I11080" s="25"/>
      <c r="J11080" s="25"/>
      <c r="K11080" s="25"/>
      <c r="L11080" s="25"/>
      <c r="M11080" s="25"/>
      <c r="N11080" s="25"/>
      <c r="O11080" s="25"/>
    </row>
    <row r="11083" customFormat="false" ht="19.4" hidden="false" customHeight="false" outlineLevel="0" collapsed="false">
      <c r="A11083" s="31" t="s">
        <v>1376</v>
      </c>
    </row>
    <row r="11084" customFormat="false" ht="17.15" hidden="false" customHeight="false" outlineLevel="0" collapsed="false">
      <c r="A11084" s="6" t="s">
        <v>16</v>
      </c>
      <c r="B11084" s="6" t="s">
        <v>17</v>
      </c>
      <c r="C11084" s="20" t="s">
        <v>504</v>
      </c>
      <c r="D11084" s="20" t="s">
        <v>505</v>
      </c>
      <c r="E11084" s="20" t="s">
        <v>587</v>
      </c>
      <c r="F11084" s="20" t="s">
        <v>588</v>
      </c>
      <c r="G11084" s="20" t="s">
        <v>589</v>
      </c>
      <c r="H11084" s="20" t="s">
        <v>590</v>
      </c>
      <c r="I11084" s="20" t="s">
        <v>591</v>
      </c>
      <c r="J11084" s="20" t="s">
        <v>592</v>
      </c>
      <c r="K11084" s="20" t="s">
        <v>593</v>
      </c>
      <c r="L11084" s="20" t="s">
        <v>594</v>
      </c>
      <c r="M11084" s="20" t="s">
        <v>595</v>
      </c>
      <c r="N11084" s="20" t="s">
        <v>596</v>
      </c>
      <c r="O11084" s="20" t="s">
        <v>597</v>
      </c>
      <c r="P11084" s="6" t="s">
        <v>23</v>
      </c>
      <c r="R11084" s="20" t="n">
        <v>2023</v>
      </c>
      <c r="S11084" s="20" t="n">
        <v>2024</v>
      </c>
      <c r="T11084" s="20" t="n">
        <v>2025</v>
      </c>
      <c r="U11084" s="20" t="n">
        <v>2026</v>
      </c>
      <c r="V11084" s="20" t="n">
        <v>2027</v>
      </c>
      <c r="W11084" s="20" t="n">
        <v>2028</v>
      </c>
      <c r="X11084" s="20" t="n">
        <v>2029</v>
      </c>
      <c r="Y11084" s="20" t="n">
        <v>2030</v>
      </c>
      <c r="Z11084" s="20" t="n">
        <v>2031</v>
      </c>
      <c r="AA11084" s="20" t="n">
        <v>2032</v>
      </c>
    </row>
    <row r="11085" customFormat="false" ht="17.15" hidden="false" customHeight="false" outlineLevel="0" collapsed="false">
      <c r="A11085" s="1" t="s">
        <v>926</v>
      </c>
    </row>
    <row r="11086" customFormat="false" ht="17.15" hidden="false" customHeight="false" outlineLevel="0" collapsed="false">
      <c r="A11086" s="0" t="s">
        <v>927</v>
      </c>
      <c r="B11086" s="0" t="s">
        <v>86</v>
      </c>
      <c r="H11086" s="38" t="n">
        <f aca="false">Sens!$H$11020*(1-tax)</f>
        <v>125.743485812619</v>
      </c>
      <c r="I11086" s="38" t="n">
        <f aca="false">Sens!$I$11020*(1-tax)</f>
        <v>157.519028425439</v>
      </c>
      <c r="J11086" s="38" t="n">
        <f aca="false">Sens!$J$11020*(1-tax)</f>
        <v>191.578814809158</v>
      </c>
      <c r="K11086" s="38" t="n">
        <f aca="false">Sens!$K$11020*(1-tax)</f>
        <v>217.153463050344</v>
      </c>
      <c r="L11086" s="38" t="n">
        <f aca="false">Sens!$L$11020*(1-tax)</f>
        <v>236.599649837725</v>
      </c>
      <c r="M11086" s="38" t="n">
        <f aca="false">Sens!$M$11020*(1-tax)</f>
        <v>251.329896064581</v>
      </c>
    </row>
    <row r="11087" customFormat="false" ht="15" hidden="false" customHeight="false" outlineLevel="0" collapsed="false">
      <c r="A11087" s="5" t="s">
        <v>928</v>
      </c>
      <c r="B11087" s="0" t="s">
        <v>86</v>
      </c>
      <c r="H11087" s="38" t="n">
        <f aca="false">Sens!$H$11031</f>
        <v>81.5618233196153</v>
      </c>
      <c r="I11087" s="38" t="n">
        <f aca="false">Sens!$I$11031</f>
        <v>119.509110969829</v>
      </c>
      <c r="J11087" s="38" t="n">
        <f aca="false">Sens!$J$11031</f>
        <v>154.002791727166</v>
      </c>
      <c r="K11087" s="38" t="n">
        <f aca="false">Sens!$K$11031</f>
        <v>188.705205034944</v>
      </c>
      <c r="L11087" s="38" t="n">
        <f aca="false">Sens!$L$11031</f>
        <v>214.78770535695</v>
      </c>
      <c r="M11087" s="38" t="n">
        <f aca="false">Sens!$M$11031</f>
        <v>232.18852660931</v>
      </c>
    </row>
    <row r="11088" customFormat="false" ht="15" hidden="false" customHeight="false" outlineLevel="0" collapsed="false">
      <c r="A11088" s="5" t="s">
        <v>929</v>
      </c>
      <c r="B11088" s="0" t="s">
        <v>86</v>
      </c>
      <c r="H11088" s="38" t="n">
        <f aca="false">Sens!$H$11062</f>
        <v>278.765463512648</v>
      </c>
      <c r="I11088" s="38" t="n">
        <f aca="false">Sens!$I$11062</f>
        <v>292.539583072925</v>
      </c>
      <c r="J11088" s="38" t="n">
        <f aca="false">Sens!$J$11062</f>
        <v>304.874284222866</v>
      </c>
      <c r="K11088" s="38" t="n">
        <f aca="false">Sens!$K$11062</f>
        <v>254.95684805485</v>
      </c>
      <c r="L11088" s="38" t="n">
        <f aca="false">Sens!$L$11062</f>
        <v>236.937965101011</v>
      </c>
      <c r="M11088" s="38" t="n">
        <f aca="false">Sens!$M$11062</f>
        <v>245.028882904275</v>
      </c>
    </row>
    <row r="11089" customFormat="false" ht="15" hidden="false" customHeight="false" outlineLevel="0" collapsed="false">
      <c r="A11089" s="5" t="s">
        <v>930</v>
      </c>
      <c r="B11089" s="0" t="s">
        <v>86</v>
      </c>
      <c r="H11089" s="38" t="n">
        <f aca="false">Sens!$H$11063</f>
        <v>1.6</v>
      </c>
      <c r="I11089" s="38" t="n">
        <f aca="false">Sens!$I$11063</f>
        <v>1.6</v>
      </c>
      <c r="J11089" s="38" t="n">
        <f aca="false">Sens!$J$11063</f>
        <v>1.6</v>
      </c>
      <c r="K11089" s="38" t="n">
        <f aca="false">Sens!$K$11063</f>
        <v>1.6</v>
      </c>
      <c r="L11089" s="38" t="n">
        <f aca="false">Sens!$L$11063</f>
        <v>1.6</v>
      </c>
      <c r="M11089" s="38" t="n">
        <f aca="false">Sens!$M$11063</f>
        <v>1.6</v>
      </c>
    </row>
    <row r="11090" customFormat="false" ht="15" hidden="false" customHeight="false" outlineLevel="0" collapsed="false">
      <c r="A11090" s="5" t="s">
        <v>931</v>
      </c>
      <c r="B11090" s="0" t="s">
        <v>86</v>
      </c>
      <c r="H11090" s="38" t="n">
        <f aca="false">Sens!$H$11057</f>
        <v>11.5674919591491</v>
      </c>
      <c r="I11090" s="38" t="n">
        <f aca="false">Sens!$I$11057</f>
        <v>13.367307635093</v>
      </c>
      <c r="J11090" s="38" t="n">
        <f aca="false">Sens!$J$11057</f>
        <v>15.1034700959042</v>
      </c>
      <c r="K11090" s="38" t="n">
        <f aca="false">Sens!$K$11057</f>
        <v>16.6185324083662</v>
      </c>
      <c r="L11090" s="38" t="n">
        <f aca="false">Sens!$L$11057</f>
        <v>17.9658169207222</v>
      </c>
      <c r="M11090" s="38" t="n">
        <f aca="false">Sens!$M$11057</f>
        <v>19.1494312379102</v>
      </c>
    </row>
    <row r="11091" customFormat="false" ht="17.15" hidden="false" customHeight="false" outlineLevel="0" collapsed="false">
      <c r="A11091" s="1" t="s">
        <v>932</v>
      </c>
      <c r="B11091" s="8" t="s">
        <v>86</v>
      </c>
      <c r="H11091" s="38" t="n">
        <f aca="false">Sens!$H$11086+Sens!$H$11087-Sens!$H$11088-Sens!$H$11089+Sens!$H$11090</f>
        <v>-61.4926624212652</v>
      </c>
      <c r="I11091" s="38" t="n">
        <f aca="false">Sens!$I$11086+Sens!$I$11087-Sens!$I$11088-Sens!$I$11089+Sens!$I$11090</f>
        <v>-3.74413604256428</v>
      </c>
      <c r="J11091" s="38" t="n">
        <f aca="false">Sens!$J$11086+Sens!$J$11087-Sens!$J$11088-Sens!$J$11089+Sens!$J$11090</f>
        <v>54.2107924093621</v>
      </c>
      <c r="K11091" s="38" t="n">
        <f aca="false">Sens!$K$11086+Sens!$K$11087-Sens!$K$11088-Sens!$K$11089+Sens!$K$11090</f>
        <v>165.920352438805</v>
      </c>
      <c r="L11091" s="38" t="n">
        <f aca="false">Sens!$L$11086+Sens!$L$11087-Sens!$L$11088-Sens!$L$11089+Sens!$L$11090</f>
        <v>230.815207014387</v>
      </c>
      <c r="M11091" s="38" t="n">
        <f aca="false">Sens!$M$11086+Sens!$M$11087-Sens!$M$11088-Sens!$M$11089+Sens!$M$11090</f>
        <v>256.038971007526</v>
      </c>
    </row>
    <row r="11092" customFormat="false" ht="15" hidden="false" customHeight="false" outlineLevel="0" collapsed="false">
      <c r="A11092" s="5" t="s">
        <v>933</v>
      </c>
      <c r="B11092" s="0" t="s">
        <v>57</v>
      </c>
      <c r="H11092" s="40" t="n">
        <f aca="false">1/(1+wacc)^(2027-2026-0.5)</f>
        <v>0.947751320380232</v>
      </c>
      <c r="I11092" s="40" t="n">
        <f aca="false">1/(1+wacc)^(2028-2026-0.5)</f>
        <v>0.851301099754987</v>
      </c>
      <c r="J11092" s="40" t="n">
        <f aca="false">1/(1+wacc)^(2029-2026-0.5)</f>
        <v>0.764666370660713</v>
      </c>
      <c r="K11092" s="40" t="n">
        <f aca="false">1/(1+wacc)^(2030-2026-0.5)</f>
        <v>0.686848235703811</v>
      </c>
      <c r="L11092" s="40" t="n">
        <f aca="false">1/(1+wacc)^(2031-2026-0.5)</f>
        <v>0.616949452715975</v>
      </c>
      <c r="M11092" s="40" t="n">
        <f aca="false">1/(1+wacc)^(2032-2026-0.5)</f>
        <v>0.554164089562688</v>
      </c>
    </row>
    <row r="11093" customFormat="false" ht="15" hidden="false" customHeight="false" outlineLevel="0" collapsed="false">
      <c r="A11093" s="5" t="s">
        <v>934</v>
      </c>
      <c r="B11093" s="0" t="s">
        <v>86</v>
      </c>
      <c r="H11093" s="38" t="n">
        <f aca="false">Sens!$H$11091*Sens!$H$11092</f>
        <v>-58.2797520034499</v>
      </c>
      <c r="I11093" s="38" t="n">
        <f aca="false">Sens!$I$11091*Sens!$I$11092</f>
        <v>-3.18738713066725</v>
      </c>
      <c r="J11093" s="38" t="n">
        <f aca="false">Sens!$J$11091*Sens!$J$11092</f>
        <v>41.4531698823083</v>
      </c>
      <c r="K11093" s="38" t="n">
        <f aca="false">Sens!$K$11091*Sens!$K$11092</f>
        <v>113.962101339947</v>
      </c>
      <c r="L11093" s="38" t="n">
        <f aca="false">Sens!$L$11091*Sens!$L$11092</f>
        <v>142.401315646051</v>
      </c>
      <c r="M11093" s="38" t="n">
        <f aca="false">Sens!$M$11091*Sens!$M$11092</f>
        <v>141.887603260953</v>
      </c>
    </row>
    <row r="11094" customFormat="false" ht="15" hidden="false" customHeight="false" outlineLevel="0" collapsed="false">
      <c r="A11094" s="5" t="s">
        <v>935</v>
      </c>
      <c r="B11094" s="0" t="s">
        <v>86</v>
      </c>
      <c r="C11094" s="38" t="n">
        <f aca="false">SUM(Sens!$H$11093:$M$11093)</f>
        <v>378.237050995142</v>
      </c>
    </row>
    <row r="11095" customFormat="false" ht="17.15" hidden="false" customHeight="false" outlineLevel="0" collapsed="false">
      <c r="A11095" s="5" t="s">
        <v>936</v>
      </c>
      <c r="B11095" s="0" t="s">
        <v>86</v>
      </c>
      <c r="C11095" s="38" t="n">
        <f aca="false">Sens!$M$11086*(1+tg)*(1-tg/ronic)/(wacc-tg)</f>
        <v>2284.86921025286</v>
      </c>
    </row>
    <row r="11096" customFormat="false" ht="15" hidden="false" customHeight="false" outlineLevel="0" collapsed="false">
      <c r="A11096" s="5" t="s">
        <v>937</v>
      </c>
      <c r="B11096" s="0" t="s">
        <v>86</v>
      </c>
      <c r="C11096" s="38" t="n">
        <f aca="false">Sens!$C$11095/(1+wacc)^6</f>
        <v>1200.03558119386</v>
      </c>
    </row>
    <row r="11097" customFormat="false" ht="17.15" hidden="false" customHeight="false" outlineLevel="0" collapsed="false">
      <c r="A11097" s="5" t="s">
        <v>938</v>
      </c>
      <c r="B11097" s="0" t="s">
        <v>86</v>
      </c>
      <c r="C11097" s="38" t="n">
        <f aca="false">Sens!$C$11094+Sens!$C$11096</f>
        <v>1578.272632189</v>
      </c>
    </row>
    <row r="11098" customFormat="false" ht="17.15" hidden="false" customHeight="false" outlineLevel="0" collapsed="false">
      <c r="A11098" s="5" t="s">
        <v>939</v>
      </c>
      <c r="B11098" s="0" t="s">
        <v>52</v>
      </c>
      <c r="C11098" s="13" t="n">
        <f aca="false">Sens!$C$11096/Sens!$C$11097</f>
        <v>0.760347456275319</v>
      </c>
    </row>
    <row r="11099" customFormat="false" ht="17.15" hidden="false" customHeight="false" outlineLevel="0" collapsed="false">
      <c r="A11099" s="5" t="s">
        <v>940</v>
      </c>
      <c r="B11099" s="0" t="s">
        <v>86</v>
      </c>
      <c r="C11099" s="38" t="n">
        <f aca="false">Sens!$G$11075+fin_debt</f>
        <v>86.6602238471532</v>
      </c>
    </row>
    <row r="11100" customFormat="false" ht="17.15" hidden="false" customHeight="false" outlineLevel="0" collapsed="false">
      <c r="A11100" s="5" t="s">
        <v>941</v>
      </c>
      <c r="B11100" s="0" t="s">
        <v>86</v>
      </c>
      <c r="C11100" s="38" t="n">
        <f aca="false">(ant_val*ant_sh+oai_val*oai_sh)*(1-liq_disc)</f>
        <v>178.944</v>
      </c>
    </row>
    <row r="11101" customFormat="false" ht="15" hidden="false" customHeight="false" outlineLevel="0" collapsed="false">
      <c r="A11101" s="5" t="s">
        <v>942</v>
      </c>
      <c r="B11101" s="0" t="s">
        <v>86</v>
      </c>
      <c r="C11101" s="38" t="n">
        <f aca="false">Sens!$C$11097-Sens!$C$11099+Sens!$C$11100</f>
        <v>1670.55640834185</v>
      </c>
    </row>
    <row r="11102" customFormat="false" ht="17.15" hidden="false" customHeight="false" outlineLevel="0" collapsed="false">
      <c r="A11102" s="5" t="s">
        <v>943</v>
      </c>
      <c r="B11102" s="0" t="s">
        <v>27</v>
      </c>
      <c r="C11102" s="30" t="n">
        <f aca="false">Sens!$C$11101/sh_out</f>
        <v>154.877413020041</v>
      </c>
    </row>
    <row r="11103" customFormat="false" ht="17.15" hidden="false" customHeight="false" outlineLevel="0" collapsed="false">
      <c r="A11103" s="1" t="s">
        <v>944</v>
      </c>
      <c r="B11103" s="8" t="s">
        <v>27</v>
      </c>
      <c r="C11103" s="30" t="n">
        <f aca="false">Sens!$C$11102*(1+ke)^tp_yf-dps*tp_yf</f>
        <v>169.647893244738</v>
      </c>
    </row>
    <row r="11104" customFormat="false" ht="17.15" hidden="false" customHeight="false" outlineLevel="0" collapsed="false">
      <c r="A11104" s="3" t="s">
        <v>945</v>
      </c>
    </row>
    <row r="11105" customFormat="false" ht="17.15" hidden="false" customHeight="false" outlineLevel="0" collapsed="false">
      <c r="A11105" s="5" t="s">
        <v>946</v>
      </c>
      <c r="B11105" s="0" t="s">
        <v>86</v>
      </c>
      <c r="C11105" s="38" t="n">
        <f aca="false">(1-tp_yf)*(Sens!$H$11032+sbc_ab*Sens!$H$11056*Sens!$H$10893/Sens!$H$10973)+tp_yf*(Sens!$I$11032+sbc_ab*Sens!$I$11056*Sens!$I$10893/Sens!$I$10973)</f>
        <v>59.634664536349</v>
      </c>
    </row>
    <row r="11106" customFormat="false" ht="15" hidden="false" customHeight="false" outlineLevel="0" collapsed="false">
      <c r="A11106" s="5" t="s">
        <v>947</v>
      </c>
      <c r="B11106" s="0" t="s">
        <v>57</v>
      </c>
      <c r="C11106" s="30" t="n">
        <f aca="false">m_ads*m_x</f>
        <v>9.11</v>
      </c>
    </row>
    <row r="11107" customFormat="false" ht="17.15" hidden="false" customHeight="false" outlineLevel="0" collapsed="false">
      <c r="A11107" s="5" t="s">
        <v>948</v>
      </c>
      <c r="B11107" s="0" t="s">
        <v>86</v>
      </c>
      <c r="C11107" s="38" t="n">
        <f aca="false">Sens!$C$11105*Sens!$C$11106</f>
        <v>543.271793926139</v>
      </c>
    </row>
    <row r="11108" customFormat="false" ht="17.15" hidden="false" customHeight="false" outlineLevel="0" collapsed="false">
      <c r="A11108" s="5" t="s">
        <v>949</v>
      </c>
      <c r="B11108" s="0" t="s">
        <v>86</v>
      </c>
      <c r="C11108" s="38" t="n">
        <f aca="false">(1-tp_yf)*(Sens!$H$11033+sbc_ab*Sens!$H$11056*(Sens!$H$10900-Sens!$H$10893)/Sens!$H$10973+IF(1=2,1,0)*(1-ext_sh)*Sens!$H$10930)+tp_yf*(Sens!$I$11033+sbc_ab*Sens!$I$11056*(Sens!$I$10900-Sens!$I$10893)/Sens!$I$10973+IF(1=2,1,0)*(1-ext_sh)*Sens!$I$10930)</f>
        <v>46.7253612561642</v>
      </c>
    </row>
    <row r="11109" customFormat="false" ht="17.15" hidden="false" customHeight="false" outlineLevel="0" collapsed="false">
      <c r="A11109" s="5" t="s">
        <v>950</v>
      </c>
      <c r="B11109" s="0" t="s">
        <v>57</v>
      </c>
      <c r="C11109" s="30" t="n">
        <f aca="false">m_retail*m_x</f>
        <v>17.72</v>
      </c>
    </row>
    <row r="11110" customFormat="false" ht="17.15" hidden="false" customHeight="false" outlineLevel="0" collapsed="false">
      <c r="A11110" s="5" t="s">
        <v>951</v>
      </c>
      <c r="B11110" s="0" t="s">
        <v>86</v>
      </c>
      <c r="C11110" s="38" t="n">
        <f aca="false">Sens!$C$11108*Sens!$C$11109</f>
        <v>827.973401459229</v>
      </c>
    </row>
    <row r="11111" customFormat="false" ht="17.15" hidden="false" customHeight="false" outlineLevel="0" collapsed="false">
      <c r="A11111" s="0" t="s">
        <v>952</v>
      </c>
      <c r="B11111" s="0" t="s">
        <v>86</v>
      </c>
      <c r="C11111" s="38" t="n">
        <f aca="false">(1-tp_yf)*(Sens!$H$11034+sbc_ab*Sens!$H$11056*Sens!$H$10971/Sens!$H$10973)+tp_yf*(Sens!$I$11034+sbc_ab*Sens!$I$11056*Sens!$I$10971/Sens!$I$10973)</f>
        <v>97.2337130506861</v>
      </c>
    </row>
    <row r="11112" customFormat="false" ht="17.15" hidden="false" customHeight="false" outlineLevel="0" collapsed="false">
      <c r="A11112" s="0" t="s">
        <v>953</v>
      </c>
      <c r="B11112" s="0" t="s">
        <v>57</v>
      </c>
      <c r="C11112" s="30" t="n">
        <f aca="false">m_cloud*m_x</f>
        <v>13.82</v>
      </c>
    </row>
    <row r="11113" customFormat="false" ht="17.15" hidden="false" customHeight="false" outlineLevel="0" collapsed="false">
      <c r="A11113" s="0" t="s">
        <v>954</v>
      </c>
      <c r="B11113" s="0" t="s">
        <v>86</v>
      </c>
      <c r="C11113" s="38" t="n">
        <f aca="false">Sens!$C$11111*Sens!$C$11112</f>
        <v>1343.76991436048</v>
      </c>
    </row>
    <row r="11114" customFormat="false" ht="17.15" hidden="false" customHeight="false" outlineLevel="0" collapsed="false">
      <c r="A11114" s="0" t="s">
        <v>955</v>
      </c>
      <c r="B11114" s="0" t="s">
        <v>86</v>
      </c>
      <c r="H11114" s="38" t="n">
        <f aca="false">Sens!$H$10952-tax*Sens!$H$10953-ext_sh*Sens!$H$10937</f>
        <v>-100.974105261343</v>
      </c>
      <c r="I11114" s="38" t="n">
        <f aca="false">Sens!$I$10952-tax*Sens!$I$10953-ext_sh*Sens!$I$10937</f>
        <v>-54.763742646051</v>
      </c>
      <c r="J11114" s="38" t="n">
        <f aca="false">Sens!$J$10952-tax*Sens!$J$10953-ext_sh*Sens!$J$10937</f>
        <v>-7.96407042501519</v>
      </c>
      <c r="K11114" s="38" t="n">
        <f aca="false">Sens!$K$10952-tax*Sens!$K$10953-ext_sh*Sens!$K$10937</f>
        <v>81.2695477227792</v>
      </c>
      <c r="L11114" s="38" t="n">
        <f aca="false">Sens!$L$10952-tax*Sens!$L$10953-ext_sh*Sens!$L$10937</f>
        <v>130.403176092362</v>
      </c>
      <c r="M11114" s="38" t="n">
        <f aca="false">Sens!$M$10952-tax*Sens!$M$10953-ext_sh*Sens!$M$10937</f>
        <v>144.04850336808</v>
      </c>
    </row>
    <row r="11115" customFormat="false" ht="17.15" hidden="false" customHeight="false" outlineLevel="0" collapsed="false">
      <c r="A11115" s="5" t="s">
        <v>956</v>
      </c>
      <c r="B11115" s="0" t="s">
        <v>86</v>
      </c>
      <c r="H11115" s="38" t="n">
        <f aca="false">Sens!$H$11114*Sens!$H$11092</f>
        <v>-95.6983415856502</v>
      </c>
      <c r="I11115" s="38" t="n">
        <f aca="false">Sens!$I$11114*Sens!$I$11092</f>
        <v>-46.6204343412823</v>
      </c>
      <c r="J11115" s="38" t="n">
        <f aca="false">Sens!$J$11114*Sens!$J$11092</f>
        <v>-6.08985682758269</v>
      </c>
      <c r="K11115" s="38" t="n">
        <f aca="false">Sens!$K$11114*Sens!$K$11092</f>
        <v>55.8198454698376</v>
      </c>
      <c r="L11115" s="38" t="n">
        <f aca="false">Sens!$L$11114*Sens!$L$11092</f>
        <v>80.4521681226079</v>
      </c>
      <c r="M11115" s="38" t="n">
        <f aca="false">Sens!$M$11114*Sens!$M$11092</f>
        <v>79.8265077218401</v>
      </c>
    </row>
    <row r="11116" customFormat="false" ht="17.15" hidden="false" customHeight="false" outlineLevel="0" collapsed="false">
      <c r="A11116" s="5" t="s">
        <v>957</v>
      </c>
      <c r="B11116" s="0" t="s">
        <v>86</v>
      </c>
      <c r="C11116" s="38" t="n">
        <f aca="false">Sens!$M$10953*(1-tax)*(1+tg)*(1-tg/ronic)/(wacc-tg)</f>
        <v>1157.41626462673</v>
      </c>
    </row>
    <row r="11117" customFormat="false" ht="17.15" hidden="false" customHeight="false" outlineLevel="0" collapsed="false">
      <c r="A11117" s="0" t="s">
        <v>958</v>
      </c>
      <c r="B11117" s="0" t="s">
        <v>86</v>
      </c>
      <c r="C11117" s="38" t="n">
        <f aca="false">(SUM(Sens!$I$11115:$M$11115)+Sens!$C$11116/(1+wacc)^6)*(1+wacc)^tp_yf</f>
        <v>842.402351771106</v>
      </c>
    </row>
    <row r="11118" customFormat="false" ht="17.15" hidden="false" customHeight="false" outlineLevel="0" collapsed="false">
      <c r="A11118" s="5" t="s">
        <v>959</v>
      </c>
      <c r="B11118" s="0" t="s">
        <v>86</v>
      </c>
      <c r="C11118" s="38" t="n">
        <f aca="false">(1-tp_yf)*(Sens!$H$11035)+tp_yf*(Sens!$I$11035)</f>
        <v>116.623020306649</v>
      </c>
    </row>
    <row r="11119" customFormat="false" ht="17.15" hidden="false" customHeight="false" outlineLevel="0" collapsed="false">
      <c r="A11119" s="5" t="s">
        <v>960</v>
      </c>
      <c r="B11119" s="0" t="s">
        <v>86</v>
      </c>
      <c r="C11119" s="38" t="n">
        <f aca="false">Sens!$C$11118*m_ai</f>
        <v>699.738121839894</v>
      </c>
    </row>
    <row r="11120" customFormat="false" ht="17.15" hidden="false" customHeight="false" outlineLevel="0" collapsed="false">
      <c r="A11120" s="0" t="s">
        <v>961</v>
      </c>
      <c r="B11120" s="0" t="s">
        <v>86</v>
      </c>
      <c r="C11120" s="38" t="n">
        <f aca="false">IF(ai_leg=1,Sens!$C$11117,Sens!$C$11119)</f>
        <v>842.402351771106</v>
      </c>
    </row>
    <row r="11121" customFormat="false" ht="17.15" hidden="false" customHeight="false" outlineLevel="0" collapsed="false">
      <c r="A11121" s="5" t="s">
        <v>962</v>
      </c>
      <c r="B11121" s="0" t="s">
        <v>86</v>
      </c>
      <c r="C11121" s="38" t="n">
        <f aca="false">Sens!$C$11107+Sens!$C$11110+Sens!$C$11113+Sens!$C$11120</f>
        <v>3557.41746151696</v>
      </c>
    </row>
    <row r="11122" customFormat="false" ht="17.15" hidden="false" customHeight="false" outlineLevel="0" collapsed="false">
      <c r="A11122" s="5" t="s">
        <v>963</v>
      </c>
      <c r="B11122" s="0" t="s">
        <v>86</v>
      </c>
      <c r="C11122" s="38" t="n">
        <f aca="false">Sens!$H$11075+fin_debt</f>
        <v>126.770554703861</v>
      </c>
    </row>
    <row r="11123" customFormat="false" ht="15" hidden="false" customHeight="false" outlineLevel="0" collapsed="false">
      <c r="A11123" s="5" t="s">
        <v>964</v>
      </c>
      <c r="B11123" s="0" t="s">
        <v>86</v>
      </c>
      <c r="C11123" s="38" t="n">
        <f aca="false">Sens!$C$11121-Sens!$C$11122+Sens!$C$11100</f>
        <v>3609.5909068131</v>
      </c>
    </row>
    <row r="11124" customFormat="false" ht="15" hidden="false" customHeight="false" outlineLevel="0" collapsed="false">
      <c r="A11124" s="3" t="s">
        <v>965</v>
      </c>
      <c r="B11124" s="8" t="s">
        <v>27</v>
      </c>
      <c r="C11124" s="30" t="n">
        <f aca="false">Sens!$C$11123/sh_val</f>
        <v>327.242806216858</v>
      </c>
    </row>
    <row r="11125" customFormat="false" ht="17.15" hidden="false" customHeight="false" outlineLevel="0" collapsed="false">
      <c r="A11125" s="47" t="s">
        <v>966</v>
      </c>
      <c r="B11125" s="14" t="s">
        <v>27</v>
      </c>
      <c r="C11125" s="44" t="n">
        <f aca="false">w_dcf*Sens!$C$11103+(1-w_dcf)*Sens!$C$11124</f>
        <v>248.445349730798</v>
      </c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4"/>
    </row>
    <row r="11126" customFormat="false" ht="17.15" hidden="false" customHeight="false" outlineLevel="0" collapsed="false">
      <c r="A11126" s="5" t="s">
        <v>967</v>
      </c>
      <c r="B11126" s="0" t="s">
        <v>27</v>
      </c>
      <c r="C11126" s="30" t="n">
        <f aca="false">v022_wdcf*Sens!$C$11103+(1-v022_wdcf)*Sens!$C$11124</f>
        <v>256.325095379404</v>
      </c>
    </row>
    <row r="11127" customFormat="false" ht="17.15" hidden="false" customHeight="false" outlineLevel="0" collapsed="false">
      <c r="A11127" s="5" t="s">
        <v>968</v>
      </c>
      <c r="B11127" s="0" t="s">
        <v>27</v>
      </c>
      <c r="C11127" s="30" t="n">
        <f aca="false">(Sens!$C$11123-Sens!$C$11120+Sens!$C$11119)/sh_val</f>
        <v>314.308974058389</v>
      </c>
    </row>
    <row r="11130" customFormat="false" ht="19.4" hidden="false" customHeight="false" outlineLevel="0" collapsed="false">
      <c r="A11130" s="31" t="s">
        <v>1377</v>
      </c>
    </row>
    <row r="11131" customFormat="false" ht="17.15" hidden="false" customHeight="false" outlineLevel="0" collapsed="false">
      <c r="A11131" s="6" t="s">
        <v>16</v>
      </c>
      <c r="B11131" s="6" t="s">
        <v>17</v>
      </c>
      <c r="C11131" s="20" t="s">
        <v>504</v>
      </c>
      <c r="D11131" s="20" t="s">
        <v>505</v>
      </c>
      <c r="E11131" s="20" t="s">
        <v>587</v>
      </c>
      <c r="F11131" s="20" t="s">
        <v>588</v>
      </c>
      <c r="G11131" s="20" t="s">
        <v>589</v>
      </c>
      <c r="H11131" s="20" t="s">
        <v>590</v>
      </c>
      <c r="I11131" s="20" t="s">
        <v>591</v>
      </c>
      <c r="J11131" s="20" t="s">
        <v>592</v>
      </c>
      <c r="K11131" s="20" t="s">
        <v>593</v>
      </c>
      <c r="L11131" s="20" t="s">
        <v>594</v>
      </c>
      <c r="M11131" s="20" t="s">
        <v>595</v>
      </c>
      <c r="N11131" s="20" t="s">
        <v>596</v>
      </c>
      <c r="O11131" s="20" t="s">
        <v>597</v>
      </c>
      <c r="P11131" s="6" t="s">
        <v>23</v>
      </c>
      <c r="R11131" s="20" t="n">
        <v>2023</v>
      </c>
      <c r="S11131" s="20" t="n">
        <v>2024</v>
      </c>
      <c r="T11131" s="20" t="n">
        <v>2025</v>
      </c>
      <c r="U11131" s="20" t="n">
        <v>2026</v>
      </c>
      <c r="V11131" s="20" t="n">
        <v>2027</v>
      </c>
      <c r="W11131" s="20" t="n">
        <v>2028</v>
      </c>
      <c r="X11131" s="20" t="n">
        <v>2029</v>
      </c>
      <c r="Y11131" s="20" t="n">
        <v>2030</v>
      </c>
      <c r="Z11131" s="20" t="n">
        <v>2031</v>
      </c>
      <c r="AA11131" s="20" t="n">
        <v>2032</v>
      </c>
    </row>
    <row r="11132" customFormat="false" ht="17.15" hidden="false" customHeight="false" outlineLevel="0" collapsed="false">
      <c r="A11132" s="1" t="s">
        <v>677</v>
      </c>
    </row>
    <row r="11133" customFormat="false" ht="17.15" hidden="false" customHeight="false" outlineLevel="0" collapsed="false">
      <c r="A11133" s="0" t="s">
        <v>526</v>
      </c>
      <c r="B11133" s="0" t="s">
        <v>86</v>
      </c>
      <c r="C11133" s="38" t="n">
        <f aca="false">Q!$D$10</f>
        <v>247.029</v>
      </c>
      <c r="D11133" s="38" t="n">
        <f aca="false">Q!$E$10</f>
        <v>269.287</v>
      </c>
      <c r="E11133" s="38" t="n">
        <f aca="false">Q!$P$10</f>
        <v>134.686</v>
      </c>
      <c r="F11133" s="38" t="n">
        <f aca="false">Sens!$O$11133*(1+Sens!$F$11134)*Sens!$F$11145</f>
        <v>158.293876822267</v>
      </c>
      <c r="G11133" s="38" t="n">
        <f aca="false">Sens!$E$11133+Sens!$F$11133</f>
        <v>292.979876822267</v>
      </c>
      <c r="H11133" s="38" t="n">
        <f aca="false">Sens!$G$11133*(1+Sens!$H$11134)</f>
        <v>318.184543087396</v>
      </c>
      <c r="I11133" s="38" t="n">
        <f aca="false">Sens!$H$11133*(1+Sens!$I$11134)</f>
        <v>341.736278761793</v>
      </c>
      <c r="J11133" s="38" t="n">
        <f aca="false">Sens!$I$11133*(1+Sens!$J$11134)</f>
        <v>362.927192787048</v>
      </c>
      <c r="K11133" s="38" t="n">
        <f aca="false">Sens!$J$11133*(1+Sens!$K$11134)</f>
        <v>381.0735524264</v>
      </c>
      <c r="L11133" s="38" t="n">
        <f aca="false">Sens!$K$11133*(1+Sens!$L$11134)</f>
        <v>400.12723004772</v>
      </c>
      <c r="M11133" s="38" t="n">
        <f aca="false">Sens!$L$11133*(1+Sens!$M$11134)</f>
        <v>420.133591550106</v>
      </c>
      <c r="N11133" s="38" t="n">
        <f aca="false">Q!$N$10</f>
        <v>118.892</v>
      </c>
      <c r="O11133" s="38" t="n">
        <f aca="false">Q!$O$10</f>
        <v>150.395</v>
      </c>
      <c r="P11133" s="8" t="s">
        <v>678</v>
      </c>
    </row>
    <row r="11134" customFormat="false" ht="17.15" hidden="false" customHeight="false" outlineLevel="0" collapsed="false">
      <c r="A11134" s="0" t="s">
        <v>679</v>
      </c>
      <c r="B11134" s="0" t="s">
        <v>52</v>
      </c>
      <c r="E11134" s="13" t="n">
        <f aca="false">Sens!$E$11133/Sens!$N$11133-1</f>
        <v>0.132843252699929</v>
      </c>
      <c r="F11134" s="13" t="n">
        <f aca="false">Sens!$O$11133/(Q!$F$10+Q!$G$10)-1</f>
        <v>0.0980382135842941</v>
      </c>
      <c r="G11134" s="13" t="n">
        <f aca="false">Sens!$G$11133/Sens!$D$11133-1</f>
        <v>0.0879837378791657</v>
      </c>
      <c r="H11134" s="13" t="n">
        <f aca="false">Sens!$F$11134+(g_os-Sens!$F$11134)*1/4</f>
        <v>0.0860286601882206</v>
      </c>
      <c r="I11134" s="13" t="n">
        <f aca="false">Sens!$F$11134+(g_os-Sens!$F$11134)*2/4</f>
        <v>0.074019106792147</v>
      </c>
      <c r="J11134" s="13" t="n">
        <f aca="false">Sens!$F$11134+(g_os-Sens!$F$11134)*3/4</f>
        <v>0.0620095533960735</v>
      </c>
      <c r="K11134" s="13" t="n">
        <f aca="false">Sens!$F$11134+(g_os-Sens!$F$11134)*4/4</f>
        <v>0.05</v>
      </c>
      <c r="L11134" s="13" t="n">
        <f aca="false">g_os</f>
        <v>0.05</v>
      </c>
      <c r="M11134" s="13" t="n">
        <f aca="false">g_os</f>
        <v>0.05</v>
      </c>
      <c r="P11134" s="8" t="s">
        <v>680</v>
      </c>
    </row>
    <row r="11135" customFormat="false" ht="17.15" hidden="false" customHeight="false" outlineLevel="0" collapsed="false">
      <c r="A11135" s="0" t="s">
        <v>527</v>
      </c>
      <c r="B11135" s="0" t="s">
        <v>86</v>
      </c>
      <c r="C11135" s="38" t="n">
        <f aca="false">Q!$D$11</f>
        <v>21.215</v>
      </c>
      <c r="D11135" s="38" t="n">
        <f aca="false">Q!$E$11</f>
        <v>22.561</v>
      </c>
      <c r="E11135" s="38" t="n">
        <f aca="false">Q!$P$11</f>
        <v>11.579</v>
      </c>
      <c r="F11135" s="38" t="n">
        <f aca="false">Sens!$O$11135*(1+Sens!$F$11136)*Sens!$F$11145</f>
        <v>11.5938724610325</v>
      </c>
      <c r="G11135" s="38" t="n">
        <f aca="false">Sens!$E$11135+Sens!$F$11135</f>
        <v>23.1728724610325</v>
      </c>
      <c r="H11135" s="38" t="n">
        <f aca="false">Sens!$G$11135*(1+Sens!$H$11136)</f>
        <v>24.353392759506</v>
      </c>
      <c r="I11135" s="38" t="n">
        <f aca="false">Sens!$H$11135*(1+Sens!$I$11136)</f>
        <v>25.4240338872015</v>
      </c>
      <c r="J11135" s="38" t="n">
        <f aca="false">Sens!$I$11135*(1+Sens!$J$11136)</f>
        <v>26.3642491017174</v>
      </c>
      <c r="K11135" s="38" t="n">
        <f aca="false">Sens!$J$11135*(1+Sens!$K$11136)</f>
        <v>27.155176574769</v>
      </c>
      <c r="L11135" s="38" t="n">
        <f aca="false">Sens!$K$11135*(1+Sens!$L$11136)</f>
        <v>27.969831872012</v>
      </c>
      <c r="M11135" s="38" t="n">
        <f aca="false">Sens!$L$11135*(1+Sens!$M$11136)</f>
        <v>28.8089268281724</v>
      </c>
      <c r="N11135" s="38" t="n">
        <f aca="false">Q!$N$11</f>
        <v>11.128</v>
      </c>
      <c r="O11135" s="38" t="n">
        <f aca="false">Q!$O$11</f>
        <v>11.433</v>
      </c>
      <c r="P11135" s="8" t="s">
        <v>678</v>
      </c>
    </row>
    <row r="11136" customFormat="false" ht="17.15" hidden="false" customHeight="false" outlineLevel="0" collapsed="false">
      <c r="A11136" s="0" t="s">
        <v>681</v>
      </c>
      <c r="B11136" s="0" t="s">
        <v>52</v>
      </c>
      <c r="E11136" s="13" t="n">
        <f aca="false">Sens!$E$11135/Sens!$N$11135-1</f>
        <v>0.0405283968368082</v>
      </c>
      <c r="F11136" s="13" t="n">
        <f aca="false">Sens!$O$11135/(Q!$F$11+Q!$G$11)-1</f>
        <v>0.0579254187100955</v>
      </c>
      <c r="G11136" s="13" t="n">
        <f aca="false">Sens!$G$11135/Sens!$D$11135-1</f>
        <v>0.0271208040881397</v>
      </c>
      <c r="H11136" s="13" t="n">
        <f aca="false">Sens!$F$11136+(g_ps-Sens!$F$11136)*1/4</f>
        <v>0.0509440640325716</v>
      </c>
      <c r="I11136" s="13" t="n">
        <f aca="false">Sens!$F$11136+(g_ps-Sens!$F$11136)*2/4</f>
        <v>0.0439627093550477</v>
      </c>
      <c r="J11136" s="13" t="n">
        <f aca="false">Sens!$F$11136+(g_ps-Sens!$F$11136)*3/4</f>
        <v>0.0369813546775239</v>
      </c>
      <c r="K11136" s="13" t="n">
        <f aca="false">Sens!$F$11136+(g_ps-Sens!$F$11136)*4/4</f>
        <v>0.03</v>
      </c>
      <c r="L11136" s="13" t="n">
        <f aca="false">g_ps</f>
        <v>0.03</v>
      </c>
      <c r="M11136" s="13" t="n">
        <f aca="false">g_ps</f>
        <v>0.03</v>
      </c>
      <c r="P11136" s="8" t="s">
        <v>682</v>
      </c>
    </row>
    <row r="11137" customFormat="false" ht="17.15" hidden="false" customHeight="false" outlineLevel="0" collapsed="false">
      <c r="A11137" s="0" t="s">
        <v>528</v>
      </c>
      <c r="B11137" s="0" t="s">
        <v>86</v>
      </c>
      <c r="C11137" s="38" t="n">
        <f aca="false">Q!$D$12</f>
        <v>156.146</v>
      </c>
      <c r="D11137" s="38" t="n">
        <f aca="false">Q!$E$12</f>
        <v>172.162</v>
      </c>
      <c r="E11137" s="38" t="n">
        <f aca="false">Q!$P$12</f>
        <v>88.358</v>
      </c>
      <c r="F11137" s="38" t="n">
        <f aca="false">Sens!$O$11137*(1+Sens!$F$11138)*Sens!$F$11145</f>
        <v>102.004388260171</v>
      </c>
      <c r="G11137" s="38" t="n">
        <f aca="false">Sens!$E$11137+Sens!$F$11137</f>
        <v>190.362388260171</v>
      </c>
      <c r="H11137" s="38" t="n">
        <f aca="false">Sens!$G$11137*(1+Sens!$H$11138)</f>
        <v>210.343106588311</v>
      </c>
      <c r="I11137" s="38" t="n">
        <f aca="false">Sens!$H$11137*(1+Sens!$I$11138)</f>
        <v>229.969728494648</v>
      </c>
      <c r="J11137" s="38" t="n">
        <f aca="false">Sens!$I$11137*(1+Sens!$J$11138)</f>
        <v>248.747636972598</v>
      </c>
      <c r="K11137" s="38" t="n">
        <f aca="false">Sens!$J$11137*(1+Sens!$K$11138)</f>
        <v>266.15997156068</v>
      </c>
      <c r="L11137" s="38" t="n">
        <f aca="false">Sens!$K$11137*(1+Sens!$L$11138)</f>
        <v>284.791169569927</v>
      </c>
      <c r="M11137" s="38" t="n">
        <f aca="false">Sens!$L$11137*(1+Sens!$M$11138)</f>
        <v>304.726551439822</v>
      </c>
      <c r="N11137" s="38" t="n">
        <f aca="false">Q!$N$12</f>
        <v>76.86</v>
      </c>
      <c r="O11137" s="38" t="n">
        <f aca="false">Q!$O$12</f>
        <v>95.302</v>
      </c>
      <c r="P11137" s="8" t="s">
        <v>678</v>
      </c>
    </row>
    <row r="11138" customFormat="false" ht="17.15" hidden="false" customHeight="false" outlineLevel="0" collapsed="false">
      <c r="A11138" s="0" t="s">
        <v>683</v>
      </c>
      <c r="B11138" s="0" t="s">
        <v>52</v>
      </c>
      <c r="E11138" s="13" t="n">
        <f aca="false">Sens!$E$11137/Sens!$N$11137-1</f>
        <v>0.1495966692688</v>
      </c>
      <c r="F11138" s="13" t="n">
        <f aca="false">Sens!$O$11137/(Q!$F$12+Q!$G$12)-1</f>
        <v>0.11661530890813</v>
      </c>
      <c r="G11138" s="13" t="n">
        <f aca="false">Sens!$G$11137/Sens!$D$11137-1</f>
        <v>0.105716640490767</v>
      </c>
      <c r="H11138" s="13" t="n">
        <f aca="false">Sens!$F$11138+(g_sp-Sens!$F$11138)*1/4</f>
        <v>0.104961481681098</v>
      </c>
      <c r="I11138" s="13" t="n">
        <f aca="false">Sens!$F$11138+(g_sp-Sens!$F$11138)*2/4</f>
        <v>0.0933076544540651</v>
      </c>
      <c r="J11138" s="13" t="n">
        <f aca="false">Sens!$F$11138+(g_sp-Sens!$F$11138)*3/4</f>
        <v>0.0816538272270325</v>
      </c>
      <c r="K11138" s="13" t="n">
        <f aca="false">Sens!$F$11138+(g_sp-Sens!$F$11138)*4/4</f>
        <v>0.07</v>
      </c>
      <c r="L11138" s="13" t="n">
        <f aca="false">g_sp</f>
        <v>0.07</v>
      </c>
      <c r="M11138" s="13" t="n">
        <f aca="false">g_sp</f>
        <v>0.07</v>
      </c>
      <c r="P11138" s="8" t="s">
        <v>684</v>
      </c>
    </row>
    <row r="11139" customFormat="false" ht="17.15" hidden="false" customHeight="false" outlineLevel="0" collapsed="false">
      <c r="A11139" s="0" t="s">
        <v>529</v>
      </c>
      <c r="B11139" s="0" t="s">
        <v>86</v>
      </c>
      <c r="C11139" s="38" t="n">
        <f aca="false">Q!$D$13</f>
        <v>56.214</v>
      </c>
      <c r="D11139" s="38" t="n">
        <f aca="false">Q!$E$13</f>
        <v>68.635</v>
      </c>
      <c r="E11139" s="38" t="n">
        <f aca="false">Q!$P$13</f>
        <v>37.052</v>
      </c>
      <c r="F11139" s="38" t="n">
        <f aca="false">Sens!$O$11139*(1+Sens!$F$11140)*Sens!$F$11145</f>
        <v>46.1572219944148</v>
      </c>
      <c r="G11139" s="38" t="n">
        <f aca="false">Sens!$E$11139+Sens!$F$11139</f>
        <v>83.2092219944148</v>
      </c>
      <c r="H11139" s="38" t="n">
        <f aca="false">Sens!$G$11139*(1+Sens!$H$11140)</f>
        <v>99.8969223878976</v>
      </c>
      <c r="I11139" s="38" t="n">
        <f aca="false">Sens!$H$11139*(1+Sens!$I$11140)</f>
        <v>116.583111095496</v>
      </c>
      <c r="J11139" s="38" t="n">
        <f aca="false">Sens!$I$11139*(1+Sens!$J$11140)</f>
        <v>132.148941941952</v>
      </c>
      <c r="K11139" s="38" t="n">
        <f aca="false">Sens!$J$11139*(1+Sens!$K$11140)</f>
        <v>145.363836136147</v>
      </c>
      <c r="L11139" s="38" t="n">
        <f aca="false">Sens!$K$11139*(1+Sens!$L$11140)</f>
        <v>159.900219749762</v>
      </c>
      <c r="M11139" s="38" t="n">
        <f aca="false">Sens!$L$11139*(1+Sens!$M$11140)</f>
        <v>175.890241724738</v>
      </c>
      <c r="N11139" s="38" t="n">
        <f aca="false">Q!$N$13</f>
        <v>29.615</v>
      </c>
      <c r="O11139" s="38" t="n">
        <f aca="false">Q!$O$13</f>
        <v>39.02</v>
      </c>
      <c r="P11139" s="8" t="s">
        <v>678</v>
      </c>
    </row>
    <row r="11140" customFormat="false" ht="17.15" hidden="false" customHeight="false" outlineLevel="0" collapsed="false">
      <c r="A11140" s="0" t="s">
        <v>685</v>
      </c>
      <c r="B11140" s="0" t="s">
        <v>52</v>
      </c>
      <c r="E11140" s="13" t="n">
        <f aca="false">Sens!$E$11139/Sens!$N$11139-1</f>
        <v>0.25112274185379</v>
      </c>
      <c r="F11140" s="13" t="n">
        <f aca="false">Sens!$O$11139/(Q!$F$13+Q!$G$13)-1</f>
        <v>0.234068123596572</v>
      </c>
      <c r="G11140" s="13" t="n">
        <f aca="false">Sens!$G$11139/Sens!$D$11139-1</f>
        <v>0.212343876949294</v>
      </c>
      <c r="H11140" s="13" t="n">
        <f aca="false">Sens!$F$11140+(g_ad-Sens!$F$11140)*1/4</f>
        <v>0.200551092697429</v>
      </c>
      <c r="I11140" s="13" t="n">
        <f aca="false">Sens!$F$11140+(g_ad-Sens!$F$11140)*2/4</f>
        <v>0.167034061798286</v>
      </c>
      <c r="J11140" s="13" t="n">
        <f aca="false">Sens!$F$11140+(g_ad-Sens!$F$11140)*3/4</f>
        <v>0.133517030899143</v>
      </c>
      <c r="K11140" s="13" t="n">
        <f aca="false">Sens!$F$11140+(g_ad-Sens!$F$11140)*4/4</f>
        <v>0.1</v>
      </c>
      <c r="L11140" s="13" t="n">
        <f aca="false">g_ad</f>
        <v>0.1</v>
      </c>
      <c r="M11140" s="13" t="n">
        <f aca="false">g_ad</f>
        <v>0.1</v>
      </c>
      <c r="P11140" s="8" t="s">
        <v>686</v>
      </c>
    </row>
    <row r="11141" customFormat="false" ht="17.15" hidden="false" customHeight="false" outlineLevel="0" collapsed="false">
      <c r="A11141" s="0" t="s">
        <v>530</v>
      </c>
      <c r="B11141" s="0" t="s">
        <v>86</v>
      </c>
      <c r="C11141" s="38" t="n">
        <f aca="false">Q!$D$14</f>
        <v>44.374</v>
      </c>
      <c r="D11141" s="38" t="n">
        <f aca="false">Q!$E$14</f>
        <v>49.619</v>
      </c>
      <c r="E11141" s="38" t="n">
        <f aca="false">Q!$P$14</f>
        <v>27.157</v>
      </c>
      <c r="F11141" s="38" t="n">
        <f aca="false">Sens!$O$11141*(1+Sens!$F$11142)*Sens!$F$11145</f>
        <v>27.7764165988154</v>
      </c>
      <c r="G11141" s="38" t="n">
        <f aca="false">Sens!$E$11141+Sens!$F$11141</f>
        <v>54.9334165988154</v>
      </c>
      <c r="H11141" s="38" t="n">
        <f aca="false">Sens!$G$11141*(1+Sens!$H$11142)</f>
        <v>61.1564112561829</v>
      </c>
      <c r="I11141" s="38" t="n">
        <f aca="false">Sens!$H$11141*(1+Sens!$I$11142)</f>
        <v>67.2020282103945</v>
      </c>
      <c r="J11141" s="38" t="n">
        <f aca="false">Sens!$I$11141*(1+Sens!$J$11142)</f>
        <v>72.8757274028885</v>
      </c>
      <c r="K11141" s="38" t="n">
        <f aca="false">Sens!$J$11141*(1+Sens!$K$11142)</f>
        <v>77.9770283210907</v>
      </c>
      <c r="L11141" s="38" t="n">
        <f aca="false">Sens!$K$11141*(1+Sens!$L$11142)</f>
        <v>83.4354203035671</v>
      </c>
      <c r="M11141" s="38" t="n">
        <f aca="false">Sens!$L$11141*(1+Sens!$M$11142)</f>
        <v>89.2758997248168</v>
      </c>
      <c r="N11141" s="38" t="n">
        <f aca="false">Q!$N$14</f>
        <v>23.923</v>
      </c>
      <c r="O11141" s="38" t="n">
        <f aca="false">Q!$O$14</f>
        <v>25.696</v>
      </c>
      <c r="P11141" s="8" t="s">
        <v>678</v>
      </c>
    </row>
    <row r="11142" customFormat="false" ht="17.15" hidden="false" customHeight="false" outlineLevel="0" collapsed="false">
      <c r="A11142" s="0" t="s">
        <v>687</v>
      </c>
      <c r="B11142" s="0" t="s">
        <v>52</v>
      </c>
      <c r="E11142" s="13" t="n">
        <f aca="false">Sens!$E$11141/Sens!$N$11141-1</f>
        <v>0.135183714417088</v>
      </c>
      <c r="F11142" s="13" t="n">
        <f aca="false">Sens!$O$11141/(Q!$F$14+Q!$G$14)-1</f>
        <v>0.127709997366804</v>
      </c>
      <c r="G11142" s="13" t="n">
        <f aca="false">Sens!$G$11141/Sens!$D$11141-1</f>
        <v>0.107104468022641</v>
      </c>
      <c r="H11142" s="13" t="n">
        <f aca="false">Sens!$F$11142+(g_sub-Sens!$F$11142)*1/4</f>
        <v>0.113282498025103</v>
      </c>
      <c r="I11142" s="13" t="n">
        <f aca="false">Sens!$F$11142+(g_sub-Sens!$F$11142)*2/4</f>
        <v>0.0988549986834021</v>
      </c>
      <c r="J11142" s="13" t="n">
        <f aca="false">Sens!$F$11142+(g_sub-Sens!$F$11142)*3/4</f>
        <v>0.084427499341701</v>
      </c>
      <c r="K11142" s="13" t="n">
        <f aca="false">Sens!$F$11142+(g_sub-Sens!$F$11142)*4/4</f>
        <v>0.07</v>
      </c>
      <c r="L11142" s="13" t="n">
        <f aca="false">g_sub</f>
        <v>0.07</v>
      </c>
      <c r="M11142" s="13" t="n">
        <f aca="false">g_sub</f>
        <v>0.07</v>
      </c>
      <c r="P11142" s="8" t="s">
        <v>688</v>
      </c>
    </row>
    <row r="11143" customFormat="false" ht="17.15" hidden="false" customHeight="false" outlineLevel="0" collapsed="false">
      <c r="A11143" s="0" t="s">
        <v>531</v>
      </c>
      <c r="B11143" s="0" t="s">
        <v>86</v>
      </c>
      <c r="C11143" s="38" t="n">
        <f aca="false">Q!$D$15</f>
        <v>5.425</v>
      </c>
      <c r="D11143" s="38" t="n">
        <f aca="false">Q!$E$15</f>
        <v>5.935</v>
      </c>
      <c r="E11143" s="38" t="n">
        <f aca="false">Q!$P$15</f>
        <v>3.474</v>
      </c>
      <c r="F11143" s="38" t="n">
        <f aca="false">Sens!$O$11143*(1+Sens!$F$11144)*Sens!$F$11145</f>
        <v>3.22246550883619</v>
      </c>
      <c r="G11143" s="38" t="n">
        <f aca="false">Sens!$E$11143+Sens!$F$11143</f>
        <v>6.69646550883619</v>
      </c>
      <c r="H11143" s="38" t="n">
        <f aca="false">Sens!$G$11143*(1+Sens!$H$11144)</f>
        <v>7.16251344209196</v>
      </c>
      <c r="I11143" s="38" t="n">
        <f aca="false">Sens!$H$11143*(1+Sens!$I$11144)</f>
        <v>7.61421070299826</v>
      </c>
      <c r="J11143" s="38" t="n">
        <f aca="false">Sens!$I$11143*(1+Sens!$J$11144)</f>
        <v>8.04465753523932</v>
      </c>
      <c r="K11143" s="38" t="n">
        <f aca="false">Sens!$J$11143*(1+Sens!$K$11144)</f>
        <v>8.44689041200128</v>
      </c>
      <c r="L11143" s="38" t="n">
        <f aca="false">Sens!$K$11143*(1+Sens!$L$11144)</f>
        <v>8.86923493260135</v>
      </c>
      <c r="M11143" s="38" t="n">
        <f aca="false">Sens!$L$11143*(1+Sens!$M$11144)</f>
        <v>9.31269667923142</v>
      </c>
      <c r="N11143" s="38" t="n">
        <f aca="false">Q!$N$15</f>
        <v>2.811</v>
      </c>
      <c r="O11143" s="38" t="n">
        <f aca="false">Q!$O$15</f>
        <v>3.124</v>
      </c>
      <c r="P11143" s="8" t="s">
        <v>678</v>
      </c>
    </row>
    <row r="11144" customFormat="false" ht="17.15" hidden="false" customHeight="false" outlineLevel="0" collapsed="false">
      <c r="A11144" s="0" t="s">
        <v>689</v>
      </c>
      <c r="B11144" s="0" t="s">
        <v>52</v>
      </c>
      <c r="E11144" s="13" t="n">
        <f aca="false">Sens!$E$11143/Sens!$N$11143-1</f>
        <v>0.235859124866596</v>
      </c>
      <c r="F11144" s="13" t="n">
        <f aca="false">Sens!$O$11143/(Q!$F$15+Q!$G$15)-1</f>
        <v>0.0761281433000345</v>
      </c>
      <c r="G11144" s="13" t="n">
        <f aca="false">Sens!$G$11143/Sens!$D$11143-1</f>
        <v>0.128300843948811</v>
      </c>
      <c r="H11144" s="13" t="n">
        <f aca="false">Sens!$F$11144+(g_ot-Sens!$F$11144)*1/4</f>
        <v>0.0695961074750259</v>
      </c>
      <c r="I11144" s="13" t="n">
        <f aca="false">Sens!$F$11144+(g_ot-Sens!$F$11144)*2/4</f>
        <v>0.0630640716500172</v>
      </c>
      <c r="J11144" s="13" t="n">
        <f aca="false">Sens!$F$11144+(g_ot-Sens!$F$11144)*3/4</f>
        <v>0.0565320358250086</v>
      </c>
      <c r="K11144" s="13" t="n">
        <f aca="false">Sens!$F$11144+(g_ot-Sens!$F$11144)*4/4</f>
        <v>0.05</v>
      </c>
      <c r="L11144" s="13" t="n">
        <f aca="false">g_ot</f>
        <v>0.05</v>
      </c>
      <c r="M11144" s="13" t="n">
        <f aca="false">g_ot</f>
        <v>0.05</v>
      </c>
      <c r="P11144" s="8" t="s">
        <v>690</v>
      </c>
    </row>
    <row r="11145" customFormat="false" ht="17.15" hidden="false" customHeight="false" outlineLevel="0" collapsed="false">
      <c r="A11145" s="0" t="s">
        <v>691</v>
      </c>
      <c r="B11145" s="0" t="s">
        <v>57</v>
      </c>
      <c r="F11145" s="40" t="n">
        <f aca="false">(g26q3_mid*Q!$O$8/Q!$J$8-Thesis!$F$89-Thesis!$F$93)/(Sens!$O$11133*(1+Sens!$F$11134)+Sens!$O$11135*(1+Sens!$F$11136)+Sens!$O$11137*(1+Sens!$F$11138)+Sens!$O$11139*(1+Sens!$F$11140)+Sens!$O$11141*(1+Sens!$F$11142)+Sens!$O$11143*(1+Sens!$F$11144))</f>
        <v>0.958546670622329</v>
      </c>
      <c r="P11145" s="8" t="s">
        <v>692</v>
      </c>
    </row>
    <row r="11146" customFormat="false" ht="17.15" hidden="false" customHeight="false" outlineLevel="0" collapsed="false">
      <c r="A11146" s="3" t="s">
        <v>693</v>
      </c>
      <c r="B11146" s="8" t="s">
        <v>86</v>
      </c>
      <c r="C11146" s="38" t="n">
        <f aca="false">Sens!$C$11133+Sens!$C$11135+Sens!$C$11137+Sens!$C$11139+Sens!$C$11141+Sens!$C$11143</f>
        <v>530.403</v>
      </c>
      <c r="D11146" s="38" t="n">
        <f aca="false">Sens!$D$11133+Sens!$D$11135+Sens!$D$11137+Sens!$D$11139+Sens!$D$11141+Sens!$D$11143</f>
        <v>588.199</v>
      </c>
      <c r="E11146" s="38" t="n">
        <f aca="false">Sens!$E$11133+Sens!$E$11135+Sens!$E$11137+Sens!$E$11139+Sens!$E$11141+Sens!$E$11143</f>
        <v>302.306</v>
      </c>
      <c r="F11146" s="38" t="n">
        <f aca="false">Sens!$F$11133+Sens!$F$11135+Sens!$F$11137+Sens!$F$11139+Sens!$F$11141+Sens!$F$11143</f>
        <v>349.048241645537</v>
      </c>
      <c r="G11146" s="38" t="n">
        <f aca="false">Sens!$G$11133+Sens!$G$11135+Sens!$G$11137+Sens!$G$11139+Sens!$G$11141+Sens!$G$11143</f>
        <v>651.354241645537</v>
      </c>
      <c r="H11146" s="38" t="n">
        <f aca="false">Sens!$H$11133+Sens!$H$11135+Sens!$H$11137+Sens!$H$11139+Sens!$H$11141+Sens!$H$11143</f>
        <v>721.096889521386</v>
      </c>
      <c r="I11146" s="38" t="n">
        <f aca="false">Sens!$I$11133+Sens!$I$11135+Sens!$I$11137+Sens!$I$11139+Sens!$I$11141+Sens!$I$11143</f>
        <v>788.529391152531</v>
      </c>
      <c r="J11146" s="38" t="n">
        <f aca="false">Sens!$J$11133+Sens!$J$11135+Sens!$J$11137+Sens!$J$11139+Sens!$J$11141+Sens!$J$11143</f>
        <v>851.108405741443</v>
      </c>
      <c r="K11146" s="38" t="n">
        <f aca="false">Sens!$K$11133+Sens!$K$11135+Sens!$K$11137+Sens!$K$11139+Sens!$K$11141+Sens!$K$11143</f>
        <v>906.176455431088</v>
      </c>
      <c r="L11146" s="38" t="n">
        <f aca="false">Sens!$L$11133+Sens!$L$11135+Sens!$L$11137+Sens!$L$11139+Sens!$L$11141+Sens!$L$11143</f>
        <v>965.093106475589</v>
      </c>
      <c r="M11146" s="38" t="n">
        <f aca="false">Sens!$M$11133+Sens!$M$11135+Sens!$M$11137+Sens!$M$11139+Sens!$M$11141+Sens!$M$11143</f>
        <v>1028.14790794689</v>
      </c>
      <c r="N11146" s="38" t="n">
        <f aca="false">Sens!$N$11133+Sens!$N$11135+Sens!$N$11137+Sens!$N$11139+Sens!$N$11141+Sens!$N$11143</f>
        <v>263.229</v>
      </c>
      <c r="O11146" s="38" t="n">
        <f aca="false">Sens!$O$11133+Sens!$O$11135+Sens!$O$11137+Sens!$O$11139+Sens!$O$11141+Sens!$O$11143</f>
        <v>324.97</v>
      </c>
    </row>
    <row r="11147" customFormat="false" ht="17.15" hidden="false" customHeight="false" outlineLevel="0" collapsed="false">
      <c r="A11147" s="5" t="s">
        <v>694</v>
      </c>
      <c r="B11147" s="0" t="s">
        <v>52</v>
      </c>
      <c r="C11147" s="13" t="n">
        <f aca="false">Q!$D$5/(Q!$D$5+Q!$D$6)</f>
        <v>0.730570905519011</v>
      </c>
      <c r="D11147" s="13" t="n">
        <f aca="false">Q!$E$5/(Q!$E$5+Q!$E$6)</f>
        <v>0.724763217890544</v>
      </c>
      <c r="E11147" s="13" t="n">
        <f aca="false">Q!$P$5/(Q!$P$5+Q!$P$6)</f>
        <v>0.728797972914861</v>
      </c>
      <c r="F11147" s="13" t="n">
        <f aca="false">Sens!$O$11147</f>
        <v>0.718066283041511</v>
      </c>
      <c r="G11147" s="13" t="n">
        <f aca="false">Sens!$G$11148/Sens!$G$11146</f>
        <v>0.723047066202847</v>
      </c>
      <c r="H11147" s="13" t="n">
        <f aca="false">Sens!$G$11147</f>
        <v>0.723047066202847</v>
      </c>
      <c r="I11147" s="13" t="n">
        <f aca="false">Sens!$G$11147</f>
        <v>0.723047066202847</v>
      </c>
      <c r="J11147" s="13" t="n">
        <f aca="false">Sens!$G$11147</f>
        <v>0.723047066202847</v>
      </c>
      <c r="K11147" s="13" t="n">
        <f aca="false">Sens!$G$11147</f>
        <v>0.723047066202847</v>
      </c>
      <c r="L11147" s="13" t="n">
        <f aca="false">Sens!$G$11147</f>
        <v>0.723047066202847</v>
      </c>
      <c r="M11147" s="13" t="n">
        <f aca="false">Sens!$G$11147</f>
        <v>0.723047066202847</v>
      </c>
      <c r="N11147" s="13" t="n">
        <f aca="false">Q!$N$5/(Q!$N$5+Q!$N$6)</f>
        <v>0.733030935041352</v>
      </c>
      <c r="O11147" s="13" t="n">
        <f aca="false">Q!$O$5/(Q!$O$5+Q!$O$6)</f>
        <v>0.718066283041511</v>
      </c>
      <c r="P11147" s="8" t="s">
        <v>695</v>
      </c>
    </row>
    <row r="11148" customFormat="false" ht="17.15" hidden="false" customHeight="false" outlineLevel="0" collapsed="false">
      <c r="A11148" s="1" t="s">
        <v>519</v>
      </c>
      <c r="B11148" s="8" t="s">
        <v>86</v>
      </c>
      <c r="C11148" s="38" t="n">
        <f aca="false">Q!$D$5</f>
        <v>387.497</v>
      </c>
      <c r="D11148" s="38" t="n">
        <f aca="false">Q!$E$5</f>
        <v>426.305</v>
      </c>
      <c r="E11148" s="38" t="n">
        <f aca="false">Q!$P$5</f>
        <v>220.32</v>
      </c>
      <c r="F11148" s="38" t="n">
        <f aca="false">Sens!$F$11146*Sens!$F$11147</f>
        <v>250.639773480586</v>
      </c>
      <c r="G11148" s="38" t="n">
        <f aca="false">Sens!$E$11148+Sens!$F$11148</f>
        <v>470.959773480586</v>
      </c>
      <c r="H11148" s="38" t="n">
        <f aca="false">Sens!$H$11146*Sens!$H$11147</f>
        <v>521.386990416437</v>
      </c>
      <c r="I11148" s="38" t="n">
        <f aca="false">Sens!$I$11146*Sens!$I$11147</f>
        <v>570.143862887555</v>
      </c>
      <c r="J11148" s="38" t="n">
        <f aca="false">Sens!$J$11146*Sens!$J$11147</f>
        <v>615.391435791933</v>
      </c>
      <c r="K11148" s="38" t="n">
        <f aca="false">Sens!$K$11146*Sens!$K$11147</f>
        <v>655.208227561543</v>
      </c>
      <c r="L11148" s="38" t="n">
        <f aca="false">Sens!$L$11146*Sens!$L$11147</f>
        <v>697.807739249767</v>
      </c>
      <c r="M11148" s="38" t="n">
        <f aca="false">Sens!$M$11146*Sens!$M$11147</f>
        <v>743.399328463592</v>
      </c>
      <c r="N11148" s="38" t="n">
        <f aca="false">Q!$N$5</f>
        <v>192.955</v>
      </c>
      <c r="O11148" s="38" t="n">
        <f aca="false">Q!$O$5</f>
        <v>233.35</v>
      </c>
      <c r="P11148" s="5" t="s">
        <v>696</v>
      </c>
    </row>
    <row r="11149" customFormat="false" ht="17.15" hidden="false" customHeight="false" outlineLevel="0" collapsed="false">
      <c r="A11149" s="1" t="s">
        <v>522</v>
      </c>
      <c r="B11149" s="8" t="s">
        <v>86</v>
      </c>
      <c r="C11149" s="38" t="n">
        <f aca="false">Q!$D$6</f>
        <v>142.906</v>
      </c>
      <c r="D11149" s="38" t="n">
        <f aca="false">Q!$E$6</f>
        <v>161.894</v>
      </c>
      <c r="E11149" s="38" t="n">
        <f aca="false">Q!$P$6</f>
        <v>81.986</v>
      </c>
      <c r="F11149" s="38" t="n">
        <f aca="false">Sens!$F$11146*(1-Sens!$F$11147)</f>
        <v>98.408468164951</v>
      </c>
      <c r="G11149" s="38" t="n">
        <f aca="false">Sens!$E$11149+Sens!$F$11149</f>
        <v>180.394468164951</v>
      </c>
      <c r="H11149" s="38" t="n">
        <f aca="false">Sens!$H$11146*(1-Sens!$H$11147)</f>
        <v>199.709899104949</v>
      </c>
      <c r="I11149" s="38" t="n">
        <f aca="false">Sens!$I$11146*(1-Sens!$I$11147)</f>
        <v>218.385528264976</v>
      </c>
      <c r="J11149" s="38" t="n">
        <f aca="false">Sens!$J$11146*(1-Sens!$J$11147)</f>
        <v>235.71696994951</v>
      </c>
      <c r="K11149" s="38" t="n">
        <f aca="false">Sens!$K$11146*(1-Sens!$K$11147)</f>
        <v>250.968227869545</v>
      </c>
      <c r="L11149" s="38" t="n">
        <f aca="false">Sens!$L$11146*(1-Sens!$L$11147)</f>
        <v>267.285367225822</v>
      </c>
      <c r="M11149" s="38" t="n">
        <f aca="false">Sens!$M$11146*(1-Sens!$M$11147)</f>
        <v>284.748579483295</v>
      </c>
      <c r="N11149" s="38" t="n">
        <f aca="false">Q!$N$6</f>
        <v>70.274</v>
      </c>
      <c r="O11149" s="38" t="n">
        <f aca="false">Q!$O$6</f>
        <v>91.62</v>
      </c>
      <c r="P11149" s="5" t="s">
        <v>697</v>
      </c>
    </row>
    <row r="11150" customFormat="false" ht="17.15" hidden="false" customHeight="false" outlineLevel="0" collapsed="false">
      <c r="A11150" s="5" t="s">
        <v>698</v>
      </c>
      <c r="B11150" s="0" t="s">
        <v>86</v>
      </c>
      <c r="C11150" s="38" t="n">
        <f aca="false">Sens!$C$11139*Sens!$C$11147</f>
        <v>41.0683128828457</v>
      </c>
      <c r="D11150" s="38" t="n">
        <f aca="false">Sens!$D$11139*Sens!$D$11147</f>
        <v>49.7441234599175</v>
      </c>
      <c r="E11150" s="38" t="n">
        <f aca="false">Sens!$E$11139*Sens!$E$11147</f>
        <v>27.0034224924414</v>
      </c>
      <c r="F11150" s="38" t="n">
        <f aca="false">Sens!$F$11139*Sens!$F$11147</f>
        <v>33.1439448330513</v>
      </c>
      <c r="G11150" s="38" t="n">
        <f aca="false">Sens!$G$11139*Sens!$G$11147</f>
        <v>60.164183844083</v>
      </c>
      <c r="H11150" s="38" t="n">
        <f aca="false">Sens!$H$11139*Sens!$H$11147</f>
        <v>72.2301766552629</v>
      </c>
      <c r="I11150" s="38" t="n">
        <f aca="false">Sens!$I$11139*Sens!$I$11147</f>
        <v>84.2950764463991</v>
      </c>
      <c r="J11150" s="38" t="n">
        <f aca="false">Sens!$J$11139*Sens!$J$11147</f>
        <v>95.5499047729386</v>
      </c>
      <c r="K11150" s="38" t="n">
        <f aca="false">Sens!$K$11139*Sens!$K$11147</f>
        <v>105.104895250232</v>
      </c>
      <c r="L11150" s="38" t="n">
        <f aca="false">Sens!$L$11139*Sens!$L$11147</f>
        <v>115.615384775256</v>
      </c>
      <c r="M11150" s="38" t="n">
        <f aca="false">Sens!$M$11139*Sens!$M$11147</f>
        <v>127.176923252781</v>
      </c>
      <c r="N11150" s="38" t="n">
        <f aca="false">Sens!$N$11139*Sens!$N$11147</f>
        <v>21.7087111412496</v>
      </c>
      <c r="O11150" s="38" t="n">
        <f aca="false">Sens!$O$11139*Sens!$O$11147</f>
        <v>28.0189463642798</v>
      </c>
      <c r="P11150" s="5" t="s">
        <v>699</v>
      </c>
    </row>
    <row r="11151" customFormat="false" ht="15" hidden="false" customHeight="false" outlineLevel="0" collapsed="false">
      <c r="A11151" s="5" t="s">
        <v>700</v>
      </c>
      <c r="B11151" s="0" t="s">
        <v>86</v>
      </c>
      <c r="C11151" s="38" t="n">
        <f aca="false">Sens!$C$11139-Sens!$C$11150</f>
        <v>15.1456871171543</v>
      </c>
      <c r="D11151" s="38" t="n">
        <f aca="false">Sens!$D$11139-Sens!$D$11150</f>
        <v>18.8908765400825</v>
      </c>
      <c r="E11151" s="38" t="n">
        <f aca="false">Sens!$E$11139-Sens!$E$11150</f>
        <v>10.0485775075586</v>
      </c>
      <c r="F11151" s="38" t="n">
        <f aca="false">Sens!$F$11139-Sens!$F$11150</f>
        <v>13.0132771613635</v>
      </c>
      <c r="G11151" s="38" t="n">
        <f aca="false">Sens!$G$11139-Sens!$G$11150</f>
        <v>23.0450381503318</v>
      </c>
      <c r="H11151" s="38" t="n">
        <f aca="false">Sens!$H$11139-Sens!$H$11150</f>
        <v>27.6667457326347</v>
      </c>
      <c r="I11151" s="38" t="n">
        <f aca="false">Sens!$I$11139-Sens!$I$11150</f>
        <v>32.2880346490971</v>
      </c>
      <c r="J11151" s="38" t="n">
        <f aca="false">Sens!$J$11139-Sens!$J$11150</f>
        <v>36.5990371690132</v>
      </c>
      <c r="K11151" s="38" t="n">
        <f aca="false">Sens!$K$11139-Sens!$K$11150</f>
        <v>40.2589408859145</v>
      </c>
      <c r="L11151" s="38" t="n">
        <f aca="false">Sens!$L$11139-Sens!$L$11150</f>
        <v>44.2848349745059</v>
      </c>
      <c r="M11151" s="38" t="n">
        <f aca="false">Sens!$M$11139-Sens!$M$11150</f>
        <v>48.7133184719565</v>
      </c>
      <c r="N11151" s="38" t="n">
        <f aca="false">Sens!$N$11139-Sens!$N$11150</f>
        <v>7.90628885875037</v>
      </c>
      <c r="O11151" s="38" t="n">
        <f aca="false">Sens!$O$11139-Sens!$O$11150</f>
        <v>11.0010536357202</v>
      </c>
    </row>
    <row r="11152" customFormat="false" ht="19.4" hidden="false" customHeight="false" outlineLevel="0" collapsed="false">
      <c r="A11152" s="31" t="s">
        <v>1378</v>
      </c>
    </row>
    <row r="11153" customFormat="false" ht="17.15" hidden="false" customHeight="false" outlineLevel="0" collapsed="false">
      <c r="A11153" s="6" t="s">
        <v>16</v>
      </c>
      <c r="B11153" s="6" t="s">
        <v>17</v>
      </c>
      <c r="C11153" s="20" t="s">
        <v>504</v>
      </c>
      <c r="D11153" s="20" t="s">
        <v>505</v>
      </c>
      <c r="E11153" s="20" t="s">
        <v>587</v>
      </c>
      <c r="F11153" s="20" t="s">
        <v>588</v>
      </c>
      <c r="G11153" s="20" t="s">
        <v>589</v>
      </c>
      <c r="H11153" s="20" t="s">
        <v>590</v>
      </c>
      <c r="I11153" s="20" t="s">
        <v>591</v>
      </c>
      <c r="J11153" s="20" t="s">
        <v>592</v>
      </c>
      <c r="K11153" s="20" t="s">
        <v>593</v>
      </c>
      <c r="L11153" s="20" t="s">
        <v>594</v>
      </c>
      <c r="M11153" s="20" t="s">
        <v>595</v>
      </c>
      <c r="N11153" s="20" t="s">
        <v>596</v>
      </c>
      <c r="O11153" s="20" t="s">
        <v>597</v>
      </c>
      <c r="P11153" s="6" t="s">
        <v>23</v>
      </c>
      <c r="R11153" s="20" t="n">
        <v>2023</v>
      </c>
      <c r="S11153" s="20" t="n">
        <v>2024</v>
      </c>
      <c r="T11153" s="20" t="n">
        <v>2025</v>
      </c>
      <c r="U11153" s="20" t="n">
        <v>2026</v>
      </c>
      <c r="V11153" s="20" t="n">
        <v>2027</v>
      </c>
      <c r="W11153" s="20" t="n">
        <v>2028</v>
      </c>
      <c r="X11153" s="20" t="n">
        <v>2029</v>
      </c>
      <c r="Y11153" s="20" t="n">
        <v>2030</v>
      </c>
      <c r="Z11153" s="20" t="n">
        <v>2031</v>
      </c>
      <c r="AA11153" s="20" t="n">
        <v>2032</v>
      </c>
    </row>
    <row r="11154" customFormat="false" ht="17.15" hidden="false" customHeight="false" outlineLevel="0" collapsed="false">
      <c r="A11154" s="1" t="s">
        <v>598</v>
      </c>
    </row>
    <row r="11155" customFormat="false" ht="17.15" hidden="false" customHeight="false" outlineLevel="0" collapsed="false">
      <c r="A11155" s="5" t="s">
        <v>599</v>
      </c>
      <c r="B11155" s="0" t="s">
        <v>144</v>
      </c>
      <c r="H11155" s="32" t="n">
        <f aca="false">pace_B</f>
        <v>3634.3</v>
      </c>
      <c r="I11155" s="32" t="n">
        <f aca="false">pace_B</f>
        <v>3634.3</v>
      </c>
      <c r="J11155" s="32" t="n">
        <f aca="false">pace_B</f>
        <v>3634.3</v>
      </c>
      <c r="K11155" s="32" t="n">
        <f aca="false">pace_B+(Sens!$J$11156*tg-pace_B)*1/3</f>
        <v>2570.86716666667</v>
      </c>
      <c r="L11155" s="32" t="n">
        <f aca="false">pace_B+(Sens!$J$11156*tg-pace_B)*2/3</f>
        <v>1507.43433333333</v>
      </c>
      <c r="M11155" s="32" t="n">
        <f aca="false">pace_B+(Sens!$J$11156*tg-pace_B)*3/3</f>
        <v>444.0015</v>
      </c>
      <c r="P11155" s="5" t="s">
        <v>600</v>
      </c>
    </row>
    <row r="11156" customFormat="false" ht="17.15" hidden="false" customHeight="false" outlineLevel="0" collapsed="false">
      <c r="A11156" s="15" t="s">
        <v>601</v>
      </c>
      <c r="B11156" s="14" t="s">
        <v>129</v>
      </c>
      <c r="C11156" s="33" t="n">
        <f aca="false">mw_ye24</f>
        <v>360</v>
      </c>
      <c r="D11156" s="33" t="n">
        <f aca="false">mw_ye25</f>
        <v>1440</v>
      </c>
      <c r="E11156" s="33" t="n">
        <f aca="false">mw_open</f>
        <v>2080</v>
      </c>
      <c r="F11156" s="33" t="n">
        <f aca="false">Sens!$E$11156+pace_B*0.5</f>
        <v>3897.15</v>
      </c>
      <c r="G11156" s="33" t="n">
        <f aca="false">Sens!$F$11156</f>
        <v>3897.15</v>
      </c>
      <c r="H11156" s="33" t="n">
        <f aca="false">Sens!$G$11156+Sens!$H$11155</f>
        <v>7531.45</v>
      </c>
      <c r="I11156" s="33" t="n">
        <f aca="false">Sens!$H$11156+Sens!$I$11155</f>
        <v>11165.75</v>
      </c>
      <c r="J11156" s="33" t="n">
        <f aca="false">Sens!$I$11156+Sens!$J$11155</f>
        <v>14800.05</v>
      </c>
      <c r="K11156" s="33" t="n">
        <f aca="false">Sens!$J$11156+Sens!$K$11155</f>
        <v>17370.9171666667</v>
      </c>
      <c r="L11156" s="33" t="n">
        <f aca="false">Sens!$K$11156+Sens!$L$11155</f>
        <v>18878.3515</v>
      </c>
      <c r="M11156" s="33" t="n">
        <f aca="false">Sens!$L$11156+Sens!$M$11155</f>
        <v>19322.353</v>
      </c>
      <c r="N11156" s="33" t="n">
        <f aca="false">(mw_ye24+mw_ye25)/2</f>
        <v>900</v>
      </c>
      <c r="O11156" s="33" t="n">
        <f aca="false">mw_ye25</f>
        <v>1440</v>
      </c>
      <c r="P11156" s="5" t="s">
        <v>602</v>
      </c>
    </row>
    <row r="11157" customFormat="false" ht="17.15" hidden="false" customHeight="false" outlineLevel="0" collapsed="false">
      <c r="A11157" s="5" t="s">
        <v>603</v>
      </c>
      <c r="B11157" s="0" t="s">
        <v>129</v>
      </c>
      <c r="C11157" s="32" t="n">
        <f aca="false">(mw_ye23+mw_ye24)/2</f>
        <v>240</v>
      </c>
      <c r="D11157" s="32" t="n">
        <f aca="false">(Sens!$C$11156+Sens!$D$11156)/2</f>
        <v>900</v>
      </c>
      <c r="E11157" s="32" t="n">
        <f aca="false">(Sens!$D$11156+Sens!$E$11156)/2</f>
        <v>1760</v>
      </c>
      <c r="F11157" s="32" t="n">
        <f aca="false">(Sens!$E$11156+Sens!$F$11156)/2</f>
        <v>2988.575</v>
      </c>
      <c r="G11157" s="32" t="n">
        <f aca="false">(Sens!$E$11157+Sens!$F$11157)/2</f>
        <v>2374.2875</v>
      </c>
      <c r="H11157" s="32" t="n">
        <f aca="false">(Sens!$G$11156+Sens!$H$11156)/2</f>
        <v>5714.3</v>
      </c>
      <c r="I11157" s="32" t="n">
        <f aca="false">(Sens!$H$11156+Sens!$I$11156)/2</f>
        <v>9348.6</v>
      </c>
      <c r="J11157" s="32" t="n">
        <f aca="false">(Sens!$I$11156+Sens!$J$11156)/2</f>
        <v>12982.9</v>
      </c>
      <c r="K11157" s="32" t="n">
        <f aca="false">(Sens!$J$11156+Sens!$K$11156)/2</f>
        <v>16085.4835833333</v>
      </c>
      <c r="L11157" s="32" t="n">
        <f aca="false">(Sens!$K$11156+Sens!$L$11156)/2</f>
        <v>18124.6343333333</v>
      </c>
      <c r="M11157" s="32" t="n">
        <f aca="false">(Sens!$L$11156+Sens!$M$11156)/2</f>
        <v>19100.35225</v>
      </c>
      <c r="N11157" s="32" t="n">
        <f aca="false">(Sens!$C$11156+Sens!$N$11156)/2</f>
        <v>630</v>
      </c>
      <c r="O11157" s="32" t="n">
        <f aca="false">(Sens!$N$11156+Sens!$O$11156)/2</f>
        <v>1170</v>
      </c>
    </row>
    <row r="11158" customFormat="false" ht="15" hidden="false" customHeight="false" outlineLevel="0" collapsed="false">
      <c r="A11158" s="5" t="s">
        <v>604</v>
      </c>
      <c r="B11158" s="5" t="s">
        <v>123</v>
      </c>
      <c r="C11158" s="34" t="n">
        <v>1</v>
      </c>
      <c r="D11158" s="34" t="n">
        <v>1</v>
      </c>
      <c r="E11158" s="34" t="n">
        <v>0.5</v>
      </c>
      <c r="F11158" s="34" t="n">
        <v>0.5</v>
      </c>
      <c r="G11158" s="34" t="n">
        <v>1</v>
      </c>
      <c r="H11158" s="34" t="n">
        <v>1</v>
      </c>
      <c r="I11158" s="34" t="n">
        <v>1</v>
      </c>
      <c r="J11158" s="34" t="n">
        <v>1</v>
      </c>
      <c r="K11158" s="34" t="n">
        <v>1</v>
      </c>
      <c r="L11158" s="34" t="n">
        <v>1</v>
      </c>
      <c r="M11158" s="34" t="n">
        <v>1</v>
      </c>
      <c r="N11158" s="34" t="n">
        <v>0.5</v>
      </c>
      <c r="O11158" s="34" t="n">
        <v>0.5</v>
      </c>
    </row>
    <row r="11159" customFormat="false" ht="17.15" hidden="false" customHeight="false" outlineLevel="0" collapsed="false">
      <c r="A11159" s="5" t="s">
        <v>605</v>
      </c>
      <c r="B11159" s="0" t="s">
        <v>129</v>
      </c>
      <c r="C11159" s="32" t="n">
        <f aca="false">Sens!$C$11156-mw_ye23</f>
        <v>240</v>
      </c>
      <c r="D11159" s="32" t="n">
        <f aca="false">Sens!$D$11156-Sens!$C$11156</f>
        <v>1080</v>
      </c>
      <c r="E11159" s="32" t="n">
        <f aca="false">Sens!$E$11156-Sens!$D$11156</f>
        <v>640</v>
      </c>
      <c r="F11159" s="32" t="n">
        <f aca="false">Sens!$F$11156-Sens!$E$11156</f>
        <v>1817.15</v>
      </c>
      <c r="G11159" s="32" t="n">
        <f aca="false">Sens!$E$11159+Sens!$F$11159</f>
        <v>2457.15</v>
      </c>
      <c r="H11159" s="32" t="n">
        <f aca="false">Sens!$H$11156-Sens!$G$11156</f>
        <v>3634.3</v>
      </c>
      <c r="I11159" s="32" t="n">
        <f aca="false">Sens!$I$11156-Sens!$H$11156</f>
        <v>3634.3</v>
      </c>
      <c r="J11159" s="32" t="n">
        <f aca="false">Sens!$J$11156-Sens!$I$11156</f>
        <v>3634.3</v>
      </c>
      <c r="K11159" s="32" t="n">
        <f aca="false">Sens!$K$11156-Sens!$J$11156</f>
        <v>2570.86716666667</v>
      </c>
      <c r="L11159" s="32" t="n">
        <f aca="false">Sens!$L$11156-Sens!$K$11156</f>
        <v>1507.43433333333</v>
      </c>
      <c r="M11159" s="32" t="n">
        <f aca="false">Sens!$M$11156-Sens!$L$11156</f>
        <v>444.001499999999</v>
      </c>
      <c r="N11159" s="32" t="n">
        <f aca="false">Sens!$N$11156-Sens!$C$11156</f>
        <v>540</v>
      </c>
      <c r="O11159" s="32" t="n">
        <f aca="false">Sens!$O$11156-Sens!$N$11156</f>
        <v>540</v>
      </c>
    </row>
    <row r="11160" customFormat="false" ht="17.15" hidden="false" customHeight="false" outlineLevel="0" collapsed="false">
      <c r="A11160" s="5" t="s">
        <v>606</v>
      </c>
      <c r="B11160" s="0" t="s">
        <v>129</v>
      </c>
      <c r="C11160" s="32" t="n">
        <f aca="false">Sens!$C$11159/ext_sh</f>
        <v>300</v>
      </c>
      <c r="D11160" s="32" t="n">
        <f aca="false">Sens!$D$11159/ext_sh</f>
        <v>1350</v>
      </c>
      <c r="E11160" s="32" t="n">
        <f aca="false">Sens!$E$11159/ext_sh</f>
        <v>800</v>
      </c>
      <c r="F11160" s="32" t="n">
        <f aca="false">Sens!$F$11159/ext_sh</f>
        <v>2271.4375</v>
      </c>
      <c r="G11160" s="32" t="n">
        <f aca="false">Sens!$G$11159/ext_sh</f>
        <v>3071.4375</v>
      </c>
      <c r="H11160" s="32" t="n">
        <f aca="false">Sens!$H$11159/ext_sh</f>
        <v>4542.875</v>
      </c>
      <c r="I11160" s="32" t="n">
        <f aca="false">Sens!$I$11159/ext_sh</f>
        <v>4542.875</v>
      </c>
      <c r="J11160" s="32" t="n">
        <f aca="false">Sens!$J$11159/ext_sh</f>
        <v>4542.875</v>
      </c>
      <c r="K11160" s="32" t="n">
        <f aca="false">Sens!$K$11159/ext_sh</f>
        <v>3213.58395833333</v>
      </c>
      <c r="L11160" s="32" t="n">
        <f aca="false">Sens!$L$11159/ext_sh</f>
        <v>1884.29291666667</v>
      </c>
      <c r="M11160" s="32" t="n">
        <f aca="false">Sens!$M$11159/ext_sh</f>
        <v>555.001874999998</v>
      </c>
      <c r="N11160" s="32" t="n">
        <f aca="false">Sens!$N$11159/ext_sh</f>
        <v>675</v>
      </c>
      <c r="O11160" s="32" t="n">
        <f aca="false">Sens!$O$11159/ext_sh</f>
        <v>675</v>
      </c>
      <c r="P11160" s="8" t="s">
        <v>607</v>
      </c>
      <c r="R11160" s="32" t="n">
        <f aca="false">mw_ye23/ext_sh</f>
        <v>150</v>
      </c>
      <c r="S11160" s="32" t="n">
        <f aca="false">Sens!$C$11160</f>
        <v>300</v>
      </c>
      <c r="T11160" s="32" t="n">
        <f aca="false">Sens!$D$11160</f>
        <v>1350</v>
      </c>
      <c r="U11160" s="32" t="n">
        <f aca="false">Sens!$G$11160</f>
        <v>3071.4375</v>
      </c>
      <c r="V11160" s="32" t="n">
        <f aca="false">Sens!$H$11160</f>
        <v>4542.875</v>
      </c>
      <c r="W11160" s="32" t="n">
        <f aca="false">Sens!$I$11160</f>
        <v>4542.875</v>
      </c>
      <c r="X11160" s="32" t="n">
        <f aca="false">Sens!$J$11160</f>
        <v>4542.875</v>
      </c>
      <c r="Y11160" s="32" t="n">
        <f aca="false">Sens!$K$11160</f>
        <v>3213.58395833333</v>
      </c>
      <c r="Z11160" s="32" t="n">
        <f aca="false">Sens!$L$11160</f>
        <v>1884.29291666667</v>
      </c>
      <c r="AA11160" s="32" t="n">
        <f aca="false">Sens!$M$11160</f>
        <v>555.001874999998</v>
      </c>
    </row>
    <row r="11161" customFormat="false" ht="17.15" hidden="false" customHeight="false" outlineLevel="0" collapsed="false">
      <c r="A11161" s="1" t="s">
        <v>608</v>
      </c>
    </row>
    <row r="11162" customFormat="false" ht="17.15" hidden="false" customHeight="false" outlineLevel="0" collapsed="false">
      <c r="A11162" s="0" t="s">
        <v>609</v>
      </c>
      <c r="B11162" s="0" t="s">
        <v>52</v>
      </c>
      <c r="F11162" s="35" t="n">
        <f aca="false">na_vr26</f>
        <v>0</v>
      </c>
      <c r="G11162" s="35" t="n">
        <f aca="false">na_vr26</f>
        <v>0</v>
      </c>
      <c r="H11162" s="35" t="n">
        <f aca="false">na_vr27</f>
        <v>0.5</v>
      </c>
      <c r="I11162" s="35" t="n">
        <f aca="false">na_vr28</f>
        <v>1</v>
      </c>
      <c r="J11162" s="35" t="n">
        <f aca="false">na_vr28</f>
        <v>1</v>
      </c>
      <c r="K11162" s="35" t="n">
        <f aca="false">na_vr28</f>
        <v>1</v>
      </c>
      <c r="L11162" s="35" t="n">
        <f aca="false">na_vr28</f>
        <v>1</v>
      </c>
      <c r="M11162" s="35" t="n">
        <f aca="false">na_vr28</f>
        <v>1</v>
      </c>
    </row>
    <row r="11163" customFormat="false" ht="17.15" hidden="false" customHeight="false" outlineLevel="0" collapsed="false">
      <c r="A11163" s="5" t="s">
        <v>610</v>
      </c>
      <c r="B11163" s="0" t="s">
        <v>173</v>
      </c>
      <c r="F11163" s="36" t="n">
        <f aca="false">cust_sh*tk_he_gb300*cf_chip+(1-cust_sh)*((1-Sens!$F$11162)*tk_he_gb300+Sens!$F$11162*tk_he_vr200)</f>
        <v>10.8864110021101</v>
      </c>
      <c r="G11163" s="36" t="n">
        <f aca="false">cust_sh*tk_he_gb300*cf_chip+(1-cust_sh)*((1-Sens!$G$11162)*tk_he_gb300+Sens!$G$11162*tk_he_vr200)</f>
        <v>10.8864110021101</v>
      </c>
      <c r="H11163" s="36" t="n">
        <f aca="false">cust_sh*tk_he_gb300*cf_chip+(1-cust_sh)*((1-Sens!$H$11162)*tk_he_gb300+Sens!$H$11162*tk_he_vr200)</f>
        <v>11.2211760027286</v>
      </c>
      <c r="I11163" s="36" t="n">
        <f aca="false">cust_sh*tk_he_gb300*cf_chip+(1-cust_sh)*((1-Sens!$I$11162)*tk_he_gb300+Sens!$I$11162*tk_he_vr200)</f>
        <v>11.5559410033471</v>
      </c>
      <c r="J11163" s="36" t="n">
        <f aca="false">cust_sh*tk_he_gb300*cf_chip+(1-cust_sh)*((1-Sens!$J$11162)*tk_he_gb300+Sens!$J$11162*tk_he_vr200)</f>
        <v>11.5559410033471</v>
      </c>
      <c r="K11163" s="36" t="n">
        <f aca="false">cust_sh*tk_he_gb300*cf_chip+(1-cust_sh)*((1-Sens!$K$11162)*tk_he_gb300+Sens!$K$11162*tk_he_vr200)</f>
        <v>11.5559410033471</v>
      </c>
      <c r="L11163" s="36" t="n">
        <f aca="false">cust_sh*tk_he_gb300*cf_chip+(1-cust_sh)*((1-Sens!$L$11162)*tk_he_gb300+Sens!$L$11162*tk_he_vr200)</f>
        <v>11.5559410033471</v>
      </c>
      <c r="M11163" s="36" t="n">
        <f aca="false">cust_sh*tk_he_gb300*cf_chip+(1-cust_sh)*((1-Sens!$M$11162)*tk_he_gb300+Sens!$M$11162*tk_he_vr200)</f>
        <v>11.5559410033471</v>
      </c>
    </row>
    <row r="11164" customFormat="false" ht="17.15" hidden="false" customHeight="false" outlineLevel="0" collapsed="false">
      <c r="A11164" s="5" t="s">
        <v>611</v>
      </c>
      <c r="B11164" s="0" t="s">
        <v>173</v>
      </c>
      <c r="F11164" s="36" t="n">
        <f aca="false">cust_sh*tk_ox_gb300+(1-cust_sh)*((1-Sens!$F$11162)*tk_ox_gb300+Sens!$F$11162*tk_ox_vr200)</f>
        <v>1.98263481314457</v>
      </c>
      <c r="G11164" s="36" t="n">
        <f aca="false">cust_sh*tk_ox_gb300+(1-cust_sh)*((1-Sens!$G$11162)*tk_ox_gb300+Sens!$G$11162*tk_ox_vr200)</f>
        <v>1.98263481314457</v>
      </c>
      <c r="H11164" s="36" t="n">
        <f aca="false">cust_sh*tk_ox_gb300+(1-cust_sh)*((1-Sens!$H$11162)*tk_ox_gb300+Sens!$H$11162*tk_ox_vr200)</f>
        <v>2.01034999693694</v>
      </c>
      <c r="I11164" s="36" t="n">
        <f aca="false">cust_sh*tk_ox_gb300+(1-cust_sh)*((1-Sens!$I$11162)*tk_ox_gb300+Sens!$I$11162*tk_ox_vr200)</f>
        <v>2.0380651807293</v>
      </c>
      <c r="J11164" s="36" t="n">
        <f aca="false">cust_sh*tk_ox_gb300+(1-cust_sh)*((1-Sens!$J$11162)*tk_ox_gb300+Sens!$J$11162*tk_ox_vr200)</f>
        <v>2.0380651807293</v>
      </c>
      <c r="K11164" s="36" t="n">
        <f aca="false">cust_sh*tk_ox_gb300+(1-cust_sh)*((1-Sens!$K$11162)*tk_ox_gb300+Sens!$K$11162*tk_ox_vr200)</f>
        <v>2.0380651807293</v>
      </c>
      <c r="L11164" s="36" t="n">
        <f aca="false">cust_sh*tk_ox_gb300+(1-cust_sh)*((1-Sens!$L$11162)*tk_ox_gb300+Sens!$L$11162*tk_ox_vr200)</f>
        <v>2.0380651807293</v>
      </c>
      <c r="M11164" s="36" t="n">
        <f aca="false">cust_sh*tk_ox_gb300+(1-cust_sh)*((1-Sens!$M$11162)*tk_ox_gb300+Sens!$M$11162*tk_ox_vr200)</f>
        <v>2.0380651807293</v>
      </c>
    </row>
    <row r="11165" customFormat="false" ht="17.15" hidden="false" customHeight="false" outlineLevel="0" collapsed="false">
      <c r="A11165" s="5" t="s">
        <v>612</v>
      </c>
      <c r="B11165" s="0" t="s">
        <v>192</v>
      </c>
      <c r="F11165" s="36" t="n">
        <f aca="false">cust_sh*tk_cx_gb300*cf_cx+(1-cust_sh)*((1-Sens!$F$11162)*tk_cx_gb300+Sens!$F$11162*tk_cx_vr200)</f>
        <v>32.237224</v>
      </c>
      <c r="G11165" s="36" t="n">
        <f aca="false">cust_sh*tk_cx_gb300*cf_cx+(1-cust_sh)*((1-Sens!$G$11162)*tk_cx_gb300+Sens!$G$11162*tk_cx_vr200)</f>
        <v>32.237224</v>
      </c>
      <c r="H11165" s="36" t="n">
        <f aca="false">cust_sh*tk_cx_gb300*cf_cx+(1-cust_sh)*((1-Sens!$H$11162)*tk_cx_gb300+Sens!$H$11162*tk_cx_vr200)</f>
        <v>33.574506</v>
      </c>
      <c r="I11165" s="36" t="n">
        <f aca="false">cust_sh*tk_cx_gb300*cf_cx+(1-cust_sh)*((1-Sens!$I$11162)*tk_cx_gb300+Sens!$I$11162*tk_cx_vr200)</f>
        <v>34.911788</v>
      </c>
      <c r="J11165" s="36" t="n">
        <f aca="false">cust_sh*tk_cx_gb300*cf_cx+(1-cust_sh)*((1-Sens!$J$11162)*tk_cx_gb300+Sens!$J$11162*tk_cx_vr200)</f>
        <v>34.911788</v>
      </c>
      <c r="K11165" s="36" t="n">
        <f aca="false">cust_sh*tk_cx_gb300*cf_cx+(1-cust_sh)*((1-Sens!$K$11162)*tk_cx_gb300+Sens!$K$11162*tk_cx_vr200)</f>
        <v>34.911788</v>
      </c>
      <c r="L11165" s="36" t="n">
        <f aca="false">cust_sh*tk_cx_gb300*cf_cx+(1-cust_sh)*((1-Sens!$L$11162)*tk_cx_gb300+Sens!$L$11162*tk_cx_vr200)</f>
        <v>34.911788</v>
      </c>
      <c r="M11165" s="36" t="n">
        <f aca="false">cust_sh*tk_cx_gb300*cf_cx+(1-cust_sh)*((1-Sens!$M$11162)*tk_cx_gb300+Sens!$M$11162*tk_cx_vr200)</f>
        <v>34.911788</v>
      </c>
    </row>
    <row r="11166" customFormat="false" ht="17.15" hidden="false" customHeight="false" outlineLevel="0" collapsed="false">
      <c r="A11166" s="5" t="s">
        <v>613</v>
      </c>
      <c r="B11166" s="0" t="s">
        <v>129</v>
      </c>
      <c r="F11166" s="32" t="n">
        <f aca="false">Sens!$F$11156-mw_open</f>
        <v>1817.15</v>
      </c>
      <c r="G11166" s="32" t="n">
        <f aca="false">Sens!$F$11166</f>
        <v>1817.15</v>
      </c>
      <c r="H11166" s="32" t="n">
        <f aca="false">Sens!$H$11156-mw_open</f>
        <v>5451.45</v>
      </c>
      <c r="I11166" s="32" t="n">
        <f aca="false">Sens!$I$11156-mw_open</f>
        <v>9085.75</v>
      </c>
      <c r="J11166" s="32" t="n">
        <f aca="false">Sens!$J$11156-mw_open</f>
        <v>12720.05</v>
      </c>
      <c r="K11166" s="32" t="n">
        <f aca="false">Sens!$K$11156-mw_open</f>
        <v>15290.9171666667</v>
      </c>
      <c r="L11166" s="32" t="n">
        <f aca="false">Sens!$L$11156-mw_open</f>
        <v>16798.3515</v>
      </c>
      <c r="M11166" s="32" t="n">
        <f aca="false">Sens!$M$11156-mw_open</f>
        <v>17242.353</v>
      </c>
    </row>
    <row r="11167" customFormat="false" ht="17.15" hidden="false" customHeight="false" outlineLevel="0" collapsed="false">
      <c r="A11167" s="0" t="s">
        <v>614</v>
      </c>
      <c r="B11167" s="0" t="s">
        <v>615</v>
      </c>
      <c r="F11167" s="32" t="n">
        <f aca="false">Sens!$F$11159*Sens!$F$11163</f>
        <v>19782.2417524844</v>
      </c>
      <c r="G11167" s="32" t="n">
        <f aca="false">Sens!$F$11167</f>
        <v>19782.2417524844</v>
      </c>
      <c r="H11167" s="32" t="n">
        <f aca="false">Sens!$G$11167+Sens!$H$11159*Sens!$H$11163</f>
        <v>60563.3616992009</v>
      </c>
      <c r="I11167" s="32" t="n">
        <f aca="false">Sens!$H$11167+Sens!$I$11159*Sens!$I$11163</f>
        <v>102561.118087665</v>
      </c>
      <c r="J11167" s="32" t="n">
        <f aca="false">Sens!$I$11167+Sens!$J$11159*Sens!$J$11163</f>
        <v>144558.87447613</v>
      </c>
      <c r="K11167" s="32" t="n">
        <f aca="false">Sens!$J$11167+Sens!$K$11159*Sens!$K$11163</f>
        <v>174267.663781572</v>
      </c>
      <c r="L11167" s="32" t="n">
        <f aca="false">Sens!$K$11167+Sens!$L$11159*Sens!$L$11163</f>
        <v>191687.486003992</v>
      </c>
      <c r="M11167" s="32" t="n">
        <f aca="false">Sens!$L$11167+Sens!$M$11159*Sens!$M$11163</f>
        <v>196818.341143389</v>
      </c>
    </row>
    <row r="11168" customFormat="false" ht="17.15" hidden="false" customHeight="false" outlineLevel="0" collapsed="false">
      <c r="A11168" s="0" t="s">
        <v>616</v>
      </c>
      <c r="B11168" s="0" t="s">
        <v>615</v>
      </c>
      <c r="F11168" s="32" t="n">
        <f aca="false">Sens!$F$11159*Sens!$F$11164</f>
        <v>3602.74485070566</v>
      </c>
      <c r="G11168" s="32" t="n">
        <f aca="false">Sens!$F$11168</f>
        <v>3602.74485070566</v>
      </c>
      <c r="H11168" s="32" t="n">
        <f aca="false">Sens!$G$11168+Sens!$H$11159*Sens!$H$11164</f>
        <v>10908.9598445736</v>
      </c>
      <c r="I11168" s="32" t="n">
        <f aca="false">Sens!$H$11168+Sens!$I$11159*Sens!$I$11164</f>
        <v>18315.9001308981</v>
      </c>
      <c r="J11168" s="32" t="n">
        <f aca="false">Sens!$I$11168+Sens!$J$11159*Sens!$J$11164</f>
        <v>25722.8404172225</v>
      </c>
      <c r="K11168" s="32" t="n">
        <f aca="false">Sens!$J$11168+Sens!$K$11159*Sens!$K$11164</f>
        <v>30962.4352738861</v>
      </c>
      <c r="L11168" s="32" t="n">
        <f aca="false">Sens!$K$11168+Sens!$L$11159*Sens!$L$11164</f>
        <v>34034.6847008886</v>
      </c>
      <c r="M11168" s="32" t="n">
        <f aca="false">Sens!$L$11168+Sens!$M$11159*Sens!$M$11164</f>
        <v>34939.5886982302</v>
      </c>
    </row>
    <row r="11169" customFormat="false" ht="17.15" hidden="false" customHeight="false" outlineLevel="0" collapsed="false">
      <c r="A11169" s="5" t="s">
        <v>617</v>
      </c>
      <c r="B11169" s="0" t="s">
        <v>173</v>
      </c>
      <c r="F11169" s="36" t="n">
        <f aca="false">IF(Sens!$F$11166&gt;0,Sens!$F$11167/Sens!$F$11166,Sens!$F$11163)</f>
        <v>10.8864110021101</v>
      </c>
      <c r="G11169" s="36" t="n">
        <f aca="false">IF(Sens!$G$11166&gt;0,Sens!$G$11167/Sens!$G$11166,Sens!$G$11163)</f>
        <v>10.8864110021101</v>
      </c>
      <c r="H11169" s="36" t="n">
        <f aca="false">IF(Sens!$H$11166&gt;0,Sens!$H$11167/Sens!$H$11166,Sens!$H$11163)</f>
        <v>11.1095876691891</v>
      </c>
      <c r="I11169" s="36" t="n">
        <f aca="false">IF(Sens!$I$11166&gt;0,Sens!$I$11167/Sens!$I$11166,Sens!$I$11163)</f>
        <v>11.2881290028523</v>
      </c>
      <c r="J11169" s="36" t="n">
        <f aca="false">IF(Sens!$J$11166&gt;0,Sens!$J$11167/Sens!$J$11166,Sens!$J$11163)</f>
        <v>11.3646467172794</v>
      </c>
      <c r="K11169" s="36" t="n">
        <f aca="false">IF(Sens!$K$11166&gt;0,Sens!$K$11167/Sens!$K$11166,Sens!$K$11163)</f>
        <v>11.3968090914432</v>
      </c>
      <c r="L11169" s="36" t="n">
        <f aca="false">IF(Sens!$L$11166&gt;0,Sens!$L$11167/Sens!$L$11166,Sens!$L$11163)</f>
        <v>11.4110891181192</v>
      </c>
      <c r="M11169" s="36" t="n">
        <f aca="false">IF(Sens!$M$11166&gt;0,Sens!$M$11167/Sens!$M$11166,Sens!$M$11163)</f>
        <v>11.4148191458201</v>
      </c>
    </row>
    <row r="11170" customFormat="false" ht="17.15" hidden="false" customHeight="false" outlineLevel="0" collapsed="false">
      <c r="A11170" s="5" t="s">
        <v>618</v>
      </c>
      <c r="B11170" s="0" t="s">
        <v>173</v>
      </c>
      <c r="F11170" s="36" t="n">
        <f aca="false">IF(Sens!$F$11166&gt;0,Sens!$F$11168/Sens!$F$11166,Sens!$F$11164)</f>
        <v>1.98263481314457</v>
      </c>
      <c r="G11170" s="36" t="n">
        <f aca="false">IF(Sens!$G$11166&gt;0,Sens!$G$11168/Sens!$G$11166,Sens!$G$11164)</f>
        <v>1.98263481314457</v>
      </c>
      <c r="H11170" s="36" t="n">
        <f aca="false">IF(Sens!$H$11166&gt;0,Sens!$H$11168/Sens!$H$11166,Sens!$H$11164)</f>
        <v>2.00111160233948</v>
      </c>
      <c r="I11170" s="36" t="n">
        <f aca="false">IF(Sens!$I$11166&gt;0,Sens!$I$11168/Sens!$I$11166,Sens!$I$11164)</f>
        <v>2.01589303369541</v>
      </c>
      <c r="J11170" s="36" t="n">
        <f aca="false">IF(Sens!$J$11166&gt;0,Sens!$J$11168/Sens!$J$11166,Sens!$J$11164)</f>
        <v>2.02222793284795</v>
      </c>
      <c r="K11170" s="36" t="n">
        <f aca="false">IF(Sens!$K$11166&gt;0,Sens!$K$11168/Sens!$K$11166,Sens!$K$11164)</f>
        <v>2.02489065478573</v>
      </c>
      <c r="L11170" s="36" t="n">
        <f aca="false">IF(Sens!$L$11166&gt;0,Sens!$L$11168/Sens!$L$11166,Sens!$L$11164)</f>
        <v>2.0260728977417</v>
      </c>
      <c r="M11170" s="36" t="n">
        <f aca="false">IF(Sens!$M$11166&gt;0,Sens!$M$11168/Sens!$M$11166,Sens!$M$11164)</f>
        <v>2.02638170661685</v>
      </c>
    </row>
    <row r="11171" customFormat="false" ht="17.15" hidden="false" customHeight="false" outlineLevel="0" collapsed="false">
      <c r="A11171" s="15" t="s">
        <v>619</v>
      </c>
      <c r="B11171" s="14" t="s">
        <v>173</v>
      </c>
      <c r="C11171" s="14"/>
      <c r="D11171" s="14"/>
      <c r="E11171" s="14"/>
      <c r="F11171" s="37" t="n">
        <f aca="false">Sens!$F$11169*k_B</f>
        <v>10.7987645808025</v>
      </c>
      <c r="G11171" s="37" t="n">
        <f aca="false">Sens!$G$11169*k_B</f>
        <v>10.7987645808025</v>
      </c>
      <c r="H11171" s="37" t="n">
        <f aca="false">Sens!$H$11169*k_B</f>
        <v>11.0201444540452</v>
      </c>
      <c r="I11171" s="37" t="n">
        <f aca="false">Sens!$I$11169*k_B</f>
        <v>11.1972483526393</v>
      </c>
      <c r="J11171" s="37" t="n">
        <f aca="false">Sens!$J$11169*k_B</f>
        <v>11.2731500234653</v>
      </c>
      <c r="K11171" s="37" t="n">
        <f aca="false">Sens!$K$11169*k_B</f>
        <v>11.3050534585724</v>
      </c>
      <c r="L11171" s="37" t="n">
        <f aca="false">Sens!$L$11169*k_B</f>
        <v>11.3192185168503</v>
      </c>
      <c r="M11171" s="37" t="n">
        <f aca="false">Sens!$M$11169*k_B</f>
        <v>11.3229185141234</v>
      </c>
      <c r="N11171" s="14"/>
      <c r="O11171" s="14"/>
      <c r="P11171" s="5" t="s">
        <v>620</v>
      </c>
    </row>
    <row r="11172" customFormat="false" ht="17.15" hidden="false" customHeight="false" outlineLevel="0" collapsed="false">
      <c r="A11172" s="5" t="s">
        <v>621</v>
      </c>
      <c r="B11172" s="0" t="s">
        <v>129</v>
      </c>
      <c r="F11172" s="32" t="n">
        <f aca="false">Sens!$F$11166/2</f>
        <v>908.575</v>
      </c>
      <c r="H11172" s="32" t="n">
        <f aca="false">(Sens!$G$11166+Sens!$H$11166)/2</f>
        <v>3634.3</v>
      </c>
      <c r="I11172" s="32" t="n">
        <f aca="false">(Sens!$H$11166+Sens!$I$11166)/2</f>
        <v>7268.6</v>
      </c>
      <c r="J11172" s="32" t="n">
        <f aca="false">(Sens!$I$11166+Sens!$J$11166)/2</f>
        <v>10902.9</v>
      </c>
      <c r="K11172" s="32" t="n">
        <f aca="false">(Sens!$J$11166+Sens!$K$11166)/2</f>
        <v>14005.4835833333</v>
      </c>
      <c r="L11172" s="32" t="n">
        <f aca="false">(Sens!$K$11166+Sens!$L$11166)/2</f>
        <v>16044.6343333333</v>
      </c>
      <c r="M11172" s="32" t="n">
        <f aca="false">(Sens!$L$11166+Sens!$M$11166)/2</f>
        <v>17020.35225</v>
      </c>
    </row>
    <row r="11173" customFormat="false" ht="17.15" hidden="false" customHeight="false" outlineLevel="0" collapsed="false">
      <c r="A11173" s="1" t="s">
        <v>622</v>
      </c>
    </row>
    <row r="11174" customFormat="false" ht="17.15" hidden="false" customHeight="false" outlineLevel="0" collapsed="false">
      <c r="A11174" s="1" t="s">
        <v>623</v>
      </c>
      <c r="B11174" s="8" t="s">
        <v>86</v>
      </c>
      <c r="C11174" s="38" t="n">
        <f aca="false">Sens!$C$11157*rpm_open*Sens!$C$11158/1000</f>
        <v>2.32100535697364</v>
      </c>
      <c r="D11174" s="38" t="n">
        <f aca="false">Sens!$D$11157*rpm_open*Sens!$D$11158/1000</f>
        <v>8.70377008865116</v>
      </c>
      <c r="E11174" s="38" t="n">
        <f aca="false">Sens!$E$11157*rpm_open*Sens!$E$11158/1000</f>
        <v>8.51035297557002</v>
      </c>
      <c r="F11174" s="38" t="n">
        <f aca="false">(mw_open*rpm_open+Sens!$F$11172*Sens!$F$11171)*Sens!$F$11158/1000</f>
        <v>14.9634336447205</v>
      </c>
      <c r="G11174" s="38" t="n">
        <f aca="false">Sens!$E$11174+Sens!$F$11174</f>
        <v>23.4737866202905</v>
      </c>
      <c r="H11174" s="38" t="n">
        <f aca="false">(mw_open*rpm_open+Sens!$H$11172*Sens!$H$11171)/1000</f>
        <v>60.1658907497746</v>
      </c>
      <c r="I11174" s="38" t="n">
        <f aca="false">(mw_open*rpm_open+Sens!$I$11172*Sens!$I$11171)/1000</f>
        <v>101.503699136432</v>
      </c>
      <c r="J11174" s="38" t="n">
        <f aca="false">(mw_open*rpm_open+Sens!$J$11172*Sens!$J$11171)/1000</f>
        <v>143.025407151278</v>
      </c>
      <c r="K11174" s="38" t="n">
        <f aca="false">(mw_open*rpm_open+Sens!$K$11172*Sens!$K$11171)/1000</f>
        <v>178.44812038318</v>
      </c>
      <c r="L11174" s="38" t="n">
        <f aca="false">(mw_open*rpm_open+Sens!$L$11172*Sens!$L$11171)/1000</f>
        <v>201.728101802396</v>
      </c>
      <c r="M11174" s="38" t="n">
        <f aca="false">(mw_open*rpm_open+Sens!$M$11172*Sens!$M$11171)/1000</f>
        <v>212.835441368865</v>
      </c>
      <c r="N11174" s="38" t="n">
        <f aca="false">Sens!$N$11157*rpm_open*Sens!$N$11158/1000</f>
        <v>3.04631953102791</v>
      </c>
      <c r="O11174" s="38" t="n">
        <f aca="false">Sens!$O$11157*rpm_open*Sens!$O$11158/1000</f>
        <v>5.65745055762326</v>
      </c>
      <c r="P11174" s="5" t="s">
        <v>624</v>
      </c>
    </row>
    <row r="11175" customFormat="false" ht="17.15" hidden="false" customHeight="false" outlineLevel="0" collapsed="false">
      <c r="A11175" s="5" t="s">
        <v>625</v>
      </c>
      <c r="B11175" s="0" t="s">
        <v>173</v>
      </c>
      <c r="C11175" s="36" t="n">
        <f aca="false">Sens!$C$11174*1000/(Sens!$C$11157*Sens!$C$11158)</f>
        <v>9.67085565405685</v>
      </c>
      <c r="D11175" s="36" t="n">
        <f aca="false">Sens!$D$11174*1000/(Sens!$D$11157*Sens!$D$11158)</f>
        <v>9.67085565405685</v>
      </c>
      <c r="E11175" s="36" t="n">
        <f aca="false">Sens!$E$11174*1000/(Sens!$E$11157*Sens!$E$11158)</f>
        <v>9.67085565405685</v>
      </c>
      <c r="F11175" s="36" t="n">
        <f aca="false">Sens!$F$11174*1000/(Sens!$F$11157*Sens!$F$11158)</f>
        <v>10.0137581588017</v>
      </c>
      <c r="G11175" s="36" t="n">
        <f aca="false">Sens!$G$11174*1000/(Sens!$G$11157*Sens!$G$11158)</f>
        <v>9.88666562928478</v>
      </c>
      <c r="H11175" s="36" t="n">
        <f aca="false">Sens!$H$11174*1000/(Sens!$H$11157*Sens!$H$11158)</f>
        <v>10.5290045586992</v>
      </c>
      <c r="I11175" s="36" t="n">
        <f aca="false">Sens!$I$11174*1000/(Sens!$I$11157*Sens!$I$11158)</f>
        <v>10.8576363451674</v>
      </c>
      <c r="J11175" s="36" t="n">
        <f aca="false">Sens!$J$11174*1000/(Sens!$J$11157*Sens!$J$11158)</f>
        <v>11.0164452588619</v>
      </c>
      <c r="K11175" s="36" t="n">
        <f aca="false">Sens!$K$11174*1000/(Sens!$K$11157*Sens!$K$11158)</f>
        <v>11.0937367508227</v>
      </c>
      <c r="L11175" s="36" t="n">
        <f aca="false">Sens!$L$11174*1000/(Sens!$L$11157*Sens!$L$11158)</f>
        <v>11.1300508519168</v>
      </c>
      <c r="M11175" s="36" t="n">
        <f aca="false">Sens!$M$11174*1000/(Sens!$M$11157*Sens!$M$11158)</f>
        <v>11.1430113216297</v>
      </c>
      <c r="N11175" s="36" t="n">
        <f aca="false">Sens!$N$11174*1000/(Sens!$N$11157*Sens!$N$11158)</f>
        <v>9.67085565405685</v>
      </c>
      <c r="O11175" s="36" t="n">
        <f aca="false">Sens!$O$11174*1000/(Sens!$O$11157*Sens!$O$11158)</f>
        <v>9.67085565405685</v>
      </c>
    </row>
    <row r="11176" customFormat="false" ht="17.15" hidden="false" customHeight="false" outlineLevel="0" collapsed="false">
      <c r="A11176" s="0" t="s">
        <v>626</v>
      </c>
      <c r="B11176" s="0" t="s">
        <v>86</v>
      </c>
      <c r="C11176" s="38" t="n">
        <f aca="false">Sens!$C$11157/ext_sh*(ox_open+rent_mw)*Sens!$C$11158/1000</f>
        <v>0.642569210675032</v>
      </c>
      <c r="D11176" s="38" t="n">
        <f aca="false">Sens!$D$11157/ext_sh*(ox_open+rent_mw)*Sens!$D$11158/1000</f>
        <v>2.40963454003137</v>
      </c>
      <c r="E11176" s="38" t="n">
        <f aca="false">Sens!$E$11157/ext_sh*(ox_open+rent_mw)*Sens!$E$11158/1000</f>
        <v>2.35608710580845</v>
      </c>
      <c r="F11176" s="38" t="n">
        <f aca="false">((mw_open*ox_open+Sens!$F$11172*Sens!$F$11170)/ext_sh+Sens!$F$11157/ext_sh*rent_mw)*Sens!$F$11158/1000</f>
        <v>4.05421991106232</v>
      </c>
      <c r="G11176" s="38" t="n">
        <f aca="false">Sens!$E$11176+Sens!$F$11176</f>
        <v>6.41030701687077</v>
      </c>
      <c r="H11176" s="38" t="n">
        <f aca="false">((mw_open*ox_open+Sens!$H$11172*Sens!$H$11170)/ext_sh+Sens!$H$11157/ext_sh*rent_mw)*Sens!$H$11158/1000</f>
        <v>15.8108975546616</v>
      </c>
      <c r="I11176" s="38" t="n">
        <f aca="false">((mw_open*ox_open+Sens!$I$11172*Sens!$I$11170)/ext_sh+Sens!$I$11157/ext_sh*rent_mw)*Sens!$I$11158/1000</f>
        <v>26.1871623400817</v>
      </c>
      <c r="J11176" s="38" t="n">
        <f aca="false">((mw_open*ox_open+Sens!$J$11172*Sens!$J$11170)/ext_sh+Sens!$J$11157/ext_sh*rent_mw)*Sens!$J$11158/1000</f>
        <v>36.5826128954935</v>
      </c>
      <c r="K11176" s="38" t="n">
        <f aca="false">((mw_open*ox_open+Sens!$K$11172*Sens!$K$11170)/ext_sh+Sens!$K$11157/ext_sh*rent_mw)*Sens!$K$11158/1000</f>
        <v>45.4546361137628</v>
      </c>
      <c r="L11176" s="38" t="n">
        <f aca="false">((mw_open*ox_open+Sens!$L$11172*Sens!$L$11170)/ext_sh+Sens!$L$11157/ext_sh*rent_mw)*Sens!$L$11158/1000</f>
        <v>51.2855695554452</v>
      </c>
      <c r="M11176" s="38" t="n">
        <f aca="false">((mw_open*ox_open+Sens!$M$11172*Sens!$M$11170)/ext_sh+Sens!$M$11157/ext_sh*rent_mw)*Sens!$M$11158/1000</f>
        <v>54.0722927838398</v>
      </c>
      <c r="N11176" s="38" t="n">
        <f aca="false">Sens!$N$11157/ext_sh*(ox_open+rent_mw)*Sens!$N$11158/1000</f>
        <v>0.84337208901098</v>
      </c>
      <c r="O11176" s="38" t="n">
        <f aca="false">Sens!$O$11157/ext_sh*(ox_open+rent_mw)*Sens!$O$11158/1000</f>
        <v>1.56626245102039</v>
      </c>
    </row>
    <row r="11177" customFormat="false" ht="17.15" hidden="false" customHeight="false" outlineLevel="0" collapsed="false">
      <c r="A11177" s="0" t="s">
        <v>627</v>
      </c>
      <c r="B11177" s="0" t="s">
        <v>86</v>
      </c>
      <c r="C11177" s="38" t="n">
        <f aca="false">Q!$D$7</f>
        <v>107.556</v>
      </c>
      <c r="D11177" s="38" t="n">
        <f aca="false">Q!$E$7</f>
        <v>128.725</v>
      </c>
      <c r="E11177" s="38" t="n">
        <f aca="false">Q!$P$7</f>
        <v>79.819</v>
      </c>
      <c r="N11177" s="38" t="n">
        <f aca="false">Q!$N$7</f>
        <v>60.14</v>
      </c>
      <c r="O11177" s="38" t="n">
        <f aca="false">Q!$O$7</f>
        <v>68.585</v>
      </c>
    </row>
    <row r="11178" customFormat="false" ht="17.15" hidden="false" customHeight="false" outlineLevel="0" collapsed="false">
      <c r="A11178" s="1" t="s">
        <v>628</v>
      </c>
      <c r="B11178" s="8" t="s">
        <v>86</v>
      </c>
      <c r="C11178" s="38" t="n">
        <f aca="false">Sens!$C$11177-Sens!$C$11174</f>
        <v>105.234994643026</v>
      </c>
      <c r="D11178" s="38" t="n">
        <f aca="false">Sens!$D$11177-Sens!$D$11174</f>
        <v>120.021229911349</v>
      </c>
      <c r="E11178" s="38" t="n">
        <f aca="false">Sens!$E$11177-Sens!$E$11174</f>
        <v>71.30864702443</v>
      </c>
      <c r="F11178" s="38" t="n">
        <f aca="false">Sens!$O$11178*(1+Sens!$F$11179)</f>
        <v>71.7692997942464</v>
      </c>
      <c r="G11178" s="38" t="n">
        <f aca="false">Sens!$E$11178+Sens!$F$11178</f>
        <v>143.077946818676</v>
      </c>
      <c r="H11178" s="38" t="n">
        <f aca="false">Sens!$G$11178*(1+Sens!$H$11179)</f>
        <v>161.017077079203</v>
      </c>
      <c r="I11178" s="38" t="n">
        <f aca="false">Sens!$H$11178*(1+Sens!$I$11179)</f>
        <v>178.769759521457</v>
      </c>
      <c r="J11178" s="38" t="n">
        <f aca="false">Sens!$I$11178*(1+Sens!$J$11179)</f>
        <v>195.775538045907</v>
      </c>
      <c r="K11178" s="38" t="n">
        <f aca="false">Sens!$J$11178*(1+Sens!$K$11179)</f>
        <v>211.43758108958</v>
      </c>
      <c r="L11178" s="38" t="n">
        <f aca="false">Sens!$K$11178*(1+Sens!$L$11179)</f>
        <v>228.352587576746</v>
      </c>
      <c r="M11178" s="38" t="n">
        <f aca="false">Sens!$L$11178*(1+Sens!$M$11179)</f>
        <v>246.620794582886</v>
      </c>
      <c r="N11178" s="38" t="n">
        <f aca="false">Sens!$N$11177-Sens!$N$11174</f>
        <v>57.0936804689721</v>
      </c>
      <c r="O11178" s="38" t="n">
        <f aca="false">Sens!$O$11177-Sens!$O$11174</f>
        <v>62.9275494423768</v>
      </c>
      <c r="P11178" s="5" t="s">
        <v>629</v>
      </c>
    </row>
    <row r="11179" customFormat="false" ht="17.15" hidden="false" customHeight="false" outlineLevel="0" collapsed="false">
      <c r="A11179" s="0" t="s">
        <v>630</v>
      </c>
      <c r="B11179" s="0" t="s">
        <v>52</v>
      </c>
      <c r="D11179" s="13" t="n">
        <f aca="false">Sens!$D$11178/Sens!$C$11178-1</f>
        <v>0.140506827776062</v>
      </c>
      <c r="E11179" s="13" t="n">
        <f aca="false">Sens!$E$11178/Sens!$N$11178-1</f>
        <v>0.248976181579029</v>
      </c>
      <c r="F11179" s="13" t="n">
        <f aca="false">Sens!$D$11179</f>
        <v>0.140506827776062</v>
      </c>
      <c r="G11179" s="13" t="n">
        <f aca="false">Sens!$G$11178/Sens!$D$11178-1</f>
        <v>0.19210532106993</v>
      </c>
      <c r="H11179" s="13" t="n">
        <f aca="false">Sens!$F$11179+(g_awso_lt-Sens!$F$11179)*1/4</f>
        <v>0.125380120832046</v>
      </c>
      <c r="I11179" s="13" t="n">
        <f aca="false">Sens!$F$11179+(g_awso_lt-Sens!$F$11179)*2/4</f>
        <v>0.110253413888031</v>
      </c>
      <c r="J11179" s="13" t="n">
        <f aca="false">Sens!$F$11179+(g_awso_lt-Sens!$F$11179)*3/4</f>
        <v>0.0951267069440154</v>
      </c>
      <c r="K11179" s="13" t="n">
        <f aca="false">Sens!$F$11179+(g_awso_lt-Sens!$F$11179)*4/4</f>
        <v>0.08</v>
      </c>
      <c r="L11179" s="13" t="n">
        <f aca="false">g_awso_lt</f>
        <v>0.08</v>
      </c>
      <c r="M11179" s="13" t="n">
        <f aca="false">g_awso_lt</f>
        <v>0.08</v>
      </c>
      <c r="P11179" s="5" t="s">
        <v>631</v>
      </c>
    </row>
    <row r="11180" customFormat="false" ht="17.15" hidden="false" customHeight="false" outlineLevel="0" collapsed="false">
      <c r="A11180" s="1" t="s">
        <v>632</v>
      </c>
    </row>
    <row r="11181" customFormat="false" ht="17.15" hidden="false" customHeight="false" outlineLevel="0" collapsed="false">
      <c r="A11181" s="0" t="s">
        <v>633</v>
      </c>
      <c r="B11181" s="0" t="s">
        <v>86</v>
      </c>
      <c r="F11181" s="38" t="n">
        <f aca="false">cx_rt*Sens!$F$11146+cx_awso*Sens!$F$11178</f>
        <v>34.9734495387866</v>
      </c>
    </row>
    <row r="11182" customFormat="false" ht="17.15" hidden="false" customHeight="false" outlineLevel="0" collapsed="false">
      <c r="A11182" s="0" t="s">
        <v>634</v>
      </c>
      <c r="B11182" s="0" t="s">
        <v>52</v>
      </c>
      <c r="C11182" s="13" t="n">
        <f aca="false">tk_cx_h100/(tk_cx_h100+tk_fac*(1-colo_sh))</f>
        <v>0.730756458006641</v>
      </c>
      <c r="D11182" s="13" t="n">
        <f aca="false">tk_cx_h100/(tk_cx_h100+tk_fac*(1-colo_sh))</f>
        <v>0.730756458006641</v>
      </c>
      <c r="E11182" s="13" t="n">
        <f aca="false">Sens!$F$11182</f>
        <v>0.760792334328868</v>
      </c>
      <c r="F11182" s="13" t="n">
        <f aca="false">Sens!$F$11165/(Sens!$F$11165+tk_fac*(1-colo_sh))</f>
        <v>0.760792334328868</v>
      </c>
      <c r="G11182" s="13" t="n">
        <f aca="false">Sens!$G$11165/(Sens!$G$11165+tk_fac*(1-colo_sh))</f>
        <v>0.760792334328868</v>
      </c>
      <c r="H11182" s="13" t="n">
        <f aca="false">Sens!$H$11165/(Sens!$H$11165+tk_fac*(1-colo_sh))</f>
        <v>0.768110668862996</v>
      </c>
      <c r="I11182" s="13" t="n">
        <f aca="false">Sens!$I$11165/(Sens!$I$11165+tk_fac*(1-colo_sh))</f>
        <v>0.77499450139483</v>
      </c>
      <c r="J11182" s="13" t="n">
        <f aca="false">Sens!$J$11165/(Sens!$J$11165+tk_fac*(1-colo_sh))</f>
        <v>0.77499450139483</v>
      </c>
      <c r="K11182" s="13" t="n">
        <f aca="false">Sens!$K$11165/(Sens!$K$11165+tk_fac*(1-colo_sh))</f>
        <v>0.77499450139483</v>
      </c>
      <c r="L11182" s="13" t="n">
        <f aca="false">Sens!$L$11165/(Sens!$L$11165+tk_fac*(1-colo_sh))</f>
        <v>0.77499450139483</v>
      </c>
      <c r="M11182" s="13" t="n">
        <f aca="false">Sens!$M$11165/(Sens!$M$11165+tk_fac*(1-colo_sh))</f>
        <v>0.77499450139483</v>
      </c>
    </row>
    <row r="11183" customFormat="false" ht="17.15" hidden="false" customHeight="false" outlineLevel="0" collapsed="false">
      <c r="A11183" s="1" t="s">
        <v>635</v>
      </c>
      <c r="B11183" s="8" t="s">
        <v>86</v>
      </c>
      <c r="C11183" s="38" t="n">
        <f aca="false">Q!$D$46-cx_rt*Q!$D$16-cx_awso*Sens!$C$11178</f>
        <v>25.2781053077374</v>
      </c>
      <c r="D11183" s="38" t="n">
        <f aca="false">Q!$E$46-cx_rt*Q!$E$16-cx_awso*Sens!$D$11178</f>
        <v>69.5686316310026</v>
      </c>
      <c r="E11183" s="38" t="n">
        <f aca="false">Q!$P$46-cx_rt*Q!$P$16-cx_awso*Sens!$E$11178</f>
        <v>64.1899206485108</v>
      </c>
      <c r="F11183" s="38" t="n">
        <f aca="false">capex_g26-Q!$P$46-Sens!$F$11181</f>
        <v>88.7165504612134</v>
      </c>
      <c r="G11183" s="38" t="n">
        <f aca="false">Sens!$E$11183+Sens!$F$11183</f>
        <v>152.906471109724</v>
      </c>
      <c r="H11183" s="38" t="n">
        <f aca="false">Sens!$H$11160*(Sens!$H$11165+tk_fac*(1-colo_sh))/1000+Sens!$H$11184</f>
        <v>198.57136494475</v>
      </c>
      <c r="I11183" s="38" t="n">
        <f aca="false">Sens!$I$11160*(Sens!$I$11165+tk_fac*(1-colo_sh))/1000+Sens!$I$11184</f>
        <v>204.6464699105</v>
      </c>
      <c r="J11183" s="38" t="n">
        <f aca="false">Sens!$J$11160*(Sens!$J$11165+tk_fac*(1-colo_sh))/1000+Sens!$J$11184</f>
        <v>209.8832381105</v>
      </c>
      <c r="K11183" s="38" t="n">
        <f aca="false">Sens!$K$11160*(Sens!$K$11165+tk_fac*(1-colo_sh))/1000+Sens!$K$11184</f>
        <v>155.238385275201</v>
      </c>
      <c r="L11183" s="38" t="n">
        <f aca="false">Sens!$L$11160*(Sens!$L$11165+tk_fac*(1-colo_sh))/1000+Sens!$L$11184</f>
        <v>132.014141639902</v>
      </c>
      <c r="M11183" s="38" t="n">
        <f aca="false">Sens!$M$11160*(Sens!$M$11165+tk_fac*(1-colo_sh))/1000+Sens!$M$11184</f>
        <v>132.230981659852</v>
      </c>
      <c r="P11183" s="5" t="s">
        <v>636</v>
      </c>
      <c r="R11183" s="38" t="n">
        <f aca="false">Q!$C$46-cx_rt*Q!$C$16-cx_awso*(Q!$C$7-mw_ye23/2*rpm_open/1000)</f>
        <v>1.50429979529945</v>
      </c>
      <c r="S11183" s="38" t="n">
        <f aca="false">Sens!$C$11183</f>
        <v>25.2781053077374</v>
      </c>
      <c r="T11183" s="38" t="n">
        <f aca="false">Sens!$D$11183</f>
        <v>69.5686316310026</v>
      </c>
      <c r="U11183" s="38" t="n">
        <f aca="false">Sens!$G$11183</f>
        <v>152.906471109724</v>
      </c>
      <c r="V11183" s="38" t="n">
        <f aca="false">Sens!$H$11183</f>
        <v>198.57136494475</v>
      </c>
      <c r="W11183" s="38" t="n">
        <f aca="false">Sens!$I$11183</f>
        <v>204.6464699105</v>
      </c>
      <c r="X11183" s="38" t="n">
        <f aca="false">Sens!$J$11183</f>
        <v>209.8832381105</v>
      </c>
      <c r="Y11183" s="38" t="n">
        <f aca="false">Sens!$K$11183</f>
        <v>155.238385275201</v>
      </c>
      <c r="Z11183" s="38" t="n">
        <f aca="false">Sens!$L$11183</f>
        <v>132.014141639902</v>
      </c>
      <c r="AA11183" s="38" t="n">
        <f aca="false">Sens!$M$11183</f>
        <v>132.230981659852</v>
      </c>
    </row>
    <row r="11184" customFormat="false" ht="17.15" hidden="false" customHeight="false" outlineLevel="0" collapsed="false">
      <c r="A11184" s="0" t="s">
        <v>637</v>
      </c>
      <c r="B11184" s="0" t="s">
        <v>86</v>
      </c>
      <c r="H11184" s="38" t="n">
        <f aca="false">SUMPRODUCT(--(Sens!$R$11153:$AA$11153=2027-tk_life),Sens!$R$11160:$AA$11160)*Sens!$H$11165/1000</f>
        <v>0</v>
      </c>
      <c r="I11184" s="38" t="n">
        <f aca="false">SUMPRODUCT(--(Sens!$R$11153:$AA$11153=2028-tk_life),Sens!$R$11160:$AA$11160)*Sens!$I$11165/1000</f>
        <v>0</v>
      </c>
      <c r="J11184" s="38" t="n">
        <f aca="false">SUMPRODUCT(--(Sens!$R$11153:$AA$11153=2029-tk_life),Sens!$R$11160:$AA$11160)*Sens!$J$11165/1000</f>
        <v>5.2367682</v>
      </c>
      <c r="K11184" s="38" t="n">
        <f aca="false">SUMPRODUCT(--(Sens!$R$11153:$AA$11153=2030-tk_life),Sens!$R$11160:$AA$11160)*Sens!$K$11165/1000</f>
        <v>10.4735364</v>
      </c>
      <c r="L11184" s="38" t="n">
        <f aca="false">SUMPRODUCT(--(Sens!$R$11153:$AA$11153=2031-tk_life),Sens!$R$11160:$AA$11160)*Sens!$L$11165/1000</f>
        <v>47.1309138</v>
      </c>
      <c r="M11184" s="38" t="n">
        <f aca="false">SUMPRODUCT(--(Sens!$R$11153:$AA$11153=2032-tk_life),Sens!$R$11160:$AA$11160)*Sens!$M$11165/1000</f>
        <v>107.22937485525</v>
      </c>
    </row>
    <row r="11185" customFormat="false" ht="17.15" hidden="false" customHeight="false" outlineLevel="0" collapsed="false">
      <c r="A11185" s="0" t="s">
        <v>638</v>
      </c>
      <c r="B11185" s="0" t="s">
        <v>86</v>
      </c>
      <c r="C11185" s="38" t="n">
        <f aca="false">MIN(Sens!$C$11183,Sens!$C$11160*(tk_cx_h100+tk_fac*(1-colo_sh))/1000)</f>
        <v>11.2938642</v>
      </c>
      <c r="D11185" s="38" t="n">
        <f aca="false">MIN(Sens!$D$11183,Sens!$D$11160*(tk_cx_h100+tk_fac*(1-colo_sh))/1000)</f>
        <v>50.8223889</v>
      </c>
      <c r="E11185" s="38" t="n">
        <f aca="false">MIN(Sens!$E$11183,Sens!$E$11160*(Sens!$F$11165+tk_fac*(1-colo_sh))/1000)</f>
        <v>33.8985792</v>
      </c>
      <c r="F11185" s="38" t="n">
        <f aca="false">Sens!$F$11183</f>
        <v>88.7165504612134</v>
      </c>
      <c r="G11185" s="38" t="n">
        <f aca="false">Sens!$E$11185+Sens!$F$11185</f>
        <v>122.615129661213</v>
      </c>
      <c r="H11185" s="38" t="n">
        <f aca="false">Sens!$H$11183</f>
        <v>198.57136494475</v>
      </c>
      <c r="I11185" s="38" t="n">
        <f aca="false">Sens!$I$11183</f>
        <v>204.6464699105</v>
      </c>
      <c r="J11185" s="38" t="n">
        <f aca="false">Sens!$J$11183</f>
        <v>209.8832381105</v>
      </c>
      <c r="K11185" s="38" t="n">
        <f aca="false">Sens!$K$11183</f>
        <v>155.238385275201</v>
      </c>
      <c r="L11185" s="38" t="n">
        <f aca="false">Sens!$L$11183</f>
        <v>132.014141639902</v>
      </c>
      <c r="M11185" s="38" t="n">
        <f aca="false">Sens!$M$11183</f>
        <v>132.230981659852</v>
      </c>
      <c r="P11185" s="5" t="s">
        <v>639</v>
      </c>
      <c r="R11185" s="38" t="n">
        <f aca="false">MIN(Sens!$R$11183,Sens!$R$11160*(tk_cx_h100+tk_fac*(1-colo_sh))/1000)</f>
        <v>1.50429979529945</v>
      </c>
      <c r="S11185" s="38" t="n">
        <f aca="false">Sens!$C$11185</f>
        <v>11.2938642</v>
      </c>
      <c r="T11185" s="38" t="n">
        <f aca="false">Sens!$D$11185</f>
        <v>50.8223889</v>
      </c>
      <c r="U11185" s="38" t="n">
        <f aca="false">Sens!$G$11185</f>
        <v>122.615129661213</v>
      </c>
      <c r="V11185" s="38" t="n">
        <f aca="false">Sens!$H$11185</f>
        <v>198.57136494475</v>
      </c>
      <c r="W11185" s="38" t="n">
        <f aca="false">Sens!$I$11185</f>
        <v>204.6464699105</v>
      </c>
      <c r="X11185" s="38" t="n">
        <f aca="false">Sens!$J$11185</f>
        <v>209.8832381105</v>
      </c>
      <c r="Y11185" s="38" t="n">
        <f aca="false">Sens!$K$11185</f>
        <v>155.238385275201</v>
      </c>
      <c r="Z11185" s="38" t="n">
        <f aca="false">Sens!$L$11185</f>
        <v>132.014141639902</v>
      </c>
      <c r="AA11185" s="38" t="n">
        <f aca="false">Sens!$M$11185</f>
        <v>132.230981659852</v>
      </c>
    </row>
    <row r="11186" customFormat="false" ht="17.15" hidden="false" customHeight="false" outlineLevel="0" collapsed="false">
      <c r="A11186" s="5" t="s">
        <v>640</v>
      </c>
      <c r="B11186" s="0" t="s">
        <v>86</v>
      </c>
      <c r="C11186" s="38" t="n">
        <f aca="false">Sens!$C$11183-Sens!$C$11185</f>
        <v>13.9842411077374</v>
      </c>
      <c r="D11186" s="38" t="n">
        <f aca="false">Sens!$D$11183-Sens!$D$11185</f>
        <v>18.7462427310026</v>
      </c>
      <c r="E11186" s="38" t="n">
        <f aca="false">Sens!$E$11183-Sens!$E$11185</f>
        <v>30.2913414485108</v>
      </c>
      <c r="F11186" s="38" t="n">
        <f aca="false">Sens!$F$11183-Sens!$F$11185</f>
        <v>0</v>
      </c>
      <c r="G11186" s="38" t="n">
        <f aca="false">Sens!$G$11183-Sens!$G$11185</f>
        <v>30.2913414485108</v>
      </c>
      <c r="H11186" s="38" t="n">
        <f aca="false">Sens!$H$11183-Sens!$H$11185</f>
        <v>0</v>
      </c>
      <c r="I11186" s="38" t="n">
        <f aca="false">Sens!$I$11183-Sens!$I$11185</f>
        <v>0</v>
      </c>
      <c r="J11186" s="38" t="n">
        <f aca="false">Sens!$J$11183-Sens!$J$11185</f>
        <v>0</v>
      </c>
      <c r="K11186" s="38" t="n">
        <f aca="false">Sens!$K$11183-Sens!$K$11185</f>
        <v>0</v>
      </c>
      <c r="L11186" s="38" t="n">
        <f aca="false">Sens!$L$11183-Sens!$L$11185</f>
        <v>0</v>
      </c>
      <c r="M11186" s="38" t="n">
        <f aca="false">Sens!$M$11183-Sens!$M$11185</f>
        <v>0</v>
      </c>
      <c r="P11186" s="5" t="s">
        <v>641</v>
      </c>
      <c r="R11186" s="38" t="n">
        <f aca="false">Sens!$R$11183-Sens!$R$11185</f>
        <v>0</v>
      </c>
      <c r="S11186" s="38" t="n">
        <f aca="false">Sens!$S$11183-Sens!$S$11185</f>
        <v>13.9842411077374</v>
      </c>
      <c r="T11186" s="38" t="n">
        <f aca="false">Sens!$T$11183-Sens!$T$11185</f>
        <v>18.7462427310026</v>
      </c>
      <c r="U11186" s="38" t="n">
        <f aca="false">Sens!$U$11183-Sens!$U$11185</f>
        <v>30.2913414485108</v>
      </c>
      <c r="V11186" s="38" t="n">
        <f aca="false">Sens!$V$11183-Sens!$V$11185</f>
        <v>0</v>
      </c>
      <c r="W11186" s="38" t="n">
        <f aca="false">Sens!$W$11183-Sens!$W$11185</f>
        <v>0</v>
      </c>
      <c r="X11186" s="38" t="n">
        <f aca="false">Sens!$X$11183-Sens!$X$11185</f>
        <v>0</v>
      </c>
      <c r="Y11186" s="38" t="n">
        <f aca="false">Sens!$Y$11183-Sens!$Y$11185</f>
        <v>0</v>
      </c>
      <c r="Z11186" s="38" t="n">
        <f aca="false">Sens!$Z$11183-Sens!$Z$11185</f>
        <v>0</v>
      </c>
      <c r="AA11186" s="38" t="n">
        <f aca="false">Sens!$AA$11183-Sens!$AA$11185</f>
        <v>0</v>
      </c>
    </row>
    <row r="11187" customFormat="false" ht="17.15" hidden="false" customHeight="false" outlineLevel="0" collapsed="false">
      <c r="A11187" s="5" t="s">
        <v>642</v>
      </c>
      <c r="B11187" s="0" t="s">
        <v>86</v>
      </c>
      <c r="R11187" s="38" t="n">
        <f aca="false">Sens!$R$11186*Sens!$C$11182</f>
        <v>0</v>
      </c>
      <c r="S11187" s="38" t="n">
        <f aca="false">Sens!$S$11186*Sens!$C$11182</f>
        <v>10.219074499801</v>
      </c>
      <c r="T11187" s="38" t="n">
        <f aca="false">Sens!$T$11186*Sens!$C$11182</f>
        <v>13.6989379390402</v>
      </c>
      <c r="U11187" s="38" t="n">
        <f aca="false">Sens!$U$11186*Sens!$E$11182</f>
        <v>23.0454203705653</v>
      </c>
      <c r="V11187" s="38" t="n">
        <f aca="false">Sens!$V$11186*Sens!$E$11182</f>
        <v>0</v>
      </c>
      <c r="W11187" s="38" t="n">
        <f aca="false">Sens!$W$11186*Sens!$E$11182</f>
        <v>0</v>
      </c>
      <c r="X11187" s="38" t="n">
        <f aca="false">Sens!$X$11186*Sens!$E$11182</f>
        <v>0</v>
      </c>
      <c r="Y11187" s="38" t="n">
        <f aca="false">Sens!$Y$11186*Sens!$E$11182</f>
        <v>0</v>
      </c>
      <c r="Z11187" s="38" t="n">
        <f aca="false">Sens!$Z$11186*Sens!$E$11182</f>
        <v>0</v>
      </c>
      <c r="AA11187" s="38" t="n">
        <f aca="false">Sens!$AA$11186*Sens!$E$11182</f>
        <v>0</v>
      </c>
    </row>
    <row r="11188" customFormat="false" ht="17.15" hidden="false" customHeight="false" outlineLevel="0" collapsed="false">
      <c r="A11188" s="5" t="s">
        <v>643</v>
      </c>
      <c r="B11188" s="0" t="s">
        <v>86</v>
      </c>
      <c r="R11188" s="38" t="n">
        <f aca="false">SUMPRODUCT(--(Sens!$R$11153:$AA$11153=2023-cip_lag),Sens!$R$11187:$AA$11187)</f>
        <v>0</v>
      </c>
      <c r="S11188" s="38" t="n">
        <f aca="false">SUMPRODUCT(--(Sens!$R$11153:$AA$11153=2024-cip_lag),Sens!$R$11187:$AA$11187)</f>
        <v>0</v>
      </c>
      <c r="T11188" s="38" t="n">
        <f aca="false">SUMPRODUCT(--(Sens!$R$11153:$AA$11153=2025-cip_lag),Sens!$R$11187:$AA$11187)</f>
        <v>10.219074499801</v>
      </c>
      <c r="U11188" s="38" t="n">
        <f aca="false">SUMPRODUCT(--(Sens!$R$11153:$AA$11153=2026-cip_lag),Sens!$R$11187:$AA$11187)</f>
        <v>13.6989379390402</v>
      </c>
      <c r="V11188" s="38" t="n">
        <f aca="false">SUMPRODUCT(--(Sens!$R$11153:$AA$11153=2027-cip_lag),Sens!$R$11187:$AA$11187)</f>
        <v>23.0454203705653</v>
      </c>
      <c r="W11188" s="38" t="n">
        <f aca="false">SUMPRODUCT(--(Sens!$R$11153:$AA$11153=2028-cip_lag),Sens!$R$11187:$AA$11187)</f>
        <v>0</v>
      </c>
      <c r="X11188" s="38" t="n">
        <f aca="false">SUMPRODUCT(--(Sens!$R$11153:$AA$11153=2029-cip_lag),Sens!$R$11187:$AA$11187)</f>
        <v>0</v>
      </c>
      <c r="Y11188" s="38" t="n">
        <f aca="false">SUMPRODUCT(--(Sens!$R$11153:$AA$11153=2030-cip_lag),Sens!$R$11187:$AA$11187)</f>
        <v>0</v>
      </c>
      <c r="Z11188" s="38" t="n">
        <f aca="false">SUMPRODUCT(--(Sens!$R$11153:$AA$11153=2031-cip_lag),Sens!$R$11187:$AA$11187)</f>
        <v>0</v>
      </c>
      <c r="AA11188" s="38" t="n">
        <f aca="false">SUMPRODUCT(--(Sens!$R$11153:$AA$11153=2032-cip_lag),Sens!$R$11187:$AA$11187)</f>
        <v>0</v>
      </c>
    </row>
    <row r="11189" customFormat="false" ht="15" hidden="false" customHeight="false" outlineLevel="0" collapsed="false">
      <c r="A11189" s="5" t="s">
        <v>644</v>
      </c>
      <c r="B11189" s="0" t="s">
        <v>86</v>
      </c>
      <c r="R11189" s="38" t="n">
        <f aca="false">SUMPRODUCT(--(Sens!$R$11153:$AA$11153=2023-cip_lag),Sens!$R$11186:$AA$11186)-Sens!$R$11188</f>
        <v>0</v>
      </c>
      <c r="S11189" s="38" t="n">
        <f aca="false">SUMPRODUCT(--(Sens!$R$11153:$AA$11153=2024-cip_lag),Sens!$R$11186:$AA$11186)-Sens!$S$11188</f>
        <v>0</v>
      </c>
      <c r="T11189" s="38" t="n">
        <f aca="false">SUMPRODUCT(--(Sens!$R$11153:$AA$11153=2025-cip_lag),Sens!$R$11186:$AA$11186)-Sens!$T$11188</f>
        <v>3.76516660793636</v>
      </c>
      <c r="U11189" s="38" t="n">
        <f aca="false">SUMPRODUCT(--(Sens!$R$11153:$AA$11153=2026-cip_lag),Sens!$R$11186:$AA$11186)-Sens!$U$11188</f>
        <v>5.04730479196242</v>
      </c>
      <c r="V11189" s="38" t="n">
        <f aca="false">SUMPRODUCT(--(Sens!$R$11153:$AA$11153=2027-cip_lag),Sens!$R$11186:$AA$11186)-Sens!$V$11188</f>
        <v>7.24592107794548</v>
      </c>
      <c r="W11189" s="38" t="n">
        <f aca="false">SUMPRODUCT(--(Sens!$R$11153:$AA$11153=2028-cip_lag),Sens!$R$11186:$AA$11186)-Sens!$W$11188</f>
        <v>0</v>
      </c>
      <c r="X11189" s="38" t="n">
        <f aca="false">SUMPRODUCT(--(Sens!$R$11153:$AA$11153=2029-cip_lag),Sens!$R$11186:$AA$11186)-Sens!$X$11188</f>
        <v>0</v>
      </c>
      <c r="Y11189" s="38" t="n">
        <f aca="false">SUMPRODUCT(--(Sens!$R$11153:$AA$11153=2030-cip_lag),Sens!$R$11186:$AA$11186)-Sens!$Y$11188</f>
        <v>0</v>
      </c>
      <c r="Z11189" s="38" t="n">
        <f aca="false">SUMPRODUCT(--(Sens!$R$11153:$AA$11153=2031-cip_lag),Sens!$R$11186:$AA$11186)-Sens!$Z$11188</f>
        <v>0</v>
      </c>
      <c r="AA11189" s="38" t="n">
        <f aca="false">SUMPRODUCT(--(Sens!$R$11153:$AA$11153=2032-cip_lag),Sens!$R$11186:$AA$11186)-Sens!$AA$11188</f>
        <v>0</v>
      </c>
    </row>
    <row r="11190" customFormat="false" ht="17.15" hidden="false" customHeight="false" outlineLevel="0" collapsed="false">
      <c r="A11190" s="5" t="s">
        <v>645</v>
      </c>
      <c r="B11190" s="0" t="s">
        <v>86</v>
      </c>
      <c r="C11190" s="38" t="n">
        <f aca="false">Sens!$C$11185*Sens!$C$11182</f>
        <v>8.2530642</v>
      </c>
      <c r="D11190" s="38" t="n">
        <f aca="false">Sens!$D$11185*Sens!$D$11182</f>
        <v>37.1387889</v>
      </c>
      <c r="E11190" s="38" t="n">
        <f aca="false">Sens!$E$11185*Sens!$E$11182</f>
        <v>25.7897792</v>
      </c>
      <c r="F11190" s="38" t="n">
        <f aca="false">Sens!$F$11185*Sens!$F$11182</f>
        <v>67.4948715189913</v>
      </c>
      <c r="G11190" s="38" t="n">
        <f aca="false">Sens!$E$11190+Sens!$F$11190</f>
        <v>93.2846507189913</v>
      </c>
      <c r="H11190" s="38" t="n">
        <f aca="false">(Sens!$H$11185-Sens!$H$11184)*Sens!$H$11182+Sens!$H$11184</f>
        <v>152.52478394475</v>
      </c>
      <c r="I11190" s="38" t="n">
        <f aca="false">(Sens!$I$11185-Sens!$I$11184)*Sens!$I$11182+Sens!$I$11184</f>
        <v>158.5998889105</v>
      </c>
      <c r="J11190" s="38" t="n">
        <f aca="false">(Sens!$J$11185-Sens!$J$11184)*Sens!$J$11182+Sens!$J$11184</f>
        <v>163.8366571105</v>
      </c>
      <c r="K11190" s="38" t="n">
        <f aca="false">(Sens!$K$11185-Sens!$K$11184)*Sens!$K$11182+Sens!$K$11184</f>
        <v>122.665498273534</v>
      </c>
      <c r="L11190" s="38" t="n">
        <f aca="false">(Sens!$L$11185-Sens!$L$11184)*Sens!$L$11182+Sens!$L$11184</f>
        <v>112.914948636568</v>
      </c>
      <c r="M11190" s="38" t="n">
        <f aca="false">(Sens!$M$11185-Sens!$M$11184)*Sens!$M$11182+Sens!$M$11184</f>
        <v>126.605482654852</v>
      </c>
      <c r="R11190" s="38" t="n">
        <f aca="false">Sens!$R$11185*Sens!$C$11182</f>
        <v>1.09927679019314</v>
      </c>
      <c r="S11190" s="38" t="n">
        <f aca="false">Sens!$C$11190</f>
        <v>8.2530642</v>
      </c>
      <c r="T11190" s="38" t="n">
        <f aca="false">Sens!$D$11190</f>
        <v>37.1387889</v>
      </c>
      <c r="U11190" s="38" t="n">
        <f aca="false">Sens!$G$11190</f>
        <v>93.2846507189913</v>
      </c>
      <c r="V11190" s="38" t="n">
        <f aca="false">Sens!$H$11190</f>
        <v>152.52478394475</v>
      </c>
      <c r="W11190" s="38" t="n">
        <f aca="false">Sens!$I$11190</f>
        <v>158.5998889105</v>
      </c>
      <c r="X11190" s="38" t="n">
        <f aca="false">Sens!$J$11190</f>
        <v>163.8366571105</v>
      </c>
      <c r="Y11190" s="38" t="n">
        <f aca="false">Sens!$K$11190</f>
        <v>122.665498273534</v>
      </c>
      <c r="Z11190" s="38" t="n">
        <f aca="false">Sens!$L$11190</f>
        <v>112.914948636568</v>
      </c>
      <c r="AA11190" s="38" t="n">
        <f aca="false">Sens!$M$11190</f>
        <v>126.605482654852</v>
      </c>
    </row>
    <row r="11191" customFormat="false" ht="15" hidden="false" customHeight="false" outlineLevel="0" collapsed="false">
      <c r="A11191" s="5" t="s">
        <v>646</v>
      </c>
      <c r="B11191" s="0" t="s">
        <v>86</v>
      </c>
      <c r="C11191" s="38" t="n">
        <f aca="false">Sens!$C$11185-Sens!$C$11190</f>
        <v>3.0408</v>
      </c>
      <c r="D11191" s="38" t="n">
        <f aca="false">Sens!$D$11185-Sens!$D$11190</f>
        <v>13.6836</v>
      </c>
      <c r="E11191" s="38" t="n">
        <f aca="false">Sens!$E$11185-Sens!$E$11190</f>
        <v>8.1088</v>
      </c>
      <c r="F11191" s="38" t="n">
        <f aca="false">Sens!$F$11185-Sens!$F$11190</f>
        <v>21.2216789422221</v>
      </c>
      <c r="G11191" s="38" t="n">
        <f aca="false">Sens!$G$11185-Sens!$G$11190</f>
        <v>29.3304789422221</v>
      </c>
      <c r="H11191" s="38" t="n">
        <f aca="false">Sens!$H$11185-Sens!$H$11190</f>
        <v>46.046581</v>
      </c>
      <c r="I11191" s="38" t="n">
        <f aca="false">Sens!$I$11185-Sens!$I$11190</f>
        <v>46.046581</v>
      </c>
      <c r="J11191" s="38" t="n">
        <f aca="false">Sens!$J$11185-Sens!$J$11190</f>
        <v>46.046581</v>
      </c>
      <c r="K11191" s="38" t="n">
        <f aca="false">Sens!$K$11185-Sens!$K$11190</f>
        <v>32.5728870016667</v>
      </c>
      <c r="L11191" s="38" t="n">
        <f aca="false">Sens!$L$11185-Sens!$L$11190</f>
        <v>19.0991930033334</v>
      </c>
      <c r="M11191" s="38" t="n">
        <f aca="false">Sens!$M$11185-Sens!$M$11190</f>
        <v>5.62549900499998</v>
      </c>
      <c r="R11191" s="38" t="n">
        <f aca="false">Sens!$R$11185-Sens!$R$11190</f>
        <v>0.405023005106309</v>
      </c>
      <c r="S11191" s="38" t="n">
        <f aca="false">Sens!$S$11185-Sens!$S$11190</f>
        <v>3.0408</v>
      </c>
      <c r="T11191" s="38" t="n">
        <f aca="false">Sens!$T$11185-Sens!$T$11190</f>
        <v>13.6836</v>
      </c>
      <c r="U11191" s="38" t="n">
        <f aca="false">Sens!$U$11185-Sens!$U$11190</f>
        <v>29.3304789422221</v>
      </c>
      <c r="V11191" s="38" t="n">
        <f aca="false">Sens!$V$11185-Sens!$V$11190</f>
        <v>46.046581</v>
      </c>
      <c r="W11191" s="38" t="n">
        <f aca="false">Sens!$W$11185-Sens!$W$11190</f>
        <v>46.046581</v>
      </c>
      <c r="X11191" s="38" t="n">
        <f aca="false">Sens!$X$11185-Sens!$X$11190</f>
        <v>46.046581</v>
      </c>
      <c r="Y11191" s="38" t="n">
        <f aca="false">Sens!$Y$11185-Sens!$Y$11190</f>
        <v>32.5728870016667</v>
      </c>
      <c r="Z11191" s="38" t="n">
        <f aca="false">Sens!$Z$11185-Sens!$Z$11190</f>
        <v>19.0991930033334</v>
      </c>
      <c r="AA11191" s="38" t="n">
        <f aca="false">Sens!$AA$11185-Sens!$AA$11190</f>
        <v>5.62549900499998</v>
      </c>
    </row>
    <row r="11192" customFormat="false" ht="17.15" hidden="false" customHeight="false" outlineLevel="0" collapsed="false">
      <c r="A11192" s="0" t="s">
        <v>647</v>
      </c>
      <c r="B11192" s="0" t="s">
        <v>52</v>
      </c>
      <c r="C11192" s="13" t="n">
        <f aca="false">Sens!$C$11183/Sens!$C$11308</f>
        <v>0.325505489553393</v>
      </c>
      <c r="D11192" s="13" t="n">
        <f aca="false">Sens!$D$11183/Sens!$D$11308</f>
        <v>0.54214956071542</v>
      </c>
      <c r="E11192" s="13" t="n">
        <f aca="false">Sens!$E$11183/Sens!$E$11308</f>
        <v>0.666492790452817</v>
      </c>
      <c r="F11192" s="13" t="n">
        <f aca="false">Sens!$F$11183/Sens!$F$11308</f>
        <v>0.71724917504417</v>
      </c>
      <c r="G11192" s="13" t="n">
        <f aca="false">Sens!$G$11183/Sens!$G$11308</f>
        <v>0.69502941413511</v>
      </c>
      <c r="H11192" s="13" t="n">
        <f aca="false">Sens!$H$11183/Sens!$H$11308</f>
        <v>0.726376041178204</v>
      </c>
      <c r="I11192" s="13" t="n">
        <f aca="false">Sens!$I$11183/Sens!$I$11308</f>
        <v>0.713099092661699</v>
      </c>
      <c r="J11192" s="13" t="n">
        <f aca="false">Sens!$J$11183/Sens!$J$11308</f>
        <v>0.701208348786245</v>
      </c>
      <c r="K11192" s="13" t="n">
        <f aca="false">Sens!$K$11183/Sens!$K$11308</f>
        <v>0.618338844562383</v>
      </c>
      <c r="L11192" s="13" t="n">
        <f aca="false">Sens!$L$11183/Sens!$L$11308</f>
        <v>0.562489158462506</v>
      </c>
      <c r="M11192" s="13" t="n">
        <f aca="false">Sens!$M$11183/Sens!$M$11308</f>
        <v>0.545751190895923</v>
      </c>
    </row>
    <row r="11193" customFormat="false" ht="17.15" hidden="false" customHeight="false" outlineLevel="0" collapsed="false">
      <c r="A11193" s="0" t="s">
        <v>648</v>
      </c>
      <c r="B11193" s="0" t="s">
        <v>86</v>
      </c>
      <c r="C11193" s="38" t="n">
        <f aca="false">Sens!$S$11193</f>
        <v>0.183212798365523</v>
      </c>
      <c r="D11193" s="38" t="n">
        <f aca="false">Sens!$T$11193</f>
        <v>1.55872349836552</v>
      </c>
      <c r="E11193" s="38" t="n">
        <f aca="false">Sens!$G$11193/2</f>
        <v>4.72585036583285</v>
      </c>
      <c r="F11193" s="38" t="n">
        <f aca="false">Sens!$G$11193/2</f>
        <v>4.72585036583285</v>
      </c>
      <c r="G11193" s="38" t="n">
        <f aca="false">Sens!$U$11193</f>
        <v>9.4517007316657</v>
      </c>
      <c r="H11193" s="38" t="n">
        <f aca="false">Sens!$V$11193</f>
        <v>27.2822988413376</v>
      </c>
      <c r="I11193" s="38" t="n">
        <f aca="false">Sens!$W$11193</f>
        <v>56.5439995605568</v>
      </c>
      <c r="J11193" s="38" t="n">
        <f aca="false">Sens!$X$11193</f>
        <v>82.9773143789735</v>
      </c>
      <c r="K11193" s="38" t="n">
        <f aca="false">Sens!$Y$11193</f>
        <v>110.100211099025</v>
      </c>
      <c r="L11193" s="38" t="n">
        <f aca="false">Sens!$Z$11193</f>
        <v>129.16895011128</v>
      </c>
      <c r="M11193" s="38" t="n">
        <f aca="false">Sens!$AA$11193</f>
        <v>140.095130984075</v>
      </c>
      <c r="N11193" s="38" t="n">
        <f aca="false">Sens!$D$11193/2</f>
        <v>0.779361749182762</v>
      </c>
      <c r="O11193" s="38" t="n">
        <f aca="false">Sens!$D$11193/2</f>
        <v>0.779361749182762</v>
      </c>
      <c r="R11193" s="38" t="n">
        <f aca="false">(SUMPRODUCT(--(Sens!$R$11153:$AA$11153&lt;Sens!R$11153),--(Sens!$R$11153:$AA$11153&gt;=Sens!R$11153-tk_life),Sens!$R$11190:$AA$11190)+SUMPRODUCT(--(Sens!$R$11153:$AA$11153&lt;Sens!R$11153),--(Sens!$R$11153:$AA$11153&gt;=Sens!R$11153-tk_life),Sens!$R$11188:$AA$11188))/tk_life</f>
        <v>0</v>
      </c>
      <c r="S11193" s="38" t="n">
        <f aca="false">(SUMPRODUCT(--(Sens!$R$11153:$AA$11153&lt;Sens!S$11153),--(Sens!$R$11153:$AA$11153&gt;=Sens!S$11153-tk_life),Sens!$R$11190:$AA$11190)+SUMPRODUCT(--(Sens!$R$11153:$AA$11153&lt;Sens!S$11153),--(Sens!$R$11153:$AA$11153&gt;=Sens!S$11153-tk_life),Sens!$R$11188:$AA$11188))/tk_life</f>
        <v>0.183212798365523</v>
      </c>
      <c r="T11193" s="38" t="n">
        <f aca="false">(SUMPRODUCT(--(Sens!$R$11153:$AA$11153&lt;Sens!T$11153),--(Sens!$R$11153:$AA$11153&gt;=Sens!T$11153-tk_life),Sens!$R$11190:$AA$11190)+SUMPRODUCT(--(Sens!$R$11153:$AA$11153&lt;Sens!T$11153),--(Sens!$R$11153:$AA$11153&gt;=Sens!T$11153-tk_life),Sens!$R$11188:$AA$11188))/tk_life</f>
        <v>1.55872349836552</v>
      </c>
      <c r="U11193" s="38" t="n">
        <f aca="false">(SUMPRODUCT(--(Sens!$R$11153:$AA$11153&lt;Sens!U$11153),--(Sens!$R$11153:$AA$11153&gt;=Sens!U$11153-tk_life),Sens!$R$11190:$AA$11190)+SUMPRODUCT(--(Sens!$R$11153:$AA$11153&lt;Sens!U$11153),--(Sens!$R$11153:$AA$11153&gt;=Sens!U$11153-tk_life),Sens!$R$11188:$AA$11188))/tk_life</f>
        <v>9.4517007316657</v>
      </c>
      <c r="V11193" s="38" t="n">
        <f aca="false">(SUMPRODUCT(--(Sens!$R$11153:$AA$11153&lt;Sens!V$11153),--(Sens!$R$11153:$AA$11153&gt;=Sens!V$11153-tk_life),Sens!$R$11190:$AA$11190)+SUMPRODUCT(--(Sens!$R$11153:$AA$11153&lt;Sens!V$11153),--(Sens!$R$11153:$AA$11153&gt;=Sens!V$11153-tk_life),Sens!$R$11188:$AA$11188))/tk_life</f>
        <v>27.2822988413376</v>
      </c>
      <c r="W11193" s="38" t="n">
        <f aca="false">(SUMPRODUCT(--(Sens!$R$11153:$AA$11153&lt;Sens!W$11153),--(Sens!$R$11153:$AA$11153&gt;=Sens!W$11153-tk_life),Sens!$R$11190:$AA$11190)+SUMPRODUCT(--(Sens!$R$11153:$AA$11153&lt;Sens!W$11153),--(Sens!$R$11153:$AA$11153&gt;=Sens!W$11153-tk_life),Sens!$R$11188:$AA$11188))/tk_life</f>
        <v>56.5439995605568</v>
      </c>
      <c r="X11193" s="38" t="n">
        <f aca="false">(SUMPRODUCT(--(Sens!$R$11153:$AA$11153&lt;Sens!X$11153),--(Sens!$R$11153:$AA$11153&gt;=Sens!X$11153-tk_life),Sens!$R$11190:$AA$11190)+SUMPRODUCT(--(Sens!$R$11153:$AA$11153&lt;Sens!X$11153),--(Sens!$R$11153:$AA$11153&gt;=Sens!X$11153-tk_life),Sens!$R$11188:$AA$11188))/tk_life</f>
        <v>82.9773143789735</v>
      </c>
      <c r="Y11193" s="38" t="n">
        <f aca="false">(SUMPRODUCT(--(Sens!$R$11153:$AA$11153&lt;Sens!Y$11153),--(Sens!$R$11153:$AA$11153&gt;=Sens!Y$11153-tk_life),Sens!$R$11190:$AA$11190)+SUMPRODUCT(--(Sens!$R$11153:$AA$11153&lt;Sens!Y$11153),--(Sens!$R$11153:$AA$11153&gt;=Sens!Y$11153-tk_life),Sens!$R$11188:$AA$11188))/tk_life</f>
        <v>110.100211099025</v>
      </c>
      <c r="Z11193" s="38" t="n">
        <f aca="false">(SUMPRODUCT(--(Sens!$R$11153:$AA$11153&lt;Sens!Z$11153),--(Sens!$R$11153:$AA$11153&gt;=Sens!Z$11153-tk_life),Sens!$R$11190:$AA$11190)+SUMPRODUCT(--(Sens!$R$11153:$AA$11153&lt;Sens!Z$11153),--(Sens!$R$11153:$AA$11153&gt;=Sens!Z$11153-tk_life),Sens!$R$11188:$AA$11188))/tk_life</f>
        <v>129.16895011128</v>
      </c>
      <c r="AA11193" s="38" t="n">
        <f aca="false">(SUMPRODUCT(--(Sens!$R$11153:$AA$11153&lt;Sens!AA$11153),--(Sens!$R$11153:$AA$11153&gt;=Sens!AA$11153-tk_life),Sens!$R$11190:$AA$11190)+SUMPRODUCT(--(Sens!$R$11153:$AA$11153&lt;Sens!AA$11153),--(Sens!$R$11153:$AA$11153&gt;=Sens!AA$11153-tk_life),Sens!$R$11188:$AA$11188))/tk_life</f>
        <v>140.095130984075</v>
      </c>
    </row>
    <row r="11194" customFormat="false" ht="17.15" hidden="false" customHeight="false" outlineLevel="0" collapsed="false">
      <c r="A11194" s="0" t="s">
        <v>649</v>
      </c>
      <c r="B11194" s="0" t="s">
        <v>86</v>
      </c>
      <c r="C11194" s="38" t="n">
        <f aca="false">Sens!$S$11194</f>
        <v>0.0202511502553155</v>
      </c>
      <c r="D11194" s="38" t="n">
        <f aca="false">Sens!$T$11194</f>
        <v>0.172291150255315</v>
      </c>
      <c r="E11194" s="38" t="n">
        <f aca="false">Sens!$G$11194/2</f>
        <v>0.522364740326067</v>
      </c>
      <c r="F11194" s="38" t="n">
        <f aca="false">Sens!$G$11194/2</f>
        <v>0.522364740326067</v>
      </c>
      <c r="G11194" s="38" t="n">
        <f aca="false">Sens!$U$11194</f>
        <v>1.04472948065213</v>
      </c>
      <c r="H11194" s="38" t="n">
        <f aca="false">Sens!$V$11194</f>
        <v>2.76361866736136</v>
      </c>
      <c r="I11194" s="38" t="n">
        <f aca="false">Sens!$W$11194</f>
        <v>5.42824377125863</v>
      </c>
      <c r="J11194" s="38" t="n">
        <f aca="false">Sens!$X$11194</f>
        <v>7.73057282125864</v>
      </c>
      <c r="K11194" s="38" t="n">
        <f aca="false">Sens!$Y$11194</f>
        <v>10.0329018712586</v>
      </c>
      <c r="L11194" s="38" t="n">
        <f aca="false">Sens!$Z$11194</f>
        <v>11.661546221342</v>
      </c>
      <c r="M11194" s="38" t="n">
        <f aca="false">Sens!$AA$11194</f>
        <v>12.6165058715086</v>
      </c>
      <c r="N11194" s="38" t="n">
        <f aca="false">Sens!$D$11194/2</f>
        <v>0.0861455751276577</v>
      </c>
      <c r="O11194" s="38" t="n">
        <f aca="false">Sens!$D$11194/2</f>
        <v>0.0861455751276577</v>
      </c>
      <c r="R11194" s="38" t="n">
        <f aca="false">(SUMPRODUCT(--(Sens!$R$11153:$AA$11153&lt;Sens!R$11153),Sens!$R$11191:$AA$11191)+SUMPRODUCT(--(Sens!$R$11153:$AA$11153&lt;Sens!R$11153),Sens!$R$11189:$AA$11189))/fac_life</f>
        <v>0</v>
      </c>
      <c r="S11194" s="38" t="n">
        <f aca="false">(SUMPRODUCT(--(Sens!$R$11153:$AA$11153&lt;Sens!S$11153),Sens!$R$11191:$AA$11191)+SUMPRODUCT(--(Sens!$R$11153:$AA$11153&lt;Sens!S$11153),Sens!$R$11189:$AA$11189))/fac_life</f>
        <v>0.0202511502553155</v>
      </c>
      <c r="T11194" s="38" t="n">
        <f aca="false">(SUMPRODUCT(--(Sens!$R$11153:$AA$11153&lt;Sens!T$11153),Sens!$R$11191:$AA$11191)+SUMPRODUCT(--(Sens!$R$11153:$AA$11153&lt;Sens!T$11153),Sens!$R$11189:$AA$11189))/fac_life</f>
        <v>0.172291150255315</v>
      </c>
      <c r="U11194" s="38" t="n">
        <f aca="false">(SUMPRODUCT(--(Sens!$R$11153:$AA$11153&lt;Sens!U$11153),Sens!$R$11191:$AA$11191)+SUMPRODUCT(--(Sens!$R$11153:$AA$11153&lt;Sens!U$11153),Sens!$R$11189:$AA$11189))/fac_life</f>
        <v>1.04472948065213</v>
      </c>
      <c r="V11194" s="38" t="n">
        <f aca="false">(SUMPRODUCT(--(Sens!$R$11153:$AA$11153&lt;Sens!V$11153),Sens!$R$11191:$AA$11191)+SUMPRODUCT(--(Sens!$R$11153:$AA$11153&lt;Sens!V$11153),Sens!$R$11189:$AA$11189))/fac_life</f>
        <v>2.76361866736136</v>
      </c>
      <c r="W11194" s="38" t="n">
        <f aca="false">(SUMPRODUCT(--(Sens!$R$11153:$AA$11153&lt;Sens!W$11153),Sens!$R$11191:$AA$11191)+SUMPRODUCT(--(Sens!$R$11153:$AA$11153&lt;Sens!W$11153),Sens!$R$11189:$AA$11189))/fac_life</f>
        <v>5.42824377125863</v>
      </c>
      <c r="X11194" s="38" t="n">
        <f aca="false">(SUMPRODUCT(--(Sens!$R$11153:$AA$11153&lt;Sens!X$11153),Sens!$R$11191:$AA$11191)+SUMPRODUCT(--(Sens!$R$11153:$AA$11153&lt;Sens!X$11153),Sens!$R$11189:$AA$11189))/fac_life</f>
        <v>7.73057282125864</v>
      </c>
      <c r="Y11194" s="38" t="n">
        <f aca="false">(SUMPRODUCT(--(Sens!$R$11153:$AA$11153&lt;Sens!Y$11153),Sens!$R$11191:$AA$11191)+SUMPRODUCT(--(Sens!$R$11153:$AA$11153&lt;Sens!Y$11153),Sens!$R$11189:$AA$11189))/fac_life</f>
        <v>10.0329018712586</v>
      </c>
      <c r="Z11194" s="38" t="n">
        <f aca="false">(SUMPRODUCT(--(Sens!$R$11153:$AA$11153&lt;Sens!Z$11153),Sens!$R$11191:$AA$11191)+SUMPRODUCT(--(Sens!$R$11153:$AA$11153&lt;Sens!Z$11153),Sens!$R$11189:$AA$11189))/fac_life</f>
        <v>11.661546221342</v>
      </c>
      <c r="AA11194" s="38" t="n">
        <f aca="false">(SUMPRODUCT(--(Sens!$R$11153:$AA$11153&lt;Sens!AA$11153),Sens!$R$11191:$AA$11191)+SUMPRODUCT(--(Sens!$R$11153:$AA$11153&lt;Sens!AA$11153),Sens!$R$11189:$AA$11189))/fac_life</f>
        <v>12.6165058715086</v>
      </c>
    </row>
    <row r="11195" customFormat="false" ht="17.15" hidden="false" customHeight="false" outlineLevel="0" collapsed="false">
      <c r="A11195" s="1" t="s">
        <v>650</v>
      </c>
      <c r="B11195" s="8" t="s">
        <v>86</v>
      </c>
      <c r="C11195" s="38" t="n">
        <f aca="false">Sens!$C$11193+Sens!$C$11194</f>
        <v>0.203463948620839</v>
      </c>
      <c r="D11195" s="38" t="n">
        <f aca="false">Sens!$D$11193+Sens!$D$11194</f>
        <v>1.73101464862084</v>
      </c>
      <c r="E11195" s="38" t="n">
        <f aca="false">Sens!$E$11193+Sens!$E$11194</f>
        <v>5.24821510615892</v>
      </c>
      <c r="F11195" s="38" t="n">
        <f aca="false">Sens!$F$11193+Sens!$F$11194</f>
        <v>5.24821510615892</v>
      </c>
      <c r="G11195" s="38" t="n">
        <f aca="false">Sens!$G$11193+Sens!$G$11194</f>
        <v>10.4964302123178</v>
      </c>
      <c r="H11195" s="38" t="n">
        <f aca="false">Sens!$H$11193+Sens!$H$11194</f>
        <v>30.045917508699</v>
      </c>
      <c r="I11195" s="38" t="n">
        <f aca="false">Sens!$I$11193+Sens!$I$11194</f>
        <v>61.9722433318155</v>
      </c>
      <c r="J11195" s="38" t="n">
        <f aca="false">Sens!$J$11193+Sens!$J$11194</f>
        <v>90.7078872002321</v>
      </c>
      <c r="K11195" s="38" t="n">
        <f aca="false">Sens!$K$11193+Sens!$K$11194</f>
        <v>120.133112970283</v>
      </c>
      <c r="L11195" s="38" t="n">
        <f aca="false">Sens!$L$11193+Sens!$L$11194</f>
        <v>140.830496332622</v>
      </c>
      <c r="M11195" s="38" t="n">
        <f aca="false">Sens!$M$11193+Sens!$M$11194</f>
        <v>152.711636855584</v>
      </c>
      <c r="N11195" s="38" t="n">
        <f aca="false">Sens!$N$11193+Sens!$N$11194</f>
        <v>0.865507324310419</v>
      </c>
      <c r="O11195" s="38" t="n">
        <f aca="false">Sens!$O$11193+Sens!$O$11194</f>
        <v>0.865507324310419</v>
      </c>
      <c r="R11195" s="38" t="n">
        <f aca="false">Sens!$R$11193+Sens!$R$11194</f>
        <v>0</v>
      </c>
      <c r="S11195" s="38" t="n">
        <f aca="false">Sens!$S$11193+Sens!$S$11194</f>
        <v>0.203463948620839</v>
      </c>
      <c r="T11195" s="38" t="n">
        <f aca="false">Sens!$T$11193+Sens!$T$11194</f>
        <v>1.73101464862084</v>
      </c>
      <c r="U11195" s="38" t="n">
        <f aca="false">Sens!$U$11193+Sens!$U$11194</f>
        <v>10.4964302123178</v>
      </c>
      <c r="V11195" s="38" t="n">
        <f aca="false">Sens!$V$11193+Sens!$V$11194</f>
        <v>30.045917508699</v>
      </c>
      <c r="W11195" s="38" t="n">
        <f aca="false">Sens!$W$11193+Sens!$W$11194</f>
        <v>61.9722433318155</v>
      </c>
      <c r="X11195" s="38" t="n">
        <f aca="false">Sens!$X$11193+Sens!$X$11194</f>
        <v>90.7078872002321</v>
      </c>
      <c r="Y11195" s="38" t="n">
        <f aca="false">Sens!$Y$11193+Sens!$Y$11194</f>
        <v>120.133112970283</v>
      </c>
      <c r="Z11195" s="38" t="n">
        <f aca="false">Sens!$Z$11193+Sens!$Z$11194</f>
        <v>140.830496332622</v>
      </c>
      <c r="AA11195" s="38" t="n">
        <f aca="false">Sens!$AA$11193+Sens!$AA$11194</f>
        <v>152.711636855584</v>
      </c>
    </row>
    <row r="11196" customFormat="false" ht="17.15" hidden="false" customHeight="false" outlineLevel="0" collapsed="false">
      <c r="A11196" s="0" t="s">
        <v>651</v>
      </c>
      <c r="B11196" s="0" t="s">
        <v>86</v>
      </c>
      <c r="C11196" s="38" t="n">
        <f aca="false">Sens!$S$11196</f>
        <v>26.578941154416</v>
      </c>
      <c r="D11196" s="38" t="n">
        <f aca="false">Sens!$T$11196</f>
        <v>94.4165581367978</v>
      </c>
      <c r="G11196" s="38" t="n">
        <f aca="false">Sens!$U$11196</f>
        <v>236.826599034204</v>
      </c>
      <c r="H11196" s="38" t="n">
        <f aca="false">Sens!$V$11196</f>
        <v>405.352046470255</v>
      </c>
      <c r="I11196" s="38" t="n">
        <f aca="false">Sens!$W$11196</f>
        <v>548.02627304894</v>
      </c>
      <c r="J11196" s="38" t="n">
        <f aca="false">Sens!$X$11196</f>
        <v>667.201623959208</v>
      </c>
      <c r="K11196" s="38" t="n">
        <f aca="false">Sens!$Y$11196</f>
        <v>702.306896264125</v>
      </c>
      <c r="L11196" s="38" t="n">
        <f aca="false">Sens!$Z$11196</f>
        <v>693.490541571405</v>
      </c>
      <c r="M11196" s="38" t="n">
        <f aca="false">Sens!$AA$11196</f>
        <v>673.009886375674</v>
      </c>
      <c r="R11196" s="38" t="n">
        <f aca="false">SUM(Sens!$R$11183:$R$11183)-SUM(Sens!$R$11195:$R$11195)</f>
        <v>1.50429979529945</v>
      </c>
      <c r="S11196" s="38" t="n">
        <f aca="false">SUM(Sens!$R$11183:$S$11183)-SUM(Sens!$R$11195:$S$11195)</f>
        <v>26.578941154416</v>
      </c>
      <c r="T11196" s="38" t="n">
        <f aca="false">SUM(Sens!$R$11183:$T$11183)-SUM(Sens!$R$11195:$T$11195)</f>
        <v>94.4165581367978</v>
      </c>
      <c r="U11196" s="38" t="n">
        <f aca="false">SUM(Sens!$R$11183:$U$11183)-SUM(Sens!$R$11195:$U$11195)</f>
        <v>236.826599034204</v>
      </c>
      <c r="V11196" s="38" t="n">
        <f aca="false">SUM(Sens!$R$11183:$V$11183)-SUM(Sens!$R$11195:$V$11195)</f>
        <v>405.352046470255</v>
      </c>
      <c r="W11196" s="38" t="n">
        <f aca="false">SUM(Sens!$R$11183:$W$11183)-SUM(Sens!$R$11195:$W$11195)</f>
        <v>548.02627304894</v>
      </c>
      <c r="X11196" s="38" t="n">
        <f aca="false">SUM(Sens!$R$11183:$X$11183)-SUM(Sens!$R$11195:$X$11195)</f>
        <v>667.201623959208</v>
      </c>
      <c r="Y11196" s="38" t="n">
        <f aca="false">SUM(Sens!$R$11183:$Y$11183)-SUM(Sens!$R$11195:$Y$11195)</f>
        <v>702.306896264125</v>
      </c>
      <c r="Z11196" s="38" t="n">
        <f aca="false">SUM(Sens!$R$11183:$Z$11183)-SUM(Sens!$R$11195:$Z$11195)</f>
        <v>693.490541571405</v>
      </c>
      <c r="AA11196" s="38" t="n">
        <f aca="false">SUM(Sens!$R$11183:$AA$11183)-SUM(Sens!$R$11195:$AA$11195)</f>
        <v>673.009886375674</v>
      </c>
    </row>
    <row r="11197" customFormat="false" ht="17.15" hidden="false" customHeight="false" outlineLevel="0" collapsed="false">
      <c r="A11197" s="1" t="s">
        <v>652</v>
      </c>
    </row>
    <row r="11198" customFormat="false" ht="17.15" hidden="false" customHeight="false" outlineLevel="0" collapsed="false">
      <c r="A11198" s="0" t="s">
        <v>653</v>
      </c>
      <c r="B11198" s="0" t="s">
        <v>86</v>
      </c>
      <c r="C11198" s="38" t="n">
        <f aca="false">Sens!$C$11174-ext_sh*Sens!$C$11176</f>
        <v>1.80694998843362</v>
      </c>
      <c r="D11198" s="38" t="n">
        <f aca="false">Sens!$D$11174-ext_sh*Sens!$D$11176</f>
        <v>6.77606245662607</v>
      </c>
      <c r="E11198" s="38" t="n">
        <f aca="false">Sens!$E$11174-ext_sh*Sens!$E$11176</f>
        <v>6.62548329092326</v>
      </c>
      <c r="F11198" s="38" t="n">
        <f aca="false">Sens!$F$11174-ext_sh*Sens!$F$11176</f>
        <v>11.7200577158706</v>
      </c>
      <c r="G11198" s="38" t="n">
        <f aca="false">Sens!$G$11174-ext_sh*Sens!$G$11176</f>
        <v>18.3455410067939</v>
      </c>
      <c r="H11198" s="38" t="n">
        <f aca="false">Sens!$H$11174-ext_sh*Sens!$H$11176</f>
        <v>47.5171727060453</v>
      </c>
      <c r="I11198" s="38" t="n">
        <f aca="false">Sens!$I$11174-ext_sh*Sens!$I$11176</f>
        <v>80.5539692643667</v>
      </c>
      <c r="J11198" s="38" t="n">
        <f aca="false">Sens!$J$11174-ext_sh*Sens!$J$11176</f>
        <v>113.759316834883</v>
      </c>
      <c r="K11198" s="38" t="n">
        <f aca="false">Sens!$K$11174-ext_sh*Sens!$K$11176</f>
        <v>142.084411492169</v>
      </c>
      <c r="L11198" s="38" t="n">
        <f aca="false">Sens!$L$11174-ext_sh*Sens!$L$11176</f>
        <v>160.69964615804</v>
      </c>
      <c r="M11198" s="38" t="n">
        <f aca="false">Sens!$M$11174-ext_sh*Sens!$M$11176</f>
        <v>169.577607141793</v>
      </c>
      <c r="N11198" s="38" t="n">
        <f aca="false">Sens!$N$11174-ext_sh*Sens!$N$11176</f>
        <v>2.37162185981912</v>
      </c>
      <c r="O11198" s="38" t="n">
        <f aca="false">Sens!$O$11174-ext_sh*Sens!$O$11176</f>
        <v>4.40444059680694</v>
      </c>
    </row>
    <row r="11199" customFormat="false" ht="17.15" hidden="false" customHeight="false" outlineLevel="0" collapsed="false">
      <c r="A11199" s="1" t="s">
        <v>654</v>
      </c>
      <c r="B11199" s="8" t="s">
        <v>86</v>
      </c>
      <c r="C11199" s="38" t="n">
        <f aca="false">Sens!$C$11198-ext_sh*Sens!$C$11195</f>
        <v>1.64417882953695</v>
      </c>
      <c r="D11199" s="38" t="n">
        <f aca="false">Sens!$D$11198-ext_sh*Sens!$D$11195</f>
        <v>5.39125073772939</v>
      </c>
      <c r="E11199" s="38" t="n">
        <f aca="false">Sens!$E$11198-ext_sh*Sens!$E$11195</f>
        <v>2.42691120599613</v>
      </c>
      <c r="F11199" s="38" t="n">
        <f aca="false">Sens!$F$11198-ext_sh*Sens!$F$11195</f>
        <v>7.52148563094346</v>
      </c>
      <c r="G11199" s="38" t="n">
        <f aca="false">Sens!$G$11198-ext_sh*Sens!$G$11195</f>
        <v>9.94839683693959</v>
      </c>
      <c r="H11199" s="38" t="n">
        <f aca="false">Sens!$H$11198-ext_sh*Sens!$H$11195</f>
        <v>23.4804386990861</v>
      </c>
      <c r="I11199" s="38" t="n">
        <f aca="false">Sens!$I$11198-ext_sh*Sens!$I$11195</f>
        <v>30.9761745989143</v>
      </c>
      <c r="J11199" s="38" t="n">
        <f aca="false">Sens!$J$11198-ext_sh*Sens!$J$11195</f>
        <v>41.1930070746977</v>
      </c>
      <c r="K11199" s="38" t="n">
        <f aca="false">Sens!$K$11198-ext_sh*Sens!$K$11195</f>
        <v>45.9779211159428</v>
      </c>
      <c r="L11199" s="38" t="n">
        <f aca="false">Sens!$L$11198-ext_sh*Sens!$L$11195</f>
        <v>48.0352490919424</v>
      </c>
      <c r="M11199" s="38" t="n">
        <f aca="false">Sens!$M$11198-ext_sh*Sens!$M$11195</f>
        <v>47.4082976573265</v>
      </c>
      <c r="N11199" s="38" t="n">
        <f aca="false">Sens!$N$11198-ext_sh*Sens!$N$11195</f>
        <v>1.67921600037079</v>
      </c>
      <c r="O11199" s="38" t="n">
        <f aca="false">Sens!$O$11198-ext_sh*Sens!$O$11195</f>
        <v>3.71203473735861</v>
      </c>
    </row>
    <row r="11200" customFormat="false" ht="17.15" hidden="false" customHeight="false" outlineLevel="0" collapsed="false">
      <c r="A11200" s="0" t="s">
        <v>655</v>
      </c>
      <c r="B11200" s="0" t="s">
        <v>52</v>
      </c>
      <c r="C11200" s="13" t="n">
        <f aca="false">Sens!$C$11199/Sens!$C$11174</f>
        <v>0.708390794789371</v>
      </c>
      <c r="D11200" s="13" t="n">
        <f aca="false">Sens!$D$11199/Sens!$D$11174</f>
        <v>0.619415573115729</v>
      </c>
      <c r="E11200" s="13" t="n">
        <f aca="false">Sens!$E$11199/Sens!$E$11174</f>
        <v>0.285171627189009</v>
      </c>
      <c r="F11200" s="13" t="n">
        <f aca="false">Sens!$F$11199/Sens!$F$11174</f>
        <v>0.502657732812366</v>
      </c>
      <c r="G11200" s="13" t="n">
        <f aca="false">Sens!$G$11199/Sens!$G$11174</f>
        <v>0.423808778611812</v>
      </c>
      <c r="H11200" s="13" t="n">
        <f aca="false">Sens!$H$11199/Sens!$H$11174</f>
        <v>0.390261631739809</v>
      </c>
      <c r="I11200" s="13" t="n">
        <f aca="false">Sens!$I$11199/Sens!$I$11174</f>
        <v>0.305172864264572</v>
      </c>
      <c r="J11200" s="13" t="n">
        <f aca="false">Sens!$J$11199/Sens!$J$11174</f>
        <v>0.288011814789856</v>
      </c>
      <c r="K11200" s="13" t="n">
        <f aca="false">Sens!$K$11199/Sens!$K$11174</f>
        <v>0.25765427518774</v>
      </c>
      <c r="L11200" s="13" t="n">
        <f aca="false">Sens!$L$11199/Sens!$L$11174</f>
        <v>0.238118778012374</v>
      </c>
      <c r="M11200" s="13" t="n">
        <f aca="false">Sens!$M$11199/Sens!$M$11174</f>
        <v>0.222746255757109</v>
      </c>
      <c r="N11200" s="13" t="n">
        <f aca="false">Sens!$N$11199/Sens!$N$11174</f>
        <v>0.551227795793364</v>
      </c>
      <c r="O11200" s="13" t="n">
        <f aca="false">Sens!$O$11199/Sens!$O$11174</f>
        <v>0.656132068597002</v>
      </c>
    </row>
    <row r="11201" customFormat="false" ht="17.15" hidden="false" customHeight="false" outlineLevel="0" collapsed="false">
      <c r="A11201" s="5" t="s">
        <v>656</v>
      </c>
      <c r="B11201" s="0" t="s">
        <v>86</v>
      </c>
      <c r="C11201" s="39" t="n">
        <v>0</v>
      </c>
      <c r="D11201" s="39" t="n">
        <v>0</v>
      </c>
      <c r="E11201" s="39" t="n">
        <v>0</v>
      </c>
      <c r="F11201" s="38" t="n">
        <f aca="false">IF(1=2,1,0)*(1-ext_sh)/ext_sh*(mw_open*he_open+Sens!$F$11172*Sens!$F$11169)*Sens!$F$11158/1000</f>
        <v>0</v>
      </c>
      <c r="G11201" s="38" t="n">
        <f aca="false">Sens!$E$11201+Sens!$F$11201</f>
        <v>0</v>
      </c>
      <c r="H11201" s="38" t="n">
        <f aca="false">IF(1=2,1,0)*(1-ext_sh)/ext_sh*(mw_open*he_open+Sens!$H$11172*Sens!$H$11169)*Sens!$H$11158/1000</f>
        <v>0</v>
      </c>
      <c r="I11201" s="38" t="n">
        <f aca="false">IF(1=2,1,0)*(1-ext_sh)/ext_sh*(mw_open*he_open+Sens!$I$11172*Sens!$I$11169)*Sens!$I$11158/1000</f>
        <v>0</v>
      </c>
      <c r="J11201" s="38" t="n">
        <f aca="false">IF(1=2,1,0)*(1-ext_sh)/ext_sh*(mw_open*he_open+Sens!$J$11172*Sens!$J$11169)*Sens!$J$11158/1000</f>
        <v>0</v>
      </c>
      <c r="K11201" s="38" t="n">
        <f aca="false">IF(1=2,1,0)*(1-ext_sh)/ext_sh*(mw_open*he_open+Sens!$K$11172*Sens!$K$11169)*Sens!$K$11158/1000</f>
        <v>0</v>
      </c>
      <c r="L11201" s="38" t="n">
        <f aca="false">IF(1=2,1,0)*(1-ext_sh)/ext_sh*(mw_open*he_open+Sens!$L$11172*Sens!$L$11169)*Sens!$L$11158/1000</f>
        <v>0</v>
      </c>
      <c r="M11201" s="38" t="n">
        <f aca="false">IF(1=2,1,0)*(1-ext_sh)/ext_sh*(mw_open*he_open+Sens!$M$11172*Sens!$M$11169)*Sens!$M$11158/1000</f>
        <v>0</v>
      </c>
      <c r="N11201" s="39" t="n">
        <v>0</v>
      </c>
      <c r="O11201" s="39" t="n">
        <v>0</v>
      </c>
      <c r="P11201" s="8" t="s">
        <v>657</v>
      </c>
    </row>
    <row r="11202" customFormat="false" ht="17.15" hidden="false" customHeight="false" outlineLevel="0" collapsed="false">
      <c r="A11202" s="5" t="s">
        <v>658</v>
      </c>
      <c r="B11202" s="0" t="s">
        <v>86</v>
      </c>
      <c r="C11202" s="38" t="n">
        <f aca="false">(1-ext_sh)*(Sens!$C$11176+Sens!$C$11195)</f>
        <v>0.169206631859174</v>
      </c>
      <c r="D11202" s="38" t="n">
        <f aca="false">(1-ext_sh)*(Sens!$D$11176+Sens!$D$11195)</f>
        <v>0.828129837730442</v>
      </c>
      <c r="E11202" s="38" t="n">
        <f aca="false">(1-ext_sh)*(Sens!$E$11176+Sens!$E$11195)</f>
        <v>1.52086044239347</v>
      </c>
      <c r="F11202" s="38" t="n">
        <f aca="false">(1-ext_sh)*(Sens!$F$11176+Sens!$F$11195)</f>
        <v>1.86048700344425</v>
      </c>
      <c r="G11202" s="38" t="n">
        <f aca="false">(1-ext_sh)*(Sens!$G$11176+Sens!$G$11195)</f>
        <v>3.38134744583772</v>
      </c>
      <c r="H11202" s="38" t="n">
        <f aca="false">(1-ext_sh)*(Sens!$H$11176+Sens!$H$11195)</f>
        <v>9.17136301267211</v>
      </c>
      <c r="I11202" s="38" t="n">
        <f aca="false">(1-ext_sh)*(Sens!$I$11176+Sens!$I$11195)</f>
        <v>17.6318811343794</v>
      </c>
      <c r="J11202" s="38" t="n">
        <f aca="false">(1-ext_sh)*(Sens!$J$11176+Sens!$J$11195)</f>
        <v>25.4581000191451</v>
      </c>
      <c r="K11202" s="38" t="n">
        <f aca="false">(1-ext_sh)*(Sens!$K$11176+Sens!$K$11195)</f>
        <v>33.1175498168092</v>
      </c>
      <c r="L11202" s="38" t="n">
        <f aca="false">(1-ext_sh)*(Sens!$L$11176+Sens!$L$11195)</f>
        <v>38.4232131776135</v>
      </c>
      <c r="M11202" s="38" t="n">
        <f aca="false">(1-ext_sh)*(Sens!$M$11176+Sens!$M$11195)</f>
        <v>41.3567859278847</v>
      </c>
      <c r="N11202" s="38" t="n">
        <f aca="false">(1-ext_sh)*(Sens!$N$11176+Sens!$N$11195)</f>
        <v>0.34177588266428</v>
      </c>
      <c r="O11202" s="38" t="n">
        <f aca="false">(1-ext_sh)*(Sens!$O$11176+Sens!$O$11195)</f>
        <v>0.486353955066162</v>
      </c>
    </row>
    <row r="11203" customFormat="false" ht="17.15" hidden="false" customHeight="false" outlineLevel="0" collapsed="false">
      <c r="A11203" s="0" t="s">
        <v>659</v>
      </c>
      <c r="B11203" s="0" t="s">
        <v>86</v>
      </c>
      <c r="C11203" s="38" t="n">
        <f aca="false">Q!$D$24</f>
        <v>39.834</v>
      </c>
      <c r="D11203" s="38" t="n">
        <f aca="false">Q!$E$24</f>
        <v>45.606</v>
      </c>
      <c r="E11203" s="38" t="n">
        <f aca="false">Q!$P$24</f>
        <v>30.782</v>
      </c>
      <c r="N11203" s="38" t="n">
        <f aca="false">Q!$N$24</f>
        <v>21.707</v>
      </c>
      <c r="O11203" s="38" t="n">
        <f aca="false">Q!$O$24</f>
        <v>23.899</v>
      </c>
    </row>
    <row r="11204" customFormat="false" ht="17.15" hidden="false" customHeight="false" outlineLevel="0" collapsed="false">
      <c r="A11204" s="0" t="s">
        <v>660</v>
      </c>
      <c r="B11204" s="0" t="s">
        <v>86</v>
      </c>
      <c r="C11204" s="38" t="n">
        <f aca="false">Sens!$C$11203-Sens!$C$11199</f>
        <v>38.1898211704631</v>
      </c>
      <c r="D11204" s="38" t="n">
        <f aca="false">Sens!$D$11203-Sens!$D$11199</f>
        <v>40.2147492622706</v>
      </c>
      <c r="E11204" s="38" t="n">
        <f aca="false">Sens!$E$11203-Sens!$E$11199</f>
        <v>28.3550887940039</v>
      </c>
      <c r="F11204" s="38" t="n">
        <f aca="false">Sens!$F$11178*Sens!$F$11205</f>
        <v>25.9529793149447</v>
      </c>
      <c r="G11204" s="38" t="n">
        <f aca="false">Sens!$E$11204+Sens!$F$11204</f>
        <v>54.3080681089486</v>
      </c>
      <c r="H11204" s="38" t="n">
        <f aca="false">Sens!$H$11178*Sens!$H$11205</f>
        <v>58.2264684589333</v>
      </c>
      <c r="I11204" s="38" t="n">
        <f aca="false">Sens!$I$11178*Sens!$I$11205</f>
        <v>64.6461353851744</v>
      </c>
      <c r="J11204" s="38" t="n">
        <f aca="false">Sens!$J$11178*Sens!$J$11205</f>
        <v>70.7957093610231</v>
      </c>
      <c r="K11204" s="38" t="n">
        <f aca="false">Sens!$K$11178*Sens!$K$11205</f>
        <v>76.4593661099049</v>
      </c>
      <c r="L11204" s="38" t="n">
        <f aca="false">Sens!$L$11178*Sens!$L$11205</f>
        <v>82.5761153986973</v>
      </c>
      <c r="M11204" s="38" t="n">
        <f aca="false">Sens!$M$11178*Sens!$M$11205</f>
        <v>89.1822046305931</v>
      </c>
      <c r="N11204" s="38" t="n">
        <f aca="false">Sens!$N$11203-Sens!$N$11199</f>
        <v>20.0277839996292</v>
      </c>
      <c r="O11204" s="38" t="n">
        <f aca="false">Sens!$O$11203-Sens!$O$11199</f>
        <v>20.1869652626414</v>
      </c>
      <c r="P11204" s="5" t="s">
        <v>661</v>
      </c>
    </row>
    <row r="11205" customFormat="false" ht="17.15" hidden="false" customHeight="false" outlineLevel="0" collapsed="false">
      <c r="A11205" s="0" t="s">
        <v>662</v>
      </c>
      <c r="B11205" s="0" t="s">
        <v>52</v>
      </c>
      <c r="C11205" s="13" t="n">
        <f aca="false">Sens!$C$11204/Sens!$C$11178</f>
        <v>0.362900395443635</v>
      </c>
      <c r="D11205" s="13" t="n">
        <f aca="false">Sens!$D$11204/Sens!$D$11178</f>
        <v>0.335063632425483</v>
      </c>
      <c r="E11205" s="13" t="n">
        <f aca="false">Sens!$E$11204/Sens!$E$11178</f>
        <v>0.397638855555478</v>
      </c>
      <c r="F11205" s="13" t="n">
        <f aca="false">(Sens!$O$11204+Sens!$E$11204)/(Sens!$O$11178+Sens!$E$11178)</f>
        <v>0.361616727338133</v>
      </c>
      <c r="G11205" s="13" t="n">
        <f aca="false">Sens!$G$11204/Sens!$G$11178</f>
        <v>0.379569803149143</v>
      </c>
      <c r="H11205" s="13" t="n">
        <f aca="false">Sens!$F$11205</f>
        <v>0.361616727338133</v>
      </c>
      <c r="I11205" s="13" t="n">
        <f aca="false">Sens!$F$11205</f>
        <v>0.361616727338133</v>
      </c>
      <c r="J11205" s="13" t="n">
        <f aca="false">Sens!$F$11205</f>
        <v>0.361616727338133</v>
      </c>
      <c r="K11205" s="13" t="n">
        <f aca="false">Sens!$F$11205</f>
        <v>0.361616727338133</v>
      </c>
      <c r="L11205" s="13" t="n">
        <f aca="false">Sens!$F$11205</f>
        <v>0.361616727338133</v>
      </c>
      <c r="M11205" s="13" t="n">
        <f aca="false">Sens!$F$11205</f>
        <v>0.361616727338133</v>
      </c>
      <c r="N11205" s="13" t="n">
        <f aca="false">Sens!$N$11204/Sens!$N$11178</f>
        <v>0.35078810535806</v>
      </c>
      <c r="O11205" s="13" t="n">
        <f aca="false">Sens!$O$11204/Sens!$O$11178</f>
        <v>0.320796939361619</v>
      </c>
      <c r="P11205" s="8" t="s">
        <v>663</v>
      </c>
    </row>
    <row r="11206" customFormat="false" ht="17.15" hidden="false" customHeight="false" outlineLevel="0" collapsed="false">
      <c r="A11206" s="0" t="s">
        <v>664</v>
      </c>
      <c r="B11206" s="0" t="s">
        <v>52</v>
      </c>
      <c r="D11206" s="13" t="n">
        <f aca="false">(Q!$E$31-ext_sh*Sens!$D$11195)/Sens!$D$11178</f>
        <v>0.167180325480118</v>
      </c>
    </row>
    <row r="11207" customFormat="false" ht="17.15" hidden="false" customHeight="false" outlineLevel="0" collapsed="false">
      <c r="A11207" s="0" t="s">
        <v>665</v>
      </c>
      <c r="B11207" s="0" t="s">
        <v>86</v>
      </c>
      <c r="C11207" s="38" t="n">
        <f aca="false">Q!$D$31</f>
        <v>13.32</v>
      </c>
      <c r="D11207" s="38" t="n">
        <f aca="false">Q!$E$31</f>
        <v>21.45</v>
      </c>
      <c r="E11207" s="38" t="n">
        <f aca="false">Q!$P$31</f>
        <v>15.353</v>
      </c>
      <c r="F11207" s="38" t="n">
        <f aca="false">ext_sh*Sens!$F$11195+Sens!$D$11206*Sens!$F$11178</f>
        <v>16.1969869840094</v>
      </c>
      <c r="G11207" s="38" t="n">
        <f aca="false">Sens!$E$11207+Sens!$F$11207</f>
        <v>31.5499869840094</v>
      </c>
      <c r="H11207" s="38" t="n">
        <f aca="false">ext_sh*Sens!$H$11195+Sens!$D$11206*Sens!$H$11178</f>
        <v>50.9556213609176</v>
      </c>
      <c r="I11207" s="38" t="n">
        <f aca="false">ext_sh*Sens!$I$11195+Sens!$D$11206*Sens!$I$11178</f>
        <v>79.464581248252</v>
      </c>
      <c r="J11207" s="38" t="n">
        <f aca="false">ext_sh*Sens!$J$11195+Sens!$D$11206*Sens!$J$11178</f>
        <v>105.296127931746</v>
      </c>
      <c r="K11207" s="38" t="n">
        <f aca="false">ext_sh*Sens!$K$11195+Sens!$D$11206*Sens!$K$11178</f>
        <v>131.454694001511</v>
      </c>
      <c r="L11207" s="38" t="n">
        <f aca="false">ext_sh*Sens!$L$11195+Sens!$D$11206*Sens!$L$11178</f>
        <v>150.840456981405</v>
      </c>
      <c r="M11207" s="38" t="n">
        <f aca="false">ext_sh*Sens!$M$11195+Sens!$D$11206*Sens!$M$11178</f>
        <v>163.399454192999</v>
      </c>
      <c r="N11207" s="38" t="n">
        <f aca="false">Q!$N$31</f>
        <v>9.234</v>
      </c>
      <c r="O11207" s="38" t="n">
        <f aca="false">Q!$O$31</f>
        <v>12.216</v>
      </c>
    </row>
    <row r="11208" customFormat="false" ht="17.15" hidden="false" customHeight="false" outlineLevel="0" collapsed="false">
      <c r="A11208" s="1" t="s">
        <v>666</v>
      </c>
    </row>
    <row r="11209" customFormat="false" ht="17.15" hidden="false" customHeight="false" outlineLevel="0" collapsed="false">
      <c r="A11209" s="15" t="s">
        <v>667</v>
      </c>
      <c r="B11209" s="14" t="s">
        <v>52</v>
      </c>
      <c r="C11209" s="14"/>
      <c r="D11209" s="14"/>
      <c r="E11209" s="14"/>
      <c r="F11209" s="14"/>
      <c r="G11209" s="17" t="n">
        <f aca="false">Sens!$G$11199*(1-tax)/(ext_sh*(Sens!$D$11196+Sens!$G$11196)/2)</f>
        <v>0.0620504069546486</v>
      </c>
      <c r="H11209" s="17" t="n">
        <f aca="false">Sens!$H$11199*(1-tax)/(ext_sh*(Sens!$G$11196+Sens!$H$11196)/2)</f>
        <v>0.0755420551527686</v>
      </c>
      <c r="I11209" s="17" t="n">
        <f aca="false">Sens!$I$11199*(1-tax)/(ext_sh*(Sens!$H$11196+Sens!$I$11196)/2)</f>
        <v>0.067127575356291</v>
      </c>
      <c r="J11209" s="17" t="n">
        <f aca="false">Sens!$J$11199*(1-tax)/(ext_sh*(Sens!$I$11196+Sens!$J$11196)/2)</f>
        <v>0.0700332392906535</v>
      </c>
      <c r="K11209" s="17" t="n">
        <f aca="false">Sens!$K$11199*(1-tax)/(ext_sh*(Sens!$J$11196+Sens!$K$11196)/2)</f>
        <v>0.0693622290093833</v>
      </c>
      <c r="L11209" s="17" t="n">
        <f aca="false">Sens!$L$11199*(1-tax)/(ext_sh*(Sens!$K$11196+Sens!$L$11196)/2)</f>
        <v>0.0711010638813626</v>
      </c>
      <c r="M11209" s="17" t="n">
        <f aca="false">Sens!$M$11199*(1-tax)/(ext_sh*(Sens!$L$11196+Sens!$M$11196)/2)</f>
        <v>0.071677531066401</v>
      </c>
      <c r="N11209" s="14"/>
      <c r="O11209" s="14"/>
      <c r="P11209" s="8" t="s">
        <v>668</v>
      </c>
    </row>
    <row r="11210" customFormat="false" ht="17.15" hidden="false" customHeight="false" outlineLevel="0" collapsed="false">
      <c r="A11210" s="5" t="s">
        <v>669</v>
      </c>
      <c r="B11210" s="0" t="s">
        <v>57</v>
      </c>
      <c r="H11210" s="36" t="n">
        <f aca="false">Sens!$H$11174*1000/(mw_open*he_open+Sens!$H$11172*Sens!$H$11169)</f>
        <v>0.991949006767191</v>
      </c>
      <c r="I11210" s="36" t="n">
        <f aca="false">Sens!$I$11174*1000/(mw_open*he_open+Sens!$I$11172*Sens!$I$11169)</f>
        <v>0.991949006767191</v>
      </c>
      <c r="J11210" s="36" t="n">
        <f aca="false">Sens!$J$11174*1000/(mw_open*he_open+Sens!$J$11172*Sens!$J$11169)</f>
        <v>0.991949006767191</v>
      </c>
      <c r="K11210" s="36" t="n">
        <f aca="false">Sens!$K$11174*1000/(mw_open*he_open+Sens!$K$11172*Sens!$K$11169)</f>
        <v>0.991949006767191</v>
      </c>
      <c r="L11210" s="36" t="n">
        <f aca="false">Sens!$L$11174*1000/(mw_open*he_open+Sens!$L$11172*Sens!$L$11169)</f>
        <v>0.991949006767191</v>
      </c>
      <c r="M11210" s="36" t="n">
        <f aca="false">Sens!$M$11174*1000/(mw_open*he_open+Sens!$M$11172*Sens!$M$11169)</f>
        <v>0.991949006767191</v>
      </c>
    </row>
    <row r="11211" customFormat="false" ht="17.15" hidden="false" customHeight="false" outlineLevel="0" collapsed="false">
      <c r="A11211" s="5" t="s">
        <v>670</v>
      </c>
      <c r="B11211" s="0" t="s">
        <v>57</v>
      </c>
      <c r="H11211" s="36" t="n">
        <f aca="false">Sens!$H$11210*(Sens!$H$11174+wacc*ext_sh*(Sens!$G$11196+Sens!$H$11196)/2/(1-tax)-Sens!$H$11199)/Sens!$H$11174</f>
        <v>1.18542857552197</v>
      </c>
      <c r="I11211" s="36" t="n">
        <f aca="false">Sens!$I$11210*(Sens!$I$11174+wacc*ext_sh*(Sens!$H$11196+Sens!$I$11196)/2/(1-tax)-Sens!$I$11199)/Sens!$I$11174</f>
        <v>1.20015476648903</v>
      </c>
      <c r="J11211" s="36" t="n">
        <f aca="false">Sens!$J$11210*(Sens!$J$11174+wacc*ext_sh*(Sens!$I$11196+Sens!$J$11196)/2/(1-tax)-Sens!$J$11199)/Sens!$J$11174</f>
        <v>1.16844056931249</v>
      </c>
      <c r="K11211" s="36" t="n">
        <f aca="false">Sens!$K$11210*(Sens!$K$11174+wacc*ext_sh*(Sens!$J$11196+Sens!$K$11196)/2/(1-tax)-Sens!$K$11199)/Sens!$K$11174</f>
        <v>1.15383758356873</v>
      </c>
      <c r="L11211" s="36" t="n">
        <f aca="false">Sens!$L$11210*(Sens!$L$11174+wacc*ext_sh*(Sens!$K$11196+Sens!$L$11196)/2/(1-tax)-Sens!$L$11199)/Sens!$L$11174</f>
        <v>1.13212765595665</v>
      </c>
      <c r="M11211" s="36" t="n">
        <f aca="false">Sens!$M$11210*(Sens!$M$11174+wacc*ext_sh*(Sens!$L$11196+Sens!$M$11196)/2/(1-tax)-Sens!$M$11199)/Sens!$M$11174</f>
        <v>1.12024635139935</v>
      </c>
    </row>
    <row r="11212" customFormat="false" ht="17.15" hidden="false" customHeight="false" outlineLevel="0" collapsed="false">
      <c r="A11212" s="5" t="s">
        <v>671</v>
      </c>
      <c r="B11212" s="0" t="s">
        <v>52</v>
      </c>
      <c r="C11212" s="13" t="n">
        <f aca="false">Sens!$C$11175/tk_pq</f>
        <v>0.195316432429398</v>
      </c>
      <c r="D11212" s="13" t="n">
        <f aca="false">Sens!$D$11175/tk_pq</f>
        <v>0.195316432429398</v>
      </c>
      <c r="E11212" s="13" t="n">
        <f aca="false">Sens!$E$11175/tk_pq</f>
        <v>0.195316432429398</v>
      </c>
      <c r="F11212" s="13" t="n">
        <f aca="false">Sens!$F$11175/tk_pq</f>
        <v>0.202241827274866</v>
      </c>
      <c r="G11212" s="13" t="n">
        <f aca="false">Sens!$G$11175/tk_pq</f>
        <v>0.199675016194063</v>
      </c>
      <c r="H11212" s="13" t="n">
        <f aca="false">Sens!$H$11175/tk_pq</f>
        <v>0.212647947710325</v>
      </c>
      <c r="I11212" s="13" t="n">
        <f aca="false">Sens!$I$11175/tk_pq</f>
        <v>0.219285125475351</v>
      </c>
      <c r="J11212" s="13" t="n">
        <f aca="false">Sens!$J$11175/tk_pq</f>
        <v>0.222492493217189</v>
      </c>
      <c r="K11212" s="13" t="n">
        <f aca="false">Sens!$K$11175/tk_pq</f>
        <v>0.224053502812094</v>
      </c>
      <c r="L11212" s="13" t="n">
        <f aca="false">Sens!$L$11175/tk_pq</f>
        <v>0.224786916785614</v>
      </c>
      <c r="M11212" s="13" t="n">
        <f aca="false">Sens!$M$11175/tk_pq</f>
        <v>0.225048671566937</v>
      </c>
      <c r="N11212" s="13" t="n">
        <f aca="false">Sens!$N$11175/tk_pq</f>
        <v>0.195316432429398</v>
      </c>
      <c r="O11212" s="13" t="n">
        <f aca="false">Sens!$O$11175/tk_pq</f>
        <v>0.195316432429398</v>
      </c>
      <c r="P11212" s="5" t="s">
        <v>672</v>
      </c>
    </row>
    <row r="11215" customFormat="false" ht="17.15" hidden="false" customHeight="false" outlineLevel="0" collapsed="false">
      <c r="A11215" s="1" t="s">
        <v>701</v>
      </c>
    </row>
    <row r="11216" customFormat="false" ht="17.15" hidden="false" customHeight="false" outlineLevel="0" collapsed="false">
      <c r="A11216" s="0" t="s">
        <v>702</v>
      </c>
      <c r="B11216" s="0" t="s">
        <v>86</v>
      </c>
      <c r="C11216" s="38" t="n">
        <f aca="false">Sens!$C$11174</f>
        <v>2.32100535697364</v>
      </c>
      <c r="D11216" s="38" t="n">
        <f aca="false">Sens!$D$11174</f>
        <v>8.70377008865116</v>
      </c>
      <c r="E11216" s="38" t="n">
        <f aca="false">Sens!$E$11174</f>
        <v>8.51035297557002</v>
      </c>
      <c r="F11216" s="38" t="n">
        <f aca="false">Sens!$F$11174</f>
        <v>14.9634336447205</v>
      </c>
      <c r="G11216" s="38" t="n">
        <f aca="false">Sens!$G$11174</f>
        <v>23.4737866202905</v>
      </c>
      <c r="H11216" s="38" t="n">
        <f aca="false">Sens!$H$11174</f>
        <v>60.1658907497746</v>
      </c>
      <c r="I11216" s="38" t="n">
        <f aca="false">Sens!$I$11174</f>
        <v>101.503699136432</v>
      </c>
      <c r="J11216" s="38" t="n">
        <f aca="false">Sens!$J$11174</f>
        <v>143.025407151278</v>
      </c>
      <c r="K11216" s="38" t="n">
        <f aca="false">Sens!$K$11174</f>
        <v>178.44812038318</v>
      </c>
      <c r="L11216" s="38" t="n">
        <f aca="false">Sens!$L$11174</f>
        <v>201.728101802396</v>
      </c>
      <c r="M11216" s="38" t="n">
        <f aca="false">Sens!$M$11174</f>
        <v>212.835441368865</v>
      </c>
      <c r="N11216" s="38" t="n">
        <f aca="false">Sens!$N$11174</f>
        <v>3.04631953102791</v>
      </c>
      <c r="O11216" s="38" t="n">
        <f aca="false">Sens!$O$11174</f>
        <v>5.65745055762326</v>
      </c>
      <c r="P11216" s="8" t="s">
        <v>703</v>
      </c>
    </row>
    <row r="11217" customFormat="false" ht="17.15" hidden="false" customHeight="false" outlineLevel="0" collapsed="false">
      <c r="A11217" s="0" t="s">
        <v>704</v>
      </c>
      <c r="B11217" s="0" t="s">
        <v>86</v>
      </c>
      <c r="C11217" s="38" t="n">
        <f aca="false">Sens!$C$11178</f>
        <v>105.234994643026</v>
      </c>
      <c r="D11217" s="38" t="n">
        <f aca="false">Sens!$D$11178</f>
        <v>120.021229911349</v>
      </c>
      <c r="E11217" s="38" t="n">
        <f aca="false">Sens!$E$11178</f>
        <v>71.30864702443</v>
      </c>
      <c r="F11217" s="38" t="n">
        <f aca="false">Sens!$F$11178</f>
        <v>71.7692997942464</v>
      </c>
      <c r="G11217" s="38" t="n">
        <f aca="false">Sens!$G$11178</f>
        <v>143.077946818676</v>
      </c>
      <c r="H11217" s="38" t="n">
        <f aca="false">Sens!$H$11178</f>
        <v>161.017077079203</v>
      </c>
      <c r="I11217" s="38" t="n">
        <f aca="false">Sens!$I$11178</f>
        <v>178.769759521457</v>
      </c>
      <c r="J11217" s="38" t="n">
        <f aca="false">Sens!$J$11178</f>
        <v>195.775538045907</v>
      </c>
      <c r="K11217" s="38" t="n">
        <f aca="false">Sens!$K$11178</f>
        <v>211.43758108958</v>
      </c>
      <c r="L11217" s="38" t="n">
        <f aca="false">Sens!$L$11178</f>
        <v>228.352587576746</v>
      </c>
      <c r="M11217" s="38" t="n">
        <f aca="false">Sens!$M$11178</f>
        <v>246.620794582886</v>
      </c>
      <c r="N11217" s="38" t="n">
        <f aca="false">Sens!$N$11178</f>
        <v>57.0936804689721</v>
      </c>
      <c r="O11217" s="38" t="n">
        <f aca="false">Sens!$O$11178</f>
        <v>62.9275494423768</v>
      </c>
      <c r="P11217" s="8" t="s">
        <v>703</v>
      </c>
    </row>
    <row r="11218" customFormat="false" ht="17.15" hidden="false" customHeight="false" outlineLevel="0" collapsed="false">
      <c r="A11218" s="1" t="s">
        <v>523</v>
      </c>
      <c r="B11218" s="8" t="s">
        <v>86</v>
      </c>
      <c r="C11218" s="38" t="n">
        <f aca="false">Q!$D$7</f>
        <v>107.556</v>
      </c>
      <c r="D11218" s="38" t="n">
        <f aca="false">Q!$E$7</f>
        <v>128.725</v>
      </c>
      <c r="E11218" s="38" t="n">
        <f aca="false">Q!$P$7</f>
        <v>79.819</v>
      </c>
      <c r="F11218" s="38" t="n">
        <f aca="false">Sens!$F$11216+Sens!$F$11217</f>
        <v>86.7327334389669</v>
      </c>
      <c r="G11218" s="38" t="n">
        <f aca="false">Sens!$G$11216+Sens!$G$11217</f>
        <v>166.551733438967</v>
      </c>
      <c r="H11218" s="38" t="n">
        <f aca="false">Sens!$H$11216+Sens!$H$11217</f>
        <v>221.182967828978</v>
      </c>
      <c r="I11218" s="38" t="n">
        <f aca="false">Sens!$I$11216+Sens!$I$11217</f>
        <v>280.27345865789</v>
      </c>
      <c r="J11218" s="38" t="n">
        <f aca="false">Sens!$J$11216+Sens!$J$11217</f>
        <v>338.800945197185</v>
      </c>
      <c r="K11218" s="38" t="n">
        <f aca="false">Sens!$K$11216+Sens!$K$11217</f>
        <v>389.88570147276</v>
      </c>
      <c r="L11218" s="38" t="n">
        <f aca="false">Sens!$L$11216+Sens!$L$11217</f>
        <v>430.080689379143</v>
      </c>
      <c r="M11218" s="38" t="n">
        <f aca="false">Sens!$M$11216+Sens!$M$11217</f>
        <v>459.456235951751</v>
      </c>
      <c r="N11218" s="38" t="n">
        <f aca="false">Q!$N$7</f>
        <v>60.14</v>
      </c>
      <c r="O11218" s="38" t="n">
        <f aca="false">Q!$O$7</f>
        <v>68.585</v>
      </c>
      <c r="P11218" s="5" t="s">
        <v>705</v>
      </c>
    </row>
    <row r="11219" customFormat="false" ht="15" hidden="false" customHeight="false" outlineLevel="0" collapsed="false">
      <c r="A11219" s="3" t="s">
        <v>706</v>
      </c>
      <c r="B11219" s="8" t="s">
        <v>86</v>
      </c>
      <c r="C11219" s="38" t="n">
        <f aca="false">Q!$D$8</f>
        <v>637.959</v>
      </c>
      <c r="D11219" s="38" t="n">
        <f aca="false">Q!$E$8</f>
        <v>716.924</v>
      </c>
      <c r="E11219" s="38" t="n">
        <f aca="false">Q!$P$8</f>
        <v>382.125</v>
      </c>
      <c r="F11219" s="38" t="n">
        <f aca="false">Sens!$F$11146+Sens!$F$11218</f>
        <v>435.780975084504</v>
      </c>
      <c r="G11219" s="38" t="n">
        <f aca="false">Sens!$G$11146+Sens!$G$11218</f>
        <v>817.905975084504</v>
      </c>
      <c r="H11219" s="38" t="n">
        <f aca="false">Sens!$H$11146+Sens!$H$11218</f>
        <v>942.279857350364</v>
      </c>
      <c r="I11219" s="38" t="n">
        <f aca="false">Sens!$I$11146+Sens!$I$11218</f>
        <v>1068.80284981042</v>
      </c>
      <c r="J11219" s="38" t="n">
        <f aca="false">Sens!$J$11146+Sens!$J$11218</f>
        <v>1189.90935093863</v>
      </c>
      <c r="K11219" s="38" t="n">
        <f aca="false">Sens!$K$11146+Sens!$K$11218</f>
        <v>1296.06215690385</v>
      </c>
      <c r="L11219" s="38" t="n">
        <f aca="false">Sens!$L$11146+Sens!$L$11218</f>
        <v>1395.17379585473</v>
      </c>
      <c r="M11219" s="38" t="n">
        <f aca="false">Sens!$M$11146+Sens!$M$11218</f>
        <v>1487.60414389864</v>
      </c>
      <c r="N11219" s="38" t="n">
        <f aca="false">Q!$N$8</f>
        <v>323.369</v>
      </c>
      <c r="O11219" s="38" t="n">
        <f aca="false">Q!$O$8</f>
        <v>393.555</v>
      </c>
    </row>
    <row r="11220" customFormat="false" ht="17.15" hidden="false" customHeight="false" outlineLevel="0" collapsed="false">
      <c r="A11220" s="24" t="s">
        <v>714</v>
      </c>
      <c r="B11220" s="25" t="s">
        <v>86</v>
      </c>
      <c r="C11220" s="41" t="n">
        <f aca="false">Sens!$C$11146-(Sens!$C$11148+Sens!$C$11149)</f>
        <v>0</v>
      </c>
      <c r="D11220" s="41" t="n">
        <f aca="false">Sens!$D$11146-(Sens!$D$11148+Sens!$D$11149)</f>
        <v>0</v>
      </c>
      <c r="E11220" s="41" t="n">
        <f aca="false">Sens!$E$11146-(Sens!$E$11148+Sens!$E$11149)</f>
        <v>0</v>
      </c>
      <c r="F11220" s="41" t="n">
        <f aca="false">Sens!$F$11146-(Sens!$F$11148+Sens!$F$11149)</f>
        <v>0</v>
      </c>
      <c r="G11220" s="41" t="n">
        <f aca="false">Sens!$G$11146-(Sens!$G$11148+Sens!$G$11149)</f>
        <v>0</v>
      </c>
      <c r="H11220" s="41" t="n">
        <f aca="false">Sens!$H$11146-(Sens!$H$11148+Sens!$H$11149)</f>
        <v>0</v>
      </c>
      <c r="I11220" s="41" t="n">
        <f aca="false">Sens!$I$11146-(Sens!$I$11148+Sens!$I$11149)</f>
        <v>0</v>
      </c>
      <c r="J11220" s="41" t="n">
        <f aca="false">Sens!$J$11146-(Sens!$J$11148+Sens!$J$11149)</f>
        <v>0</v>
      </c>
      <c r="K11220" s="41" t="n">
        <f aca="false">Sens!$K$11146-(Sens!$K$11148+Sens!$K$11149)</f>
        <v>0</v>
      </c>
      <c r="L11220" s="41" t="n">
        <f aca="false">Sens!$L$11146-(Sens!$L$11148+Sens!$L$11149)</f>
        <v>0</v>
      </c>
      <c r="M11220" s="41" t="n">
        <f aca="false">Sens!$M$11146-(Sens!$M$11148+Sens!$M$11149)</f>
        <v>0</v>
      </c>
      <c r="N11220" s="41" t="n">
        <f aca="false">Sens!$N$11146-(Sens!$N$11148+Sens!$N$11149)</f>
        <v>0</v>
      </c>
      <c r="O11220" s="41" t="n">
        <f aca="false">Sens!$O$11146-(Sens!$O$11148+Sens!$O$11149)</f>
        <v>0</v>
      </c>
    </row>
    <row r="11221" customFormat="false" ht="17.15" hidden="false" customHeight="false" outlineLevel="0" collapsed="false">
      <c r="A11221" s="24" t="s">
        <v>715</v>
      </c>
      <c r="B11221" s="25" t="s">
        <v>86</v>
      </c>
      <c r="C11221" s="41" t="n">
        <f aca="false">Sens!$C$11216+Sens!$C$11217-Sens!$C$11218</f>
        <v>0</v>
      </c>
      <c r="D11221" s="41" t="n">
        <f aca="false">Sens!$D$11216+Sens!$D$11217-Sens!$D$11218</f>
        <v>0</v>
      </c>
      <c r="E11221" s="41" t="n">
        <f aca="false">Sens!$E$11216+Sens!$E$11217-Sens!$E$11218</f>
        <v>0</v>
      </c>
      <c r="F11221" s="41" t="n">
        <f aca="false">Sens!$F$11216+Sens!$F$11217-Sens!$F$11218</f>
        <v>0</v>
      </c>
      <c r="G11221" s="41" t="n">
        <f aca="false">Sens!$G$11216+Sens!$G$11217-Sens!$G$11218</f>
        <v>0</v>
      </c>
      <c r="H11221" s="41" t="n">
        <f aca="false">Sens!$H$11216+Sens!$H$11217-Sens!$H$11218</f>
        <v>0</v>
      </c>
      <c r="I11221" s="41" t="n">
        <f aca="false">Sens!$I$11216+Sens!$I$11217-Sens!$I$11218</f>
        <v>0</v>
      </c>
      <c r="J11221" s="41" t="n">
        <f aca="false">Sens!$J$11216+Sens!$J$11217-Sens!$J$11218</f>
        <v>0</v>
      </c>
      <c r="K11221" s="41" t="n">
        <f aca="false">Sens!$K$11216+Sens!$K$11217-Sens!$K$11218</f>
        <v>0</v>
      </c>
      <c r="L11221" s="41" t="n">
        <f aca="false">Sens!$L$11216+Sens!$L$11217-Sens!$L$11218</f>
        <v>0</v>
      </c>
      <c r="M11221" s="41" t="n">
        <f aca="false">Sens!$M$11216+Sens!$M$11217-Sens!$M$11218</f>
        <v>0</v>
      </c>
      <c r="N11221" s="41" t="n">
        <f aca="false">Sens!$N$11216+Sens!$N$11217-Sens!$N$11218</f>
        <v>0</v>
      </c>
      <c r="O11221" s="41" t="n">
        <f aca="false">Sens!$O$11216+Sens!$O$11217-Sens!$O$11218</f>
        <v>0</v>
      </c>
    </row>
    <row r="11222" customFormat="false" ht="17.15" hidden="false" customHeight="false" outlineLevel="0" collapsed="false">
      <c r="A11222" s="24" t="s">
        <v>716</v>
      </c>
      <c r="B11222" s="25" t="s">
        <v>86</v>
      </c>
      <c r="C11222" s="41" t="n">
        <f aca="false">Sens!$C$11148+Sens!$C$11149+Sens!$C$11218-Sens!$C$11219</f>
        <v>0</v>
      </c>
      <c r="D11222" s="41" t="n">
        <f aca="false">Sens!$D$11148+Sens!$D$11149+Sens!$D$11218-Sens!$D$11219</f>
        <v>0</v>
      </c>
      <c r="E11222" s="41" t="n">
        <f aca="false">Sens!$E$11148+Sens!$E$11149+Sens!$E$11218-Sens!$E$11219</f>
        <v>0</v>
      </c>
      <c r="F11222" s="41" t="n">
        <f aca="false">Sens!$F$11148+Sens!$F$11149+Sens!$F$11218-Sens!$F$11219</f>
        <v>0</v>
      </c>
      <c r="G11222" s="41" t="n">
        <f aca="false">Sens!$G$11148+Sens!$G$11149+Sens!$G$11218-Sens!$G$11219</f>
        <v>0</v>
      </c>
      <c r="H11222" s="41" t="n">
        <f aca="false">Sens!$H$11148+Sens!$H$11149+Sens!$H$11218-Sens!$H$11219</f>
        <v>0</v>
      </c>
      <c r="I11222" s="41" t="n">
        <f aca="false">Sens!$I$11148+Sens!$I$11149+Sens!$I$11218-Sens!$I$11219</f>
        <v>0</v>
      </c>
      <c r="J11222" s="41" t="n">
        <f aca="false">Sens!$J$11148+Sens!$J$11149+Sens!$J$11218-Sens!$J$11219</f>
        <v>0</v>
      </c>
      <c r="K11222" s="41" t="n">
        <f aca="false">Sens!$K$11148+Sens!$K$11149+Sens!$K$11218-Sens!$K$11219</f>
        <v>0</v>
      </c>
      <c r="L11222" s="41" t="n">
        <f aca="false">Sens!$L$11148+Sens!$L$11149+Sens!$L$11218-Sens!$L$11219</f>
        <v>0</v>
      </c>
      <c r="M11222" s="41" t="n">
        <f aca="false">Sens!$M$11148+Sens!$M$11149+Sens!$M$11218-Sens!$M$11219</f>
        <v>0</v>
      </c>
      <c r="N11222" s="41" t="n">
        <f aca="false">Sens!$N$11148+Sens!$N$11149+Sens!$N$11218-Sens!$N$11219</f>
        <v>0</v>
      </c>
      <c r="O11222" s="41" t="n">
        <f aca="false">Sens!$O$11148+Sens!$O$11149+Sens!$O$11218-Sens!$O$11219</f>
        <v>0</v>
      </c>
    </row>
    <row r="11223" customFormat="false" ht="15" hidden="false" customHeight="false" outlineLevel="0" collapsed="false">
      <c r="A11223" s="5" t="s">
        <v>710</v>
      </c>
      <c r="B11223" s="0" t="s">
        <v>52</v>
      </c>
      <c r="G11223" s="13" t="n">
        <f aca="false">Sens!$G$11219/Sens!$D$11219-1</f>
        <v>0.140854504918937</v>
      </c>
      <c r="H11223" s="13" t="n">
        <f aca="false">Sens!$H$11219/Sens!$G$11219-1</f>
        <v>0.152063789793209</v>
      </c>
      <c r="I11223" s="13" t="n">
        <f aca="false">Sens!$I$11219/Sens!$H$11219-1</f>
        <v>0.134273264437417</v>
      </c>
      <c r="J11223" s="13" t="n">
        <f aca="false">Sens!$J$11219/Sens!$I$11219-1</f>
        <v>0.113310421234083</v>
      </c>
      <c r="K11223" s="13" t="n">
        <f aca="false">Sens!$K$11219/Sens!$J$11219-1</f>
        <v>0.0892108343223652</v>
      </c>
      <c r="L11223" s="13" t="n">
        <f aca="false">Sens!$L$11219/Sens!$K$11219-1</f>
        <v>0.076471362444261</v>
      </c>
      <c r="M11223" s="13" t="n">
        <f aca="false">Sens!$M$11219/Sens!$L$11219-1</f>
        <v>0.066250060256672</v>
      </c>
    </row>
    <row r="11224" customFormat="false" ht="17.15" hidden="false" customHeight="false" outlineLevel="0" collapsed="false">
      <c r="A11224" s="0" t="s">
        <v>711</v>
      </c>
      <c r="B11224" s="0" t="s">
        <v>52</v>
      </c>
      <c r="C11224" s="13" t="n">
        <f aca="false">Sens!$C$11218/Sens!$C$11219</f>
        <v>0.168593906504964</v>
      </c>
      <c r="D11224" s="13" t="n">
        <f aca="false">Sens!$D$11218/Sens!$D$11219</f>
        <v>0.179551807444025</v>
      </c>
      <c r="E11224" s="13" t="n">
        <f aca="false">Sens!$E$11218/Sens!$E$11219</f>
        <v>0.208881910369643</v>
      </c>
      <c r="F11224" s="13" t="n">
        <f aca="false">Sens!$F$11218/Sens!$F$11219</f>
        <v>0.199028269699356</v>
      </c>
      <c r="G11224" s="13" t="n">
        <f aca="false">Sens!$G$11218/Sens!$G$11219</f>
        <v>0.203631882529968</v>
      </c>
      <c r="H11224" s="13" t="n">
        <f aca="false">Sens!$H$11218/Sens!$H$11219</f>
        <v>0.234731715958496</v>
      </c>
      <c r="I11224" s="13" t="n">
        <f aca="false">Sens!$I$11218/Sens!$I$11219</f>
        <v>0.262231204480418</v>
      </c>
      <c r="J11224" s="13" t="n">
        <f aca="false">Sens!$J$11218/Sens!$J$11219</f>
        <v>0.284728366013706</v>
      </c>
      <c r="K11224" s="13" t="n">
        <f aca="false">Sens!$K$11218/Sens!$K$11219</f>
        <v>0.300823304959505</v>
      </c>
      <c r="L11224" s="13" t="n">
        <f aca="false">Sens!$L$11218/Sens!$L$11219</f>
        <v>0.308263164529735</v>
      </c>
      <c r="M11224" s="13" t="n">
        <f aca="false">Sens!$M$11218/Sens!$M$11219</f>
        <v>0.308856517936036</v>
      </c>
      <c r="N11224" s="13" t="n">
        <f aca="false">Sens!$N$11218/Sens!$N$11219</f>
        <v>0.185979484737251</v>
      </c>
      <c r="O11224" s="13" t="n">
        <f aca="false">Sens!$O$11218/Sens!$O$11219</f>
        <v>0.174270432341096</v>
      </c>
    </row>
    <row r="11225" customFormat="false" ht="17.15" hidden="false" customHeight="false" outlineLevel="0" collapsed="false">
      <c r="A11225" s="0" t="s">
        <v>712</v>
      </c>
      <c r="B11225" s="0" t="s">
        <v>52</v>
      </c>
      <c r="C11225" s="13" t="n">
        <f aca="false">Sens!$C$11216/Sens!$C$11218</f>
        <v>0.0215795060896058</v>
      </c>
      <c r="D11225" s="13" t="n">
        <f aca="false">Sens!$D$11216/Sens!$D$11218</f>
        <v>0.0676152269462122</v>
      </c>
      <c r="E11225" s="13" t="n">
        <f aca="false">Sens!$E$11216/Sens!$E$11218</f>
        <v>0.106620641395783</v>
      </c>
      <c r="F11225" s="13" t="n">
        <f aca="false">Sens!$F$11216/Sens!$F$11218</f>
        <v>0.172523487401099</v>
      </c>
      <c r="G11225" s="13" t="n">
        <f aca="false">Sens!$G$11216/Sens!$G$11218</f>
        <v>0.140939911795589</v>
      </c>
      <c r="H11225" s="13" t="n">
        <f aca="false">Sens!$H$11216/Sens!$H$11218</f>
        <v>0.272018642937714</v>
      </c>
      <c r="I11225" s="13" t="n">
        <f aca="false">Sens!$I$11216/Sens!$I$11218</f>
        <v>0.362159512436497</v>
      </c>
      <c r="J11225" s="13" t="n">
        <f aca="false">Sens!$J$11216/Sens!$J$11218</f>
        <v>0.422151735934609</v>
      </c>
      <c r="K11225" s="13" t="n">
        <f aca="false">Sens!$K$11216/Sens!$K$11218</f>
        <v>0.45769342068485</v>
      </c>
      <c r="L11225" s="13" t="n">
        <f aca="false">Sens!$L$11216/Sens!$L$11218</f>
        <v>0.469047103913472</v>
      </c>
      <c r="M11225" s="13" t="n">
        <f aca="false">Sens!$M$11216/Sens!$M$11218</f>
        <v>0.463233328258093</v>
      </c>
      <c r="N11225" s="13" t="n">
        <f aca="false">Sens!$N$11216/Sens!$N$11218</f>
        <v>0.0506537999838362</v>
      </c>
      <c r="O11225" s="13" t="n">
        <f aca="false">Sens!$O$11216/Sens!$O$11218</f>
        <v>0.0824881615167056</v>
      </c>
    </row>
    <row r="11228" customFormat="false" ht="19.4" hidden="false" customHeight="false" outlineLevel="0" collapsed="false">
      <c r="A11228" s="31" t="s">
        <v>1379</v>
      </c>
    </row>
    <row r="11229" customFormat="false" ht="17.15" hidden="false" customHeight="false" outlineLevel="0" collapsed="false">
      <c r="A11229" s="6" t="s">
        <v>16</v>
      </c>
      <c r="B11229" s="6" t="s">
        <v>17</v>
      </c>
      <c r="C11229" s="20" t="s">
        <v>504</v>
      </c>
      <c r="D11229" s="20" t="s">
        <v>505</v>
      </c>
      <c r="E11229" s="20" t="s">
        <v>587</v>
      </c>
      <c r="F11229" s="20" t="s">
        <v>588</v>
      </c>
      <c r="G11229" s="20" t="s">
        <v>589</v>
      </c>
      <c r="H11229" s="20" t="s">
        <v>590</v>
      </c>
      <c r="I11229" s="20" t="s">
        <v>591</v>
      </c>
      <c r="J11229" s="20" t="s">
        <v>592</v>
      </c>
      <c r="K11229" s="20" t="s">
        <v>593</v>
      </c>
      <c r="L11229" s="20" t="s">
        <v>594</v>
      </c>
      <c r="M11229" s="20" t="s">
        <v>595</v>
      </c>
      <c r="N11229" s="20" t="s">
        <v>596</v>
      </c>
      <c r="O11229" s="20" t="s">
        <v>597</v>
      </c>
      <c r="P11229" s="6" t="s">
        <v>23</v>
      </c>
      <c r="R11229" s="20" t="n">
        <v>2023</v>
      </c>
      <c r="S11229" s="20" t="n">
        <v>2024</v>
      </c>
      <c r="T11229" s="20" t="n">
        <v>2025</v>
      </c>
      <c r="U11229" s="20" t="n">
        <v>2026</v>
      </c>
      <c r="V11229" s="20" t="n">
        <v>2027</v>
      </c>
      <c r="W11229" s="20" t="n">
        <v>2028</v>
      </c>
      <c r="X11229" s="20" t="n">
        <v>2029</v>
      </c>
      <c r="Y11229" s="20" t="n">
        <v>2030</v>
      </c>
      <c r="Z11229" s="20" t="n">
        <v>2031</v>
      </c>
      <c r="AA11229" s="20" t="n">
        <v>2032</v>
      </c>
    </row>
    <row r="11230" customFormat="false" ht="17.15" hidden="false" customHeight="false" outlineLevel="0" collapsed="false">
      <c r="A11230" s="1" t="s">
        <v>727</v>
      </c>
    </row>
    <row r="11231" customFormat="false" ht="15" hidden="false" customHeight="false" outlineLevel="0" collapsed="false">
      <c r="A11231" s="0" t="s">
        <v>526</v>
      </c>
      <c r="B11231" s="0" t="s">
        <v>86</v>
      </c>
      <c r="C11231" s="38" t="n">
        <f aca="false">Sens!$C$11133</f>
        <v>247.029</v>
      </c>
      <c r="D11231" s="38" t="n">
        <f aca="false">Sens!$D$11133</f>
        <v>269.287</v>
      </c>
      <c r="E11231" s="38" t="n">
        <f aca="false">Sens!$E$11133</f>
        <v>134.686</v>
      </c>
      <c r="F11231" s="38" t="n">
        <f aca="false">Sens!$F$11133</f>
        <v>158.293876822267</v>
      </c>
      <c r="G11231" s="38" t="n">
        <f aca="false">Sens!$G$11133</f>
        <v>292.979876822267</v>
      </c>
      <c r="H11231" s="38" t="n">
        <f aca="false">Sens!$H$11133</f>
        <v>318.184543087396</v>
      </c>
      <c r="I11231" s="38" t="n">
        <f aca="false">Sens!$I$11133</f>
        <v>341.736278761793</v>
      </c>
      <c r="J11231" s="38" t="n">
        <f aca="false">Sens!$J$11133</f>
        <v>362.927192787048</v>
      </c>
      <c r="K11231" s="38" t="n">
        <f aca="false">Sens!$K$11133</f>
        <v>381.0735524264</v>
      </c>
      <c r="L11231" s="38" t="n">
        <f aca="false">Sens!$L$11133</f>
        <v>400.12723004772</v>
      </c>
      <c r="M11231" s="38" t="n">
        <f aca="false">Sens!$M$11133</f>
        <v>420.133591550106</v>
      </c>
      <c r="N11231" s="38" t="n">
        <f aca="false">Sens!$N$11133</f>
        <v>118.892</v>
      </c>
      <c r="O11231" s="38" t="n">
        <f aca="false">Sens!$O$11133</f>
        <v>150.395</v>
      </c>
    </row>
    <row r="11232" customFormat="false" ht="15" hidden="false" customHeight="false" outlineLevel="0" collapsed="false">
      <c r="A11232" s="0" t="s">
        <v>527</v>
      </c>
      <c r="B11232" s="0" t="s">
        <v>86</v>
      </c>
      <c r="C11232" s="38" t="n">
        <f aca="false">Sens!$C$11135</f>
        <v>21.215</v>
      </c>
      <c r="D11232" s="38" t="n">
        <f aca="false">Sens!$D$11135</f>
        <v>22.561</v>
      </c>
      <c r="E11232" s="38" t="n">
        <f aca="false">Sens!$E$11135</f>
        <v>11.579</v>
      </c>
      <c r="F11232" s="38" t="n">
        <f aca="false">Sens!$F$11135</f>
        <v>11.5938724610325</v>
      </c>
      <c r="G11232" s="38" t="n">
        <f aca="false">Sens!$G$11135</f>
        <v>23.1728724610325</v>
      </c>
      <c r="H11232" s="38" t="n">
        <f aca="false">Sens!$H$11135</f>
        <v>24.353392759506</v>
      </c>
      <c r="I11232" s="38" t="n">
        <f aca="false">Sens!$I$11135</f>
        <v>25.4240338872015</v>
      </c>
      <c r="J11232" s="38" t="n">
        <f aca="false">Sens!$J$11135</f>
        <v>26.3642491017174</v>
      </c>
      <c r="K11232" s="38" t="n">
        <f aca="false">Sens!$K$11135</f>
        <v>27.155176574769</v>
      </c>
      <c r="L11232" s="38" t="n">
        <f aca="false">Sens!$L$11135</f>
        <v>27.969831872012</v>
      </c>
      <c r="M11232" s="38" t="n">
        <f aca="false">Sens!$M$11135</f>
        <v>28.8089268281724</v>
      </c>
      <c r="N11232" s="38" t="n">
        <f aca="false">Sens!$N$11135</f>
        <v>11.128</v>
      </c>
      <c r="O11232" s="38" t="n">
        <f aca="false">Sens!$O$11135</f>
        <v>11.433</v>
      </c>
    </row>
    <row r="11233" customFormat="false" ht="15" hidden="false" customHeight="false" outlineLevel="0" collapsed="false">
      <c r="A11233" s="0" t="s">
        <v>528</v>
      </c>
      <c r="B11233" s="0" t="s">
        <v>86</v>
      </c>
      <c r="C11233" s="38" t="n">
        <f aca="false">Sens!$C$11137</f>
        <v>156.146</v>
      </c>
      <c r="D11233" s="38" t="n">
        <f aca="false">Sens!$D$11137</f>
        <v>172.162</v>
      </c>
      <c r="E11233" s="38" t="n">
        <f aca="false">Sens!$E$11137</f>
        <v>88.358</v>
      </c>
      <c r="F11233" s="38" t="n">
        <f aca="false">Sens!$F$11137</f>
        <v>102.004388260171</v>
      </c>
      <c r="G11233" s="38" t="n">
        <f aca="false">Sens!$G$11137</f>
        <v>190.362388260171</v>
      </c>
      <c r="H11233" s="38" t="n">
        <f aca="false">Sens!$H$11137</f>
        <v>210.343106588311</v>
      </c>
      <c r="I11233" s="38" t="n">
        <f aca="false">Sens!$I$11137</f>
        <v>229.969728494648</v>
      </c>
      <c r="J11233" s="38" t="n">
        <f aca="false">Sens!$J$11137</f>
        <v>248.747636972598</v>
      </c>
      <c r="K11233" s="38" t="n">
        <f aca="false">Sens!$K$11137</f>
        <v>266.15997156068</v>
      </c>
      <c r="L11233" s="38" t="n">
        <f aca="false">Sens!$L$11137</f>
        <v>284.791169569927</v>
      </c>
      <c r="M11233" s="38" t="n">
        <f aca="false">Sens!$M$11137</f>
        <v>304.726551439822</v>
      </c>
      <c r="N11233" s="38" t="n">
        <f aca="false">Sens!$N$11137</f>
        <v>76.86</v>
      </c>
      <c r="O11233" s="38" t="n">
        <f aca="false">Sens!$O$11137</f>
        <v>95.302</v>
      </c>
    </row>
    <row r="11234" customFormat="false" ht="15" hidden="false" customHeight="false" outlineLevel="0" collapsed="false">
      <c r="A11234" s="0" t="s">
        <v>529</v>
      </c>
      <c r="B11234" s="0" t="s">
        <v>86</v>
      </c>
      <c r="C11234" s="38" t="n">
        <f aca="false">Sens!$C$11139</f>
        <v>56.214</v>
      </c>
      <c r="D11234" s="38" t="n">
        <f aca="false">Sens!$D$11139</f>
        <v>68.635</v>
      </c>
      <c r="E11234" s="38" t="n">
        <f aca="false">Sens!$E$11139</f>
        <v>37.052</v>
      </c>
      <c r="F11234" s="38" t="n">
        <f aca="false">Sens!$F$11139</f>
        <v>46.1572219944148</v>
      </c>
      <c r="G11234" s="38" t="n">
        <f aca="false">Sens!$G$11139</f>
        <v>83.2092219944148</v>
      </c>
      <c r="H11234" s="38" t="n">
        <f aca="false">Sens!$H$11139</f>
        <v>99.8969223878976</v>
      </c>
      <c r="I11234" s="38" t="n">
        <f aca="false">Sens!$I$11139</f>
        <v>116.583111095496</v>
      </c>
      <c r="J11234" s="38" t="n">
        <f aca="false">Sens!$J$11139</f>
        <v>132.148941941952</v>
      </c>
      <c r="K11234" s="38" t="n">
        <f aca="false">Sens!$K$11139</f>
        <v>145.363836136147</v>
      </c>
      <c r="L11234" s="38" t="n">
        <f aca="false">Sens!$L$11139</f>
        <v>159.900219749762</v>
      </c>
      <c r="M11234" s="38" t="n">
        <f aca="false">Sens!$M$11139</f>
        <v>175.890241724738</v>
      </c>
      <c r="N11234" s="38" t="n">
        <f aca="false">Sens!$N$11139</f>
        <v>29.615</v>
      </c>
      <c r="O11234" s="38" t="n">
        <f aca="false">Sens!$O$11139</f>
        <v>39.02</v>
      </c>
    </row>
    <row r="11235" customFormat="false" ht="15" hidden="false" customHeight="false" outlineLevel="0" collapsed="false">
      <c r="A11235" s="0" t="s">
        <v>530</v>
      </c>
      <c r="B11235" s="0" t="s">
        <v>86</v>
      </c>
      <c r="C11235" s="38" t="n">
        <f aca="false">Sens!$C$11141</f>
        <v>44.374</v>
      </c>
      <c r="D11235" s="38" t="n">
        <f aca="false">Sens!$D$11141</f>
        <v>49.619</v>
      </c>
      <c r="E11235" s="38" t="n">
        <f aca="false">Sens!$E$11141</f>
        <v>27.157</v>
      </c>
      <c r="F11235" s="38" t="n">
        <f aca="false">Sens!$F$11141</f>
        <v>27.7764165988154</v>
      </c>
      <c r="G11235" s="38" t="n">
        <f aca="false">Sens!$G$11141</f>
        <v>54.9334165988154</v>
      </c>
      <c r="H11235" s="38" t="n">
        <f aca="false">Sens!$H$11141</f>
        <v>61.1564112561829</v>
      </c>
      <c r="I11235" s="38" t="n">
        <f aca="false">Sens!$I$11141</f>
        <v>67.2020282103945</v>
      </c>
      <c r="J11235" s="38" t="n">
        <f aca="false">Sens!$J$11141</f>
        <v>72.8757274028885</v>
      </c>
      <c r="K11235" s="38" t="n">
        <f aca="false">Sens!$K$11141</f>
        <v>77.9770283210907</v>
      </c>
      <c r="L11235" s="38" t="n">
        <f aca="false">Sens!$L$11141</f>
        <v>83.4354203035671</v>
      </c>
      <c r="M11235" s="38" t="n">
        <f aca="false">Sens!$M$11141</f>
        <v>89.2758997248168</v>
      </c>
      <c r="N11235" s="38" t="n">
        <f aca="false">Sens!$N$11141</f>
        <v>23.923</v>
      </c>
      <c r="O11235" s="38" t="n">
        <f aca="false">Sens!$O$11141</f>
        <v>25.696</v>
      </c>
    </row>
    <row r="11236" customFormat="false" ht="15" hidden="false" customHeight="false" outlineLevel="0" collapsed="false">
      <c r="A11236" s="0" t="s">
        <v>531</v>
      </c>
      <c r="B11236" s="0" t="s">
        <v>86</v>
      </c>
      <c r="C11236" s="38" t="n">
        <f aca="false">Sens!$C$11143</f>
        <v>5.425</v>
      </c>
      <c r="D11236" s="38" t="n">
        <f aca="false">Sens!$D$11143</f>
        <v>5.935</v>
      </c>
      <c r="E11236" s="38" t="n">
        <f aca="false">Sens!$E$11143</f>
        <v>3.474</v>
      </c>
      <c r="F11236" s="38" t="n">
        <f aca="false">Sens!$F$11143</f>
        <v>3.22246550883619</v>
      </c>
      <c r="G11236" s="38" t="n">
        <f aca="false">Sens!$G$11143</f>
        <v>6.69646550883619</v>
      </c>
      <c r="H11236" s="38" t="n">
        <f aca="false">Sens!$H$11143</f>
        <v>7.16251344209196</v>
      </c>
      <c r="I11236" s="38" t="n">
        <f aca="false">Sens!$I$11143</f>
        <v>7.61421070299826</v>
      </c>
      <c r="J11236" s="38" t="n">
        <f aca="false">Sens!$J$11143</f>
        <v>8.04465753523932</v>
      </c>
      <c r="K11236" s="38" t="n">
        <f aca="false">Sens!$K$11143</f>
        <v>8.44689041200128</v>
      </c>
      <c r="L11236" s="38" t="n">
        <f aca="false">Sens!$L$11143</f>
        <v>8.86923493260135</v>
      </c>
      <c r="M11236" s="38" t="n">
        <f aca="false">Sens!$M$11143</f>
        <v>9.31269667923142</v>
      </c>
      <c r="N11236" s="38" t="n">
        <f aca="false">Sens!$N$11143</f>
        <v>2.811</v>
      </c>
      <c r="O11236" s="38" t="n">
        <f aca="false">Sens!$O$11143</f>
        <v>3.124</v>
      </c>
    </row>
    <row r="11237" customFormat="false" ht="17.15" hidden="false" customHeight="false" outlineLevel="0" collapsed="false">
      <c r="A11237" s="0" t="s">
        <v>728</v>
      </c>
      <c r="B11237" s="0" t="s">
        <v>86</v>
      </c>
      <c r="C11237" s="38" t="n">
        <f aca="false">Sens!$C$11218</f>
        <v>107.556</v>
      </c>
      <c r="D11237" s="38" t="n">
        <f aca="false">Sens!$D$11218</f>
        <v>128.725</v>
      </c>
      <c r="E11237" s="38" t="n">
        <f aca="false">Sens!$E$11218</f>
        <v>79.819</v>
      </c>
      <c r="F11237" s="38" t="n">
        <f aca="false">Sens!$F$11218</f>
        <v>86.7327334389669</v>
      </c>
      <c r="G11237" s="38" t="n">
        <f aca="false">Sens!$G$11218</f>
        <v>166.551733438967</v>
      </c>
      <c r="H11237" s="38" t="n">
        <f aca="false">Sens!$H$11218</f>
        <v>221.182967828978</v>
      </c>
      <c r="I11237" s="38" t="n">
        <f aca="false">Sens!$I$11218</f>
        <v>280.27345865789</v>
      </c>
      <c r="J11237" s="38" t="n">
        <f aca="false">Sens!$J$11218</f>
        <v>338.800945197185</v>
      </c>
      <c r="K11237" s="38" t="n">
        <f aca="false">Sens!$K$11218</f>
        <v>389.88570147276</v>
      </c>
      <c r="L11237" s="38" t="n">
        <f aca="false">Sens!$L$11218</f>
        <v>430.080689379143</v>
      </c>
      <c r="M11237" s="38" t="n">
        <f aca="false">Sens!$M$11218</f>
        <v>459.456235951751</v>
      </c>
      <c r="N11237" s="38" t="n">
        <f aca="false">Sens!$N$11218</f>
        <v>60.14</v>
      </c>
      <c r="O11237" s="38" t="n">
        <f aca="false">Sens!$O$11218</f>
        <v>68.585</v>
      </c>
    </row>
    <row r="11238" customFormat="false" ht="15" hidden="false" customHeight="false" outlineLevel="0" collapsed="false">
      <c r="A11238" s="1" t="s">
        <v>519</v>
      </c>
      <c r="B11238" s="8" t="s">
        <v>86</v>
      </c>
      <c r="C11238" s="38" t="n">
        <f aca="false">Sens!$C$11148</f>
        <v>387.497</v>
      </c>
      <c r="D11238" s="38" t="n">
        <f aca="false">Sens!$D$11148</f>
        <v>426.305</v>
      </c>
      <c r="E11238" s="38" t="n">
        <f aca="false">Sens!$E$11148</f>
        <v>220.32</v>
      </c>
      <c r="F11238" s="38" t="n">
        <f aca="false">Sens!$F$11148</f>
        <v>250.639773480586</v>
      </c>
      <c r="G11238" s="38" t="n">
        <f aca="false">Sens!$G$11148</f>
        <v>470.959773480586</v>
      </c>
      <c r="H11238" s="38" t="n">
        <f aca="false">Sens!$H$11148</f>
        <v>521.386990416437</v>
      </c>
      <c r="I11238" s="38" t="n">
        <f aca="false">Sens!$I$11148</f>
        <v>570.143862887555</v>
      </c>
      <c r="J11238" s="38" t="n">
        <f aca="false">Sens!$J$11148</f>
        <v>615.391435791933</v>
      </c>
      <c r="K11238" s="38" t="n">
        <f aca="false">Sens!$K$11148</f>
        <v>655.208227561543</v>
      </c>
      <c r="L11238" s="38" t="n">
        <f aca="false">Sens!$L$11148</f>
        <v>697.807739249767</v>
      </c>
      <c r="M11238" s="38" t="n">
        <f aca="false">Sens!$M$11148</f>
        <v>743.399328463592</v>
      </c>
      <c r="N11238" s="38" t="n">
        <f aca="false">Sens!$N$11148</f>
        <v>192.955</v>
      </c>
      <c r="O11238" s="38" t="n">
        <f aca="false">Sens!$O$11148</f>
        <v>233.35</v>
      </c>
    </row>
    <row r="11239" customFormat="false" ht="15" hidden="false" customHeight="false" outlineLevel="0" collapsed="false">
      <c r="A11239" s="1" t="s">
        <v>522</v>
      </c>
      <c r="B11239" s="8" t="s">
        <v>86</v>
      </c>
      <c r="C11239" s="38" t="n">
        <f aca="false">Sens!$C$11149</f>
        <v>142.906</v>
      </c>
      <c r="D11239" s="38" t="n">
        <f aca="false">Sens!$D$11149</f>
        <v>161.894</v>
      </c>
      <c r="E11239" s="38" t="n">
        <f aca="false">Sens!$E$11149</f>
        <v>81.986</v>
      </c>
      <c r="F11239" s="38" t="n">
        <f aca="false">Sens!$F$11149</f>
        <v>98.408468164951</v>
      </c>
      <c r="G11239" s="38" t="n">
        <f aca="false">Sens!$G$11149</f>
        <v>180.394468164951</v>
      </c>
      <c r="H11239" s="38" t="n">
        <f aca="false">Sens!$H$11149</f>
        <v>199.709899104949</v>
      </c>
      <c r="I11239" s="38" t="n">
        <f aca="false">Sens!$I$11149</f>
        <v>218.385528264976</v>
      </c>
      <c r="J11239" s="38" t="n">
        <f aca="false">Sens!$J$11149</f>
        <v>235.71696994951</v>
      </c>
      <c r="K11239" s="38" t="n">
        <f aca="false">Sens!$K$11149</f>
        <v>250.968227869545</v>
      </c>
      <c r="L11239" s="38" t="n">
        <f aca="false">Sens!$L$11149</f>
        <v>267.285367225822</v>
      </c>
      <c r="M11239" s="38" t="n">
        <f aca="false">Sens!$M$11149</f>
        <v>284.748579483295</v>
      </c>
      <c r="N11239" s="38" t="n">
        <f aca="false">Sens!$N$11149</f>
        <v>70.274</v>
      </c>
      <c r="O11239" s="38" t="n">
        <f aca="false">Sens!$O$11149</f>
        <v>91.62</v>
      </c>
    </row>
    <row r="11240" customFormat="false" ht="15" hidden="false" customHeight="false" outlineLevel="0" collapsed="false">
      <c r="A11240" s="1" t="s">
        <v>523</v>
      </c>
      <c r="B11240" s="8" t="s">
        <v>86</v>
      </c>
      <c r="C11240" s="38" t="n">
        <f aca="false">Sens!$C$11218</f>
        <v>107.556</v>
      </c>
      <c r="D11240" s="38" t="n">
        <f aca="false">Sens!$D$11218</f>
        <v>128.725</v>
      </c>
      <c r="E11240" s="38" t="n">
        <f aca="false">Sens!$E$11218</f>
        <v>79.819</v>
      </c>
      <c r="F11240" s="38" t="n">
        <f aca="false">Sens!$F$11218</f>
        <v>86.7327334389669</v>
      </c>
      <c r="G11240" s="38" t="n">
        <f aca="false">Sens!$G$11218</f>
        <v>166.551733438967</v>
      </c>
      <c r="H11240" s="38" t="n">
        <f aca="false">Sens!$H$11218</f>
        <v>221.182967828978</v>
      </c>
      <c r="I11240" s="38" t="n">
        <f aca="false">Sens!$I$11218</f>
        <v>280.27345865789</v>
      </c>
      <c r="J11240" s="38" t="n">
        <f aca="false">Sens!$J$11218</f>
        <v>338.800945197185</v>
      </c>
      <c r="K11240" s="38" t="n">
        <f aca="false">Sens!$K$11218</f>
        <v>389.88570147276</v>
      </c>
      <c r="L11240" s="38" t="n">
        <f aca="false">Sens!$L$11218</f>
        <v>430.080689379143</v>
      </c>
      <c r="M11240" s="38" t="n">
        <f aca="false">Sens!$M$11218</f>
        <v>459.456235951751</v>
      </c>
      <c r="N11240" s="38" t="n">
        <f aca="false">Sens!$N$11218</f>
        <v>60.14</v>
      </c>
      <c r="O11240" s="38" t="n">
        <f aca="false">Sens!$O$11218</f>
        <v>68.585</v>
      </c>
    </row>
    <row r="11241" customFormat="false" ht="17.15" hidden="false" customHeight="false" outlineLevel="0" collapsed="false">
      <c r="A11241" s="0" t="s">
        <v>702</v>
      </c>
      <c r="B11241" s="0" t="s">
        <v>86</v>
      </c>
      <c r="C11241" s="38" t="n">
        <f aca="false">Sens!$C$11216</f>
        <v>2.32100535697364</v>
      </c>
      <c r="D11241" s="38" t="n">
        <f aca="false">Sens!$D$11216</f>
        <v>8.70377008865116</v>
      </c>
      <c r="E11241" s="38" t="n">
        <f aca="false">Sens!$E$11216</f>
        <v>8.51035297557002</v>
      </c>
      <c r="F11241" s="38" t="n">
        <f aca="false">Sens!$F$11216</f>
        <v>14.9634336447205</v>
      </c>
      <c r="G11241" s="38" t="n">
        <f aca="false">Sens!$G$11216</f>
        <v>23.4737866202905</v>
      </c>
      <c r="H11241" s="38" t="n">
        <f aca="false">Sens!$H$11216</f>
        <v>60.1658907497746</v>
      </c>
      <c r="I11241" s="38" t="n">
        <f aca="false">Sens!$I$11216</f>
        <v>101.503699136432</v>
      </c>
      <c r="J11241" s="38" t="n">
        <f aca="false">Sens!$J$11216</f>
        <v>143.025407151278</v>
      </c>
      <c r="K11241" s="38" t="n">
        <f aca="false">Sens!$K$11216</f>
        <v>178.44812038318</v>
      </c>
      <c r="L11241" s="38" t="n">
        <f aca="false">Sens!$L$11216</f>
        <v>201.728101802396</v>
      </c>
      <c r="M11241" s="38" t="n">
        <f aca="false">Sens!$M$11216</f>
        <v>212.835441368865</v>
      </c>
      <c r="N11241" s="38" t="n">
        <f aca="false">Sens!$N$11216</f>
        <v>3.04631953102791</v>
      </c>
      <c r="O11241" s="38" t="n">
        <f aca="false">Sens!$O$11216</f>
        <v>5.65745055762326</v>
      </c>
    </row>
    <row r="11242" customFormat="false" ht="17.15" hidden="false" customHeight="false" outlineLevel="0" collapsed="false">
      <c r="A11242" s="0" t="s">
        <v>704</v>
      </c>
      <c r="B11242" s="0" t="s">
        <v>86</v>
      </c>
      <c r="C11242" s="38" t="n">
        <f aca="false">Sens!$C$11217</f>
        <v>105.234994643026</v>
      </c>
      <c r="D11242" s="38" t="n">
        <f aca="false">Sens!$D$11217</f>
        <v>120.021229911349</v>
      </c>
      <c r="E11242" s="38" t="n">
        <f aca="false">Sens!$E$11217</f>
        <v>71.30864702443</v>
      </c>
      <c r="F11242" s="38" t="n">
        <f aca="false">Sens!$F$11217</f>
        <v>71.7692997942464</v>
      </c>
      <c r="G11242" s="38" t="n">
        <f aca="false">Sens!$G$11217</f>
        <v>143.077946818676</v>
      </c>
      <c r="H11242" s="38" t="n">
        <f aca="false">Sens!$H$11217</f>
        <v>161.017077079203</v>
      </c>
      <c r="I11242" s="38" t="n">
        <f aca="false">Sens!$I$11217</f>
        <v>178.769759521457</v>
      </c>
      <c r="J11242" s="38" t="n">
        <f aca="false">Sens!$J$11217</f>
        <v>195.775538045907</v>
      </c>
      <c r="K11242" s="38" t="n">
        <f aca="false">Sens!$K$11217</f>
        <v>211.43758108958</v>
      </c>
      <c r="L11242" s="38" t="n">
        <f aca="false">Sens!$L$11217</f>
        <v>228.352587576746</v>
      </c>
      <c r="M11242" s="38" t="n">
        <f aca="false">Sens!$M$11217</f>
        <v>246.620794582886</v>
      </c>
      <c r="N11242" s="38" t="n">
        <f aca="false">Sens!$N$11217</f>
        <v>57.0936804689721</v>
      </c>
      <c r="O11242" s="38" t="n">
        <f aca="false">Sens!$O$11217</f>
        <v>62.9275494423768</v>
      </c>
    </row>
    <row r="11243" customFormat="false" ht="15" hidden="false" customHeight="false" outlineLevel="0" collapsed="false">
      <c r="A11243" s="3" t="s">
        <v>524</v>
      </c>
      <c r="B11243" s="8" t="s">
        <v>86</v>
      </c>
      <c r="C11243" s="38" t="n">
        <f aca="false">Sens!$C$11219</f>
        <v>637.959</v>
      </c>
      <c r="D11243" s="38" t="n">
        <f aca="false">Sens!$D$11219</f>
        <v>716.924</v>
      </c>
      <c r="E11243" s="38" t="n">
        <f aca="false">Sens!$E$11219</f>
        <v>382.125</v>
      </c>
      <c r="F11243" s="38" t="n">
        <f aca="false">Sens!$F$11219</f>
        <v>435.780975084504</v>
      </c>
      <c r="G11243" s="38" t="n">
        <f aca="false">Sens!$G$11219</f>
        <v>817.905975084504</v>
      </c>
      <c r="H11243" s="38" t="n">
        <f aca="false">Sens!$H$11219</f>
        <v>942.279857350364</v>
      </c>
      <c r="I11243" s="38" t="n">
        <f aca="false">Sens!$I$11219</f>
        <v>1068.80284981042</v>
      </c>
      <c r="J11243" s="38" t="n">
        <f aca="false">Sens!$J$11219</f>
        <v>1189.90935093863</v>
      </c>
      <c r="K11243" s="38" t="n">
        <f aca="false">Sens!$K$11219</f>
        <v>1296.06215690385</v>
      </c>
      <c r="L11243" s="38" t="n">
        <f aca="false">Sens!$L$11219</f>
        <v>1395.17379585473</v>
      </c>
      <c r="M11243" s="38" t="n">
        <f aca="false">Sens!$M$11219</f>
        <v>1487.60414389864</v>
      </c>
      <c r="N11243" s="38" t="n">
        <f aca="false">Sens!$N$11219</f>
        <v>323.369</v>
      </c>
      <c r="O11243" s="38" t="n">
        <f aca="false">Sens!$O$11219</f>
        <v>393.555</v>
      </c>
    </row>
    <row r="11244" customFormat="false" ht="17.15" hidden="false" customHeight="false" outlineLevel="0" collapsed="false">
      <c r="A11244" s="24" t="s">
        <v>714</v>
      </c>
      <c r="B11244" s="25" t="s">
        <v>86</v>
      </c>
      <c r="C11244" s="41" t="n">
        <f aca="false">Sens!$C$11231+Sens!$C$11232+Sens!$C$11233+Sens!$C$11234+Sens!$C$11235+Sens!$C$11236-(Sens!$C$11238+Sens!$C$11239)</f>
        <v>0</v>
      </c>
      <c r="D11244" s="41" t="n">
        <f aca="false">Sens!$D$11231+Sens!$D$11232+Sens!$D$11233+Sens!$D$11234+Sens!$D$11235+Sens!$D$11236-(Sens!$D$11238+Sens!$D$11239)</f>
        <v>0</v>
      </c>
      <c r="E11244" s="41" t="n">
        <f aca="false">Sens!$E$11231+Sens!$E$11232+Sens!$E$11233+Sens!$E$11234+Sens!$E$11235+Sens!$E$11236-(Sens!$E$11238+Sens!$E$11239)</f>
        <v>0</v>
      </c>
      <c r="F11244" s="41" t="n">
        <f aca="false">Sens!$F$11231+Sens!$F$11232+Sens!$F$11233+Sens!$F$11234+Sens!$F$11235+Sens!$F$11236-(Sens!$F$11238+Sens!$F$11239)</f>
        <v>0</v>
      </c>
      <c r="G11244" s="41" t="n">
        <f aca="false">Sens!$G$11231+Sens!$G$11232+Sens!$G$11233+Sens!$G$11234+Sens!$G$11235+Sens!$G$11236-(Sens!$G$11238+Sens!$G$11239)</f>
        <v>0</v>
      </c>
      <c r="H11244" s="41" t="n">
        <f aca="false">Sens!$H$11231+Sens!$H$11232+Sens!$H$11233+Sens!$H$11234+Sens!$H$11235+Sens!$H$11236-(Sens!$H$11238+Sens!$H$11239)</f>
        <v>0</v>
      </c>
      <c r="I11244" s="41" t="n">
        <f aca="false">Sens!$I$11231+Sens!$I$11232+Sens!$I$11233+Sens!$I$11234+Sens!$I$11235+Sens!$I$11236-(Sens!$I$11238+Sens!$I$11239)</f>
        <v>0</v>
      </c>
      <c r="J11244" s="41" t="n">
        <f aca="false">Sens!$J$11231+Sens!$J$11232+Sens!$J$11233+Sens!$J$11234+Sens!$J$11235+Sens!$J$11236-(Sens!$J$11238+Sens!$J$11239)</f>
        <v>0</v>
      </c>
      <c r="K11244" s="41" t="n">
        <f aca="false">Sens!$K$11231+Sens!$K$11232+Sens!$K$11233+Sens!$K$11234+Sens!$K$11235+Sens!$K$11236-(Sens!$K$11238+Sens!$K$11239)</f>
        <v>0</v>
      </c>
      <c r="L11244" s="41" t="n">
        <f aca="false">Sens!$L$11231+Sens!$L$11232+Sens!$L$11233+Sens!$L$11234+Sens!$L$11235+Sens!$L$11236-(Sens!$L$11238+Sens!$L$11239)</f>
        <v>0</v>
      </c>
      <c r="M11244" s="41" t="n">
        <f aca="false">Sens!$M$11231+Sens!$M$11232+Sens!$M$11233+Sens!$M$11234+Sens!$M$11235+Sens!$M$11236-(Sens!$M$11238+Sens!$M$11239)</f>
        <v>0</v>
      </c>
      <c r="N11244" s="41" t="n">
        <f aca="false">Sens!$N$11231+Sens!$N$11232+Sens!$N$11233+Sens!$N$11234+Sens!$N$11235+Sens!$N$11236-(Sens!$N$11238+Sens!$N$11239)</f>
        <v>0</v>
      </c>
      <c r="O11244" s="41" t="n">
        <f aca="false">Sens!$O$11231+Sens!$O$11232+Sens!$O$11233+Sens!$O$11234+Sens!$O$11235+Sens!$O$11236-(Sens!$O$11238+Sens!$O$11239)</f>
        <v>0</v>
      </c>
    </row>
    <row r="11245" customFormat="false" ht="17.15" hidden="false" customHeight="false" outlineLevel="0" collapsed="false">
      <c r="A11245" s="24" t="s">
        <v>715</v>
      </c>
      <c r="B11245" s="25" t="s">
        <v>86</v>
      </c>
      <c r="C11245" s="41" t="n">
        <f aca="false">Sens!$C$11241+Sens!$C$11242-Sens!$C$11240</f>
        <v>0</v>
      </c>
      <c r="D11245" s="41" t="n">
        <f aca="false">Sens!$D$11241+Sens!$D$11242-Sens!$D$11240</f>
        <v>0</v>
      </c>
      <c r="E11245" s="41" t="n">
        <f aca="false">Sens!$E$11241+Sens!$E$11242-Sens!$E$11240</f>
        <v>0</v>
      </c>
      <c r="F11245" s="41" t="n">
        <f aca="false">Sens!$F$11241+Sens!$F$11242-Sens!$F$11240</f>
        <v>0</v>
      </c>
      <c r="G11245" s="41" t="n">
        <f aca="false">Sens!$G$11241+Sens!$G$11242-Sens!$G$11240</f>
        <v>0</v>
      </c>
      <c r="H11245" s="41" t="n">
        <f aca="false">Sens!$H$11241+Sens!$H$11242-Sens!$H$11240</f>
        <v>0</v>
      </c>
      <c r="I11245" s="41" t="n">
        <f aca="false">Sens!$I$11241+Sens!$I$11242-Sens!$I$11240</f>
        <v>0</v>
      </c>
      <c r="J11245" s="41" t="n">
        <f aca="false">Sens!$J$11241+Sens!$J$11242-Sens!$J$11240</f>
        <v>0</v>
      </c>
      <c r="K11245" s="41" t="n">
        <f aca="false">Sens!$K$11241+Sens!$K$11242-Sens!$K$11240</f>
        <v>0</v>
      </c>
      <c r="L11245" s="41" t="n">
        <f aca="false">Sens!$L$11241+Sens!$L$11242-Sens!$L$11240</f>
        <v>0</v>
      </c>
      <c r="M11245" s="41" t="n">
        <f aca="false">Sens!$M$11241+Sens!$M$11242-Sens!$M$11240</f>
        <v>0</v>
      </c>
      <c r="N11245" s="41" t="n">
        <f aca="false">Sens!$N$11241+Sens!$N$11242-Sens!$N$11240</f>
        <v>0</v>
      </c>
      <c r="O11245" s="41" t="n">
        <f aca="false">Sens!$O$11241+Sens!$O$11242-Sens!$O$11240</f>
        <v>0</v>
      </c>
    </row>
    <row r="11246" customFormat="false" ht="17.15" hidden="false" customHeight="false" outlineLevel="0" collapsed="false">
      <c r="A11246" s="24" t="s">
        <v>774</v>
      </c>
      <c r="B11246" s="25" t="s">
        <v>86</v>
      </c>
      <c r="C11246" s="41" t="n">
        <f aca="false">Sens!$C$11231+Sens!$C$11232+Sens!$C$11233+Sens!$C$11234+Sens!$C$11235+Sens!$C$11236+Sens!$C$11237-Sens!$C$11243</f>
        <v>0</v>
      </c>
      <c r="D11246" s="41" t="n">
        <f aca="false">Sens!$D$11231+Sens!$D$11232+Sens!$D$11233+Sens!$D$11234+Sens!$D$11235+Sens!$D$11236+Sens!$D$11237-Sens!$D$11243</f>
        <v>0</v>
      </c>
      <c r="E11246" s="41" t="n">
        <f aca="false">Sens!$E$11231+Sens!$E$11232+Sens!$E$11233+Sens!$E$11234+Sens!$E$11235+Sens!$E$11236+Sens!$E$11237-Sens!$E$11243</f>
        <v>0</v>
      </c>
      <c r="F11246" s="41" t="n">
        <f aca="false">Sens!$F$11231+Sens!$F$11232+Sens!$F$11233+Sens!$F$11234+Sens!$F$11235+Sens!$F$11236+Sens!$F$11237-Sens!$F$11243</f>
        <v>0</v>
      </c>
      <c r="G11246" s="41" t="n">
        <f aca="false">Sens!$G$11231+Sens!$G$11232+Sens!$G$11233+Sens!$G$11234+Sens!$G$11235+Sens!$G$11236+Sens!$G$11237-Sens!$G$11243</f>
        <v>0</v>
      </c>
      <c r="H11246" s="41" t="n">
        <f aca="false">Sens!$H$11231+Sens!$H$11232+Sens!$H$11233+Sens!$H$11234+Sens!$H$11235+Sens!$H$11236+Sens!$H$11237-Sens!$H$11243</f>
        <v>0</v>
      </c>
      <c r="I11246" s="41" t="n">
        <f aca="false">Sens!$I$11231+Sens!$I$11232+Sens!$I$11233+Sens!$I$11234+Sens!$I$11235+Sens!$I$11236+Sens!$I$11237-Sens!$I$11243</f>
        <v>0</v>
      </c>
      <c r="J11246" s="41" t="n">
        <f aca="false">Sens!$J$11231+Sens!$J$11232+Sens!$J$11233+Sens!$J$11234+Sens!$J$11235+Sens!$J$11236+Sens!$J$11237-Sens!$J$11243</f>
        <v>0</v>
      </c>
      <c r="K11246" s="41" t="n">
        <f aca="false">Sens!$K$11231+Sens!$K$11232+Sens!$K$11233+Sens!$K$11234+Sens!$K$11235+Sens!$K$11236+Sens!$K$11237-Sens!$K$11243</f>
        <v>0</v>
      </c>
      <c r="L11246" s="41" t="n">
        <f aca="false">Sens!$L$11231+Sens!$L$11232+Sens!$L$11233+Sens!$L$11234+Sens!$L$11235+Sens!$L$11236+Sens!$L$11237-Sens!$L$11243</f>
        <v>0</v>
      </c>
      <c r="M11246" s="41" t="n">
        <f aca="false">Sens!$M$11231+Sens!$M$11232+Sens!$M$11233+Sens!$M$11234+Sens!$M$11235+Sens!$M$11236+Sens!$M$11237-Sens!$M$11243</f>
        <v>0</v>
      </c>
      <c r="N11246" s="41" t="n">
        <f aca="false">Sens!$N$11231+Sens!$N$11232+Sens!$N$11233+Sens!$N$11234+Sens!$N$11235+Sens!$N$11236+Sens!$N$11237-Sens!$N$11243</f>
        <v>0</v>
      </c>
      <c r="O11246" s="41" t="n">
        <f aca="false">Sens!$O$11231+Sens!$O$11232+Sens!$O$11233+Sens!$O$11234+Sens!$O$11235+Sens!$O$11236+Sens!$O$11237-Sens!$O$11243</f>
        <v>0</v>
      </c>
    </row>
    <row r="11247" customFormat="false" ht="17.15" hidden="false" customHeight="false" outlineLevel="0" collapsed="false">
      <c r="A11247" s="24" t="s">
        <v>716</v>
      </c>
      <c r="B11247" s="25" t="s">
        <v>86</v>
      </c>
      <c r="C11247" s="41" t="n">
        <f aca="false">Sens!$C$11238+Sens!$C$11239+Sens!$C$11240-Sens!$C$11243</f>
        <v>0</v>
      </c>
      <c r="D11247" s="41" t="n">
        <f aca="false">Sens!$D$11238+Sens!$D$11239+Sens!$D$11240-Sens!$D$11243</f>
        <v>0</v>
      </c>
      <c r="E11247" s="41" t="n">
        <f aca="false">Sens!$E$11238+Sens!$E$11239+Sens!$E$11240-Sens!$E$11243</f>
        <v>0</v>
      </c>
      <c r="F11247" s="41" t="n">
        <f aca="false">Sens!$F$11238+Sens!$F$11239+Sens!$F$11240-Sens!$F$11243</f>
        <v>0</v>
      </c>
      <c r="G11247" s="41" t="n">
        <f aca="false">Sens!$G$11238+Sens!$G$11239+Sens!$G$11240-Sens!$G$11243</f>
        <v>0</v>
      </c>
      <c r="H11247" s="41" t="n">
        <f aca="false">Sens!$H$11238+Sens!$H$11239+Sens!$H$11240-Sens!$H$11243</f>
        <v>0</v>
      </c>
      <c r="I11247" s="41" t="n">
        <f aca="false">Sens!$I$11238+Sens!$I$11239+Sens!$I$11240-Sens!$I$11243</f>
        <v>0</v>
      </c>
      <c r="J11247" s="41" t="n">
        <f aca="false">Sens!$J$11238+Sens!$J$11239+Sens!$J$11240-Sens!$J$11243</f>
        <v>0</v>
      </c>
      <c r="K11247" s="41" t="n">
        <f aca="false">Sens!$K$11238+Sens!$K$11239+Sens!$K$11240-Sens!$K$11243</f>
        <v>0</v>
      </c>
      <c r="L11247" s="41" t="n">
        <f aca="false">Sens!$L$11238+Sens!$L$11239+Sens!$L$11240-Sens!$L$11243</f>
        <v>0</v>
      </c>
      <c r="M11247" s="41" t="n">
        <f aca="false">Sens!$M$11238+Sens!$M$11239+Sens!$M$11240-Sens!$M$11243</f>
        <v>0</v>
      </c>
      <c r="N11247" s="41" t="n">
        <f aca="false">Sens!$N$11238+Sens!$N$11239+Sens!$N$11240-Sens!$N$11243</f>
        <v>0</v>
      </c>
      <c r="O11247" s="41" t="n">
        <f aca="false">Sens!$O$11238+Sens!$O$11239+Sens!$O$11240-Sens!$O$11243</f>
        <v>0</v>
      </c>
    </row>
    <row r="11248" customFormat="false" ht="17.15" hidden="false" customHeight="false" outlineLevel="0" collapsed="false">
      <c r="A11248" s="1" t="s">
        <v>730</v>
      </c>
    </row>
    <row r="11249" customFormat="false" ht="17.15" hidden="false" customHeight="false" outlineLevel="0" collapsed="false">
      <c r="A11249" s="0" t="s">
        <v>731</v>
      </c>
      <c r="B11249" s="0" t="s">
        <v>86</v>
      </c>
      <c r="C11249" s="38" t="n">
        <f aca="false">Sens!$C$11150*m_ad</f>
        <v>20.5341564414228</v>
      </c>
      <c r="D11249" s="38" t="n">
        <f aca="false">Sens!$D$11150*m_ad</f>
        <v>24.8720617299587</v>
      </c>
      <c r="E11249" s="38" t="n">
        <f aca="false">Sens!$E$11150*m_ad</f>
        <v>13.5017112462207</v>
      </c>
      <c r="F11249" s="38" t="n">
        <f aca="false">Sens!$F$11150*m_ad</f>
        <v>16.5719724165257</v>
      </c>
      <c r="G11249" s="38" t="n">
        <f aca="false">Sens!$G$11150*m_ad</f>
        <v>30.0820919220415</v>
      </c>
      <c r="H11249" s="38" t="n">
        <f aca="false">Sens!$H$11150*m_ad</f>
        <v>36.1150883276314</v>
      </c>
      <c r="I11249" s="38" t="n">
        <f aca="false">Sens!$I$11150*m_ad</f>
        <v>42.1475382231996</v>
      </c>
      <c r="J11249" s="38" t="n">
        <f aca="false">Sens!$J$11150*m_ad</f>
        <v>47.7749523864693</v>
      </c>
      <c r="K11249" s="38" t="n">
        <f aca="false">Sens!$K$11150*m_ad</f>
        <v>52.5524476251162</v>
      </c>
      <c r="L11249" s="38" t="n">
        <f aca="false">Sens!$L$11150*m_ad</f>
        <v>57.8076923876279</v>
      </c>
      <c r="M11249" s="38" t="n">
        <f aca="false">Sens!$M$11150*m_ad</f>
        <v>63.5884616263907</v>
      </c>
      <c r="N11249" s="38" t="n">
        <f aca="false">Sens!$N$11150*m_ad</f>
        <v>10.8543555706248</v>
      </c>
      <c r="O11249" s="38" t="n">
        <f aca="false">Sens!$O$11150*m_ad</f>
        <v>14.0094731821399</v>
      </c>
    </row>
    <row r="11250" customFormat="false" ht="17.15" hidden="false" customHeight="false" outlineLevel="0" collapsed="false">
      <c r="A11250" s="0" t="s">
        <v>732</v>
      </c>
      <c r="B11250" s="0" t="s">
        <v>86</v>
      </c>
      <c r="C11250" s="38" t="n">
        <f aca="false">Sens!$C$11148-Sens!$C$11150</f>
        <v>346.428687117154</v>
      </c>
      <c r="D11250" s="38" t="n">
        <f aca="false">Sens!$D$11148-Sens!$D$11150</f>
        <v>376.560876540083</v>
      </c>
      <c r="E11250" s="38" t="n">
        <f aca="false">Sens!$E$11148-Sens!$E$11150</f>
        <v>193.316577507559</v>
      </c>
      <c r="F11250" s="38" t="n">
        <f aca="false">Sens!$F$11148-Sens!$F$11150</f>
        <v>217.495828647535</v>
      </c>
      <c r="G11250" s="38" t="n">
        <f aca="false">Sens!$G$11148-Sens!$G$11150</f>
        <v>410.795589636503</v>
      </c>
      <c r="H11250" s="38" t="n">
        <f aca="false">Sens!$H$11148-Sens!$H$11150</f>
        <v>449.156813761174</v>
      </c>
      <c r="I11250" s="38" t="n">
        <f aca="false">Sens!$I$11148-Sens!$I$11150</f>
        <v>485.848786441156</v>
      </c>
      <c r="J11250" s="38" t="n">
        <f aca="false">Sens!$J$11148-Sens!$J$11150</f>
        <v>519.841531018994</v>
      </c>
      <c r="K11250" s="38" t="n">
        <f aca="false">Sens!$K$11148-Sens!$K$11150</f>
        <v>550.103332311311</v>
      </c>
      <c r="L11250" s="38" t="n">
        <f aca="false">Sens!$L$11148-Sens!$L$11150</f>
        <v>582.192354474511</v>
      </c>
      <c r="M11250" s="38" t="n">
        <f aca="false">Sens!$M$11148-Sens!$M$11150</f>
        <v>616.22240521081</v>
      </c>
      <c r="N11250" s="38" t="n">
        <f aca="false">Sens!$N$11148-Sens!$N$11150</f>
        <v>171.24628885875</v>
      </c>
      <c r="O11250" s="38" t="n">
        <f aca="false">Sens!$O$11148-Sens!$O$11150</f>
        <v>205.33105363572</v>
      </c>
    </row>
    <row r="11251" customFormat="false" ht="17.15" hidden="false" customHeight="false" outlineLevel="0" collapsed="false">
      <c r="A11251" s="0" t="s">
        <v>733</v>
      </c>
      <c r="B11251" s="0" t="s">
        <v>86</v>
      </c>
      <c r="C11251" s="38" t="n">
        <f aca="false">Sens!$C$11202*Sens!$C$11147</f>
        <v>0.123617442257179</v>
      </c>
      <c r="D11251" s="38" t="n">
        <f aca="false">Sens!$D$11202*Sens!$D$11147</f>
        <v>0.600198046024689</v>
      </c>
      <c r="E11251" s="38" t="n">
        <f aca="false">Sens!$E$11202*Sens!$E$11147</f>
        <v>1.10840000750276</v>
      </c>
      <c r="F11251" s="38" t="n">
        <f aca="false">Sens!$F$11202*Sens!$F$11147</f>
        <v>1.33595298721025</v>
      </c>
      <c r="G11251" s="38" t="n">
        <f aca="false">Sens!$G$11202*Sens!$G$11147</f>
        <v>2.44487335052545</v>
      </c>
      <c r="H11251" s="38" t="n">
        <f aca="false">Sens!$H$11202*Sens!$H$11147</f>
        <v>6.63132711939388</v>
      </c>
      <c r="I11251" s="38" t="n">
        <f aca="false">Sens!$I$11202*Sens!$I$11147</f>
        <v>12.7486799258504</v>
      </c>
      <c r="J11251" s="38" t="n">
        <f aca="false">Sens!$J$11202*Sens!$J$11147</f>
        <v>18.4074045299415</v>
      </c>
      <c r="K11251" s="38" t="n">
        <f aca="false">Sens!$K$11202*Sens!$K$11147</f>
        <v>23.9455472348705</v>
      </c>
      <c r="L11251" s="38" t="n">
        <f aca="false">Sens!$L$11202*Sens!$L$11147</f>
        <v>27.78179156216</v>
      </c>
      <c r="M11251" s="38" t="n">
        <f aca="false">Sens!$M$11202*Sens!$M$11147</f>
        <v>29.9029027327362</v>
      </c>
      <c r="N11251" s="38" t="n">
        <f aca="false">Sens!$N$11202*Sens!$N$11147</f>
        <v>0.25053229484398</v>
      </c>
      <c r="O11251" s="38" t="n">
        <f aca="false">Sens!$O$11202*Sens!$O$11147</f>
        <v>0.349234376756897</v>
      </c>
    </row>
    <row r="11252" customFormat="false" ht="17.15" hidden="false" customHeight="false" outlineLevel="0" collapsed="false">
      <c r="A11252" s="0" t="s">
        <v>734</v>
      </c>
      <c r="B11252" s="0" t="s">
        <v>52</v>
      </c>
      <c r="C11252" s="28" t="n">
        <f aca="false">(Sens!$C$11253-Sens!$C$11249+Sens!$C$11251)/Sens!$C$11250</f>
        <v>0.0131526665379575</v>
      </c>
      <c r="D11252" s="28" t="n">
        <f aca="false">(Sens!$D$11253-Sens!$D$11249+Sens!$D$11251)/Sens!$D$11250</f>
        <v>0.0141999252954702</v>
      </c>
      <c r="E11252" s="28" t="n">
        <f aca="false">(Sens!$E$11253-Sens!$E$11249+Sens!$E$11251)/Sens!$E$11250</f>
        <v>0.0258471819939326</v>
      </c>
      <c r="F11252" s="28" t="n">
        <f aca="false">Sens!$O$11252+(Sens!$E$11252-Sens!$N$11252)</f>
        <v>0.0224302350712874</v>
      </c>
      <c r="G11252" s="28" t="n">
        <f aca="false">(Sens!$G$11253-Sens!$G$11249+Sens!$G$11251)/Sens!$G$11250</f>
        <v>0.0240199351461372</v>
      </c>
      <c r="H11252" s="28" t="n">
        <f aca="false">Sens!$G$11252+step_na</f>
        <v>0.0270199351461372</v>
      </c>
      <c r="I11252" s="28" t="n">
        <f aca="false">Sens!$H$11252+step_na</f>
        <v>0.0300199351461372</v>
      </c>
      <c r="J11252" s="28" t="n">
        <f aca="false">Sens!$I$11252+step_na</f>
        <v>0.0330199351461372</v>
      </c>
      <c r="K11252" s="28" t="n">
        <f aca="false">Sens!$J$11252+step_na</f>
        <v>0.0360199351461372</v>
      </c>
      <c r="L11252" s="28" t="n">
        <f aca="false">Sens!$K$11252</f>
        <v>0.0360199351461372</v>
      </c>
      <c r="M11252" s="28" t="n">
        <f aca="false">Sens!$L$11252</f>
        <v>0.0360199351461372</v>
      </c>
      <c r="N11252" s="28" t="n">
        <f aca="false">(Sens!$N$11253-Sens!$N$11249+Sens!$N$11251)/Sens!$N$11250</f>
        <v>0.0160831323269779</v>
      </c>
      <c r="O11252" s="28" t="n">
        <f aca="false">(Sens!$O$11253-Sens!$O$11249+Sens!$O$11251)/Sens!$O$11250</f>
        <v>0.0126661854043327</v>
      </c>
      <c r="P11252" s="8" t="s">
        <v>735</v>
      </c>
    </row>
    <row r="11253" customFormat="false" ht="17.15" hidden="false" customHeight="false" outlineLevel="0" collapsed="false">
      <c r="A11253" s="1" t="s">
        <v>736</v>
      </c>
      <c r="B11253" s="8" t="s">
        <v>86</v>
      </c>
      <c r="C11253" s="38" t="n">
        <f aca="false">Q!$D$22</f>
        <v>24.967</v>
      </c>
      <c r="D11253" s="38" t="n">
        <f aca="false">Q!$E$22</f>
        <v>29.619</v>
      </c>
      <c r="E11253" s="38" t="n">
        <f aca="false">Q!$P$22</f>
        <v>17.39</v>
      </c>
      <c r="F11253" s="38" t="n">
        <f aca="false">Sens!$F$11249+Sens!$F$11250*Sens!$F$11252-Sens!$F$11251</f>
        <v>20.1145019929041</v>
      </c>
      <c r="G11253" s="38" t="n">
        <f aca="false">Sens!$E$11253+Sens!$F$11253</f>
        <v>37.5045019929041</v>
      </c>
      <c r="H11253" s="38" t="n">
        <f aca="false">Sens!$H$11249+Sens!$H$11250*Sens!$H$11252-Sens!$H$11251</f>
        <v>41.6199491865101</v>
      </c>
      <c r="I11253" s="38" t="n">
        <f aca="false">Sens!$I$11249+Sens!$I$11250*Sens!$I$11252-Sens!$I$11251</f>
        <v>43.9840073571422</v>
      </c>
      <c r="J11253" s="38" t="n">
        <f aca="false">Sens!$J$11249+Sens!$J$11250*Sens!$J$11252-Sens!$J$11251</f>
        <v>46.5326814970436</v>
      </c>
      <c r="K11253" s="38" t="n">
        <f aca="false">Sens!$K$11249+Sens!$K$11250*Sens!$K$11252-Sens!$K$11251</f>
        <v>48.4215867437731</v>
      </c>
      <c r="L11253" s="38" t="n">
        <f aca="false">Sens!$L$11249+Sens!$L$11250*Sens!$L$11252-Sens!$L$11251</f>
        <v>50.9964316762167</v>
      </c>
      <c r="M11253" s="38" t="n">
        <f aca="false">Sens!$M$11249+Sens!$M$11250*Sens!$M$11252-Sens!$M$11251</f>
        <v>55.8818499649445</v>
      </c>
      <c r="N11253" s="38" t="n">
        <f aca="false">Q!$N$22</f>
        <v>13.358</v>
      </c>
      <c r="O11253" s="38" t="n">
        <f aca="false">Q!$O$22</f>
        <v>16.261</v>
      </c>
    </row>
    <row r="11254" customFormat="false" ht="17.15" hidden="false" customHeight="false" outlineLevel="0" collapsed="false">
      <c r="A11254" s="0" t="s">
        <v>737</v>
      </c>
      <c r="B11254" s="0" t="s">
        <v>86</v>
      </c>
      <c r="C11254" s="38" t="n">
        <f aca="false">Sens!$C$11151*m_ad</f>
        <v>7.57284355857716</v>
      </c>
      <c r="D11254" s="38" t="n">
        <f aca="false">Sens!$D$11151*m_ad</f>
        <v>9.44543827004127</v>
      </c>
      <c r="E11254" s="38" t="n">
        <f aca="false">Sens!$E$11151*m_ad</f>
        <v>5.02428875377928</v>
      </c>
      <c r="F11254" s="38" t="n">
        <f aca="false">Sens!$F$11151*m_ad</f>
        <v>6.50663858068173</v>
      </c>
      <c r="G11254" s="38" t="n">
        <f aca="false">Sens!$G$11151*m_ad</f>
        <v>11.5225190751659</v>
      </c>
      <c r="H11254" s="38" t="n">
        <f aca="false">Sens!$H$11151*m_ad</f>
        <v>13.8333728663174</v>
      </c>
      <c r="I11254" s="38" t="n">
        <f aca="false">Sens!$I$11151*m_ad</f>
        <v>16.1440173245485</v>
      </c>
      <c r="J11254" s="38" t="n">
        <f aca="false">Sens!$J$11151*m_ad</f>
        <v>18.2995185845066</v>
      </c>
      <c r="K11254" s="38" t="n">
        <f aca="false">Sens!$K$11151*m_ad</f>
        <v>20.1294704429572</v>
      </c>
      <c r="L11254" s="38" t="n">
        <f aca="false">Sens!$L$11151*m_ad</f>
        <v>22.142417487253</v>
      </c>
      <c r="M11254" s="38" t="n">
        <f aca="false">Sens!$M$11151*m_ad</f>
        <v>24.3566592359783</v>
      </c>
      <c r="N11254" s="38" t="n">
        <f aca="false">Sens!$N$11151*m_ad</f>
        <v>3.95314442937518</v>
      </c>
      <c r="O11254" s="38" t="n">
        <f aca="false">Sens!$O$11151*m_ad</f>
        <v>5.50052681786011</v>
      </c>
    </row>
    <row r="11255" customFormat="false" ht="17.15" hidden="false" customHeight="false" outlineLevel="0" collapsed="false">
      <c r="A11255" s="0" t="s">
        <v>738</v>
      </c>
      <c r="B11255" s="0" t="s">
        <v>86</v>
      </c>
      <c r="C11255" s="38" t="n">
        <f aca="false">Sens!$C$11149-Sens!$C$11151</f>
        <v>127.760312882846</v>
      </c>
      <c r="D11255" s="38" t="n">
        <f aca="false">Sens!$D$11149-Sens!$D$11151</f>
        <v>143.003123459917</v>
      </c>
      <c r="E11255" s="38" t="n">
        <f aca="false">Sens!$E$11149-Sens!$E$11151</f>
        <v>71.9374224924414</v>
      </c>
      <c r="F11255" s="38" t="n">
        <f aca="false">Sens!$F$11149-Sens!$F$11151</f>
        <v>85.3951910035875</v>
      </c>
      <c r="G11255" s="38" t="n">
        <f aca="false">Sens!$G$11149-Sens!$G$11151</f>
        <v>157.349430014619</v>
      </c>
      <c r="H11255" s="38" t="n">
        <f aca="false">Sens!$H$11149-Sens!$H$11151</f>
        <v>172.043153372315</v>
      </c>
      <c r="I11255" s="38" t="n">
        <f aca="false">Sens!$I$11149-Sens!$I$11151</f>
        <v>186.097493615879</v>
      </c>
      <c r="J11255" s="38" t="n">
        <f aca="false">Sens!$J$11149-Sens!$J$11151</f>
        <v>199.117932780497</v>
      </c>
      <c r="K11255" s="38" t="n">
        <f aca="false">Sens!$K$11149-Sens!$K$11151</f>
        <v>210.70928698363</v>
      </c>
      <c r="L11255" s="38" t="n">
        <f aca="false">Sens!$L$11149-Sens!$L$11151</f>
        <v>223.000532251316</v>
      </c>
      <c r="M11255" s="38" t="n">
        <f aca="false">Sens!$M$11149-Sens!$M$11151</f>
        <v>236.035261011339</v>
      </c>
      <c r="N11255" s="38" t="n">
        <f aca="false">Sens!$N$11149-Sens!$N$11151</f>
        <v>62.3677111412496</v>
      </c>
      <c r="O11255" s="38" t="n">
        <f aca="false">Sens!$O$11149-Sens!$O$11151</f>
        <v>80.6189463642798</v>
      </c>
    </row>
    <row r="11256" customFormat="false" ht="17.15" hidden="false" customHeight="false" outlineLevel="0" collapsed="false">
      <c r="A11256" s="0" t="s">
        <v>739</v>
      </c>
      <c r="B11256" s="0" t="s">
        <v>86</v>
      </c>
      <c r="C11256" s="38" t="n">
        <f aca="false">Sens!$C$11202*(1-Sens!$C$11147)</f>
        <v>0.0455891896019953</v>
      </c>
      <c r="D11256" s="38" t="n">
        <f aca="false">Sens!$D$11202*(1-Sens!$D$11147)</f>
        <v>0.227931791705753</v>
      </c>
      <c r="E11256" s="38" t="n">
        <f aca="false">Sens!$E$11202*(1-Sens!$E$11147)</f>
        <v>0.412460434890711</v>
      </c>
      <c r="F11256" s="38" t="n">
        <f aca="false">Sens!$F$11202*(1-Sens!$F$11147)</f>
        <v>0.524534016233997</v>
      </c>
      <c r="G11256" s="38" t="n">
        <f aca="false">Sens!$G$11202*(1-Sens!$G$11147)</f>
        <v>0.936474095312266</v>
      </c>
      <c r="H11256" s="38" t="n">
        <f aca="false">Sens!$H$11202*(1-Sens!$H$11147)</f>
        <v>2.54003589327823</v>
      </c>
      <c r="I11256" s="38" t="n">
        <f aca="false">Sens!$I$11202*(1-Sens!$I$11147)</f>
        <v>4.88320120852905</v>
      </c>
      <c r="J11256" s="38" t="n">
        <f aca="false">Sens!$J$11202*(1-Sens!$J$11147)</f>
        <v>7.05069548920359</v>
      </c>
      <c r="K11256" s="38" t="n">
        <f aca="false">Sens!$K$11202*(1-Sens!$K$11147)</f>
        <v>9.17200258193867</v>
      </c>
      <c r="L11256" s="38" t="n">
        <f aca="false">Sens!$L$11202*(1-Sens!$L$11147)</f>
        <v>10.6414216154535</v>
      </c>
      <c r="M11256" s="38" t="n">
        <f aca="false">Sens!$M$11202*(1-Sens!$M$11147)</f>
        <v>11.4538831951485</v>
      </c>
      <c r="N11256" s="38" t="n">
        <f aca="false">Sens!$N$11202*(1-Sens!$N$11147)</f>
        <v>0.0912435878202994</v>
      </c>
      <c r="O11256" s="38" t="n">
        <f aca="false">Sens!$O$11202*(1-Sens!$O$11147)</f>
        <v>0.137119578309265</v>
      </c>
    </row>
    <row r="11257" customFormat="false" ht="17.15" hidden="false" customHeight="false" outlineLevel="0" collapsed="false">
      <c r="A11257" s="0" t="s">
        <v>740</v>
      </c>
      <c r="B11257" s="0" t="s">
        <v>52</v>
      </c>
      <c r="C11257" s="28" t="n">
        <f aca="false">(Sens!$C$11258-Sens!$C$11254+Sens!$C$11256)/Sens!$C$11255</f>
        <v>-0.0292364215826579</v>
      </c>
      <c r="D11257" s="28" t="n">
        <f aca="false">(Sens!$D$11258-Sens!$D$11254+Sens!$D$11256)/Sens!$D$11255</f>
        <v>-0.0312406216748665</v>
      </c>
      <c r="E11257" s="28" t="n">
        <f aca="false">(Sens!$E$11258-Sens!$E$11254+Sens!$E$11256)/Sens!$E$11255</f>
        <v>-0.0204459413185552</v>
      </c>
      <c r="F11257" s="28" t="n">
        <f aca="false">Sens!$O$11257+(Sens!$E$11257-Sens!$N$11257)</f>
        <v>-0.0375409290246314</v>
      </c>
      <c r="G11257" s="28" t="n">
        <f aca="false">(Sens!$G$11258-Sens!$G$11254+Sens!$G$11256)/Sens!$G$11255</f>
        <v>-0.0296712560031684</v>
      </c>
      <c r="H11257" s="28" t="n">
        <f aca="false">Sens!$G$11257+step_in</f>
        <v>-0.0296712560031684</v>
      </c>
      <c r="I11257" s="28" t="n">
        <f aca="false">Sens!$H$11257+step_in</f>
        <v>-0.0296712560031684</v>
      </c>
      <c r="J11257" s="28" t="n">
        <f aca="false">Sens!$I$11257+step_in</f>
        <v>-0.0296712560031684</v>
      </c>
      <c r="K11257" s="28" t="n">
        <f aca="false">Sens!$J$11257+step_in</f>
        <v>-0.0296712560031684</v>
      </c>
      <c r="L11257" s="28" t="n">
        <f aca="false">Sens!$K$11257</f>
        <v>-0.0296712560031684</v>
      </c>
      <c r="M11257" s="28" t="n">
        <f aca="false">Sens!$L$11257</f>
        <v>-0.0296712560031684</v>
      </c>
      <c r="N11257" s="28" t="n">
        <f aca="false">(Sens!$N$11258-Sens!$N$11254+Sens!$N$11256)/Sens!$N$11255</f>
        <v>-0.0216602600421776</v>
      </c>
      <c r="O11257" s="28" t="n">
        <f aca="false">(Sens!$O$11258-Sens!$O$11254+Sens!$O$11256)/Sens!$O$11255</f>
        <v>-0.0387552477482538</v>
      </c>
      <c r="P11257" s="8" t="s">
        <v>735</v>
      </c>
    </row>
    <row r="11258" customFormat="false" ht="17.15" hidden="false" customHeight="false" outlineLevel="0" collapsed="false">
      <c r="A11258" s="1" t="s">
        <v>741</v>
      </c>
      <c r="B11258" s="8" t="s">
        <v>86</v>
      </c>
      <c r="C11258" s="38" t="n">
        <f aca="false">Q!$D$23</f>
        <v>3.792</v>
      </c>
      <c r="D11258" s="38" t="n">
        <f aca="false">Q!$E$23</f>
        <v>4.75</v>
      </c>
      <c r="E11258" s="38" t="n">
        <f aca="false">Q!$P$23</f>
        <v>3.141</v>
      </c>
      <c r="F11258" s="38" t="n">
        <f aca="false">Sens!$F$11254+Sens!$F$11255*Sens!$F$11257-Sens!$F$11256</f>
        <v>2.77628975993721</v>
      </c>
      <c r="G11258" s="38" t="n">
        <f aca="false">Sens!$E$11258+Sens!$F$11258</f>
        <v>5.91728975993721</v>
      </c>
      <c r="H11258" s="38" t="n">
        <f aca="false">Sens!$H$11254+Sens!$H$11255*Sens!$H$11257-Sens!$H$11256</f>
        <v>6.18860052573681</v>
      </c>
      <c r="I11258" s="38" t="n">
        <f aca="false">Sens!$I$11254+Sens!$I$11255*Sens!$I$11257-Sens!$I$11256</f>
        <v>5.73906974139474</v>
      </c>
      <c r="J11258" s="38" t="n">
        <f aca="false">Sens!$J$11254+Sens!$J$11255*Sens!$J$11257-Sens!$J$11256</f>
        <v>5.34074393695119</v>
      </c>
      <c r="K11258" s="38" t="n">
        <f aca="false">Sens!$K$11254+Sens!$K$11255*Sens!$K$11257-Sens!$K$11256</f>
        <v>4.7054586646822</v>
      </c>
      <c r="L11258" s="38" t="n">
        <f aca="false">Sens!$L$11254+Sens!$L$11255*Sens!$L$11257-Sens!$L$11256</f>
        <v>4.88428999052786</v>
      </c>
      <c r="M11258" s="38" t="n">
        <f aca="false">Sens!$M$11254+Sens!$M$11255*Sens!$M$11257-Sens!$M$11256</f>
        <v>5.89931338558769</v>
      </c>
      <c r="N11258" s="38" t="n">
        <f aca="false">Q!$N$23</f>
        <v>2.511</v>
      </c>
      <c r="O11258" s="38" t="n">
        <f aca="false">Q!$O$23</f>
        <v>2.239</v>
      </c>
    </row>
    <row r="11259" customFormat="false" ht="17.15" hidden="false" customHeight="false" outlineLevel="0" collapsed="false">
      <c r="A11259" s="0" t="s">
        <v>742</v>
      </c>
      <c r="B11259" s="0" t="s">
        <v>86</v>
      </c>
      <c r="C11259" s="38" t="n">
        <f aca="false">Sens!$C$11199</f>
        <v>1.64417882953695</v>
      </c>
      <c r="D11259" s="38" t="n">
        <f aca="false">Sens!$D$11199</f>
        <v>5.39125073772939</v>
      </c>
      <c r="E11259" s="38" t="n">
        <f aca="false">Sens!$E$11199</f>
        <v>2.42691120599613</v>
      </c>
      <c r="F11259" s="38" t="n">
        <f aca="false">Sens!$F$11199</f>
        <v>7.52148563094346</v>
      </c>
      <c r="G11259" s="38" t="n">
        <f aca="false">Sens!$G$11199</f>
        <v>9.94839683693959</v>
      </c>
      <c r="H11259" s="38" t="n">
        <f aca="false">Sens!$H$11199</f>
        <v>23.4804386990861</v>
      </c>
      <c r="I11259" s="38" t="n">
        <f aca="false">Sens!$I$11199</f>
        <v>30.9761745989143</v>
      </c>
      <c r="J11259" s="38" t="n">
        <f aca="false">Sens!$J$11199</f>
        <v>41.1930070746977</v>
      </c>
      <c r="K11259" s="38" t="n">
        <f aca="false">Sens!$K$11199</f>
        <v>45.9779211159428</v>
      </c>
      <c r="L11259" s="38" t="n">
        <f aca="false">Sens!$L$11199</f>
        <v>48.0352490919424</v>
      </c>
      <c r="M11259" s="38" t="n">
        <f aca="false">Sens!$M$11199</f>
        <v>47.4082976573265</v>
      </c>
      <c r="N11259" s="38" t="n">
        <f aca="false">Sens!$N$11199</f>
        <v>1.67921600037079</v>
      </c>
      <c r="O11259" s="38" t="n">
        <f aca="false">Sens!$O$11199</f>
        <v>3.71203473735861</v>
      </c>
    </row>
    <row r="11260" customFormat="false" ht="17.15" hidden="false" customHeight="false" outlineLevel="0" collapsed="false">
      <c r="A11260" s="0" t="s">
        <v>660</v>
      </c>
      <c r="B11260" s="0" t="s">
        <v>86</v>
      </c>
      <c r="C11260" s="38" t="n">
        <f aca="false">Sens!$C$11204</f>
        <v>38.1898211704631</v>
      </c>
      <c r="D11260" s="38" t="n">
        <f aca="false">Sens!$D$11204</f>
        <v>40.2147492622706</v>
      </c>
      <c r="E11260" s="38" t="n">
        <f aca="false">Sens!$E$11204</f>
        <v>28.3550887940039</v>
      </c>
      <c r="F11260" s="38" t="n">
        <f aca="false">Sens!$F$11204</f>
        <v>25.9529793149447</v>
      </c>
      <c r="G11260" s="38" t="n">
        <f aca="false">Sens!$G$11204</f>
        <v>54.3080681089486</v>
      </c>
      <c r="H11260" s="38" t="n">
        <f aca="false">Sens!$H$11204</f>
        <v>58.2264684589333</v>
      </c>
      <c r="I11260" s="38" t="n">
        <f aca="false">Sens!$I$11204</f>
        <v>64.6461353851744</v>
      </c>
      <c r="J11260" s="38" t="n">
        <f aca="false">Sens!$J$11204</f>
        <v>70.7957093610231</v>
      </c>
      <c r="K11260" s="38" t="n">
        <f aca="false">Sens!$K$11204</f>
        <v>76.4593661099049</v>
      </c>
      <c r="L11260" s="38" t="n">
        <f aca="false">Sens!$L$11204</f>
        <v>82.5761153986973</v>
      </c>
      <c r="M11260" s="38" t="n">
        <f aca="false">Sens!$M$11204</f>
        <v>89.1822046305931</v>
      </c>
      <c r="N11260" s="38" t="n">
        <f aca="false">Sens!$N$11204</f>
        <v>20.0277839996292</v>
      </c>
      <c r="O11260" s="38" t="n">
        <f aca="false">Sens!$O$11204</f>
        <v>20.1869652626414</v>
      </c>
    </row>
    <row r="11261" customFormat="false" ht="17.15" hidden="false" customHeight="false" outlineLevel="0" collapsed="false">
      <c r="A11261" s="1" t="s">
        <v>743</v>
      </c>
      <c r="B11261" s="8" t="s">
        <v>86</v>
      </c>
      <c r="C11261" s="38" t="n">
        <f aca="false">Q!$D$24</f>
        <v>39.834</v>
      </c>
      <c r="D11261" s="38" t="n">
        <f aca="false">Q!$E$24</f>
        <v>45.606</v>
      </c>
      <c r="E11261" s="38" t="n">
        <f aca="false">Q!$P$24</f>
        <v>30.782</v>
      </c>
      <c r="F11261" s="38" t="n">
        <f aca="false">Sens!$F$11259+Sens!$F$11260</f>
        <v>33.4744649458882</v>
      </c>
      <c r="G11261" s="38" t="n">
        <f aca="false">Sens!$G$11259+Sens!$G$11260</f>
        <v>64.2564649458882</v>
      </c>
      <c r="H11261" s="38" t="n">
        <f aca="false">Sens!$H$11259+Sens!$H$11260</f>
        <v>81.7069071580194</v>
      </c>
      <c r="I11261" s="38" t="n">
        <f aca="false">Sens!$I$11259+Sens!$I$11260</f>
        <v>95.6223099840887</v>
      </c>
      <c r="J11261" s="38" t="n">
        <f aca="false">Sens!$J$11259+Sens!$J$11260</f>
        <v>111.988716435721</v>
      </c>
      <c r="K11261" s="38" t="n">
        <f aca="false">Sens!$K$11259+Sens!$K$11260</f>
        <v>122.437287225848</v>
      </c>
      <c r="L11261" s="38" t="n">
        <f aca="false">Sens!$L$11259+Sens!$L$11260</f>
        <v>130.61136449064</v>
      </c>
      <c r="M11261" s="38" t="n">
        <f aca="false">Sens!$M$11259+Sens!$M$11260</f>
        <v>136.59050228792</v>
      </c>
      <c r="N11261" s="38" t="n">
        <f aca="false">Q!$N$24</f>
        <v>21.707</v>
      </c>
      <c r="O11261" s="38" t="n">
        <f aca="false">Q!$O$24</f>
        <v>23.899</v>
      </c>
    </row>
    <row r="11262" customFormat="false" ht="17.15" hidden="false" customHeight="false" outlineLevel="0" collapsed="false">
      <c r="A11262" s="5" t="s">
        <v>744</v>
      </c>
      <c r="B11262" s="0" t="s">
        <v>86</v>
      </c>
      <c r="C11262" s="38" t="n">
        <f aca="false">Q!$D$26</f>
        <v>0</v>
      </c>
      <c r="D11262" s="38" t="n">
        <f aca="false">Q!$E$26</f>
        <v>0</v>
      </c>
      <c r="E11262" s="38" t="n">
        <f aca="false">Q!$P$26</f>
        <v>0</v>
      </c>
      <c r="F11262" s="39" t="n">
        <v>0</v>
      </c>
      <c r="G11262" s="38" t="n">
        <f aca="false">Sens!$E$11262+Sens!$F$11262</f>
        <v>0</v>
      </c>
      <c r="H11262" s="39" t="n">
        <v>0</v>
      </c>
      <c r="I11262" s="39" t="n">
        <v>0</v>
      </c>
      <c r="J11262" s="39" t="n">
        <v>0</v>
      </c>
      <c r="K11262" s="39" t="n">
        <v>0</v>
      </c>
      <c r="L11262" s="39" t="n">
        <v>0</v>
      </c>
      <c r="M11262" s="39" t="n">
        <v>0</v>
      </c>
      <c r="N11262" s="38" t="n">
        <f aca="false">Q!$N$26</f>
        <v>0</v>
      </c>
      <c r="O11262" s="38" t="n">
        <f aca="false">Q!$O$26</f>
        <v>0</v>
      </c>
    </row>
    <row r="11263" customFormat="false" ht="15" hidden="false" customHeight="false" outlineLevel="0" collapsed="false">
      <c r="A11263" s="3" t="s">
        <v>541</v>
      </c>
      <c r="B11263" s="8" t="s">
        <v>86</v>
      </c>
      <c r="C11263" s="38" t="n">
        <f aca="false">Q!$D$25</f>
        <v>68.593</v>
      </c>
      <c r="D11263" s="38" t="n">
        <f aca="false">Q!$E$25</f>
        <v>79.975</v>
      </c>
      <c r="E11263" s="38" t="n">
        <f aca="false">Q!$P$25</f>
        <v>51.313</v>
      </c>
      <c r="F11263" s="38" t="n">
        <f aca="false">Sens!$F$11253+Sens!$F$11258+Sens!$F$11261+Sens!$F$11262</f>
        <v>56.3652566987294</v>
      </c>
      <c r="G11263" s="38" t="n">
        <f aca="false">Sens!$G$11253+Sens!$G$11258+Sens!$G$11261+Sens!$G$11262</f>
        <v>107.678256698729</v>
      </c>
      <c r="H11263" s="38" t="n">
        <f aca="false">Sens!$H$11253+Sens!$H$11258+Sens!$H$11261+Sens!$H$11262</f>
        <v>129.515456870266</v>
      </c>
      <c r="I11263" s="38" t="n">
        <f aca="false">Sens!$I$11253+Sens!$I$11258+Sens!$I$11261+Sens!$I$11262</f>
        <v>145.345387082626</v>
      </c>
      <c r="J11263" s="38" t="n">
        <f aca="false">Sens!$J$11253+Sens!$J$11258+Sens!$J$11261+Sens!$J$11262</f>
        <v>163.862141869716</v>
      </c>
      <c r="K11263" s="38" t="n">
        <f aca="false">Sens!$K$11253+Sens!$K$11258+Sens!$K$11261+Sens!$K$11262</f>
        <v>175.564332634303</v>
      </c>
      <c r="L11263" s="38" t="n">
        <f aca="false">Sens!$L$11253+Sens!$L$11258+Sens!$L$11261+Sens!$L$11262</f>
        <v>186.492086157384</v>
      </c>
      <c r="M11263" s="38" t="n">
        <f aca="false">Sens!$M$11253+Sens!$M$11258+Sens!$M$11261+Sens!$M$11262</f>
        <v>198.371665638452</v>
      </c>
      <c r="N11263" s="38" t="n">
        <f aca="false">Q!$N$25</f>
        <v>37.576</v>
      </c>
      <c r="O11263" s="38" t="n">
        <f aca="false">Q!$O$25</f>
        <v>42.399</v>
      </c>
    </row>
    <row r="11264" customFormat="false" ht="17.15" hidden="false" customHeight="false" outlineLevel="0" collapsed="false">
      <c r="A11264" s="24" t="s">
        <v>775</v>
      </c>
      <c r="B11264" s="25" t="s">
        <v>86</v>
      </c>
      <c r="C11264" s="41" t="n">
        <f aca="false">Sens!$C$11253+Sens!$C$11258+Sens!$C$11261+Sens!$C$11262-Sens!$C$11263</f>
        <v>0</v>
      </c>
      <c r="D11264" s="41" t="n">
        <f aca="false">Sens!$D$11253+Sens!$D$11258+Sens!$D$11261+Sens!$D$11262-Sens!$D$11263</f>
        <v>0</v>
      </c>
      <c r="E11264" s="41" t="n">
        <f aca="false">Sens!$E$11253+Sens!$E$11258+Sens!$E$11261+Sens!$E$11262-Sens!$E$11263</f>
        <v>0</v>
      </c>
      <c r="F11264" s="41" t="n">
        <f aca="false">Sens!$F$11253+Sens!$F$11258+Sens!$F$11261+Sens!$F$11262-Sens!$F$11263</f>
        <v>0</v>
      </c>
      <c r="G11264" s="41" t="n">
        <f aca="false">Sens!$G$11253+Sens!$G$11258+Sens!$G$11261+Sens!$G$11262-Sens!$G$11263</f>
        <v>0</v>
      </c>
      <c r="H11264" s="41" t="n">
        <f aca="false">Sens!$H$11253+Sens!$H$11258+Sens!$H$11261+Sens!$H$11262-Sens!$H$11263</f>
        <v>0</v>
      </c>
      <c r="I11264" s="41" t="n">
        <f aca="false">Sens!$I$11253+Sens!$I$11258+Sens!$I$11261+Sens!$I$11262-Sens!$I$11263</f>
        <v>0</v>
      </c>
      <c r="J11264" s="41" t="n">
        <f aca="false">Sens!$J$11253+Sens!$J$11258+Sens!$J$11261+Sens!$J$11262-Sens!$J$11263</f>
        <v>0</v>
      </c>
      <c r="K11264" s="41" t="n">
        <f aca="false">Sens!$K$11253+Sens!$K$11258+Sens!$K$11261+Sens!$K$11262-Sens!$K$11263</f>
        <v>0</v>
      </c>
      <c r="L11264" s="41" t="n">
        <f aca="false">Sens!$L$11253+Sens!$L$11258+Sens!$L$11261+Sens!$L$11262-Sens!$L$11263</f>
        <v>0</v>
      </c>
      <c r="M11264" s="41" t="n">
        <f aca="false">Sens!$M$11253+Sens!$M$11258+Sens!$M$11261+Sens!$M$11262-Sens!$M$11263</f>
        <v>0</v>
      </c>
      <c r="N11264" s="41" t="n">
        <f aca="false">Sens!$N$11253+Sens!$N$11258+Sens!$N$11261+Sens!$N$11262-Sens!$N$11263</f>
        <v>0</v>
      </c>
      <c r="O11264" s="41" t="n">
        <f aca="false">Sens!$O$11253+Sens!$O$11258+Sens!$O$11261+Sens!$O$11262-Sens!$O$11263</f>
        <v>0</v>
      </c>
    </row>
    <row r="11265" customFormat="false" ht="17.15" hidden="false" customHeight="false" outlineLevel="0" collapsed="false">
      <c r="A11265" s="5" t="s">
        <v>746</v>
      </c>
      <c r="B11265" s="0" t="s">
        <v>86</v>
      </c>
      <c r="C11265" s="38" t="n">
        <f aca="false">Sens!$C$11201</f>
        <v>0</v>
      </c>
      <c r="D11265" s="38" t="n">
        <f aca="false">Sens!$D$11201</f>
        <v>0</v>
      </c>
      <c r="E11265" s="38" t="n">
        <f aca="false">Sens!$E$11201</f>
        <v>0</v>
      </c>
      <c r="F11265" s="38" t="n">
        <f aca="false">Sens!$F$11201</f>
        <v>0</v>
      </c>
      <c r="G11265" s="38" t="n">
        <f aca="false">Sens!$G$11201</f>
        <v>0</v>
      </c>
      <c r="H11265" s="38" t="n">
        <f aca="false">Sens!$H$11201</f>
        <v>0</v>
      </c>
      <c r="I11265" s="38" t="n">
        <f aca="false">Sens!$I$11201</f>
        <v>0</v>
      </c>
      <c r="J11265" s="38" t="n">
        <f aca="false">Sens!$J$11201</f>
        <v>0</v>
      </c>
      <c r="K11265" s="38" t="n">
        <f aca="false">Sens!$K$11201</f>
        <v>0</v>
      </c>
      <c r="L11265" s="38" t="n">
        <f aca="false">Sens!$L$11201</f>
        <v>0</v>
      </c>
      <c r="M11265" s="38" t="n">
        <f aca="false">Sens!$M$11201</f>
        <v>0</v>
      </c>
      <c r="N11265" s="38" t="n">
        <f aca="false">Sens!$N$11201</f>
        <v>0</v>
      </c>
      <c r="O11265" s="38" t="n">
        <f aca="false">Sens!$O$11201</f>
        <v>0</v>
      </c>
      <c r="P11265" s="5" t="s">
        <v>747</v>
      </c>
    </row>
    <row r="11266" customFormat="false" ht="17.15" hidden="false" customHeight="false" outlineLevel="0" collapsed="false">
      <c r="A11266" s="5" t="s">
        <v>748</v>
      </c>
      <c r="B11266" s="0" t="s">
        <v>86</v>
      </c>
      <c r="C11266" s="38" t="n">
        <f aca="false">Sens!$C$11263+Sens!$C$11265</f>
        <v>68.593</v>
      </c>
      <c r="D11266" s="38" t="n">
        <f aca="false">Sens!$D$11263+Sens!$D$11265</f>
        <v>79.975</v>
      </c>
      <c r="E11266" s="38" t="n">
        <f aca="false">Sens!$E$11263+Sens!$E$11265</f>
        <v>51.313</v>
      </c>
      <c r="F11266" s="38" t="n">
        <f aca="false">Sens!$F$11263+Sens!$F$11265</f>
        <v>56.3652566987294</v>
      </c>
      <c r="G11266" s="38" t="n">
        <f aca="false">Sens!$G$11263+Sens!$G$11265</f>
        <v>107.678256698729</v>
      </c>
      <c r="H11266" s="38" t="n">
        <f aca="false">Sens!$H$11263+Sens!$H$11265</f>
        <v>129.515456870266</v>
      </c>
      <c r="I11266" s="38" t="n">
        <f aca="false">Sens!$I$11263+Sens!$I$11265</f>
        <v>145.345387082626</v>
      </c>
      <c r="J11266" s="38" t="n">
        <f aca="false">Sens!$J$11263+Sens!$J$11265</f>
        <v>163.862141869716</v>
      </c>
      <c r="K11266" s="38" t="n">
        <f aca="false">Sens!$K$11263+Sens!$K$11265</f>
        <v>175.564332634303</v>
      </c>
      <c r="L11266" s="38" t="n">
        <f aca="false">Sens!$L$11263+Sens!$L$11265</f>
        <v>186.492086157384</v>
      </c>
      <c r="M11266" s="38" t="n">
        <f aca="false">Sens!$M$11263+Sens!$M$11265</f>
        <v>198.371665638452</v>
      </c>
      <c r="N11266" s="38" t="n">
        <f aca="false">Sens!$N$11263+Sens!$N$11265</f>
        <v>37.576</v>
      </c>
      <c r="O11266" s="38" t="n">
        <f aca="false">Sens!$O$11263+Sens!$O$11265</f>
        <v>42.399</v>
      </c>
    </row>
    <row r="11267" customFormat="false" ht="17.15" hidden="false" customHeight="false" outlineLevel="0" collapsed="false">
      <c r="A11267" s="0" t="s">
        <v>749</v>
      </c>
      <c r="B11267" s="0" t="s">
        <v>52</v>
      </c>
      <c r="C11267" s="13" t="n">
        <f aca="false">Sens!$C$11253/Sens!$C$11238</f>
        <v>0.0644314665661928</v>
      </c>
      <c r="D11267" s="13" t="n">
        <f aca="false">Sens!$D$11253/Sens!$D$11238</f>
        <v>0.0694784250712518</v>
      </c>
      <c r="E11267" s="13" t="n">
        <f aca="false">Sens!$E$11253/Sens!$E$11238</f>
        <v>0.0789306463326071</v>
      </c>
      <c r="F11267" s="13" t="n">
        <f aca="false">Sens!$F$11253/Sens!$F$11238</f>
        <v>0.0802526339438384</v>
      </c>
      <c r="G11267" s="13" t="n">
        <f aca="false">Sens!$G$11253/Sens!$G$11238</f>
        <v>0.0796341940538369</v>
      </c>
      <c r="H11267" s="13" t="n">
        <f aca="false">Sens!$H$11253/Sens!$H$11238</f>
        <v>0.0798254462645258</v>
      </c>
      <c r="I11267" s="13" t="n">
        <f aca="false">Sens!$I$11253/Sens!$I$11238</f>
        <v>0.0771454543672196</v>
      </c>
      <c r="J11267" s="13" t="n">
        <f aca="false">Sens!$J$11253/Sens!$J$11238</f>
        <v>0.0756147693819656</v>
      </c>
      <c r="K11267" s="13" t="n">
        <f aca="false">Sens!$K$11253/Sens!$K$11238</f>
        <v>0.0739025926520816</v>
      </c>
      <c r="L11267" s="13" t="n">
        <f aca="false">Sens!$L$11253/Sens!$L$11238</f>
        <v>0.0730809201558074</v>
      </c>
      <c r="M11267" s="13" t="n">
        <f aca="false">Sens!$M$11253/Sens!$M$11238</f>
        <v>0.0751707027775199</v>
      </c>
      <c r="N11267" s="13" t="n">
        <f aca="false">Sens!$N$11253/Sens!$N$11238</f>
        <v>0.069228576611127</v>
      </c>
      <c r="O11267" s="13" t="n">
        <f aca="false">Sens!$O$11253/Sens!$O$11238</f>
        <v>0.069685022498393</v>
      </c>
    </row>
    <row r="11268" customFormat="false" ht="17.15" hidden="false" customHeight="false" outlineLevel="0" collapsed="false">
      <c r="A11268" s="0" t="s">
        <v>750</v>
      </c>
      <c r="B11268" s="0" t="s">
        <v>52</v>
      </c>
      <c r="C11268" s="13" t="n">
        <f aca="false">Sens!$C$11258/Sens!$C$11239</f>
        <v>0.026534925055631</v>
      </c>
      <c r="D11268" s="13" t="n">
        <f aca="false">Sens!$D$11258/Sens!$D$11239</f>
        <v>0.0293401855535103</v>
      </c>
      <c r="E11268" s="13" t="n">
        <f aca="false">Sens!$E$11258/Sens!$E$11239</f>
        <v>0.03831141902276</v>
      </c>
      <c r="F11268" s="13" t="n">
        <f aca="false">Sens!$F$11258/Sens!$F$11239</f>
        <v>0.0282118989524726</v>
      </c>
      <c r="G11268" s="13" t="n">
        <f aca="false">Sens!$G$11258/Sens!$G$11239</f>
        <v>0.0328019468674976</v>
      </c>
      <c r="H11268" s="13" t="n">
        <f aca="false">Sens!$H$11258/Sens!$H$11239</f>
        <v>0.0309879507899839</v>
      </c>
      <c r="I11268" s="13" t="n">
        <f aca="false">Sens!$I$11258/Sens!$I$11239</f>
        <v>0.0262795332043765</v>
      </c>
      <c r="J11268" s="13" t="n">
        <f aca="false">Sens!$J$11258/Sens!$J$11239</f>
        <v>0.0226574435353346</v>
      </c>
      <c r="K11268" s="13" t="n">
        <f aca="false">Sens!$K$11258/Sens!$K$11239</f>
        <v>0.0187492205871101</v>
      </c>
      <c r="L11268" s="13" t="n">
        <f aca="false">Sens!$L$11258/Sens!$L$11239</f>
        <v>0.018273690180732</v>
      </c>
      <c r="M11268" s="13" t="n">
        <f aca="false">Sens!$M$11258/Sens!$M$11239</f>
        <v>0.0207176218272716</v>
      </c>
      <c r="N11268" s="13" t="n">
        <f aca="false">Sens!$N$11258/Sens!$N$11239</f>
        <v>0.0357315650169337</v>
      </c>
      <c r="O11268" s="13" t="n">
        <f aca="false">Sens!$O$11258/Sens!$O$11239</f>
        <v>0.0244378956559703</v>
      </c>
    </row>
    <row r="11269" customFormat="false" ht="17.15" hidden="false" customHeight="false" outlineLevel="0" collapsed="false">
      <c r="A11269" s="14" t="s">
        <v>751</v>
      </c>
      <c r="B11269" s="14" t="s">
        <v>52</v>
      </c>
      <c r="C11269" s="17" t="n">
        <f aca="false">Sens!$C$11261/Sens!$C$11240</f>
        <v>0.370355907620217</v>
      </c>
      <c r="D11269" s="17" t="n">
        <f aca="false">Sens!$D$11261/Sens!$D$11240</f>
        <v>0.35429015342785</v>
      </c>
      <c r="E11269" s="17" t="n">
        <f aca="false">Sens!$E$11261/Sens!$E$11240</f>
        <v>0.385647527531039</v>
      </c>
      <c r="F11269" s="17" t="n">
        <f aca="false">Sens!$F$11261/Sens!$F$11240</f>
        <v>0.385949613469105</v>
      </c>
      <c r="G11269" s="17" t="n">
        <f aca="false">Sens!$G$11261/Sens!$G$11240</f>
        <v>0.385804840448779</v>
      </c>
      <c r="H11269" s="17" t="n">
        <f aca="false">Sens!$H$11261/Sens!$H$11240</f>
        <v>0.369408675360557</v>
      </c>
      <c r="I11269" s="17" t="n">
        <f aca="false">Sens!$I$11261/Sens!$I$11240</f>
        <v>0.34117504540738</v>
      </c>
      <c r="J11269" s="17" t="n">
        <f aca="false">Sens!$J$11261/Sens!$J$11240</f>
        <v>0.330544285732563</v>
      </c>
      <c r="K11269" s="17" t="n">
        <f aca="false">Sens!$K$11261/Sens!$K$11240</f>
        <v>0.314033796990635</v>
      </c>
      <c r="L11269" s="17" t="n">
        <f aca="false">Sens!$L$11261/Sens!$L$11240</f>
        <v>0.303690371867633</v>
      </c>
      <c r="M11269" s="17" t="n">
        <f aca="false">Sens!$M$11261/Sens!$M$11240</f>
        <v>0.297287296590884</v>
      </c>
      <c r="N11269" s="17" t="n">
        <f aca="false">Sens!$N$11261/Sens!$N$11240</f>
        <v>0.360941137346192</v>
      </c>
      <c r="O11269" s="17" t="n">
        <f aca="false">Sens!$O$11261/Sens!$O$11240</f>
        <v>0.348458117664212</v>
      </c>
    </row>
    <row r="11270" customFormat="false" ht="17.15" hidden="false" customHeight="false" outlineLevel="0" collapsed="false">
      <c r="A11270" s="0" t="s">
        <v>752</v>
      </c>
      <c r="B11270" s="0" t="s">
        <v>52</v>
      </c>
      <c r="C11270" s="13" t="n">
        <f aca="false">Sens!$C$11259/Sens!$C$11241</f>
        <v>0.708390794789371</v>
      </c>
      <c r="D11270" s="13" t="n">
        <f aca="false">Sens!$D$11259/Sens!$D$11241</f>
        <v>0.619415573115729</v>
      </c>
      <c r="E11270" s="13" t="n">
        <f aca="false">Sens!$E$11259/Sens!$E$11241</f>
        <v>0.285171627189009</v>
      </c>
      <c r="F11270" s="13" t="n">
        <f aca="false">Sens!$F$11259/Sens!$F$11241</f>
        <v>0.502657732812366</v>
      </c>
      <c r="G11270" s="13" t="n">
        <f aca="false">Sens!$G$11259/Sens!$G$11241</f>
        <v>0.423808778611812</v>
      </c>
      <c r="H11270" s="13" t="n">
        <f aca="false">Sens!$H$11259/Sens!$H$11241</f>
        <v>0.390261631739809</v>
      </c>
      <c r="I11270" s="13" t="n">
        <f aca="false">Sens!$I$11259/Sens!$I$11241</f>
        <v>0.305172864264572</v>
      </c>
      <c r="J11270" s="13" t="n">
        <f aca="false">Sens!$J$11259/Sens!$J$11241</f>
        <v>0.288011814789856</v>
      </c>
      <c r="K11270" s="13" t="n">
        <f aca="false">Sens!$K$11259/Sens!$K$11241</f>
        <v>0.25765427518774</v>
      </c>
      <c r="L11270" s="13" t="n">
        <f aca="false">Sens!$L$11259/Sens!$L$11241</f>
        <v>0.238118778012374</v>
      </c>
      <c r="M11270" s="13" t="n">
        <f aca="false">Sens!$M$11259/Sens!$M$11241</f>
        <v>0.222746255757109</v>
      </c>
      <c r="N11270" s="13" t="n">
        <f aca="false">Sens!$N$11259/Sens!$N$11241</f>
        <v>0.551227795793364</v>
      </c>
      <c r="O11270" s="13" t="n">
        <f aca="false">Sens!$O$11259/Sens!$O$11241</f>
        <v>0.656132068597002</v>
      </c>
    </row>
    <row r="11271" customFormat="false" ht="15" hidden="false" customHeight="false" outlineLevel="0" collapsed="false">
      <c r="A11271" s="5" t="s">
        <v>753</v>
      </c>
      <c r="B11271" s="0" t="s">
        <v>52</v>
      </c>
      <c r="C11271" s="13" t="n">
        <f aca="false">Sens!$C$11263/Sens!$C$11243</f>
        <v>0.107519448742004</v>
      </c>
      <c r="D11271" s="13" t="n">
        <f aca="false">Sens!$D$11263/Sens!$D$11243</f>
        <v>0.111552967957552</v>
      </c>
      <c r="E11271" s="13" t="n">
        <f aca="false">Sens!$E$11263/Sens!$E$11243</f>
        <v>0.13428328426562</v>
      </c>
      <c r="F11271" s="13" t="n">
        <f aca="false">Sens!$F$11263/Sens!$F$11243</f>
        <v>0.129343087287827</v>
      </c>
      <c r="G11271" s="13" t="n">
        <f aca="false">Sens!$G$11263/Sens!$G$11243</f>
        <v>0.131651143259596</v>
      </c>
      <c r="H11271" s="13" t="n">
        <f aca="false">Sens!$H$11263/Sens!$H$11243</f>
        <v>0.137449034763893</v>
      </c>
      <c r="I11271" s="13" t="n">
        <f aca="false">Sens!$I$11263/Sens!$I$11243</f>
        <v>0.13598895915033</v>
      </c>
      <c r="J11271" s="13" t="n">
        <f aca="false">Sens!$J$11263/Sens!$J$11243</f>
        <v>0.137709769017663</v>
      </c>
      <c r="K11271" s="13" t="n">
        <f aca="false">Sens!$K$11263/Sens!$K$11243</f>
        <v>0.135459809314784</v>
      </c>
      <c r="L11271" s="13" t="n">
        <f aca="false">Sens!$L$11263/Sens!$L$11243</f>
        <v>0.133669430082102</v>
      </c>
      <c r="M11271" s="13" t="n">
        <f aca="false">Sens!$M$11263/Sens!$M$11243</f>
        <v>0.133349766772341</v>
      </c>
      <c r="N11271" s="13" t="n">
        <f aca="false">Sens!$N$11263/Sens!$N$11243</f>
        <v>0.116201614873411</v>
      </c>
      <c r="O11271" s="13" t="n">
        <f aca="false">Sens!$O$11263/Sens!$O$11243</f>
        <v>0.107733353660861</v>
      </c>
    </row>
    <row r="11272" customFormat="false" ht="17.15" hidden="false" customHeight="false" outlineLevel="0" collapsed="false">
      <c r="A11272" s="1" t="s">
        <v>754</v>
      </c>
    </row>
    <row r="11273" customFormat="false" ht="17.15" hidden="false" customHeight="false" outlineLevel="0" collapsed="false">
      <c r="A11273" s="5" t="s">
        <v>755</v>
      </c>
      <c r="B11273" s="0" t="s">
        <v>52</v>
      </c>
      <c r="D11273" s="28" t="n">
        <f aca="false">(Q!$E$29+Q!$E$30-(1-ext_sh)*Sens!$D$11195)/Sens!$D$11146</f>
        <v>0.0341105596409988</v>
      </c>
    </row>
    <row r="11274" customFormat="false" ht="17.15" hidden="false" customHeight="false" outlineLevel="0" collapsed="false">
      <c r="A11274" s="0" t="s">
        <v>545</v>
      </c>
      <c r="B11274" s="0" t="s">
        <v>86</v>
      </c>
      <c r="C11274" s="38" t="n">
        <f aca="false">Q!$D$29</f>
        <v>14.285</v>
      </c>
      <c r="D11274" s="38" t="n">
        <f aca="false">Q!$E$29</f>
        <v>15.503</v>
      </c>
      <c r="E11274" s="38" t="n">
        <f aca="false">Q!$P$29</f>
        <v>8.78</v>
      </c>
      <c r="F11274" s="38" t="n">
        <f aca="false">(Sens!$D$11273*Sens!$F$11146+(1-ext_sh)*Sens!$F$11195)*Sens!$F$11147</f>
        <v>9.30317620449232</v>
      </c>
      <c r="G11274" s="38" t="n">
        <f aca="false">Sens!$E$11274+Sens!$F$11274</f>
        <v>18.0831762044923</v>
      </c>
      <c r="H11274" s="38" t="n">
        <f aca="false">(Sens!$D$11273*Sens!$H$11146+(1-ext_sh)*Sens!$H$11195)*Sens!$H$11147</f>
        <v>22.1297245338482</v>
      </c>
      <c r="I11274" s="38" t="n">
        <f aca="false">(Sens!$D$11273*Sens!$I$11146+(1-ext_sh)*Sens!$I$11195)*Sens!$I$11147</f>
        <v>28.409695984391</v>
      </c>
      <c r="J11274" s="38" t="n">
        <f aca="false">(Sens!$D$11273*Sens!$J$11146+(1-ext_sh)*Sens!$J$11195)*Sens!$J$11147</f>
        <v>34.1085606174579</v>
      </c>
      <c r="K11274" s="38" t="n">
        <f aca="false">(Sens!$D$11273*Sens!$K$11146+(1-ext_sh)*Sens!$K$11195)*Sens!$K$11147</f>
        <v>39.7218983009068</v>
      </c>
      <c r="L11274" s="38" t="n">
        <f aca="false">(Sens!$D$11273*Sens!$L$11146+(1-ext_sh)*Sens!$L$11195)*Sens!$L$11147</f>
        <v>44.1680279486684</v>
      </c>
      <c r="M11274" s="38" t="n">
        <f aca="false">(Sens!$D$11273*Sens!$M$11146+(1-ext_sh)*Sens!$M$11195)*Sens!$M$11147</f>
        <v>47.4413073313286</v>
      </c>
      <c r="N11274" s="38" t="n">
        <f aca="false">Q!$N$29</f>
        <v>7.272</v>
      </c>
      <c r="O11274" s="38" t="n">
        <f aca="false">Q!$O$29</f>
        <v>8.231</v>
      </c>
    </row>
    <row r="11275" customFormat="false" ht="17.15" hidden="false" customHeight="false" outlineLevel="0" collapsed="false">
      <c r="A11275" s="0" t="s">
        <v>547</v>
      </c>
      <c r="B11275" s="0" t="s">
        <v>86</v>
      </c>
      <c r="C11275" s="38" t="n">
        <f aca="false">Q!$D$30</f>
        <v>4.462</v>
      </c>
      <c r="D11275" s="38" t="n">
        <f aca="false">Q!$E$30</f>
        <v>4.907</v>
      </c>
      <c r="E11275" s="38" t="n">
        <f aca="false">Q!$P$30</f>
        <v>2.57</v>
      </c>
      <c r="F11275" s="38" t="n">
        <f aca="false">(Sens!$D$11273*Sens!$F$11146+(1-ext_sh)*Sens!$F$11195)*(1-Sens!$F$11147)</f>
        <v>3.6526976809753</v>
      </c>
      <c r="G11275" s="38" t="n">
        <f aca="false">Sens!$E$11275+Sens!$F$11275</f>
        <v>6.2226976809753</v>
      </c>
      <c r="H11275" s="38" t="n">
        <f aca="false">(Sens!$D$11273*Sens!$H$11146+(1-ext_sh)*Sens!$H$11195)*(1-Sens!$H$11147)</f>
        <v>8.4764774248495</v>
      </c>
      <c r="I11275" s="38" t="n">
        <f aca="false">(Sens!$D$11273*Sens!$I$11146+(1-ext_sh)*Sens!$I$11195)*(1-Sens!$I$11147)</f>
        <v>10.881931507561</v>
      </c>
      <c r="J11275" s="38" t="n">
        <f aca="false">(Sens!$D$11273*Sens!$J$11146+(1-ext_sh)*Sens!$J$11195)*(1-Sens!$J$11147)</f>
        <v>13.0648008575874</v>
      </c>
      <c r="K11275" s="38" t="n">
        <f aca="false">(Sens!$D$11273*Sens!$K$11146+(1-ext_sh)*Sens!$K$11195)*(1-Sens!$K$11147)</f>
        <v>15.2149103214008</v>
      </c>
      <c r="L11275" s="38" t="n">
        <f aca="false">(Sens!$D$11273*Sens!$L$11146+(1-ext_sh)*Sens!$L$11195)*(1-Sens!$L$11147)</f>
        <v>16.9179372854085</v>
      </c>
      <c r="M11275" s="38" t="n">
        <f aca="false">(Sens!$D$11273*Sens!$M$11146+(1-ext_sh)*Sens!$M$11195)*(1-Sens!$M$11147)</f>
        <v>18.1717205735785</v>
      </c>
      <c r="N11275" s="38" t="n">
        <f aca="false">Q!$N$30</f>
        <v>2.316</v>
      </c>
      <c r="O11275" s="38" t="n">
        <f aca="false">Q!$O$30</f>
        <v>2.591</v>
      </c>
    </row>
    <row r="11276" customFormat="false" ht="17.15" hidden="false" customHeight="false" outlineLevel="0" collapsed="false">
      <c r="A11276" s="0" t="s">
        <v>548</v>
      </c>
      <c r="B11276" s="0" t="s">
        <v>86</v>
      </c>
      <c r="C11276" s="38" t="n">
        <f aca="false">Sens!$C$11207</f>
        <v>13.32</v>
      </c>
      <c r="D11276" s="38" t="n">
        <f aca="false">Sens!$D$11207</f>
        <v>21.45</v>
      </c>
      <c r="E11276" s="38" t="n">
        <f aca="false">Sens!$E$11207</f>
        <v>15.353</v>
      </c>
      <c r="F11276" s="38" t="n">
        <f aca="false">Sens!$F$11207</f>
        <v>16.1969869840094</v>
      </c>
      <c r="G11276" s="38" t="n">
        <f aca="false">Sens!$G$11207</f>
        <v>31.5499869840094</v>
      </c>
      <c r="H11276" s="38" t="n">
        <f aca="false">Sens!$H$11207</f>
        <v>50.9556213609176</v>
      </c>
      <c r="I11276" s="38" t="n">
        <f aca="false">Sens!$I$11207</f>
        <v>79.464581248252</v>
      </c>
      <c r="J11276" s="38" t="n">
        <f aca="false">Sens!$J$11207</f>
        <v>105.296127931746</v>
      </c>
      <c r="K11276" s="38" t="n">
        <f aca="false">Sens!$K$11207</f>
        <v>131.454694001511</v>
      </c>
      <c r="L11276" s="38" t="n">
        <f aca="false">Sens!$L$11207</f>
        <v>150.840456981405</v>
      </c>
      <c r="M11276" s="38" t="n">
        <f aca="false">Sens!$M$11207</f>
        <v>163.399454192999</v>
      </c>
      <c r="N11276" s="38" t="n">
        <f aca="false">Sens!$N$11207</f>
        <v>9.234</v>
      </c>
      <c r="O11276" s="38" t="n">
        <f aca="false">Sens!$O$11207</f>
        <v>12.216</v>
      </c>
    </row>
    <row r="11277" customFormat="false" ht="17.15" hidden="false" customHeight="false" outlineLevel="0" collapsed="false">
      <c r="A11277" s="5" t="s">
        <v>756</v>
      </c>
      <c r="B11277" s="0" t="s">
        <v>86</v>
      </c>
      <c r="C11277" s="38" t="n">
        <f aca="false">Sens!$C$11274+Sens!$C$11275+Sens!$C$11276</f>
        <v>32.067</v>
      </c>
      <c r="D11277" s="38" t="n">
        <f aca="false">Sens!$D$11274+Sens!$D$11275+Sens!$D$11276</f>
        <v>41.86</v>
      </c>
      <c r="E11277" s="38" t="n">
        <f aca="false">Sens!$E$11274+Sens!$E$11275+Sens!$E$11276</f>
        <v>26.703</v>
      </c>
      <c r="F11277" s="38" t="n">
        <f aca="false">Sens!$F$11274+Sens!$F$11275+Sens!$F$11276</f>
        <v>29.152860869477</v>
      </c>
      <c r="G11277" s="38" t="n">
        <f aca="false">Sens!$G$11274+Sens!$G$11275+Sens!$G$11276</f>
        <v>55.855860869477</v>
      </c>
      <c r="H11277" s="38" t="n">
        <f aca="false">Sens!$H$11274+Sens!$H$11275+Sens!$H$11276</f>
        <v>81.5618233196153</v>
      </c>
      <c r="I11277" s="38" t="n">
        <f aca="false">Sens!$I$11274+Sens!$I$11275+Sens!$I$11276</f>
        <v>118.756208740204</v>
      </c>
      <c r="J11277" s="38" t="n">
        <f aca="false">Sens!$J$11274+Sens!$J$11275+Sens!$J$11276</f>
        <v>152.469489406791</v>
      </c>
      <c r="K11277" s="38" t="n">
        <f aca="false">Sens!$K$11274+Sens!$K$11275+Sens!$K$11276</f>
        <v>186.391502623819</v>
      </c>
      <c r="L11277" s="38" t="n">
        <f aca="false">Sens!$L$11274+Sens!$L$11275+Sens!$L$11276</f>
        <v>211.926422215482</v>
      </c>
      <c r="M11277" s="38" t="n">
        <f aca="false">Sens!$M$11274+Sens!$M$11275+Sens!$M$11276</f>
        <v>229.012482097906</v>
      </c>
      <c r="N11277" s="38" t="n">
        <f aca="false">Sens!$N$11274+Sens!$N$11275+Sens!$N$11276</f>
        <v>18.822</v>
      </c>
      <c r="O11277" s="38" t="n">
        <f aca="false">Sens!$O$11274+Sens!$O$11275+Sens!$O$11276</f>
        <v>23.038</v>
      </c>
    </row>
    <row r="11278" customFormat="false" ht="17.15" hidden="false" customHeight="false" outlineLevel="0" collapsed="false">
      <c r="A11278" s="0" t="s">
        <v>757</v>
      </c>
      <c r="B11278" s="0" t="s">
        <v>86</v>
      </c>
      <c r="C11278" s="38" t="n">
        <f aca="false">Sens!$C$11249+Sens!$C$11254</f>
        <v>28.107</v>
      </c>
      <c r="D11278" s="38" t="n">
        <f aca="false">Sens!$D$11249+Sens!$D$11254</f>
        <v>34.3175</v>
      </c>
      <c r="E11278" s="38" t="n">
        <f aca="false">Sens!$E$11249+Sens!$E$11254</f>
        <v>18.526</v>
      </c>
      <c r="F11278" s="38" t="n">
        <f aca="false">Sens!$F$11249+Sens!$F$11254</f>
        <v>23.0786109972074</v>
      </c>
      <c r="G11278" s="38" t="n">
        <f aca="false">Sens!$G$11249+Sens!$G$11254</f>
        <v>41.6046109972074</v>
      </c>
      <c r="H11278" s="38" t="n">
        <f aca="false">Sens!$H$11249+Sens!$H$11254</f>
        <v>49.9484611939488</v>
      </c>
      <c r="I11278" s="38" t="n">
        <f aca="false">Sens!$I$11249+Sens!$I$11254</f>
        <v>58.2915555477481</v>
      </c>
      <c r="J11278" s="38" t="n">
        <f aca="false">Sens!$J$11249+Sens!$J$11254</f>
        <v>66.0744709709759</v>
      </c>
      <c r="K11278" s="38" t="n">
        <f aca="false">Sens!$K$11249+Sens!$K$11254</f>
        <v>72.6819180680735</v>
      </c>
      <c r="L11278" s="38" t="n">
        <f aca="false">Sens!$L$11249+Sens!$L$11254</f>
        <v>79.9501098748808</v>
      </c>
      <c r="M11278" s="38" t="n">
        <f aca="false">Sens!$M$11249+Sens!$M$11254</f>
        <v>87.9451208623689</v>
      </c>
      <c r="N11278" s="38" t="n">
        <f aca="false">Sens!$N$11249+Sens!$N$11254</f>
        <v>14.8075</v>
      </c>
      <c r="O11278" s="38" t="n">
        <f aca="false">Sens!$O$11249+Sens!$O$11254</f>
        <v>19.51</v>
      </c>
    </row>
    <row r="11279" customFormat="false" ht="17.15" hidden="false" customHeight="false" outlineLevel="0" collapsed="false">
      <c r="A11279" s="0" t="s">
        <v>758</v>
      </c>
      <c r="B11279" s="0" t="s">
        <v>86</v>
      </c>
      <c r="C11279" s="38" t="n">
        <f aca="false">Sens!$C$11253+Sens!$C$11258+Sens!$C$11274+Sens!$C$11275-Sens!$C$11278</f>
        <v>19.399</v>
      </c>
      <c r="D11279" s="38" t="n">
        <f aca="false">Sens!$D$11253+Sens!$D$11258+Sens!$D$11274+Sens!$D$11275-Sens!$D$11278</f>
        <v>20.4615</v>
      </c>
      <c r="E11279" s="38" t="n">
        <f aca="false">Sens!$E$11253+Sens!$E$11258+Sens!$E$11274+Sens!$E$11275-Sens!$E$11278</f>
        <v>13.355</v>
      </c>
      <c r="F11279" s="38" t="n">
        <f aca="false">Sens!$F$11253+Sens!$F$11258+Sens!$F$11274+Sens!$F$11275-Sens!$F$11278</f>
        <v>12.7680546411015</v>
      </c>
      <c r="G11279" s="38" t="n">
        <f aca="false">Sens!$G$11253+Sens!$G$11258+Sens!$G$11274+Sens!$G$11275-Sens!$G$11278</f>
        <v>26.1230546411015</v>
      </c>
      <c r="H11279" s="38" t="n">
        <f aca="false">Sens!$H$11253+Sens!$H$11258+Sens!$H$11274+Sens!$H$11275-Sens!$H$11278</f>
        <v>28.4662904769959</v>
      </c>
      <c r="I11279" s="38" t="n">
        <f aca="false">Sens!$I$11253+Sens!$I$11258+Sens!$I$11274+Sens!$I$11275-Sens!$I$11278</f>
        <v>30.7231490427408</v>
      </c>
      <c r="J11279" s="38" t="n">
        <f aca="false">Sens!$J$11253+Sens!$J$11258+Sens!$J$11274+Sens!$J$11275-Sens!$J$11278</f>
        <v>32.9723159380642</v>
      </c>
      <c r="K11279" s="38" t="n">
        <f aca="false">Sens!$K$11253+Sens!$K$11258+Sens!$K$11274+Sens!$K$11275-Sens!$K$11278</f>
        <v>35.3819359626894</v>
      </c>
      <c r="L11279" s="38" t="n">
        <f aca="false">Sens!$L$11253+Sens!$L$11258+Sens!$L$11274+Sens!$L$11275-Sens!$L$11278</f>
        <v>37.0165770259405</v>
      </c>
      <c r="M11279" s="38" t="n">
        <f aca="false">Sens!$M$11253+Sens!$M$11258+Sens!$M$11274+Sens!$M$11275-Sens!$M$11278</f>
        <v>39.4490703930704</v>
      </c>
      <c r="N11279" s="38" t="n">
        <f aca="false">Sens!$N$11253+Sens!$N$11258+Sens!$N$11274+Sens!$N$11275-Sens!$N$11278</f>
        <v>10.6495</v>
      </c>
      <c r="O11279" s="38" t="n">
        <f aca="false">Sens!$O$11253+Sens!$O$11258+Sens!$O$11274+Sens!$O$11275-Sens!$O$11278</f>
        <v>9.81200000000001</v>
      </c>
    </row>
    <row r="11280" customFormat="false" ht="17.15" hidden="false" customHeight="false" outlineLevel="0" collapsed="false">
      <c r="A11280" s="0" t="s">
        <v>759</v>
      </c>
      <c r="B11280" s="0" t="s">
        <v>86</v>
      </c>
      <c r="C11280" s="38" t="n">
        <f aca="false">Sens!$C$11260+Sens!$C$11276-ext_sh*Sens!$C$11195</f>
        <v>51.3470500115664</v>
      </c>
      <c r="D11280" s="38" t="n">
        <f aca="false">Sens!$D$11260+Sens!$D$11276-ext_sh*Sens!$D$11195</f>
        <v>60.2799375433739</v>
      </c>
      <c r="E11280" s="38" t="n">
        <f aca="false">Sens!$E$11260+Sens!$E$11276-ext_sh*Sens!$E$11195</f>
        <v>39.5095167090767</v>
      </c>
      <c r="F11280" s="38" t="n">
        <f aca="false">Sens!$F$11260+Sens!$F$11276-ext_sh*Sens!$F$11195</f>
        <v>37.951394214027</v>
      </c>
      <c r="G11280" s="38" t="n">
        <f aca="false">Sens!$G$11260+Sens!$G$11276-ext_sh*Sens!$G$11195</f>
        <v>77.4609109231037</v>
      </c>
      <c r="H11280" s="38" t="n">
        <f aca="false">Sens!$H$11260+Sens!$H$11276-ext_sh*Sens!$H$11195</f>
        <v>85.1453558128916</v>
      </c>
      <c r="I11280" s="38" t="n">
        <f aca="false">Sens!$I$11260+Sens!$I$11276-ext_sh*Sens!$I$11195</f>
        <v>94.532921967974</v>
      </c>
      <c r="J11280" s="38" t="n">
        <f aca="false">Sens!$J$11260+Sens!$J$11276-ext_sh*Sens!$J$11195</f>
        <v>103.525527532583</v>
      </c>
      <c r="K11280" s="38" t="n">
        <f aca="false">Sens!$K$11260+Sens!$K$11276-ext_sh*Sens!$K$11195</f>
        <v>111.80756973519</v>
      </c>
      <c r="L11280" s="38" t="n">
        <f aca="false">Sens!$L$11260+Sens!$L$11276-ext_sh*Sens!$L$11195</f>
        <v>120.752175314005</v>
      </c>
      <c r="M11280" s="38" t="n">
        <f aca="false">Sens!$M$11260+Sens!$M$11276-ext_sh*Sens!$M$11195</f>
        <v>130.412349339125</v>
      </c>
      <c r="N11280" s="38" t="n">
        <f aca="false">Sens!$N$11260+Sens!$N$11276-ext_sh*Sens!$N$11195</f>
        <v>28.5693781401809</v>
      </c>
      <c r="O11280" s="38" t="n">
        <f aca="false">Sens!$O$11260+Sens!$O$11276-ext_sh*Sens!$O$11195</f>
        <v>31.7105594031931</v>
      </c>
    </row>
    <row r="11281" customFormat="false" ht="17.15" hidden="false" customHeight="false" outlineLevel="0" collapsed="false">
      <c r="A11281" s="0" t="s">
        <v>760</v>
      </c>
      <c r="B11281" s="0" t="s">
        <v>86</v>
      </c>
      <c r="C11281" s="38" t="n">
        <f aca="false">Sens!$C$11198</f>
        <v>1.80694998843362</v>
      </c>
      <c r="D11281" s="38" t="n">
        <f aca="false">Sens!$D$11198</f>
        <v>6.77606245662607</v>
      </c>
      <c r="E11281" s="38" t="n">
        <f aca="false">Sens!$E$11198</f>
        <v>6.62548329092326</v>
      </c>
      <c r="F11281" s="38" t="n">
        <f aca="false">Sens!$F$11198</f>
        <v>11.7200577158706</v>
      </c>
      <c r="G11281" s="38" t="n">
        <f aca="false">Sens!$G$11198</f>
        <v>18.3455410067939</v>
      </c>
      <c r="H11281" s="38" t="n">
        <f aca="false">Sens!$H$11198</f>
        <v>47.5171727060453</v>
      </c>
      <c r="I11281" s="38" t="n">
        <f aca="false">Sens!$I$11198</f>
        <v>80.5539692643667</v>
      </c>
      <c r="J11281" s="38" t="n">
        <f aca="false">Sens!$J$11198</f>
        <v>113.759316834883</v>
      </c>
      <c r="K11281" s="38" t="n">
        <f aca="false">Sens!$K$11198</f>
        <v>142.084411492169</v>
      </c>
      <c r="L11281" s="38" t="n">
        <f aca="false">Sens!$L$11198</f>
        <v>160.69964615804</v>
      </c>
      <c r="M11281" s="38" t="n">
        <f aca="false">Sens!$M$11198</f>
        <v>169.577607141793</v>
      </c>
      <c r="N11281" s="38" t="n">
        <f aca="false">Sens!$N$11198</f>
        <v>2.37162185981912</v>
      </c>
      <c r="O11281" s="38" t="n">
        <f aca="false">Sens!$O$11198</f>
        <v>4.40444059680694</v>
      </c>
    </row>
    <row r="11282" customFormat="false" ht="17.15" hidden="false" customHeight="false" outlineLevel="0" collapsed="false">
      <c r="A11282" s="0" t="s">
        <v>761</v>
      </c>
      <c r="B11282" s="0" t="s">
        <v>86</v>
      </c>
      <c r="C11282" s="38" t="n">
        <f aca="false">Sens!$C$11263+Sens!$C$11277</f>
        <v>100.66</v>
      </c>
      <c r="D11282" s="38" t="n">
        <f aca="false">Sens!$D$11263+Sens!$D$11277</f>
        <v>121.835</v>
      </c>
      <c r="E11282" s="38" t="n">
        <f aca="false">Sens!$E$11263+Sens!$E$11277</f>
        <v>78.016</v>
      </c>
      <c r="F11282" s="38" t="n">
        <f aca="false">Sens!$F$11263+Sens!$F$11277</f>
        <v>85.5181175682064</v>
      </c>
      <c r="G11282" s="38" t="n">
        <f aca="false">Sens!$G$11263+Sens!$G$11277</f>
        <v>163.534117568206</v>
      </c>
      <c r="H11282" s="38" t="n">
        <f aca="false">Sens!$H$11263+Sens!$H$11277</f>
        <v>211.077280189882</v>
      </c>
      <c r="I11282" s="38" t="n">
        <f aca="false">Sens!$I$11263+Sens!$I$11277</f>
        <v>264.10159582283</v>
      </c>
      <c r="J11282" s="38" t="n">
        <f aca="false">Sens!$J$11263+Sens!$J$11277</f>
        <v>316.331631276507</v>
      </c>
      <c r="K11282" s="38" t="n">
        <f aca="false">Sens!$K$11263+Sens!$K$11277</f>
        <v>361.955835258122</v>
      </c>
      <c r="L11282" s="38" t="n">
        <f aca="false">Sens!$L$11263+Sens!$L$11277</f>
        <v>398.418508372866</v>
      </c>
      <c r="M11282" s="38" t="n">
        <f aca="false">Sens!$M$11263+Sens!$M$11277</f>
        <v>427.384147736358</v>
      </c>
      <c r="N11282" s="38" t="n">
        <f aca="false">Sens!$N$11263+Sens!$N$11277</f>
        <v>56.398</v>
      </c>
      <c r="O11282" s="38" t="n">
        <f aca="false">Sens!$O$11263+Sens!$O$11277</f>
        <v>65.437</v>
      </c>
    </row>
    <row r="11283" customFormat="false" ht="17.15" hidden="false" customHeight="false" outlineLevel="0" collapsed="false">
      <c r="A11283" s="1" t="s">
        <v>762</v>
      </c>
    </row>
    <row r="11284" customFormat="false" ht="15" hidden="false" customHeight="false" outlineLevel="0" collapsed="false">
      <c r="A11284" s="5" t="s">
        <v>551</v>
      </c>
      <c r="B11284" s="0" t="s">
        <v>86</v>
      </c>
      <c r="C11284" s="38" t="n">
        <f aca="false">Q!$D$34</f>
        <v>2.406</v>
      </c>
      <c r="D11284" s="38" t="n">
        <f aca="false">Q!$E$34</f>
        <v>2.274</v>
      </c>
      <c r="E11284" s="38" t="n">
        <f aca="false">Q!$P$34</f>
        <v>2.114</v>
      </c>
      <c r="F11284" s="38" t="n">
        <f aca="false">Sens!$F$11322</f>
        <v>3.24888962733561</v>
      </c>
      <c r="G11284" s="38" t="n">
        <f aca="false">Sens!$E$11284+Sens!$F$11284</f>
        <v>5.36288962733561</v>
      </c>
      <c r="H11284" s="38" t="n">
        <f aca="false">Sens!$H$11322</f>
        <v>7.42354172302123</v>
      </c>
      <c r="I11284" s="38" t="n">
        <f aca="false">Sens!$I$11322</f>
        <v>7.84418947693382</v>
      </c>
      <c r="J11284" s="38" t="n">
        <f aca="false">Sens!$J$11322</f>
        <v>8.79561318891235</v>
      </c>
      <c r="K11284" s="38" t="n">
        <f aca="false">Sens!$K$11322</f>
        <v>8.79561318891235</v>
      </c>
      <c r="L11284" s="38" t="n">
        <f aca="false">Sens!$L$11322</f>
        <v>8.79561318891235</v>
      </c>
      <c r="M11284" s="38" t="n">
        <f aca="false">Sens!$M$11322</f>
        <v>8.79561318891235</v>
      </c>
      <c r="N11284" s="38" t="n">
        <f aca="false">Q!$N$34</f>
        <v>1.057</v>
      </c>
      <c r="O11284" s="38" t="n">
        <f aca="false">Q!$O$34</f>
        <v>1.217</v>
      </c>
    </row>
    <row r="11285" customFormat="false" ht="15" hidden="false" customHeight="false" outlineLevel="0" collapsed="false">
      <c r="A11285" s="5" t="s">
        <v>763</v>
      </c>
      <c r="B11285" s="0" t="s">
        <v>86</v>
      </c>
      <c r="F11285" s="38" t="n">
        <f aca="false">Sens!$F$11323</f>
        <v>2.59</v>
      </c>
      <c r="H11285" s="38" t="n">
        <f aca="false">Sens!$H$11323</f>
        <v>4.1153774832261</v>
      </c>
      <c r="I11285" s="38" t="n">
        <f aca="false">Sens!$I$11323</f>
        <v>2.10589651022864</v>
      </c>
      <c r="J11285" s="38" t="n">
        <f aca="false">Sens!$J$11323</f>
        <v>2.10589651022864</v>
      </c>
      <c r="K11285" s="38" t="n">
        <f aca="false">Sens!$K$11323</f>
        <v>3.172800358404</v>
      </c>
      <c r="L11285" s="38" t="n">
        <f aca="false">Sens!$L$11323</f>
        <v>8.31037272592208</v>
      </c>
      <c r="M11285" s="38" t="n">
        <f aca="false">Sens!$M$11323</f>
        <v>15.9256588704093</v>
      </c>
    </row>
    <row r="11286" customFormat="false" ht="17.15" hidden="false" customHeight="false" outlineLevel="0" collapsed="false">
      <c r="A11286" s="5" t="s">
        <v>764</v>
      </c>
      <c r="B11286" s="0" t="s">
        <v>86</v>
      </c>
      <c r="C11286" s="38" t="n">
        <f aca="false">Q!$D$39</f>
        <v>2.427</v>
      </c>
      <c r="D11286" s="38" t="n">
        <f aca="false">Q!$E$39</f>
        <v>19.61</v>
      </c>
      <c r="E11286" s="38" t="n">
        <f aca="false">Q!$P$39</f>
        <v>71.492</v>
      </c>
      <c r="F11286" s="39" t="n">
        <v>0</v>
      </c>
      <c r="G11286" s="38" t="n">
        <f aca="false">Sens!$E$11286+Sens!$F$11286</f>
        <v>71.492</v>
      </c>
      <c r="H11286" s="39" t="n">
        <v>0</v>
      </c>
      <c r="I11286" s="39" t="n">
        <v>0</v>
      </c>
      <c r="J11286" s="39" t="n">
        <v>0</v>
      </c>
      <c r="K11286" s="39" t="n">
        <v>0</v>
      </c>
      <c r="L11286" s="39" t="n">
        <v>0</v>
      </c>
      <c r="M11286" s="39" t="n">
        <v>0</v>
      </c>
      <c r="N11286" s="38" t="n">
        <f aca="false">Q!$N$39</f>
        <v>6.017</v>
      </c>
      <c r="O11286" s="38" t="n">
        <f aca="false">Q!$O$39</f>
        <v>13.593</v>
      </c>
      <c r="P11286" s="5" t="s">
        <v>765</v>
      </c>
    </row>
    <row r="11287" customFormat="false" ht="15" hidden="false" customHeight="false" outlineLevel="0" collapsed="false">
      <c r="A11287" s="5" t="s">
        <v>554</v>
      </c>
      <c r="B11287" s="0" t="s">
        <v>86</v>
      </c>
      <c r="C11287" s="38" t="n">
        <f aca="false">Q!$D$36</f>
        <v>68.614</v>
      </c>
      <c r="D11287" s="38" t="n">
        <f aca="false">Q!$E$36</f>
        <v>97.311</v>
      </c>
      <c r="E11287" s="38" t="n">
        <f aca="false">Q!$P$36</f>
        <v>120.691</v>
      </c>
      <c r="F11287" s="38" t="n">
        <f aca="false">Sens!$F$11263-Sens!$F$11284+Sens!$F$11285+Sens!$F$11286</f>
        <v>55.7063670713938</v>
      </c>
      <c r="G11287" s="38" t="n">
        <f aca="false">Sens!$E$11287+Sens!$F$11287</f>
        <v>176.397367071394</v>
      </c>
      <c r="H11287" s="38" t="n">
        <f aca="false">Sens!$H$11263-Sens!$H$11284+Sens!$H$11285+Sens!$H$11286</f>
        <v>126.207292630471</v>
      </c>
      <c r="I11287" s="38" t="n">
        <f aca="false">Sens!$I$11263-Sens!$I$11284+Sens!$I$11285+Sens!$I$11286</f>
        <v>139.60709411592</v>
      </c>
      <c r="J11287" s="38" t="n">
        <f aca="false">Sens!$J$11263-Sens!$J$11284+Sens!$J$11285+Sens!$J$11286</f>
        <v>157.172425191032</v>
      </c>
      <c r="K11287" s="38" t="n">
        <f aca="false">Sens!$K$11263-Sens!$K$11284+Sens!$K$11285+Sens!$K$11286</f>
        <v>169.941519803795</v>
      </c>
      <c r="L11287" s="38" t="n">
        <f aca="false">Sens!$L$11263-Sens!$L$11284+Sens!$L$11285+Sens!$L$11286</f>
        <v>186.006845694394</v>
      </c>
      <c r="M11287" s="38" t="n">
        <f aca="false">Sens!$M$11263-Sens!$M$11284+Sens!$M$11285+Sens!$M$11286</f>
        <v>205.501711319949</v>
      </c>
      <c r="N11287" s="38" t="n">
        <f aca="false">Q!$N$36</f>
        <v>42.536</v>
      </c>
      <c r="O11287" s="38" t="n">
        <f aca="false">Q!$O$36</f>
        <v>54.775</v>
      </c>
    </row>
    <row r="11288" customFormat="false" ht="15" hidden="false" customHeight="false" outlineLevel="0" collapsed="false">
      <c r="A11288" s="5" t="s">
        <v>555</v>
      </c>
      <c r="B11288" s="0" t="s">
        <v>86</v>
      </c>
      <c r="C11288" s="38" t="n">
        <f aca="false">Q!$D$37</f>
        <v>9.265</v>
      </c>
      <c r="D11288" s="38" t="n">
        <f aca="false">Q!$E$37</f>
        <v>19.087</v>
      </c>
      <c r="E11288" s="38" t="n">
        <f aca="false">Q!$P$37</f>
        <v>27.759</v>
      </c>
      <c r="F11288" s="38" t="n">
        <f aca="false">Sens!$F$11287*tax</f>
        <v>9.669763357865</v>
      </c>
      <c r="G11288" s="38" t="n">
        <f aca="false">Sens!$E$11288+Sens!$F$11288</f>
        <v>37.428763357865</v>
      </c>
      <c r="H11288" s="38" t="n">
        <f aca="false">Sens!$H$11287*tax</f>
        <v>21.9076331473816</v>
      </c>
      <c r="I11288" s="38" t="n">
        <f aca="false">Sens!$I$11287*tax</f>
        <v>24.2336313450491</v>
      </c>
      <c r="J11288" s="38" t="n">
        <f aca="false">Sens!$J$11287*tax</f>
        <v>27.2827010246639</v>
      </c>
      <c r="K11288" s="38" t="n">
        <f aca="false">Sens!$K$11287*tax</f>
        <v>29.4992182683994</v>
      </c>
      <c r="L11288" s="38" t="n">
        <f aca="false">Sens!$L$11287*tax</f>
        <v>32.2879102581316</v>
      </c>
      <c r="M11288" s="38" t="n">
        <f aca="false">Sens!$M$11287*tax</f>
        <v>35.671917279284</v>
      </c>
      <c r="N11288" s="38" t="n">
        <f aca="false">Q!$N$37</f>
        <v>7.231</v>
      </c>
      <c r="O11288" s="38" t="n">
        <f aca="false">Q!$O$37</f>
        <v>11.856</v>
      </c>
    </row>
    <row r="11289" customFormat="false" ht="15" hidden="false" customHeight="false" outlineLevel="0" collapsed="false">
      <c r="A11289" s="3" t="s">
        <v>556</v>
      </c>
      <c r="B11289" s="8" t="s">
        <v>86</v>
      </c>
      <c r="C11289" s="38" t="n">
        <f aca="false">Q!$D$38</f>
        <v>59.248</v>
      </c>
      <c r="D11289" s="38" t="n">
        <f aca="false">Q!$E$38</f>
        <v>77.67</v>
      </c>
      <c r="E11289" s="38" t="n">
        <f aca="false">Q!$P$38</f>
        <v>92.902</v>
      </c>
      <c r="F11289" s="38" t="n">
        <f aca="false">Sens!$F$11287-Sens!$F$11288</f>
        <v>46.0366037135288</v>
      </c>
      <c r="G11289" s="38" t="n">
        <f aca="false">Sens!$E$11289+Sens!$F$11289</f>
        <v>138.938603713529</v>
      </c>
      <c r="H11289" s="38" t="n">
        <f aca="false">Sens!$H$11287-Sens!$H$11288</f>
        <v>104.29965948309</v>
      </c>
      <c r="I11289" s="38" t="n">
        <f aca="false">Sens!$I$11287-Sens!$I$11288</f>
        <v>115.373462770871</v>
      </c>
      <c r="J11289" s="38" t="n">
        <f aca="false">Sens!$J$11287-Sens!$J$11288</f>
        <v>129.889724166368</v>
      </c>
      <c r="K11289" s="38" t="n">
        <f aca="false">Sens!$K$11287-Sens!$K$11288</f>
        <v>140.442301535395</v>
      </c>
      <c r="L11289" s="38" t="n">
        <f aca="false">Sens!$L$11287-Sens!$L$11288</f>
        <v>153.718935436262</v>
      </c>
      <c r="M11289" s="38" t="n">
        <f aca="false">Sens!$M$11287-Sens!$M$11288</f>
        <v>169.829794040665</v>
      </c>
      <c r="N11289" s="38" t="n">
        <f aca="false">Q!$N$38</f>
        <v>35.291</v>
      </c>
      <c r="O11289" s="38" t="n">
        <f aca="false">Q!$O$38</f>
        <v>42.379</v>
      </c>
    </row>
    <row r="11290" customFormat="false" ht="17.15" hidden="false" customHeight="false" outlineLevel="0" collapsed="false">
      <c r="A11290" s="5" t="s">
        <v>559</v>
      </c>
      <c r="B11290" s="5" t="s">
        <v>33</v>
      </c>
      <c r="C11290" s="22" t="n">
        <f aca="false">Q!$D$41</f>
        <v>10.721</v>
      </c>
      <c r="D11290" s="22" t="n">
        <f aca="false">Q!$E$41</f>
        <v>10.827</v>
      </c>
      <c r="E11290" s="22" t="n">
        <f aca="false">(Q!$L$41+Q!$M$41)/2</f>
        <v>10.8885</v>
      </c>
      <c r="F11290" s="22" t="n">
        <f aca="false">Sens!$G$11290</f>
        <v>10.924806</v>
      </c>
      <c r="G11290" s="22" t="n">
        <f aca="false">Q!$M$41*(1+sh_g*0.25)</f>
        <v>10.924806</v>
      </c>
      <c r="H11290" s="22" t="n">
        <f aca="false">Sens!$G$11290*(1+sh_g)</f>
        <v>11.012204448</v>
      </c>
      <c r="I11290" s="22" t="n">
        <f aca="false">Sens!$H$11290*(1+sh_g)</f>
        <v>11.100302083584</v>
      </c>
      <c r="J11290" s="22" t="n">
        <f aca="false">Sens!$I$11290*(1+sh_g)</f>
        <v>11.1891045002527</v>
      </c>
      <c r="K11290" s="22" t="n">
        <f aca="false">Sens!$J$11290*(1+sh_g)</f>
        <v>11.2786173362547</v>
      </c>
      <c r="L11290" s="22" t="n">
        <f aca="false">Sens!$K$11290*(1+sh_g)</f>
        <v>11.3688462749447</v>
      </c>
      <c r="M11290" s="22" t="n">
        <f aca="false">Sens!$L$11290*(1+sh_g)</f>
        <v>11.4597970451443</v>
      </c>
      <c r="P11290" s="5" t="s">
        <v>766</v>
      </c>
    </row>
    <row r="11291" customFormat="false" ht="17.15" hidden="false" customHeight="false" outlineLevel="0" collapsed="false">
      <c r="A11291" s="5" t="s">
        <v>767</v>
      </c>
      <c r="B11291" s="0" t="s">
        <v>86</v>
      </c>
      <c r="C11291" s="38" t="n">
        <f aca="false">Sens!$C$11289+Sens!$C$11265*(1-tax)</f>
        <v>59.248</v>
      </c>
      <c r="D11291" s="38" t="n">
        <f aca="false">Sens!$D$11289+Sens!$D$11265*(1-tax)</f>
        <v>77.67</v>
      </c>
      <c r="E11291" s="38" t="n">
        <f aca="false">Sens!$E$11289+Sens!$E$11265*(1-tax)</f>
        <v>92.902</v>
      </c>
      <c r="F11291" s="38" t="n">
        <f aca="false">Sens!$F$11289+Sens!$F$11265*(1-tax)</f>
        <v>46.0366037135288</v>
      </c>
      <c r="G11291" s="38" t="n">
        <f aca="false">Sens!$G$11289+Sens!$G$11265*(1-tax)</f>
        <v>138.938603713529</v>
      </c>
      <c r="H11291" s="38" t="n">
        <f aca="false">Sens!$H$11289+Sens!$H$11265*(1-tax)</f>
        <v>104.29965948309</v>
      </c>
      <c r="I11291" s="38" t="n">
        <f aca="false">Sens!$I$11289+Sens!$I$11265*(1-tax)</f>
        <v>115.373462770871</v>
      </c>
      <c r="J11291" s="38" t="n">
        <f aca="false">Sens!$J$11289+Sens!$J$11265*(1-tax)</f>
        <v>129.889724166368</v>
      </c>
      <c r="K11291" s="38" t="n">
        <f aca="false">Sens!$K$11289+Sens!$K$11265*(1-tax)</f>
        <v>140.442301535395</v>
      </c>
      <c r="L11291" s="38" t="n">
        <f aca="false">Sens!$L$11289+Sens!$L$11265*(1-tax)</f>
        <v>153.718935436262</v>
      </c>
      <c r="M11291" s="38" t="n">
        <f aca="false">Sens!$M$11289+Sens!$M$11265*(1-tax)</f>
        <v>169.829794040665</v>
      </c>
      <c r="N11291" s="38" t="n">
        <f aca="false">Sens!$N$11289+Sens!$N$11265*(1-tax)</f>
        <v>35.291</v>
      </c>
      <c r="O11291" s="38" t="n">
        <f aca="false">Sens!$O$11289+Sens!$O$11265*(1-tax)</f>
        <v>42.379</v>
      </c>
    </row>
    <row r="11292" customFormat="false" ht="17.15" hidden="false" customHeight="false" outlineLevel="0" collapsed="false">
      <c r="A11292" s="43" t="s">
        <v>768</v>
      </c>
      <c r="B11292" s="14" t="s">
        <v>27</v>
      </c>
      <c r="C11292" s="44" t="n">
        <f aca="false">Sens!$C$11291/Sens!$C$11290</f>
        <v>5.52635015390355</v>
      </c>
      <c r="D11292" s="44" t="n">
        <f aca="false">Sens!$D$11291/Sens!$D$11290</f>
        <v>7.1737323358271</v>
      </c>
      <c r="E11292" s="44" t="n">
        <f aca="false">Sens!$E$11291/Sens!$E$11290</f>
        <v>8.53212104513937</v>
      </c>
      <c r="F11292" s="14"/>
      <c r="G11292" s="44" t="n">
        <f aca="false">Sens!$G$11291/Sens!$G$11290</f>
        <v>12.7177181648378</v>
      </c>
      <c r="H11292" s="44" t="n">
        <f aca="false">Sens!$H$11291/Sens!$H$11290</f>
        <v>9.47127888658407</v>
      </c>
      <c r="I11292" s="44" t="n">
        <f aca="false">Sens!$I$11291/Sens!$I$11290</f>
        <v>10.3937227925981</v>
      </c>
      <c r="J11292" s="44" t="n">
        <f aca="false">Sens!$J$11291/Sens!$J$11290</f>
        <v>11.6085897815536</v>
      </c>
      <c r="K11292" s="44" t="n">
        <f aca="false">Sens!$K$11291/Sens!$K$11290</f>
        <v>12.4520849806606</v>
      </c>
      <c r="L11292" s="44" t="n">
        <f aca="false">Sens!$L$11291/Sens!$L$11290</f>
        <v>13.5210672849924</v>
      </c>
      <c r="M11292" s="44" t="n">
        <f aca="false">Sens!$M$11291/Sens!$M$11290</f>
        <v>14.8196162088773</v>
      </c>
      <c r="N11292" s="14"/>
      <c r="O11292" s="14"/>
    </row>
    <row r="11293" customFormat="false" ht="17.15" hidden="false" customHeight="false" outlineLevel="0" collapsed="false">
      <c r="A11293" s="0" t="s">
        <v>769</v>
      </c>
      <c r="B11293" s="0" t="s">
        <v>27</v>
      </c>
      <c r="C11293" s="30" t="n">
        <f aca="false">Sens!$C$11289/Sens!$C$11290</f>
        <v>5.52635015390355</v>
      </c>
      <c r="D11293" s="30" t="n">
        <f aca="false">Sens!$D$11289/Sens!$D$11290</f>
        <v>7.1737323358271</v>
      </c>
      <c r="E11293" s="30" t="n">
        <f aca="false">Sens!$E$11289/Sens!$E$11290</f>
        <v>8.53212104513937</v>
      </c>
      <c r="G11293" s="30" t="n">
        <f aca="false">Sens!$G$11289/Sens!$G$11290</f>
        <v>12.7177181648378</v>
      </c>
      <c r="H11293" s="30" t="n">
        <f aca="false">Sens!$H$11289/Sens!$H$11290</f>
        <v>9.47127888658407</v>
      </c>
      <c r="I11293" s="30" t="n">
        <f aca="false">Sens!$I$11289/Sens!$I$11290</f>
        <v>10.3937227925981</v>
      </c>
      <c r="J11293" s="30" t="n">
        <f aca="false">Sens!$J$11289/Sens!$J$11290</f>
        <v>11.6085897815536</v>
      </c>
      <c r="K11293" s="30" t="n">
        <f aca="false">Sens!$K$11289/Sens!$K$11290</f>
        <v>12.4520849806606</v>
      </c>
      <c r="L11293" s="30" t="n">
        <f aca="false">Sens!$L$11289/Sens!$L$11290</f>
        <v>13.5210672849924</v>
      </c>
      <c r="M11293" s="30" t="n">
        <f aca="false">Sens!$M$11289/Sens!$M$11290</f>
        <v>14.8196162088773</v>
      </c>
    </row>
    <row r="11294" customFormat="false" ht="17.15" hidden="false" customHeight="false" outlineLevel="0" collapsed="false">
      <c r="A11294" s="0" t="s">
        <v>770</v>
      </c>
      <c r="B11294" s="0" t="s">
        <v>27</v>
      </c>
      <c r="C11294" s="30" t="n">
        <f aca="false">(Sens!$C$11289-Sens!$C$11286*(1-tax))/Sens!$C$11290</f>
        <v>5.33926775917445</v>
      </c>
      <c r="D11294" s="30" t="n">
        <f aca="false">(Sens!$D$11289-Sens!$D$11286*(1-tax))/Sens!$D$11290</f>
        <v>5.67691812755503</v>
      </c>
      <c r="E11294" s="30" t="n">
        <f aca="false">(Sens!$E$11289-Sens!$E$11286*(1-tax))/Sens!$E$11290</f>
        <v>3.10602057006846</v>
      </c>
      <c r="G11294" s="30" t="n">
        <f aca="false">(Sens!$G$11289-Sens!$G$11286*(1-tax))/Sens!$G$11290</f>
        <v>7.30965004694081</v>
      </c>
      <c r="H11294" s="30" t="n">
        <f aca="false">(Sens!$H$11289-Sens!$H$11286*(1-tax))/Sens!$H$11290</f>
        <v>9.47127888658407</v>
      </c>
      <c r="I11294" s="30" t="n">
        <f aca="false">(Sens!$I$11289-Sens!$I$11286*(1-tax))/Sens!$I$11290</f>
        <v>10.3937227925981</v>
      </c>
      <c r="J11294" s="30" t="n">
        <f aca="false">(Sens!$J$11289-Sens!$J$11286*(1-tax))/Sens!$J$11290</f>
        <v>11.6085897815536</v>
      </c>
      <c r="K11294" s="30" t="n">
        <f aca="false">(Sens!$K$11289-Sens!$K$11286*(1-tax))/Sens!$K$11290</f>
        <v>12.4520849806606</v>
      </c>
      <c r="L11294" s="30" t="n">
        <f aca="false">(Sens!$L$11289-Sens!$L$11286*(1-tax))/Sens!$L$11290</f>
        <v>13.5210672849924</v>
      </c>
      <c r="M11294" s="30" t="n">
        <f aca="false">(Sens!$M$11289-Sens!$M$11286*(1-tax))/Sens!$M$11290</f>
        <v>14.8196162088773</v>
      </c>
      <c r="P11294" s="5" t="s">
        <v>771</v>
      </c>
    </row>
    <row r="11295" customFormat="false" ht="17.15" hidden="false" customHeight="false" outlineLevel="0" collapsed="false">
      <c r="A11295" s="0" t="s">
        <v>772</v>
      </c>
      <c r="B11295" s="0" t="s">
        <v>52</v>
      </c>
      <c r="H11295" s="13" t="n">
        <f aca="false">Sens!$H$11292/Sens!$G$11292-1</f>
        <v>-0.25526900629309</v>
      </c>
      <c r="I11295" s="13" t="n">
        <f aca="false">Sens!$I$11292/Sens!$H$11292-1</f>
        <v>0.097393806798433</v>
      </c>
      <c r="J11295" s="13" t="n">
        <f aca="false">Sens!$J$11292/Sens!$I$11292-1</f>
        <v>0.116884682533634</v>
      </c>
      <c r="K11295" s="13" t="n">
        <f aca="false">Sens!$K$11292/Sens!$J$11292-1</f>
        <v>0.0726612977958256</v>
      </c>
      <c r="L11295" s="13" t="n">
        <f aca="false">Sens!$L$11292/Sens!$K$11292-1</f>
        <v>0.0858476557132404</v>
      </c>
      <c r="M11295" s="13" t="n">
        <f aca="false">Sens!$M$11292/Sens!$L$11292-1</f>
        <v>0.0960389366101511</v>
      </c>
    </row>
    <row r="11298" customFormat="false" ht="19.4" hidden="false" customHeight="false" outlineLevel="0" collapsed="false">
      <c r="A11298" s="31" t="s">
        <v>1380</v>
      </c>
    </row>
    <row r="11299" customFormat="false" ht="17.15" hidden="false" customHeight="false" outlineLevel="0" collapsed="false">
      <c r="A11299" s="6" t="s">
        <v>16</v>
      </c>
      <c r="B11299" s="6" t="s">
        <v>17</v>
      </c>
      <c r="C11299" s="20" t="s">
        <v>504</v>
      </c>
      <c r="D11299" s="20" t="s">
        <v>505</v>
      </c>
      <c r="E11299" s="20" t="s">
        <v>587</v>
      </c>
      <c r="F11299" s="20" t="s">
        <v>588</v>
      </c>
      <c r="G11299" s="20" t="s">
        <v>589</v>
      </c>
      <c r="H11299" s="20" t="s">
        <v>590</v>
      </c>
      <c r="I11299" s="20" t="s">
        <v>591</v>
      </c>
      <c r="J11299" s="20" t="s">
        <v>592</v>
      </c>
      <c r="K11299" s="20" t="s">
        <v>593</v>
      </c>
      <c r="L11299" s="20" t="s">
        <v>594</v>
      </c>
      <c r="M11299" s="20" t="s">
        <v>595</v>
      </c>
      <c r="N11299" s="20" t="s">
        <v>596</v>
      </c>
      <c r="O11299" s="20" t="s">
        <v>597</v>
      </c>
      <c r="P11299" s="6" t="s">
        <v>23</v>
      </c>
      <c r="R11299" s="20" t="n">
        <v>2023</v>
      </c>
      <c r="S11299" s="20" t="n">
        <v>2024</v>
      </c>
      <c r="T11299" s="20" t="n">
        <v>2025</v>
      </c>
      <c r="U11299" s="20" t="n">
        <v>2026</v>
      </c>
      <c r="V11299" s="20" t="n">
        <v>2027</v>
      </c>
      <c r="W11299" s="20" t="n">
        <v>2028</v>
      </c>
      <c r="X11299" s="20" t="n">
        <v>2029</v>
      </c>
      <c r="Y11299" s="20" t="n">
        <v>2030</v>
      </c>
      <c r="Z11299" s="20" t="n">
        <v>2031</v>
      </c>
      <c r="AA11299" s="20" t="n">
        <v>2032</v>
      </c>
    </row>
    <row r="11300" customFormat="false" ht="15" hidden="false" customHeight="false" outlineLevel="0" collapsed="false">
      <c r="A11300" s="5" t="s">
        <v>556</v>
      </c>
      <c r="B11300" s="0" t="s">
        <v>86</v>
      </c>
      <c r="C11300" s="38" t="n">
        <f aca="false">Sens!$C$11289</f>
        <v>59.248</v>
      </c>
      <c r="D11300" s="38" t="n">
        <f aca="false">Sens!$D$11289</f>
        <v>77.67</v>
      </c>
      <c r="E11300" s="38" t="n">
        <f aca="false">Sens!$E$11289</f>
        <v>92.902</v>
      </c>
      <c r="F11300" s="38" t="n">
        <f aca="false">Sens!$F$11289</f>
        <v>46.0366037135288</v>
      </c>
      <c r="G11300" s="38" t="n">
        <f aca="false">Sens!$G$11289</f>
        <v>138.938603713529</v>
      </c>
      <c r="H11300" s="38" t="n">
        <f aca="false">Sens!$H$11289</f>
        <v>104.29965948309</v>
      </c>
      <c r="I11300" s="38" t="n">
        <f aca="false">Sens!$I$11289</f>
        <v>115.373462770871</v>
      </c>
      <c r="J11300" s="38" t="n">
        <f aca="false">Sens!$J$11289</f>
        <v>129.889724166368</v>
      </c>
      <c r="K11300" s="38" t="n">
        <f aca="false">Sens!$K$11289</f>
        <v>140.442301535395</v>
      </c>
      <c r="L11300" s="38" t="n">
        <f aca="false">Sens!$L$11289</f>
        <v>153.718935436262</v>
      </c>
      <c r="M11300" s="38" t="n">
        <f aca="false">Sens!$M$11289</f>
        <v>169.829794040665</v>
      </c>
    </row>
    <row r="11301" customFormat="false" ht="17.15" hidden="false" customHeight="false" outlineLevel="0" collapsed="false">
      <c r="A11301" s="5" t="s">
        <v>795</v>
      </c>
      <c r="B11301" s="0" t="s">
        <v>86</v>
      </c>
      <c r="C11301" s="38" t="n">
        <f aca="false">Sens!$C$11277</f>
        <v>32.067</v>
      </c>
      <c r="D11301" s="38" t="n">
        <f aca="false">Sens!$D$11277</f>
        <v>41.86</v>
      </c>
      <c r="E11301" s="38" t="n">
        <f aca="false">Sens!$E$11277</f>
        <v>26.703</v>
      </c>
      <c r="F11301" s="38" t="n">
        <f aca="false">Sens!$F$11277</f>
        <v>29.152860869477</v>
      </c>
      <c r="G11301" s="38" t="n">
        <f aca="false">Sens!$G$11277</f>
        <v>55.855860869477</v>
      </c>
      <c r="H11301" s="38" t="n">
        <f aca="false">Sens!$H$11277</f>
        <v>81.5618233196153</v>
      </c>
      <c r="I11301" s="38" t="n">
        <f aca="false">Sens!$I$11277</f>
        <v>118.756208740204</v>
      </c>
      <c r="J11301" s="38" t="n">
        <f aca="false">Sens!$J$11277</f>
        <v>152.469489406791</v>
      </c>
      <c r="K11301" s="38" t="n">
        <f aca="false">Sens!$K$11277</f>
        <v>186.391502623819</v>
      </c>
      <c r="L11301" s="38" t="n">
        <f aca="false">Sens!$L$11277</f>
        <v>211.926422215482</v>
      </c>
      <c r="M11301" s="38" t="n">
        <f aca="false">Sens!$M$11277</f>
        <v>229.012482097906</v>
      </c>
    </row>
    <row r="11302" customFormat="false" ht="15" hidden="false" customHeight="false" outlineLevel="0" collapsed="false">
      <c r="A11302" s="5" t="s">
        <v>796</v>
      </c>
      <c r="B11302" s="0" t="s">
        <v>86</v>
      </c>
      <c r="C11302" s="38" t="n">
        <f aca="false">Q!$D$48</f>
        <v>22.011</v>
      </c>
      <c r="D11302" s="38" t="n">
        <f aca="false">Q!$E$48</f>
        <v>19.467</v>
      </c>
      <c r="E11302" s="38" t="n">
        <f aca="false">Q!$P$48</f>
        <v>10.07</v>
      </c>
      <c r="F11302" s="38" t="n">
        <f aca="false">sbc_r*Sens!$F$11219</f>
        <v>10.8507035798037</v>
      </c>
      <c r="G11302" s="38" t="n">
        <f aca="false">Sens!$E$11302+Sens!$F$11302</f>
        <v>20.9207035798037</v>
      </c>
      <c r="H11302" s="38" t="n">
        <f aca="false">sbc_r*Sens!$H$11219</f>
        <v>23.46224366345</v>
      </c>
      <c r="I11302" s="38" t="n">
        <f aca="false">sbc_r*Sens!$I$11219</f>
        <v>26.6125957111676</v>
      </c>
      <c r="J11302" s="38" t="n">
        <f aca="false">sbc_r*Sens!$J$11219</f>
        <v>29.6280801413323</v>
      </c>
      <c r="K11302" s="38" t="n">
        <f aca="false">sbc_r*Sens!$K$11219</f>
        <v>32.2712258901105</v>
      </c>
      <c r="L11302" s="38" t="n">
        <f aca="false">sbc_r*Sens!$L$11219</f>
        <v>34.7390505016737</v>
      </c>
      <c r="M11302" s="38" t="n">
        <f aca="false">sbc_r*Sens!$M$11219</f>
        <v>37.0405146906692</v>
      </c>
    </row>
    <row r="11303" customFormat="false" ht="17.15" hidden="false" customHeight="false" outlineLevel="0" collapsed="false">
      <c r="A11303" s="5" t="s">
        <v>797</v>
      </c>
      <c r="B11303" s="0" t="s">
        <v>86</v>
      </c>
      <c r="C11303" s="38" t="n">
        <f aca="false">Q!$D$44-Sens!$C$11300-Sens!$C$11301-Sens!$C$11302</f>
        <v>2.551</v>
      </c>
      <c r="D11303" s="38" t="n">
        <f aca="false">Q!$E$44-Sens!$D$11300-Sens!$D$11301-Sens!$D$11302</f>
        <v>0.51700000000001</v>
      </c>
      <c r="E11303" s="38" t="n">
        <f aca="false">Q!$P$44-Sens!$E$11300-Sens!$E$11301-Sens!$E$11302</f>
        <v>-58.256</v>
      </c>
      <c r="F11303" s="38" t="n">
        <f aca="false">oth_r*Sens!$F$11219</f>
        <v>5.22265251035878</v>
      </c>
      <c r="G11303" s="38" t="n">
        <f aca="false">Sens!$E$11303+Sens!$F$11303</f>
        <v>-53.0333474896412</v>
      </c>
      <c r="H11303" s="38" t="n">
        <f aca="false">oth_r*Sens!$H$11219</f>
        <v>11.2928295263397</v>
      </c>
      <c r="I11303" s="38" t="n">
        <f aca="false">oth_r*Sens!$I$11219</f>
        <v>12.8091546115766</v>
      </c>
      <c r="J11303" s="38" t="n">
        <f aca="false">oth_r*Sens!$J$11219</f>
        <v>14.2605653162668</v>
      </c>
      <c r="K11303" s="38" t="n">
        <f aca="false">oth_r*Sens!$K$11219</f>
        <v>15.5327622460396</v>
      </c>
      <c r="L11303" s="38" t="n">
        <f aca="false">oth_r*Sens!$L$11219</f>
        <v>16.720573737517</v>
      </c>
      <c r="M11303" s="38" t="n">
        <f aca="false">oth_r*Sens!$M$11219</f>
        <v>17.8283127551536</v>
      </c>
      <c r="P11303" s="8" t="s">
        <v>798</v>
      </c>
    </row>
    <row r="11304" customFormat="false" ht="15" hidden="false" customHeight="false" outlineLevel="0" collapsed="false">
      <c r="A11304" s="3" t="s">
        <v>562</v>
      </c>
      <c r="B11304" s="8" t="s">
        <v>86</v>
      </c>
      <c r="C11304" s="38" t="n">
        <f aca="false">Q!$D$44</f>
        <v>115.877</v>
      </c>
      <c r="D11304" s="38" t="n">
        <f aca="false">Q!$E$44</f>
        <v>139.514</v>
      </c>
      <c r="E11304" s="38" t="n">
        <f aca="false">Q!$P$44</f>
        <v>71.419</v>
      </c>
      <c r="F11304" s="38" t="n">
        <f aca="false">Sens!$F$11300+Sens!$F$11301+Sens!$F$11302+Sens!$F$11303</f>
        <v>91.2628206731683</v>
      </c>
      <c r="G11304" s="38" t="n">
        <f aca="false">Sens!$E$11304+Sens!$F$11304</f>
        <v>162.681820673168</v>
      </c>
      <c r="H11304" s="38" t="n">
        <f aca="false">Sens!$H$11300+Sens!$H$11301+Sens!$H$11302+Sens!$H$11303</f>
        <v>220.616555992495</v>
      </c>
      <c r="I11304" s="38" t="n">
        <f aca="false">Sens!$I$11300+Sens!$I$11301+Sens!$I$11302+Sens!$I$11303</f>
        <v>273.55142183382</v>
      </c>
      <c r="J11304" s="38" t="n">
        <f aca="false">Sens!$J$11300+Sens!$J$11301+Sens!$J$11302+Sens!$J$11303</f>
        <v>326.247859030758</v>
      </c>
      <c r="K11304" s="38" t="n">
        <f aca="false">Sens!$K$11300+Sens!$K$11301+Sens!$K$11302+Sens!$K$11303</f>
        <v>374.637792295364</v>
      </c>
      <c r="L11304" s="38" t="n">
        <f aca="false">Sens!$L$11300+Sens!$L$11301+Sens!$L$11302+Sens!$L$11303</f>
        <v>417.104981890935</v>
      </c>
      <c r="M11304" s="38" t="n">
        <f aca="false">Sens!$M$11300+Sens!$M$11301+Sens!$M$11302+Sens!$M$11303</f>
        <v>453.711103584394</v>
      </c>
    </row>
    <row r="11305" customFormat="false" ht="17.15" hidden="false" customHeight="false" outlineLevel="0" collapsed="false">
      <c r="A11305" s="5" t="s">
        <v>799</v>
      </c>
      <c r="B11305" s="0" t="s">
        <v>86</v>
      </c>
      <c r="C11305" s="38" t="n">
        <f aca="false">Sens!$C$11183</f>
        <v>25.2781053077374</v>
      </c>
      <c r="D11305" s="38" t="n">
        <f aca="false">Sens!$D$11183</f>
        <v>69.5686316310026</v>
      </c>
      <c r="E11305" s="38" t="n">
        <f aca="false">Sens!$E$11183</f>
        <v>64.1899206485108</v>
      </c>
      <c r="F11305" s="38" t="n">
        <f aca="false">Sens!$F$11183</f>
        <v>88.7165504612134</v>
      </c>
      <c r="G11305" s="38" t="n">
        <f aca="false">Sens!$G$11183</f>
        <v>152.906471109724</v>
      </c>
      <c r="H11305" s="38" t="n">
        <f aca="false">Sens!$H$11183</f>
        <v>198.57136494475</v>
      </c>
      <c r="I11305" s="38" t="n">
        <f aca="false">Sens!$I$11183</f>
        <v>204.6464699105</v>
      </c>
      <c r="J11305" s="38" t="n">
        <f aca="false">Sens!$J$11183</f>
        <v>209.8832381105</v>
      </c>
      <c r="K11305" s="38" t="n">
        <f aca="false">Sens!$K$11183</f>
        <v>155.238385275201</v>
      </c>
      <c r="L11305" s="38" t="n">
        <f aca="false">Sens!$L$11183</f>
        <v>132.014141639902</v>
      </c>
      <c r="M11305" s="38" t="n">
        <f aca="false">Sens!$M$11183</f>
        <v>132.230981659852</v>
      </c>
    </row>
    <row r="11306" customFormat="false" ht="17.15" hidden="false" customHeight="false" outlineLevel="0" collapsed="false">
      <c r="A11306" s="5" t="s">
        <v>800</v>
      </c>
      <c r="B11306" s="0" t="s">
        <v>86</v>
      </c>
      <c r="C11306" s="38" t="n">
        <f aca="false">cx_awso*Sens!$C$11217</f>
        <v>21.0469989286053</v>
      </c>
      <c r="D11306" s="38" t="n">
        <f aca="false">cx_awso*Sens!$D$11217</f>
        <v>24.0042459822698</v>
      </c>
      <c r="E11306" s="38" t="n">
        <f aca="false">cx_awso*Sens!$E$11217</f>
        <v>14.261729404886</v>
      </c>
      <c r="F11306" s="38" t="n">
        <f aca="false">cx_awso*Sens!$F$11217</f>
        <v>14.3538599588493</v>
      </c>
      <c r="G11306" s="38" t="n">
        <f aca="false">Sens!$E$11306+Sens!$F$11306</f>
        <v>28.6155893637353</v>
      </c>
      <c r="H11306" s="38" t="n">
        <f aca="false">cx_awso*Sens!$H$11217</f>
        <v>32.2034154158406</v>
      </c>
      <c r="I11306" s="38" t="n">
        <f aca="false">cx_awso*Sens!$I$11217</f>
        <v>35.7539519042915</v>
      </c>
      <c r="J11306" s="38" t="n">
        <f aca="false">cx_awso*Sens!$J$11217</f>
        <v>39.1551076091815</v>
      </c>
      <c r="K11306" s="38" t="n">
        <f aca="false">cx_awso*Sens!$K$11217</f>
        <v>42.287516217916</v>
      </c>
      <c r="L11306" s="38" t="n">
        <f aca="false">cx_awso*Sens!$L$11217</f>
        <v>45.6705175153492</v>
      </c>
      <c r="M11306" s="38" t="n">
        <f aca="false">cx_awso*Sens!$M$11217</f>
        <v>49.3241589165772</v>
      </c>
    </row>
    <row r="11307" customFormat="false" ht="17.15" hidden="false" customHeight="false" outlineLevel="0" collapsed="false">
      <c r="A11307" s="5" t="s">
        <v>801</v>
      </c>
      <c r="B11307" s="0" t="s">
        <v>86</v>
      </c>
      <c r="C11307" s="38" t="n">
        <f aca="false">Q!$D$46-Sens!$C$11305-Sens!$C$11306</f>
        <v>31.3328957636573</v>
      </c>
      <c r="D11307" s="38" t="n">
        <f aca="false">Q!$E$46-Sens!$D$11305-Sens!$D$11306</f>
        <v>34.7471223867276</v>
      </c>
      <c r="E11307" s="38" t="n">
        <f aca="false">Q!$P$46-Sens!$E$11305-Sens!$E$11306</f>
        <v>17.8583499466032</v>
      </c>
      <c r="F11307" s="38" t="n">
        <f aca="false">cx_rt*Sens!$F$11146</f>
        <v>20.6195895799373</v>
      </c>
      <c r="G11307" s="38" t="n">
        <f aca="false">Sens!$E$11307+Sens!$F$11307</f>
        <v>38.4779395265405</v>
      </c>
      <c r="H11307" s="38" t="n">
        <f aca="false">cx_rt*Sens!$H$11146</f>
        <v>42.5978994743075</v>
      </c>
      <c r="I11307" s="38" t="n">
        <f aca="false">cx_rt*Sens!$I$11146</f>
        <v>46.5813904136335</v>
      </c>
      <c r="J11307" s="38" t="n">
        <f aca="false">cx_rt*Sens!$J$11146</f>
        <v>50.2781676586844</v>
      </c>
      <c r="K11307" s="38" t="n">
        <f aca="false">cx_rt*Sens!$K$11146</f>
        <v>53.5312440191755</v>
      </c>
      <c r="L11307" s="38" t="n">
        <f aca="false">cx_rt*Sens!$L$11146</f>
        <v>57.0116717051447</v>
      </c>
      <c r="M11307" s="38" t="n">
        <f aca="false">cx_rt*Sens!$M$11146</f>
        <v>60.7365554669226</v>
      </c>
    </row>
    <row r="11308" customFormat="false" ht="15" hidden="false" customHeight="false" outlineLevel="0" collapsed="false">
      <c r="A11308" s="3" t="s">
        <v>802</v>
      </c>
      <c r="B11308" s="8" t="s">
        <v>86</v>
      </c>
      <c r="C11308" s="38" t="n">
        <f aca="false">Q!$D$46</f>
        <v>77.658</v>
      </c>
      <c r="D11308" s="38" t="n">
        <f aca="false">Q!$E$46</f>
        <v>128.32</v>
      </c>
      <c r="E11308" s="38" t="n">
        <f aca="false">Q!$P$46</f>
        <v>96.31</v>
      </c>
      <c r="F11308" s="38" t="n">
        <f aca="false">Sens!$F$11305+Sens!$F$11306+Sens!$F$11307</f>
        <v>123.69</v>
      </c>
      <c r="G11308" s="38" t="n">
        <f aca="false">Sens!$E$11308+Sens!$F$11308</f>
        <v>220</v>
      </c>
      <c r="H11308" s="38" t="n">
        <f aca="false">Sens!$H$11305+Sens!$H$11306+Sens!$H$11307</f>
        <v>273.372679834898</v>
      </c>
      <c r="I11308" s="38" t="n">
        <f aca="false">Sens!$I$11305+Sens!$I$11306+Sens!$I$11307</f>
        <v>286.981812228425</v>
      </c>
      <c r="J11308" s="38" t="n">
        <f aca="false">Sens!$J$11305+Sens!$J$11306+Sens!$J$11307</f>
        <v>299.316513378366</v>
      </c>
      <c r="K11308" s="38" t="n">
        <f aca="false">Sens!$K$11305+Sens!$K$11306+Sens!$K$11307</f>
        <v>251.057145512292</v>
      </c>
      <c r="L11308" s="38" t="n">
        <f aca="false">Sens!$L$11305+Sens!$L$11306+Sens!$L$11307</f>
        <v>234.696330860396</v>
      </c>
      <c r="M11308" s="38" t="n">
        <f aca="false">Sens!$M$11305+Sens!$M$11306+Sens!$M$11307</f>
        <v>242.291696043352</v>
      </c>
    </row>
    <row r="11309" customFormat="false" ht="17.15" hidden="false" customHeight="false" outlineLevel="0" collapsed="false">
      <c r="A11309" s="5" t="s">
        <v>570</v>
      </c>
      <c r="B11309" s="0" t="s">
        <v>86</v>
      </c>
      <c r="C11309" s="38" t="n">
        <f aca="false">Q!$D$50</f>
        <v>2.043</v>
      </c>
      <c r="D11309" s="38" t="n">
        <f aca="false">Q!$E$50</f>
        <v>1.557</v>
      </c>
      <c r="E11309" s="38" t="n">
        <f aca="false">lease_pr/2</f>
        <v>0.8</v>
      </c>
      <c r="F11309" s="38" t="n">
        <f aca="false">lease_pr/2</f>
        <v>0.8</v>
      </c>
      <c r="G11309" s="38" t="n">
        <f aca="false">Sens!$E$11309+Sens!$F$11309</f>
        <v>1.6</v>
      </c>
      <c r="H11309" s="38" t="n">
        <f aca="false">lease_pr</f>
        <v>1.6</v>
      </c>
      <c r="I11309" s="38" t="n">
        <f aca="false">lease_pr</f>
        <v>1.6</v>
      </c>
      <c r="J11309" s="38" t="n">
        <f aca="false">lease_pr</f>
        <v>1.6</v>
      </c>
      <c r="K11309" s="38" t="n">
        <f aca="false">lease_pr</f>
        <v>1.6</v>
      </c>
      <c r="L11309" s="38" t="n">
        <f aca="false">lease_pr</f>
        <v>1.6</v>
      </c>
      <c r="M11309" s="38" t="n">
        <f aca="false">lease_pr</f>
        <v>1.6</v>
      </c>
      <c r="P11309" s="8" t="s">
        <v>803</v>
      </c>
    </row>
    <row r="11310" customFormat="false" ht="15" hidden="false" customHeight="false" outlineLevel="0" collapsed="false">
      <c r="A11310" s="47" t="s">
        <v>804</v>
      </c>
      <c r="B11310" s="14" t="s">
        <v>86</v>
      </c>
      <c r="C11310" s="48" t="n">
        <f aca="false">Sens!$C$11304-Sens!$C$11308-Sens!$C$11309</f>
        <v>36.176</v>
      </c>
      <c r="D11310" s="48" t="n">
        <f aca="false">Sens!$D$11304-Sens!$D$11308-Sens!$D$11309</f>
        <v>9.63700000000002</v>
      </c>
      <c r="E11310" s="48" t="n">
        <f aca="false">Sens!$E$11304-Sens!$E$11308-Sens!$E$11309</f>
        <v>-25.691</v>
      </c>
      <c r="F11310" s="48" t="n">
        <f aca="false">Sens!$F$11304-Sens!$F$11308-Sens!$F$11309</f>
        <v>-33.2271793268317</v>
      </c>
      <c r="G11310" s="48" t="n">
        <f aca="false">Sens!$G$11304-Sens!$G$11308-Sens!$G$11309</f>
        <v>-58.9181793268317</v>
      </c>
      <c r="H11310" s="48" t="n">
        <f aca="false">Sens!$H$11304-Sens!$H$11308-Sens!$H$11309</f>
        <v>-54.3561238424036</v>
      </c>
      <c r="I11310" s="48" t="n">
        <f aca="false">Sens!$I$11304-Sens!$I$11308-Sens!$I$11309</f>
        <v>-15.0303903946055</v>
      </c>
      <c r="J11310" s="48" t="n">
        <f aca="false">Sens!$J$11304-Sens!$J$11308-Sens!$J$11309</f>
        <v>25.3313456523922</v>
      </c>
      <c r="K11310" s="48" t="n">
        <f aca="false">Sens!$K$11304-Sens!$K$11308-Sens!$K$11309</f>
        <v>121.980646783072</v>
      </c>
      <c r="L11310" s="48" t="n">
        <f aca="false">Sens!$L$11304-Sens!$L$11308-Sens!$L$11309</f>
        <v>180.80865103054</v>
      </c>
      <c r="M11310" s="48" t="n">
        <f aca="false">Sens!$M$11304-Sens!$M$11308-Sens!$M$11309</f>
        <v>209.819407541041</v>
      </c>
      <c r="N11310" s="14"/>
      <c r="O11310" s="14"/>
    </row>
    <row r="11311" customFormat="false" ht="17.15" hidden="false" customHeight="false" outlineLevel="0" collapsed="false">
      <c r="A11311" s="5" t="s">
        <v>805</v>
      </c>
      <c r="B11311" s="0" t="s">
        <v>86</v>
      </c>
      <c r="C11311" s="38" t="n">
        <f aca="false">dps*Sens!$C$11290</f>
        <v>0</v>
      </c>
      <c r="D11311" s="38" t="n">
        <f aca="false">dps*Sens!$D$11290</f>
        <v>0</v>
      </c>
      <c r="E11311" s="38" t="n">
        <f aca="false">dps*Sens!$E$11290</f>
        <v>0</v>
      </c>
      <c r="F11311" s="38" t="n">
        <f aca="false">0</f>
        <v>0</v>
      </c>
      <c r="G11311" s="38" t="n">
        <f aca="false">dps*Sens!$G$11290</f>
        <v>0</v>
      </c>
      <c r="H11311" s="38" t="n">
        <f aca="false">dps*Sens!$H$11290</f>
        <v>0</v>
      </c>
      <c r="I11311" s="38" t="n">
        <f aca="false">dps*Sens!$I$11290</f>
        <v>0</v>
      </c>
      <c r="J11311" s="38" t="n">
        <f aca="false">dps*Sens!$J$11290</f>
        <v>0</v>
      </c>
      <c r="K11311" s="38" t="n">
        <f aca="false">dps*Sens!$K$11290</f>
        <v>0</v>
      </c>
      <c r="L11311" s="38" t="n">
        <f aca="false">dps*Sens!$L$11290</f>
        <v>0</v>
      </c>
      <c r="M11311" s="38" t="n">
        <f aca="false">dps*Sens!$M$11290</f>
        <v>0</v>
      </c>
      <c r="P11311" s="8" t="s">
        <v>806</v>
      </c>
    </row>
    <row r="11312" customFormat="false" ht="17.15" hidden="false" customHeight="false" outlineLevel="0" collapsed="false">
      <c r="A11312" s="5" t="s">
        <v>807</v>
      </c>
      <c r="B11312" s="0" t="s">
        <v>86</v>
      </c>
      <c r="C11312" s="38" t="n">
        <f aca="false">0</f>
        <v>0</v>
      </c>
      <c r="D11312" s="38" t="n">
        <f aca="false">0</f>
        <v>0</v>
      </c>
      <c r="E11312" s="38" t="n">
        <f aca="false">0</f>
        <v>0</v>
      </c>
      <c r="F11312" s="38" t="n">
        <f aca="false">0</f>
        <v>0</v>
      </c>
      <c r="G11312" s="38" t="n">
        <f aca="false">0</f>
        <v>0</v>
      </c>
      <c r="H11312" s="38" t="n">
        <f aca="false">0</f>
        <v>0</v>
      </c>
      <c r="I11312" s="38" t="n">
        <f aca="false">0</f>
        <v>0</v>
      </c>
      <c r="J11312" s="38" t="n">
        <f aca="false">0</f>
        <v>0</v>
      </c>
      <c r="K11312" s="38" t="n">
        <f aca="false">0</f>
        <v>0</v>
      </c>
      <c r="L11312" s="38" t="n">
        <f aca="false">0</f>
        <v>0</v>
      </c>
      <c r="M11312" s="38" t="n">
        <f aca="false">0</f>
        <v>0</v>
      </c>
      <c r="P11312" s="8" t="s">
        <v>808</v>
      </c>
    </row>
    <row r="11313" customFormat="false" ht="15" hidden="false" customHeight="false" outlineLevel="0" collapsed="false">
      <c r="A11313" s="3" t="s">
        <v>809</v>
      </c>
      <c r="B11313" s="8" t="s">
        <v>86</v>
      </c>
      <c r="C11313" s="38" t="n">
        <f aca="false">Sens!$C$11310-Sens!$C$11311</f>
        <v>36.176</v>
      </c>
      <c r="D11313" s="38" t="n">
        <f aca="false">Sens!$D$11310-Sens!$D$11311</f>
        <v>9.63700000000002</v>
      </c>
      <c r="E11313" s="38" t="n">
        <f aca="false">Sens!$E$11310-Sens!$E$11311</f>
        <v>-25.691</v>
      </c>
      <c r="F11313" s="38" t="n">
        <f aca="false">Sens!$F$11310-Sens!$F$11311</f>
        <v>-33.2271793268317</v>
      </c>
      <c r="G11313" s="38" t="n">
        <f aca="false">Sens!$G$11310-Sens!$G$11311</f>
        <v>-58.9181793268317</v>
      </c>
      <c r="H11313" s="38" t="n">
        <f aca="false">Sens!$H$11310-Sens!$H$11311</f>
        <v>-54.3561238424036</v>
      </c>
      <c r="I11313" s="38" t="n">
        <f aca="false">Sens!$I$11310-Sens!$I$11311</f>
        <v>-15.0303903946055</v>
      </c>
      <c r="J11313" s="38" t="n">
        <f aca="false">Sens!$J$11310-Sens!$J$11311</f>
        <v>25.3313456523922</v>
      </c>
      <c r="K11313" s="38" t="n">
        <f aca="false">Sens!$K$11310-Sens!$K$11311</f>
        <v>121.980646783072</v>
      </c>
      <c r="L11313" s="38" t="n">
        <f aca="false">Sens!$L$11310-Sens!$L$11311</f>
        <v>180.80865103054</v>
      </c>
      <c r="M11313" s="38" t="n">
        <f aca="false">Sens!$M$11310-Sens!$M$11311</f>
        <v>209.819407541041</v>
      </c>
    </row>
    <row r="11314" customFormat="false" ht="17.15" hidden="false" customHeight="false" outlineLevel="0" collapsed="false">
      <c r="A11314" s="5" t="s">
        <v>810</v>
      </c>
      <c r="B11314" s="0" t="s">
        <v>86</v>
      </c>
      <c r="E11314" s="38" t="n">
        <f aca="false">Q!$P$53</f>
        <v>39.767</v>
      </c>
      <c r="F11314" s="38" t="n">
        <f aca="false">inv_2h26</f>
        <v>21.3</v>
      </c>
      <c r="G11314" s="38" t="n">
        <f aca="false">Sens!$E$11314+Sens!$F$11314</f>
        <v>61.067</v>
      </c>
      <c r="H11314" s="39" t="n">
        <v>0</v>
      </c>
      <c r="I11314" s="39" t="n">
        <v>0</v>
      </c>
      <c r="J11314" s="39" t="n">
        <v>0</v>
      </c>
      <c r="K11314" s="39" t="n">
        <v>0</v>
      </c>
      <c r="L11314" s="39" t="n">
        <v>0</v>
      </c>
      <c r="M11314" s="39" t="n">
        <v>0</v>
      </c>
    </row>
    <row r="11315" customFormat="false" ht="17.15" hidden="false" customHeight="false" outlineLevel="0" collapsed="false">
      <c r="A11315" s="5" t="s">
        <v>811</v>
      </c>
      <c r="B11315" s="0" t="s">
        <v>86</v>
      </c>
      <c r="F11315" s="38" t="n">
        <f aca="false">iss_2h26</f>
        <v>29.249999</v>
      </c>
      <c r="G11315" s="38" t="n">
        <f aca="false">Sens!$F$11315</f>
        <v>29.249999</v>
      </c>
      <c r="H11315" s="39" t="n">
        <v>0</v>
      </c>
      <c r="I11315" s="39" t="n">
        <v>0</v>
      </c>
      <c r="J11315" s="39" t="n">
        <v>0</v>
      </c>
      <c r="K11315" s="39" t="n">
        <v>0</v>
      </c>
      <c r="L11315" s="39" t="n">
        <v>0</v>
      </c>
      <c r="M11315" s="39" t="n">
        <v>0</v>
      </c>
    </row>
    <row r="11316" customFormat="false" ht="17.15" hidden="false" customHeight="false" outlineLevel="0" collapsed="false">
      <c r="A11316" s="5" t="s">
        <v>812</v>
      </c>
      <c r="B11316" s="0" t="s">
        <v>86</v>
      </c>
      <c r="F11316" s="38" t="n">
        <f aca="false">cash_q2</f>
        <v>122.988</v>
      </c>
      <c r="G11316" s="38" t="n">
        <f aca="false">cash_q2</f>
        <v>122.988</v>
      </c>
      <c r="H11316" s="38" t="n">
        <f aca="false">Sens!$G$11319</f>
        <v>97.7108196731683</v>
      </c>
      <c r="I11316" s="38" t="n">
        <f aca="false">Sens!$H$11319</f>
        <v>50</v>
      </c>
      <c r="J11316" s="38" t="n">
        <f aca="false">Sens!$I$11319</f>
        <v>50</v>
      </c>
      <c r="K11316" s="38" t="n">
        <f aca="false">Sens!$J$11319</f>
        <v>75.3313456523922</v>
      </c>
      <c r="L11316" s="38" t="n">
        <f aca="false">Sens!$K$11319</f>
        <v>197.311992435464</v>
      </c>
      <c r="M11316" s="38" t="n">
        <f aca="false">Sens!$L$11319</f>
        <v>378.120643466004</v>
      </c>
    </row>
    <row r="11317" customFormat="false" ht="15" hidden="false" customHeight="false" outlineLevel="0" collapsed="false">
      <c r="A11317" s="5" t="s">
        <v>813</v>
      </c>
      <c r="B11317" s="0" t="s">
        <v>86</v>
      </c>
      <c r="F11317" s="38" t="n">
        <f aca="false">Sens!$F$11316+Sens!$F$11313-Sens!$F$11312-Sens!$F$11314+Sens!$F$11315</f>
        <v>97.7108196731683</v>
      </c>
      <c r="H11317" s="38" t="n">
        <f aca="false">Sens!$H$11316+Sens!$H$11313-Sens!$H$11312-Sens!$H$11314+Sens!$H$11315</f>
        <v>43.3546958307647</v>
      </c>
      <c r="I11317" s="38" t="n">
        <f aca="false">Sens!$I$11316+Sens!$I$11313-Sens!$I$11312-Sens!$I$11314+Sens!$I$11315</f>
        <v>34.9696096053945</v>
      </c>
      <c r="J11317" s="38" t="n">
        <f aca="false">Sens!$J$11316+Sens!$J$11313-Sens!$J$11312-Sens!$J$11314+Sens!$J$11315</f>
        <v>75.3313456523922</v>
      </c>
      <c r="K11317" s="38" t="n">
        <f aca="false">Sens!$K$11316+Sens!$K$11313-Sens!$K$11312-Sens!$K$11314+Sens!$K$11315</f>
        <v>197.311992435464</v>
      </c>
      <c r="L11317" s="38" t="n">
        <f aca="false">Sens!$L$11316+Sens!$L$11313-Sens!$L$11312-Sens!$L$11314+Sens!$L$11315</f>
        <v>378.120643466004</v>
      </c>
      <c r="M11317" s="38" t="n">
        <f aca="false">Sens!$M$11316+Sens!$M$11313-Sens!$M$11312-Sens!$M$11314+Sens!$M$11315</f>
        <v>587.940051007045</v>
      </c>
    </row>
    <row r="11318" customFormat="false" ht="17.15" hidden="false" customHeight="false" outlineLevel="0" collapsed="false">
      <c r="A11318" s="5" t="s">
        <v>814</v>
      </c>
      <c r="B11318" s="0" t="s">
        <v>86</v>
      </c>
      <c r="F11318" s="38" t="n">
        <f aca="false">MAX(0,min_cash-Sens!$F$11317)</f>
        <v>0</v>
      </c>
      <c r="G11318" s="38" t="n">
        <f aca="false">Sens!$F$11318</f>
        <v>0</v>
      </c>
      <c r="H11318" s="38" t="n">
        <f aca="false">MAX(0,min_cash-Sens!$H$11317)</f>
        <v>6.64530416923528</v>
      </c>
      <c r="I11318" s="38" t="n">
        <f aca="false">MAX(0,min_cash-Sens!$I$11317)</f>
        <v>15.0303903946055</v>
      </c>
      <c r="J11318" s="38" t="n">
        <f aca="false">MAX(0,min_cash-Sens!$J$11317)</f>
        <v>0</v>
      </c>
      <c r="K11318" s="38" t="n">
        <f aca="false">MAX(0,min_cash-Sens!$K$11317)</f>
        <v>0</v>
      </c>
      <c r="L11318" s="38" t="n">
        <f aca="false">MAX(0,min_cash-Sens!$L$11317)</f>
        <v>0</v>
      </c>
      <c r="M11318" s="38" t="n">
        <f aca="false">MAX(0,min_cash-Sens!$M$11317)</f>
        <v>0</v>
      </c>
      <c r="P11318" s="5" t="s">
        <v>815</v>
      </c>
    </row>
    <row r="11319" customFormat="false" ht="15" hidden="false" customHeight="false" outlineLevel="0" collapsed="false">
      <c r="A11319" s="5" t="s">
        <v>816</v>
      </c>
      <c r="B11319" s="0" t="s">
        <v>86</v>
      </c>
      <c r="D11319" s="38" t="n">
        <f aca="false">Q!$E$61</f>
        <v>123.029</v>
      </c>
      <c r="E11319" s="38" t="n">
        <f aca="false">Q!$M$61</f>
        <v>122.988</v>
      </c>
      <c r="F11319" s="38" t="n">
        <f aca="false">Sens!$F$11317+Sens!$F$11318</f>
        <v>97.7108196731683</v>
      </c>
      <c r="G11319" s="38" t="n">
        <f aca="false">Sens!$F$11319</f>
        <v>97.7108196731683</v>
      </c>
      <c r="H11319" s="38" t="n">
        <f aca="false">Sens!$H$11317+Sens!$H$11318</f>
        <v>50</v>
      </c>
      <c r="I11319" s="38" t="n">
        <f aca="false">Sens!$I$11317+Sens!$I$11318</f>
        <v>50</v>
      </c>
      <c r="J11319" s="38" t="n">
        <f aca="false">Sens!$J$11317+Sens!$J$11318</f>
        <v>75.3313456523922</v>
      </c>
      <c r="K11319" s="38" t="n">
        <f aca="false">Sens!$K$11317+Sens!$K$11318</f>
        <v>197.311992435464</v>
      </c>
      <c r="L11319" s="38" t="n">
        <f aca="false">Sens!$L$11317+Sens!$L$11318</f>
        <v>378.120643466004</v>
      </c>
      <c r="M11319" s="38" t="n">
        <f aca="false">Sens!$M$11317+Sens!$M$11318</f>
        <v>587.940051007045</v>
      </c>
    </row>
    <row r="11320" customFormat="false" ht="15" hidden="false" customHeight="false" outlineLevel="0" collapsed="false">
      <c r="A11320" s="5" t="s">
        <v>817</v>
      </c>
      <c r="B11320" s="0" t="s">
        <v>86</v>
      </c>
      <c r="D11320" s="38" t="n">
        <f aca="false">Q!$E$62</f>
        <v>68.836</v>
      </c>
      <c r="E11320" s="38" t="n">
        <f aca="false">Q!$M$62</f>
        <v>132.995</v>
      </c>
      <c r="F11320" s="38" t="n">
        <f aca="false">debt_q2+Sens!$F$11315+Sens!$F$11318</f>
        <v>162.244999</v>
      </c>
      <c r="G11320" s="38" t="n">
        <f aca="false">Sens!$F$11320</f>
        <v>162.244999</v>
      </c>
      <c r="H11320" s="38" t="n">
        <f aca="false">Sens!$G$11320+Sens!$H$11318</f>
        <v>168.890303169235</v>
      </c>
      <c r="I11320" s="38" t="n">
        <f aca="false">Sens!$H$11320+Sens!$I$11318</f>
        <v>183.920693563841</v>
      </c>
      <c r="J11320" s="38" t="n">
        <f aca="false">Sens!$I$11320+Sens!$J$11318</f>
        <v>183.920693563841</v>
      </c>
      <c r="K11320" s="38" t="n">
        <f aca="false">Sens!$J$11320+Sens!$K$11318</f>
        <v>183.920693563841</v>
      </c>
      <c r="L11320" s="38" t="n">
        <f aca="false">Sens!$K$11320+Sens!$L$11318</f>
        <v>183.920693563841</v>
      </c>
      <c r="M11320" s="38" t="n">
        <f aca="false">Sens!$L$11320+Sens!$M$11318</f>
        <v>183.920693563841</v>
      </c>
    </row>
    <row r="11321" customFormat="false" ht="15" hidden="false" customHeight="false" outlineLevel="0" collapsed="false">
      <c r="A11321" s="5" t="s">
        <v>818</v>
      </c>
      <c r="B11321" s="0" t="s">
        <v>86</v>
      </c>
      <c r="D11321" s="38" t="n">
        <f aca="false">Sens!$D$11320-Sens!$D$11319</f>
        <v>-54.193</v>
      </c>
      <c r="E11321" s="38" t="n">
        <f aca="false">Sens!$E$11320-Sens!$E$11319</f>
        <v>10.007</v>
      </c>
      <c r="F11321" s="38" t="n">
        <f aca="false">Sens!$F$11320-Sens!$F$11319</f>
        <v>64.5341793268317</v>
      </c>
      <c r="G11321" s="38" t="n">
        <f aca="false">Sens!$G$11320-Sens!$G$11319</f>
        <v>64.5341793268317</v>
      </c>
      <c r="H11321" s="38" t="n">
        <f aca="false">Sens!$H$11320-Sens!$H$11319</f>
        <v>118.890303169235</v>
      </c>
      <c r="I11321" s="38" t="n">
        <f aca="false">Sens!$I$11320-Sens!$I$11319</f>
        <v>133.920693563841</v>
      </c>
      <c r="J11321" s="38" t="n">
        <f aca="false">Sens!$J$11320-Sens!$J$11319</f>
        <v>108.589347911449</v>
      </c>
      <c r="K11321" s="38" t="n">
        <f aca="false">Sens!$K$11320-Sens!$K$11319</f>
        <v>-13.3912988716235</v>
      </c>
      <c r="L11321" s="38" t="n">
        <f aca="false">Sens!$L$11320-Sens!$L$11319</f>
        <v>-194.199949902163</v>
      </c>
      <c r="M11321" s="38" t="n">
        <f aca="false">Sens!$M$11320-Sens!$M$11319</f>
        <v>-404.019357443204</v>
      </c>
    </row>
    <row r="11322" customFormat="false" ht="17.15" hidden="false" customHeight="false" outlineLevel="0" collapsed="false">
      <c r="A11322" s="5" t="s">
        <v>819</v>
      </c>
      <c r="B11322" s="0" t="s">
        <v>86</v>
      </c>
      <c r="F11322" s="38" t="n">
        <f aca="false">debt_q2*kd_book*0.5+iss_2h26*kd_new*iss_t</f>
        <v>3.24888962733561</v>
      </c>
      <c r="H11322" s="38" t="n">
        <f aca="false">debt_q2*kd_book+(Sens!$G$11320-debt_q2)*kd_new</f>
        <v>7.42354172302123</v>
      </c>
      <c r="I11322" s="38" t="n">
        <f aca="false">debt_q2*kd_book+(Sens!$H$11320-debt_q2)*kd_new</f>
        <v>7.84418947693382</v>
      </c>
      <c r="J11322" s="38" t="n">
        <f aca="false">debt_q2*kd_book+(Sens!$I$11320-debt_q2)*kd_new</f>
        <v>8.79561318891235</v>
      </c>
      <c r="K11322" s="38" t="n">
        <f aca="false">debt_q2*kd_book+(Sens!$J$11320-debt_q2)*kd_new</f>
        <v>8.79561318891235</v>
      </c>
      <c r="L11322" s="38" t="n">
        <f aca="false">debt_q2*kd_book+(Sens!$K$11320-debt_q2)*kd_new</f>
        <v>8.79561318891235</v>
      </c>
      <c r="M11322" s="38" t="n">
        <f aca="false">debt_q2*kd_book+(Sens!$L$11320-debt_q2)*kd_new</f>
        <v>8.79561318891235</v>
      </c>
    </row>
    <row r="11323" customFormat="false" ht="17.15" hidden="false" customHeight="false" outlineLevel="0" collapsed="false">
      <c r="A11323" s="5" t="s">
        <v>820</v>
      </c>
      <c r="B11323" s="0" t="s">
        <v>86</v>
      </c>
      <c r="F11323" s="38" t="n">
        <f aca="false">cash_q2*y_cash*0.5</f>
        <v>2.59</v>
      </c>
      <c r="H11323" s="38" t="n">
        <f aca="false">Sens!$G$11319*y_cash</f>
        <v>4.1153774832261</v>
      </c>
      <c r="I11323" s="38" t="n">
        <f aca="false">Sens!$H$11319*y_cash</f>
        <v>2.10589651022864</v>
      </c>
      <c r="J11323" s="38" t="n">
        <f aca="false">Sens!$I$11319*y_cash</f>
        <v>2.10589651022864</v>
      </c>
      <c r="K11323" s="38" t="n">
        <f aca="false">Sens!$J$11319*y_cash</f>
        <v>3.172800358404</v>
      </c>
      <c r="L11323" s="38" t="n">
        <f aca="false">Sens!$K$11319*y_cash</f>
        <v>8.31037272592208</v>
      </c>
      <c r="M11323" s="38" t="n">
        <f aca="false">Sens!$L$11319*y_cash</f>
        <v>15.9256588704093</v>
      </c>
    </row>
    <row r="11324" customFormat="false" ht="17.15" hidden="false" customHeight="false" outlineLevel="0" collapsed="false">
      <c r="A11324" s="47" t="s">
        <v>821</v>
      </c>
      <c r="B11324" s="14" t="s">
        <v>86</v>
      </c>
      <c r="C11324" s="14"/>
      <c r="D11324" s="14"/>
      <c r="E11324" s="14"/>
      <c r="F11324" s="14"/>
      <c r="G11324" s="48" t="n">
        <f aca="false">SUM(Sens!$G$11313:$K$11313)</f>
        <v>19.0072988716234</v>
      </c>
      <c r="H11324" s="14"/>
      <c r="I11324" s="14"/>
      <c r="J11324" s="14"/>
      <c r="K11324" s="14"/>
      <c r="L11324" s="14"/>
      <c r="M11324" s="14"/>
      <c r="N11324" s="14"/>
      <c r="O11324" s="14"/>
    </row>
    <row r="11325" customFormat="false" ht="17.15" hidden="false" customHeight="false" outlineLevel="0" collapsed="false">
      <c r="A11325" s="0" t="s">
        <v>787</v>
      </c>
      <c r="B11325" s="0" t="s">
        <v>86</v>
      </c>
      <c r="G11325" s="38" t="n">
        <f aca="false">SUM(Sens!$G$11318:$K$11318)</f>
        <v>21.6756945638408</v>
      </c>
    </row>
    <row r="11326" customFormat="false" ht="17.15" hidden="false" customHeight="false" outlineLevel="0" collapsed="false">
      <c r="A11326" s="24" t="s">
        <v>824</v>
      </c>
      <c r="B11326" s="25" t="s">
        <v>86</v>
      </c>
      <c r="C11326" s="25"/>
      <c r="D11326" s="25"/>
      <c r="E11326" s="25"/>
      <c r="F11326" s="25"/>
      <c r="G11326" s="41" t="n">
        <f aca="false">Sens!$G$11324-(Sens!$G$11313+Sens!$H$11313+Sens!$I$11313+Sens!$J$11313+Sens!$K$11313)</f>
        <v>0</v>
      </c>
      <c r="H11326" s="25"/>
      <c r="I11326" s="25"/>
      <c r="J11326" s="25"/>
      <c r="K11326" s="25"/>
      <c r="L11326" s="25"/>
      <c r="M11326" s="25"/>
      <c r="N11326" s="25"/>
      <c r="O11326" s="25"/>
    </row>
    <row r="11329" customFormat="false" ht="19.4" hidden="false" customHeight="false" outlineLevel="0" collapsed="false">
      <c r="A11329" s="31" t="s">
        <v>1381</v>
      </c>
    </row>
    <row r="11330" customFormat="false" ht="17.15" hidden="false" customHeight="false" outlineLevel="0" collapsed="false">
      <c r="A11330" s="6" t="s">
        <v>16</v>
      </c>
      <c r="B11330" s="6" t="s">
        <v>17</v>
      </c>
      <c r="C11330" s="20" t="s">
        <v>504</v>
      </c>
      <c r="D11330" s="20" t="s">
        <v>505</v>
      </c>
      <c r="E11330" s="20" t="s">
        <v>587</v>
      </c>
      <c r="F11330" s="20" t="s">
        <v>588</v>
      </c>
      <c r="G11330" s="20" t="s">
        <v>589</v>
      </c>
      <c r="H11330" s="20" t="s">
        <v>590</v>
      </c>
      <c r="I11330" s="20" t="s">
        <v>591</v>
      </c>
      <c r="J11330" s="20" t="s">
        <v>592</v>
      </c>
      <c r="K11330" s="20" t="s">
        <v>593</v>
      </c>
      <c r="L11330" s="20" t="s">
        <v>594</v>
      </c>
      <c r="M11330" s="20" t="s">
        <v>595</v>
      </c>
      <c r="N11330" s="20" t="s">
        <v>596</v>
      </c>
      <c r="O11330" s="20" t="s">
        <v>597</v>
      </c>
      <c r="P11330" s="6" t="s">
        <v>23</v>
      </c>
      <c r="R11330" s="20" t="n">
        <v>2023</v>
      </c>
      <c r="S11330" s="20" t="n">
        <v>2024</v>
      </c>
      <c r="T11330" s="20" t="n">
        <v>2025</v>
      </c>
      <c r="U11330" s="20" t="n">
        <v>2026</v>
      </c>
      <c r="V11330" s="20" t="n">
        <v>2027</v>
      </c>
      <c r="W11330" s="20" t="n">
        <v>2028</v>
      </c>
      <c r="X11330" s="20" t="n">
        <v>2029</v>
      </c>
      <c r="Y11330" s="20" t="n">
        <v>2030</v>
      </c>
      <c r="Z11330" s="20" t="n">
        <v>2031</v>
      </c>
      <c r="AA11330" s="20" t="n">
        <v>2032</v>
      </c>
    </row>
    <row r="11331" customFormat="false" ht="17.15" hidden="false" customHeight="false" outlineLevel="0" collapsed="false">
      <c r="A11331" s="1" t="s">
        <v>926</v>
      </c>
    </row>
    <row r="11332" customFormat="false" ht="17.15" hidden="false" customHeight="false" outlineLevel="0" collapsed="false">
      <c r="A11332" s="0" t="s">
        <v>927</v>
      </c>
      <c r="B11332" s="0" t="s">
        <v>86</v>
      </c>
      <c r="H11332" s="38" t="n">
        <f aca="false">Sens!$H$11266*(1-tax)</f>
        <v>107.033577599335</v>
      </c>
      <c r="I11332" s="38" t="n">
        <f aca="false">Sens!$I$11266*(1-tax)</f>
        <v>120.115676869338</v>
      </c>
      <c r="J11332" s="38" t="n">
        <f aca="false">Sens!$J$11266*(1-tax)</f>
        <v>135.418209542154</v>
      </c>
      <c r="K11332" s="38" t="n">
        <f aca="false">Sens!$K$11266*(1-tax)</f>
        <v>145.089081062441</v>
      </c>
      <c r="L11332" s="38" t="n">
        <f aca="false">Sens!$L$11266*(1-tax)</f>
        <v>154.119945663187</v>
      </c>
      <c r="M11332" s="38" t="n">
        <f aca="false">Sens!$M$11266*(1-tax)</f>
        <v>163.937413963577</v>
      </c>
    </row>
    <row r="11333" customFormat="false" ht="15" hidden="false" customHeight="false" outlineLevel="0" collapsed="false">
      <c r="A11333" s="5" t="s">
        <v>928</v>
      </c>
      <c r="B11333" s="0" t="s">
        <v>86</v>
      </c>
      <c r="H11333" s="38" t="n">
        <f aca="false">Sens!$H$11277</f>
        <v>81.5618233196153</v>
      </c>
      <c r="I11333" s="38" t="n">
        <f aca="false">Sens!$I$11277</f>
        <v>118.756208740204</v>
      </c>
      <c r="J11333" s="38" t="n">
        <f aca="false">Sens!$J$11277</f>
        <v>152.469489406791</v>
      </c>
      <c r="K11333" s="38" t="n">
        <f aca="false">Sens!$K$11277</f>
        <v>186.391502623819</v>
      </c>
      <c r="L11333" s="38" t="n">
        <f aca="false">Sens!$L$11277</f>
        <v>211.926422215482</v>
      </c>
      <c r="M11333" s="38" t="n">
        <f aca="false">Sens!$M$11277</f>
        <v>229.012482097906</v>
      </c>
    </row>
    <row r="11334" customFormat="false" ht="15" hidden="false" customHeight="false" outlineLevel="0" collapsed="false">
      <c r="A11334" s="5" t="s">
        <v>929</v>
      </c>
      <c r="B11334" s="0" t="s">
        <v>86</v>
      </c>
      <c r="H11334" s="38" t="n">
        <f aca="false">Sens!$H$11308</f>
        <v>273.372679834898</v>
      </c>
      <c r="I11334" s="38" t="n">
        <f aca="false">Sens!$I$11308</f>
        <v>286.981812228425</v>
      </c>
      <c r="J11334" s="38" t="n">
        <f aca="false">Sens!$J$11308</f>
        <v>299.316513378366</v>
      </c>
      <c r="K11334" s="38" t="n">
        <f aca="false">Sens!$K$11308</f>
        <v>251.057145512292</v>
      </c>
      <c r="L11334" s="38" t="n">
        <f aca="false">Sens!$L$11308</f>
        <v>234.696330860396</v>
      </c>
      <c r="M11334" s="38" t="n">
        <f aca="false">Sens!$M$11308</f>
        <v>242.291696043352</v>
      </c>
    </row>
    <row r="11335" customFormat="false" ht="15" hidden="false" customHeight="false" outlineLevel="0" collapsed="false">
      <c r="A11335" s="5" t="s">
        <v>930</v>
      </c>
      <c r="B11335" s="0" t="s">
        <v>86</v>
      </c>
      <c r="H11335" s="38" t="n">
        <f aca="false">Sens!$H$11309</f>
        <v>1.6</v>
      </c>
      <c r="I11335" s="38" t="n">
        <f aca="false">Sens!$I$11309</f>
        <v>1.6</v>
      </c>
      <c r="J11335" s="38" t="n">
        <f aca="false">Sens!$J$11309</f>
        <v>1.6</v>
      </c>
      <c r="K11335" s="38" t="n">
        <f aca="false">Sens!$K$11309</f>
        <v>1.6</v>
      </c>
      <c r="L11335" s="38" t="n">
        <f aca="false">Sens!$L$11309</f>
        <v>1.6</v>
      </c>
      <c r="M11335" s="38" t="n">
        <f aca="false">Sens!$M$11309</f>
        <v>1.6</v>
      </c>
    </row>
    <row r="11336" customFormat="false" ht="15" hidden="false" customHeight="false" outlineLevel="0" collapsed="false">
      <c r="A11336" s="5" t="s">
        <v>931</v>
      </c>
      <c r="B11336" s="0" t="s">
        <v>86</v>
      </c>
      <c r="H11336" s="38" t="n">
        <f aca="false">Sens!$H$11303</f>
        <v>11.2928295263397</v>
      </c>
      <c r="I11336" s="38" t="n">
        <f aca="false">Sens!$I$11303</f>
        <v>12.8091546115766</v>
      </c>
      <c r="J11336" s="38" t="n">
        <f aca="false">Sens!$J$11303</f>
        <v>14.2605653162668</v>
      </c>
      <c r="K11336" s="38" t="n">
        <f aca="false">Sens!$K$11303</f>
        <v>15.5327622460396</v>
      </c>
      <c r="L11336" s="38" t="n">
        <f aca="false">Sens!$L$11303</f>
        <v>16.720573737517</v>
      </c>
      <c r="M11336" s="38" t="n">
        <f aca="false">Sens!$M$11303</f>
        <v>17.8283127551536</v>
      </c>
    </row>
    <row r="11337" customFormat="false" ht="17.15" hidden="false" customHeight="false" outlineLevel="0" collapsed="false">
      <c r="A11337" s="1" t="s">
        <v>932</v>
      </c>
      <c r="B11337" s="8" t="s">
        <v>86</v>
      </c>
      <c r="H11337" s="38" t="n">
        <f aca="false">Sens!$H$11332+Sens!$H$11333-Sens!$H$11334-Sens!$H$11335+Sens!$H$11336</f>
        <v>-75.0844493896079</v>
      </c>
      <c r="I11337" s="38" t="n">
        <f aca="false">Sens!$I$11332+Sens!$I$11333-Sens!$I$11334-Sens!$I$11335+Sens!$I$11336</f>
        <v>-36.9007720073061</v>
      </c>
      <c r="J11337" s="38" t="n">
        <f aca="false">Sens!$J$11332+Sens!$J$11333-Sens!$J$11334-Sens!$J$11335+Sens!$J$11336</f>
        <v>1.2317508868455</v>
      </c>
      <c r="K11337" s="38" t="n">
        <f aca="false">Sens!$K$11332+Sens!$K$11333-Sens!$K$11334-Sens!$K$11335+Sens!$K$11336</f>
        <v>94.3562004200074</v>
      </c>
      <c r="L11337" s="38" t="n">
        <f aca="false">Sens!$L$11332+Sens!$L$11333-Sens!$L$11334-Sens!$L$11335+Sens!$L$11336</f>
        <v>146.470610755791</v>
      </c>
      <c r="M11337" s="38" t="n">
        <f aca="false">Sens!$M$11332+Sens!$M$11333-Sens!$M$11334-Sens!$M$11335+Sens!$M$11336</f>
        <v>166.886512773284</v>
      </c>
    </row>
    <row r="11338" customFormat="false" ht="15" hidden="false" customHeight="false" outlineLevel="0" collapsed="false">
      <c r="A11338" s="5" t="s">
        <v>933</v>
      </c>
      <c r="B11338" s="0" t="s">
        <v>57</v>
      </c>
      <c r="H11338" s="40" t="n">
        <f aca="false">1/(1+wacc)^(2027-2026-0.5)</f>
        <v>0.947751320380232</v>
      </c>
      <c r="I11338" s="40" t="n">
        <f aca="false">1/(1+wacc)^(2028-2026-0.5)</f>
        <v>0.851301099754987</v>
      </c>
      <c r="J11338" s="40" t="n">
        <f aca="false">1/(1+wacc)^(2029-2026-0.5)</f>
        <v>0.764666370660713</v>
      </c>
      <c r="K11338" s="40" t="n">
        <f aca="false">1/(1+wacc)^(2030-2026-0.5)</f>
        <v>0.686848235703811</v>
      </c>
      <c r="L11338" s="40" t="n">
        <f aca="false">1/(1+wacc)^(2031-2026-0.5)</f>
        <v>0.616949452715975</v>
      </c>
      <c r="M11338" s="40" t="n">
        <f aca="false">1/(1+wacc)^(2032-2026-0.5)</f>
        <v>0.554164089562688</v>
      </c>
    </row>
    <row r="11339" customFormat="false" ht="15" hidden="false" customHeight="false" outlineLevel="0" collapsed="false">
      <c r="A11339" s="5" t="s">
        <v>934</v>
      </c>
      <c r="B11339" s="0" t="s">
        <v>86</v>
      </c>
      <c r="H11339" s="38" t="n">
        <f aca="false">Sens!$H$11337*Sens!$H$11338</f>
        <v>-71.1613860490236</v>
      </c>
      <c r="I11339" s="38" t="n">
        <f aca="false">Sens!$I$11337*Sens!$I$11338</f>
        <v>-31.4136677916277</v>
      </c>
      <c r="J11339" s="38" t="n">
        <f aca="false">Sens!$J$11337*Sens!$J$11338</f>
        <v>0.941878480202264</v>
      </c>
      <c r="K11339" s="38" t="n">
        <f aca="false">Sens!$K$11337*Sens!$K$11338</f>
        <v>64.8083897861973</v>
      </c>
      <c r="L11339" s="38" t="n">
        <f aca="false">Sens!$L$11337*Sens!$L$11338</f>
        <v>90.3649631447596</v>
      </c>
      <c r="M11339" s="38" t="n">
        <f aca="false">Sens!$M$11337*Sens!$M$11338</f>
        <v>92.482512411299</v>
      </c>
    </row>
    <row r="11340" customFormat="false" ht="15" hidden="false" customHeight="false" outlineLevel="0" collapsed="false">
      <c r="A11340" s="5" t="s">
        <v>935</v>
      </c>
      <c r="B11340" s="0" t="s">
        <v>86</v>
      </c>
      <c r="C11340" s="38" t="n">
        <f aca="false">SUM(Sens!$H$11339:$M$11339)</f>
        <v>146.022689981807</v>
      </c>
    </row>
    <row r="11341" customFormat="false" ht="17.15" hidden="false" customHeight="false" outlineLevel="0" collapsed="false">
      <c r="A11341" s="5" t="s">
        <v>936</v>
      </c>
      <c r="B11341" s="0" t="s">
        <v>86</v>
      </c>
      <c r="C11341" s="38" t="n">
        <f aca="false">Sens!$M$11332*(1+tg)*(1-tg/ronic)/(wacc-tg)</f>
        <v>1490.37402807664</v>
      </c>
    </row>
    <row r="11342" customFormat="false" ht="15" hidden="false" customHeight="false" outlineLevel="0" collapsed="false">
      <c r="A11342" s="5" t="s">
        <v>937</v>
      </c>
      <c r="B11342" s="0" t="s">
        <v>86</v>
      </c>
      <c r="C11342" s="38" t="n">
        <f aca="false">Sens!$C$11341/(1+wacc)^6</f>
        <v>782.758967101341</v>
      </c>
    </row>
    <row r="11343" customFormat="false" ht="17.15" hidden="false" customHeight="false" outlineLevel="0" collapsed="false">
      <c r="A11343" s="5" t="s">
        <v>938</v>
      </c>
      <c r="B11343" s="0" t="s">
        <v>86</v>
      </c>
      <c r="C11343" s="38" t="n">
        <f aca="false">Sens!$C$11340+Sens!$C$11342</f>
        <v>928.781657083147</v>
      </c>
    </row>
    <row r="11344" customFormat="false" ht="17.15" hidden="false" customHeight="false" outlineLevel="0" collapsed="false">
      <c r="A11344" s="5" t="s">
        <v>939</v>
      </c>
      <c r="B11344" s="0" t="s">
        <v>52</v>
      </c>
      <c r="C11344" s="13" t="n">
        <f aca="false">Sens!$C$11342/Sens!$C$11343</f>
        <v>0.842780389913822</v>
      </c>
    </row>
    <row r="11345" customFormat="false" ht="17.15" hidden="false" customHeight="false" outlineLevel="0" collapsed="false">
      <c r="A11345" s="5" t="s">
        <v>940</v>
      </c>
      <c r="B11345" s="0" t="s">
        <v>86</v>
      </c>
      <c r="C11345" s="38" t="n">
        <f aca="false">Sens!$G$11321+fin_debt</f>
        <v>89.0551793268317</v>
      </c>
    </row>
    <row r="11346" customFormat="false" ht="17.15" hidden="false" customHeight="false" outlineLevel="0" collapsed="false">
      <c r="A11346" s="5" t="s">
        <v>941</v>
      </c>
      <c r="B11346" s="0" t="s">
        <v>86</v>
      </c>
      <c r="C11346" s="38" t="n">
        <f aca="false">(ant_val*ant_sh+oai_val*oai_sh)*(1-liq_disc)</f>
        <v>178.944</v>
      </c>
    </row>
    <row r="11347" customFormat="false" ht="15" hidden="false" customHeight="false" outlineLevel="0" collapsed="false">
      <c r="A11347" s="5" t="s">
        <v>942</v>
      </c>
      <c r="B11347" s="0" t="s">
        <v>86</v>
      </c>
      <c r="C11347" s="38" t="n">
        <f aca="false">Sens!$C$11343-Sens!$C$11345+Sens!$C$11346</f>
        <v>1018.67047775632</v>
      </c>
    </row>
    <row r="11348" customFormat="false" ht="17.15" hidden="false" customHeight="false" outlineLevel="0" collapsed="false">
      <c r="A11348" s="5" t="s">
        <v>943</v>
      </c>
      <c r="B11348" s="0" t="s">
        <v>27</v>
      </c>
      <c r="C11348" s="30" t="n">
        <f aca="false">Sens!$C$11347/sh_out</f>
        <v>94.4410182900586</v>
      </c>
    </row>
    <row r="11349" customFormat="false" ht="17.15" hidden="false" customHeight="false" outlineLevel="0" collapsed="false">
      <c r="A11349" s="1" t="s">
        <v>944</v>
      </c>
      <c r="B11349" s="8" t="s">
        <v>27</v>
      </c>
      <c r="C11349" s="30" t="n">
        <f aca="false">Sens!$C$11348*(1+ke)^tp_yf-dps*tp_yf</f>
        <v>103.447749264271</v>
      </c>
    </row>
    <row r="11350" customFormat="false" ht="17.15" hidden="false" customHeight="false" outlineLevel="0" collapsed="false">
      <c r="A11350" s="3" t="s">
        <v>945</v>
      </c>
    </row>
    <row r="11351" customFormat="false" ht="17.15" hidden="false" customHeight="false" outlineLevel="0" collapsed="false">
      <c r="A11351" s="5" t="s">
        <v>946</v>
      </c>
      <c r="B11351" s="0" t="s">
        <v>86</v>
      </c>
      <c r="C11351" s="38" t="n">
        <f aca="false">(1-tp_yf)*(Sens!$H$11278+sbc_ab*Sens!$H$11302*Sens!$H$11139/Sens!$H$11219)+tp_yf*(Sens!$I$11278+sbc_ab*Sens!$I$11302*Sens!$I$11139/Sens!$I$11219)</f>
        <v>59.634664536349</v>
      </c>
    </row>
    <row r="11352" customFormat="false" ht="15" hidden="false" customHeight="false" outlineLevel="0" collapsed="false">
      <c r="A11352" s="5" t="s">
        <v>947</v>
      </c>
      <c r="B11352" s="0" t="s">
        <v>57</v>
      </c>
      <c r="C11352" s="30" t="n">
        <f aca="false">m_ads*m_x</f>
        <v>9.11</v>
      </c>
    </row>
    <row r="11353" customFormat="false" ht="17.15" hidden="false" customHeight="false" outlineLevel="0" collapsed="false">
      <c r="A11353" s="5" t="s">
        <v>948</v>
      </c>
      <c r="B11353" s="0" t="s">
        <v>86</v>
      </c>
      <c r="C11353" s="38" t="n">
        <f aca="false">Sens!$C$11351*Sens!$C$11352</f>
        <v>543.271793926139</v>
      </c>
    </row>
    <row r="11354" customFormat="false" ht="17.15" hidden="false" customHeight="false" outlineLevel="0" collapsed="false">
      <c r="A11354" s="5" t="s">
        <v>949</v>
      </c>
      <c r="B11354" s="0" t="s">
        <v>86</v>
      </c>
      <c r="C11354" s="38" t="n">
        <f aca="false">(1-tp_yf)*(Sens!$H$11279+sbc_ab*Sens!$H$11302*(Sens!$H$11146-Sens!$H$11139)/Sens!$H$11219+IF(1=2,1,0)*(1-ext_sh)*Sens!$H$11176)+tp_yf*(Sens!$I$11279+sbc_ab*Sens!$I$11302*(Sens!$I$11146-Sens!$I$11139)/Sens!$I$11219+IF(1=2,1,0)*(1-ext_sh)*Sens!$I$11176)</f>
        <v>46.8273142374246</v>
      </c>
    </row>
    <row r="11355" customFormat="false" ht="17.15" hidden="false" customHeight="false" outlineLevel="0" collapsed="false">
      <c r="A11355" s="5" t="s">
        <v>950</v>
      </c>
      <c r="B11355" s="0" t="s">
        <v>57</v>
      </c>
      <c r="C11355" s="30" t="n">
        <f aca="false">m_retail*m_x</f>
        <v>17.72</v>
      </c>
    </row>
    <row r="11356" customFormat="false" ht="17.15" hidden="false" customHeight="false" outlineLevel="0" collapsed="false">
      <c r="A11356" s="5" t="s">
        <v>951</v>
      </c>
      <c r="B11356" s="0" t="s">
        <v>86</v>
      </c>
      <c r="C11356" s="38" t="n">
        <f aca="false">Sens!$C$11354*Sens!$C$11355</f>
        <v>829.780008287164</v>
      </c>
    </row>
    <row r="11357" customFormat="false" ht="17.15" hidden="false" customHeight="false" outlineLevel="0" collapsed="false">
      <c r="A11357" s="0" t="s">
        <v>952</v>
      </c>
      <c r="B11357" s="0" t="s">
        <v>86</v>
      </c>
      <c r="C11357" s="38" t="n">
        <f aca="false">(1-tp_yf)*(Sens!$H$11280+sbc_ab*Sens!$H$11302*Sens!$H$11217/Sens!$H$11219)+tp_yf*(Sens!$I$11280+sbc_ab*Sens!$I$11302*Sens!$I$11217/Sens!$I$11219)</f>
        <v>97.2337130506861</v>
      </c>
    </row>
    <row r="11358" customFormat="false" ht="17.15" hidden="false" customHeight="false" outlineLevel="0" collapsed="false">
      <c r="A11358" s="0" t="s">
        <v>953</v>
      </c>
      <c r="B11358" s="0" t="s">
        <v>57</v>
      </c>
      <c r="C11358" s="30" t="n">
        <f aca="false">m_cloud*m_x</f>
        <v>13.82</v>
      </c>
    </row>
    <row r="11359" customFormat="false" ht="17.15" hidden="false" customHeight="false" outlineLevel="0" collapsed="false">
      <c r="A11359" s="0" t="s">
        <v>954</v>
      </c>
      <c r="B11359" s="0" t="s">
        <v>86</v>
      </c>
      <c r="C11359" s="38" t="n">
        <f aca="false">Sens!$C$11357*Sens!$C$11358</f>
        <v>1343.76991436048</v>
      </c>
    </row>
    <row r="11360" customFormat="false" ht="17.15" hidden="false" customHeight="false" outlineLevel="0" collapsed="false">
      <c r="A11360" s="0" t="s">
        <v>955</v>
      </c>
      <c r="B11360" s="0" t="s">
        <v>86</v>
      </c>
      <c r="H11360" s="38" t="n">
        <f aca="false">Sens!$H$11198-tax*Sens!$H$11199-ext_sh*Sens!$H$11183</f>
        <v>-115.41576008619</v>
      </c>
      <c r="I11360" s="38" t="n">
        <f aca="false">Sens!$I$11198-tax*Sens!$I$11199-ext_sh*Sens!$I$11183</f>
        <v>-88.5401912683161</v>
      </c>
      <c r="J11360" s="38" t="n">
        <f aca="false">Sens!$J$11198-tax*Sens!$J$11199-ext_sh*Sens!$J$11183</f>
        <v>-61.2977422866746</v>
      </c>
      <c r="K11360" s="38" t="n">
        <f aca="false">Sens!$K$11198-tax*Sens!$K$11199-ext_sh*Sens!$K$11183</f>
        <v>9.91264760007891</v>
      </c>
      <c r="L11360" s="38" t="n">
        <f aca="false">Sens!$L$11198-tax*Sens!$L$11199-ext_sh*Sens!$L$11183</f>
        <v>46.750156871371</v>
      </c>
      <c r="M11360" s="38" t="n">
        <f aca="false">Sens!$M$11198-tax*Sens!$M$11199-ext_sh*Sens!$M$11183</f>
        <v>55.5634749071557</v>
      </c>
    </row>
    <row r="11361" customFormat="false" ht="17.15" hidden="false" customHeight="false" outlineLevel="0" collapsed="false">
      <c r="A11361" s="5" t="s">
        <v>956</v>
      </c>
      <c r="B11361" s="0" t="s">
        <v>86</v>
      </c>
      <c r="H11361" s="38" t="n">
        <f aca="false">Sens!$H$11360*Sens!$H$11338</f>
        <v>-109.385439014374</v>
      </c>
      <c r="I11361" s="38" t="n">
        <f aca="false">Sens!$I$11360*Sens!$I$11338</f>
        <v>-75.3743621992344</v>
      </c>
      <c r="J11361" s="38" t="n">
        <f aca="false">Sens!$J$11360*Sens!$J$11338</f>
        <v>-46.8723221240472</v>
      </c>
      <c r="K11361" s="38" t="n">
        <f aca="false">Sens!$K$11360*Sens!$K$11338</f>
        <v>6.80848451526782</v>
      </c>
      <c r="L11361" s="38" t="n">
        <f aca="false">Sens!$L$11360*Sens!$L$11338</f>
        <v>28.8424836961783</v>
      </c>
      <c r="M11361" s="38" t="n">
        <f aca="false">Sens!$M$11360*Sens!$M$11338</f>
        <v>30.7912824848632</v>
      </c>
    </row>
    <row r="11362" customFormat="false" ht="17.15" hidden="false" customHeight="false" outlineLevel="0" collapsed="false">
      <c r="A11362" s="5" t="s">
        <v>957</v>
      </c>
      <c r="B11362" s="0" t="s">
        <v>86</v>
      </c>
      <c r="C11362" s="38" t="n">
        <f aca="false">Sens!$M$11199*(1-tax)*(1+tg)*(1-tg/ronic)/(wacc-tg)</f>
        <v>356.180381489473</v>
      </c>
    </row>
    <row r="11363" customFormat="false" ht="17.15" hidden="false" customHeight="false" outlineLevel="0" collapsed="false">
      <c r="A11363" s="0" t="s">
        <v>958</v>
      </c>
      <c r="B11363" s="0" t="s">
        <v>86</v>
      </c>
      <c r="C11363" s="38" t="n">
        <f aca="false">(SUM(Sens!$I$11361:$M$11361)+Sens!$C$11362/(1+wacc)^6)*(1+wacc)^tp_yf</f>
        <v>143.3703803388</v>
      </c>
    </row>
    <row r="11364" customFormat="false" ht="17.15" hidden="false" customHeight="false" outlineLevel="0" collapsed="false">
      <c r="A11364" s="5" t="s">
        <v>959</v>
      </c>
      <c r="B11364" s="0" t="s">
        <v>86</v>
      </c>
      <c r="C11364" s="38" t="n">
        <f aca="false">(1-tp_yf)*(Sens!$H$11281)+tp_yf*(Sens!$I$11281)</f>
        <v>74.6707041238437</v>
      </c>
    </row>
    <row r="11365" customFormat="false" ht="17.15" hidden="false" customHeight="false" outlineLevel="0" collapsed="false">
      <c r="A11365" s="5" t="s">
        <v>960</v>
      </c>
      <c r="B11365" s="0" t="s">
        <v>86</v>
      </c>
      <c r="C11365" s="38" t="n">
        <f aca="false">Sens!$C$11364*m_ai</f>
        <v>448.024224743062</v>
      </c>
    </row>
    <row r="11366" customFormat="false" ht="17.15" hidden="false" customHeight="false" outlineLevel="0" collapsed="false">
      <c r="A11366" s="0" t="s">
        <v>961</v>
      </c>
      <c r="B11366" s="0" t="s">
        <v>86</v>
      </c>
      <c r="C11366" s="38" t="n">
        <f aca="false">IF(ai_leg=1,Sens!$C$11363,Sens!$C$11365)</f>
        <v>143.3703803388</v>
      </c>
    </row>
    <row r="11367" customFormat="false" ht="17.15" hidden="false" customHeight="false" outlineLevel="0" collapsed="false">
      <c r="A11367" s="5" t="s">
        <v>962</v>
      </c>
      <c r="B11367" s="0" t="s">
        <v>86</v>
      </c>
      <c r="C11367" s="38" t="n">
        <f aca="false">Sens!$C$11353+Sens!$C$11356+Sens!$C$11359+Sens!$C$11366</f>
        <v>2860.19209691259</v>
      </c>
    </row>
    <row r="11368" customFormat="false" ht="17.15" hidden="false" customHeight="false" outlineLevel="0" collapsed="false">
      <c r="A11368" s="5" t="s">
        <v>963</v>
      </c>
      <c r="B11368" s="0" t="s">
        <v>86</v>
      </c>
      <c r="C11368" s="38" t="n">
        <f aca="false">Sens!$H$11321+fin_debt</f>
        <v>143.411303169235</v>
      </c>
    </row>
    <row r="11369" customFormat="false" ht="15" hidden="false" customHeight="false" outlineLevel="0" collapsed="false">
      <c r="A11369" s="5" t="s">
        <v>964</v>
      </c>
      <c r="B11369" s="0" t="s">
        <v>86</v>
      </c>
      <c r="C11369" s="38" t="n">
        <f aca="false">Sens!$C$11367-Sens!$C$11368+Sens!$C$11346</f>
        <v>2895.72479374335</v>
      </c>
    </row>
    <row r="11370" customFormat="false" ht="15" hidden="false" customHeight="false" outlineLevel="0" collapsed="false">
      <c r="A11370" s="3" t="s">
        <v>965</v>
      </c>
      <c r="B11370" s="8" t="s">
        <v>27</v>
      </c>
      <c r="C11370" s="30" t="n">
        <f aca="false">Sens!$C$11369/sh_val</f>
        <v>262.524239449879</v>
      </c>
    </row>
    <row r="11371" customFormat="false" ht="17.15" hidden="false" customHeight="false" outlineLevel="0" collapsed="false">
      <c r="A11371" s="47" t="s">
        <v>966</v>
      </c>
      <c r="B11371" s="14" t="s">
        <v>27</v>
      </c>
      <c r="C11371" s="44" t="n">
        <f aca="false">w_dcf*Sens!$C$11349+(1-w_dcf)*Sens!$C$11370</f>
        <v>182.985994357075</v>
      </c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4"/>
    </row>
    <row r="11372" customFormat="false" ht="17.15" hidden="false" customHeight="false" outlineLevel="0" collapsed="false">
      <c r="A11372" s="5" t="s">
        <v>967</v>
      </c>
      <c r="B11372" s="0" t="s">
        <v>27</v>
      </c>
      <c r="C11372" s="30" t="n">
        <f aca="false">v022_wdcf*Sens!$C$11349+(1-v022_wdcf)*Sens!$C$11370</f>
        <v>190.939818866356</v>
      </c>
    </row>
    <row r="11373" customFormat="false" ht="17.15" hidden="false" customHeight="false" outlineLevel="0" collapsed="false">
      <c r="A11373" s="5" t="s">
        <v>968</v>
      </c>
      <c r="B11373" s="0" t="s">
        <v>27</v>
      </c>
      <c r="C11373" s="30" t="n">
        <f aca="false">(Sens!$C$11369-Sens!$C$11366+Sens!$C$11365)/sh_val</f>
        <v>290.14392864497</v>
      </c>
    </row>
    <row r="11376" customFormat="false" ht="19.4" hidden="false" customHeight="false" outlineLevel="0" collapsed="false">
      <c r="A11376" s="31" t="s">
        <v>1382</v>
      </c>
    </row>
    <row r="11377" customFormat="false" ht="17.15" hidden="false" customHeight="false" outlineLevel="0" collapsed="false">
      <c r="A11377" s="6" t="s">
        <v>16</v>
      </c>
      <c r="B11377" s="6" t="s">
        <v>17</v>
      </c>
      <c r="C11377" s="20" t="s">
        <v>504</v>
      </c>
      <c r="D11377" s="20" t="s">
        <v>505</v>
      </c>
      <c r="E11377" s="20" t="s">
        <v>587</v>
      </c>
      <c r="F11377" s="20" t="s">
        <v>588</v>
      </c>
      <c r="G11377" s="20" t="s">
        <v>589</v>
      </c>
      <c r="H11377" s="20" t="s">
        <v>590</v>
      </c>
      <c r="I11377" s="20" t="s">
        <v>591</v>
      </c>
      <c r="J11377" s="20" t="s">
        <v>592</v>
      </c>
      <c r="K11377" s="20" t="s">
        <v>593</v>
      </c>
      <c r="L11377" s="20" t="s">
        <v>594</v>
      </c>
      <c r="M11377" s="20" t="s">
        <v>595</v>
      </c>
      <c r="N11377" s="20" t="s">
        <v>596</v>
      </c>
      <c r="O11377" s="20" t="s">
        <v>597</v>
      </c>
      <c r="P11377" s="6" t="s">
        <v>23</v>
      </c>
      <c r="R11377" s="20" t="n">
        <v>2023</v>
      </c>
      <c r="S11377" s="20" t="n">
        <v>2024</v>
      </c>
      <c r="T11377" s="20" t="n">
        <v>2025</v>
      </c>
      <c r="U11377" s="20" t="n">
        <v>2026</v>
      </c>
      <c r="V11377" s="20" t="n">
        <v>2027</v>
      </c>
      <c r="W11377" s="20" t="n">
        <v>2028</v>
      </c>
      <c r="X11377" s="20" t="n">
        <v>2029</v>
      </c>
      <c r="Y11377" s="20" t="n">
        <v>2030</v>
      </c>
      <c r="Z11377" s="20" t="n">
        <v>2031</v>
      </c>
      <c r="AA11377" s="20" t="n">
        <v>2032</v>
      </c>
    </row>
    <row r="11378" customFormat="false" ht="17.15" hidden="false" customHeight="false" outlineLevel="0" collapsed="false">
      <c r="A11378" s="1" t="s">
        <v>677</v>
      </c>
    </row>
    <row r="11379" customFormat="false" ht="17.15" hidden="false" customHeight="false" outlineLevel="0" collapsed="false">
      <c r="A11379" s="0" t="s">
        <v>526</v>
      </c>
      <c r="B11379" s="0" t="s">
        <v>86</v>
      </c>
      <c r="C11379" s="38" t="n">
        <f aca="false">Q!$D$10</f>
        <v>247.029</v>
      </c>
      <c r="D11379" s="38" t="n">
        <f aca="false">Q!$E$10</f>
        <v>269.287</v>
      </c>
      <c r="E11379" s="38" t="n">
        <f aca="false">Q!$P$10</f>
        <v>134.686</v>
      </c>
      <c r="F11379" s="38" t="n">
        <f aca="false">Sens!$O$11379*(1+Sens!$F$11380)*Sens!$F$11391</f>
        <v>158.293876822267</v>
      </c>
      <c r="G11379" s="38" t="n">
        <f aca="false">Sens!$E$11379+Sens!$F$11379</f>
        <v>292.979876822267</v>
      </c>
      <c r="H11379" s="38" t="n">
        <f aca="false">Sens!$G$11379*(1+Sens!$H$11380)</f>
        <v>318.184543087396</v>
      </c>
      <c r="I11379" s="38" t="n">
        <f aca="false">Sens!$H$11379*(1+Sens!$I$11380)</f>
        <v>341.736278761793</v>
      </c>
      <c r="J11379" s="38" t="n">
        <f aca="false">Sens!$I$11379*(1+Sens!$J$11380)</f>
        <v>362.927192787048</v>
      </c>
      <c r="K11379" s="38" t="n">
        <f aca="false">Sens!$J$11379*(1+Sens!$K$11380)</f>
        <v>381.0735524264</v>
      </c>
      <c r="L11379" s="38" t="n">
        <f aca="false">Sens!$K$11379*(1+Sens!$L$11380)</f>
        <v>400.12723004772</v>
      </c>
      <c r="M11379" s="38" t="n">
        <f aca="false">Sens!$L$11379*(1+Sens!$M$11380)</f>
        <v>420.133591550106</v>
      </c>
      <c r="N11379" s="38" t="n">
        <f aca="false">Q!$N$10</f>
        <v>118.892</v>
      </c>
      <c r="O11379" s="38" t="n">
        <f aca="false">Q!$O$10</f>
        <v>150.395</v>
      </c>
      <c r="P11379" s="8" t="s">
        <v>678</v>
      </c>
    </row>
    <row r="11380" customFormat="false" ht="17.15" hidden="false" customHeight="false" outlineLevel="0" collapsed="false">
      <c r="A11380" s="0" t="s">
        <v>679</v>
      </c>
      <c r="B11380" s="0" t="s">
        <v>52</v>
      </c>
      <c r="E11380" s="13" t="n">
        <f aca="false">Sens!$E$11379/Sens!$N$11379-1</f>
        <v>0.132843252699929</v>
      </c>
      <c r="F11380" s="13" t="n">
        <f aca="false">Sens!$O$11379/(Q!$F$10+Q!$G$10)-1</f>
        <v>0.0980382135842941</v>
      </c>
      <c r="G11380" s="13" t="n">
        <f aca="false">Sens!$G$11379/Sens!$D$11379-1</f>
        <v>0.0879837378791657</v>
      </c>
      <c r="H11380" s="13" t="n">
        <f aca="false">Sens!$F$11380+(g_os-Sens!$F$11380)*1/4</f>
        <v>0.0860286601882206</v>
      </c>
      <c r="I11380" s="13" t="n">
        <f aca="false">Sens!$F$11380+(g_os-Sens!$F$11380)*2/4</f>
        <v>0.074019106792147</v>
      </c>
      <c r="J11380" s="13" t="n">
        <f aca="false">Sens!$F$11380+(g_os-Sens!$F$11380)*3/4</f>
        <v>0.0620095533960735</v>
      </c>
      <c r="K11380" s="13" t="n">
        <f aca="false">Sens!$F$11380+(g_os-Sens!$F$11380)*4/4</f>
        <v>0.05</v>
      </c>
      <c r="L11380" s="13" t="n">
        <f aca="false">g_os</f>
        <v>0.05</v>
      </c>
      <c r="M11380" s="13" t="n">
        <f aca="false">g_os</f>
        <v>0.05</v>
      </c>
      <c r="P11380" s="8" t="s">
        <v>680</v>
      </c>
    </row>
    <row r="11381" customFormat="false" ht="17.15" hidden="false" customHeight="false" outlineLevel="0" collapsed="false">
      <c r="A11381" s="0" t="s">
        <v>527</v>
      </c>
      <c r="B11381" s="0" t="s">
        <v>86</v>
      </c>
      <c r="C11381" s="38" t="n">
        <f aca="false">Q!$D$11</f>
        <v>21.215</v>
      </c>
      <c r="D11381" s="38" t="n">
        <f aca="false">Q!$E$11</f>
        <v>22.561</v>
      </c>
      <c r="E11381" s="38" t="n">
        <f aca="false">Q!$P$11</f>
        <v>11.579</v>
      </c>
      <c r="F11381" s="38" t="n">
        <f aca="false">Sens!$O$11381*(1+Sens!$F$11382)*Sens!$F$11391</f>
        <v>11.5938724610325</v>
      </c>
      <c r="G11381" s="38" t="n">
        <f aca="false">Sens!$E$11381+Sens!$F$11381</f>
        <v>23.1728724610325</v>
      </c>
      <c r="H11381" s="38" t="n">
        <f aca="false">Sens!$G$11381*(1+Sens!$H$11382)</f>
        <v>24.353392759506</v>
      </c>
      <c r="I11381" s="38" t="n">
        <f aca="false">Sens!$H$11381*(1+Sens!$I$11382)</f>
        <v>25.4240338872015</v>
      </c>
      <c r="J11381" s="38" t="n">
        <f aca="false">Sens!$I$11381*(1+Sens!$J$11382)</f>
        <v>26.3642491017174</v>
      </c>
      <c r="K11381" s="38" t="n">
        <f aca="false">Sens!$J$11381*(1+Sens!$K$11382)</f>
        <v>27.155176574769</v>
      </c>
      <c r="L11381" s="38" t="n">
        <f aca="false">Sens!$K$11381*(1+Sens!$L$11382)</f>
        <v>27.969831872012</v>
      </c>
      <c r="M11381" s="38" t="n">
        <f aca="false">Sens!$L$11381*(1+Sens!$M$11382)</f>
        <v>28.8089268281724</v>
      </c>
      <c r="N11381" s="38" t="n">
        <f aca="false">Q!$N$11</f>
        <v>11.128</v>
      </c>
      <c r="O11381" s="38" t="n">
        <f aca="false">Q!$O$11</f>
        <v>11.433</v>
      </c>
      <c r="P11381" s="8" t="s">
        <v>678</v>
      </c>
    </row>
    <row r="11382" customFormat="false" ht="17.15" hidden="false" customHeight="false" outlineLevel="0" collapsed="false">
      <c r="A11382" s="0" t="s">
        <v>681</v>
      </c>
      <c r="B11382" s="0" t="s">
        <v>52</v>
      </c>
      <c r="E11382" s="13" t="n">
        <f aca="false">Sens!$E$11381/Sens!$N$11381-1</f>
        <v>0.0405283968368082</v>
      </c>
      <c r="F11382" s="13" t="n">
        <f aca="false">Sens!$O$11381/(Q!$F$11+Q!$G$11)-1</f>
        <v>0.0579254187100955</v>
      </c>
      <c r="G11382" s="13" t="n">
        <f aca="false">Sens!$G$11381/Sens!$D$11381-1</f>
        <v>0.0271208040881397</v>
      </c>
      <c r="H11382" s="13" t="n">
        <f aca="false">Sens!$F$11382+(g_ps-Sens!$F$11382)*1/4</f>
        <v>0.0509440640325716</v>
      </c>
      <c r="I11382" s="13" t="n">
        <f aca="false">Sens!$F$11382+(g_ps-Sens!$F$11382)*2/4</f>
        <v>0.0439627093550477</v>
      </c>
      <c r="J11382" s="13" t="n">
        <f aca="false">Sens!$F$11382+(g_ps-Sens!$F$11382)*3/4</f>
        <v>0.0369813546775239</v>
      </c>
      <c r="K11382" s="13" t="n">
        <f aca="false">Sens!$F$11382+(g_ps-Sens!$F$11382)*4/4</f>
        <v>0.03</v>
      </c>
      <c r="L11382" s="13" t="n">
        <f aca="false">g_ps</f>
        <v>0.03</v>
      </c>
      <c r="M11382" s="13" t="n">
        <f aca="false">g_ps</f>
        <v>0.03</v>
      </c>
      <c r="P11382" s="8" t="s">
        <v>682</v>
      </c>
    </row>
    <row r="11383" customFormat="false" ht="17.15" hidden="false" customHeight="false" outlineLevel="0" collapsed="false">
      <c r="A11383" s="0" t="s">
        <v>528</v>
      </c>
      <c r="B11383" s="0" t="s">
        <v>86</v>
      </c>
      <c r="C11383" s="38" t="n">
        <f aca="false">Q!$D$12</f>
        <v>156.146</v>
      </c>
      <c r="D11383" s="38" t="n">
        <f aca="false">Q!$E$12</f>
        <v>172.162</v>
      </c>
      <c r="E11383" s="38" t="n">
        <f aca="false">Q!$P$12</f>
        <v>88.358</v>
      </c>
      <c r="F11383" s="38" t="n">
        <f aca="false">Sens!$O$11383*(1+Sens!$F$11384)*Sens!$F$11391</f>
        <v>102.004388260171</v>
      </c>
      <c r="G11383" s="38" t="n">
        <f aca="false">Sens!$E$11383+Sens!$F$11383</f>
        <v>190.362388260171</v>
      </c>
      <c r="H11383" s="38" t="n">
        <f aca="false">Sens!$G$11383*(1+Sens!$H$11384)</f>
        <v>210.343106588311</v>
      </c>
      <c r="I11383" s="38" t="n">
        <f aca="false">Sens!$H$11383*(1+Sens!$I$11384)</f>
        <v>229.969728494648</v>
      </c>
      <c r="J11383" s="38" t="n">
        <f aca="false">Sens!$I$11383*(1+Sens!$J$11384)</f>
        <v>248.747636972598</v>
      </c>
      <c r="K11383" s="38" t="n">
        <f aca="false">Sens!$J$11383*(1+Sens!$K$11384)</f>
        <v>266.15997156068</v>
      </c>
      <c r="L11383" s="38" t="n">
        <f aca="false">Sens!$K$11383*(1+Sens!$L$11384)</f>
        <v>284.791169569927</v>
      </c>
      <c r="M11383" s="38" t="n">
        <f aca="false">Sens!$L$11383*(1+Sens!$M$11384)</f>
        <v>304.726551439822</v>
      </c>
      <c r="N11383" s="38" t="n">
        <f aca="false">Q!$N$12</f>
        <v>76.86</v>
      </c>
      <c r="O11383" s="38" t="n">
        <f aca="false">Q!$O$12</f>
        <v>95.302</v>
      </c>
      <c r="P11383" s="8" t="s">
        <v>678</v>
      </c>
    </row>
    <row r="11384" customFormat="false" ht="17.15" hidden="false" customHeight="false" outlineLevel="0" collapsed="false">
      <c r="A11384" s="0" t="s">
        <v>683</v>
      </c>
      <c r="B11384" s="0" t="s">
        <v>52</v>
      </c>
      <c r="E11384" s="13" t="n">
        <f aca="false">Sens!$E$11383/Sens!$N$11383-1</f>
        <v>0.1495966692688</v>
      </c>
      <c r="F11384" s="13" t="n">
        <f aca="false">Sens!$O$11383/(Q!$F$12+Q!$G$12)-1</f>
        <v>0.11661530890813</v>
      </c>
      <c r="G11384" s="13" t="n">
        <f aca="false">Sens!$G$11383/Sens!$D$11383-1</f>
        <v>0.105716640490767</v>
      </c>
      <c r="H11384" s="13" t="n">
        <f aca="false">Sens!$F$11384+(g_sp-Sens!$F$11384)*1/4</f>
        <v>0.104961481681098</v>
      </c>
      <c r="I11384" s="13" t="n">
        <f aca="false">Sens!$F$11384+(g_sp-Sens!$F$11384)*2/4</f>
        <v>0.0933076544540651</v>
      </c>
      <c r="J11384" s="13" t="n">
        <f aca="false">Sens!$F$11384+(g_sp-Sens!$F$11384)*3/4</f>
        <v>0.0816538272270325</v>
      </c>
      <c r="K11384" s="13" t="n">
        <f aca="false">Sens!$F$11384+(g_sp-Sens!$F$11384)*4/4</f>
        <v>0.07</v>
      </c>
      <c r="L11384" s="13" t="n">
        <f aca="false">g_sp</f>
        <v>0.07</v>
      </c>
      <c r="M11384" s="13" t="n">
        <f aca="false">g_sp</f>
        <v>0.07</v>
      </c>
      <c r="P11384" s="8" t="s">
        <v>684</v>
      </c>
    </row>
    <row r="11385" customFormat="false" ht="17.15" hidden="false" customHeight="false" outlineLevel="0" collapsed="false">
      <c r="A11385" s="0" t="s">
        <v>529</v>
      </c>
      <c r="B11385" s="0" t="s">
        <v>86</v>
      </c>
      <c r="C11385" s="38" t="n">
        <f aca="false">Q!$D$13</f>
        <v>56.214</v>
      </c>
      <c r="D11385" s="38" t="n">
        <f aca="false">Q!$E$13</f>
        <v>68.635</v>
      </c>
      <c r="E11385" s="38" t="n">
        <f aca="false">Q!$P$13</f>
        <v>37.052</v>
      </c>
      <c r="F11385" s="38" t="n">
        <f aca="false">Sens!$O$11385*(1+Sens!$F$11386)*Sens!$F$11391</f>
        <v>46.1572219944148</v>
      </c>
      <c r="G11385" s="38" t="n">
        <f aca="false">Sens!$E$11385+Sens!$F$11385</f>
        <v>83.2092219944148</v>
      </c>
      <c r="H11385" s="38" t="n">
        <f aca="false">Sens!$G$11385*(1+Sens!$H$11386)</f>
        <v>99.8969223878976</v>
      </c>
      <c r="I11385" s="38" t="n">
        <f aca="false">Sens!$H$11385*(1+Sens!$I$11386)</f>
        <v>116.583111095496</v>
      </c>
      <c r="J11385" s="38" t="n">
        <f aca="false">Sens!$I$11385*(1+Sens!$J$11386)</f>
        <v>132.148941941952</v>
      </c>
      <c r="K11385" s="38" t="n">
        <f aca="false">Sens!$J$11385*(1+Sens!$K$11386)</f>
        <v>145.363836136147</v>
      </c>
      <c r="L11385" s="38" t="n">
        <f aca="false">Sens!$K$11385*(1+Sens!$L$11386)</f>
        <v>159.900219749762</v>
      </c>
      <c r="M11385" s="38" t="n">
        <f aca="false">Sens!$L$11385*(1+Sens!$M$11386)</f>
        <v>175.890241724738</v>
      </c>
      <c r="N11385" s="38" t="n">
        <f aca="false">Q!$N$13</f>
        <v>29.615</v>
      </c>
      <c r="O11385" s="38" t="n">
        <f aca="false">Q!$O$13</f>
        <v>39.02</v>
      </c>
      <c r="P11385" s="8" t="s">
        <v>678</v>
      </c>
    </row>
    <row r="11386" customFormat="false" ht="17.15" hidden="false" customHeight="false" outlineLevel="0" collapsed="false">
      <c r="A11386" s="0" t="s">
        <v>685</v>
      </c>
      <c r="B11386" s="0" t="s">
        <v>52</v>
      </c>
      <c r="E11386" s="13" t="n">
        <f aca="false">Sens!$E$11385/Sens!$N$11385-1</f>
        <v>0.25112274185379</v>
      </c>
      <c r="F11386" s="13" t="n">
        <f aca="false">Sens!$O$11385/(Q!$F$13+Q!$G$13)-1</f>
        <v>0.234068123596572</v>
      </c>
      <c r="G11386" s="13" t="n">
        <f aca="false">Sens!$G$11385/Sens!$D$11385-1</f>
        <v>0.212343876949294</v>
      </c>
      <c r="H11386" s="13" t="n">
        <f aca="false">Sens!$F$11386+(g_ad-Sens!$F$11386)*1/4</f>
        <v>0.200551092697429</v>
      </c>
      <c r="I11386" s="13" t="n">
        <f aca="false">Sens!$F$11386+(g_ad-Sens!$F$11386)*2/4</f>
        <v>0.167034061798286</v>
      </c>
      <c r="J11386" s="13" t="n">
        <f aca="false">Sens!$F$11386+(g_ad-Sens!$F$11386)*3/4</f>
        <v>0.133517030899143</v>
      </c>
      <c r="K11386" s="13" t="n">
        <f aca="false">Sens!$F$11386+(g_ad-Sens!$F$11386)*4/4</f>
        <v>0.1</v>
      </c>
      <c r="L11386" s="13" t="n">
        <f aca="false">g_ad</f>
        <v>0.1</v>
      </c>
      <c r="M11386" s="13" t="n">
        <f aca="false">g_ad</f>
        <v>0.1</v>
      </c>
      <c r="P11386" s="8" t="s">
        <v>686</v>
      </c>
    </row>
    <row r="11387" customFormat="false" ht="17.15" hidden="false" customHeight="false" outlineLevel="0" collapsed="false">
      <c r="A11387" s="0" t="s">
        <v>530</v>
      </c>
      <c r="B11387" s="0" t="s">
        <v>86</v>
      </c>
      <c r="C11387" s="38" t="n">
        <f aca="false">Q!$D$14</f>
        <v>44.374</v>
      </c>
      <c r="D11387" s="38" t="n">
        <f aca="false">Q!$E$14</f>
        <v>49.619</v>
      </c>
      <c r="E11387" s="38" t="n">
        <f aca="false">Q!$P$14</f>
        <v>27.157</v>
      </c>
      <c r="F11387" s="38" t="n">
        <f aca="false">Sens!$O$11387*(1+Sens!$F$11388)*Sens!$F$11391</f>
        <v>27.7764165988154</v>
      </c>
      <c r="G11387" s="38" t="n">
        <f aca="false">Sens!$E$11387+Sens!$F$11387</f>
        <v>54.9334165988154</v>
      </c>
      <c r="H11387" s="38" t="n">
        <f aca="false">Sens!$G$11387*(1+Sens!$H$11388)</f>
        <v>61.1564112561829</v>
      </c>
      <c r="I11387" s="38" t="n">
        <f aca="false">Sens!$H$11387*(1+Sens!$I$11388)</f>
        <v>67.2020282103945</v>
      </c>
      <c r="J11387" s="38" t="n">
        <f aca="false">Sens!$I$11387*(1+Sens!$J$11388)</f>
        <v>72.8757274028885</v>
      </c>
      <c r="K11387" s="38" t="n">
        <f aca="false">Sens!$J$11387*(1+Sens!$K$11388)</f>
        <v>77.9770283210907</v>
      </c>
      <c r="L11387" s="38" t="n">
        <f aca="false">Sens!$K$11387*(1+Sens!$L$11388)</f>
        <v>83.4354203035671</v>
      </c>
      <c r="M11387" s="38" t="n">
        <f aca="false">Sens!$L$11387*(1+Sens!$M$11388)</f>
        <v>89.2758997248168</v>
      </c>
      <c r="N11387" s="38" t="n">
        <f aca="false">Q!$N$14</f>
        <v>23.923</v>
      </c>
      <c r="O11387" s="38" t="n">
        <f aca="false">Q!$O$14</f>
        <v>25.696</v>
      </c>
      <c r="P11387" s="8" t="s">
        <v>678</v>
      </c>
    </row>
    <row r="11388" customFormat="false" ht="17.15" hidden="false" customHeight="false" outlineLevel="0" collapsed="false">
      <c r="A11388" s="0" t="s">
        <v>687</v>
      </c>
      <c r="B11388" s="0" t="s">
        <v>52</v>
      </c>
      <c r="E11388" s="13" t="n">
        <f aca="false">Sens!$E$11387/Sens!$N$11387-1</f>
        <v>0.135183714417088</v>
      </c>
      <c r="F11388" s="13" t="n">
        <f aca="false">Sens!$O$11387/(Q!$F$14+Q!$G$14)-1</f>
        <v>0.127709997366804</v>
      </c>
      <c r="G11388" s="13" t="n">
        <f aca="false">Sens!$G$11387/Sens!$D$11387-1</f>
        <v>0.107104468022641</v>
      </c>
      <c r="H11388" s="13" t="n">
        <f aca="false">Sens!$F$11388+(g_sub-Sens!$F$11388)*1/4</f>
        <v>0.113282498025103</v>
      </c>
      <c r="I11388" s="13" t="n">
        <f aca="false">Sens!$F$11388+(g_sub-Sens!$F$11388)*2/4</f>
        <v>0.0988549986834021</v>
      </c>
      <c r="J11388" s="13" t="n">
        <f aca="false">Sens!$F$11388+(g_sub-Sens!$F$11388)*3/4</f>
        <v>0.084427499341701</v>
      </c>
      <c r="K11388" s="13" t="n">
        <f aca="false">Sens!$F$11388+(g_sub-Sens!$F$11388)*4/4</f>
        <v>0.07</v>
      </c>
      <c r="L11388" s="13" t="n">
        <f aca="false">g_sub</f>
        <v>0.07</v>
      </c>
      <c r="M11388" s="13" t="n">
        <f aca="false">g_sub</f>
        <v>0.07</v>
      </c>
      <c r="P11388" s="8" t="s">
        <v>688</v>
      </c>
    </row>
    <row r="11389" customFormat="false" ht="17.15" hidden="false" customHeight="false" outlineLevel="0" collapsed="false">
      <c r="A11389" s="0" t="s">
        <v>531</v>
      </c>
      <c r="B11389" s="0" t="s">
        <v>86</v>
      </c>
      <c r="C11389" s="38" t="n">
        <f aca="false">Q!$D$15</f>
        <v>5.425</v>
      </c>
      <c r="D11389" s="38" t="n">
        <f aca="false">Q!$E$15</f>
        <v>5.935</v>
      </c>
      <c r="E11389" s="38" t="n">
        <f aca="false">Q!$P$15</f>
        <v>3.474</v>
      </c>
      <c r="F11389" s="38" t="n">
        <f aca="false">Sens!$O$11389*(1+Sens!$F$11390)*Sens!$F$11391</f>
        <v>3.22246550883619</v>
      </c>
      <c r="G11389" s="38" t="n">
        <f aca="false">Sens!$E$11389+Sens!$F$11389</f>
        <v>6.69646550883619</v>
      </c>
      <c r="H11389" s="38" t="n">
        <f aca="false">Sens!$G$11389*(1+Sens!$H$11390)</f>
        <v>7.16251344209196</v>
      </c>
      <c r="I11389" s="38" t="n">
        <f aca="false">Sens!$H$11389*(1+Sens!$I$11390)</f>
        <v>7.61421070299826</v>
      </c>
      <c r="J11389" s="38" t="n">
        <f aca="false">Sens!$I$11389*(1+Sens!$J$11390)</f>
        <v>8.04465753523932</v>
      </c>
      <c r="K11389" s="38" t="n">
        <f aca="false">Sens!$J$11389*(1+Sens!$K$11390)</f>
        <v>8.44689041200128</v>
      </c>
      <c r="L11389" s="38" t="n">
        <f aca="false">Sens!$K$11389*(1+Sens!$L$11390)</f>
        <v>8.86923493260135</v>
      </c>
      <c r="M11389" s="38" t="n">
        <f aca="false">Sens!$L$11389*(1+Sens!$M$11390)</f>
        <v>9.31269667923142</v>
      </c>
      <c r="N11389" s="38" t="n">
        <f aca="false">Q!$N$15</f>
        <v>2.811</v>
      </c>
      <c r="O11389" s="38" t="n">
        <f aca="false">Q!$O$15</f>
        <v>3.124</v>
      </c>
      <c r="P11389" s="8" t="s">
        <v>678</v>
      </c>
    </row>
    <row r="11390" customFormat="false" ht="17.15" hidden="false" customHeight="false" outlineLevel="0" collapsed="false">
      <c r="A11390" s="0" t="s">
        <v>689</v>
      </c>
      <c r="B11390" s="0" t="s">
        <v>52</v>
      </c>
      <c r="E11390" s="13" t="n">
        <f aca="false">Sens!$E$11389/Sens!$N$11389-1</f>
        <v>0.235859124866596</v>
      </c>
      <c r="F11390" s="13" t="n">
        <f aca="false">Sens!$O$11389/(Q!$F$15+Q!$G$15)-1</f>
        <v>0.0761281433000345</v>
      </c>
      <c r="G11390" s="13" t="n">
        <f aca="false">Sens!$G$11389/Sens!$D$11389-1</f>
        <v>0.128300843948811</v>
      </c>
      <c r="H11390" s="13" t="n">
        <f aca="false">Sens!$F$11390+(g_ot-Sens!$F$11390)*1/4</f>
        <v>0.0695961074750259</v>
      </c>
      <c r="I11390" s="13" t="n">
        <f aca="false">Sens!$F$11390+(g_ot-Sens!$F$11390)*2/4</f>
        <v>0.0630640716500172</v>
      </c>
      <c r="J11390" s="13" t="n">
        <f aca="false">Sens!$F$11390+(g_ot-Sens!$F$11390)*3/4</f>
        <v>0.0565320358250086</v>
      </c>
      <c r="K11390" s="13" t="n">
        <f aca="false">Sens!$F$11390+(g_ot-Sens!$F$11390)*4/4</f>
        <v>0.05</v>
      </c>
      <c r="L11390" s="13" t="n">
        <f aca="false">g_ot</f>
        <v>0.05</v>
      </c>
      <c r="M11390" s="13" t="n">
        <f aca="false">g_ot</f>
        <v>0.05</v>
      </c>
      <c r="P11390" s="8" t="s">
        <v>690</v>
      </c>
    </row>
    <row r="11391" customFormat="false" ht="17.15" hidden="false" customHeight="false" outlineLevel="0" collapsed="false">
      <c r="A11391" s="0" t="s">
        <v>691</v>
      </c>
      <c r="B11391" s="0" t="s">
        <v>57</v>
      </c>
      <c r="F11391" s="40" t="n">
        <f aca="false">(g26q3_mid*Q!$O$8/Q!$J$8-Thesis!$F$89-Thesis!$F$93)/(Sens!$O$11379*(1+Sens!$F$11380)+Sens!$O$11381*(1+Sens!$F$11382)+Sens!$O$11383*(1+Sens!$F$11384)+Sens!$O$11385*(1+Sens!$F$11386)+Sens!$O$11387*(1+Sens!$F$11388)+Sens!$O$11389*(1+Sens!$F$11390))</f>
        <v>0.958546670622329</v>
      </c>
      <c r="P11391" s="8" t="s">
        <v>692</v>
      </c>
    </row>
    <row r="11392" customFormat="false" ht="17.15" hidden="false" customHeight="false" outlineLevel="0" collapsed="false">
      <c r="A11392" s="3" t="s">
        <v>693</v>
      </c>
      <c r="B11392" s="8" t="s">
        <v>86</v>
      </c>
      <c r="C11392" s="38" t="n">
        <f aca="false">Sens!$C$11379+Sens!$C$11381+Sens!$C$11383+Sens!$C$11385+Sens!$C$11387+Sens!$C$11389</f>
        <v>530.403</v>
      </c>
      <c r="D11392" s="38" t="n">
        <f aca="false">Sens!$D$11379+Sens!$D$11381+Sens!$D$11383+Sens!$D$11385+Sens!$D$11387+Sens!$D$11389</f>
        <v>588.199</v>
      </c>
      <c r="E11392" s="38" t="n">
        <f aca="false">Sens!$E$11379+Sens!$E$11381+Sens!$E$11383+Sens!$E$11385+Sens!$E$11387+Sens!$E$11389</f>
        <v>302.306</v>
      </c>
      <c r="F11392" s="38" t="n">
        <f aca="false">Sens!$F$11379+Sens!$F$11381+Sens!$F$11383+Sens!$F$11385+Sens!$F$11387+Sens!$F$11389</f>
        <v>349.048241645537</v>
      </c>
      <c r="G11392" s="38" t="n">
        <f aca="false">Sens!$G$11379+Sens!$G$11381+Sens!$G$11383+Sens!$G$11385+Sens!$G$11387+Sens!$G$11389</f>
        <v>651.354241645537</v>
      </c>
      <c r="H11392" s="38" t="n">
        <f aca="false">Sens!$H$11379+Sens!$H$11381+Sens!$H$11383+Sens!$H$11385+Sens!$H$11387+Sens!$H$11389</f>
        <v>721.096889521386</v>
      </c>
      <c r="I11392" s="38" t="n">
        <f aca="false">Sens!$I$11379+Sens!$I$11381+Sens!$I$11383+Sens!$I$11385+Sens!$I$11387+Sens!$I$11389</f>
        <v>788.529391152531</v>
      </c>
      <c r="J11392" s="38" t="n">
        <f aca="false">Sens!$J$11379+Sens!$J$11381+Sens!$J$11383+Sens!$J$11385+Sens!$J$11387+Sens!$J$11389</f>
        <v>851.108405741443</v>
      </c>
      <c r="K11392" s="38" t="n">
        <f aca="false">Sens!$K$11379+Sens!$K$11381+Sens!$K$11383+Sens!$K$11385+Sens!$K$11387+Sens!$K$11389</f>
        <v>906.176455431088</v>
      </c>
      <c r="L11392" s="38" t="n">
        <f aca="false">Sens!$L$11379+Sens!$L$11381+Sens!$L$11383+Sens!$L$11385+Sens!$L$11387+Sens!$L$11389</f>
        <v>965.093106475589</v>
      </c>
      <c r="M11392" s="38" t="n">
        <f aca="false">Sens!$M$11379+Sens!$M$11381+Sens!$M$11383+Sens!$M$11385+Sens!$M$11387+Sens!$M$11389</f>
        <v>1028.14790794689</v>
      </c>
      <c r="N11392" s="38" t="n">
        <f aca="false">Sens!$N$11379+Sens!$N$11381+Sens!$N$11383+Sens!$N$11385+Sens!$N$11387+Sens!$N$11389</f>
        <v>263.229</v>
      </c>
      <c r="O11392" s="38" t="n">
        <f aca="false">Sens!$O$11379+Sens!$O$11381+Sens!$O$11383+Sens!$O$11385+Sens!$O$11387+Sens!$O$11389</f>
        <v>324.97</v>
      </c>
    </row>
    <row r="11393" customFormat="false" ht="17.15" hidden="false" customHeight="false" outlineLevel="0" collapsed="false">
      <c r="A11393" s="5" t="s">
        <v>694</v>
      </c>
      <c r="B11393" s="0" t="s">
        <v>52</v>
      </c>
      <c r="C11393" s="13" t="n">
        <f aca="false">Q!$D$5/(Q!$D$5+Q!$D$6)</f>
        <v>0.730570905519011</v>
      </c>
      <c r="D11393" s="13" t="n">
        <f aca="false">Q!$E$5/(Q!$E$5+Q!$E$6)</f>
        <v>0.724763217890544</v>
      </c>
      <c r="E11393" s="13" t="n">
        <f aca="false">Q!$P$5/(Q!$P$5+Q!$P$6)</f>
        <v>0.728797972914861</v>
      </c>
      <c r="F11393" s="13" t="n">
        <f aca="false">Sens!$O$11393</f>
        <v>0.718066283041511</v>
      </c>
      <c r="G11393" s="13" t="n">
        <f aca="false">Sens!$G$11394/Sens!$G$11392</f>
        <v>0.723047066202847</v>
      </c>
      <c r="H11393" s="13" t="n">
        <f aca="false">Sens!$G$11393</f>
        <v>0.723047066202847</v>
      </c>
      <c r="I11393" s="13" t="n">
        <f aca="false">Sens!$G$11393</f>
        <v>0.723047066202847</v>
      </c>
      <c r="J11393" s="13" t="n">
        <f aca="false">Sens!$G$11393</f>
        <v>0.723047066202847</v>
      </c>
      <c r="K11393" s="13" t="n">
        <f aca="false">Sens!$G$11393</f>
        <v>0.723047066202847</v>
      </c>
      <c r="L11393" s="13" t="n">
        <f aca="false">Sens!$G$11393</f>
        <v>0.723047066202847</v>
      </c>
      <c r="M11393" s="13" t="n">
        <f aca="false">Sens!$G$11393</f>
        <v>0.723047066202847</v>
      </c>
      <c r="N11393" s="13" t="n">
        <f aca="false">Q!$N$5/(Q!$N$5+Q!$N$6)</f>
        <v>0.733030935041352</v>
      </c>
      <c r="O11393" s="13" t="n">
        <f aca="false">Q!$O$5/(Q!$O$5+Q!$O$6)</f>
        <v>0.718066283041511</v>
      </c>
      <c r="P11393" s="8" t="s">
        <v>695</v>
      </c>
    </row>
    <row r="11394" customFormat="false" ht="17.15" hidden="false" customHeight="false" outlineLevel="0" collapsed="false">
      <c r="A11394" s="1" t="s">
        <v>519</v>
      </c>
      <c r="B11394" s="8" t="s">
        <v>86</v>
      </c>
      <c r="C11394" s="38" t="n">
        <f aca="false">Q!$D$5</f>
        <v>387.497</v>
      </c>
      <c r="D11394" s="38" t="n">
        <f aca="false">Q!$E$5</f>
        <v>426.305</v>
      </c>
      <c r="E11394" s="38" t="n">
        <f aca="false">Q!$P$5</f>
        <v>220.32</v>
      </c>
      <c r="F11394" s="38" t="n">
        <f aca="false">Sens!$F$11392*Sens!$F$11393</f>
        <v>250.639773480586</v>
      </c>
      <c r="G11394" s="38" t="n">
        <f aca="false">Sens!$E$11394+Sens!$F$11394</f>
        <v>470.959773480586</v>
      </c>
      <c r="H11394" s="38" t="n">
        <f aca="false">Sens!$H$11392*Sens!$H$11393</f>
        <v>521.386990416437</v>
      </c>
      <c r="I11394" s="38" t="n">
        <f aca="false">Sens!$I$11392*Sens!$I$11393</f>
        <v>570.143862887555</v>
      </c>
      <c r="J11394" s="38" t="n">
        <f aca="false">Sens!$J$11392*Sens!$J$11393</f>
        <v>615.391435791933</v>
      </c>
      <c r="K11394" s="38" t="n">
        <f aca="false">Sens!$K$11392*Sens!$K$11393</f>
        <v>655.208227561543</v>
      </c>
      <c r="L11394" s="38" t="n">
        <f aca="false">Sens!$L$11392*Sens!$L$11393</f>
        <v>697.807739249767</v>
      </c>
      <c r="M11394" s="38" t="n">
        <f aca="false">Sens!$M$11392*Sens!$M$11393</f>
        <v>743.399328463592</v>
      </c>
      <c r="N11394" s="38" t="n">
        <f aca="false">Q!$N$5</f>
        <v>192.955</v>
      </c>
      <c r="O11394" s="38" t="n">
        <f aca="false">Q!$O$5</f>
        <v>233.35</v>
      </c>
      <c r="P11394" s="5" t="s">
        <v>696</v>
      </c>
    </row>
    <row r="11395" customFormat="false" ht="17.15" hidden="false" customHeight="false" outlineLevel="0" collapsed="false">
      <c r="A11395" s="1" t="s">
        <v>522</v>
      </c>
      <c r="B11395" s="8" t="s">
        <v>86</v>
      </c>
      <c r="C11395" s="38" t="n">
        <f aca="false">Q!$D$6</f>
        <v>142.906</v>
      </c>
      <c r="D11395" s="38" t="n">
        <f aca="false">Q!$E$6</f>
        <v>161.894</v>
      </c>
      <c r="E11395" s="38" t="n">
        <f aca="false">Q!$P$6</f>
        <v>81.986</v>
      </c>
      <c r="F11395" s="38" t="n">
        <f aca="false">Sens!$F$11392*(1-Sens!$F$11393)</f>
        <v>98.408468164951</v>
      </c>
      <c r="G11395" s="38" t="n">
        <f aca="false">Sens!$E$11395+Sens!$F$11395</f>
        <v>180.394468164951</v>
      </c>
      <c r="H11395" s="38" t="n">
        <f aca="false">Sens!$H$11392*(1-Sens!$H$11393)</f>
        <v>199.709899104949</v>
      </c>
      <c r="I11395" s="38" t="n">
        <f aca="false">Sens!$I$11392*(1-Sens!$I$11393)</f>
        <v>218.385528264976</v>
      </c>
      <c r="J11395" s="38" t="n">
        <f aca="false">Sens!$J$11392*(1-Sens!$J$11393)</f>
        <v>235.71696994951</v>
      </c>
      <c r="K11395" s="38" t="n">
        <f aca="false">Sens!$K$11392*(1-Sens!$K$11393)</f>
        <v>250.968227869545</v>
      </c>
      <c r="L11395" s="38" t="n">
        <f aca="false">Sens!$L$11392*(1-Sens!$L$11393)</f>
        <v>267.285367225822</v>
      </c>
      <c r="M11395" s="38" t="n">
        <f aca="false">Sens!$M$11392*(1-Sens!$M$11393)</f>
        <v>284.748579483295</v>
      </c>
      <c r="N11395" s="38" t="n">
        <f aca="false">Q!$N$6</f>
        <v>70.274</v>
      </c>
      <c r="O11395" s="38" t="n">
        <f aca="false">Q!$O$6</f>
        <v>91.62</v>
      </c>
      <c r="P11395" s="5" t="s">
        <v>697</v>
      </c>
    </row>
    <row r="11396" customFormat="false" ht="17.15" hidden="false" customHeight="false" outlineLevel="0" collapsed="false">
      <c r="A11396" s="5" t="s">
        <v>698</v>
      </c>
      <c r="B11396" s="0" t="s">
        <v>86</v>
      </c>
      <c r="C11396" s="38" t="n">
        <f aca="false">Sens!$C$11385*Sens!$C$11393</f>
        <v>41.0683128828457</v>
      </c>
      <c r="D11396" s="38" t="n">
        <f aca="false">Sens!$D$11385*Sens!$D$11393</f>
        <v>49.7441234599175</v>
      </c>
      <c r="E11396" s="38" t="n">
        <f aca="false">Sens!$E$11385*Sens!$E$11393</f>
        <v>27.0034224924414</v>
      </c>
      <c r="F11396" s="38" t="n">
        <f aca="false">Sens!$F$11385*Sens!$F$11393</f>
        <v>33.1439448330513</v>
      </c>
      <c r="G11396" s="38" t="n">
        <f aca="false">Sens!$G$11385*Sens!$G$11393</f>
        <v>60.164183844083</v>
      </c>
      <c r="H11396" s="38" t="n">
        <f aca="false">Sens!$H$11385*Sens!$H$11393</f>
        <v>72.2301766552629</v>
      </c>
      <c r="I11396" s="38" t="n">
        <f aca="false">Sens!$I$11385*Sens!$I$11393</f>
        <v>84.2950764463991</v>
      </c>
      <c r="J11396" s="38" t="n">
        <f aca="false">Sens!$J$11385*Sens!$J$11393</f>
        <v>95.5499047729386</v>
      </c>
      <c r="K11396" s="38" t="n">
        <f aca="false">Sens!$K$11385*Sens!$K$11393</f>
        <v>105.104895250232</v>
      </c>
      <c r="L11396" s="38" t="n">
        <f aca="false">Sens!$L$11385*Sens!$L$11393</f>
        <v>115.615384775256</v>
      </c>
      <c r="M11396" s="38" t="n">
        <f aca="false">Sens!$M$11385*Sens!$M$11393</f>
        <v>127.176923252781</v>
      </c>
      <c r="N11396" s="38" t="n">
        <f aca="false">Sens!$N$11385*Sens!$N$11393</f>
        <v>21.7087111412496</v>
      </c>
      <c r="O11396" s="38" t="n">
        <f aca="false">Sens!$O$11385*Sens!$O$11393</f>
        <v>28.0189463642798</v>
      </c>
      <c r="P11396" s="5" t="s">
        <v>699</v>
      </c>
    </row>
    <row r="11397" customFormat="false" ht="15" hidden="false" customHeight="false" outlineLevel="0" collapsed="false">
      <c r="A11397" s="5" t="s">
        <v>700</v>
      </c>
      <c r="B11397" s="0" t="s">
        <v>86</v>
      </c>
      <c r="C11397" s="38" t="n">
        <f aca="false">Sens!$C$11385-Sens!$C$11396</f>
        <v>15.1456871171543</v>
      </c>
      <c r="D11397" s="38" t="n">
        <f aca="false">Sens!$D$11385-Sens!$D$11396</f>
        <v>18.8908765400825</v>
      </c>
      <c r="E11397" s="38" t="n">
        <f aca="false">Sens!$E$11385-Sens!$E$11396</f>
        <v>10.0485775075586</v>
      </c>
      <c r="F11397" s="38" t="n">
        <f aca="false">Sens!$F$11385-Sens!$F$11396</f>
        <v>13.0132771613635</v>
      </c>
      <c r="G11397" s="38" t="n">
        <f aca="false">Sens!$G$11385-Sens!$G$11396</f>
        <v>23.0450381503318</v>
      </c>
      <c r="H11397" s="38" t="n">
        <f aca="false">Sens!$H$11385-Sens!$H$11396</f>
        <v>27.6667457326347</v>
      </c>
      <c r="I11397" s="38" t="n">
        <f aca="false">Sens!$I$11385-Sens!$I$11396</f>
        <v>32.2880346490971</v>
      </c>
      <c r="J11397" s="38" t="n">
        <f aca="false">Sens!$J$11385-Sens!$J$11396</f>
        <v>36.5990371690132</v>
      </c>
      <c r="K11397" s="38" t="n">
        <f aca="false">Sens!$K$11385-Sens!$K$11396</f>
        <v>40.2589408859145</v>
      </c>
      <c r="L11397" s="38" t="n">
        <f aca="false">Sens!$L$11385-Sens!$L$11396</f>
        <v>44.2848349745059</v>
      </c>
      <c r="M11397" s="38" t="n">
        <f aca="false">Sens!$M$11385-Sens!$M$11396</f>
        <v>48.7133184719565</v>
      </c>
      <c r="N11397" s="38" t="n">
        <f aca="false">Sens!$N$11385-Sens!$N$11396</f>
        <v>7.90628885875037</v>
      </c>
      <c r="O11397" s="38" t="n">
        <f aca="false">Sens!$O$11385-Sens!$O$11396</f>
        <v>11.0010536357202</v>
      </c>
    </row>
    <row r="11398" customFormat="false" ht="19.4" hidden="false" customHeight="false" outlineLevel="0" collapsed="false">
      <c r="A11398" s="31" t="s">
        <v>1383</v>
      </c>
    </row>
    <row r="11399" customFormat="false" ht="17.15" hidden="false" customHeight="false" outlineLevel="0" collapsed="false">
      <c r="A11399" s="6" t="s">
        <v>16</v>
      </c>
      <c r="B11399" s="6" t="s">
        <v>17</v>
      </c>
      <c r="C11399" s="20" t="s">
        <v>504</v>
      </c>
      <c r="D11399" s="20" t="s">
        <v>505</v>
      </c>
      <c r="E11399" s="20" t="s">
        <v>587</v>
      </c>
      <c r="F11399" s="20" t="s">
        <v>588</v>
      </c>
      <c r="G11399" s="20" t="s">
        <v>589</v>
      </c>
      <c r="H11399" s="20" t="s">
        <v>590</v>
      </c>
      <c r="I11399" s="20" t="s">
        <v>591</v>
      </c>
      <c r="J11399" s="20" t="s">
        <v>592</v>
      </c>
      <c r="K11399" s="20" t="s">
        <v>593</v>
      </c>
      <c r="L11399" s="20" t="s">
        <v>594</v>
      </c>
      <c r="M11399" s="20" t="s">
        <v>595</v>
      </c>
      <c r="N11399" s="20" t="s">
        <v>596</v>
      </c>
      <c r="O11399" s="20" t="s">
        <v>597</v>
      </c>
      <c r="P11399" s="6" t="s">
        <v>23</v>
      </c>
      <c r="R11399" s="20" t="n">
        <v>2023</v>
      </c>
      <c r="S11399" s="20" t="n">
        <v>2024</v>
      </c>
      <c r="T11399" s="20" t="n">
        <v>2025</v>
      </c>
      <c r="U11399" s="20" t="n">
        <v>2026</v>
      </c>
      <c r="V11399" s="20" t="n">
        <v>2027</v>
      </c>
      <c r="W11399" s="20" t="n">
        <v>2028</v>
      </c>
      <c r="X11399" s="20" t="n">
        <v>2029</v>
      </c>
      <c r="Y11399" s="20" t="n">
        <v>2030</v>
      </c>
      <c r="Z11399" s="20" t="n">
        <v>2031</v>
      </c>
      <c r="AA11399" s="20" t="n">
        <v>2032</v>
      </c>
    </row>
    <row r="11400" customFormat="false" ht="17.15" hidden="false" customHeight="false" outlineLevel="0" collapsed="false">
      <c r="A11400" s="1" t="s">
        <v>598</v>
      </c>
    </row>
    <row r="11401" customFormat="false" ht="17.15" hidden="false" customHeight="false" outlineLevel="0" collapsed="false">
      <c r="A11401" s="5" t="s">
        <v>599</v>
      </c>
      <c r="B11401" s="0" t="s">
        <v>144</v>
      </c>
      <c r="H11401" s="32" t="n">
        <f aca="false">pace_C</f>
        <v>3634.3</v>
      </c>
      <c r="I11401" s="32" t="n">
        <f aca="false">pace_C</f>
        <v>3634.3</v>
      </c>
      <c r="J11401" s="32" t="n">
        <f aca="false">pace_C</f>
        <v>3634.3</v>
      </c>
      <c r="K11401" s="32" t="n">
        <f aca="false">pace_C+(Sens!$J$11402*tg-pace_C)*1/3</f>
        <v>2570.86716666667</v>
      </c>
      <c r="L11401" s="32" t="n">
        <f aca="false">pace_C+(Sens!$J$11402*tg-pace_C)*2/3</f>
        <v>1507.43433333333</v>
      </c>
      <c r="M11401" s="32" t="n">
        <f aca="false">pace_C+(Sens!$J$11402*tg-pace_C)*3/3</f>
        <v>444.0015</v>
      </c>
      <c r="P11401" s="5" t="s">
        <v>600</v>
      </c>
    </row>
    <row r="11402" customFormat="false" ht="17.15" hidden="false" customHeight="false" outlineLevel="0" collapsed="false">
      <c r="A11402" s="15" t="s">
        <v>601</v>
      </c>
      <c r="B11402" s="14" t="s">
        <v>129</v>
      </c>
      <c r="C11402" s="33" t="n">
        <f aca="false">mw_ye24</f>
        <v>360</v>
      </c>
      <c r="D11402" s="33" t="n">
        <f aca="false">mw_ye25</f>
        <v>1440</v>
      </c>
      <c r="E11402" s="33" t="n">
        <f aca="false">mw_open</f>
        <v>2080</v>
      </c>
      <c r="F11402" s="33" t="n">
        <f aca="false">Sens!$E$11402+pace_C*0.5</f>
        <v>3897.15</v>
      </c>
      <c r="G11402" s="33" t="n">
        <f aca="false">Sens!$F$11402</f>
        <v>3897.15</v>
      </c>
      <c r="H11402" s="33" t="n">
        <f aca="false">Sens!$G$11402+Sens!$H$11401</f>
        <v>7531.45</v>
      </c>
      <c r="I11402" s="33" t="n">
        <f aca="false">Sens!$H$11402+Sens!$I$11401</f>
        <v>11165.75</v>
      </c>
      <c r="J11402" s="33" t="n">
        <f aca="false">Sens!$I$11402+Sens!$J$11401</f>
        <v>14800.05</v>
      </c>
      <c r="K11402" s="33" t="n">
        <f aca="false">Sens!$J$11402+Sens!$K$11401</f>
        <v>17370.9171666667</v>
      </c>
      <c r="L11402" s="33" t="n">
        <f aca="false">Sens!$K$11402+Sens!$L$11401</f>
        <v>18878.3515</v>
      </c>
      <c r="M11402" s="33" t="n">
        <f aca="false">Sens!$L$11402+Sens!$M$11401</f>
        <v>19322.353</v>
      </c>
      <c r="N11402" s="33" t="n">
        <f aca="false">(mw_ye24+mw_ye25)/2</f>
        <v>900</v>
      </c>
      <c r="O11402" s="33" t="n">
        <f aca="false">mw_ye25</f>
        <v>1440</v>
      </c>
      <c r="P11402" s="5" t="s">
        <v>602</v>
      </c>
    </row>
    <row r="11403" customFormat="false" ht="17.15" hidden="false" customHeight="false" outlineLevel="0" collapsed="false">
      <c r="A11403" s="5" t="s">
        <v>603</v>
      </c>
      <c r="B11403" s="0" t="s">
        <v>129</v>
      </c>
      <c r="C11403" s="32" t="n">
        <f aca="false">(mw_ye23+mw_ye24)/2</f>
        <v>240</v>
      </c>
      <c r="D11403" s="32" t="n">
        <f aca="false">(Sens!$C$11402+Sens!$D$11402)/2</f>
        <v>900</v>
      </c>
      <c r="E11403" s="32" t="n">
        <f aca="false">(Sens!$D$11402+Sens!$E$11402)/2</f>
        <v>1760</v>
      </c>
      <c r="F11403" s="32" t="n">
        <f aca="false">(Sens!$E$11402+Sens!$F$11402)/2</f>
        <v>2988.575</v>
      </c>
      <c r="G11403" s="32" t="n">
        <f aca="false">(Sens!$E$11403+Sens!$F$11403)/2</f>
        <v>2374.2875</v>
      </c>
      <c r="H11403" s="32" t="n">
        <f aca="false">(Sens!$G$11402+Sens!$H$11402)/2</f>
        <v>5714.3</v>
      </c>
      <c r="I11403" s="32" t="n">
        <f aca="false">(Sens!$H$11402+Sens!$I$11402)/2</f>
        <v>9348.6</v>
      </c>
      <c r="J11403" s="32" t="n">
        <f aca="false">(Sens!$I$11402+Sens!$J$11402)/2</f>
        <v>12982.9</v>
      </c>
      <c r="K11403" s="32" t="n">
        <f aca="false">(Sens!$J$11402+Sens!$K$11402)/2</f>
        <v>16085.4835833333</v>
      </c>
      <c r="L11403" s="32" t="n">
        <f aca="false">(Sens!$K$11402+Sens!$L$11402)/2</f>
        <v>18124.6343333333</v>
      </c>
      <c r="M11403" s="32" t="n">
        <f aca="false">(Sens!$L$11402+Sens!$M$11402)/2</f>
        <v>19100.35225</v>
      </c>
      <c r="N11403" s="32" t="n">
        <f aca="false">(Sens!$C$11402+Sens!$N$11402)/2</f>
        <v>630</v>
      </c>
      <c r="O11403" s="32" t="n">
        <f aca="false">(Sens!$N$11402+Sens!$O$11402)/2</f>
        <v>1170</v>
      </c>
    </row>
    <row r="11404" customFormat="false" ht="15" hidden="false" customHeight="false" outlineLevel="0" collapsed="false">
      <c r="A11404" s="5" t="s">
        <v>604</v>
      </c>
      <c r="B11404" s="5" t="s">
        <v>123</v>
      </c>
      <c r="C11404" s="34" t="n">
        <v>1</v>
      </c>
      <c r="D11404" s="34" t="n">
        <v>1</v>
      </c>
      <c r="E11404" s="34" t="n">
        <v>0.5</v>
      </c>
      <c r="F11404" s="34" t="n">
        <v>0.5</v>
      </c>
      <c r="G11404" s="34" t="n">
        <v>1</v>
      </c>
      <c r="H11404" s="34" t="n">
        <v>1</v>
      </c>
      <c r="I11404" s="34" t="n">
        <v>1</v>
      </c>
      <c r="J11404" s="34" t="n">
        <v>1</v>
      </c>
      <c r="K11404" s="34" t="n">
        <v>1</v>
      </c>
      <c r="L11404" s="34" t="n">
        <v>1</v>
      </c>
      <c r="M11404" s="34" t="n">
        <v>1</v>
      </c>
      <c r="N11404" s="34" t="n">
        <v>0.5</v>
      </c>
      <c r="O11404" s="34" t="n">
        <v>0.5</v>
      </c>
    </row>
    <row r="11405" customFormat="false" ht="17.15" hidden="false" customHeight="false" outlineLevel="0" collapsed="false">
      <c r="A11405" s="5" t="s">
        <v>605</v>
      </c>
      <c r="B11405" s="0" t="s">
        <v>129</v>
      </c>
      <c r="C11405" s="32" t="n">
        <f aca="false">Sens!$C$11402-mw_ye23</f>
        <v>240</v>
      </c>
      <c r="D11405" s="32" t="n">
        <f aca="false">Sens!$D$11402-Sens!$C$11402</f>
        <v>1080</v>
      </c>
      <c r="E11405" s="32" t="n">
        <f aca="false">Sens!$E$11402-Sens!$D$11402</f>
        <v>640</v>
      </c>
      <c r="F11405" s="32" t="n">
        <f aca="false">Sens!$F$11402-Sens!$E$11402</f>
        <v>1817.15</v>
      </c>
      <c r="G11405" s="32" t="n">
        <f aca="false">Sens!$E$11405+Sens!$F$11405</f>
        <v>2457.15</v>
      </c>
      <c r="H11405" s="32" t="n">
        <f aca="false">Sens!$H$11402-Sens!$G$11402</f>
        <v>3634.3</v>
      </c>
      <c r="I11405" s="32" t="n">
        <f aca="false">Sens!$I$11402-Sens!$H$11402</f>
        <v>3634.3</v>
      </c>
      <c r="J11405" s="32" t="n">
        <f aca="false">Sens!$J$11402-Sens!$I$11402</f>
        <v>3634.3</v>
      </c>
      <c r="K11405" s="32" t="n">
        <f aca="false">Sens!$K$11402-Sens!$J$11402</f>
        <v>2570.86716666667</v>
      </c>
      <c r="L11405" s="32" t="n">
        <f aca="false">Sens!$L$11402-Sens!$K$11402</f>
        <v>1507.43433333333</v>
      </c>
      <c r="M11405" s="32" t="n">
        <f aca="false">Sens!$M$11402-Sens!$L$11402</f>
        <v>444.001499999999</v>
      </c>
      <c r="N11405" s="32" t="n">
        <f aca="false">Sens!$N$11402-Sens!$C$11402</f>
        <v>540</v>
      </c>
      <c r="O11405" s="32" t="n">
        <f aca="false">Sens!$O$11402-Sens!$N$11402</f>
        <v>540</v>
      </c>
    </row>
    <row r="11406" customFormat="false" ht="17.15" hidden="false" customHeight="false" outlineLevel="0" collapsed="false">
      <c r="A11406" s="5" t="s">
        <v>606</v>
      </c>
      <c r="B11406" s="0" t="s">
        <v>129</v>
      </c>
      <c r="C11406" s="32" t="n">
        <f aca="false">Sens!$C$11405/ext_sh</f>
        <v>300</v>
      </c>
      <c r="D11406" s="32" t="n">
        <f aca="false">Sens!$D$11405/ext_sh</f>
        <v>1350</v>
      </c>
      <c r="E11406" s="32" t="n">
        <f aca="false">Sens!$E$11405/ext_sh</f>
        <v>800</v>
      </c>
      <c r="F11406" s="32" t="n">
        <f aca="false">Sens!$F$11405/ext_sh</f>
        <v>2271.4375</v>
      </c>
      <c r="G11406" s="32" t="n">
        <f aca="false">Sens!$G$11405/ext_sh</f>
        <v>3071.4375</v>
      </c>
      <c r="H11406" s="32" t="n">
        <f aca="false">Sens!$H$11405/ext_sh</f>
        <v>4542.875</v>
      </c>
      <c r="I11406" s="32" t="n">
        <f aca="false">Sens!$I$11405/ext_sh</f>
        <v>4542.875</v>
      </c>
      <c r="J11406" s="32" t="n">
        <f aca="false">Sens!$J$11405/ext_sh</f>
        <v>4542.875</v>
      </c>
      <c r="K11406" s="32" t="n">
        <f aca="false">Sens!$K$11405/ext_sh</f>
        <v>3213.58395833333</v>
      </c>
      <c r="L11406" s="32" t="n">
        <f aca="false">Sens!$L$11405/ext_sh</f>
        <v>1884.29291666667</v>
      </c>
      <c r="M11406" s="32" t="n">
        <f aca="false">Sens!$M$11405/ext_sh</f>
        <v>555.001874999998</v>
      </c>
      <c r="N11406" s="32" t="n">
        <f aca="false">Sens!$N$11405/ext_sh</f>
        <v>675</v>
      </c>
      <c r="O11406" s="32" t="n">
        <f aca="false">Sens!$O$11405/ext_sh</f>
        <v>675</v>
      </c>
      <c r="P11406" s="8" t="s">
        <v>607</v>
      </c>
      <c r="R11406" s="32" t="n">
        <f aca="false">mw_ye23/ext_sh</f>
        <v>150</v>
      </c>
      <c r="S11406" s="32" t="n">
        <f aca="false">Sens!$C$11406</f>
        <v>300</v>
      </c>
      <c r="T11406" s="32" t="n">
        <f aca="false">Sens!$D$11406</f>
        <v>1350</v>
      </c>
      <c r="U11406" s="32" t="n">
        <f aca="false">Sens!$G$11406</f>
        <v>3071.4375</v>
      </c>
      <c r="V11406" s="32" t="n">
        <f aca="false">Sens!$H$11406</f>
        <v>4542.875</v>
      </c>
      <c r="W11406" s="32" t="n">
        <f aca="false">Sens!$I$11406</f>
        <v>4542.875</v>
      </c>
      <c r="X11406" s="32" t="n">
        <f aca="false">Sens!$J$11406</f>
        <v>4542.875</v>
      </c>
      <c r="Y11406" s="32" t="n">
        <f aca="false">Sens!$K$11406</f>
        <v>3213.58395833333</v>
      </c>
      <c r="Z11406" s="32" t="n">
        <f aca="false">Sens!$L$11406</f>
        <v>1884.29291666667</v>
      </c>
      <c r="AA11406" s="32" t="n">
        <f aca="false">Sens!$M$11406</f>
        <v>555.001874999998</v>
      </c>
    </row>
    <row r="11407" customFormat="false" ht="17.15" hidden="false" customHeight="false" outlineLevel="0" collapsed="false">
      <c r="A11407" s="1" t="s">
        <v>608</v>
      </c>
    </row>
    <row r="11408" customFormat="false" ht="17.15" hidden="false" customHeight="false" outlineLevel="0" collapsed="false">
      <c r="A11408" s="0" t="s">
        <v>609</v>
      </c>
      <c r="B11408" s="0" t="s">
        <v>52</v>
      </c>
      <c r="F11408" s="35" t="n">
        <f aca="false">na_vr26</f>
        <v>0</v>
      </c>
      <c r="G11408" s="35" t="n">
        <f aca="false">na_vr26</f>
        <v>0</v>
      </c>
      <c r="H11408" s="35" t="n">
        <f aca="false">na_vr27</f>
        <v>0.5</v>
      </c>
      <c r="I11408" s="35" t="n">
        <f aca="false">na_vr28</f>
        <v>1</v>
      </c>
      <c r="J11408" s="35" t="n">
        <f aca="false">na_vr28</f>
        <v>1</v>
      </c>
      <c r="K11408" s="35" t="n">
        <f aca="false">na_vr28</f>
        <v>1</v>
      </c>
      <c r="L11408" s="35" t="n">
        <f aca="false">na_vr28</f>
        <v>1</v>
      </c>
      <c r="M11408" s="35" t="n">
        <f aca="false">na_vr28</f>
        <v>1</v>
      </c>
    </row>
    <row r="11409" customFormat="false" ht="17.15" hidden="false" customHeight="false" outlineLevel="0" collapsed="false">
      <c r="A11409" s="5" t="s">
        <v>610</v>
      </c>
      <c r="B11409" s="0" t="s">
        <v>173</v>
      </c>
      <c r="F11409" s="36" t="n">
        <f aca="false">cust_sh*tk_he_gb300*cf_chip+(1-cust_sh)*((1-Sens!$F$11408)*tk_he_gb300+Sens!$F$11408*tk_he_vr200)</f>
        <v>10.8864110021101</v>
      </c>
      <c r="G11409" s="36" t="n">
        <f aca="false">cust_sh*tk_he_gb300*cf_chip+(1-cust_sh)*((1-Sens!$G$11408)*tk_he_gb300+Sens!$G$11408*tk_he_vr200)</f>
        <v>10.8864110021101</v>
      </c>
      <c r="H11409" s="36" t="n">
        <f aca="false">cust_sh*tk_he_gb300*cf_chip+(1-cust_sh)*((1-Sens!$H$11408)*tk_he_gb300+Sens!$H$11408*tk_he_vr200)</f>
        <v>11.2211760027286</v>
      </c>
      <c r="I11409" s="36" t="n">
        <f aca="false">cust_sh*tk_he_gb300*cf_chip+(1-cust_sh)*((1-Sens!$I$11408)*tk_he_gb300+Sens!$I$11408*tk_he_vr200)</f>
        <v>11.5559410033471</v>
      </c>
      <c r="J11409" s="36" t="n">
        <f aca="false">cust_sh*tk_he_gb300*cf_chip+(1-cust_sh)*((1-Sens!$J$11408)*tk_he_gb300+Sens!$J$11408*tk_he_vr200)</f>
        <v>11.5559410033471</v>
      </c>
      <c r="K11409" s="36" t="n">
        <f aca="false">cust_sh*tk_he_gb300*cf_chip+(1-cust_sh)*((1-Sens!$K$11408)*tk_he_gb300+Sens!$K$11408*tk_he_vr200)</f>
        <v>11.5559410033471</v>
      </c>
      <c r="L11409" s="36" t="n">
        <f aca="false">cust_sh*tk_he_gb300*cf_chip+(1-cust_sh)*((1-Sens!$L$11408)*tk_he_gb300+Sens!$L$11408*tk_he_vr200)</f>
        <v>11.5559410033471</v>
      </c>
      <c r="M11409" s="36" t="n">
        <f aca="false">cust_sh*tk_he_gb300*cf_chip+(1-cust_sh)*((1-Sens!$M$11408)*tk_he_gb300+Sens!$M$11408*tk_he_vr200)</f>
        <v>11.5559410033471</v>
      </c>
    </row>
    <row r="11410" customFormat="false" ht="17.15" hidden="false" customHeight="false" outlineLevel="0" collapsed="false">
      <c r="A11410" s="5" t="s">
        <v>611</v>
      </c>
      <c r="B11410" s="0" t="s">
        <v>173</v>
      </c>
      <c r="F11410" s="36" t="n">
        <f aca="false">cust_sh*tk_ox_gb300+(1-cust_sh)*((1-Sens!$F$11408)*tk_ox_gb300+Sens!$F$11408*tk_ox_vr200)</f>
        <v>1.98263481314457</v>
      </c>
      <c r="G11410" s="36" t="n">
        <f aca="false">cust_sh*tk_ox_gb300+(1-cust_sh)*((1-Sens!$G$11408)*tk_ox_gb300+Sens!$G$11408*tk_ox_vr200)</f>
        <v>1.98263481314457</v>
      </c>
      <c r="H11410" s="36" t="n">
        <f aca="false">cust_sh*tk_ox_gb300+(1-cust_sh)*((1-Sens!$H$11408)*tk_ox_gb300+Sens!$H$11408*tk_ox_vr200)</f>
        <v>2.01034999693694</v>
      </c>
      <c r="I11410" s="36" t="n">
        <f aca="false">cust_sh*tk_ox_gb300+(1-cust_sh)*((1-Sens!$I$11408)*tk_ox_gb300+Sens!$I$11408*tk_ox_vr200)</f>
        <v>2.0380651807293</v>
      </c>
      <c r="J11410" s="36" t="n">
        <f aca="false">cust_sh*tk_ox_gb300+(1-cust_sh)*((1-Sens!$J$11408)*tk_ox_gb300+Sens!$J$11408*tk_ox_vr200)</f>
        <v>2.0380651807293</v>
      </c>
      <c r="K11410" s="36" t="n">
        <f aca="false">cust_sh*tk_ox_gb300+(1-cust_sh)*((1-Sens!$K$11408)*tk_ox_gb300+Sens!$K$11408*tk_ox_vr200)</f>
        <v>2.0380651807293</v>
      </c>
      <c r="L11410" s="36" t="n">
        <f aca="false">cust_sh*tk_ox_gb300+(1-cust_sh)*((1-Sens!$L$11408)*tk_ox_gb300+Sens!$L$11408*tk_ox_vr200)</f>
        <v>2.0380651807293</v>
      </c>
      <c r="M11410" s="36" t="n">
        <f aca="false">cust_sh*tk_ox_gb300+(1-cust_sh)*((1-Sens!$M$11408)*tk_ox_gb300+Sens!$M$11408*tk_ox_vr200)</f>
        <v>2.0380651807293</v>
      </c>
    </row>
    <row r="11411" customFormat="false" ht="17.15" hidden="false" customHeight="false" outlineLevel="0" collapsed="false">
      <c r="A11411" s="5" t="s">
        <v>612</v>
      </c>
      <c r="B11411" s="0" t="s">
        <v>192</v>
      </c>
      <c r="F11411" s="36" t="n">
        <f aca="false">cust_sh*tk_cx_gb300*cf_cx+(1-cust_sh)*((1-Sens!$F$11408)*tk_cx_gb300+Sens!$F$11408*tk_cx_vr200)</f>
        <v>32.237224</v>
      </c>
      <c r="G11411" s="36" t="n">
        <f aca="false">cust_sh*tk_cx_gb300*cf_cx+(1-cust_sh)*((1-Sens!$G$11408)*tk_cx_gb300+Sens!$G$11408*tk_cx_vr200)</f>
        <v>32.237224</v>
      </c>
      <c r="H11411" s="36" t="n">
        <f aca="false">cust_sh*tk_cx_gb300*cf_cx+(1-cust_sh)*((1-Sens!$H$11408)*tk_cx_gb300+Sens!$H$11408*tk_cx_vr200)</f>
        <v>33.574506</v>
      </c>
      <c r="I11411" s="36" t="n">
        <f aca="false">cust_sh*tk_cx_gb300*cf_cx+(1-cust_sh)*((1-Sens!$I$11408)*tk_cx_gb300+Sens!$I$11408*tk_cx_vr200)</f>
        <v>34.911788</v>
      </c>
      <c r="J11411" s="36" t="n">
        <f aca="false">cust_sh*tk_cx_gb300*cf_cx+(1-cust_sh)*((1-Sens!$J$11408)*tk_cx_gb300+Sens!$J$11408*tk_cx_vr200)</f>
        <v>34.911788</v>
      </c>
      <c r="K11411" s="36" t="n">
        <f aca="false">cust_sh*tk_cx_gb300*cf_cx+(1-cust_sh)*((1-Sens!$K$11408)*tk_cx_gb300+Sens!$K$11408*tk_cx_vr200)</f>
        <v>34.911788</v>
      </c>
      <c r="L11411" s="36" t="n">
        <f aca="false">cust_sh*tk_cx_gb300*cf_cx+(1-cust_sh)*((1-Sens!$L$11408)*tk_cx_gb300+Sens!$L$11408*tk_cx_vr200)</f>
        <v>34.911788</v>
      </c>
      <c r="M11411" s="36" t="n">
        <f aca="false">cust_sh*tk_cx_gb300*cf_cx+(1-cust_sh)*((1-Sens!$M$11408)*tk_cx_gb300+Sens!$M$11408*tk_cx_vr200)</f>
        <v>34.911788</v>
      </c>
    </row>
    <row r="11412" customFormat="false" ht="17.15" hidden="false" customHeight="false" outlineLevel="0" collapsed="false">
      <c r="A11412" s="5" t="s">
        <v>613</v>
      </c>
      <c r="B11412" s="0" t="s">
        <v>129</v>
      </c>
      <c r="F11412" s="32" t="n">
        <f aca="false">Sens!$F$11402-mw_open</f>
        <v>1817.15</v>
      </c>
      <c r="G11412" s="32" t="n">
        <f aca="false">Sens!$F$11412</f>
        <v>1817.15</v>
      </c>
      <c r="H11412" s="32" t="n">
        <f aca="false">Sens!$H$11402-mw_open</f>
        <v>5451.45</v>
      </c>
      <c r="I11412" s="32" t="n">
        <f aca="false">Sens!$I$11402-mw_open</f>
        <v>9085.75</v>
      </c>
      <c r="J11412" s="32" t="n">
        <f aca="false">Sens!$J$11402-mw_open</f>
        <v>12720.05</v>
      </c>
      <c r="K11412" s="32" t="n">
        <f aca="false">Sens!$K$11402-mw_open</f>
        <v>15290.9171666667</v>
      </c>
      <c r="L11412" s="32" t="n">
        <f aca="false">Sens!$L$11402-mw_open</f>
        <v>16798.3515</v>
      </c>
      <c r="M11412" s="32" t="n">
        <f aca="false">Sens!$M$11402-mw_open</f>
        <v>17242.353</v>
      </c>
    </row>
    <row r="11413" customFormat="false" ht="17.15" hidden="false" customHeight="false" outlineLevel="0" collapsed="false">
      <c r="A11413" s="0" t="s">
        <v>614</v>
      </c>
      <c r="B11413" s="0" t="s">
        <v>615</v>
      </c>
      <c r="F11413" s="32" t="n">
        <f aca="false">Sens!$F$11405*Sens!$F$11409</f>
        <v>19782.2417524844</v>
      </c>
      <c r="G11413" s="32" t="n">
        <f aca="false">Sens!$F$11413</f>
        <v>19782.2417524844</v>
      </c>
      <c r="H11413" s="32" t="n">
        <f aca="false">Sens!$G$11413+Sens!$H$11405*Sens!$H$11409</f>
        <v>60563.3616992009</v>
      </c>
      <c r="I11413" s="32" t="n">
        <f aca="false">Sens!$H$11413+Sens!$I$11405*Sens!$I$11409</f>
        <v>102561.118087665</v>
      </c>
      <c r="J11413" s="32" t="n">
        <f aca="false">Sens!$I$11413+Sens!$J$11405*Sens!$J$11409</f>
        <v>144558.87447613</v>
      </c>
      <c r="K11413" s="32" t="n">
        <f aca="false">Sens!$J$11413+Sens!$K$11405*Sens!$K$11409</f>
        <v>174267.663781572</v>
      </c>
      <c r="L11413" s="32" t="n">
        <f aca="false">Sens!$K$11413+Sens!$L$11405*Sens!$L$11409</f>
        <v>191687.486003992</v>
      </c>
      <c r="M11413" s="32" t="n">
        <f aca="false">Sens!$L$11413+Sens!$M$11405*Sens!$M$11409</f>
        <v>196818.341143389</v>
      </c>
    </row>
    <row r="11414" customFormat="false" ht="17.15" hidden="false" customHeight="false" outlineLevel="0" collapsed="false">
      <c r="A11414" s="0" t="s">
        <v>616</v>
      </c>
      <c r="B11414" s="0" t="s">
        <v>615</v>
      </c>
      <c r="F11414" s="32" t="n">
        <f aca="false">Sens!$F$11405*Sens!$F$11410</f>
        <v>3602.74485070566</v>
      </c>
      <c r="G11414" s="32" t="n">
        <f aca="false">Sens!$F$11414</f>
        <v>3602.74485070566</v>
      </c>
      <c r="H11414" s="32" t="n">
        <f aca="false">Sens!$G$11414+Sens!$H$11405*Sens!$H$11410</f>
        <v>10908.9598445736</v>
      </c>
      <c r="I11414" s="32" t="n">
        <f aca="false">Sens!$H$11414+Sens!$I$11405*Sens!$I$11410</f>
        <v>18315.9001308981</v>
      </c>
      <c r="J11414" s="32" t="n">
        <f aca="false">Sens!$I$11414+Sens!$J$11405*Sens!$J$11410</f>
        <v>25722.8404172225</v>
      </c>
      <c r="K11414" s="32" t="n">
        <f aca="false">Sens!$J$11414+Sens!$K$11405*Sens!$K$11410</f>
        <v>30962.4352738861</v>
      </c>
      <c r="L11414" s="32" t="n">
        <f aca="false">Sens!$K$11414+Sens!$L$11405*Sens!$L$11410</f>
        <v>34034.6847008886</v>
      </c>
      <c r="M11414" s="32" t="n">
        <f aca="false">Sens!$L$11414+Sens!$M$11405*Sens!$M$11410</f>
        <v>34939.5886982302</v>
      </c>
    </row>
    <row r="11415" customFormat="false" ht="17.15" hidden="false" customHeight="false" outlineLevel="0" collapsed="false">
      <c r="A11415" s="5" t="s">
        <v>617</v>
      </c>
      <c r="B11415" s="0" t="s">
        <v>173</v>
      </c>
      <c r="F11415" s="36" t="n">
        <f aca="false">IF(Sens!$F$11412&gt;0,Sens!$F$11413/Sens!$F$11412,Sens!$F$11409)</f>
        <v>10.8864110021101</v>
      </c>
      <c r="G11415" s="36" t="n">
        <f aca="false">IF(Sens!$G$11412&gt;0,Sens!$G$11413/Sens!$G$11412,Sens!$G$11409)</f>
        <v>10.8864110021101</v>
      </c>
      <c r="H11415" s="36" t="n">
        <f aca="false">IF(Sens!$H$11412&gt;0,Sens!$H$11413/Sens!$H$11412,Sens!$H$11409)</f>
        <v>11.1095876691891</v>
      </c>
      <c r="I11415" s="36" t="n">
        <f aca="false">IF(Sens!$I$11412&gt;0,Sens!$I$11413/Sens!$I$11412,Sens!$I$11409)</f>
        <v>11.2881290028523</v>
      </c>
      <c r="J11415" s="36" t="n">
        <f aca="false">IF(Sens!$J$11412&gt;0,Sens!$J$11413/Sens!$J$11412,Sens!$J$11409)</f>
        <v>11.3646467172794</v>
      </c>
      <c r="K11415" s="36" t="n">
        <f aca="false">IF(Sens!$K$11412&gt;0,Sens!$K$11413/Sens!$K$11412,Sens!$K$11409)</f>
        <v>11.3968090914432</v>
      </c>
      <c r="L11415" s="36" t="n">
        <f aca="false">IF(Sens!$L$11412&gt;0,Sens!$L$11413/Sens!$L$11412,Sens!$L$11409)</f>
        <v>11.4110891181192</v>
      </c>
      <c r="M11415" s="36" t="n">
        <f aca="false">IF(Sens!$M$11412&gt;0,Sens!$M$11413/Sens!$M$11412,Sens!$M$11409)</f>
        <v>11.4148191458201</v>
      </c>
    </row>
    <row r="11416" customFormat="false" ht="17.15" hidden="false" customHeight="false" outlineLevel="0" collapsed="false">
      <c r="A11416" s="5" t="s">
        <v>618</v>
      </c>
      <c r="B11416" s="0" t="s">
        <v>173</v>
      </c>
      <c r="F11416" s="36" t="n">
        <f aca="false">IF(Sens!$F$11412&gt;0,Sens!$F$11414/Sens!$F$11412,Sens!$F$11410)</f>
        <v>1.98263481314457</v>
      </c>
      <c r="G11416" s="36" t="n">
        <f aca="false">IF(Sens!$G$11412&gt;0,Sens!$G$11414/Sens!$G$11412,Sens!$G$11410)</f>
        <v>1.98263481314457</v>
      </c>
      <c r="H11416" s="36" t="n">
        <f aca="false">IF(Sens!$H$11412&gt;0,Sens!$H$11414/Sens!$H$11412,Sens!$H$11410)</f>
        <v>2.00111160233948</v>
      </c>
      <c r="I11416" s="36" t="n">
        <f aca="false">IF(Sens!$I$11412&gt;0,Sens!$I$11414/Sens!$I$11412,Sens!$I$11410)</f>
        <v>2.01589303369541</v>
      </c>
      <c r="J11416" s="36" t="n">
        <f aca="false">IF(Sens!$J$11412&gt;0,Sens!$J$11414/Sens!$J$11412,Sens!$J$11410)</f>
        <v>2.02222793284795</v>
      </c>
      <c r="K11416" s="36" t="n">
        <f aca="false">IF(Sens!$K$11412&gt;0,Sens!$K$11414/Sens!$K$11412,Sens!$K$11410)</f>
        <v>2.02489065478573</v>
      </c>
      <c r="L11416" s="36" t="n">
        <f aca="false">IF(Sens!$L$11412&gt;0,Sens!$L$11414/Sens!$L$11412,Sens!$L$11410)</f>
        <v>2.0260728977417</v>
      </c>
      <c r="M11416" s="36" t="n">
        <f aca="false">IF(Sens!$M$11412&gt;0,Sens!$M$11414/Sens!$M$11412,Sens!$M$11410)</f>
        <v>2.02638170661685</v>
      </c>
    </row>
    <row r="11417" customFormat="false" ht="17.15" hidden="false" customHeight="false" outlineLevel="0" collapsed="false">
      <c r="A11417" s="15" t="s">
        <v>619</v>
      </c>
      <c r="B11417" s="14" t="s">
        <v>173</v>
      </c>
      <c r="C11417" s="14"/>
      <c r="D11417" s="14"/>
      <c r="E11417" s="14"/>
      <c r="F11417" s="37" t="n">
        <f aca="false">Sens!$F$11415*k_C</f>
        <v>8.98049677377134</v>
      </c>
      <c r="G11417" s="37" t="n">
        <f aca="false">Sens!$G$11415*k_C</f>
        <v>8.98049677377134</v>
      </c>
      <c r="H11417" s="37" t="n">
        <f aca="false">Sens!$H$11415*k_C</f>
        <v>9.16460128151917</v>
      </c>
      <c r="I11417" s="37" t="n">
        <f aca="false">Sens!$I$11415*k_C</f>
        <v>9.31188488771743</v>
      </c>
      <c r="J11417" s="37" t="n">
        <f aca="false">Sens!$J$11415*k_C</f>
        <v>9.37500643323097</v>
      </c>
      <c r="K11417" s="37" t="n">
        <f aca="false">Sens!$K$11415*k_C</f>
        <v>9.40153805116815</v>
      </c>
      <c r="L11417" s="37" t="n">
        <f aca="false">Sens!$L$11415*k_C</f>
        <v>9.41331803388866</v>
      </c>
      <c r="M11417" s="37" t="n">
        <f aca="false">Sens!$M$11415*k_C</f>
        <v>9.41639503527393</v>
      </c>
      <c r="N11417" s="14"/>
      <c r="O11417" s="14"/>
      <c r="P11417" s="5" t="s">
        <v>620</v>
      </c>
    </row>
    <row r="11418" customFormat="false" ht="17.15" hidden="false" customHeight="false" outlineLevel="0" collapsed="false">
      <c r="A11418" s="5" t="s">
        <v>621</v>
      </c>
      <c r="B11418" s="0" t="s">
        <v>129</v>
      </c>
      <c r="F11418" s="32" t="n">
        <f aca="false">Sens!$F$11412/2</f>
        <v>908.575</v>
      </c>
      <c r="H11418" s="32" t="n">
        <f aca="false">(Sens!$G$11412+Sens!$H$11412)/2</f>
        <v>3634.3</v>
      </c>
      <c r="I11418" s="32" t="n">
        <f aca="false">(Sens!$H$11412+Sens!$I$11412)/2</f>
        <v>7268.6</v>
      </c>
      <c r="J11418" s="32" t="n">
        <f aca="false">(Sens!$I$11412+Sens!$J$11412)/2</f>
        <v>10902.9</v>
      </c>
      <c r="K11418" s="32" t="n">
        <f aca="false">(Sens!$J$11412+Sens!$K$11412)/2</f>
        <v>14005.4835833333</v>
      </c>
      <c r="L11418" s="32" t="n">
        <f aca="false">(Sens!$K$11412+Sens!$L$11412)/2</f>
        <v>16044.6343333333</v>
      </c>
      <c r="M11418" s="32" t="n">
        <f aca="false">(Sens!$L$11412+Sens!$M$11412)/2</f>
        <v>17020.35225</v>
      </c>
    </row>
    <row r="11419" customFormat="false" ht="17.15" hidden="false" customHeight="false" outlineLevel="0" collapsed="false">
      <c r="A11419" s="1" t="s">
        <v>622</v>
      </c>
    </row>
    <row r="11420" customFormat="false" ht="17.15" hidden="false" customHeight="false" outlineLevel="0" collapsed="false">
      <c r="A11420" s="1" t="s">
        <v>623</v>
      </c>
      <c r="B11420" s="8" t="s">
        <v>86</v>
      </c>
      <c r="C11420" s="38" t="n">
        <f aca="false">Sens!$C$11403*rpm_open*Sens!$C$11404/1000</f>
        <v>2.32100535697364</v>
      </c>
      <c r="D11420" s="38" t="n">
        <f aca="false">Sens!$D$11403*rpm_open*Sens!$D$11404/1000</f>
        <v>8.70377008865116</v>
      </c>
      <c r="E11420" s="38" t="n">
        <f aca="false">Sens!$E$11403*rpm_open*Sens!$E$11404/1000</f>
        <v>8.51035297557002</v>
      </c>
      <c r="F11420" s="38" t="n">
        <f aca="false">(mw_open*rpm_open+Sens!$F$11418*Sens!$F$11417)*Sens!$F$11404/1000</f>
        <v>14.1374173083338</v>
      </c>
      <c r="G11420" s="38" t="n">
        <f aca="false">Sens!$E$11420+Sens!$F$11420</f>
        <v>22.6477702839038</v>
      </c>
      <c r="H11420" s="38" t="n">
        <f aca="false">(mw_open*rpm_open+Sens!$H$11418*Sens!$H$11417)/1000</f>
        <v>53.4222901978634</v>
      </c>
      <c r="I11420" s="38" t="n">
        <f aca="false">(mw_open*rpm_open+Sens!$I$11418*Sens!$I$11417)/1000</f>
        <v>87.7997462553011</v>
      </c>
      <c r="J11420" s="38" t="n">
        <f aca="false">(mw_open*rpm_open+Sens!$J$11418*Sens!$J$11417)/1000</f>
        <v>122.330137401312</v>
      </c>
      <c r="K11420" s="38" t="n">
        <f aca="false">(mw_open*rpm_open+Sens!$K$11418*Sens!$K$11417)/1000</f>
        <v>151.788466594157</v>
      </c>
      <c r="L11420" s="38" t="n">
        <f aca="false">(mw_open*rpm_open+Sens!$L$11418*Sens!$L$11417)/1000</f>
        <v>171.148625477554</v>
      </c>
      <c r="M11420" s="38" t="n">
        <f aca="false">(mw_open*rpm_open+Sens!$M$11418*Sens!$M$11417)/1000</f>
        <v>180.385740185952</v>
      </c>
      <c r="N11420" s="38" t="n">
        <f aca="false">Sens!$N$11403*rpm_open*Sens!$N$11404/1000</f>
        <v>3.04631953102791</v>
      </c>
      <c r="O11420" s="38" t="n">
        <f aca="false">Sens!$O$11403*rpm_open*Sens!$O$11404/1000</f>
        <v>5.65745055762326</v>
      </c>
      <c r="P11420" s="5" t="s">
        <v>624</v>
      </c>
    </row>
    <row r="11421" customFormat="false" ht="17.15" hidden="false" customHeight="false" outlineLevel="0" collapsed="false">
      <c r="A11421" s="5" t="s">
        <v>625</v>
      </c>
      <c r="B11421" s="0" t="s">
        <v>173</v>
      </c>
      <c r="C11421" s="36" t="n">
        <f aca="false">Sens!$C$11420*1000/(Sens!$C$11403*Sens!$C$11404)</f>
        <v>9.67085565405685</v>
      </c>
      <c r="D11421" s="36" t="n">
        <f aca="false">Sens!$D$11420*1000/(Sens!$D$11403*Sens!$D$11404)</f>
        <v>9.67085565405685</v>
      </c>
      <c r="E11421" s="36" t="n">
        <f aca="false">Sens!$E$11420*1000/(Sens!$E$11403*Sens!$E$11404)</f>
        <v>9.67085565405685</v>
      </c>
      <c r="F11421" s="36" t="n">
        <f aca="false">Sens!$F$11420*1000/(Sens!$F$11403*Sens!$F$11404)</f>
        <v>9.46097542028142</v>
      </c>
      <c r="G11421" s="36" t="n">
        <f aca="false">Sens!$G$11420*1000/(Sens!$G$11403*Sens!$G$11404)</f>
        <v>9.53876490690525</v>
      </c>
      <c r="H11421" s="36" t="n">
        <f aca="false">Sens!$H$11420*1000/(Sens!$H$11403*Sens!$H$11404)</f>
        <v>9.34887741243255</v>
      </c>
      <c r="I11421" s="36" t="n">
        <f aca="false">Sens!$I$11420*1000/(Sens!$I$11403*Sens!$I$11404)</f>
        <v>9.39175344493305</v>
      </c>
      <c r="J11421" s="36" t="n">
        <f aca="false">Sens!$J$11420*1000/(Sens!$J$11403*Sens!$J$11404)</f>
        <v>9.42240465545542</v>
      </c>
      <c r="K11421" s="36" t="n">
        <f aca="false">Sens!$K$11420*1000/(Sens!$K$11403*Sens!$K$11404)</f>
        <v>9.43636327797009</v>
      </c>
      <c r="L11421" s="36" t="n">
        <f aca="false">Sens!$L$11420*1000/(Sens!$L$11403*Sens!$L$11404)</f>
        <v>9.4428732922237</v>
      </c>
      <c r="M11421" s="36" t="n">
        <f aca="false">Sens!$M$11420*1000/(Sens!$M$11403*Sens!$M$11404)</f>
        <v>9.44410541883864</v>
      </c>
      <c r="N11421" s="36" t="n">
        <f aca="false">Sens!$N$11420*1000/(Sens!$N$11403*Sens!$N$11404)</f>
        <v>9.67085565405685</v>
      </c>
      <c r="O11421" s="36" t="n">
        <f aca="false">Sens!$O$11420*1000/(Sens!$O$11403*Sens!$O$11404)</f>
        <v>9.67085565405685</v>
      </c>
    </row>
    <row r="11422" customFormat="false" ht="17.15" hidden="false" customHeight="false" outlineLevel="0" collapsed="false">
      <c r="A11422" s="0" t="s">
        <v>626</v>
      </c>
      <c r="B11422" s="0" t="s">
        <v>86</v>
      </c>
      <c r="C11422" s="38" t="n">
        <f aca="false">Sens!$C$11403/ext_sh*(ox_open+rent_mw)*Sens!$C$11404/1000</f>
        <v>0.642569210675032</v>
      </c>
      <c r="D11422" s="38" t="n">
        <f aca="false">Sens!$D$11403/ext_sh*(ox_open+rent_mw)*Sens!$D$11404/1000</f>
        <v>2.40963454003137</v>
      </c>
      <c r="E11422" s="38" t="n">
        <f aca="false">Sens!$E$11403/ext_sh*(ox_open+rent_mw)*Sens!$E$11404/1000</f>
        <v>2.35608710580845</v>
      </c>
      <c r="F11422" s="38" t="n">
        <f aca="false">((mw_open*ox_open+Sens!$F$11418*Sens!$F$11416)/ext_sh+Sens!$F$11403/ext_sh*rent_mw)*Sens!$F$11404/1000</f>
        <v>4.05421991106232</v>
      </c>
      <c r="G11422" s="38" t="n">
        <f aca="false">Sens!$E$11422+Sens!$F$11422</f>
        <v>6.41030701687077</v>
      </c>
      <c r="H11422" s="38" t="n">
        <f aca="false">((mw_open*ox_open+Sens!$H$11418*Sens!$H$11416)/ext_sh+Sens!$H$11403/ext_sh*rent_mw)*Sens!$H$11404/1000</f>
        <v>15.8108975546616</v>
      </c>
      <c r="I11422" s="38" t="n">
        <f aca="false">((mw_open*ox_open+Sens!$I$11418*Sens!$I$11416)/ext_sh+Sens!$I$11403/ext_sh*rent_mw)*Sens!$I$11404/1000</f>
        <v>26.1871623400817</v>
      </c>
      <c r="J11422" s="38" t="n">
        <f aca="false">((mw_open*ox_open+Sens!$J$11418*Sens!$J$11416)/ext_sh+Sens!$J$11403/ext_sh*rent_mw)*Sens!$J$11404/1000</f>
        <v>36.5826128954935</v>
      </c>
      <c r="K11422" s="38" t="n">
        <f aca="false">((mw_open*ox_open+Sens!$K$11418*Sens!$K$11416)/ext_sh+Sens!$K$11403/ext_sh*rent_mw)*Sens!$K$11404/1000</f>
        <v>45.4546361137628</v>
      </c>
      <c r="L11422" s="38" t="n">
        <f aca="false">((mw_open*ox_open+Sens!$L$11418*Sens!$L$11416)/ext_sh+Sens!$L$11403/ext_sh*rent_mw)*Sens!$L$11404/1000</f>
        <v>51.2855695554452</v>
      </c>
      <c r="M11422" s="38" t="n">
        <f aca="false">((mw_open*ox_open+Sens!$M$11418*Sens!$M$11416)/ext_sh+Sens!$M$11403/ext_sh*rent_mw)*Sens!$M$11404/1000</f>
        <v>54.0722927838398</v>
      </c>
      <c r="N11422" s="38" t="n">
        <f aca="false">Sens!$N$11403/ext_sh*(ox_open+rent_mw)*Sens!$N$11404/1000</f>
        <v>0.84337208901098</v>
      </c>
      <c r="O11422" s="38" t="n">
        <f aca="false">Sens!$O$11403/ext_sh*(ox_open+rent_mw)*Sens!$O$11404/1000</f>
        <v>1.56626245102039</v>
      </c>
    </row>
    <row r="11423" customFormat="false" ht="17.15" hidden="false" customHeight="false" outlineLevel="0" collapsed="false">
      <c r="A11423" s="0" t="s">
        <v>627</v>
      </c>
      <c r="B11423" s="0" t="s">
        <v>86</v>
      </c>
      <c r="C11423" s="38" t="n">
        <f aca="false">Q!$D$7</f>
        <v>107.556</v>
      </c>
      <c r="D11423" s="38" t="n">
        <f aca="false">Q!$E$7</f>
        <v>128.725</v>
      </c>
      <c r="E11423" s="38" t="n">
        <f aca="false">Q!$P$7</f>
        <v>79.819</v>
      </c>
      <c r="N11423" s="38" t="n">
        <f aca="false">Q!$N$7</f>
        <v>60.14</v>
      </c>
      <c r="O11423" s="38" t="n">
        <f aca="false">Q!$O$7</f>
        <v>68.585</v>
      </c>
    </row>
    <row r="11424" customFormat="false" ht="17.15" hidden="false" customHeight="false" outlineLevel="0" collapsed="false">
      <c r="A11424" s="1" t="s">
        <v>628</v>
      </c>
      <c r="B11424" s="8" t="s">
        <v>86</v>
      </c>
      <c r="C11424" s="38" t="n">
        <f aca="false">Sens!$C$11423-Sens!$C$11420</f>
        <v>105.234994643026</v>
      </c>
      <c r="D11424" s="38" t="n">
        <f aca="false">Sens!$D$11423-Sens!$D$11420</f>
        <v>120.021229911349</v>
      </c>
      <c r="E11424" s="38" t="n">
        <f aca="false">Sens!$E$11423-Sens!$E$11420</f>
        <v>71.30864702443</v>
      </c>
      <c r="F11424" s="38" t="n">
        <f aca="false">Sens!$O$11424*(1+Sens!$F$11425)</f>
        <v>71.7692997942464</v>
      </c>
      <c r="G11424" s="38" t="n">
        <f aca="false">Sens!$E$11424+Sens!$F$11424</f>
        <v>143.077946818676</v>
      </c>
      <c r="H11424" s="38" t="n">
        <f aca="false">Sens!$G$11424*(1+Sens!$H$11425)</f>
        <v>161.017077079203</v>
      </c>
      <c r="I11424" s="38" t="n">
        <f aca="false">Sens!$H$11424*(1+Sens!$I$11425)</f>
        <v>178.769759521457</v>
      </c>
      <c r="J11424" s="38" t="n">
        <f aca="false">Sens!$I$11424*(1+Sens!$J$11425)</f>
        <v>195.775538045907</v>
      </c>
      <c r="K11424" s="38" t="n">
        <f aca="false">Sens!$J$11424*(1+Sens!$K$11425)</f>
        <v>211.43758108958</v>
      </c>
      <c r="L11424" s="38" t="n">
        <f aca="false">Sens!$K$11424*(1+Sens!$L$11425)</f>
        <v>228.352587576746</v>
      </c>
      <c r="M11424" s="38" t="n">
        <f aca="false">Sens!$L$11424*(1+Sens!$M$11425)</f>
        <v>246.620794582886</v>
      </c>
      <c r="N11424" s="38" t="n">
        <f aca="false">Sens!$N$11423-Sens!$N$11420</f>
        <v>57.0936804689721</v>
      </c>
      <c r="O11424" s="38" t="n">
        <f aca="false">Sens!$O$11423-Sens!$O$11420</f>
        <v>62.9275494423768</v>
      </c>
      <c r="P11424" s="5" t="s">
        <v>629</v>
      </c>
    </row>
    <row r="11425" customFormat="false" ht="17.15" hidden="false" customHeight="false" outlineLevel="0" collapsed="false">
      <c r="A11425" s="0" t="s">
        <v>630</v>
      </c>
      <c r="B11425" s="0" t="s">
        <v>52</v>
      </c>
      <c r="D11425" s="13" t="n">
        <f aca="false">Sens!$D$11424/Sens!$C$11424-1</f>
        <v>0.140506827776062</v>
      </c>
      <c r="E11425" s="13" t="n">
        <f aca="false">Sens!$E$11424/Sens!$N$11424-1</f>
        <v>0.248976181579029</v>
      </c>
      <c r="F11425" s="13" t="n">
        <f aca="false">Sens!$D$11425</f>
        <v>0.140506827776062</v>
      </c>
      <c r="G11425" s="13" t="n">
        <f aca="false">Sens!$G$11424/Sens!$D$11424-1</f>
        <v>0.19210532106993</v>
      </c>
      <c r="H11425" s="13" t="n">
        <f aca="false">Sens!$F$11425+(g_awso_lt-Sens!$F$11425)*1/4</f>
        <v>0.125380120832046</v>
      </c>
      <c r="I11425" s="13" t="n">
        <f aca="false">Sens!$F$11425+(g_awso_lt-Sens!$F$11425)*2/4</f>
        <v>0.110253413888031</v>
      </c>
      <c r="J11425" s="13" t="n">
        <f aca="false">Sens!$F$11425+(g_awso_lt-Sens!$F$11425)*3/4</f>
        <v>0.0951267069440154</v>
      </c>
      <c r="K11425" s="13" t="n">
        <f aca="false">Sens!$F$11425+(g_awso_lt-Sens!$F$11425)*4/4</f>
        <v>0.08</v>
      </c>
      <c r="L11425" s="13" t="n">
        <f aca="false">g_awso_lt</f>
        <v>0.08</v>
      </c>
      <c r="M11425" s="13" t="n">
        <f aca="false">g_awso_lt</f>
        <v>0.08</v>
      </c>
      <c r="P11425" s="5" t="s">
        <v>631</v>
      </c>
    </row>
    <row r="11426" customFormat="false" ht="17.15" hidden="false" customHeight="false" outlineLevel="0" collapsed="false">
      <c r="A11426" s="1" t="s">
        <v>632</v>
      </c>
    </row>
    <row r="11427" customFormat="false" ht="17.15" hidden="false" customHeight="false" outlineLevel="0" collapsed="false">
      <c r="A11427" s="0" t="s">
        <v>633</v>
      </c>
      <c r="B11427" s="0" t="s">
        <v>86</v>
      </c>
      <c r="F11427" s="38" t="n">
        <f aca="false">cx_rt*Sens!$F$11392+cx_awso*Sens!$F$11424</f>
        <v>34.9734495387866</v>
      </c>
    </row>
    <row r="11428" customFormat="false" ht="17.15" hidden="false" customHeight="false" outlineLevel="0" collapsed="false">
      <c r="A11428" s="0" t="s">
        <v>634</v>
      </c>
      <c r="B11428" s="0" t="s">
        <v>52</v>
      </c>
      <c r="C11428" s="13" t="n">
        <f aca="false">tk_cx_h100/(tk_cx_h100+tk_fac*(1-colo_sh))</f>
        <v>0.730756458006641</v>
      </c>
      <c r="D11428" s="13" t="n">
        <f aca="false">tk_cx_h100/(tk_cx_h100+tk_fac*(1-colo_sh))</f>
        <v>0.730756458006641</v>
      </c>
      <c r="E11428" s="13" t="n">
        <f aca="false">Sens!$F$11428</f>
        <v>0.760792334328868</v>
      </c>
      <c r="F11428" s="13" t="n">
        <f aca="false">Sens!$F$11411/(Sens!$F$11411+tk_fac*(1-colo_sh))</f>
        <v>0.760792334328868</v>
      </c>
      <c r="G11428" s="13" t="n">
        <f aca="false">Sens!$G$11411/(Sens!$G$11411+tk_fac*(1-colo_sh))</f>
        <v>0.760792334328868</v>
      </c>
      <c r="H11428" s="13" t="n">
        <f aca="false">Sens!$H$11411/(Sens!$H$11411+tk_fac*(1-colo_sh))</f>
        <v>0.768110668862996</v>
      </c>
      <c r="I11428" s="13" t="n">
        <f aca="false">Sens!$I$11411/(Sens!$I$11411+tk_fac*(1-colo_sh))</f>
        <v>0.77499450139483</v>
      </c>
      <c r="J11428" s="13" t="n">
        <f aca="false">Sens!$J$11411/(Sens!$J$11411+tk_fac*(1-colo_sh))</f>
        <v>0.77499450139483</v>
      </c>
      <c r="K11428" s="13" t="n">
        <f aca="false">Sens!$K$11411/(Sens!$K$11411+tk_fac*(1-colo_sh))</f>
        <v>0.77499450139483</v>
      </c>
      <c r="L11428" s="13" t="n">
        <f aca="false">Sens!$L$11411/(Sens!$L$11411+tk_fac*(1-colo_sh))</f>
        <v>0.77499450139483</v>
      </c>
      <c r="M11428" s="13" t="n">
        <f aca="false">Sens!$M$11411/(Sens!$M$11411+tk_fac*(1-colo_sh))</f>
        <v>0.77499450139483</v>
      </c>
    </row>
    <row r="11429" customFormat="false" ht="17.15" hidden="false" customHeight="false" outlineLevel="0" collapsed="false">
      <c r="A11429" s="1" t="s">
        <v>635</v>
      </c>
      <c r="B11429" s="8" t="s">
        <v>86</v>
      </c>
      <c r="C11429" s="38" t="n">
        <f aca="false">Q!$D$46-cx_rt*Q!$D$16-cx_awso*Sens!$C$11424</f>
        <v>25.2781053077374</v>
      </c>
      <c r="D11429" s="38" t="n">
        <f aca="false">Q!$E$46-cx_rt*Q!$E$16-cx_awso*Sens!$D$11424</f>
        <v>69.5686316310026</v>
      </c>
      <c r="E11429" s="38" t="n">
        <f aca="false">Q!$P$46-cx_rt*Q!$P$16-cx_awso*Sens!$E$11424</f>
        <v>64.1899206485108</v>
      </c>
      <c r="F11429" s="38" t="n">
        <f aca="false">capex_g26-Q!$P$46-Sens!$F$11427</f>
        <v>88.7165504612134</v>
      </c>
      <c r="G11429" s="38" t="n">
        <f aca="false">Sens!$E$11429+Sens!$F$11429</f>
        <v>152.906471109724</v>
      </c>
      <c r="H11429" s="38" t="n">
        <f aca="false">Sens!$H$11406*(Sens!$H$11411+tk_fac*(1-colo_sh))/1000+Sens!$H$11430</f>
        <v>198.57136494475</v>
      </c>
      <c r="I11429" s="38" t="n">
        <f aca="false">Sens!$I$11406*(Sens!$I$11411+tk_fac*(1-colo_sh))/1000+Sens!$I$11430</f>
        <v>204.6464699105</v>
      </c>
      <c r="J11429" s="38" t="n">
        <f aca="false">Sens!$J$11406*(Sens!$J$11411+tk_fac*(1-colo_sh))/1000+Sens!$J$11430</f>
        <v>209.8832381105</v>
      </c>
      <c r="K11429" s="38" t="n">
        <f aca="false">Sens!$K$11406*(Sens!$K$11411+tk_fac*(1-colo_sh))/1000+Sens!$K$11430</f>
        <v>155.238385275201</v>
      </c>
      <c r="L11429" s="38" t="n">
        <f aca="false">Sens!$L$11406*(Sens!$L$11411+tk_fac*(1-colo_sh))/1000+Sens!$L$11430</f>
        <v>132.014141639902</v>
      </c>
      <c r="M11429" s="38" t="n">
        <f aca="false">Sens!$M$11406*(Sens!$M$11411+tk_fac*(1-colo_sh))/1000+Sens!$M$11430</f>
        <v>132.230981659852</v>
      </c>
      <c r="P11429" s="5" t="s">
        <v>636</v>
      </c>
      <c r="R11429" s="38" t="n">
        <f aca="false">Q!$C$46-cx_rt*Q!$C$16-cx_awso*(Q!$C$7-mw_ye23/2*rpm_open/1000)</f>
        <v>1.50429979529945</v>
      </c>
      <c r="S11429" s="38" t="n">
        <f aca="false">Sens!$C$11429</f>
        <v>25.2781053077374</v>
      </c>
      <c r="T11429" s="38" t="n">
        <f aca="false">Sens!$D$11429</f>
        <v>69.5686316310026</v>
      </c>
      <c r="U11429" s="38" t="n">
        <f aca="false">Sens!$G$11429</f>
        <v>152.906471109724</v>
      </c>
      <c r="V11429" s="38" t="n">
        <f aca="false">Sens!$H$11429</f>
        <v>198.57136494475</v>
      </c>
      <c r="W11429" s="38" t="n">
        <f aca="false">Sens!$I$11429</f>
        <v>204.6464699105</v>
      </c>
      <c r="X11429" s="38" t="n">
        <f aca="false">Sens!$J$11429</f>
        <v>209.8832381105</v>
      </c>
      <c r="Y11429" s="38" t="n">
        <f aca="false">Sens!$K$11429</f>
        <v>155.238385275201</v>
      </c>
      <c r="Z11429" s="38" t="n">
        <f aca="false">Sens!$L$11429</f>
        <v>132.014141639902</v>
      </c>
      <c r="AA11429" s="38" t="n">
        <f aca="false">Sens!$M$11429</f>
        <v>132.230981659852</v>
      </c>
    </row>
    <row r="11430" customFormat="false" ht="17.15" hidden="false" customHeight="false" outlineLevel="0" collapsed="false">
      <c r="A11430" s="0" t="s">
        <v>637</v>
      </c>
      <c r="B11430" s="0" t="s">
        <v>86</v>
      </c>
      <c r="H11430" s="38" t="n">
        <f aca="false">SUMPRODUCT(--(Sens!$R$11399:$AA$11399=2027-tk_life),Sens!$R$11406:$AA$11406)*Sens!$H$11411/1000</f>
        <v>0</v>
      </c>
      <c r="I11430" s="38" t="n">
        <f aca="false">SUMPRODUCT(--(Sens!$R$11399:$AA$11399=2028-tk_life),Sens!$R$11406:$AA$11406)*Sens!$I$11411/1000</f>
        <v>0</v>
      </c>
      <c r="J11430" s="38" t="n">
        <f aca="false">SUMPRODUCT(--(Sens!$R$11399:$AA$11399=2029-tk_life),Sens!$R$11406:$AA$11406)*Sens!$J$11411/1000</f>
        <v>5.2367682</v>
      </c>
      <c r="K11430" s="38" t="n">
        <f aca="false">SUMPRODUCT(--(Sens!$R$11399:$AA$11399=2030-tk_life),Sens!$R$11406:$AA$11406)*Sens!$K$11411/1000</f>
        <v>10.4735364</v>
      </c>
      <c r="L11430" s="38" t="n">
        <f aca="false">SUMPRODUCT(--(Sens!$R$11399:$AA$11399=2031-tk_life),Sens!$R$11406:$AA$11406)*Sens!$L$11411/1000</f>
        <v>47.1309138</v>
      </c>
      <c r="M11430" s="38" t="n">
        <f aca="false">SUMPRODUCT(--(Sens!$R$11399:$AA$11399=2032-tk_life),Sens!$R$11406:$AA$11406)*Sens!$M$11411/1000</f>
        <v>107.22937485525</v>
      </c>
    </row>
    <row r="11431" customFormat="false" ht="17.15" hidden="false" customHeight="false" outlineLevel="0" collapsed="false">
      <c r="A11431" s="0" t="s">
        <v>638</v>
      </c>
      <c r="B11431" s="0" t="s">
        <v>86</v>
      </c>
      <c r="C11431" s="38" t="n">
        <f aca="false">MIN(Sens!$C$11429,Sens!$C$11406*(tk_cx_h100+tk_fac*(1-colo_sh))/1000)</f>
        <v>11.2938642</v>
      </c>
      <c r="D11431" s="38" t="n">
        <f aca="false">MIN(Sens!$D$11429,Sens!$D$11406*(tk_cx_h100+tk_fac*(1-colo_sh))/1000)</f>
        <v>50.8223889</v>
      </c>
      <c r="E11431" s="38" t="n">
        <f aca="false">MIN(Sens!$E$11429,Sens!$E$11406*(Sens!$F$11411+tk_fac*(1-colo_sh))/1000)</f>
        <v>33.8985792</v>
      </c>
      <c r="F11431" s="38" t="n">
        <f aca="false">Sens!$F$11429</f>
        <v>88.7165504612134</v>
      </c>
      <c r="G11431" s="38" t="n">
        <f aca="false">Sens!$E$11431+Sens!$F$11431</f>
        <v>122.615129661213</v>
      </c>
      <c r="H11431" s="38" t="n">
        <f aca="false">Sens!$H$11429</f>
        <v>198.57136494475</v>
      </c>
      <c r="I11431" s="38" t="n">
        <f aca="false">Sens!$I$11429</f>
        <v>204.6464699105</v>
      </c>
      <c r="J11431" s="38" t="n">
        <f aca="false">Sens!$J$11429</f>
        <v>209.8832381105</v>
      </c>
      <c r="K11431" s="38" t="n">
        <f aca="false">Sens!$K$11429</f>
        <v>155.238385275201</v>
      </c>
      <c r="L11431" s="38" t="n">
        <f aca="false">Sens!$L$11429</f>
        <v>132.014141639902</v>
      </c>
      <c r="M11431" s="38" t="n">
        <f aca="false">Sens!$M$11429</f>
        <v>132.230981659852</v>
      </c>
      <c r="P11431" s="5" t="s">
        <v>639</v>
      </c>
      <c r="R11431" s="38" t="n">
        <f aca="false">MIN(Sens!$R$11429,Sens!$R$11406*(tk_cx_h100+tk_fac*(1-colo_sh))/1000)</f>
        <v>1.50429979529945</v>
      </c>
      <c r="S11431" s="38" t="n">
        <f aca="false">Sens!$C$11431</f>
        <v>11.2938642</v>
      </c>
      <c r="T11431" s="38" t="n">
        <f aca="false">Sens!$D$11431</f>
        <v>50.8223889</v>
      </c>
      <c r="U11431" s="38" t="n">
        <f aca="false">Sens!$G$11431</f>
        <v>122.615129661213</v>
      </c>
      <c r="V11431" s="38" t="n">
        <f aca="false">Sens!$H$11431</f>
        <v>198.57136494475</v>
      </c>
      <c r="W11431" s="38" t="n">
        <f aca="false">Sens!$I$11431</f>
        <v>204.6464699105</v>
      </c>
      <c r="X11431" s="38" t="n">
        <f aca="false">Sens!$J$11431</f>
        <v>209.8832381105</v>
      </c>
      <c r="Y11431" s="38" t="n">
        <f aca="false">Sens!$K$11431</f>
        <v>155.238385275201</v>
      </c>
      <c r="Z11431" s="38" t="n">
        <f aca="false">Sens!$L$11431</f>
        <v>132.014141639902</v>
      </c>
      <c r="AA11431" s="38" t="n">
        <f aca="false">Sens!$M$11431</f>
        <v>132.230981659852</v>
      </c>
    </row>
    <row r="11432" customFormat="false" ht="17.15" hidden="false" customHeight="false" outlineLevel="0" collapsed="false">
      <c r="A11432" s="5" t="s">
        <v>640</v>
      </c>
      <c r="B11432" s="0" t="s">
        <v>86</v>
      </c>
      <c r="C11432" s="38" t="n">
        <f aca="false">Sens!$C$11429-Sens!$C$11431</f>
        <v>13.9842411077374</v>
      </c>
      <c r="D11432" s="38" t="n">
        <f aca="false">Sens!$D$11429-Sens!$D$11431</f>
        <v>18.7462427310026</v>
      </c>
      <c r="E11432" s="38" t="n">
        <f aca="false">Sens!$E$11429-Sens!$E$11431</f>
        <v>30.2913414485108</v>
      </c>
      <c r="F11432" s="38" t="n">
        <f aca="false">Sens!$F$11429-Sens!$F$11431</f>
        <v>0</v>
      </c>
      <c r="G11432" s="38" t="n">
        <f aca="false">Sens!$G$11429-Sens!$G$11431</f>
        <v>30.2913414485108</v>
      </c>
      <c r="H11432" s="38" t="n">
        <f aca="false">Sens!$H$11429-Sens!$H$11431</f>
        <v>0</v>
      </c>
      <c r="I11432" s="38" t="n">
        <f aca="false">Sens!$I$11429-Sens!$I$11431</f>
        <v>0</v>
      </c>
      <c r="J11432" s="38" t="n">
        <f aca="false">Sens!$J$11429-Sens!$J$11431</f>
        <v>0</v>
      </c>
      <c r="K11432" s="38" t="n">
        <f aca="false">Sens!$K$11429-Sens!$K$11431</f>
        <v>0</v>
      </c>
      <c r="L11432" s="38" t="n">
        <f aca="false">Sens!$L$11429-Sens!$L$11431</f>
        <v>0</v>
      </c>
      <c r="M11432" s="38" t="n">
        <f aca="false">Sens!$M$11429-Sens!$M$11431</f>
        <v>0</v>
      </c>
      <c r="P11432" s="5" t="s">
        <v>641</v>
      </c>
      <c r="R11432" s="38" t="n">
        <f aca="false">Sens!$R$11429-Sens!$R$11431</f>
        <v>0</v>
      </c>
      <c r="S11432" s="38" t="n">
        <f aca="false">Sens!$S$11429-Sens!$S$11431</f>
        <v>13.9842411077374</v>
      </c>
      <c r="T11432" s="38" t="n">
        <f aca="false">Sens!$T$11429-Sens!$T$11431</f>
        <v>18.7462427310026</v>
      </c>
      <c r="U11432" s="38" t="n">
        <f aca="false">Sens!$U$11429-Sens!$U$11431</f>
        <v>30.2913414485108</v>
      </c>
      <c r="V11432" s="38" t="n">
        <f aca="false">Sens!$V$11429-Sens!$V$11431</f>
        <v>0</v>
      </c>
      <c r="W11432" s="38" t="n">
        <f aca="false">Sens!$W$11429-Sens!$W$11431</f>
        <v>0</v>
      </c>
      <c r="X11432" s="38" t="n">
        <f aca="false">Sens!$X$11429-Sens!$X$11431</f>
        <v>0</v>
      </c>
      <c r="Y11432" s="38" t="n">
        <f aca="false">Sens!$Y$11429-Sens!$Y$11431</f>
        <v>0</v>
      </c>
      <c r="Z11432" s="38" t="n">
        <f aca="false">Sens!$Z$11429-Sens!$Z$11431</f>
        <v>0</v>
      </c>
      <c r="AA11432" s="38" t="n">
        <f aca="false">Sens!$AA$11429-Sens!$AA$11431</f>
        <v>0</v>
      </c>
    </row>
    <row r="11433" customFormat="false" ht="17.15" hidden="false" customHeight="false" outlineLevel="0" collapsed="false">
      <c r="A11433" s="5" t="s">
        <v>642</v>
      </c>
      <c r="B11433" s="0" t="s">
        <v>86</v>
      </c>
      <c r="R11433" s="38" t="n">
        <f aca="false">Sens!$R$11432*Sens!$C$11428</f>
        <v>0</v>
      </c>
      <c r="S11433" s="38" t="n">
        <f aca="false">Sens!$S$11432*Sens!$C$11428</f>
        <v>10.219074499801</v>
      </c>
      <c r="T11433" s="38" t="n">
        <f aca="false">Sens!$T$11432*Sens!$C$11428</f>
        <v>13.6989379390402</v>
      </c>
      <c r="U11433" s="38" t="n">
        <f aca="false">Sens!$U$11432*Sens!$E$11428</f>
        <v>23.0454203705653</v>
      </c>
      <c r="V11433" s="38" t="n">
        <f aca="false">Sens!$V$11432*Sens!$E$11428</f>
        <v>0</v>
      </c>
      <c r="W11433" s="38" t="n">
        <f aca="false">Sens!$W$11432*Sens!$E$11428</f>
        <v>0</v>
      </c>
      <c r="X11433" s="38" t="n">
        <f aca="false">Sens!$X$11432*Sens!$E$11428</f>
        <v>0</v>
      </c>
      <c r="Y11433" s="38" t="n">
        <f aca="false">Sens!$Y$11432*Sens!$E$11428</f>
        <v>0</v>
      </c>
      <c r="Z11433" s="38" t="n">
        <f aca="false">Sens!$Z$11432*Sens!$E$11428</f>
        <v>0</v>
      </c>
      <c r="AA11433" s="38" t="n">
        <f aca="false">Sens!$AA$11432*Sens!$E$11428</f>
        <v>0</v>
      </c>
    </row>
    <row r="11434" customFormat="false" ht="17.15" hidden="false" customHeight="false" outlineLevel="0" collapsed="false">
      <c r="A11434" s="5" t="s">
        <v>643</v>
      </c>
      <c r="B11434" s="0" t="s">
        <v>86</v>
      </c>
      <c r="R11434" s="38" t="n">
        <f aca="false">SUMPRODUCT(--(Sens!$R$11399:$AA$11399=2023-cip_lag),Sens!$R$11433:$AA$11433)</f>
        <v>0</v>
      </c>
      <c r="S11434" s="38" t="n">
        <f aca="false">SUMPRODUCT(--(Sens!$R$11399:$AA$11399=2024-cip_lag),Sens!$R$11433:$AA$11433)</f>
        <v>0</v>
      </c>
      <c r="T11434" s="38" t="n">
        <f aca="false">SUMPRODUCT(--(Sens!$R$11399:$AA$11399=2025-cip_lag),Sens!$R$11433:$AA$11433)</f>
        <v>10.219074499801</v>
      </c>
      <c r="U11434" s="38" t="n">
        <f aca="false">SUMPRODUCT(--(Sens!$R$11399:$AA$11399=2026-cip_lag),Sens!$R$11433:$AA$11433)</f>
        <v>13.6989379390402</v>
      </c>
      <c r="V11434" s="38" t="n">
        <f aca="false">SUMPRODUCT(--(Sens!$R$11399:$AA$11399=2027-cip_lag),Sens!$R$11433:$AA$11433)</f>
        <v>23.0454203705653</v>
      </c>
      <c r="W11434" s="38" t="n">
        <f aca="false">SUMPRODUCT(--(Sens!$R$11399:$AA$11399=2028-cip_lag),Sens!$R$11433:$AA$11433)</f>
        <v>0</v>
      </c>
      <c r="X11434" s="38" t="n">
        <f aca="false">SUMPRODUCT(--(Sens!$R$11399:$AA$11399=2029-cip_lag),Sens!$R$11433:$AA$11433)</f>
        <v>0</v>
      </c>
      <c r="Y11434" s="38" t="n">
        <f aca="false">SUMPRODUCT(--(Sens!$R$11399:$AA$11399=2030-cip_lag),Sens!$R$11433:$AA$11433)</f>
        <v>0</v>
      </c>
      <c r="Z11434" s="38" t="n">
        <f aca="false">SUMPRODUCT(--(Sens!$R$11399:$AA$11399=2031-cip_lag),Sens!$R$11433:$AA$11433)</f>
        <v>0</v>
      </c>
      <c r="AA11434" s="38" t="n">
        <f aca="false">SUMPRODUCT(--(Sens!$R$11399:$AA$11399=2032-cip_lag),Sens!$R$11433:$AA$11433)</f>
        <v>0</v>
      </c>
    </row>
    <row r="11435" customFormat="false" ht="15" hidden="false" customHeight="false" outlineLevel="0" collapsed="false">
      <c r="A11435" s="5" t="s">
        <v>644</v>
      </c>
      <c r="B11435" s="0" t="s">
        <v>86</v>
      </c>
      <c r="R11435" s="38" t="n">
        <f aca="false">SUMPRODUCT(--(Sens!$R$11399:$AA$11399=2023-cip_lag),Sens!$R$11432:$AA$11432)-Sens!$R$11434</f>
        <v>0</v>
      </c>
      <c r="S11435" s="38" t="n">
        <f aca="false">SUMPRODUCT(--(Sens!$R$11399:$AA$11399=2024-cip_lag),Sens!$R$11432:$AA$11432)-Sens!$S$11434</f>
        <v>0</v>
      </c>
      <c r="T11435" s="38" t="n">
        <f aca="false">SUMPRODUCT(--(Sens!$R$11399:$AA$11399=2025-cip_lag),Sens!$R$11432:$AA$11432)-Sens!$T$11434</f>
        <v>3.76516660793636</v>
      </c>
      <c r="U11435" s="38" t="n">
        <f aca="false">SUMPRODUCT(--(Sens!$R$11399:$AA$11399=2026-cip_lag),Sens!$R$11432:$AA$11432)-Sens!$U$11434</f>
        <v>5.04730479196242</v>
      </c>
      <c r="V11435" s="38" t="n">
        <f aca="false">SUMPRODUCT(--(Sens!$R$11399:$AA$11399=2027-cip_lag),Sens!$R$11432:$AA$11432)-Sens!$V$11434</f>
        <v>7.24592107794548</v>
      </c>
      <c r="W11435" s="38" t="n">
        <f aca="false">SUMPRODUCT(--(Sens!$R$11399:$AA$11399=2028-cip_lag),Sens!$R$11432:$AA$11432)-Sens!$W$11434</f>
        <v>0</v>
      </c>
      <c r="X11435" s="38" t="n">
        <f aca="false">SUMPRODUCT(--(Sens!$R$11399:$AA$11399=2029-cip_lag),Sens!$R$11432:$AA$11432)-Sens!$X$11434</f>
        <v>0</v>
      </c>
      <c r="Y11435" s="38" t="n">
        <f aca="false">SUMPRODUCT(--(Sens!$R$11399:$AA$11399=2030-cip_lag),Sens!$R$11432:$AA$11432)-Sens!$Y$11434</f>
        <v>0</v>
      </c>
      <c r="Z11435" s="38" t="n">
        <f aca="false">SUMPRODUCT(--(Sens!$R$11399:$AA$11399=2031-cip_lag),Sens!$R$11432:$AA$11432)-Sens!$Z$11434</f>
        <v>0</v>
      </c>
      <c r="AA11435" s="38" t="n">
        <f aca="false">SUMPRODUCT(--(Sens!$R$11399:$AA$11399=2032-cip_lag),Sens!$R$11432:$AA$11432)-Sens!$AA$11434</f>
        <v>0</v>
      </c>
    </row>
    <row r="11436" customFormat="false" ht="17.15" hidden="false" customHeight="false" outlineLevel="0" collapsed="false">
      <c r="A11436" s="5" t="s">
        <v>645</v>
      </c>
      <c r="B11436" s="0" t="s">
        <v>86</v>
      </c>
      <c r="C11436" s="38" t="n">
        <f aca="false">Sens!$C$11431*Sens!$C$11428</f>
        <v>8.2530642</v>
      </c>
      <c r="D11436" s="38" t="n">
        <f aca="false">Sens!$D$11431*Sens!$D$11428</f>
        <v>37.1387889</v>
      </c>
      <c r="E11436" s="38" t="n">
        <f aca="false">Sens!$E$11431*Sens!$E$11428</f>
        <v>25.7897792</v>
      </c>
      <c r="F11436" s="38" t="n">
        <f aca="false">Sens!$F$11431*Sens!$F$11428</f>
        <v>67.4948715189913</v>
      </c>
      <c r="G11436" s="38" t="n">
        <f aca="false">Sens!$E$11436+Sens!$F$11436</f>
        <v>93.2846507189913</v>
      </c>
      <c r="H11436" s="38" t="n">
        <f aca="false">(Sens!$H$11431-Sens!$H$11430)*Sens!$H$11428+Sens!$H$11430</f>
        <v>152.52478394475</v>
      </c>
      <c r="I11436" s="38" t="n">
        <f aca="false">(Sens!$I$11431-Sens!$I$11430)*Sens!$I$11428+Sens!$I$11430</f>
        <v>158.5998889105</v>
      </c>
      <c r="J11436" s="38" t="n">
        <f aca="false">(Sens!$J$11431-Sens!$J$11430)*Sens!$J$11428+Sens!$J$11430</f>
        <v>163.8366571105</v>
      </c>
      <c r="K11436" s="38" t="n">
        <f aca="false">(Sens!$K$11431-Sens!$K$11430)*Sens!$K$11428+Sens!$K$11430</f>
        <v>122.665498273534</v>
      </c>
      <c r="L11436" s="38" t="n">
        <f aca="false">(Sens!$L$11431-Sens!$L$11430)*Sens!$L$11428+Sens!$L$11430</f>
        <v>112.914948636568</v>
      </c>
      <c r="M11436" s="38" t="n">
        <f aca="false">(Sens!$M$11431-Sens!$M$11430)*Sens!$M$11428+Sens!$M$11430</f>
        <v>126.605482654852</v>
      </c>
      <c r="R11436" s="38" t="n">
        <f aca="false">Sens!$R$11431*Sens!$C$11428</f>
        <v>1.09927679019314</v>
      </c>
      <c r="S11436" s="38" t="n">
        <f aca="false">Sens!$C$11436</f>
        <v>8.2530642</v>
      </c>
      <c r="T11436" s="38" t="n">
        <f aca="false">Sens!$D$11436</f>
        <v>37.1387889</v>
      </c>
      <c r="U11436" s="38" t="n">
        <f aca="false">Sens!$G$11436</f>
        <v>93.2846507189913</v>
      </c>
      <c r="V11436" s="38" t="n">
        <f aca="false">Sens!$H$11436</f>
        <v>152.52478394475</v>
      </c>
      <c r="W11436" s="38" t="n">
        <f aca="false">Sens!$I$11436</f>
        <v>158.5998889105</v>
      </c>
      <c r="X11436" s="38" t="n">
        <f aca="false">Sens!$J$11436</f>
        <v>163.8366571105</v>
      </c>
      <c r="Y11436" s="38" t="n">
        <f aca="false">Sens!$K$11436</f>
        <v>122.665498273534</v>
      </c>
      <c r="Z11436" s="38" t="n">
        <f aca="false">Sens!$L$11436</f>
        <v>112.914948636568</v>
      </c>
      <c r="AA11436" s="38" t="n">
        <f aca="false">Sens!$M$11436</f>
        <v>126.605482654852</v>
      </c>
    </row>
    <row r="11437" customFormat="false" ht="15" hidden="false" customHeight="false" outlineLevel="0" collapsed="false">
      <c r="A11437" s="5" t="s">
        <v>646</v>
      </c>
      <c r="B11437" s="0" t="s">
        <v>86</v>
      </c>
      <c r="C11437" s="38" t="n">
        <f aca="false">Sens!$C$11431-Sens!$C$11436</f>
        <v>3.0408</v>
      </c>
      <c r="D11437" s="38" t="n">
        <f aca="false">Sens!$D$11431-Sens!$D$11436</f>
        <v>13.6836</v>
      </c>
      <c r="E11437" s="38" t="n">
        <f aca="false">Sens!$E$11431-Sens!$E$11436</f>
        <v>8.1088</v>
      </c>
      <c r="F11437" s="38" t="n">
        <f aca="false">Sens!$F$11431-Sens!$F$11436</f>
        <v>21.2216789422221</v>
      </c>
      <c r="G11437" s="38" t="n">
        <f aca="false">Sens!$G$11431-Sens!$G$11436</f>
        <v>29.3304789422221</v>
      </c>
      <c r="H11437" s="38" t="n">
        <f aca="false">Sens!$H$11431-Sens!$H$11436</f>
        <v>46.046581</v>
      </c>
      <c r="I11437" s="38" t="n">
        <f aca="false">Sens!$I$11431-Sens!$I$11436</f>
        <v>46.046581</v>
      </c>
      <c r="J11437" s="38" t="n">
        <f aca="false">Sens!$J$11431-Sens!$J$11436</f>
        <v>46.046581</v>
      </c>
      <c r="K11437" s="38" t="n">
        <f aca="false">Sens!$K$11431-Sens!$K$11436</f>
        <v>32.5728870016667</v>
      </c>
      <c r="L11437" s="38" t="n">
        <f aca="false">Sens!$L$11431-Sens!$L$11436</f>
        <v>19.0991930033334</v>
      </c>
      <c r="M11437" s="38" t="n">
        <f aca="false">Sens!$M$11431-Sens!$M$11436</f>
        <v>5.62549900499998</v>
      </c>
      <c r="R11437" s="38" t="n">
        <f aca="false">Sens!$R$11431-Sens!$R$11436</f>
        <v>0.405023005106309</v>
      </c>
      <c r="S11437" s="38" t="n">
        <f aca="false">Sens!$S$11431-Sens!$S$11436</f>
        <v>3.0408</v>
      </c>
      <c r="T11437" s="38" t="n">
        <f aca="false">Sens!$T$11431-Sens!$T$11436</f>
        <v>13.6836</v>
      </c>
      <c r="U11437" s="38" t="n">
        <f aca="false">Sens!$U$11431-Sens!$U$11436</f>
        <v>29.3304789422221</v>
      </c>
      <c r="V11437" s="38" t="n">
        <f aca="false">Sens!$V$11431-Sens!$V$11436</f>
        <v>46.046581</v>
      </c>
      <c r="W11437" s="38" t="n">
        <f aca="false">Sens!$W$11431-Sens!$W$11436</f>
        <v>46.046581</v>
      </c>
      <c r="X11437" s="38" t="n">
        <f aca="false">Sens!$X$11431-Sens!$X$11436</f>
        <v>46.046581</v>
      </c>
      <c r="Y11437" s="38" t="n">
        <f aca="false">Sens!$Y$11431-Sens!$Y$11436</f>
        <v>32.5728870016667</v>
      </c>
      <c r="Z11437" s="38" t="n">
        <f aca="false">Sens!$Z$11431-Sens!$Z$11436</f>
        <v>19.0991930033334</v>
      </c>
      <c r="AA11437" s="38" t="n">
        <f aca="false">Sens!$AA$11431-Sens!$AA$11436</f>
        <v>5.62549900499998</v>
      </c>
    </row>
    <row r="11438" customFormat="false" ht="17.15" hidden="false" customHeight="false" outlineLevel="0" collapsed="false">
      <c r="A11438" s="0" t="s">
        <v>647</v>
      </c>
      <c r="B11438" s="0" t="s">
        <v>52</v>
      </c>
      <c r="C11438" s="13" t="n">
        <f aca="false">Sens!$C$11429/Sens!$C$11554</f>
        <v>0.325505489553393</v>
      </c>
      <c r="D11438" s="13" t="n">
        <f aca="false">Sens!$D$11429/Sens!$D$11554</f>
        <v>0.54214956071542</v>
      </c>
      <c r="E11438" s="13" t="n">
        <f aca="false">Sens!$E$11429/Sens!$E$11554</f>
        <v>0.666492790452817</v>
      </c>
      <c r="F11438" s="13" t="n">
        <f aca="false">Sens!$F$11429/Sens!$F$11554</f>
        <v>0.71724917504417</v>
      </c>
      <c r="G11438" s="13" t="n">
        <f aca="false">Sens!$G$11429/Sens!$G$11554</f>
        <v>0.69502941413511</v>
      </c>
      <c r="H11438" s="13" t="n">
        <f aca="false">Sens!$H$11429/Sens!$H$11554</f>
        <v>0.726376041178204</v>
      </c>
      <c r="I11438" s="13" t="n">
        <f aca="false">Sens!$I$11429/Sens!$I$11554</f>
        <v>0.713099092661699</v>
      </c>
      <c r="J11438" s="13" t="n">
        <f aca="false">Sens!$J$11429/Sens!$J$11554</f>
        <v>0.701208348786245</v>
      </c>
      <c r="K11438" s="13" t="n">
        <f aca="false">Sens!$K$11429/Sens!$K$11554</f>
        <v>0.618338844562383</v>
      </c>
      <c r="L11438" s="13" t="n">
        <f aca="false">Sens!$L$11429/Sens!$L$11554</f>
        <v>0.562489158462506</v>
      </c>
      <c r="M11438" s="13" t="n">
        <f aca="false">Sens!$M$11429/Sens!$M$11554</f>
        <v>0.545751190895923</v>
      </c>
    </row>
    <row r="11439" customFormat="false" ht="17.15" hidden="false" customHeight="false" outlineLevel="0" collapsed="false">
      <c r="A11439" s="0" t="s">
        <v>648</v>
      </c>
      <c r="B11439" s="0" t="s">
        <v>86</v>
      </c>
      <c r="C11439" s="38" t="n">
        <f aca="false">Sens!$S$11439</f>
        <v>0.183212798365523</v>
      </c>
      <c r="D11439" s="38" t="n">
        <f aca="false">Sens!$T$11439</f>
        <v>1.55872349836552</v>
      </c>
      <c r="E11439" s="38" t="n">
        <f aca="false">Sens!$G$11439/2</f>
        <v>4.72585036583285</v>
      </c>
      <c r="F11439" s="38" t="n">
        <f aca="false">Sens!$G$11439/2</f>
        <v>4.72585036583285</v>
      </c>
      <c r="G11439" s="38" t="n">
        <f aca="false">Sens!$U$11439</f>
        <v>9.4517007316657</v>
      </c>
      <c r="H11439" s="38" t="n">
        <f aca="false">Sens!$V$11439</f>
        <v>27.2822988413376</v>
      </c>
      <c r="I11439" s="38" t="n">
        <f aca="false">Sens!$W$11439</f>
        <v>56.5439995605568</v>
      </c>
      <c r="J11439" s="38" t="n">
        <f aca="false">Sens!$X$11439</f>
        <v>82.9773143789735</v>
      </c>
      <c r="K11439" s="38" t="n">
        <f aca="false">Sens!$Y$11439</f>
        <v>110.100211099025</v>
      </c>
      <c r="L11439" s="38" t="n">
        <f aca="false">Sens!$Z$11439</f>
        <v>129.16895011128</v>
      </c>
      <c r="M11439" s="38" t="n">
        <f aca="false">Sens!$AA$11439</f>
        <v>140.095130984075</v>
      </c>
      <c r="N11439" s="38" t="n">
        <f aca="false">Sens!$D$11439/2</f>
        <v>0.779361749182762</v>
      </c>
      <c r="O11439" s="38" t="n">
        <f aca="false">Sens!$D$11439/2</f>
        <v>0.779361749182762</v>
      </c>
      <c r="R11439" s="38" t="n">
        <f aca="false">(SUMPRODUCT(--(Sens!$R$11399:$AA$11399&lt;Sens!R$11399),--(Sens!$R$11399:$AA$11399&gt;=Sens!R$11399-tk_life),Sens!$R$11436:$AA$11436)+SUMPRODUCT(--(Sens!$R$11399:$AA$11399&lt;Sens!R$11399),--(Sens!$R$11399:$AA$11399&gt;=Sens!R$11399-tk_life),Sens!$R$11434:$AA$11434))/tk_life</f>
        <v>0</v>
      </c>
      <c r="S11439" s="38" t="n">
        <f aca="false">(SUMPRODUCT(--(Sens!$R$11399:$AA$11399&lt;Sens!S$11399),--(Sens!$R$11399:$AA$11399&gt;=Sens!S$11399-tk_life),Sens!$R$11436:$AA$11436)+SUMPRODUCT(--(Sens!$R$11399:$AA$11399&lt;Sens!S$11399),--(Sens!$R$11399:$AA$11399&gt;=Sens!S$11399-tk_life),Sens!$R$11434:$AA$11434))/tk_life</f>
        <v>0.183212798365523</v>
      </c>
      <c r="T11439" s="38" t="n">
        <f aca="false">(SUMPRODUCT(--(Sens!$R$11399:$AA$11399&lt;Sens!T$11399),--(Sens!$R$11399:$AA$11399&gt;=Sens!T$11399-tk_life),Sens!$R$11436:$AA$11436)+SUMPRODUCT(--(Sens!$R$11399:$AA$11399&lt;Sens!T$11399),--(Sens!$R$11399:$AA$11399&gt;=Sens!T$11399-tk_life),Sens!$R$11434:$AA$11434))/tk_life</f>
        <v>1.55872349836552</v>
      </c>
      <c r="U11439" s="38" t="n">
        <f aca="false">(SUMPRODUCT(--(Sens!$R$11399:$AA$11399&lt;Sens!U$11399),--(Sens!$R$11399:$AA$11399&gt;=Sens!U$11399-tk_life),Sens!$R$11436:$AA$11436)+SUMPRODUCT(--(Sens!$R$11399:$AA$11399&lt;Sens!U$11399),--(Sens!$R$11399:$AA$11399&gt;=Sens!U$11399-tk_life),Sens!$R$11434:$AA$11434))/tk_life</f>
        <v>9.4517007316657</v>
      </c>
      <c r="V11439" s="38" t="n">
        <f aca="false">(SUMPRODUCT(--(Sens!$R$11399:$AA$11399&lt;Sens!V$11399),--(Sens!$R$11399:$AA$11399&gt;=Sens!V$11399-tk_life),Sens!$R$11436:$AA$11436)+SUMPRODUCT(--(Sens!$R$11399:$AA$11399&lt;Sens!V$11399),--(Sens!$R$11399:$AA$11399&gt;=Sens!V$11399-tk_life),Sens!$R$11434:$AA$11434))/tk_life</f>
        <v>27.2822988413376</v>
      </c>
      <c r="W11439" s="38" t="n">
        <f aca="false">(SUMPRODUCT(--(Sens!$R$11399:$AA$11399&lt;Sens!W$11399),--(Sens!$R$11399:$AA$11399&gt;=Sens!W$11399-tk_life),Sens!$R$11436:$AA$11436)+SUMPRODUCT(--(Sens!$R$11399:$AA$11399&lt;Sens!W$11399),--(Sens!$R$11399:$AA$11399&gt;=Sens!W$11399-tk_life),Sens!$R$11434:$AA$11434))/tk_life</f>
        <v>56.5439995605568</v>
      </c>
      <c r="X11439" s="38" t="n">
        <f aca="false">(SUMPRODUCT(--(Sens!$R$11399:$AA$11399&lt;Sens!X$11399),--(Sens!$R$11399:$AA$11399&gt;=Sens!X$11399-tk_life),Sens!$R$11436:$AA$11436)+SUMPRODUCT(--(Sens!$R$11399:$AA$11399&lt;Sens!X$11399),--(Sens!$R$11399:$AA$11399&gt;=Sens!X$11399-tk_life),Sens!$R$11434:$AA$11434))/tk_life</f>
        <v>82.9773143789735</v>
      </c>
      <c r="Y11439" s="38" t="n">
        <f aca="false">(SUMPRODUCT(--(Sens!$R$11399:$AA$11399&lt;Sens!Y$11399),--(Sens!$R$11399:$AA$11399&gt;=Sens!Y$11399-tk_life),Sens!$R$11436:$AA$11436)+SUMPRODUCT(--(Sens!$R$11399:$AA$11399&lt;Sens!Y$11399),--(Sens!$R$11399:$AA$11399&gt;=Sens!Y$11399-tk_life),Sens!$R$11434:$AA$11434))/tk_life</f>
        <v>110.100211099025</v>
      </c>
      <c r="Z11439" s="38" t="n">
        <f aca="false">(SUMPRODUCT(--(Sens!$R$11399:$AA$11399&lt;Sens!Z$11399),--(Sens!$R$11399:$AA$11399&gt;=Sens!Z$11399-tk_life),Sens!$R$11436:$AA$11436)+SUMPRODUCT(--(Sens!$R$11399:$AA$11399&lt;Sens!Z$11399),--(Sens!$R$11399:$AA$11399&gt;=Sens!Z$11399-tk_life),Sens!$R$11434:$AA$11434))/tk_life</f>
        <v>129.16895011128</v>
      </c>
      <c r="AA11439" s="38" t="n">
        <f aca="false">(SUMPRODUCT(--(Sens!$R$11399:$AA$11399&lt;Sens!AA$11399),--(Sens!$R$11399:$AA$11399&gt;=Sens!AA$11399-tk_life),Sens!$R$11436:$AA$11436)+SUMPRODUCT(--(Sens!$R$11399:$AA$11399&lt;Sens!AA$11399),--(Sens!$R$11399:$AA$11399&gt;=Sens!AA$11399-tk_life),Sens!$R$11434:$AA$11434))/tk_life</f>
        <v>140.095130984075</v>
      </c>
    </row>
    <row r="11440" customFormat="false" ht="17.15" hidden="false" customHeight="false" outlineLevel="0" collapsed="false">
      <c r="A11440" s="0" t="s">
        <v>649</v>
      </c>
      <c r="B11440" s="0" t="s">
        <v>86</v>
      </c>
      <c r="C11440" s="38" t="n">
        <f aca="false">Sens!$S$11440</f>
        <v>0.0202511502553155</v>
      </c>
      <c r="D11440" s="38" t="n">
        <f aca="false">Sens!$T$11440</f>
        <v>0.172291150255315</v>
      </c>
      <c r="E11440" s="38" t="n">
        <f aca="false">Sens!$G$11440/2</f>
        <v>0.522364740326067</v>
      </c>
      <c r="F11440" s="38" t="n">
        <f aca="false">Sens!$G$11440/2</f>
        <v>0.522364740326067</v>
      </c>
      <c r="G11440" s="38" t="n">
        <f aca="false">Sens!$U$11440</f>
        <v>1.04472948065213</v>
      </c>
      <c r="H11440" s="38" t="n">
        <f aca="false">Sens!$V$11440</f>
        <v>2.76361866736136</v>
      </c>
      <c r="I11440" s="38" t="n">
        <f aca="false">Sens!$W$11440</f>
        <v>5.42824377125863</v>
      </c>
      <c r="J11440" s="38" t="n">
        <f aca="false">Sens!$X$11440</f>
        <v>7.73057282125864</v>
      </c>
      <c r="K11440" s="38" t="n">
        <f aca="false">Sens!$Y$11440</f>
        <v>10.0329018712586</v>
      </c>
      <c r="L11440" s="38" t="n">
        <f aca="false">Sens!$Z$11440</f>
        <v>11.661546221342</v>
      </c>
      <c r="M11440" s="38" t="n">
        <f aca="false">Sens!$AA$11440</f>
        <v>12.6165058715086</v>
      </c>
      <c r="N11440" s="38" t="n">
        <f aca="false">Sens!$D$11440/2</f>
        <v>0.0861455751276577</v>
      </c>
      <c r="O11440" s="38" t="n">
        <f aca="false">Sens!$D$11440/2</f>
        <v>0.0861455751276577</v>
      </c>
      <c r="R11440" s="38" t="n">
        <f aca="false">(SUMPRODUCT(--(Sens!$R$11399:$AA$11399&lt;Sens!R$11399),Sens!$R$11437:$AA$11437)+SUMPRODUCT(--(Sens!$R$11399:$AA$11399&lt;Sens!R$11399),Sens!$R$11435:$AA$11435))/fac_life</f>
        <v>0</v>
      </c>
      <c r="S11440" s="38" t="n">
        <f aca="false">(SUMPRODUCT(--(Sens!$R$11399:$AA$11399&lt;Sens!S$11399),Sens!$R$11437:$AA$11437)+SUMPRODUCT(--(Sens!$R$11399:$AA$11399&lt;Sens!S$11399),Sens!$R$11435:$AA$11435))/fac_life</f>
        <v>0.0202511502553155</v>
      </c>
      <c r="T11440" s="38" t="n">
        <f aca="false">(SUMPRODUCT(--(Sens!$R$11399:$AA$11399&lt;Sens!T$11399),Sens!$R$11437:$AA$11437)+SUMPRODUCT(--(Sens!$R$11399:$AA$11399&lt;Sens!T$11399),Sens!$R$11435:$AA$11435))/fac_life</f>
        <v>0.172291150255315</v>
      </c>
      <c r="U11440" s="38" t="n">
        <f aca="false">(SUMPRODUCT(--(Sens!$R$11399:$AA$11399&lt;Sens!U$11399),Sens!$R$11437:$AA$11437)+SUMPRODUCT(--(Sens!$R$11399:$AA$11399&lt;Sens!U$11399),Sens!$R$11435:$AA$11435))/fac_life</f>
        <v>1.04472948065213</v>
      </c>
      <c r="V11440" s="38" t="n">
        <f aca="false">(SUMPRODUCT(--(Sens!$R$11399:$AA$11399&lt;Sens!V$11399),Sens!$R$11437:$AA$11437)+SUMPRODUCT(--(Sens!$R$11399:$AA$11399&lt;Sens!V$11399),Sens!$R$11435:$AA$11435))/fac_life</f>
        <v>2.76361866736136</v>
      </c>
      <c r="W11440" s="38" t="n">
        <f aca="false">(SUMPRODUCT(--(Sens!$R$11399:$AA$11399&lt;Sens!W$11399),Sens!$R$11437:$AA$11437)+SUMPRODUCT(--(Sens!$R$11399:$AA$11399&lt;Sens!W$11399),Sens!$R$11435:$AA$11435))/fac_life</f>
        <v>5.42824377125863</v>
      </c>
      <c r="X11440" s="38" t="n">
        <f aca="false">(SUMPRODUCT(--(Sens!$R$11399:$AA$11399&lt;Sens!X$11399),Sens!$R$11437:$AA$11437)+SUMPRODUCT(--(Sens!$R$11399:$AA$11399&lt;Sens!X$11399),Sens!$R$11435:$AA$11435))/fac_life</f>
        <v>7.73057282125864</v>
      </c>
      <c r="Y11440" s="38" t="n">
        <f aca="false">(SUMPRODUCT(--(Sens!$R$11399:$AA$11399&lt;Sens!Y$11399),Sens!$R$11437:$AA$11437)+SUMPRODUCT(--(Sens!$R$11399:$AA$11399&lt;Sens!Y$11399),Sens!$R$11435:$AA$11435))/fac_life</f>
        <v>10.0329018712586</v>
      </c>
      <c r="Z11440" s="38" t="n">
        <f aca="false">(SUMPRODUCT(--(Sens!$R$11399:$AA$11399&lt;Sens!Z$11399),Sens!$R$11437:$AA$11437)+SUMPRODUCT(--(Sens!$R$11399:$AA$11399&lt;Sens!Z$11399),Sens!$R$11435:$AA$11435))/fac_life</f>
        <v>11.661546221342</v>
      </c>
      <c r="AA11440" s="38" t="n">
        <f aca="false">(SUMPRODUCT(--(Sens!$R$11399:$AA$11399&lt;Sens!AA$11399),Sens!$R$11437:$AA$11437)+SUMPRODUCT(--(Sens!$R$11399:$AA$11399&lt;Sens!AA$11399),Sens!$R$11435:$AA$11435))/fac_life</f>
        <v>12.6165058715086</v>
      </c>
    </row>
    <row r="11441" customFormat="false" ht="17.15" hidden="false" customHeight="false" outlineLevel="0" collapsed="false">
      <c r="A11441" s="1" t="s">
        <v>650</v>
      </c>
      <c r="B11441" s="8" t="s">
        <v>86</v>
      </c>
      <c r="C11441" s="38" t="n">
        <f aca="false">Sens!$C$11439+Sens!$C$11440</f>
        <v>0.203463948620839</v>
      </c>
      <c r="D11441" s="38" t="n">
        <f aca="false">Sens!$D$11439+Sens!$D$11440</f>
        <v>1.73101464862084</v>
      </c>
      <c r="E11441" s="38" t="n">
        <f aca="false">Sens!$E$11439+Sens!$E$11440</f>
        <v>5.24821510615892</v>
      </c>
      <c r="F11441" s="38" t="n">
        <f aca="false">Sens!$F$11439+Sens!$F$11440</f>
        <v>5.24821510615892</v>
      </c>
      <c r="G11441" s="38" t="n">
        <f aca="false">Sens!$G$11439+Sens!$G$11440</f>
        <v>10.4964302123178</v>
      </c>
      <c r="H11441" s="38" t="n">
        <f aca="false">Sens!$H$11439+Sens!$H$11440</f>
        <v>30.045917508699</v>
      </c>
      <c r="I11441" s="38" t="n">
        <f aca="false">Sens!$I$11439+Sens!$I$11440</f>
        <v>61.9722433318155</v>
      </c>
      <c r="J11441" s="38" t="n">
        <f aca="false">Sens!$J$11439+Sens!$J$11440</f>
        <v>90.7078872002321</v>
      </c>
      <c r="K11441" s="38" t="n">
        <f aca="false">Sens!$K$11439+Sens!$K$11440</f>
        <v>120.133112970283</v>
      </c>
      <c r="L11441" s="38" t="n">
        <f aca="false">Sens!$L$11439+Sens!$L$11440</f>
        <v>140.830496332622</v>
      </c>
      <c r="M11441" s="38" t="n">
        <f aca="false">Sens!$M$11439+Sens!$M$11440</f>
        <v>152.711636855584</v>
      </c>
      <c r="N11441" s="38" t="n">
        <f aca="false">Sens!$N$11439+Sens!$N$11440</f>
        <v>0.865507324310419</v>
      </c>
      <c r="O11441" s="38" t="n">
        <f aca="false">Sens!$O$11439+Sens!$O$11440</f>
        <v>0.865507324310419</v>
      </c>
      <c r="R11441" s="38" t="n">
        <f aca="false">Sens!$R$11439+Sens!$R$11440</f>
        <v>0</v>
      </c>
      <c r="S11441" s="38" t="n">
        <f aca="false">Sens!$S$11439+Sens!$S$11440</f>
        <v>0.203463948620839</v>
      </c>
      <c r="T11441" s="38" t="n">
        <f aca="false">Sens!$T$11439+Sens!$T$11440</f>
        <v>1.73101464862084</v>
      </c>
      <c r="U11441" s="38" t="n">
        <f aca="false">Sens!$U$11439+Sens!$U$11440</f>
        <v>10.4964302123178</v>
      </c>
      <c r="V11441" s="38" t="n">
        <f aca="false">Sens!$V$11439+Sens!$V$11440</f>
        <v>30.045917508699</v>
      </c>
      <c r="W11441" s="38" t="n">
        <f aca="false">Sens!$W$11439+Sens!$W$11440</f>
        <v>61.9722433318155</v>
      </c>
      <c r="X11441" s="38" t="n">
        <f aca="false">Sens!$X$11439+Sens!$X$11440</f>
        <v>90.7078872002321</v>
      </c>
      <c r="Y11441" s="38" t="n">
        <f aca="false">Sens!$Y$11439+Sens!$Y$11440</f>
        <v>120.133112970283</v>
      </c>
      <c r="Z11441" s="38" t="n">
        <f aca="false">Sens!$Z$11439+Sens!$Z$11440</f>
        <v>140.830496332622</v>
      </c>
      <c r="AA11441" s="38" t="n">
        <f aca="false">Sens!$AA$11439+Sens!$AA$11440</f>
        <v>152.711636855584</v>
      </c>
    </row>
    <row r="11442" customFormat="false" ht="17.15" hidden="false" customHeight="false" outlineLevel="0" collapsed="false">
      <c r="A11442" s="0" t="s">
        <v>651</v>
      </c>
      <c r="B11442" s="0" t="s">
        <v>86</v>
      </c>
      <c r="C11442" s="38" t="n">
        <f aca="false">Sens!$S$11442</f>
        <v>26.578941154416</v>
      </c>
      <c r="D11442" s="38" t="n">
        <f aca="false">Sens!$T$11442</f>
        <v>94.4165581367978</v>
      </c>
      <c r="G11442" s="38" t="n">
        <f aca="false">Sens!$U$11442</f>
        <v>236.826599034204</v>
      </c>
      <c r="H11442" s="38" t="n">
        <f aca="false">Sens!$V$11442</f>
        <v>405.352046470255</v>
      </c>
      <c r="I11442" s="38" t="n">
        <f aca="false">Sens!$W$11442</f>
        <v>548.02627304894</v>
      </c>
      <c r="J11442" s="38" t="n">
        <f aca="false">Sens!$X$11442</f>
        <v>667.201623959208</v>
      </c>
      <c r="K11442" s="38" t="n">
        <f aca="false">Sens!$Y$11442</f>
        <v>702.306896264125</v>
      </c>
      <c r="L11442" s="38" t="n">
        <f aca="false">Sens!$Z$11442</f>
        <v>693.490541571405</v>
      </c>
      <c r="M11442" s="38" t="n">
        <f aca="false">Sens!$AA$11442</f>
        <v>673.009886375674</v>
      </c>
      <c r="R11442" s="38" t="n">
        <f aca="false">SUM(Sens!$R$11429:$R$11429)-SUM(Sens!$R$11441:$R$11441)</f>
        <v>1.50429979529945</v>
      </c>
      <c r="S11442" s="38" t="n">
        <f aca="false">SUM(Sens!$R$11429:$S$11429)-SUM(Sens!$R$11441:$S$11441)</f>
        <v>26.578941154416</v>
      </c>
      <c r="T11442" s="38" t="n">
        <f aca="false">SUM(Sens!$R$11429:$T$11429)-SUM(Sens!$R$11441:$T$11441)</f>
        <v>94.4165581367978</v>
      </c>
      <c r="U11442" s="38" t="n">
        <f aca="false">SUM(Sens!$R$11429:$U$11429)-SUM(Sens!$R$11441:$U$11441)</f>
        <v>236.826599034204</v>
      </c>
      <c r="V11442" s="38" t="n">
        <f aca="false">SUM(Sens!$R$11429:$V$11429)-SUM(Sens!$R$11441:$V$11441)</f>
        <v>405.352046470255</v>
      </c>
      <c r="W11442" s="38" t="n">
        <f aca="false">SUM(Sens!$R$11429:$W$11429)-SUM(Sens!$R$11441:$W$11441)</f>
        <v>548.02627304894</v>
      </c>
      <c r="X11442" s="38" t="n">
        <f aca="false">SUM(Sens!$R$11429:$X$11429)-SUM(Sens!$R$11441:$X$11441)</f>
        <v>667.201623959208</v>
      </c>
      <c r="Y11442" s="38" t="n">
        <f aca="false">SUM(Sens!$R$11429:$Y$11429)-SUM(Sens!$R$11441:$Y$11441)</f>
        <v>702.306896264125</v>
      </c>
      <c r="Z11442" s="38" t="n">
        <f aca="false">SUM(Sens!$R$11429:$Z$11429)-SUM(Sens!$R$11441:$Z$11441)</f>
        <v>693.490541571405</v>
      </c>
      <c r="AA11442" s="38" t="n">
        <f aca="false">SUM(Sens!$R$11429:$AA$11429)-SUM(Sens!$R$11441:$AA$11441)</f>
        <v>673.009886375674</v>
      </c>
    </row>
    <row r="11443" customFormat="false" ht="17.15" hidden="false" customHeight="false" outlineLevel="0" collapsed="false">
      <c r="A11443" s="1" t="s">
        <v>652</v>
      </c>
    </row>
    <row r="11444" customFormat="false" ht="17.15" hidden="false" customHeight="false" outlineLevel="0" collapsed="false">
      <c r="A11444" s="0" t="s">
        <v>653</v>
      </c>
      <c r="B11444" s="0" t="s">
        <v>86</v>
      </c>
      <c r="C11444" s="38" t="n">
        <f aca="false">Sens!$C$11420-ext_sh*Sens!$C$11422</f>
        <v>1.80694998843362</v>
      </c>
      <c r="D11444" s="38" t="n">
        <f aca="false">Sens!$D$11420-ext_sh*Sens!$D$11422</f>
        <v>6.77606245662607</v>
      </c>
      <c r="E11444" s="38" t="n">
        <f aca="false">Sens!$E$11420-ext_sh*Sens!$E$11422</f>
        <v>6.62548329092326</v>
      </c>
      <c r="F11444" s="38" t="n">
        <f aca="false">Sens!$F$11420-ext_sh*Sens!$F$11422</f>
        <v>10.8940413794839</v>
      </c>
      <c r="G11444" s="38" t="n">
        <f aca="false">Sens!$G$11420-ext_sh*Sens!$G$11422</f>
        <v>17.5195246704072</v>
      </c>
      <c r="H11444" s="38" t="n">
        <f aca="false">Sens!$H$11420-ext_sh*Sens!$H$11422</f>
        <v>40.7735721541341</v>
      </c>
      <c r="I11444" s="38" t="n">
        <f aca="false">Sens!$I$11420-ext_sh*Sens!$I$11422</f>
        <v>66.8500163832358</v>
      </c>
      <c r="J11444" s="38" t="n">
        <f aca="false">Sens!$J$11420-ext_sh*Sens!$J$11422</f>
        <v>93.0640470849174</v>
      </c>
      <c r="K11444" s="38" t="n">
        <f aca="false">Sens!$K$11420-ext_sh*Sens!$K$11422</f>
        <v>115.424757703147</v>
      </c>
      <c r="L11444" s="38" t="n">
        <f aca="false">Sens!$L$11420-ext_sh*Sens!$L$11422</f>
        <v>130.120169833198</v>
      </c>
      <c r="M11444" s="38" t="n">
        <f aca="false">Sens!$M$11420-ext_sh*Sens!$M$11422</f>
        <v>137.12790595888</v>
      </c>
      <c r="N11444" s="38" t="n">
        <f aca="false">Sens!$N$11420-ext_sh*Sens!$N$11422</f>
        <v>2.37162185981912</v>
      </c>
      <c r="O11444" s="38" t="n">
        <f aca="false">Sens!$O$11420-ext_sh*Sens!$O$11422</f>
        <v>4.40444059680694</v>
      </c>
    </row>
    <row r="11445" customFormat="false" ht="17.15" hidden="false" customHeight="false" outlineLevel="0" collapsed="false">
      <c r="A11445" s="1" t="s">
        <v>654</v>
      </c>
      <c r="B11445" s="8" t="s">
        <v>86</v>
      </c>
      <c r="C11445" s="38" t="n">
        <f aca="false">Sens!$C$11444-ext_sh*Sens!$C$11441</f>
        <v>1.64417882953695</v>
      </c>
      <c r="D11445" s="38" t="n">
        <f aca="false">Sens!$D$11444-ext_sh*Sens!$D$11441</f>
        <v>5.39125073772939</v>
      </c>
      <c r="E11445" s="38" t="n">
        <f aca="false">Sens!$E$11444-ext_sh*Sens!$E$11441</f>
        <v>2.42691120599613</v>
      </c>
      <c r="F11445" s="38" t="n">
        <f aca="false">Sens!$F$11444-ext_sh*Sens!$F$11441</f>
        <v>6.69546929455678</v>
      </c>
      <c r="G11445" s="38" t="n">
        <f aca="false">Sens!$G$11444-ext_sh*Sens!$G$11441</f>
        <v>9.1223805005529</v>
      </c>
      <c r="H11445" s="38" t="n">
        <f aca="false">Sens!$H$11444-ext_sh*Sens!$H$11441</f>
        <v>16.7368381471749</v>
      </c>
      <c r="I11445" s="38" t="n">
        <f aca="false">Sens!$I$11444-ext_sh*Sens!$I$11441</f>
        <v>17.2722217177834</v>
      </c>
      <c r="J11445" s="38" t="n">
        <f aca="false">Sens!$J$11444-ext_sh*Sens!$J$11441</f>
        <v>20.4977373247316</v>
      </c>
      <c r="K11445" s="38" t="n">
        <f aca="false">Sens!$K$11444-ext_sh*Sens!$K$11441</f>
        <v>19.3182673269205</v>
      </c>
      <c r="L11445" s="38" t="n">
        <f aca="false">Sens!$L$11444-ext_sh*Sens!$L$11441</f>
        <v>17.4557727670999</v>
      </c>
      <c r="M11445" s="38" t="n">
        <f aca="false">Sens!$M$11444-ext_sh*Sens!$M$11441</f>
        <v>14.958596474413</v>
      </c>
      <c r="N11445" s="38" t="n">
        <f aca="false">Sens!$N$11444-ext_sh*Sens!$N$11441</f>
        <v>1.67921600037079</v>
      </c>
      <c r="O11445" s="38" t="n">
        <f aca="false">Sens!$O$11444-ext_sh*Sens!$O$11441</f>
        <v>3.71203473735861</v>
      </c>
    </row>
    <row r="11446" customFormat="false" ht="17.15" hidden="false" customHeight="false" outlineLevel="0" collapsed="false">
      <c r="A11446" s="0" t="s">
        <v>655</v>
      </c>
      <c r="B11446" s="0" t="s">
        <v>52</v>
      </c>
      <c r="C11446" s="13" t="n">
        <f aca="false">Sens!$C$11445/Sens!$C$11420</f>
        <v>0.708390794789371</v>
      </c>
      <c r="D11446" s="13" t="n">
        <f aca="false">Sens!$D$11445/Sens!$D$11420</f>
        <v>0.619415573115729</v>
      </c>
      <c r="E11446" s="13" t="n">
        <f aca="false">Sens!$E$11445/Sens!$E$11420</f>
        <v>0.285171627189009</v>
      </c>
      <c r="F11446" s="13" t="n">
        <f aca="false">Sens!$F$11445/Sens!$F$11420</f>
        <v>0.47359918353757</v>
      </c>
      <c r="G11446" s="13" t="n">
        <f aca="false">Sens!$G$11445/Sens!$G$11420</f>
        <v>0.402793757893083</v>
      </c>
      <c r="H11446" s="13" t="n">
        <f aca="false">Sens!$H$11445/Sens!$H$11420</f>
        <v>0.31329316068603</v>
      </c>
      <c r="I11446" s="13" t="n">
        <f aca="false">Sens!$I$11445/Sens!$I$11420</f>
        <v>0.196722911562407</v>
      </c>
      <c r="J11446" s="13" t="n">
        <f aca="false">Sens!$J$11445/Sens!$J$11420</f>
        <v>0.167560813387199</v>
      </c>
      <c r="K11446" s="13" t="n">
        <f aca="false">Sens!$K$11445/Sens!$K$11420</f>
        <v>0.12727098283806</v>
      </c>
      <c r="L11446" s="13" t="n">
        <f aca="false">Sens!$L$11445/Sens!$L$11420</f>
        <v>0.101991895747882</v>
      </c>
      <c r="M11446" s="13" t="n">
        <f aca="false">Sens!$M$11445/Sens!$M$11420</f>
        <v>0.0829256040915033</v>
      </c>
      <c r="N11446" s="13" t="n">
        <f aca="false">Sens!$N$11445/Sens!$N$11420</f>
        <v>0.551227795793364</v>
      </c>
      <c r="O11446" s="13" t="n">
        <f aca="false">Sens!$O$11445/Sens!$O$11420</f>
        <v>0.656132068597002</v>
      </c>
    </row>
    <row r="11447" customFormat="false" ht="17.15" hidden="false" customHeight="false" outlineLevel="0" collapsed="false">
      <c r="A11447" s="5" t="s">
        <v>656</v>
      </c>
      <c r="B11447" s="0" t="s">
        <v>86</v>
      </c>
      <c r="C11447" s="39" t="n">
        <v>0</v>
      </c>
      <c r="D11447" s="39" t="n">
        <v>0</v>
      </c>
      <c r="E11447" s="39" t="n">
        <v>0</v>
      </c>
      <c r="F11447" s="38" t="n">
        <f aca="false">IF(1=2,1,0)*(1-ext_sh)/ext_sh*(mw_open*he_open+Sens!$F$11418*Sens!$F$11415)*Sens!$F$11404/1000</f>
        <v>0</v>
      </c>
      <c r="G11447" s="38" t="n">
        <f aca="false">Sens!$E$11447+Sens!$F$11447</f>
        <v>0</v>
      </c>
      <c r="H11447" s="38" t="n">
        <f aca="false">IF(1=2,1,0)*(1-ext_sh)/ext_sh*(mw_open*he_open+Sens!$H$11418*Sens!$H$11415)*Sens!$H$11404/1000</f>
        <v>0</v>
      </c>
      <c r="I11447" s="38" t="n">
        <f aca="false">IF(1=2,1,0)*(1-ext_sh)/ext_sh*(mw_open*he_open+Sens!$I$11418*Sens!$I$11415)*Sens!$I$11404/1000</f>
        <v>0</v>
      </c>
      <c r="J11447" s="38" t="n">
        <f aca="false">IF(1=2,1,0)*(1-ext_sh)/ext_sh*(mw_open*he_open+Sens!$J$11418*Sens!$J$11415)*Sens!$J$11404/1000</f>
        <v>0</v>
      </c>
      <c r="K11447" s="38" t="n">
        <f aca="false">IF(1=2,1,0)*(1-ext_sh)/ext_sh*(mw_open*he_open+Sens!$K$11418*Sens!$K$11415)*Sens!$K$11404/1000</f>
        <v>0</v>
      </c>
      <c r="L11447" s="38" t="n">
        <f aca="false">IF(1=2,1,0)*(1-ext_sh)/ext_sh*(mw_open*he_open+Sens!$L$11418*Sens!$L$11415)*Sens!$L$11404/1000</f>
        <v>0</v>
      </c>
      <c r="M11447" s="38" t="n">
        <f aca="false">IF(1=2,1,0)*(1-ext_sh)/ext_sh*(mw_open*he_open+Sens!$M$11418*Sens!$M$11415)*Sens!$M$11404/1000</f>
        <v>0</v>
      </c>
      <c r="N11447" s="39" t="n">
        <v>0</v>
      </c>
      <c r="O11447" s="39" t="n">
        <v>0</v>
      </c>
      <c r="P11447" s="8" t="s">
        <v>657</v>
      </c>
    </row>
    <row r="11448" customFormat="false" ht="17.15" hidden="false" customHeight="false" outlineLevel="0" collapsed="false">
      <c r="A11448" s="5" t="s">
        <v>658</v>
      </c>
      <c r="B11448" s="0" t="s">
        <v>86</v>
      </c>
      <c r="C11448" s="38" t="n">
        <f aca="false">(1-ext_sh)*(Sens!$C$11422+Sens!$C$11441)</f>
        <v>0.169206631859174</v>
      </c>
      <c r="D11448" s="38" t="n">
        <f aca="false">(1-ext_sh)*(Sens!$D$11422+Sens!$D$11441)</f>
        <v>0.828129837730442</v>
      </c>
      <c r="E11448" s="38" t="n">
        <f aca="false">(1-ext_sh)*(Sens!$E$11422+Sens!$E$11441)</f>
        <v>1.52086044239347</v>
      </c>
      <c r="F11448" s="38" t="n">
        <f aca="false">(1-ext_sh)*(Sens!$F$11422+Sens!$F$11441)</f>
        <v>1.86048700344425</v>
      </c>
      <c r="G11448" s="38" t="n">
        <f aca="false">(1-ext_sh)*(Sens!$G$11422+Sens!$G$11441)</f>
        <v>3.38134744583772</v>
      </c>
      <c r="H11448" s="38" t="n">
        <f aca="false">(1-ext_sh)*(Sens!$H$11422+Sens!$H$11441)</f>
        <v>9.17136301267211</v>
      </c>
      <c r="I11448" s="38" t="n">
        <f aca="false">(1-ext_sh)*(Sens!$I$11422+Sens!$I$11441)</f>
        <v>17.6318811343794</v>
      </c>
      <c r="J11448" s="38" t="n">
        <f aca="false">(1-ext_sh)*(Sens!$J$11422+Sens!$J$11441)</f>
        <v>25.4581000191451</v>
      </c>
      <c r="K11448" s="38" t="n">
        <f aca="false">(1-ext_sh)*(Sens!$K$11422+Sens!$K$11441)</f>
        <v>33.1175498168092</v>
      </c>
      <c r="L11448" s="38" t="n">
        <f aca="false">(1-ext_sh)*(Sens!$L$11422+Sens!$L$11441)</f>
        <v>38.4232131776135</v>
      </c>
      <c r="M11448" s="38" t="n">
        <f aca="false">(1-ext_sh)*(Sens!$M$11422+Sens!$M$11441)</f>
        <v>41.3567859278847</v>
      </c>
      <c r="N11448" s="38" t="n">
        <f aca="false">(1-ext_sh)*(Sens!$N$11422+Sens!$N$11441)</f>
        <v>0.34177588266428</v>
      </c>
      <c r="O11448" s="38" t="n">
        <f aca="false">(1-ext_sh)*(Sens!$O$11422+Sens!$O$11441)</f>
        <v>0.486353955066162</v>
      </c>
    </row>
    <row r="11449" customFormat="false" ht="17.15" hidden="false" customHeight="false" outlineLevel="0" collapsed="false">
      <c r="A11449" s="0" t="s">
        <v>659</v>
      </c>
      <c r="B11449" s="0" t="s">
        <v>86</v>
      </c>
      <c r="C11449" s="38" t="n">
        <f aca="false">Q!$D$24</f>
        <v>39.834</v>
      </c>
      <c r="D11449" s="38" t="n">
        <f aca="false">Q!$E$24</f>
        <v>45.606</v>
      </c>
      <c r="E11449" s="38" t="n">
        <f aca="false">Q!$P$24</f>
        <v>30.782</v>
      </c>
      <c r="N11449" s="38" t="n">
        <f aca="false">Q!$N$24</f>
        <v>21.707</v>
      </c>
      <c r="O11449" s="38" t="n">
        <f aca="false">Q!$O$24</f>
        <v>23.899</v>
      </c>
    </row>
    <row r="11450" customFormat="false" ht="17.15" hidden="false" customHeight="false" outlineLevel="0" collapsed="false">
      <c r="A11450" s="0" t="s">
        <v>660</v>
      </c>
      <c r="B11450" s="0" t="s">
        <v>86</v>
      </c>
      <c r="C11450" s="38" t="n">
        <f aca="false">Sens!$C$11449-Sens!$C$11445</f>
        <v>38.1898211704631</v>
      </c>
      <c r="D11450" s="38" t="n">
        <f aca="false">Sens!$D$11449-Sens!$D$11445</f>
        <v>40.2147492622706</v>
      </c>
      <c r="E11450" s="38" t="n">
        <f aca="false">Sens!$E$11449-Sens!$E$11445</f>
        <v>28.3550887940039</v>
      </c>
      <c r="F11450" s="38" t="n">
        <f aca="false">Sens!$F$11424*Sens!$F$11451</f>
        <v>25.9529793149447</v>
      </c>
      <c r="G11450" s="38" t="n">
        <f aca="false">Sens!$E$11450+Sens!$F$11450</f>
        <v>54.3080681089486</v>
      </c>
      <c r="H11450" s="38" t="n">
        <f aca="false">Sens!$H$11424*Sens!$H$11451</f>
        <v>58.2264684589333</v>
      </c>
      <c r="I11450" s="38" t="n">
        <f aca="false">Sens!$I$11424*Sens!$I$11451</f>
        <v>64.6461353851744</v>
      </c>
      <c r="J11450" s="38" t="n">
        <f aca="false">Sens!$J$11424*Sens!$J$11451</f>
        <v>70.7957093610231</v>
      </c>
      <c r="K11450" s="38" t="n">
        <f aca="false">Sens!$K$11424*Sens!$K$11451</f>
        <v>76.4593661099049</v>
      </c>
      <c r="L11450" s="38" t="n">
        <f aca="false">Sens!$L$11424*Sens!$L$11451</f>
        <v>82.5761153986973</v>
      </c>
      <c r="M11450" s="38" t="n">
        <f aca="false">Sens!$M$11424*Sens!$M$11451</f>
        <v>89.1822046305931</v>
      </c>
      <c r="N11450" s="38" t="n">
        <f aca="false">Sens!$N$11449-Sens!$N$11445</f>
        <v>20.0277839996292</v>
      </c>
      <c r="O11450" s="38" t="n">
        <f aca="false">Sens!$O$11449-Sens!$O$11445</f>
        <v>20.1869652626414</v>
      </c>
      <c r="P11450" s="5" t="s">
        <v>661</v>
      </c>
    </row>
    <row r="11451" customFormat="false" ht="17.15" hidden="false" customHeight="false" outlineLevel="0" collapsed="false">
      <c r="A11451" s="0" t="s">
        <v>662</v>
      </c>
      <c r="B11451" s="0" t="s">
        <v>52</v>
      </c>
      <c r="C11451" s="13" t="n">
        <f aca="false">Sens!$C$11450/Sens!$C$11424</f>
        <v>0.362900395443635</v>
      </c>
      <c r="D11451" s="13" t="n">
        <f aca="false">Sens!$D$11450/Sens!$D$11424</f>
        <v>0.335063632425483</v>
      </c>
      <c r="E11451" s="13" t="n">
        <f aca="false">Sens!$E$11450/Sens!$E$11424</f>
        <v>0.397638855555478</v>
      </c>
      <c r="F11451" s="13" t="n">
        <f aca="false">(Sens!$O$11450+Sens!$E$11450)/(Sens!$O$11424+Sens!$E$11424)</f>
        <v>0.361616727338133</v>
      </c>
      <c r="G11451" s="13" t="n">
        <f aca="false">Sens!$G$11450/Sens!$G$11424</f>
        <v>0.379569803149143</v>
      </c>
      <c r="H11451" s="13" t="n">
        <f aca="false">Sens!$F$11451</f>
        <v>0.361616727338133</v>
      </c>
      <c r="I11451" s="13" t="n">
        <f aca="false">Sens!$F$11451</f>
        <v>0.361616727338133</v>
      </c>
      <c r="J11451" s="13" t="n">
        <f aca="false">Sens!$F$11451</f>
        <v>0.361616727338133</v>
      </c>
      <c r="K11451" s="13" t="n">
        <f aca="false">Sens!$F$11451</f>
        <v>0.361616727338133</v>
      </c>
      <c r="L11451" s="13" t="n">
        <f aca="false">Sens!$F$11451</f>
        <v>0.361616727338133</v>
      </c>
      <c r="M11451" s="13" t="n">
        <f aca="false">Sens!$F$11451</f>
        <v>0.361616727338133</v>
      </c>
      <c r="N11451" s="13" t="n">
        <f aca="false">Sens!$N$11450/Sens!$N$11424</f>
        <v>0.35078810535806</v>
      </c>
      <c r="O11451" s="13" t="n">
        <f aca="false">Sens!$O$11450/Sens!$O$11424</f>
        <v>0.320796939361619</v>
      </c>
      <c r="P11451" s="8" t="s">
        <v>663</v>
      </c>
    </row>
    <row r="11452" customFormat="false" ht="17.15" hidden="false" customHeight="false" outlineLevel="0" collapsed="false">
      <c r="A11452" s="0" t="s">
        <v>664</v>
      </c>
      <c r="B11452" s="0" t="s">
        <v>52</v>
      </c>
      <c r="D11452" s="13" t="n">
        <f aca="false">(Q!$E$31-ext_sh*Sens!$D$11441)/Sens!$D$11424</f>
        <v>0.167180325480118</v>
      </c>
    </row>
    <row r="11453" customFormat="false" ht="17.15" hidden="false" customHeight="false" outlineLevel="0" collapsed="false">
      <c r="A11453" s="0" t="s">
        <v>665</v>
      </c>
      <c r="B11453" s="0" t="s">
        <v>86</v>
      </c>
      <c r="C11453" s="38" t="n">
        <f aca="false">Q!$D$31</f>
        <v>13.32</v>
      </c>
      <c r="D11453" s="38" t="n">
        <f aca="false">Q!$E$31</f>
        <v>21.45</v>
      </c>
      <c r="E11453" s="38" t="n">
        <f aca="false">Q!$P$31</f>
        <v>15.353</v>
      </c>
      <c r="F11453" s="38" t="n">
        <f aca="false">ext_sh*Sens!$F$11441+Sens!$D$11452*Sens!$F$11424</f>
        <v>16.1969869840094</v>
      </c>
      <c r="G11453" s="38" t="n">
        <f aca="false">Sens!$E$11453+Sens!$F$11453</f>
        <v>31.5499869840094</v>
      </c>
      <c r="H11453" s="38" t="n">
        <f aca="false">ext_sh*Sens!$H$11441+Sens!$D$11452*Sens!$H$11424</f>
        <v>50.9556213609176</v>
      </c>
      <c r="I11453" s="38" t="n">
        <f aca="false">ext_sh*Sens!$I$11441+Sens!$D$11452*Sens!$I$11424</f>
        <v>79.464581248252</v>
      </c>
      <c r="J11453" s="38" t="n">
        <f aca="false">ext_sh*Sens!$J$11441+Sens!$D$11452*Sens!$J$11424</f>
        <v>105.296127931746</v>
      </c>
      <c r="K11453" s="38" t="n">
        <f aca="false">ext_sh*Sens!$K$11441+Sens!$D$11452*Sens!$K$11424</f>
        <v>131.454694001511</v>
      </c>
      <c r="L11453" s="38" t="n">
        <f aca="false">ext_sh*Sens!$L$11441+Sens!$D$11452*Sens!$L$11424</f>
        <v>150.840456981405</v>
      </c>
      <c r="M11453" s="38" t="n">
        <f aca="false">ext_sh*Sens!$M$11441+Sens!$D$11452*Sens!$M$11424</f>
        <v>163.399454192999</v>
      </c>
      <c r="N11453" s="38" t="n">
        <f aca="false">Q!$N$31</f>
        <v>9.234</v>
      </c>
      <c r="O11453" s="38" t="n">
        <f aca="false">Q!$O$31</f>
        <v>12.216</v>
      </c>
    </row>
    <row r="11454" customFormat="false" ht="17.15" hidden="false" customHeight="false" outlineLevel="0" collapsed="false">
      <c r="A11454" s="1" t="s">
        <v>666</v>
      </c>
    </row>
    <row r="11455" customFormat="false" ht="17.15" hidden="false" customHeight="false" outlineLevel="0" collapsed="false">
      <c r="A11455" s="15" t="s">
        <v>667</v>
      </c>
      <c r="B11455" s="14" t="s">
        <v>52</v>
      </c>
      <c r="C11455" s="14"/>
      <c r="D11455" s="14"/>
      <c r="E11455" s="14"/>
      <c r="F11455" s="14"/>
      <c r="G11455" s="17" t="n">
        <f aca="false">Sens!$G$11445*(1-tax)/(ext_sh*(Sens!$D$11442+Sens!$G$11442)/2)</f>
        <v>0.0568983557584531</v>
      </c>
      <c r="H11455" s="17" t="n">
        <f aca="false">Sens!$H$11445*(1-tax)/(ext_sh*(Sens!$G$11442+Sens!$H$11442)/2)</f>
        <v>0.0538463172089735</v>
      </c>
      <c r="I11455" s="17" t="n">
        <f aca="false">Sens!$I$11445*(1-tax)/(ext_sh*(Sens!$H$11442+Sens!$I$11442)/2)</f>
        <v>0.037430133964047</v>
      </c>
      <c r="J11455" s="17" t="n">
        <f aca="false">Sens!$J$11445*(1-tax)/(ext_sh*(Sens!$I$11442+Sens!$J$11442)/2)</f>
        <v>0.0348487047905188</v>
      </c>
      <c r="K11455" s="17" t="n">
        <f aca="false">Sens!$K$11445*(1-tax)/(ext_sh*(Sens!$J$11442+Sens!$K$11442)/2)</f>
        <v>0.0291435117089215</v>
      </c>
      <c r="L11455" s="17" t="n">
        <f aca="false">Sens!$L$11445*(1-tax)/(ext_sh*(Sens!$K$11442+Sens!$L$11442)/2)</f>
        <v>0.0258377761763353</v>
      </c>
      <c r="M11455" s="17" t="n">
        <f aca="false">Sens!$M$11445*(1-tax)/(ext_sh*(Sens!$L$11442+Sens!$M$11442)/2)</f>
        <v>0.0226161941366143</v>
      </c>
      <c r="N11455" s="14"/>
      <c r="O11455" s="14"/>
      <c r="P11455" s="8" t="s">
        <v>668</v>
      </c>
    </row>
    <row r="11456" customFormat="false" ht="17.15" hidden="false" customHeight="false" outlineLevel="0" collapsed="false">
      <c r="A11456" s="5" t="s">
        <v>669</v>
      </c>
      <c r="B11456" s="0" t="s">
        <v>57</v>
      </c>
      <c r="H11456" s="36" t="n">
        <f aca="false">Sens!$H$11420*1000/(mw_open*he_open+Sens!$H$11418*Sens!$H$11415)</f>
        <v>0.880767940782091</v>
      </c>
      <c r="I11456" s="36" t="n">
        <f aca="false">Sens!$I$11420*1000/(mw_open*he_open+Sens!$I$11418*Sens!$I$11415)</f>
        <v>0.858026572758645</v>
      </c>
      <c r="J11456" s="36" t="n">
        <f aca="false">Sens!$J$11420*1000/(mw_open*he_open+Sens!$J$11418*Sens!$J$11415)</f>
        <v>0.848417499448742</v>
      </c>
      <c r="K11456" s="36" t="n">
        <f aca="false">Sens!$K$11420*1000/(mw_open*he_open+Sens!$K$11418*Sens!$K$11415)</f>
        <v>0.843754578941374</v>
      </c>
      <c r="L11456" s="36" t="n">
        <f aca="false">Sens!$L$11420*1000/(mw_open*he_open+Sens!$L$11418*Sens!$L$11415)</f>
        <v>0.841581849703465</v>
      </c>
      <c r="M11456" s="36" t="n">
        <f aca="false">Sens!$M$11420*1000/(mw_open*he_open+Sens!$M$11418*Sens!$M$11415)</f>
        <v>0.840712687048722</v>
      </c>
    </row>
    <row r="11457" customFormat="false" ht="17.15" hidden="false" customHeight="false" outlineLevel="0" collapsed="false">
      <c r="A11457" s="5" t="s">
        <v>670</v>
      </c>
      <c r="B11457" s="0" t="s">
        <v>57</v>
      </c>
      <c r="H11457" s="36" t="n">
        <f aca="false">Sens!$H$11456*(Sens!$H$11420+wacc*ext_sh*(Sens!$G$11442+Sens!$H$11442)/2/(1-tax)-Sens!$H$11445)/Sens!$H$11420</f>
        <v>1.18542857552197</v>
      </c>
      <c r="I11457" s="36" t="n">
        <f aca="false">Sens!$I$11456*(Sens!$I$11420+wacc*ext_sh*(Sens!$H$11442+Sens!$I$11442)/2/(1-tax)-Sens!$I$11445)/Sens!$I$11420</f>
        <v>1.20015476648903</v>
      </c>
      <c r="J11457" s="36" t="n">
        <f aca="false">Sens!$J$11456*(Sens!$J$11420+wacc*ext_sh*(Sens!$I$11442+Sens!$J$11442)/2/(1-tax)-Sens!$J$11445)/Sens!$J$11420</f>
        <v>1.16844056931249</v>
      </c>
      <c r="K11457" s="36" t="n">
        <f aca="false">Sens!$K$11456*(Sens!$K$11420+wacc*ext_sh*(Sens!$J$11442+Sens!$K$11442)/2/(1-tax)-Sens!$K$11445)/Sens!$K$11420</f>
        <v>1.15383758356873</v>
      </c>
      <c r="L11457" s="36" t="n">
        <f aca="false">Sens!$L$11456*(Sens!$L$11420+wacc*ext_sh*(Sens!$K$11442+Sens!$L$11442)/2/(1-tax)-Sens!$L$11445)/Sens!$L$11420</f>
        <v>1.13212765595665</v>
      </c>
      <c r="M11457" s="36" t="n">
        <f aca="false">Sens!$M$11456*(Sens!$M$11420+wacc*ext_sh*(Sens!$L$11442+Sens!$M$11442)/2/(1-tax)-Sens!$M$11445)/Sens!$M$11420</f>
        <v>1.12024635139935</v>
      </c>
    </row>
    <row r="11458" customFormat="false" ht="17.15" hidden="false" customHeight="false" outlineLevel="0" collapsed="false">
      <c r="A11458" s="5" t="s">
        <v>671</v>
      </c>
      <c r="B11458" s="0" t="s">
        <v>52</v>
      </c>
      <c r="C11458" s="13" t="n">
        <f aca="false">Sens!$C$11421/tk_pq</f>
        <v>0.195316432429398</v>
      </c>
      <c r="D11458" s="13" t="n">
        <f aca="false">Sens!$D$11421/tk_pq</f>
        <v>0.195316432429398</v>
      </c>
      <c r="E11458" s="13" t="n">
        <f aca="false">Sens!$E$11421/tk_pq</f>
        <v>0.195316432429398</v>
      </c>
      <c r="F11458" s="13" t="n">
        <f aca="false">Sens!$F$11421/tk_pq</f>
        <v>0.191077608072499</v>
      </c>
      <c r="G11458" s="13" t="n">
        <f aca="false">Sens!$G$11421/tk_pq</f>
        <v>0.192648675364927</v>
      </c>
      <c r="H11458" s="13" t="n">
        <f aca="false">Sens!$H$11421/tk_pq</f>
        <v>0.188813632292207</v>
      </c>
      <c r="I11458" s="13" t="n">
        <f aca="false">Sens!$I$11421/tk_pq</f>
        <v>0.18967957363228</v>
      </c>
      <c r="J11458" s="13" t="n">
        <f aca="false">Sens!$J$11421/tk_pq</f>
        <v>0.190298617624149</v>
      </c>
      <c r="K11458" s="13" t="n">
        <f aca="false">Sens!$K$11421/tk_pq</f>
        <v>0.190580531494929</v>
      </c>
      <c r="L11458" s="13" t="n">
        <f aca="false">Sens!$L$11421/tk_pq</f>
        <v>0.190712010322094</v>
      </c>
      <c r="M11458" s="13" t="n">
        <f aca="false">Sens!$M$11421/tk_pq</f>
        <v>0.190736894839384</v>
      </c>
      <c r="N11458" s="13" t="n">
        <f aca="false">Sens!$N$11421/tk_pq</f>
        <v>0.195316432429398</v>
      </c>
      <c r="O11458" s="13" t="n">
        <f aca="false">Sens!$O$11421/tk_pq</f>
        <v>0.195316432429398</v>
      </c>
      <c r="P11458" s="5" t="s">
        <v>672</v>
      </c>
    </row>
    <row r="11461" customFormat="false" ht="17.15" hidden="false" customHeight="false" outlineLevel="0" collapsed="false">
      <c r="A11461" s="1" t="s">
        <v>701</v>
      </c>
    </row>
    <row r="11462" customFormat="false" ht="17.15" hidden="false" customHeight="false" outlineLevel="0" collapsed="false">
      <c r="A11462" s="0" t="s">
        <v>702</v>
      </c>
      <c r="B11462" s="0" t="s">
        <v>86</v>
      </c>
      <c r="C11462" s="38" t="n">
        <f aca="false">Sens!$C$11420</f>
        <v>2.32100535697364</v>
      </c>
      <c r="D11462" s="38" t="n">
        <f aca="false">Sens!$D$11420</f>
        <v>8.70377008865116</v>
      </c>
      <c r="E11462" s="38" t="n">
        <f aca="false">Sens!$E$11420</f>
        <v>8.51035297557002</v>
      </c>
      <c r="F11462" s="38" t="n">
        <f aca="false">Sens!$F$11420</f>
        <v>14.1374173083338</v>
      </c>
      <c r="G11462" s="38" t="n">
        <f aca="false">Sens!$G$11420</f>
        <v>22.6477702839038</v>
      </c>
      <c r="H11462" s="38" t="n">
        <f aca="false">Sens!$H$11420</f>
        <v>53.4222901978634</v>
      </c>
      <c r="I11462" s="38" t="n">
        <f aca="false">Sens!$I$11420</f>
        <v>87.7997462553011</v>
      </c>
      <c r="J11462" s="38" t="n">
        <f aca="false">Sens!$J$11420</f>
        <v>122.330137401312</v>
      </c>
      <c r="K11462" s="38" t="n">
        <f aca="false">Sens!$K$11420</f>
        <v>151.788466594157</v>
      </c>
      <c r="L11462" s="38" t="n">
        <f aca="false">Sens!$L$11420</f>
        <v>171.148625477554</v>
      </c>
      <c r="M11462" s="38" t="n">
        <f aca="false">Sens!$M$11420</f>
        <v>180.385740185952</v>
      </c>
      <c r="N11462" s="38" t="n">
        <f aca="false">Sens!$N$11420</f>
        <v>3.04631953102791</v>
      </c>
      <c r="O11462" s="38" t="n">
        <f aca="false">Sens!$O$11420</f>
        <v>5.65745055762326</v>
      </c>
      <c r="P11462" s="8" t="s">
        <v>703</v>
      </c>
    </row>
    <row r="11463" customFormat="false" ht="17.15" hidden="false" customHeight="false" outlineLevel="0" collapsed="false">
      <c r="A11463" s="0" t="s">
        <v>704</v>
      </c>
      <c r="B11463" s="0" t="s">
        <v>86</v>
      </c>
      <c r="C11463" s="38" t="n">
        <f aca="false">Sens!$C$11424</f>
        <v>105.234994643026</v>
      </c>
      <c r="D11463" s="38" t="n">
        <f aca="false">Sens!$D$11424</f>
        <v>120.021229911349</v>
      </c>
      <c r="E11463" s="38" t="n">
        <f aca="false">Sens!$E$11424</f>
        <v>71.30864702443</v>
      </c>
      <c r="F11463" s="38" t="n">
        <f aca="false">Sens!$F$11424</f>
        <v>71.7692997942464</v>
      </c>
      <c r="G11463" s="38" t="n">
        <f aca="false">Sens!$G$11424</f>
        <v>143.077946818676</v>
      </c>
      <c r="H11463" s="38" t="n">
        <f aca="false">Sens!$H$11424</f>
        <v>161.017077079203</v>
      </c>
      <c r="I11463" s="38" t="n">
        <f aca="false">Sens!$I$11424</f>
        <v>178.769759521457</v>
      </c>
      <c r="J11463" s="38" t="n">
        <f aca="false">Sens!$J$11424</f>
        <v>195.775538045907</v>
      </c>
      <c r="K11463" s="38" t="n">
        <f aca="false">Sens!$K$11424</f>
        <v>211.43758108958</v>
      </c>
      <c r="L11463" s="38" t="n">
        <f aca="false">Sens!$L$11424</f>
        <v>228.352587576746</v>
      </c>
      <c r="M11463" s="38" t="n">
        <f aca="false">Sens!$M$11424</f>
        <v>246.620794582886</v>
      </c>
      <c r="N11463" s="38" t="n">
        <f aca="false">Sens!$N$11424</f>
        <v>57.0936804689721</v>
      </c>
      <c r="O11463" s="38" t="n">
        <f aca="false">Sens!$O$11424</f>
        <v>62.9275494423768</v>
      </c>
      <c r="P11463" s="8" t="s">
        <v>703</v>
      </c>
    </row>
    <row r="11464" customFormat="false" ht="17.15" hidden="false" customHeight="false" outlineLevel="0" collapsed="false">
      <c r="A11464" s="1" t="s">
        <v>523</v>
      </c>
      <c r="B11464" s="8" t="s">
        <v>86</v>
      </c>
      <c r="C11464" s="38" t="n">
        <f aca="false">Q!$D$7</f>
        <v>107.556</v>
      </c>
      <c r="D11464" s="38" t="n">
        <f aca="false">Q!$E$7</f>
        <v>128.725</v>
      </c>
      <c r="E11464" s="38" t="n">
        <f aca="false">Q!$P$7</f>
        <v>79.819</v>
      </c>
      <c r="F11464" s="38" t="n">
        <f aca="false">Sens!$F$11462+Sens!$F$11463</f>
        <v>85.9067171025802</v>
      </c>
      <c r="G11464" s="38" t="n">
        <f aca="false">Sens!$G$11462+Sens!$G$11463</f>
        <v>165.72571710258</v>
      </c>
      <c r="H11464" s="38" t="n">
        <f aca="false">Sens!$H$11462+Sens!$H$11463</f>
        <v>214.439367277066</v>
      </c>
      <c r="I11464" s="38" t="n">
        <f aca="false">Sens!$I$11462+Sens!$I$11463</f>
        <v>266.569505776759</v>
      </c>
      <c r="J11464" s="38" t="n">
        <f aca="false">Sens!$J$11462+Sens!$J$11463</f>
        <v>318.105675447219</v>
      </c>
      <c r="K11464" s="38" t="n">
        <f aca="false">Sens!$K$11462+Sens!$K$11463</f>
        <v>363.226047683737</v>
      </c>
      <c r="L11464" s="38" t="n">
        <f aca="false">Sens!$L$11462+Sens!$L$11463</f>
        <v>399.5012130543</v>
      </c>
      <c r="M11464" s="38" t="n">
        <f aca="false">Sens!$M$11462+Sens!$M$11463</f>
        <v>427.006534768838</v>
      </c>
      <c r="N11464" s="38" t="n">
        <f aca="false">Q!$N$7</f>
        <v>60.14</v>
      </c>
      <c r="O11464" s="38" t="n">
        <f aca="false">Q!$O$7</f>
        <v>68.585</v>
      </c>
      <c r="P11464" s="5" t="s">
        <v>705</v>
      </c>
    </row>
    <row r="11465" customFormat="false" ht="15" hidden="false" customHeight="false" outlineLevel="0" collapsed="false">
      <c r="A11465" s="3" t="s">
        <v>706</v>
      </c>
      <c r="B11465" s="8" t="s">
        <v>86</v>
      </c>
      <c r="C11465" s="38" t="n">
        <f aca="false">Q!$D$8</f>
        <v>637.959</v>
      </c>
      <c r="D11465" s="38" t="n">
        <f aca="false">Q!$E$8</f>
        <v>716.924</v>
      </c>
      <c r="E11465" s="38" t="n">
        <f aca="false">Q!$P$8</f>
        <v>382.125</v>
      </c>
      <c r="F11465" s="38" t="n">
        <f aca="false">Sens!$F$11392+Sens!$F$11464</f>
        <v>434.954958748117</v>
      </c>
      <c r="G11465" s="38" t="n">
        <f aca="false">Sens!$G$11392+Sens!$G$11464</f>
        <v>817.079958748117</v>
      </c>
      <c r="H11465" s="38" t="n">
        <f aca="false">Sens!$H$11392+Sens!$H$11464</f>
        <v>935.536256798453</v>
      </c>
      <c r="I11465" s="38" t="n">
        <f aca="false">Sens!$I$11392+Sens!$I$11464</f>
        <v>1055.09889692929</v>
      </c>
      <c r="J11465" s="38" t="n">
        <f aca="false">Sens!$J$11392+Sens!$J$11464</f>
        <v>1169.21408118866</v>
      </c>
      <c r="K11465" s="38" t="n">
        <f aca="false">Sens!$K$11392+Sens!$K$11464</f>
        <v>1269.40250311482</v>
      </c>
      <c r="L11465" s="38" t="n">
        <f aca="false">Sens!$L$11392+Sens!$L$11464</f>
        <v>1364.59431952989</v>
      </c>
      <c r="M11465" s="38" t="n">
        <f aca="false">Sens!$M$11392+Sens!$M$11464</f>
        <v>1455.15444271572</v>
      </c>
      <c r="N11465" s="38" t="n">
        <f aca="false">Q!$N$8</f>
        <v>323.369</v>
      </c>
      <c r="O11465" s="38" t="n">
        <f aca="false">Q!$O$8</f>
        <v>393.555</v>
      </c>
    </row>
    <row r="11466" customFormat="false" ht="17.15" hidden="false" customHeight="false" outlineLevel="0" collapsed="false">
      <c r="A11466" s="24" t="s">
        <v>718</v>
      </c>
      <c r="B11466" s="25" t="s">
        <v>86</v>
      </c>
      <c r="C11466" s="41" t="n">
        <f aca="false">Sens!$C$11392-(Sens!$C$11394+Sens!$C$11395)</f>
        <v>0</v>
      </c>
      <c r="D11466" s="41" t="n">
        <f aca="false">Sens!$D$11392-(Sens!$D$11394+Sens!$D$11395)</f>
        <v>0</v>
      </c>
      <c r="E11466" s="41" t="n">
        <f aca="false">Sens!$E$11392-(Sens!$E$11394+Sens!$E$11395)</f>
        <v>0</v>
      </c>
      <c r="F11466" s="41" t="n">
        <f aca="false">Sens!$F$11392-(Sens!$F$11394+Sens!$F$11395)</f>
        <v>0</v>
      </c>
      <c r="G11466" s="41" t="n">
        <f aca="false">Sens!$G$11392-(Sens!$G$11394+Sens!$G$11395)</f>
        <v>0</v>
      </c>
      <c r="H11466" s="41" t="n">
        <f aca="false">Sens!$H$11392-(Sens!$H$11394+Sens!$H$11395)</f>
        <v>0</v>
      </c>
      <c r="I11466" s="41" t="n">
        <f aca="false">Sens!$I$11392-(Sens!$I$11394+Sens!$I$11395)</f>
        <v>0</v>
      </c>
      <c r="J11466" s="41" t="n">
        <f aca="false">Sens!$J$11392-(Sens!$J$11394+Sens!$J$11395)</f>
        <v>0</v>
      </c>
      <c r="K11466" s="41" t="n">
        <f aca="false">Sens!$K$11392-(Sens!$K$11394+Sens!$K$11395)</f>
        <v>0</v>
      </c>
      <c r="L11466" s="41" t="n">
        <f aca="false">Sens!$L$11392-(Sens!$L$11394+Sens!$L$11395)</f>
        <v>0</v>
      </c>
      <c r="M11466" s="41" t="n">
        <f aca="false">Sens!$M$11392-(Sens!$M$11394+Sens!$M$11395)</f>
        <v>0</v>
      </c>
      <c r="N11466" s="41" t="n">
        <f aca="false">Sens!$N$11392-(Sens!$N$11394+Sens!$N$11395)</f>
        <v>0</v>
      </c>
      <c r="O11466" s="41" t="n">
        <f aca="false">Sens!$O$11392-(Sens!$O$11394+Sens!$O$11395)</f>
        <v>0</v>
      </c>
    </row>
    <row r="11467" customFormat="false" ht="17.15" hidden="false" customHeight="false" outlineLevel="0" collapsed="false">
      <c r="A11467" s="24" t="s">
        <v>719</v>
      </c>
      <c r="B11467" s="25" t="s">
        <v>86</v>
      </c>
      <c r="C11467" s="41" t="n">
        <f aca="false">Sens!$C$11462+Sens!$C$11463-Sens!$C$11464</f>
        <v>0</v>
      </c>
      <c r="D11467" s="41" t="n">
        <f aca="false">Sens!$D$11462+Sens!$D$11463-Sens!$D$11464</f>
        <v>0</v>
      </c>
      <c r="E11467" s="41" t="n">
        <f aca="false">Sens!$E$11462+Sens!$E$11463-Sens!$E$11464</f>
        <v>0</v>
      </c>
      <c r="F11467" s="41" t="n">
        <f aca="false">Sens!$F$11462+Sens!$F$11463-Sens!$F$11464</f>
        <v>0</v>
      </c>
      <c r="G11467" s="41" t="n">
        <f aca="false">Sens!$G$11462+Sens!$G$11463-Sens!$G$11464</f>
        <v>0</v>
      </c>
      <c r="H11467" s="41" t="n">
        <f aca="false">Sens!$H$11462+Sens!$H$11463-Sens!$H$11464</f>
        <v>0</v>
      </c>
      <c r="I11467" s="41" t="n">
        <f aca="false">Sens!$I$11462+Sens!$I$11463-Sens!$I$11464</f>
        <v>0</v>
      </c>
      <c r="J11467" s="41" t="n">
        <f aca="false">Sens!$J$11462+Sens!$J$11463-Sens!$J$11464</f>
        <v>0</v>
      </c>
      <c r="K11467" s="41" t="n">
        <f aca="false">Sens!$K$11462+Sens!$K$11463-Sens!$K$11464</f>
        <v>0</v>
      </c>
      <c r="L11467" s="41" t="n">
        <f aca="false">Sens!$L$11462+Sens!$L$11463-Sens!$L$11464</f>
        <v>0</v>
      </c>
      <c r="M11467" s="41" t="n">
        <f aca="false">Sens!$M$11462+Sens!$M$11463-Sens!$M$11464</f>
        <v>0</v>
      </c>
      <c r="N11467" s="41" t="n">
        <f aca="false">Sens!$N$11462+Sens!$N$11463-Sens!$N$11464</f>
        <v>0</v>
      </c>
      <c r="O11467" s="41" t="n">
        <f aca="false">Sens!$O$11462+Sens!$O$11463-Sens!$O$11464</f>
        <v>0</v>
      </c>
    </row>
    <row r="11468" customFormat="false" ht="17.15" hidden="false" customHeight="false" outlineLevel="0" collapsed="false">
      <c r="A11468" s="24" t="s">
        <v>720</v>
      </c>
      <c r="B11468" s="25" t="s">
        <v>86</v>
      </c>
      <c r="C11468" s="41" t="n">
        <f aca="false">Sens!$C$11394+Sens!$C$11395+Sens!$C$11464-Sens!$C$11465</f>
        <v>0</v>
      </c>
      <c r="D11468" s="41" t="n">
        <f aca="false">Sens!$D$11394+Sens!$D$11395+Sens!$D$11464-Sens!$D$11465</f>
        <v>0</v>
      </c>
      <c r="E11468" s="41" t="n">
        <f aca="false">Sens!$E$11394+Sens!$E$11395+Sens!$E$11464-Sens!$E$11465</f>
        <v>0</v>
      </c>
      <c r="F11468" s="41" t="n">
        <f aca="false">Sens!$F$11394+Sens!$F$11395+Sens!$F$11464-Sens!$F$11465</f>
        <v>0</v>
      </c>
      <c r="G11468" s="41" t="n">
        <f aca="false">Sens!$G$11394+Sens!$G$11395+Sens!$G$11464-Sens!$G$11465</f>
        <v>0</v>
      </c>
      <c r="H11468" s="41" t="n">
        <f aca="false">Sens!$H$11394+Sens!$H$11395+Sens!$H$11464-Sens!$H$11465</f>
        <v>0</v>
      </c>
      <c r="I11468" s="41" t="n">
        <f aca="false">Sens!$I$11394+Sens!$I$11395+Sens!$I$11464-Sens!$I$11465</f>
        <v>0</v>
      </c>
      <c r="J11468" s="41" t="n">
        <f aca="false">Sens!$J$11394+Sens!$J$11395+Sens!$J$11464-Sens!$J$11465</f>
        <v>0</v>
      </c>
      <c r="K11468" s="41" t="n">
        <f aca="false">Sens!$K$11394+Sens!$K$11395+Sens!$K$11464-Sens!$K$11465</f>
        <v>0</v>
      </c>
      <c r="L11468" s="41" t="n">
        <f aca="false">Sens!$L$11394+Sens!$L$11395+Sens!$L$11464-Sens!$L$11465</f>
        <v>0</v>
      </c>
      <c r="M11468" s="41" t="n">
        <f aca="false">Sens!$M$11394+Sens!$M$11395+Sens!$M$11464-Sens!$M$11465</f>
        <v>0</v>
      </c>
      <c r="N11468" s="41" t="n">
        <f aca="false">Sens!$N$11394+Sens!$N$11395+Sens!$N$11464-Sens!$N$11465</f>
        <v>0</v>
      </c>
      <c r="O11468" s="41" t="n">
        <f aca="false">Sens!$O$11394+Sens!$O$11395+Sens!$O$11464-Sens!$O$11465</f>
        <v>0</v>
      </c>
    </row>
    <row r="11469" customFormat="false" ht="15" hidden="false" customHeight="false" outlineLevel="0" collapsed="false">
      <c r="A11469" s="5" t="s">
        <v>710</v>
      </c>
      <c r="B11469" s="0" t="s">
        <v>52</v>
      </c>
      <c r="G11469" s="13" t="n">
        <f aca="false">Sens!$G$11465/Sens!$D$11465-1</f>
        <v>0.139702337692862</v>
      </c>
      <c r="H11469" s="13" t="n">
        <f aca="false">Sens!$H$11465/Sens!$G$11465-1</f>
        <v>0.144975160364754</v>
      </c>
      <c r="I11469" s="13" t="n">
        <f aca="false">Sens!$I$11465/Sens!$H$11465-1</f>
        <v>0.127801182756934</v>
      </c>
      <c r="J11469" s="13" t="n">
        <f aca="false">Sens!$J$11465/Sens!$I$11465-1</f>
        <v>0.108155912769398</v>
      </c>
      <c r="K11469" s="13" t="n">
        <f aca="false">Sens!$K$11465/Sens!$J$11465-1</f>
        <v>0.0856886891272366</v>
      </c>
      <c r="L11469" s="13" t="n">
        <f aca="false">Sens!$L$11465/Sens!$K$11465-1</f>
        <v>0.0749894664469983</v>
      </c>
      <c r="M11469" s="13" t="n">
        <f aca="false">Sens!$M$11465/Sens!$L$11465-1</f>
        <v>0.0663641361317064</v>
      </c>
    </row>
    <row r="11470" customFormat="false" ht="17.15" hidden="false" customHeight="false" outlineLevel="0" collapsed="false">
      <c r="A11470" s="0" t="s">
        <v>711</v>
      </c>
      <c r="B11470" s="0" t="s">
        <v>52</v>
      </c>
      <c r="C11470" s="13" t="n">
        <f aca="false">Sens!$C$11464/Sens!$C$11465</f>
        <v>0.168593906504964</v>
      </c>
      <c r="D11470" s="13" t="n">
        <f aca="false">Sens!$D$11464/Sens!$D$11465</f>
        <v>0.179551807444025</v>
      </c>
      <c r="E11470" s="13" t="n">
        <f aca="false">Sens!$E$11464/Sens!$E$11465</f>
        <v>0.208881910369643</v>
      </c>
      <c r="F11470" s="13" t="n">
        <f aca="false">Sens!$F$11464/Sens!$F$11465</f>
        <v>0.197507156487734</v>
      </c>
      <c r="G11470" s="13" t="n">
        <f aca="false">Sens!$G$11464/Sens!$G$11465</f>
        <v>0.202826804559612</v>
      </c>
      <c r="H11470" s="13" t="n">
        <f aca="false">Sens!$H$11464/Sens!$H$11465</f>
        <v>0.229215453403068</v>
      </c>
      <c r="I11470" s="13" t="n">
        <f aca="false">Sens!$I$11464/Sens!$I$11465</f>
        <v>0.252648833727881</v>
      </c>
      <c r="J11470" s="13" t="n">
        <f aca="false">Sens!$J$11464/Sens!$J$11465</f>
        <v>0.272067947662606</v>
      </c>
      <c r="K11470" s="13" t="n">
        <f aca="false">Sens!$K$11464/Sens!$K$11465</f>
        <v>0.286139381947383</v>
      </c>
      <c r="L11470" s="13" t="n">
        <f aca="false">Sens!$L$11464/Sens!$L$11465</f>
        <v>0.292761890722168</v>
      </c>
      <c r="M11470" s="13" t="n">
        <f aca="false">Sens!$M$11464/Sens!$M$11465</f>
        <v>0.293444133649432</v>
      </c>
      <c r="N11470" s="13" t="n">
        <f aca="false">Sens!$N$11464/Sens!$N$11465</f>
        <v>0.185979484737251</v>
      </c>
      <c r="O11470" s="13" t="n">
        <f aca="false">Sens!$O$11464/Sens!$O$11465</f>
        <v>0.174270432341096</v>
      </c>
    </row>
    <row r="11471" customFormat="false" ht="17.15" hidden="false" customHeight="false" outlineLevel="0" collapsed="false">
      <c r="A11471" s="0" t="s">
        <v>712</v>
      </c>
      <c r="B11471" s="0" t="s">
        <v>52</v>
      </c>
      <c r="C11471" s="13" t="n">
        <f aca="false">Sens!$C$11462/Sens!$C$11464</f>
        <v>0.0215795060896058</v>
      </c>
      <c r="D11471" s="13" t="n">
        <f aca="false">Sens!$D$11462/Sens!$D$11464</f>
        <v>0.0676152269462122</v>
      </c>
      <c r="E11471" s="13" t="n">
        <f aca="false">Sens!$E$11462/Sens!$E$11464</f>
        <v>0.106620641395783</v>
      </c>
      <c r="F11471" s="13" t="n">
        <f aca="false">Sens!$F$11462/Sens!$F$11464</f>
        <v>0.16456707676831</v>
      </c>
      <c r="G11471" s="13" t="n">
        <f aca="false">Sens!$G$11462/Sens!$G$11464</f>
        <v>0.136658152276302</v>
      </c>
      <c r="H11471" s="13" t="n">
        <f aca="false">Sens!$H$11462/Sens!$H$11464</f>
        <v>0.249125386239547</v>
      </c>
      <c r="I11471" s="13" t="n">
        <f aca="false">Sens!$I$11462/Sens!$I$11464</f>
        <v>0.329369055171787</v>
      </c>
      <c r="J11471" s="13" t="n">
        <f aca="false">Sens!$J$11462/Sens!$J$11464</f>
        <v>0.384558173095561</v>
      </c>
      <c r="K11471" s="13" t="n">
        <f aca="false">Sens!$K$11462/Sens!$K$11464</f>
        <v>0.417889816994403</v>
      </c>
      <c r="L11471" s="13" t="n">
        <f aca="false">Sens!$L$11462/Sens!$L$11464</f>
        <v>0.428405771709863</v>
      </c>
      <c r="M11471" s="13" t="n">
        <f aca="false">Sens!$M$11462/Sens!$M$11464</f>
        <v>0.422442575225704</v>
      </c>
      <c r="N11471" s="13" t="n">
        <f aca="false">Sens!$N$11462/Sens!$N$11464</f>
        <v>0.0506537999838362</v>
      </c>
      <c r="O11471" s="13" t="n">
        <f aca="false">Sens!$O$11462/Sens!$O$11464</f>
        <v>0.0824881615167056</v>
      </c>
    </row>
    <row r="11474" customFormat="false" ht="19.4" hidden="false" customHeight="false" outlineLevel="0" collapsed="false">
      <c r="A11474" s="31" t="s">
        <v>1384</v>
      </c>
    </row>
    <row r="11475" customFormat="false" ht="17.15" hidden="false" customHeight="false" outlineLevel="0" collapsed="false">
      <c r="A11475" s="6" t="s">
        <v>16</v>
      </c>
      <c r="B11475" s="6" t="s">
        <v>17</v>
      </c>
      <c r="C11475" s="20" t="s">
        <v>504</v>
      </c>
      <c r="D11475" s="20" t="s">
        <v>505</v>
      </c>
      <c r="E11475" s="20" t="s">
        <v>587</v>
      </c>
      <c r="F11475" s="20" t="s">
        <v>588</v>
      </c>
      <c r="G11475" s="20" t="s">
        <v>589</v>
      </c>
      <c r="H11475" s="20" t="s">
        <v>590</v>
      </c>
      <c r="I11475" s="20" t="s">
        <v>591</v>
      </c>
      <c r="J11475" s="20" t="s">
        <v>592</v>
      </c>
      <c r="K11475" s="20" t="s">
        <v>593</v>
      </c>
      <c r="L11475" s="20" t="s">
        <v>594</v>
      </c>
      <c r="M11475" s="20" t="s">
        <v>595</v>
      </c>
      <c r="N11475" s="20" t="s">
        <v>596</v>
      </c>
      <c r="O11475" s="20" t="s">
        <v>597</v>
      </c>
      <c r="P11475" s="6" t="s">
        <v>23</v>
      </c>
      <c r="R11475" s="20" t="n">
        <v>2023</v>
      </c>
      <c r="S11475" s="20" t="n">
        <v>2024</v>
      </c>
      <c r="T11475" s="20" t="n">
        <v>2025</v>
      </c>
      <c r="U11475" s="20" t="n">
        <v>2026</v>
      </c>
      <c r="V11475" s="20" t="n">
        <v>2027</v>
      </c>
      <c r="W11475" s="20" t="n">
        <v>2028</v>
      </c>
      <c r="X11475" s="20" t="n">
        <v>2029</v>
      </c>
      <c r="Y11475" s="20" t="n">
        <v>2030</v>
      </c>
      <c r="Z11475" s="20" t="n">
        <v>2031</v>
      </c>
      <c r="AA11475" s="20" t="n">
        <v>2032</v>
      </c>
    </row>
    <row r="11476" customFormat="false" ht="17.15" hidden="false" customHeight="false" outlineLevel="0" collapsed="false">
      <c r="A11476" s="1" t="s">
        <v>727</v>
      </c>
    </row>
    <row r="11477" customFormat="false" ht="15" hidden="false" customHeight="false" outlineLevel="0" collapsed="false">
      <c r="A11477" s="0" t="s">
        <v>526</v>
      </c>
      <c r="B11477" s="0" t="s">
        <v>86</v>
      </c>
      <c r="C11477" s="38" t="n">
        <f aca="false">Sens!$C$11379</f>
        <v>247.029</v>
      </c>
      <c r="D11477" s="38" t="n">
        <f aca="false">Sens!$D$11379</f>
        <v>269.287</v>
      </c>
      <c r="E11477" s="38" t="n">
        <f aca="false">Sens!$E$11379</f>
        <v>134.686</v>
      </c>
      <c r="F11477" s="38" t="n">
        <f aca="false">Sens!$F$11379</f>
        <v>158.293876822267</v>
      </c>
      <c r="G11477" s="38" t="n">
        <f aca="false">Sens!$G$11379</f>
        <v>292.979876822267</v>
      </c>
      <c r="H11477" s="38" t="n">
        <f aca="false">Sens!$H$11379</f>
        <v>318.184543087396</v>
      </c>
      <c r="I11477" s="38" t="n">
        <f aca="false">Sens!$I$11379</f>
        <v>341.736278761793</v>
      </c>
      <c r="J11477" s="38" t="n">
        <f aca="false">Sens!$J$11379</f>
        <v>362.927192787048</v>
      </c>
      <c r="K11477" s="38" t="n">
        <f aca="false">Sens!$K$11379</f>
        <v>381.0735524264</v>
      </c>
      <c r="L11477" s="38" t="n">
        <f aca="false">Sens!$L$11379</f>
        <v>400.12723004772</v>
      </c>
      <c r="M11477" s="38" t="n">
        <f aca="false">Sens!$M$11379</f>
        <v>420.133591550106</v>
      </c>
      <c r="N11477" s="38" t="n">
        <f aca="false">Sens!$N$11379</f>
        <v>118.892</v>
      </c>
      <c r="O11477" s="38" t="n">
        <f aca="false">Sens!$O$11379</f>
        <v>150.395</v>
      </c>
    </row>
    <row r="11478" customFormat="false" ht="15" hidden="false" customHeight="false" outlineLevel="0" collapsed="false">
      <c r="A11478" s="0" t="s">
        <v>527</v>
      </c>
      <c r="B11478" s="0" t="s">
        <v>86</v>
      </c>
      <c r="C11478" s="38" t="n">
        <f aca="false">Sens!$C$11381</f>
        <v>21.215</v>
      </c>
      <c r="D11478" s="38" t="n">
        <f aca="false">Sens!$D$11381</f>
        <v>22.561</v>
      </c>
      <c r="E11478" s="38" t="n">
        <f aca="false">Sens!$E$11381</f>
        <v>11.579</v>
      </c>
      <c r="F11478" s="38" t="n">
        <f aca="false">Sens!$F$11381</f>
        <v>11.5938724610325</v>
      </c>
      <c r="G11478" s="38" t="n">
        <f aca="false">Sens!$G$11381</f>
        <v>23.1728724610325</v>
      </c>
      <c r="H11478" s="38" t="n">
        <f aca="false">Sens!$H$11381</f>
        <v>24.353392759506</v>
      </c>
      <c r="I11478" s="38" t="n">
        <f aca="false">Sens!$I$11381</f>
        <v>25.4240338872015</v>
      </c>
      <c r="J11478" s="38" t="n">
        <f aca="false">Sens!$J$11381</f>
        <v>26.3642491017174</v>
      </c>
      <c r="K11478" s="38" t="n">
        <f aca="false">Sens!$K$11381</f>
        <v>27.155176574769</v>
      </c>
      <c r="L11478" s="38" t="n">
        <f aca="false">Sens!$L$11381</f>
        <v>27.969831872012</v>
      </c>
      <c r="M11478" s="38" t="n">
        <f aca="false">Sens!$M$11381</f>
        <v>28.8089268281724</v>
      </c>
      <c r="N11478" s="38" t="n">
        <f aca="false">Sens!$N$11381</f>
        <v>11.128</v>
      </c>
      <c r="O11478" s="38" t="n">
        <f aca="false">Sens!$O$11381</f>
        <v>11.433</v>
      </c>
    </row>
    <row r="11479" customFormat="false" ht="15" hidden="false" customHeight="false" outlineLevel="0" collapsed="false">
      <c r="A11479" s="0" t="s">
        <v>528</v>
      </c>
      <c r="B11479" s="0" t="s">
        <v>86</v>
      </c>
      <c r="C11479" s="38" t="n">
        <f aca="false">Sens!$C$11383</f>
        <v>156.146</v>
      </c>
      <c r="D11479" s="38" t="n">
        <f aca="false">Sens!$D$11383</f>
        <v>172.162</v>
      </c>
      <c r="E11479" s="38" t="n">
        <f aca="false">Sens!$E$11383</f>
        <v>88.358</v>
      </c>
      <c r="F11479" s="38" t="n">
        <f aca="false">Sens!$F$11383</f>
        <v>102.004388260171</v>
      </c>
      <c r="G11479" s="38" t="n">
        <f aca="false">Sens!$G$11383</f>
        <v>190.362388260171</v>
      </c>
      <c r="H11479" s="38" t="n">
        <f aca="false">Sens!$H$11383</f>
        <v>210.343106588311</v>
      </c>
      <c r="I11479" s="38" t="n">
        <f aca="false">Sens!$I$11383</f>
        <v>229.969728494648</v>
      </c>
      <c r="J11479" s="38" t="n">
        <f aca="false">Sens!$J$11383</f>
        <v>248.747636972598</v>
      </c>
      <c r="K11479" s="38" t="n">
        <f aca="false">Sens!$K$11383</f>
        <v>266.15997156068</v>
      </c>
      <c r="L11479" s="38" t="n">
        <f aca="false">Sens!$L$11383</f>
        <v>284.791169569927</v>
      </c>
      <c r="M11479" s="38" t="n">
        <f aca="false">Sens!$M$11383</f>
        <v>304.726551439822</v>
      </c>
      <c r="N11479" s="38" t="n">
        <f aca="false">Sens!$N$11383</f>
        <v>76.86</v>
      </c>
      <c r="O11479" s="38" t="n">
        <f aca="false">Sens!$O$11383</f>
        <v>95.302</v>
      </c>
    </row>
    <row r="11480" customFormat="false" ht="15" hidden="false" customHeight="false" outlineLevel="0" collapsed="false">
      <c r="A11480" s="0" t="s">
        <v>529</v>
      </c>
      <c r="B11480" s="0" t="s">
        <v>86</v>
      </c>
      <c r="C11480" s="38" t="n">
        <f aca="false">Sens!$C$11385</f>
        <v>56.214</v>
      </c>
      <c r="D11480" s="38" t="n">
        <f aca="false">Sens!$D$11385</f>
        <v>68.635</v>
      </c>
      <c r="E11480" s="38" t="n">
        <f aca="false">Sens!$E$11385</f>
        <v>37.052</v>
      </c>
      <c r="F11480" s="38" t="n">
        <f aca="false">Sens!$F$11385</f>
        <v>46.1572219944148</v>
      </c>
      <c r="G11480" s="38" t="n">
        <f aca="false">Sens!$G$11385</f>
        <v>83.2092219944148</v>
      </c>
      <c r="H11480" s="38" t="n">
        <f aca="false">Sens!$H$11385</f>
        <v>99.8969223878976</v>
      </c>
      <c r="I11480" s="38" t="n">
        <f aca="false">Sens!$I$11385</f>
        <v>116.583111095496</v>
      </c>
      <c r="J11480" s="38" t="n">
        <f aca="false">Sens!$J$11385</f>
        <v>132.148941941952</v>
      </c>
      <c r="K11480" s="38" t="n">
        <f aca="false">Sens!$K$11385</f>
        <v>145.363836136147</v>
      </c>
      <c r="L11480" s="38" t="n">
        <f aca="false">Sens!$L$11385</f>
        <v>159.900219749762</v>
      </c>
      <c r="M11480" s="38" t="n">
        <f aca="false">Sens!$M$11385</f>
        <v>175.890241724738</v>
      </c>
      <c r="N11480" s="38" t="n">
        <f aca="false">Sens!$N$11385</f>
        <v>29.615</v>
      </c>
      <c r="O11480" s="38" t="n">
        <f aca="false">Sens!$O$11385</f>
        <v>39.02</v>
      </c>
    </row>
    <row r="11481" customFormat="false" ht="15" hidden="false" customHeight="false" outlineLevel="0" collapsed="false">
      <c r="A11481" s="0" t="s">
        <v>530</v>
      </c>
      <c r="B11481" s="0" t="s">
        <v>86</v>
      </c>
      <c r="C11481" s="38" t="n">
        <f aca="false">Sens!$C$11387</f>
        <v>44.374</v>
      </c>
      <c r="D11481" s="38" t="n">
        <f aca="false">Sens!$D$11387</f>
        <v>49.619</v>
      </c>
      <c r="E11481" s="38" t="n">
        <f aca="false">Sens!$E$11387</f>
        <v>27.157</v>
      </c>
      <c r="F11481" s="38" t="n">
        <f aca="false">Sens!$F$11387</f>
        <v>27.7764165988154</v>
      </c>
      <c r="G11481" s="38" t="n">
        <f aca="false">Sens!$G$11387</f>
        <v>54.9334165988154</v>
      </c>
      <c r="H11481" s="38" t="n">
        <f aca="false">Sens!$H$11387</f>
        <v>61.1564112561829</v>
      </c>
      <c r="I11481" s="38" t="n">
        <f aca="false">Sens!$I$11387</f>
        <v>67.2020282103945</v>
      </c>
      <c r="J11481" s="38" t="n">
        <f aca="false">Sens!$J$11387</f>
        <v>72.8757274028885</v>
      </c>
      <c r="K11481" s="38" t="n">
        <f aca="false">Sens!$K$11387</f>
        <v>77.9770283210907</v>
      </c>
      <c r="L11481" s="38" t="n">
        <f aca="false">Sens!$L$11387</f>
        <v>83.4354203035671</v>
      </c>
      <c r="M11481" s="38" t="n">
        <f aca="false">Sens!$M$11387</f>
        <v>89.2758997248168</v>
      </c>
      <c r="N11481" s="38" t="n">
        <f aca="false">Sens!$N$11387</f>
        <v>23.923</v>
      </c>
      <c r="O11481" s="38" t="n">
        <f aca="false">Sens!$O$11387</f>
        <v>25.696</v>
      </c>
    </row>
    <row r="11482" customFormat="false" ht="15" hidden="false" customHeight="false" outlineLevel="0" collapsed="false">
      <c r="A11482" s="0" t="s">
        <v>531</v>
      </c>
      <c r="B11482" s="0" t="s">
        <v>86</v>
      </c>
      <c r="C11482" s="38" t="n">
        <f aca="false">Sens!$C$11389</f>
        <v>5.425</v>
      </c>
      <c r="D11482" s="38" t="n">
        <f aca="false">Sens!$D$11389</f>
        <v>5.935</v>
      </c>
      <c r="E11482" s="38" t="n">
        <f aca="false">Sens!$E$11389</f>
        <v>3.474</v>
      </c>
      <c r="F11482" s="38" t="n">
        <f aca="false">Sens!$F$11389</f>
        <v>3.22246550883619</v>
      </c>
      <c r="G11482" s="38" t="n">
        <f aca="false">Sens!$G$11389</f>
        <v>6.69646550883619</v>
      </c>
      <c r="H11482" s="38" t="n">
        <f aca="false">Sens!$H$11389</f>
        <v>7.16251344209196</v>
      </c>
      <c r="I11482" s="38" t="n">
        <f aca="false">Sens!$I$11389</f>
        <v>7.61421070299826</v>
      </c>
      <c r="J11482" s="38" t="n">
        <f aca="false">Sens!$J$11389</f>
        <v>8.04465753523932</v>
      </c>
      <c r="K11482" s="38" t="n">
        <f aca="false">Sens!$K$11389</f>
        <v>8.44689041200128</v>
      </c>
      <c r="L11482" s="38" t="n">
        <f aca="false">Sens!$L$11389</f>
        <v>8.86923493260135</v>
      </c>
      <c r="M11482" s="38" t="n">
        <f aca="false">Sens!$M$11389</f>
        <v>9.31269667923142</v>
      </c>
      <c r="N11482" s="38" t="n">
        <f aca="false">Sens!$N$11389</f>
        <v>2.811</v>
      </c>
      <c r="O11482" s="38" t="n">
        <f aca="false">Sens!$O$11389</f>
        <v>3.124</v>
      </c>
    </row>
    <row r="11483" customFormat="false" ht="17.15" hidden="false" customHeight="false" outlineLevel="0" collapsed="false">
      <c r="A11483" s="0" t="s">
        <v>728</v>
      </c>
      <c r="B11483" s="0" t="s">
        <v>86</v>
      </c>
      <c r="C11483" s="38" t="n">
        <f aca="false">Sens!$C$11464</f>
        <v>107.556</v>
      </c>
      <c r="D11483" s="38" t="n">
        <f aca="false">Sens!$D$11464</f>
        <v>128.725</v>
      </c>
      <c r="E11483" s="38" t="n">
        <f aca="false">Sens!$E$11464</f>
        <v>79.819</v>
      </c>
      <c r="F11483" s="38" t="n">
        <f aca="false">Sens!$F$11464</f>
        <v>85.9067171025802</v>
      </c>
      <c r="G11483" s="38" t="n">
        <f aca="false">Sens!$G$11464</f>
        <v>165.72571710258</v>
      </c>
      <c r="H11483" s="38" t="n">
        <f aca="false">Sens!$H$11464</f>
        <v>214.439367277066</v>
      </c>
      <c r="I11483" s="38" t="n">
        <f aca="false">Sens!$I$11464</f>
        <v>266.569505776759</v>
      </c>
      <c r="J11483" s="38" t="n">
        <f aca="false">Sens!$J$11464</f>
        <v>318.105675447219</v>
      </c>
      <c r="K11483" s="38" t="n">
        <f aca="false">Sens!$K$11464</f>
        <v>363.226047683737</v>
      </c>
      <c r="L11483" s="38" t="n">
        <f aca="false">Sens!$L$11464</f>
        <v>399.5012130543</v>
      </c>
      <c r="M11483" s="38" t="n">
        <f aca="false">Sens!$M$11464</f>
        <v>427.006534768838</v>
      </c>
      <c r="N11483" s="38" t="n">
        <f aca="false">Sens!$N$11464</f>
        <v>60.14</v>
      </c>
      <c r="O11483" s="38" t="n">
        <f aca="false">Sens!$O$11464</f>
        <v>68.585</v>
      </c>
    </row>
    <row r="11484" customFormat="false" ht="15" hidden="false" customHeight="false" outlineLevel="0" collapsed="false">
      <c r="A11484" s="1" t="s">
        <v>519</v>
      </c>
      <c r="B11484" s="8" t="s">
        <v>86</v>
      </c>
      <c r="C11484" s="38" t="n">
        <f aca="false">Sens!$C$11394</f>
        <v>387.497</v>
      </c>
      <c r="D11484" s="38" t="n">
        <f aca="false">Sens!$D$11394</f>
        <v>426.305</v>
      </c>
      <c r="E11484" s="38" t="n">
        <f aca="false">Sens!$E$11394</f>
        <v>220.32</v>
      </c>
      <c r="F11484" s="38" t="n">
        <f aca="false">Sens!$F$11394</f>
        <v>250.639773480586</v>
      </c>
      <c r="G11484" s="38" t="n">
        <f aca="false">Sens!$G$11394</f>
        <v>470.959773480586</v>
      </c>
      <c r="H11484" s="38" t="n">
        <f aca="false">Sens!$H$11394</f>
        <v>521.386990416437</v>
      </c>
      <c r="I11484" s="38" t="n">
        <f aca="false">Sens!$I$11394</f>
        <v>570.143862887555</v>
      </c>
      <c r="J11484" s="38" t="n">
        <f aca="false">Sens!$J$11394</f>
        <v>615.391435791933</v>
      </c>
      <c r="K11484" s="38" t="n">
        <f aca="false">Sens!$K$11394</f>
        <v>655.208227561543</v>
      </c>
      <c r="L11484" s="38" t="n">
        <f aca="false">Sens!$L$11394</f>
        <v>697.807739249767</v>
      </c>
      <c r="M11484" s="38" t="n">
        <f aca="false">Sens!$M$11394</f>
        <v>743.399328463592</v>
      </c>
      <c r="N11484" s="38" t="n">
        <f aca="false">Sens!$N$11394</f>
        <v>192.955</v>
      </c>
      <c r="O11484" s="38" t="n">
        <f aca="false">Sens!$O$11394</f>
        <v>233.35</v>
      </c>
    </row>
    <row r="11485" customFormat="false" ht="15" hidden="false" customHeight="false" outlineLevel="0" collapsed="false">
      <c r="A11485" s="1" t="s">
        <v>522</v>
      </c>
      <c r="B11485" s="8" t="s">
        <v>86</v>
      </c>
      <c r="C11485" s="38" t="n">
        <f aca="false">Sens!$C$11395</f>
        <v>142.906</v>
      </c>
      <c r="D11485" s="38" t="n">
        <f aca="false">Sens!$D$11395</f>
        <v>161.894</v>
      </c>
      <c r="E11485" s="38" t="n">
        <f aca="false">Sens!$E$11395</f>
        <v>81.986</v>
      </c>
      <c r="F11485" s="38" t="n">
        <f aca="false">Sens!$F$11395</f>
        <v>98.408468164951</v>
      </c>
      <c r="G11485" s="38" t="n">
        <f aca="false">Sens!$G$11395</f>
        <v>180.394468164951</v>
      </c>
      <c r="H11485" s="38" t="n">
        <f aca="false">Sens!$H$11395</f>
        <v>199.709899104949</v>
      </c>
      <c r="I11485" s="38" t="n">
        <f aca="false">Sens!$I$11395</f>
        <v>218.385528264976</v>
      </c>
      <c r="J11485" s="38" t="n">
        <f aca="false">Sens!$J$11395</f>
        <v>235.71696994951</v>
      </c>
      <c r="K11485" s="38" t="n">
        <f aca="false">Sens!$K$11395</f>
        <v>250.968227869545</v>
      </c>
      <c r="L11485" s="38" t="n">
        <f aca="false">Sens!$L$11395</f>
        <v>267.285367225822</v>
      </c>
      <c r="M11485" s="38" t="n">
        <f aca="false">Sens!$M$11395</f>
        <v>284.748579483295</v>
      </c>
      <c r="N11485" s="38" t="n">
        <f aca="false">Sens!$N$11395</f>
        <v>70.274</v>
      </c>
      <c r="O11485" s="38" t="n">
        <f aca="false">Sens!$O$11395</f>
        <v>91.62</v>
      </c>
    </row>
    <row r="11486" customFormat="false" ht="15" hidden="false" customHeight="false" outlineLevel="0" collapsed="false">
      <c r="A11486" s="1" t="s">
        <v>523</v>
      </c>
      <c r="B11486" s="8" t="s">
        <v>86</v>
      </c>
      <c r="C11486" s="38" t="n">
        <f aca="false">Sens!$C$11464</f>
        <v>107.556</v>
      </c>
      <c r="D11486" s="38" t="n">
        <f aca="false">Sens!$D$11464</f>
        <v>128.725</v>
      </c>
      <c r="E11486" s="38" t="n">
        <f aca="false">Sens!$E$11464</f>
        <v>79.819</v>
      </c>
      <c r="F11486" s="38" t="n">
        <f aca="false">Sens!$F$11464</f>
        <v>85.9067171025802</v>
      </c>
      <c r="G11486" s="38" t="n">
        <f aca="false">Sens!$G$11464</f>
        <v>165.72571710258</v>
      </c>
      <c r="H11486" s="38" t="n">
        <f aca="false">Sens!$H$11464</f>
        <v>214.439367277066</v>
      </c>
      <c r="I11486" s="38" t="n">
        <f aca="false">Sens!$I$11464</f>
        <v>266.569505776759</v>
      </c>
      <c r="J11486" s="38" t="n">
        <f aca="false">Sens!$J$11464</f>
        <v>318.105675447219</v>
      </c>
      <c r="K11486" s="38" t="n">
        <f aca="false">Sens!$K$11464</f>
        <v>363.226047683737</v>
      </c>
      <c r="L11486" s="38" t="n">
        <f aca="false">Sens!$L$11464</f>
        <v>399.5012130543</v>
      </c>
      <c r="M11486" s="38" t="n">
        <f aca="false">Sens!$M$11464</f>
        <v>427.006534768838</v>
      </c>
      <c r="N11486" s="38" t="n">
        <f aca="false">Sens!$N$11464</f>
        <v>60.14</v>
      </c>
      <c r="O11486" s="38" t="n">
        <f aca="false">Sens!$O$11464</f>
        <v>68.585</v>
      </c>
    </row>
    <row r="11487" customFormat="false" ht="17.15" hidden="false" customHeight="false" outlineLevel="0" collapsed="false">
      <c r="A11487" s="0" t="s">
        <v>702</v>
      </c>
      <c r="B11487" s="0" t="s">
        <v>86</v>
      </c>
      <c r="C11487" s="38" t="n">
        <f aca="false">Sens!$C$11462</f>
        <v>2.32100535697364</v>
      </c>
      <c r="D11487" s="38" t="n">
        <f aca="false">Sens!$D$11462</f>
        <v>8.70377008865116</v>
      </c>
      <c r="E11487" s="38" t="n">
        <f aca="false">Sens!$E$11462</f>
        <v>8.51035297557002</v>
      </c>
      <c r="F11487" s="38" t="n">
        <f aca="false">Sens!$F$11462</f>
        <v>14.1374173083338</v>
      </c>
      <c r="G11487" s="38" t="n">
        <f aca="false">Sens!$G$11462</f>
        <v>22.6477702839038</v>
      </c>
      <c r="H11487" s="38" t="n">
        <f aca="false">Sens!$H$11462</f>
        <v>53.4222901978634</v>
      </c>
      <c r="I11487" s="38" t="n">
        <f aca="false">Sens!$I$11462</f>
        <v>87.7997462553011</v>
      </c>
      <c r="J11487" s="38" t="n">
        <f aca="false">Sens!$J$11462</f>
        <v>122.330137401312</v>
      </c>
      <c r="K11487" s="38" t="n">
        <f aca="false">Sens!$K$11462</f>
        <v>151.788466594157</v>
      </c>
      <c r="L11487" s="38" t="n">
        <f aca="false">Sens!$L$11462</f>
        <v>171.148625477554</v>
      </c>
      <c r="M11487" s="38" t="n">
        <f aca="false">Sens!$M$11462</f>
        <v>180.385740185952</v>
      </c>
      <c r="N11487" s="38" t="n">
        <f aca="false">Sens!$N$11462</f>
        <v>3.04631953102791</v>
      </c>
      <c r="O11487" s="38" t="n">
        <f aca="false">Sens!$O$11462</f>
        <v>5.65745055762326</v>
      </c>
    </row>
    <row r="11488" customFormat="false" ht="17.15" hidden="false" customHeight="false" outlineLevel="0" collapsed="false">
      <c r="A11488" s="0" t="s">
        <v>704</v>
      </c>
      <c r="B11488" s="0" t="s">
        <v>86</v>
      </c>
      <c r="C11488" s="38" t="n">
        <f aca="false">Sens!$C$11463</f>
        <v>105.234994643026</v>
      </c>
      <c r="D11488" s="38" t="n">
        <f aca="false">Sens!$D$11463</f>
        <v>120.021229911349</v>
      </c>
      <c r="E11488" s="38" t="n">
        <f aca="false">Sens!$E$11463</f>
        <v>71.30864702443</v>
      </c>
      <c r="F11488" s="38" t="n">
        <f aca="false">Sens!$F$11463</f>
        <v>71.7692997942464</v>
      </c>
      <c r="G11488" s="38" t="n">
        <f aca="false">Sens!$G$11463</f>
        <v>143.077946818676</v>
      </c>
      <c r="H11488" s="38" t="n">
        <f aca="false">Sens!$H$11463</f>
        <v>161.017077079203</v>
      </c>
      <c r="I11488" s="38" t="n">
        <f aca="false">Sens!$I$11463</f>
        <v>178.769759521457</v>
      </c>
      <c r="J11488" s="38" t="n">
        <f aca="false">Sens!$J$11463</f>
        <v>195.775538045907</v>
      </c>
      <c r="K11488" s="38" t="n">
        <f aca="false">Sens!$K$11463</f>
        <v>211.43758108958</v>
      </c>
      <c r="L11488" s="38" t="n">
        <f aca="false">Sens!$L$11463</f>
        <v>228.352587576746</v>
      </c>
      <c r="M11488" s="38" t="n">
        <f aca="false">Sens!$M$11463</f>
        <v>246.620794582886</v>
      </c>
      <c r="N11488" s="38" t="n">
        <f aca="false">Sens!$N$11463</f>
        <v>57.0936804689721</v>
      </c>
      <c r="O11488" s="38" t="n">
        <f aca="false">Sens!$O$11463</f>
        <v>62.9275494423768</v>
      </c>
    </row>
    <row r="11489" customFormat="false" ht="15" hidden="false" customHeight="false" outlineLevel="0" collapsed="false">
      <c r="A11489" s="3" t="s">
        <v>524</v>
      </c>
      <c r="B11489" s="8" t="s">
        <v>86</v>
      </c>
      <c r="C11489" s="38" t="n">
        <f aca="false">Sens!$C$11465</f>
        <v>637.959</v>
      </c>
      <c r="D11489" s="38" t="n">
        <f aca="false">Sens!$D$11465</f>
        <v>716.924</v>
      </c>
      <c r="E11489" s="38" t="n">
        <f aca="false">Sens!$E$11465</f>
        <v>382.125</v>
      </c>
      <c r="F11489" s="38" t="n">
        <f aca="false">Sens!$F$11465</f>
        <v>434.954958748117</v>
      </c>
      <c r="G11489" s="38" t="n">
        <f aca="false">Sens!$G$11465</f>
        <v>817.079958748117</v>
      </c>
      <c r="H11489" s="38" t="n">
        <f aca="false">Sens!$H$11465</f>
        <v>935.536256798453</v>
      </c>
      <c r="I11489" s="38" t="n">
        <f aca="false">Sens!$I$11465</f>
        <v>1055.09889692929</v>
      </c>
      <c r="J11489" s="38" t="n">
        <f aca="false">Sens!$J$11465</f>
        <v>1169.21408118866</v>
      </c>
      <c r="K11489" s="38" t="n">
        <f aca="false">Sens!$K$11465</f>
        <v>1269.40250311482</v>
      </c>
      <c r="L11489" s="38" t="n">
        <f aca="false">Sens!$L$11465</f>
        <v>1364.59431952989</v>
      </c>
      <c r="M11489" s="38" t="n">
        <f aca="false">Sens!$M$11465</f>
        <v>1455.15444271572</v>
      </c>
      <c r="N11489" s="38" t="n">
        <f aca="false">Sens!$N$11465</f>
        <v>323.369</v>
      </c>
      <c r="O11489" s="38" t="n">
        <f aca="false">Sens!$O$11465</f>
        <v>393.555</v>
      </c>
    </row>
    <row r="11490" customFormat="false" ht="17.15" hidden="false" customHeight="false" outlineLevel="0" collapsed="false">
      <c r="A11490" s="24" t="s">
        <v>718</v>
      </c>
      <c r="B11490" s="25" t="s">
        <v>86</v>
      </c>
      <c r="C11490" s="41" t="n">
        <f aca="false">Sens!$C$11477+Sens!$C$11478+Sens!$C$11479+Sens!$C$11480+Sens!$C$11481+Sens!$C$11482-(Sens!$C$11484+Sens!$C$11485)</f>
        <v>0</v>
      </c>
      <c r="D11490" s="41" t="n">
        <f aca="false">Sens!$D$11477+Sens!$D$11478+Sens!$D$11479+Sens!$D$11480+Sens!$D$11481+Sens!$D$11482-(Sens!$D$11484+Sens!$D$11485)</f>
        <v>0</v>
      </c>
      <c r="E11490" s="41" t="n">
        <f aca="false">Sens!$E$11477+Sens!$E$11478+Sens!$E$11479+Sens!$E$11480+Sens!$E$11481+Sens!$E$11482-(Sens!$E$11484+Sens!$E$11485)</f>
        <v>0</v>
      </c>
      <c r="F11490" s="41" t="n">
        <f aca="false">Sens!$F$11477+Sens!$F$11478+Sens!$F$11479+Sens!$F$11480+Sens!$F$11481+Sens!$F$11482-(Sens!$F$11484+Sens!$F$11485)</f>
        <v>0</v>
      </c>
      <c r="G11490" s="41" t="n">
        <f aca="false">Sens!$G$11477+Sens!$G$11478+Sens!$G$11479+Sens!$G$11480+Sens!$G$11481+Sens!$G$11482-(Sens!$G$11484+Sens!$G$11485)</f>
        <v>0</v>
      </c>
      <c r="H11490" s="41" t="n">
        <f aca="false">Sens!$H$11477+Sens!$H$11478+Sens!$H$11479+Sens!$H$11480+Sens!$H$11481+Sens!$H$11482-(Sens!$H$11484+Sens!$H$11485)</f>
        <v>0</v>
      </c>
      <c r="I11490" s="41" t="n">
        <f aca="false">Sens!$I$11477+Sens!$I$11478+Sens!$I$11479+Sens!$I$11480+Sens!$I$11481+Sens!$I$11482-(Sens!$I$11484+Sens!$I$11485)</f>
        <v>0</v>
      </c>
      <c r="J11490" s="41" t="n">
        <f aca="false">Sens!$J$11477+Sens!$J$11478+Sens!$J$11479+Sens!$J$11480+Sens!$J$11481+Sens!$J$11482-(Sens!$J$11484+Sens!$J$11485)</f>
        <v>0</v>
      </c>
      <c r="K11490" s="41" t="n">
        <f aca="false">Sens!$K$11477+Sens!$K$11478+Sens!$K$11479+Sens!$K$11480+Sens!$K$11481+Sens!$K$11482-(Sens!$K$11484+Sens!$K$11485)</f>
        <v>0</v>
      </c>
      <c r="L11490" s="41" t="n">
        <f aca="false">Sens!$L$11477+Sens!$L$11478+Sens!$L$11479+Sens!$L$11480+Sens!$L$11481+Sens!$L$11482-(Sens!$L$11484+Sens!$L$11485)</f>
        <v>0</v>
      </c>
      <c r="M11490" s="41" t="n">
        <f aca="false">Sens!$M$11477+Sens!$M$11478+Sens!$M$11479+Sens!$M$11480+Sens!$M$11481+Sens!$M$11482-(Sens!$M$11484+Sens!$M$11485)</f>
        <v>0</v>
      </c>
      <c r="N11490" s="41" t="n">
        <f aca="false">Sens!$N$11477+Sens!$N$11478+Sens!$N$11479+Sens!$N$11480+Sens!$N$11481+Sens!$N$11482-(Sens!$N$11484+Sens!$N$11485)</f>
        <v>0</v>
      </c>
      <c r="O11490" s="41" t="n">
        <f aca="false">Sens!$O$11477+Sens!$O$11478+Sens!$O$11479+Sens!$O$11480+Sens!$O$11481+Sens!$O$11482-(Sens!$O$11484+Sens!$O$11485)</f>
        <v>0</v>
      </c>
    </row>
    <row r="11491" customFormat="false" ht="17.15" hidden="false" customHeight="false" outlineLevel="0" collapsed="false">
      <c r="A11491" s="24" t="s">
        <v>719</v>
      </c>
      <c r="B11491" s="25" t="s">
        <v>86</v>
      </c>
      <c r="C11491" s="41" t="n">
        <f aca="false">Sens!$C$11487+Sens!$C$11488-Sens!$C$11486</f>
        <v>0</v>
      </c>
      <c r="D11491" s="41" t="n">
        <f aca="false">Sens!$D$11487+Sens!$D$11488-Sens!$D$11486</f>
        <v>0</v>
      </c>
      <c r="E11491" s="41" t="n">
        <f aca="false">Sens!$E$11487+Sens!$E$11488-Sens!$E$11486</f>
        <v>0</v>
      </c>
      <c r="F11491" s="41" t="n">
        <f aca="false">Sens!$F$11487+Sens!$F$11488-Sens!$F$11486</f>
        <v>0</v>
      </c>
      <c r="G11491" s="41" t="n">
        <f aca="false">Sens!$G$11487+Sens!$G$11488-Sens!$G$11486</f>
        <v>0</v>
      </c>
      <c r="H11491" s="41" t="n">
        <f aca="false">Sens!$H$11487+Sens!$H$11488-Sens!$H$11486</f>
        <v>0</v>
      </c>
      <c r="I11491" s="41" t="n">
        <f aca="false">Sens!$I$11487+Sens!$I$11488-Sens!$I$11486</f>
        <v>0</v>
      </c>
      <c r="J11491" s="41" t="n">
        <f aca="false">Sens!$J$11487+Sens!$J$11488-Sens!$J$11486</f>
        <v>0</v>
      </c>
      <c r="K11491" s="41" t="n">
        <f aca="false">Sens!$K$11487+Sens!$K$11488-Sens!$K$11486</f>
        <v>0</v>
      </c>
      <c r="L11491" s="41" t="n">
        <f aca="false">Sens!$L$11487+Sens!$L$11488-Sens!$L$11486</f>
        <v>0</v>
      </c>
      <c r="M11491" s="41" t="n">
        <f aca="false">Sens!$M$11487+Sens!$M$11488-Sens!$M$11486</f>
        <v>0</v>
      </c>
      <c r="N11491" s="41" t="n">
        <f aca="false">Sens!$N$11487+Sens!$N$11488-Sens!$N$11486</f>
        <v>0</v>
      </c>
      <c r="O11491" s="41" t="n">
        <f aca="false">Sens!$O$11487+Sens!$O$11488-Sens!$O$11486</f>
        <v>0</v>
      </c>
    </row>
    <row r="11492" customFormat="false" ht="17.15" hidden="false" customHeight="false" outlineLevel="0" collapsed="false">
      <c r="A11492" s="24" t="s">
        <v>777</v>
      </c>
      <c r="B11492" s="25" t="s">
        <v>86</v>
      </c>
      <c r="C11492" s="41" t="n">
        <f aca="false">Sens!$C$11477+Sens!$C$11478+Sens!$C$11479+Sens!$C$11480+Sens!$C$11481+Sens!$C$11482+Sens!$C$11483-Sens!$C$11489</f>
        <v>0</v>
      </c>
      <c r="D11492" s="41" t="n">
        <f aca="false">Sens!$D$11477+Sens!$D$11478+Sens!$D$11479+Sens!$D$11480+Sens!$D$11481+Sens!$D$11482+Sens!$D$11483-Sens!$D$11489</f>
        <v>0</v>
      </c>
      <c r="E11492" s="41" t="n">
        <f aca="false">Sens!$E$11477+Sens!$E$11478+Sens!$E$11479+Sens!$E$11480+Sens!$E$11481+Sens!$E$11482+Sens!$E$11483-Sens!$E$11489</f>
        <v>0</v>
      </c>
      <c r="F11492" s="41" t="n">
        <f aca="false">Sens!$F$11477+Sens!$F$11478+Sens!$F$11479+Sens!$F$11480+Sens!$F$11481+Sens!$F$11482+Sens!$F$11483-Sens!$F$11489</f>
        <v>0</v>
      </c>
      <c r="G11492" s="41" t="n">
        <f aca="false">Sens!$G$11477+Sens!$G$11478+Sens!$G$11479+Sens!$G$11480+Sens!$G$11481+Sens!$G$11482+Sens!$G$11483-Sens!$G$11489</f>
        <v>0</v>
      </c>
      <c r="H11492" s="41" t="n">
        <f aca="false">Sens!$H$11477+Sens!$H$11478+Sens!$H$11479+Sens!$H$11480+Sens!$H$11481+Sens!$H$11482+Sens!$H$11483-Sens!$H$11489</f>
        <v>0</v>
      </c>
      <c r="I11492" s="41" t="n">
        <f aca="false">Sens!$I$11477+Sens!$I$11478+Sens!$I$11479+Sens!$I$11480+Sens!$I$11481+Sens!$I$11482+Sens!$I$11483-Sens!$I$11489</f>
        <v>0</v>
      </c>
      <c r="J11492" s="41" t="n">
        <f aca="false">Sens!$J$11477+Sens!$J$11478+Sens!$J$11479+Sens!$J$11480+Sens!$J$11481+Sens!$J$11482+Sens!$J$11483-Sens!$J$11489</f>
        <v>0</v>
      </c>
      <c r="K11492" s="41" t="n">
        <f aca="false">Sens!$K$11477+Sens!$K$11478+Sens!$K$11479+Sens!$K$11480+Sens!$K$11481+Sens!$K$11482+Sens!$K$11483-Sens!$K$11489</f>
        <v>0</v>
      </c>
      <c r="L11492" s="41" t="n">
        <f aca="false">Sens!$L$11477+Sens!$L$11478+Sens!$L$11479+Sens!$L$11480+Sens!$L$11481+Sens!$L$11482+Sens!$L$11483-Sens!$L$11489</f>
        <v>0</v>
      </c>
      <c r="M11492" s="41" t="n">
        <f aca="false">Sens!$M$11477+Sens!$M$11478+Sens!$M$11479+Sens!$M$11480+Sens!$M$11481+Sens!$M$11482+Sens!$M$11483-Sens!$M$11489</f>
        <v>0</v>
      </c>
      <c r="N11492" s="41" t="n">
        <f aca="false">Sens!$N$11477+Sens!$N$11478+Sens!$N$11479+Sens!$N$11480+Sens!$N$11481+Sens!$N$11482+Sens!$N$11483-Sens!$N$11489</f>
        <v>0</v>
      </c>
      <c r="O11492" s="41" t="n">
        <f aca="false">Sens!$O$11477+Sens!$O$11478+Sens!$O$11479+Sens!$O$11480+Sens!$O$11481+Sens!$O$11482+Sens!$O$11483-Sens!$O$11489</f>
        <v>0</v>
      </c>
    </row>
    <row r="11493" customFormat="false" ht="17.15" hidden="false" customHeight="false" outlineLevel="0" collapsed="false">
      <c r="A11493" s="24" t="s">
        <v>720</v>
      </c>
      <c r="B11493" s="25" t="s">
        <v>86</v>
      </c>
      <c r="C11493" s="41" t="n">
        <f aca="false">Sens!$C$11484+Sens!$C$11485+Sens!$C$11486-Sens!$C$11489</f>
        <v>0</v>
      </c>
      <c r="D11493" s="41" t="n">
        <f aca="false">Sens!$D$11484+Sens!$D$11485+Sens!$D$11486-Sens!$D$11489</f>
        <v>0</v>
      </c>
      <c r="E11493" s="41" t="n">
        <f aca="false">Sens!$E$11484+Sens!$E$11485+Sens!$E$11486-Sens!$E$11489</f>
        <v>0</v>
      </c>
      <c r="F11493" s="41" t="n">
        <f aca="false">Sens!$F$11484+Sens!$F$11485+Sens!$F$11486-Sens!$F$11489</f>
        <v>0</v>
      </c>
      <c r="G11493" s="41" t="n">
        <f aca="false">Sens!$G$11484+Sens!$G$11485+Sens!$G$11486-Sens!$G$11489</f>
        <v>0</v>
      </c>
      <c r="H11493" s="41" t="n">
        <f aca="false">Sens!$H$11484+Sens!$H$11485+Sens!$H$11486-Sens!$H$11489</f>
        <v>0</v>
      </c>
      <c r="I11493" s="41" t="n">
        <f aca="false">Sens!$I$11484+Sens!$I$11485+Sens!$I$11486-Sens!$I$11489</f>
        <v>0</v>
      </c>
      <c r="J11493" s="41" t="n">
        <f aca="false">Sens!$J$11484+Sens!$J$11485+Sens!$J$11486-Sens!$J$11489</f>
        <v>0</v>
      </c>
      <c r="K11493" s="41" t="n">
        <f aca="false">Sens!$K$11484+Sens!$K$11485+Sens!$K$11486-Sens!$K$11489</f>
        <v>0</v>
      </c>
      <c r="L11493" s="41" t="n">
        <f aca="false">Sens!$L$11484+Sens!$L$11485+Sens!$L$11486-Sens!$L$11489</f>
        <v>0</v>
      </c>
      <c r="M11493" s="41" t="n">
        <f aca="false">Sens!$M$11484+Sens!$M$11485+Sens!$M$11486-Sens!$M$11489</f>
        <v>0</v>
      </c>
      <c r="N11493" s="41" t="n">
        <f aca="false">Sens!$N$11484+Sens!$N$11485+Sens!$N$11486-Sens!$N$11489</f>
        <v>0</v>
      </c>
      <c r="O11493" s="41" t="n">
        <f aca="false">Sens!$O$11484+Sens!$O$11485+Sens!$O$11486-Sens!$O$11489</f>
        <v>0</v>
      </c>
    </row>
    <row r="11494" customFormat="false" ht="17.15" hidden="false" customHeight="false" outlineLevel="0" collapsed="false">
      <c r="A11494" s="1" t="s">
        <v>730</v>
      </c>
    </row>
    <row r="11495" customFormat="false" ht="17.15" hidden="false" customHeight="false" outlineLevel="0" collapsed="false">
      <c r="A11495" s="0" t="s">
        <v>731</v>
      </c>
      <c r="B11495" s="0" t="s">
        <v>86</v>
      </c>
      <c r="C11495" s="38" t="n">
        <f aca="false">Sens!$C$11396*m_ad</f>
        <v>20.5341564414228</v>
      </c>
      <c r="D11495" s="38" t="n">
        <f aca="false">Sens!$D$11396*m_ad</f>
        <v>24.8720617299587</v>
      </c>
      <c r="E11495" s="38" t="n">
        <f aca="false">Sens!$E$11396*m_ad</f>
        <v>13.5017112462207</v>
      </c>
      <c r="F11495" s="38" t="n">
        <f aca="false">Sens!$F$11396*m_ad</f>
        <v>16.5719724165257</v>
      </c>
      <c r="G11495" s="38" t="n">
        <f aca="false">Sens!$G$11396*m_ad</f>
        <v>30.0820919220415</v>
      </c>
      <c r="H11495" s="38" t="n">
        <f aca="false">Sens!$H$11396*m_ad</f>
        <v>36.1150883276314</v>
      </c>
      <c r="I11495" s="38" t="n">
        <f aca="false">Sens!$I$11396*m_ad</f>
        <v>42.1475382231996</v>
      </c>
      <c r="J11495" s="38" t="n">
        <f aca="false">Sens!$J$11396*m_ad</f>
        <v>47.7749523864693</v>
      </c>
      <c r="K11495" s="38" t="n">
        <f aca="false">Sens!$K$11396*m_ad</f>
        <v>52.5524476251162</v>
      </c>
      <c r="L11495" s="38" t="n">
        <f aca="false">Sens!$L$11396*m_ad</f>
        <v>57.8076923876279</v>
      </c>
      <c r="M11495" s="38" t="n">
        <f aca="false">Sens!$M$11396*m_ad</f>
        <v>63.5884616263907</v>
      </c>
      <c r="N11495" s="38" t="n">
        <f aca="false">Sens!$N$11396*m_ad</f>
        <v>10.8543555706248</v>
      </c>
      <c r="O11495" s="38" t="n">
        <f aca="false">Sens!$O$11396*m_ad</f>
        <v>14.0094731821399</v>
      </c>
    </row>
    <row r="11496" customFormat="false" ht="17.15" hidden="false" customHeight="false" outlineLevel="0" collapsed="false">
      <c r="A11496" s="0" t="s">
        <v>732</v>
      </c>
      <c r="B11496" s="0" t="s">
        <v>86</v>
      </c>
      <c r="C11496" s="38" t="n">
        <f aca="false">Sens!$C$11394-Sens!$C$11396</f>
        <v>346.428687117154</v>
      </c>
      <c r="D11496" s="38" t="n">
        <f aca="false">Sens!$D$11394-Sens!$D$11396</f>
        <v>376.560876540083</v>
      </c>
      <c r="E11496" s="38" t="n">
        <f aca="false">Sens!$E$11394-Sens!$E$11396</f>
        <v>193.316577507559</v>
      </c>
      <c r="F11496" s="38" t="n">
        <f aca="false">Sens!$F$11394-Sens!$F$11396</f>
        <v>217.495828647535</v>
      </c>
      <c r="G11496" s="38" t="n">
        <f aca="false">Sens!$G$11394-Sens!$G$11396</f>
        <v>410.795589636503</v>
      </c>
      <c r="H11496" s="38" t="n">
        <f aca="false">Sens!$H$11394-Sens!$H$11396</f>
        <v>449.156813761174</v>
      </c>
      <c r="I11496" s="38" t="n">
        <f aca="false">Sens!$I$11394-Sens!$I$11396</f>
        <v>485.848786441156</v>
      </c>
      <c r="J11496" s="38" t="n">
        <f aca="false">Sens!$J$11394-Sens!$J$11396</f>
        <v>519.841531018994</v>
      </c>
      <c r="K11496" s="38" t="n">
        <f aca="false">Sens!$K$11394-Sens!$K$11396</f>
        <v>550.103332311311</v>
      </c>
      <c r="L11496" s="38" t="n">
        <f aca="false">Sens!$L$11394-Sens!$L$11396</f>
        <v>582.192354474511</v>
      </c>
      <c r="M11496" s="38" t="n">
        <f aca="false">Sens!$M$11394-Sens!$M$11396</f>
        <v>616.22240521081</v>
      </c>
      <c r="N11496" s="38" t="n">
        <f aca="false">Sens!$N$11394-Sens!$N$11396</f>
        <v>171.24628885875</v>
      </c>
      <c r="O11496" s="38" t="n">
        <f aca="false">Sens!$O$11394-Sens!$O$11396</f>
        <v>205.33105363572</v>
      </c>
    </row>
    <row r="11497" customFormat="false" ht="17.15" hidden="false" customHeight="false" outlineLevel="0" collapsed="false">
      <c r="A11497" s="0" t="s">
        <v>733</v>
      </c>
      <c r="B11497" s="0" t="s">
        <v>86</v>
      </c>
      <c r="C11497" s="38" t="n">
        <f aca="false">Sens!$C$11448*Sens!$C$11393</f>
        <v>0.123617442257179</v>
      </c>
      <c r="D11497" s="38" t="n">
        <f aca="false">Sens!$D$11448*Sens!$D$11393</f>
        <v>0.600198046024689</v>
      </c>
      <c r="E11497" s="38" t="n">
        <f aca="false">Sens!$E$11448*Sens!$E$11393</f>
        <v>1.10840000750276</v>
      </c>
      <c r="F11497" s="38" t="n">
        <f aca="false">Sens!$F$11448*Sens!$F$11393</f>
        <v>1.33595298721025</v>
      </c>
      <c r="G11497" s="38" t="n">
        <f aca="false">Sens!$G$11448*Sens!$G$11393</f>
        <v>2.44487335052545</v>
      </c>
      <c r="H11497" s="38" t="n">
        <f aca="false">Sens!$H$11448*Sens!$H$11393</f>
        <v>6.63132711939388</v>
      </c>
      <c r="I11497" s="38" t="n">
        <f aca="false">Sens!$I$11448*Sens!$I$11393</f>
        <v>12.7486799258504</v>
      </c>
      <c r="J11497" s="38" t="n">
        <f aca="false">Sens!$J$11448*Sens!$J$11393</f>
        <v>18.4074045299415</v>
      </c>
      <c r="K11497" s="38" t="n">
        <f aca="false">Sens!$K$11448*Sens!$K$11393</f>
        <v>23.9455472348705</v>
      </c>
      <c r="L11497" s="38" t="n">
        <f aca="false">Sens!$L$11448*Sens!$L$11393</f>
        <v>27.78179156216</v>
      </c>
      <c r="M11497" s="38" t="n">
        <f aca="false">Sens!$M$11448*Sens!$M$11393</f>
        <v>29.9029027327362</v>
      </c>
      <c r="N11497" s="38" t="n">
        <f aca="false">Sens!$N$11448*Sens!$N$11393</f>
        <v>0.25053229484398</v>
      </c>
      <c r="O11497" s="38" t="n">
        <f aca="false">Sens!$O$11448*Sens!$O$11393</f>
        <v>0.349234376756897</v>
      </c>
    </row>
    <row r="11498" customFormat="false" ht="17.15" hidden="false" customHeight="false" outlineLevel="0" collapsed="false">
      <c r="A11498" s="0" t="s">
        <v>734</v>
      </c>
      <c r="B11498" s="0" t="s">
        <v>52</v>
      </c>
      <c r="C11498" s="28" t="n">
        <f aca="false">(Sens!$C$11499-Sens!$C$11495+Sens!$C$11497)/Sens!$C$11496</f>
        <v>0.0131526665379575</v>
      </c>
      <c r="D11498" s="28" t="n">
        <f aca="false">(Sens!$D$11499-Sens!$D$11495+Sens!$D$11497)/Sens!$D$11496</f>
        <v>0.0141999252954702</v>
      </c>
      <c r="E11498" s="28" t="n">
        <f aca="false">(Sens!$E$11499-Sens!$E$11495+Sens!$E$11497)/Sens!$E$11496</f>
        <v>0.0258471819939326</v>
      </c>
      <c r="F11498" s="28" t="n">
        <f aca="false">Sens!$O$11498+(Sens!$E$11498-Sens!$N$11498)</f>
        <v>0.0224302350712874</v>
      </c>
      <c r="G11498" s="28" t="n">
        <f aca="false">(Sens!$G$11499-Sens!$G$11495+Sens!$G$11497)/Sens!$G$11496</f>
        <v>0.0240199351461372</v>
      </c>
      <c r="H11498" s="28" t="n">
        <f aca="false">Sens!$G$11498+step_na</f>
        <v>0.0270199351461372</v>
      </c>
      <c r="I11498" s="28" t="n">
        <f aca="false">Sens!$H$11498+step_na</f>
        <v>0.0300199351461372</v>
      </c>
      <c r="J11498" s="28" t="n">
        <f aca="false">Sens!$I$11498+step_na</f>
        <v>0.0330199351461372</v>
      </c>
      <c r="K11498" s="28" t="n">
        <f aca="false">Sens!$J$11498+step_na</f>
        <v>0.0360199351461372</v>
      </c>
      <c r="L11498" s="28" t="n">
        <f aca="false">Sens!$K$11498</f>
        <v>0.0360199351461372</v>
      </c>
      <c r="M11498" s="28" t="n">
        <f aca="false">Sens!$L$11498</f>
        <v>0.0360199351461372</v>
      </c>
      <c r="N11498" s="28" t="n">
        <f aca="false">(Sens!$N$11499-Sens!$N$11495+Sens!$N$11497)/Sens!$N$11496</f>
        <v>0.0160831323269779</v>
      </c>
      <c r="O11498" s="28" t="n">
        <f aca="false">(Sens!$O$11499-Sens!$O$11495+Sens!$O$11497)/Sens!$O$11496</f>
        <v>0.0126661854043327</v>
      </c>
      <c r="P11498" s="8" t="s">
        <v>735</v>
      </c>
    </row>
    <row r="11499" customFormat="false" ht="17.15" hidden="false" customHeight="false" outlineLevel="0" collapsed="false">
      <c r="A11499" s="1" t="s">
        <v>736</v>
      </c>
      <c r="B11499" s="8" t="s">
        <v>86</v>
      </c>
      <c r="C11499" s="38" t="n">
        <f aca="false">Q!$D$22</f>
        <v>24.967</v>
      </c>
      <c r="D11499" s="38" t="n">
        <f aca="false">Q!$E$22</f>
        <v>29.619</v>
      </c>
      <c r="E11499" s="38" t="n">
        <f aca="false">Q!$P$22</f>
        <v>17.39</v>
      </c>
      <c r="F11499" s="38" t="n">
        <f aca="false">Sens!$F$11495+Sens!$F$11496*Sens!$F$11498-Sens!$F$11497</f>
        <v>20.1145019929041</v>
      </c>
      <c r="G11499" s="38" t="n">
        <f aca="false">Sens!$E$11499+Sens!$F$11499</f>
        <v>37.5045019929041</v>
      </c>
      <c r="H11499" s="38" t="n">
        <f aca="false">Sens!$H$11495+Sens!$H$11496*Sens!$H$11498-Sens!$H$11497</f>
        <v>41.6199491865101</v>
      </c>
      <c r="I11499" s="38" t="n">
        <f aca="false">Sens!$I$11495+Sens!$I$11496*Sens!$I$11498-Sens!$I$11497</f>
        <v>43.9840073571422</v>
      </c>
      <c r="J11499" s="38" t="n">
        <f aca="false">Sens!$J$11495+Sens!$J$11496*Sens!$J$11498-Sens!$J$11497</f>
        <v>46.5326814970436</v>
      </c>
      <c r="K11499" s="38" t="n">
        <f aca="false">Sens!$K$11495+Sens!$K$11496*Sens!$K$11498-Sens!$K$11497</f>
        <v>48.4215867437731</v>
      </c>
      <c r="L11499" s="38" t="n">
        <f aca="false">Sens!$L$11495+Sens!$L$11496*Sens!$L$11498-Sens!$L$11497</f>
        <v>50.9964316762167</v>
      </c>
      <c r="M11499" s="38" t="n">
        <f aca="false">Sens!$M$11495+Sens!$M$11496*Sens!$M$11498-Sens!$M$11497</f>
        <v>55.8818499649445</v>
      </c>
      <c r="N11499" s="38" t="n">
        <f aca="false">Q!$N$22</f>
        <v>13.358</v>
      </c>
      <c r="O11499" s="38" t="n">
        <f aca="false">Q!$O$22</f>
        <v>16.261</v>
      </c>
    </row>
    <row r="11500" customFormat="false" ht="17.15" hidden="false" customHeight="false" outlineLevel="0" collapsed="false">
      <c r="A11500" s="0" t="s">
        <v>737</v>
      </c>
      <c r="B11500" s="0" t="s">
        <v>86</v>
      </c>
      <c r="C11500" s="38" t="n">
        <f aca="false">Sens!$C$11397*m_ad</f>
        <v>7.57284355857716</v>
      </c>
      <c r="D11500" s="38" t="n">
        <f aca="false">Sens!$D$11397*m_ad</f>
        <v>9.44543827004127</v>
      </c>
      <c r="E11500" s="38" t="n">
        <f aca="false">Sens!$E$11397*m_ad</f>
        <v>5.02428875377928</v>
      </c>
      <c r="F11500" s="38" t="n">
        <f aca="false">Sens!$F$11397*m_ad</f>
        <v>6.50663858068173</v>
      </c>
      <c r="G11500" s="38" t="n">
        <f aca="false">Sens!$G$11397*m_ad</f>
        <v>11.5225190751659</v>
      </c>
      <c r="H11500" s="38" t="n">
        <f aca="false">Sens!$H$11397*m_ad</f>
        <v>13.8333728663174</v>
      </c>
      <c r="I11500" s="38" t="n">
        <f aca="false">Sens!$I$11397*m_ad</f>
        <v>16.1440173245485</v>
      </c>
      <c r="J11500" s="38" t="n">
        <f aca="false">Sens!$J$11397*m_ad</f>
        <v>18.2995185845066</v>
      </c>
      <c r="K11500" s="38" t="n">
        <f aca="false">Sens!$K$11397*m_ad</f>
        <v>20.1294704429572</v>
      </c>
      <c r="L11500" s="38" t="n">
        <f aca="false">Sens!$L$11397*m_ad</f>
        <v>22.142417487253</v>
      </c>
      <c r="M11500" s="38" t="n">
        <f aca="false">Sens!$M$11397*m_ad</f>
        <v>24.3566592359783</v>
      </c>
      <c r="N11500" s="38" t="n">
        <f aca="false">Sens!$N$11397*m_ad</f>
        <v>3.95314442937518</v>
      </c>
      <c r="O11500" s="38" t="n">
        <f aca="false">Sens!$O$11397*m_ad</f>
        <v>5.50052681786011</v>
      </c>
    </row>
    <row r="11501" customFormat="false" ht="17.15" hidden="false" customHeight="false" outlineLevel="0" collapsed="false">
      <c r="A11501" s="0" t="s">
        <v>738</v>
      </c>
      <c r="B11501" s="0" t="s">
        <v>86</v>
      </c>
      <c r="C11501" s="38" t="n">
        <f aca="false">Sens!$C$11395-Sens!$C$11397</f>
        <v>127.760312882846</v>
      </c>
      <c r="D11501" s="38" t="n">
        <f aca="false">Sens!$D$11395-Sens!$D$11397</f>
        <v>143.003123459917</v>
      </c>
      <c r="E11501" s="38" t="n">
        <f aca="false">Sens!$E$11395-Sens!$E$11397</f>
        <v>71.9374224924414</v>
      </c>
      <c r="F11501" s="38" t="n">
        <f aca="false">Sens!$F$11395-Sens!$F$11397</f>
        <v>85.3951910035875</v>
      </c>
      <c r="G11501" s="38" t="n">
        <f aca="false">Sens!$G$11395-Sens!$G$11397</f>
        <v>157.349430014619</v>
      </c>
      <c r="H11501" s="38" t="n">
        <f aca="false">Sens!$H$11395-Sens!$H$11397</f>
        <v>172.043153372315</v>
      </c>
      <c r="I11501" s="38" t="n">
        <f aca="false">Sens!$I$11395-Sens!$I$11397</f>
        <v>186.097493615879</v>
      </c>
      <c r="J11501" s="38" t="n">
        <f aca="false">Sens!$J$11395-Sens!$J$11397</f>
        <v>199.117932780497</v>
      </c>
      <c r="K11501" s="38" t="n">
        <f aca="false">Sens!$K$11395-Sens!$K$11397</f>
        <v>210.70928698363</v>
      </c>
      <c r="L11501" s="38" t="n">
        <f aca="false">Sens!$L$11395-Sens!$L$11397</f>
        <v>223.000532251316</v>
      </c>
      <c r="M11501" s="38" t="n">
        <f aca="false">Sens!$M$11395-Sens!$M$11397</f>
        <v>236.035261011339</v>
      </c>
      <c r="N11501" s="38" t="n">
        <f aca="false">Sens!$N$11395-Sens!$N$11397</f>
        <v>62.3677111412496</v>
      </c>
      <c r="O11501" s="38" t="n">
        <f aca="false">Sens!$O$11395-Sens!$O$11397</f>
        <v>80.6189463642798</v>
      </c>
    </row>
    <row r="11502" customFormat="false" ht="17.15" hidden="false" customHeight="false" outlineLevel="0" collapsed="false">
      <c r="A11502" s="0" t="s">
        <v>739</v>
      </c>
      <c r="B11502" s="0" t="s">
        <v>86</v>
      </c>
      <c r="C11502" s="38" t="n">
        <f aca="false">Sens!$C$11448*(1-Sens!$C$11393)</f>
        <v>0.0455891896019953</v>
      </c>
      <c r="D11502" s="38" t="n">
        <f aca="false">Sens!$D$11448*(1-Sens!$D$11393)</f>
        <v>0.227931791705753</v>
      </c>
      <c r="E11502" s="38" t="n">
        <f aca="false">Sens!$E$11448*(1-Sens!$E$11393)</f>
        <v>0.412460434890711</v>
      </c>
      <c r="F11502" s="38" t="n">
        <f aca="false">Sens!$F$11448*(1-Sens!$F$11393)</f>
        <v>0.524534016233997</v>
      </c>
      <c r="G11502" s="38" t="n">
        <f aca="false">Sens!$G$11448*(1-Sens!$G$11393)</f>
        <v>0.936474095312266</v>
      </c>
      <c r="H11502" s="38" t="n">
        <f aca="false">Sens!$H$11448*(1-Sens!$H$11393)</f>
        <v>2.54003589327823</v>
      </c>
      <c r="I11502" s="38" t="n">
        <f aca="false">Sens!$I$11448*(1-Sens!$I$11393)</f>
        <v>4.88320120852905</v>
      </c>
      <c r="J11502" s="38" t="n">
        <f aca="false">Sens!$J$11448*(1-Sens!$J$11393)</f>
        <v>7.05069548920359</v>
      </c>
      <c r="K11502" s="38" t="n">
        <f aca="false">Sens!$K$11448*(1-Sens!$K$11393)</f>
        <v>9.17200258193867</v>
      </c>
      <c r="L11502" s="38" t="n">
        <f aca="false">Sens!$L$11448*(1-Sens!$L$11393)</f>
        <v>10.6414216154535</v>
      </c>
      <c r="M11502" s="38" t="n">
        <f aca="false">Sens!$M$11448*(1-Sens!$M$11393)</f>
        <v>11.4538831951485</v>
      </c>
      <c r="N11502" s="38" t="n">
        <f aca="false">Sens!$N$11448*(1-Sens!$N$11393)</f>
        <v>0.0912435878202994</v>
      </c>
      <c r="O11502" s="38" t="n">
        <f aca="false">Sens!$O$11448*(1-Sens!$O$11393)</f>
        <v>0.137119578309265</v>
      </c>
    </row>
    <row r="11503" customFormat="false" ht="17.15" hidden="false" customHeight="false" outlineLevel="0" collapsed="false">
      <c r="A11503" s="0" t="s">
        <v>740</v>
      </c>
      <c r="B11503" s="0" t="s">
        <v>52</v>
      </c>
      <c r="C11503" s="28" t="n">
        <f aca="false">(Sens!$C$11504-Sens!$C$11500+Sens!$C$11502)/Sens!$C$11501</f>
        <v>-0.0292364215826579</v>
      </c>
      <c r="D11503" s="28" t="n">
        <f aca="false">(Sens!$D$11504-Sens!$D$11500+Sens!$D$11502)/Sens!$D$11501</f>
        <v>-0.0312406216748665</v>
      </c>
      <c r="E11503" s="28" t="n">
        <f aca="false">(Sens!$E$11504-Sens!$E$11500+Sens!$E$11502)/Sens!$E$11501</f>
        <v>-0.0204459413185552</v>
      </c>
      <c r="F11503" s="28" t="n">
        <f aca="false">Sens!$O$11503+(Sens!$E$11503-Sens!$N$11503)</f>
        <v>-0.0375409290246314</v>
      </c>
      <c r="G11503" s="28" t="n">
        <f aca="false">(Sens!$G$11504-Sens!$G$11500+Sens!$G$11502)/Sens!$G$11501</f>
        <v>-0.0296712560031684</v>
      </c>
      <c r="H11503" s="28" t="n">
        <f aca="false">Sens!$G$11503+step_in</f>
        <v>-0.0296712560031684</v>
      </c>
      <c r="I11503" s="28" t="n">
        <f aca="false">Sens!$H$11503+step_in</f>
        <v>-0.0296712560031684</v>
      </c>
      <c r="J11503" s="28" t="n">
        <f aca="false">Sens!$I$11503+step_in</f>
        <v>-0.0296712560031684</v>
      </c>
      <c r="K11503" s="28" t="n">
        <f aca="false">Sens!$J$11503+step_in</f>
        <v>-0.0296712560031684</v>
      </c>
      <c r="L11503" s="28" t="n">
        <f aca="false">Sens!$K$11503</f>
        <v>-0.0296712560031684</v>
      </c>
      <c r="M11503" s="28" t="n">
        <f aca="false">Sens!$L$11503</f>
        <v>-0.0296712560031684</v>
      </c>
      <c r="N11503" s="28" t="n">
        <f aca="false">(Sens!$N$11504-Sens!$N$11500+Sens!$N$11502)/Sens!$N$11501</f>
        <v>-0.0216602600421776</v>
      </c>
      <c r="O11503" s="28" t="n">
        <f aca="false">(Sens!$O$11504-Sens!$O$11500+Sens!$O$11502)/Sens!$O$11501</f>
        <v>-0.0387552477482538</v>
      </c>
      <c r="P11503" s="8" t="s">
        <v>735</v>
      </c>
    </row>
    <row r="11504" customFormat="false" ht="17.15" hidden="false" customHeight="false" outlineLevel="0" collapsed="false">
      <c r="A11504" s="1" t="s">
        <v>741</v>
      </c>
      <c r="B11504" s="8" t="s">
        <v>86</v>
      </c>
      <c r="C11504" s="38" t="n">
        <f aca="false">Q!$D$23</f>
        <v>3.792</v>
      </c>
      <c r="D11504" s="38" t="n">
        <f aca="false">Q!$E$23</f>
        <v>4.75</v>
      </c>
      <c r="E11504" s="38" t="n">
        <f aca="false">Q!$P$23</f>
        <v>3.141</v>
      </c>
      <c r="F11504" s="38" t="n">
        <f aca="false">Sens!$F$11500+Sens!$F$11501*Sens!$F$11503-Sens!$F$11502</f>
        <v>2.77628975993721</v>
      </c>
      <c r="G11504" s="38" t="n">
        <f aca="false">Sens!$E$11504+Sens!$F$11504</f>
        <v>5.91728975993721</v>
      </c>
      <c r="H11504" s="38" t="n">
        <f aca="false">Sens!$H$11500+Sens!$H$11501*Sens!$H$11503-Sens!$H$11502</f>
        <v>6.18860052573681</v>
      </c>
      <c r="I11504" s="38" t="n">
        <f aca="false">Sens!$I$11500+Sens!$I$11501*Sens!$I$11503-Sens!$I$11502</f>
        <v>5.73906974139474</v>
      </c>
      <c r="J11504" s="38" t="n">
        <f aca="false">Sens!$J$11500+Sens!$J$11501*Sens!$J$11503-Sens!$J$11502</f>
        <v>5.34074393695119</v>
      </c>
      <c r="K11504" s="38" t="n">
        <f aca="false">Sens!$K$11500+Sens!$K$11501*Sens!$K$11503-Sens!$K$11502</f>
        <v>4.7054586646822</v>
      </c>
      <c r="L11504" s="38" t="n">
        <f aca="false">Sens!$L$11500+Sens!$L$11501*Sens!$L$11503-Sens!$L$11502</f>
        <v>4.88428999052786</v>
      </c>
      <c r="M11504" s="38" t="n">
        <f aca="false">Sens!$M$11500+Sens!$M$11501*Sens!$M$11503-Sens!$M$11502</f>
        <v>5.89931338558769</v>
      </c>
      <c r="N11504" s="38" t="n">
        <f aca="false">Q!$N$23</f>
        <v>2.511</v>
      </c>
      <c r="O11504" s="38" t="n">
        <f aca="false">Q!$O$23</f>
        <v>2.239</v>
      </c>
    </row>
    <row r="11505" customFormat="false" ht="17.15" hidden="false" customHeight="false" outlineLevel="0" collapsed="false">
      <c r="A11505" s="0" t="s">
        <v>742</v>
      </c>
      <c r="B11505" s="0" t="s">
        <v>86</v>
      </c>
      <c r="C11505" s="38" t="n">
        <f aca="false">Sens!$C$11445</f>
        <v>1.64417882953695</v>
      </c>
      <c r="D11505" s="38" t="n">
        <f aca="false">Sens!$D$11445</f>
        <v>5.39125073772939</v>
      </c>
      <c r="E11505" s="38" t="n">
        <f aca="false">Sens!$E$11445</f>
        <v>2.42691120599613</v>
      </c>
      <c r="F11505" s="38" t="n">
        <f aca="false">Sens!$F$11445</f>
        <v>6.69546929455678</v>
      </c>
      <c r="G11505" s="38" t="n">
        <f aca="false">Sens!$G$11445</f>
        <v>9.1223805005529</v>
      </c>
      <c r="H11505" s="38" t="n">
        <f aca="false">Sens!$H$11445</f>
        <v>16.7368381471749</v>
      </c>
      <c r="I11505" s="38" t="n">
        <f aca="false">Sens!$I$11445</f>
        <v>17.2722217177834</v>
      </c>
      <c r="J11505" s="38" t="n">
        <f aca="false">Sens!$J$11445</f>
        <v>20.4977373247316</v>
      </c>
      <c r="K11505" s="38" t="n">
        <f aca="false">Sens!$K$11445</f>
        <v>19.3182673269205</v>
      </c>
      <c r="L11505" s="38" t="n">
        <f aca="false">Sens!$L$11445</f>
        <v>17.4557727670999</v>
      </c>
      <c r="M11505" s="38" t="n">
        <f aca="false">Sens!$M$11445</f>
        <v>14.958596474413</v>
      </c>
      <c r="N11505" s="38" t="n">
        <f aca="false">Sens!$N$11445</f>
        <v>1.67921600037079</v>
      </c>
      <c r="O11505" s="38" t="n">
        <f aca="false">Sens!$O$11445</f>
        <v>3.71203473735861</v>
      </c>
    </row>
    <row r="11506" customFormat="false" ht="17.15" hidden="false" customHeight="false" outlineLevel="0" collapsed="false">
      <c r="A11506" s="0" t="s">
        <v>660</v>
      </c>
      <c r="B11506" s="0" t="s">
        <v>86</v>
      </c>
      <c r="C11506" s="38" t="n">
        <f aca="false">Sens!$C$11450</f>
        <v>38.1898211704631</v>
      </c>
      <c r="D11506" s="38" t="n">
        <f aca="false">Sens!$D$11450</f>
        <v>40.2147492622706</v>
      </c>
      <c r="E11506" s="38" t="n">
        <f aca="false">Sens!$E$11450</f>
        <v>28.3550887940039</v>
      </c>
      <c r="F11506" s="38" t="n">
        <f aca="false">Sens!$F$11450</f>
        <v>25.9529793149447</v>
      </c>
      <c r="G11506" s="38" t="n">
        <f aca="false">Sens!$G$11450</f>
        <v>54.3080681089486</v>
      </c>
      <c r="H11506" s="38" t="n">
        <f aca="false">Sens!$H$11450</f>
        <v>58.2264684589333</v>
      </c>
      <c r="I11506" s="38" t="n">
        <f aca="false">Sens!$I$11450</f>
        <v>64.6461353851744</v>
      </c>
      <c r="J11506" s="38" t="n">
        <f aca="false">Sens!$J$11450</f>
        <v>70.7957093610231</v>
      </c>
      <c r="K11506" s="38" t="n">
        <f aca="false">Sens!$K$11450</f>
        <v>76.4593661099049</v>
      </c>
      <c r="L11506" s="38" t="n">
        <f aca="false">Sens!$L$11450</f>
        <v>82.5761153986973</v>
      </c>
      <c r="M11506" s="38" t="n">
        <f aca="false">Sens!$M$11450</f>
        <v>89.1822046305931</v>
      </c>
      <c r="N11506" s="38" t="n">
        <f aca="false">Sens!$N$11450</f>
        <v>20.0277839996292</v>
      </c>
      <c r="O11506" s="38" t="n">
        <f aca="false">Sens!$O$11450</f>
        <v>20.1869652626414</v>
      </c>
    </row>
    <row r="11507" customFormat="false" ht="17.15" hidden="false" customHeight="false" outlineLevel="0" collapsed="false">
      <c r="A11507" s="1" t="s">
        <v>743</v>
      </c>
      <c r="B11507" s="8" t="s">
        <v>86</v>
      </c>
      <c r="C11507" s="38" t="n">
        <f aca="false">Q!$D$24</f>
        <v>39.834</v>
      </c>
      <c r="D11507" s="38" t="n">
        <f aca="false">Q!$E$24</f>
        <v>45.606</v>
      </c>
      <c r="E11507" s="38" t="n">
        <f aca="false">Q!$P$24</f>
        <v>30.782</v>
      </c>
      <c r="F11507" s="38" t="n">
        <f aca="false">Sens!$F$11505+Sens!$F$11506</f>
        <v>32.6484486095015</v>
      </c>
      <c r="G11507" s="38" t="n">
        <f aca="false">Sens!$G$11505+Sens!$G$11506</f>
        <v>63.4304486095015</v>
      </c>
      <c r="H11507" s="38" t="n">
        <f aca="false">Sens!$H$11505+Sens!$H$11506</f>
        <v>74.9633066061082</v>
      </c>
      <c r="I11507" s="38" t="n">
        <f aca="false">Sens!$I$11505+Sens!$I$11506</f>
        <v>81.9183571029579</v>
      </c>
      <c r="J11507" s="38" t="n">
        <f aca="false">Sens!$J$11505+Sens!$J$11506</f>
        <v>91.2934466857547</v>
      </c>
      <c r="K11507" s="38" t="n">
        <f aca="false">Sens!$K$11505+Sens!$K$11506</f>
        <v>95.7776334368254</v>
      </c>
      <c r="L11507" s="38" t="n">
        <f aca="false">Sens!$L$11505+Sens!$L$11506</f>
        <v>100.031888165797</v>
      </c>
      <c r="M11507" s="38" t="n">
        <f aca="false">Sens!$M$11505+Sens!$M$11506</f>
        <v>104.140801105006</v>
      </c>
      <c r="N11507" s="38" t="n">
        <f aca="false">Q!$N$24</f>
        <v>21.707</v>
      </c>
      <c r="O11507" s="38" t="n">
        <f aca="false">Q!$O$24</f>
        <v>23.899</v>
      </c>
    </row>
    <row r="11508" customFormat="false" ht="17.15" hidden="false" customHeight="false" outlineLevel="0" collapsed="false">
      <c r="A11508" s="5" t="s">
        <v>744</v>
      </c>
      <c r="B11508" s="0" t="s">
        <v>86</v>
      </c>
      <c r="C11508" s="38" t="n">
        <f aca="false">Q!$D$26</f>
        <v>0</v>
      </c>
      <c r="D11508" s="38" t="n">
        <f aca="false">Q!$E$26</f>
        <v>0</v>
      </c>
      <c r="E11508" s="38" t="n">
        <f aca="false">Q!$P$26</f>
        <v>0</v>
      </c>
      <c r="F11508" s="39" t="n">
        <v>0</v>
      </c>
      <c r="G11508" s="38" t="n">
        <f aca="false">Sens!$E$11508+Sens!$F$11508</f>
        <v>0</v>
      </c>
      <c r="H11508" s="39" t="n">
        <v>0</v>
      </c>
      <c r="I11508" s="39" t="n">
        <v>0</v>
      </c>
      <c r="J11508" s="39" t="n">
        <v>0</v>
      </c>
      <c r="K11508" s="39" t="n">
        <v>0</v>
      </c>
      <c r="L11508" s="39" t="n">
        <v>0</v>
      </c>
      <c r="M11508" s="39" t="n">
        <v>0</v>
      </c>
      <c r="N11508" s="38" t="n">
        <f aca="false">Q!$N$26</f>
        <v>0</v>
      </c>
      <c r="O11508" s="38" t="n">
        <f aca="false">Q!$O$26</f>
        <v>0</v>
      </c>
    </row>
    <row r="11509" customFormat="false" ht="15" hidden="false" customHeight="false" outlineLevel="0" collapsed="false">
      <c r="A11509" s="3" t="s">
        <v>541</v>
      </c>
      <c r="B11509" s="8" t="s">
        <v>86</v>
      </c>
      <c r="C11509" s="38" t="n">
        <f aca="false">Q!$D$25</f>
        <v>68.593</v>
      </c>
      <c r="D11509" s="38" t="n">
        <f aca="false">Q!$E$25</f>
        <v>79.975</v>
      </c>
      <c r="E11509" s="38" t="n">
        <f aca="false">Q!$P$25</f>
        <v>51.313</v>
      </c>
      <c r="F11509" s="38" t="n">
        <f aca="false">Sens!$F$11499+Sens!$F$11504+Sens!$F$11507+Sens!$F$11508</f>
        <v>55.5392403623427</v>
      </c>
      <c r="G11509" s="38" t="n">
        <f aca="false">Sens!$G$11499+Sens!$G$11504+Sens!$G$11507+Sens!$G$11508</f>
        <v>106.852240362343</v>
      </c>
      <c r="H11509" s="38" t="n">
        <f aca="false">Sens!$H$11499+Sens!$H$11504+Sens!$H$11507+Sens!$H$11508</f>
        <v>122.771856318355</v>
      </c>
      <c r="I11509" s="38" t="n">
        <f aca="false">Sens!$I$11499+Sens!$I$11504+Sens!$I$11507+Sens!$I$11508</f>
        <v>131.641434201495</v>
      </c>
      <c r="J11509" s="38" t="n">
        <f aca="false">Sens!$J$11499+Sens!$J$11504+Sens!$J$11507+Sens!$J$11508</f>
        <v>143.16687211975</v>
      </c>
      <c r="K11509" s="38" t="n">
        <f aca="false">Sens!$K$11499+Sens!$K$11504+Sens!$K$11507+Sens!$K$11508</f>
        <v>148.904678845281</v>
      </c>
      <c r="L11509" s="38" t="n">
        <f aca="false">Sens!$L$11499+Sens!$L$11504+Sens!$L$11507+Sens!$L$11508</f>
        <v>155.912609832542</v>
      </c>
      <c r="M11509" s="38" t="n">
        <f aca="false">Sens!$M$11499+Sens!$M$11504+Sens!$M$11507+Sens!$M$11508</f>
        <v>165.921964455538</v>
      </c>
      <c r="N11509" s="38" t="n">
        <f aca="false">Q!$N$25</f>
        <v>37.576</v>
      </c>
      <c r="O11509" s="38" t="n">
        <f aca="false">Q!$O$25</f>
        <v>42.399</v>
      </c>
    </row>
    <row r="11510" customFormat="false" ht="17.15" hidden="false" customHeight="false" outlineLevel="0" collapsed="false">
      <c r="A11510" s="24" t="s">
        <v>778</v>
      </c>
      <c r="B11510" s="25" t="s">
        <v>86</v>
      </c>
      <c r="C11510" s="41" t="n">
        <f aca="false">Sens!$C$11499+Sens!$C$11504+Sens!$C$11507+Sens!$C$11508-Sens!$C$11509</f>
        <v>0</v>
      </c>
      <c r="D11510" s="41" t="n">
        <f aca="false">Sens!$D$11499+Sens!$D$11504+Sens!$D$11507+Sens!$D$11508-Sens!$D$11509</f>
        <v>0</v>
      </c>
      <c r="E11510" s="41" t="n">
        <f aca="false">Sens!$E$11499+Sens!$E$11504+Sens!$E$11507+Sens!$E$11508-Sens!$E$11509</f>
        <v>0</v>
      </c>
      <c r="F11510" s="41" t="n">
        <f aca="false">Sens!$F$11499+Sens!$F$11504+Sens!$F$11507+Sens!$F$11508-Sens!$F$11509</f>
        <v>0</v>
      </c>
      <c r="G11510" s="41" t="n">
        <f aca="false">Sens!$G$11499+Sens!$G$11504+Sens!$G$11507+Sens!$G$11508-Sens!$G$11509</f>
        <v>0</v>
      </c>
      <c r="H11510" s="41" t="n">
        <f aca="false">Sens!$H$11499+Sens!$H$11504+Sens!$H$11507+Sens!$H$11508-Sens!$H$11509</f>
        <v>0</v>
      </c>
      <c r="I11510" s="41" t="n">
        <f aca="false">Sens!$I$11499+Sens!$I$11504+Sens!$I$11507+Sens!$I$11508-Sens!$I$11509</f>
        <v>0</v>
      </c>
      <c r="J11510" s="41" t="n">
        <f aca="false">Sens!$J$11499+Sens!$J$11504+Sens!$J$11507+Sens!$J$11508-Sens!$J$11509</f>
        <v>0</v>
      </c>
      <c r="K11510" s="41" t="n">
        <f aca="false">Sens!$K$11499+Sens!$K$11504+Sens!$K$11507+Sens!$K$11508-Sens!$K$11509</f>
        <v>0</v>
      </c>
      <c r="L11510" s="41" t="n">
        <f aca="false">Sens!$L$11499+Sens!$L$11504+Sens!$L$11507+Sens!$L$11508-Sens!$L$11509</f>
        <v>0</v>
      </c>
      <c r="M11510" s="41" t="n">
        <f aca="false">Sens!$M$11499+Sens!$M$11504+Sens!$M$11507+Sens!$M$11508-Sens!$M$11509</f>
        <v>0</v>
      </c>
      <c r="N11510" s="41" t="n">
        <f aca="false">Sens!$N$11499+Sens!$N$11504+Sens!$N$11507+Sens!$N$11508-Sens!$N$11509</f>
        <v>0</v>
      </c>
      <c r="O11510" s="41" t="n">
        <f aca="false">Sens!$O$11499+Sens!$O$11504+Sens!$O$11507+Sens!$O$11508-Sens!$O$11509</f>
        <v>0</v>
      </c>
    </row>
    <row r="11511" customFormat="false" ht="17.15" hidden="false" customHeight="false" outlineLevel="0" collapsed="false">
      <c r="A11511" s="5" t="s">
        <v>746</v>
      </c>
      <c r="B11511" s="0" t="s">
        <v>86</v>
      </c>
      <c r="C11511" s="38" t="n">
        <f aca="false">Sens!$C$11447</f>
        <v>0</v>
      </c>
      <c r="D11511" s="38" t="n">
        <f aca="false">Sens!$D$11447</f>
        <v>0</v>
      </c>
      <c r="E11511" s="38" t="n">
        <f aca="false">Sens!$E$11447</f>
        <v>0</v>
      </c>
      <c r="F11511" s="38" t="n">
        <f aca="false">Sens!$F$11447</f>
        <v>0</v>
      </c>
      <c r="G11511" s="38" t="n">
        <f aca="false">Sens!$G$11447</f>
        <v>0</v>
      </c>
      <c r="H11511" s="38" t="n">
        <f aca="false">Sens!$H$11447</f>
        <v>0</v>
      </c>
      <c r="I11511" s="38" t="n">
        <f aca="false">Sens!$I$11447</f>
        <v>0</v>
      </c>
      <c r="J11511" s="38" t="n">
        <f aca="false">Sens!$J$11447</f>
        <v>0</v>
      </c>
      <c r="K11511" s="38" t="n">
        <f aca="false">Sens!$K$11447</f>
        <v>0</v>
      </c>
      <c r="L11511" s="38" t="n">
        <f aca="false">Sens!$L$11447</f>
        <v>0</v>
      </c>
      <c r="M11511" s="38" t="n">
        <f aca="false">Sens!$M$11447</f>
        <v>0</v>
      </c>
      <c r="N11511" s="38" t="n">
        <f aca="false">Sens!$N$11447</f>
        <v>0</v>
      </c>
      <c r="O11511" s="38" t="n">
        <f aca="false">Sens!$O$11447</f>
        <v>0</v>
      </c>
      <c r="P11511" s="5" t="s">
        <v>747</v>
      </c>
    </row>
    <row r="11512" customFormat="false" ht="17.15" hidden="false" customHeight="false" outlineLevel="0" collapsed="false">
      <c r="A11512" s="5" t="s">
        <v>748</v>
      </c>
      <c r="B11512" s="0" t="s">
        <v>86</v>
      </c>
      <c r="C11512" s="38" t="n">
        <f aca="false">Sens!$C$11509+Sens!$C$11511</f>
        <v>68.593</v>
      </c>
      <c r="D11512" s="38" t="n">
        <f aca="false">Sens!$D$11509+Sens!$D$11511</f>
        <v>79.975</v>
      </c>
      <c r="E11512" s="38" t="n">
        <f aca="false">Sens!$E$11509+Sens!$E$11511</f>
        <v>51.313</v>
      </c>
      <c r="F11512" s="38" t="n">
        <f aca="false">Sens!$F$11509+Sens!$F$11511</f>
        <v>55.5392403623427</v>
      </c>
      <c r="G11512" s="38" t="n">
        <f aca="false">Sens!$G$11509+Sens!$G$11511</f>
        <v>106.852240362343</v>
      </c>
      <c r="H11512" s="38" t="n">
        <f aca="false">Sens!$H$11509+Sens!$H$11511</f>
        <v>122.771856318355</v>
      </c>
      <c r="I11512" s="38" t="n">
        <f aca="false">Sens!$I$11509+Sens!$I$11511</f>
        <v>131.641434201495</v>
      </c>
      <c r="J11512" s="38" t="n">
        <f aca="false">Sens!$J$11509+Sens!$J$11511</f>
        <v>143.16687211975</v>
      </c>
      <c r="K11512" s="38" t="n">
        <f aca="false">Sens!$K$11509+Sens!$K$11511</f>
        <v>148.904678845281</v>
      </c>
      <c r="L11512" s="38" t="n">
        <f aca="false">Sens!$L$11509+Sens!$L$11511</f>
        <v>155.912609832542</v>
      </c>
      <c r="M11512" s="38" t="n">
        <f aca="false">Sens!$M$11509+Sens!$M$11511</f>
        <v>165.921964455538</v>
      </c>
      <c r="N11512" s="38" t="n">
        <f aca="false">Sens!$N$11509+Sens!$N$11511</f>
        <v>37.576</v>
      </c>
      <c r="O11512" s="38" t="n">
        <f aca="false">Sens!$O$11509+Sens!$O$11511</f>
        <v>42.399</v>
      </c>
    </row>
    <row r="11513" customFormat="false" ht="17.15" hidden="false" customHeight="false" outlineLevel="0" collapsed="false">
      <c r="A11513" s="0" t="s">
        <v>749</v>
      </c>
      <c r="B11513" s="0" t="s">
        <v>52</v>
      </c>
      <c r="C11513" s="13" t="n">
        <f aca="false">Sens!$C$11499/Sens!$C$11484</f>
        <v>0.0644314665661928</v>
      </c>
      <c r="D11513" s="13" t="n">
        <f aca="false">Sens!$D$11499/Sens!$D$11484</f>
        <v>0.0694784250712518</v>
      </c>
      <c r="E11513" s="13" t="n">
        <f aca="false">Sens!$E$11499/Sens!$E$11484</f>
        <v>0.0789306463326071</v>
      </c>
      <c r="F11513" s="13" t="n">
        <f aca="false">Sens!$F$11499/Sens!$F$11484</f>
        <v>0.0802526339438384</v>
      </c>
      <c r="G11513" s="13" t="n">
        <f aca="false">Sens!$G$11499/Sens!$G$11484</f>
        <v>0.0796341940538369</v>
      </c>
      <c r="H11513" s="13" t="n">
        <f aca="false">Sens!$H$11499/Sens!$H$11484</f>
        <v>0.0798254462645258</v>
      </c>
      <c r="I11513" s="13" t="n">
        <f aca="false">Sens!$I$11499/Sens!$I$11484</f>
        <v>0.0771454543672196</v>
      </c>
      <c r="J11513" s="13" t="n">
        <f aca="false">Sens!$J$11499/Sens!$J$11484</f>
        <v>0.0756147693819656</v>
      </c>
      <c r="K11513" s="13" t="n">
        <f aca="false">Sens!$K$11499/Sens!$K$11484</f>
        <v>0.0739025926520816</v>
      </c>
      <c r="L11513" s="13" t="n">
        <f aca="false">Sens!$L$11499/Sens!$L$11484</f>
        <v>0.0730809201558074</v>
      </c>
      <c r="M11513" s="13" t="n">
        <f aca="false">Sens!$M$11499/Sens!$M$11484</f>
        <v>0.0751707027775199</v>
      </c>
      <c r="N11513" s="13" t="n">
        <f aca="false">Sens!$N$11499/Sens!$N$11484</f>
        <v>0.069228576611127</v>
      </c>
      <c r="O11513" s="13" t="n">
        <f aca="false">Sens!$O$11499/Sens!$O$11484</f>
        <v>0.069685022498393</v>
      </c>
    </row>
    <row r="11514" customFormat="false" ht="17.15" hidden="false" customHeight="false" outlineLevel="0" collapsed="false">
      <c r="A11514" s="0" t="s">
        <v>750</v>
      </c>
      <c r="B11514" s="0" t="s">
        <v>52</v>
      </c>
      <c r="C11514" s="13" t="n">
        <f aca="false">Sens!$C$11504/Sens!$C$11485</f>
        <v>0.026534925055631</v>
      </c>
      <c r="D11514" s="13" t="n">
        <f aca="false">Sens!$D$11504/Sens!$D$11485</f>
        <v>0.0293401855535103</v>
      </c>
      <c r="E11514" s="13" t="n">
        <f aca="false">Sens!$E$11504/Sens!$E$11485</f>
        <v>0.03831141902276</v>
      </c>
      <c r="F11514" s="13" t="n">
        <f aca="false">Sens!$F$11504/Sens!$F$11485</f>
        <v>0.0282118989524726</v>
      </c>
      <c r="G11514" s="13" t="n">
        <f aca="false">Sens!$G$11504/Sens!$G$11485</f>
        <v>0.0328019468674976</v>
      </c>
      <c r="H11514" s="13" t="n">
        <f aca="false">Sens!$H$11504/Sens!$H$11485</f>
        <v>0.0309879507899839</v>
      </c>
      <c r="I11514" s="13" t="n">
        <f aca="false">Sens!$I$11504/Sens!$I$11485</f>
        <v>0.0262795332043765</v>
      </c>
      <c r="J11514" s="13" t="n">
        <f aca="false">Sens!$J$11504/Sens!$J$11485</f>
        <v>0.0226574435353346</v>
      </c>
      <c r="K11514" s="13" t="n">
        <f aca="false">Sens!$K$11504/Sens!$K$11485</f>
        <v>0.0187492205871101</v>
      </c>
      <c r="L11514" s="13" t="n">
        <f aca="false">Sens!$L$11504/Sens!$L$11485</f>
        <v>0.018273690180732</v>
      </c>
      <c r="M11514" s="13" t="n">
        <f aca="false">Sens!$M$11504/Sens!$M$11485</f>
        <v>0.0207176218272716</v>
      </c>
      <c r="N11514" s="13" t="n">
        <f aca="false">Sens!$N$11504/Sens!$N$11485</f>
        <v>0.0357315650169337</v>
      </c>
      <c r="O11514" s="13" t="n">
        <f aca="false">Sens!$O$11504/Sens!$O$11485</f>
        <v>0.0244378956559703</v>
      </c>
    </row>
    <row r="11515" customFormat="false" ht="17.15" hidden="false" customHeight="false" outlineLevel="0" collapsed="false">
      <c r="A11515" s="14" t="s">
        <v>751</v>
      </c>
      <c r="B11515" s="14" t="s">
        <v>52</v>
      </c>
      <c r="C11515" s="17" t="n">
        <f aca="false">Sens!$C$11507/Sens!$C$11486</f>
        <v>0.370355907620217</v>
      </c>
      <c r="D11515" s="17" t="n">
        <f aca="false">Sens!$D$11507/Sens!$D$11486</f>
        <v>0.35429015342785</v>
      </c>
      <c r="E11515" s="17" t="n">
        <f aca="false">Sens!$E$11507/Sens!$E$11486</f>
        <v>0.385647527531039</v>
      </c>
      <c r="F11515" s="17" t="n">
        <f aca="false">Sens!$F$11507/Sens!$F$11486</f>
        <v>0.380045352804209</v>
      </c>
      <c r="G11515" s="17" t="n">
        <f aca="false">Sens!$G$11507/Sens!$G$11486</f>
        <v>0.382743545892998</v>
      </c>
      <c r="H11515" s="17" t="n">
        <f aca="false">Sens!$H$11507/Sens!$H$11486</f>
        <v>0.349578100131455</v>
      </c>
      <c r="I11515" s="17" t="n">
        <f aca="false">Sens!$I$11507/Sens!$I$11486</f>
        <v>0.307305807032411</v>
      </c>
      <c r="J11515" s="17" t="n">
        <f aca="false">Sens!$J$11507/Sens!$J$11486</f>
        <v>0.286990939590772</v>
      </c>
      <c r="K11515" s="17" t="n">
        <f aca="false">Sens!$K$11507/Sens!$K$11486</f>
        <v>0.26368602705558</v>
      </c>
      <c r="L11515" s="17" t="n">
        <f aca="false">Sens!$L$11507/Sens!$L$11486</f>
        <v>0.250391951005668</v>
      </c>
      <c r="M11515" s="17" t="n">
        <f aca="false">Sens!$M$11507/Sens!$M$11486</f>
        <v>0.243885731541283</v>
      </c>
      <c r="N11515" s="17" t="n">
        <f aca="false">Sens!$N$11507/Sens!$N$11486</f>
        <v>0.360941137346192</v>
      </c>
      <c r="O11515" s="17" t="n">
        <f aca="false">Sens!$O$11507/Sens!$O$11486</f>
        <v>0.348458117664212</v>
      </c>
    </row>
    <row r="11516" customFormat="false" ht="17.15" hidden="false" customHeight="false" outlineLevel="0" collapsed="false">
      <c r="A11516" s="0" t="s">
        <v>752</v>
      </c>
      <c r="B11516" s="0" t="s">
        <v>52</v>
      </c>
      <c r="C11516" s="13" t="n">
        <f aca="false">Sens!$C$11505/Sens!$C$11487</f>
        <v>0.708390794789371</v>
      </c>
      <c r="D11516" s="13" t="n">
        <f aca="false">Sens!$D$11505/Sens!$D$11487</f>
        <v>0.619415573115729</v>
      </c>
      <c r="E11516" s="13" t="n">
        <f aca="false">Sens!$E$11505/Sens!$E$11487</f>
        <v>0.285171627189009</v>
      </c>
      <c r="F11516" s="13" t="n">
        <f aca="false">Sens!$F$11505/Sens!$F$11487</f>
        <v>0.47359918353757</v>
      </c>
      <c r="G11516" s="13" t="n">
        <f aca="false">Sens!$G$11505/Sens!$G$11487</f>
        <v>0.402793757893083</v>
      </c>
      <c r="H11516" s="13" t="n">
        <f aca="false">Sens!$H$11505/Sens!$H$11487</f>
        <v>0.31329316068603</v>
      </c>
      <c r="I11516" s="13" t="n">
        <f aca="false">Sens!$I$11505/Sens!$I$11487</f>
        <v>0.196722911562407</v>
      </c>
      <c r="J11516" s="13" t="n">
        <f aca="false">Sens!$J$11505/Sens!$J$11487</f>
        <v>0.167560813387199</v>
      </c>
      <c r="K11516" s="13" t="n">
        <f aca="false">Sens!$K$11505/Sens!$K$11487</f>
        <v>0.12727098283806</v>
      </c>
      <c r="L11516" s="13" t="n">
        <f aca="false">Sens!$L$11505/Sens!$L$11487</f>
        <v>0.101991895747882</v>
      </c>
      <c r="M11516" s="13" t="n">
        <f aca="false">Sens!$M$11505/Sens!$M$11487</f>
        <v>0.0829256040915033</v>
      </c>
      <c r="N11516" s="13" t="n">
        <f aca="false">Sens!$N$11505/Sens!$N$11487</f>
        <v>0.551227795793364</v>
      </c>
      <c r="O11516" s="13" t="n">
        <f aca="false">Sens!$O$11505/Sens!$O$11487</f>
        <v>0.656132068597002</v>
      </c>
    </row>
    <row r="11517" customFormat="false" ht="15" hidden="false" customHeight="false" outlineLevel="0" collapsed="false">
      <c r="A11517" s="5" t="s">
        <v>753</v>
      </c>
      <c r="B11517" s="0" t="s">
        <v>52</v>
      </c>
      <c r="C11517" s="13" t="n">
        <f aca="false">Sens!$C$11509/Sens!$C$11489</f>
        <v>0.107519448742004</v>
      </c>
      <c r="D11517" s="13" t="n">
        <f aca="false">Sens!$D$11509/Sens!$D$11489</f>
        <v>0.111552967957552</v>
      </c>
      <c r="E11517" s="13" t="n">
        <f aca="false">Sens!$E$11509/Sens!$E$11489</f>
        <v>0.13428328426562</v>
      </c>
      <c r="F11517" s="13" t="n">
        <f aca="false">Sens!$F$11509/Sens!$F$11489</f>
        <v>0.127689636007818</v>
      </c>
      <c r="G11517" s="13" t="n">
        <f aca="false">Sens!$G$11509/Sens!$G$11489</f>
        <v>0.130773297298903</v>
      </c>
      <c r="H11517" s="13" t="n">
        <f aca="false">Sens!$H$11509/Sens!$H$11489</f>
        <v>0.131231532103843</v>
      </c>
      <c r="I11517" s="13" t="n">
        <f aca="false">Sens!$I$11509/Sens!$I$11489</f>
        <v>0.124766914821556</v>
      </c>
      <c r="J11517" s="13" t="n">
        <f aca="false">Sens!$J$11509/Sens!$J$11489</f>
        <v>0.122447098801788</v>
      </c>
      <c r="K11517" s="13" t="n">
        <f aca="false">Sens!$K$11509/Sens!$K$11489</f>
        <v>0.117302966143443</v>
      </c>
      <c r="L11517" s="13" t="n">
        <f aca="false">Sens!$L$11509/Sens!$L$11489</f>
        <v>0.114255649170703</v>
      </c>
      <c r="M11517" s="13" t="n">
        <f aca="false">Sens!$M$11509/Sens!$M$11489</f>
        <v>0.114023611229803</v>
      </c>
      <c r="N11517" s="13" t="n">
        <f aca="false">Sens!$N$11509/Sens!$N$11489</f>
        <v>0.116201614873411</v>
      </c>
      <c r="O11517" s="13" t="n">
        <f aca="false">Sens!$O$11509/Sens!$O$11489</f>
        <v>0.107733353660861</v>
      </c>
    </row>
    <row r="11518" customFormat="false" ht="17.15" hidden="false" customHeight="false" outlineLevel="0" collapsed="false">
      <c r="A11518" s="1" t="s">
        <v>754</v>
      </c>
    </row>
    <row r="11519" customFormat="false" ht="17.15" hidden="false" customHeight="false" outlineLevel="0" collapsed="false">
      <c r="A11519" s="5" t="s">
        <v>755</v>
      </c>
      <c r="B11519" s="0" t="s">
        <v>52</v>
      </c>
      <c r="D11519" s="28" t="n">
        <f aca="false">(Q!$E$29+Q!$E$30-(1-ext_sh)*Sens!$D$11441)/Sens!$D$11392</f>
        <v>0.0341105596409988</v>
      </c>
    </row>
    <row r="11520" customFormat="false" ht="17.15" hidden="false" customHeight="false" outlineLevel="0" collapsed="false">
      <c r="A11520" s="0" t="s">
        <v>545</v>
      </c>
      <c r="B11520" s="0" t="s">
        <v>86</v>
      </c>
      <c r="C11520" s="38" t="n">
        <f aca="false">Q!$D$29</f>
        <v>14.285</v>
      </c>
      <c r="D11520" s="38" t="n">
        <f aca="false">Q!$E$29</f>
        <v>15.503</v>
      </c>
      <c r="E11520" s="38" t="n">
        <f aca="false">Q!$P$29</f>
        <v>8.78</v>
      </c>
      <c r="F11520" s="38" t="n">
        <f aca="false">(Sens!$D$11519*Sens!$F$11392+(1-ext_sh)*Sens!$F$11441)*Sens!$F$11393</f>
        <v>9.30317620449232</v>
      </c>
      <c r="G11520" s="38" t="n">
        <f aca="false">Sens!$E$11520+Sens!$F$11520</f>
        <v>18.0831762044923</v>
      </c>
      <c r="H11520" s="38" t="n">
        <f aca="false">(Sens!$D$11519*Sens!$H$11392+(1-ext_sh)*Sens!$H$11441)*Sens!$H$11393</f>
        <v>22.1297245338482</v>
      </c>
      <c r="I11520" s="38" t="n">
        <f aca="false">(Sens!$D$11519*Sens!$I$11392+(1-ext_sh)*Sens!$I$11441)*Sens!$I$11393</f>
        <v>28.409695984391</v>
      </c>
      <c r="J11520" s="38" t="n">
        <f aca="false">(Sens!$D$11519*Sens!$J$11392+(1-ext_sh)*Sens!$J$11441)*Sens!$J$11393</f>
        <v>34.1085606174579</v>
      </c>
      <c r="K11520" s="38" t="n">
        <f aca="false">(Sens!$D$11519*Sens!$K$11392+(1-ext_sh)*Sens!$K$11441)*Sens!$K$11393</f>
        <v>39.7218983009068</v>
      </c>
      <c r="L11520" s="38" t="n">
        <f aca="false">(Sens!$D$11519*Sens!$L$11392+(1-ext_sh)*Sens!$L$11441)*Sens!$L$11393</f>
        <v>44.1680279486684</v>
      </c>
      <c r="M11520" s="38" t="n">
        <f aca="false">(Sens!$D$11519*Sens!$M$11392+(1-ext_sh)*Sens!$M$11441)*Sens!$M$11393</f>
        <v>47.4413073313286</v>
      </c>
      <c r="N11520" s="38" t="n">
        <f aca="false">Q!$N$29</f>
        <v>7.272</v>
      </c>
      <c r="O11520" s="38" t="n">
        <f aca="false">Q!$O$29</f>
        <v>8.231</v>
      </c>
    </row>
    <row r="11521" customFormat="false" ht="17.15" hidden="false" customHeight="false" outlineLevel="0" collapsed="false">
      <c r="A11521" s="0" t="s">
        <v>547</v>
      </c>
      <c r="B11521" s="0" t="s">
        <v>86</v>
      </c>
      <c r="C11521" s="38" t="n">
        <f aca="false">Q!$D$30</f>
        <v>4.462</v>
      </c>
      <c r="D11521" s="38" t="n">
        <f aca="false">Q!$E$30</f>
        <v>4.907</v>
      </c>
      <c r="E11521" s="38" t="n">
        <f aca="false">Q!$P$30</f>
        <v>2.57</v>
      </c>
      <c r="F11521" s="38" t="n">
        <f aca="false">(Sens!$D$11519*Sens!$F$11392+(1-ext_sh)*Sens!$F$11441)*(1-Sens!$F$11393)</f>
        <v>3.6526976809753</v>
      </c>
      <c r="G11521" s="38" t="n">
        <f aca="false">Sens!$E$11521+Sens!$F$11521</f>
        <v>6.2226976809753</v>
      </c>
      <c r="H11521" s="38" t="n">
        <f aca="false">(Sens!$D$11519*Sens!$H$11392+(1-ext_sh)*Sens!$H$11441)*(1-Sens!$H$11393)</f>
        <v>8.4764774248495</v>
      </c>
      <c r="I11521" s="38" t="n">
        <f aca="false">(Sens!$D$11519*Sens!$I$11392+(1-ext_sh)*Sens!$I$11441)*(1-Sens!$I$11393)</f>
        <v>10.881931507561</v>
      </c>
      <c r="J11521" s="38" t="n">
        <f aca="false">(Sens!$D$11519*Sens!$J$11392+(1-ext_sh)*Sens!$J$11441)*(1-Sens!$J$11393)</f>
        <v>13.0648008575874</v>
      </c>
      <c r="K11521" s="38" t="n">
        <f aca="false">(Sens!$D$11519*Sens!$K$11392+(1-ext_sh)*Sens!$K$11441)*(1-Sens!$K$11393)</f>
        <v>15.2149103214008</v>
      </c>
      <c r="L11521" s="38" t="n">
        <f aca="false">(Sens!$D$11519*Sens!$L$11392+(1-ext_sh)*Sens!$L$11441)*(1-Sens!$L$11393)</f>
        <v>16.9179372854085</v>
      </c>
      <c r="M11521" s="38" t="n">
        <f aca="false">(Sens!$D$11519*Sens!$M$11392+(1-ext_sh)*Sens!$M$11441)*(1-Sens!$M$11393)</f>
        <v>18.1717205735785</v>
      </c>
      <c r="N11521" s="38" t="n">
        <f aca="false">Q!$N$30</f>
        <v>2.316</v>
      </c>
      <c r="O11521" s="38" t="n">
        <f aca="false">Q!$O$30</f>
        <v>2.591</v>
      </c>
    </row>
    <row r="11522" customFormat="false" ht="17.15" hidden="false" customHeight="false" outlineLevel="0" collapsed="false">
      <c r="A11522" s="0" t="s">
        <v>548</v>
      </c>
      <c r="B11522" s="0" t="s">
        <v>86</v>
      </c>
      <c r="C11522" s="38" t="n">
        <f aca="false">Sens!$C$11453</f>
        <v>13.32</v>
      </c>
      <c r="D11522" s="38" t="n">
        <f aca="false">Sens!$D$11453</f>
        <v>21.45</v>
      </c>
      <c r="E11522" s="38" t="n">
        <f aca="false">Sens!$E$11453</f>
        <v>15.353</v>
      </c>
      <c r="F11522" s="38" t="n">
        <f aca="false">Sens!$F$11453</f>
        <v>16.1969869840094</v>
      </c>
      <c r="G11522" s="38" t="n">
        <f aca="false">Sens!$G$11453</f>
        <v>31.5499869840094</v>
      </c>
      <c r="H11522" s="38" t="n">
        <f aca="false">Sens!$H$11453</f>
        <v>50.9556213609176</v>
      </c>
      <c r="I11522" s="38" t="n">
        <f aca="false">Sens!$I$11453</f>
        <v>79.464581248252</v>
      </c>
      <c r="J11522" s="38" t="n">
        <f aca="false">Sens!$J$11453</f>
        <v>105.296127931746</v>
      </c>
      <c r="K11522" s="38" t="n">
        <f aca="false">Sens!$K$11453</f>
        <v>131.454694001511</v>
      </c>
      <c r="L11522" s="38" t="n">
        <f aca="false">Sens!$L$11453</f>
        <v>150.840456981405</v>
      </c>
      <c r="M11522" s="38" t="n">
        <f aca="false">Sens!$M$11453</f>
        <v>163.399454192999</v>
      </c>
      <c r="N11522" s="38" t="n">
        <f aca="false">Sens!$N$11453</f>
        <v>9.234</v>
      </c>
      <c r="O11522" s="38" t="n">
        <f aca="false">Sens!$O$11453</f>
        <v>12.216</v>
      </c>
    </row>
    <row r="11523" customFormat="false" ht="17.15" hidden="false" customHeight="false" outlineLevel="0" collapsed="false">
      <c r="A11523" s="5" t="s">
        <v>756</v>
      </c>
      <c r="B11523" s="0" t="s">
        <v>86</v>
      </c>
      <c r="C11523" s="38" t="n">
        <f aca="false">Sens!$C$11520+Sens!$C$11521+Sens!$C$11522</f>
        <v>32.067</v>
      </c>
      <c r="D11523" s="38" t="n">
        <f aca="false">Sens!$D$11520+Sens!$D$11521+Sens!$D$11522</f>
        <v>41.86</v>
      </c>
      <c r="E11523" s="38" t="n">
        <f aca="false">Sens!$E$11520+Sens!$E$11521+Sens!$E$11522</f>
        <v>26.703</v>
      </c>
      <c r="F11523" s="38" t="n">
        <f aca="false">Sens!$F$11520+Sens!$F$11521+Sens!$F$11522</f>
        <v>29.152860869477</v>
      </c>
      <c r="G11523" s="38" t="n">
        <f aca="false">Sens!$G$11520+Sens!$G$11521+Sens!$G$11522</f>
        <v>55.855860869477</v>
      </c>
      <c r="H11523" s="38" t="n">
        <f aca="false">Sens!$H$11520+Sens!$H$11521+Sens!$H$11522</f>
        <v>81.5618233196153</v>
      </c>
      <c r="I11523" s="38" t="n">
        <f aca="false">Sens!$I$11520+Sens!$I$11521+Sens!$I$11522</f>
        <v>118.756208740204</v>
      </c>
      <c r="J11523" s="38" t="n">
        <f aca="false">Sens!$J$11520+Sens!$J$11521+Sens!$J$11522</f>
        <v>152.469489406791</v>
      </c>
      <c r="K11523" s="38" t="n">
        <f aca="false">Sens!$K$11520+Sens!$K$11521+Sens!$K$11522</f>
        <v>186.391502623819</v>
      </c>
      <c r="L11523" s="38" t="n">
        <f aca="false">Sens!$L$11520+Sens!$L$11521+Sens!$L$11522</f>
        <v>211.926422215482</v>
      </c>
      <c r="M11523" s="38" t="n">
        <f aca="false">Sens!$M$11520+Sens!$M$11521+Sens!$M$11522</f>
        <v>229.012482097906</v>
      </c>
      <c r="N11523" s="38" t="n">
        <f aca="false">Sens!$N$11520+Sens!$N$11521+Sens!$N$11522</f>
        <v>18.822</v>
      </c>
      <c r="O11523" s="38" t="n">
        <f aca="false">Sens!$O$11520+Sens!$O$11521+Sens!$O$11522</f>
        <v>23.038</v>
      </c>
    </row>
    <row r="11524" customFormat="false" ht="17.15" hidden="false" customHeight="false" outlineLevel="0" collapsed="false">
      <c r="A11524" s="0" t="s">
        <v>757</v>
      </c>
      <c r="B11524" s="0" t="s">
        <v>86</v>
      </c>
      <c r="C11524" s="38" t="n">
        <f aca="false">Sens!$C$11495+Sens!$C$11500</f>
        <v>28.107</v>
      </c>
      <c r="D11524" s="38" t="n">
        <f aca="false">Sens!$D$11495+Sens!$D$11500</f>
        <v>34.3175</v>
      </c>
      <c r="E11524" s="38" t="n">
        <f aca="false">Sens!$E$11495+Sens!$E$11500</f>
        <v>18.526</v>
      </c>
      <c r="F11524" s="38" t="n">
        <f aca="false">Sens!$F$11495+Sens!$F$11500</f>
        <v>23.0786109972074</v>
      </c>
      <c r="G11524" s="38" t="n">
        <f aca="false">Sens!$G$11495+Sens!$G$11500</f>
        <v>41.6046109972074</v>
      </c>
      <c r="H11524" s="38" t="n">
        <f aca="false">Sens!$H$11495+Sens!$H$11500</f>
        <v>49.9484611939488</v>
      </c>
      <c r="I11524" s="38" t="n">
        <f aca="false">Sens!$I$11495+Sens!$I$11500</f>
        <v>58.2915555477481</v>
      </c>
      <c r="J11524" s="38" t="n">
        <f aca="false">Sens!$J$11495+Sens!$J$11500</f>
        <v>66.0744709709759</v>
      </c>
      <c r="K11524" s="38" t="n">
        <f aca="false">Sens!$K$11495+Sens!$K$11500</f>
        <v>72.6819180680735</v>
      </c>
      <c r="L11524" s="38" t="n">
        <f aca="false">Sens!$L$11495+Sens!$L$11500</f>
        <v>79.9501098748808</v>
      </c>
      <c r="M11524" s="38" t="n">
        <f aca="false">Sens!$M$11495+Sens!$M$11500</f>
        <v>87.9451208623689</v>
      </c>
      <c r="N11524" s="38" t="n">
        <f aca="false">Sens!$N$11495+Sens!$N$11500</f>
        <v>14.8075</v>
      </c>
      <c r="O11524" s="38" t="n">
        <f aca="false">Sens!$O$11495+Sens!$O$11500</f>
        <v>19.51</v>
      </c>
    </row>
    <row r="11525" customFormat="false" ht="17.15" hidden="false" customHeight="false" outlineLevel="0" collapsed="false">
      <c r="A11525" s="0" t="s">
        <v>758</v>
      </c>
      <c r="B11525" s="0" t="s">
        <v>86</v>
      </c>
      <c r="C11525" s="38" t="n">
        <f aca="false">Sens!$C$11499+Sens!$C$11504+Sens!$C$11520+Sens!$C$11521-Sens!$C$11524</f>
        <v>19.399</v>
      </c>
      <c r="D11525" s="38" t="n">
        <f aca="false">Sens!$D$11499+Sens!$D$11504+Sens!$D$11520+Sens!$D$11521-Sens!$D$11524</f>
        <v>20.4615</v>
      </c>
      <c r="E11525" s="38" t="n">
        <f aca="false">Sens!$E$11499+Sens!$E$11504+Sens!$E$11520+Sens!$E$11521-Sens!$E$11524</f>
        <v>13.355</v>
      </c>
      <c r="F11525" s="38" t="n">
        <f aca="false">Sens!$F$11499+Sens!$F$11504+Sens!$F$11520+Sens!$F$11521-Sens!$F$11524</f>
        <v>12.7680546411015</v>
      </c>
      <c r="G11525" s="38" t="n">
        <f aca="false">Sens!$G$11499+Sens!$G$11504+Sens!$G$11520+Sens!$G$11521-Sens!$G$11524</f>
        <v>26.1230546411015</v>
      </c>
      <c r="H11525" s="38" t="n">
        <f aca="false">Sens!$H$11499+Sens!$H$11504+Sens!$H$11520+Sens!$H$11521-Sens!$H$11524</f>
        <v>28.4662904769959</v>
      </c>
      <c r="I11525" s="38" t="n">
        <f aca="false">Sens!$I$11499+Sens!$I$11504+Sens!$I$11520+Sens!$I$11521-Sens!$I$11524</f>
        <v>30.7231490427408</v>
      </c>
      <c r="J11525" s="38" t="n">
        <f aca="false">Sens!$J$11499+Sens!$J$11504+Sens!$J$11520+Sens!$J$11521-Sens!$J$11524</f>
        <v>32.9723159380642</v>
      </c>
      <c r="K11525" s="38" t="n">
        <f aca="false">Sens!$K$11499+Sens!$K$11504+Sens!$K$11520+Sens!$K$11521-Sens!$K$11524</f>
        <v>35.3819359626894</v>
      </c>
      <c r="L11525" s="38" t="n">
        <f aca="false">Sens!$L$11499+Sens!$L$11504+Sens!$L$11520+Sens!$L$11521-Sens!$L$11524</f>
        <v>37.0165770259405</v>
      </c>
      <c r="M11525" s="38" t="n">
        <f aca="false">Sens!$M$11499+Sens!$M$11504+Sens!$M$11520+Sens!$M$11521-Sens!$M$11524</f>
        <v>39.4490703930704</v>
      </c>
      <c r="N11525" s="38" t="n">
        <f aca="false">Sens!$N$11499+Sens!$N$11504+Sens!$N$11520+Sens!$N$11521-Sens!$N$11524</f>
        <v>10.6495</v>
      </c>
      <c r="O11525" s="38" t="n">
        <f aca="false">Sens!$O$11499+Sens!$O$11504+Sens!$O$11520+Sens!$O$11521-Sens!$O$11524</f>
        <v>9.81200000000001</v>
      </c>
    </row>
    <row r="11526" customFormat="false" ht="17.15" hidden="false" customHeight="false" outlineLevel="0" collapsed="false">
      <c r="A11526" s="0" t="s">
        <v>759</v>
      </c>
      <c r="B11526" s="0" t="s">
        <v>86</v>
      </c>
      <c r="C11526" s="38" t="n">
        <f aca="false">Sens!$C$11506+Sens!$C$11522-ext_sh*Sens!$C$11441</f>
        <v>51.3470500115664</v>
      </c>
      <c r="D11526" s="38" t="n">
        <f aca="false">Sens!$D$11506+Sens!$D$11522-ext_sh*Sens!$D$11441</f>
        <v>60.2799375433739</v>
      </c>
      <c r="E11526" s="38" t="n">
        <f aca="false">Sens!$E$11506+Sens!$E$11522-ext_sh*Sens!$E$11441</f>
        <v>39.5095167090767</v>
      </c>
      <c r="F11526" s="38" t="n">
        <f aca="false">Sens!$F$11506+Sens!$F$11522-ext_sh*Sens!$F$11441</f>
        <v>37.951394214027</v>
      </c>
      <c r="G11526" s="38" t="n">
        <f aca="false">Sens!$G$11506+Sens!$G$11522-ext_sh*Sens!$G$11441</f>
        <v>77.4609109231037</v>
      </c>
      <c r="H11526" s="38" t="n">
        <f aca="false">Sens!$H$11506+Sens!$H$11522-ext_sh*Sens!$H$11441</f>
        <v>85.1453558128916</v>
      </c>
      <c r="I11526" s="38" t="n">
        <f aca="false">Sens!$I$11506+Sens!$I$11522-ext_sh*Sens!$I$11441</f>
        <v>94.532921967974</v>
      </c>
      <c r="J11526" s="38" t="n">
        <f aca="false">Sens!$J$11506+Sens!$J$11522-ext_sh*Sens!$J$11441</f>
        <v>103.525527532583</v>
      </c>
      <c r="K11526" s="38" t="n">
        <f aca="false">Sens!$K$11506+Sens!$K$11522-ext_sh*Sens!$K$11441</f>
        <v>111.80756973519</v>
      </c>
      <c r="L11526" s="38" t="n">
        <f aca="false">Sens!$L$11506+Sens!$L$11522-ext_sh*Sens!$L$11441</f>
        <v>120.752175314005</v>
      </c>
      <c r="M11526" s="38" t="n">
        <f aca="false">Sens!$M$11506+Sens!$M$11522-ext_sh*Sens!$M$11441</f>
        <v>130.412349339125</v>
      </c>
      <c r="N11526" s="38" t="n">
        <f aca="false">Sens!$N$11506+Sens!$N$11522-ext_sh*Sens!$N$11441</f>
        <v>28.5693781401809</v>
      </c>
      <c r="O11526" s="38" t="n">
        <f aca="false">Sens!$O$11506+Sens!$O$11522-ext_sh*Sens!$O$11441</f>
        <v>31.7105594031931</v>
      </c>
    </row>
    <row r="11527" customFormat="false" ht="17.15" hidden="false" customHeight="false" outlineLevel="0" collapsed="false">
      <c r="A11527" s="0" t="s">
        <v>760</v>
      </c>
      <c r="B11527" s="0" t="s">
        <v>86</v>
      </c>
      <c r="C11527" s="38" t="n">
        <f aca="false">Sens!$C$11444</f>
        <v>1.80694998843362</v>
      </c>
      <c r="D11527" s="38" t="n">
        <f aca="false">Sens!$D$11444</f>
        <v>6.77606245662607</v>
      </c>
      <c r="E11527" s="38" t="n">
        <f aca="false">Sens!$E$11444</f>
        <v>6.62548329092326</v>
      </c>
      <c r="F11527" s="38" t="n">
        <f aca="false">Sens!$F$11444</f>
        <v>10.8940413794839</v>
      </c>
      <c r="G11527" s="38" t="n">
        <f aca="false">Sens!$G$11444</f>
        <v>17.5195246704072</v>
      </c>
      <c r="H11527" s="38" t="n">
        <f aca="false">Sens!$H$11444</f>
        <v>40.7735721541341</v>
      </c>
      <c r="I11527" s="38" t="n">
        <f aca="false">Sens!$I$11444</f>
        <v>66.8500163832358</v>
      </c>
      <c r="J11527" s="38" t="n">
        <f aca="false">Sens!$J$11444</f>
        <v>93.0640470849174</v>
      </c>
      <c r="K11527" s="38" t="n">
        <f aca="false">Sens!$K$11444</f>
        <v>115.424757703147</v>
      </c>
      <c r="L11527" s="38" t="n">
        <f aca="false">Sens!$L$11444</f>
        <v>130.120169833198</v>
      </c>
      <c r="M11527" s="38" t="n">
        <f aca="false">Sens!$M$11444</f>
        <v>137.12790595888</v>
      </c>
      <c r="N11527" s="38" t="n">
        <f aca="false">Sens!$N$11444</f>
        <v>2.37162185981912</v>
      </c>
      <c r="O11527" s="38" t="n">
        <f aca="false">Sens!$O$11444</f>
        <v>4.40444059680694</v>
      </c>
    </row>
    <row r="11528" customFormat="false" ht="17.15" hidden="false" customHeight="false" outlineLevel="0" collapsed="false">
      <c r="A11528" s="0" t="s">
        <v>761</v>
      </c>
      <c r="B11528" s="0" t="s">
        <v>86</v>
      </c>
      <c r="C11528" s="38" t="n">
        <f aca="false">Sens!$C$11509+Sens!$C$11523</f>
        <v>100.66</v>
      </c>
      <c r="D11528" s="38" t="n">
        <f aca="false">Sens!$D$11509+Sens!$D$11523</f>
        <v>121.835</v>
      </c>
      <c r="E11528" s="38" t="n">
        <f aca="false">Sens!$E$11509+Sens!$E$11523</f>
        <v>78.016</v>
      </c>
      <c r="F11528" s="38" t="n">
        <f aca="false">Sens!$F$11509+Sens!$F$11523</f>
        <v>84.6921012318198</v>
      </c>
      <c r="G11528" s="38" t="n">
        <f aca="false">Sens!$G$11509+Sens!$G$11523</f>
        <v>162.70810123182</v>
      </c>
      <c r="H11528" s="38" t="n">
        <f aca="false">Sens!$H$11509+Sens!$H$11523</f>
        <v>204.33367963797</v>
      </c>
      <c r="I11528" s="38" t="n">
        <f aca="false">Sens!$I$11509+Sens!$I$11523</f>
        <v>250.397642941699</v>
      </c>
      <c r="J11528" s="38" t="n">
        <f aca="false">Sens!$J$11509+Sens!$J$11523</f>
        <v>295.63636152654</v>
      </c>
      <c r="K11528" s="38" t="n">
        <f aca="false">Sens!$K$11509+Sens!$K$11523</f>
        <v>335.2961814691</v>
      </c>
      <c r="L11528" s="38" t="n">
        <f aca="false">Sens!$L$11509+Sens!$L$11523</f>
        <v>367.839032048024</v>
      </c>
      <c r="M11528" s="38" t="n">
        <f aca="false">Sens!$M$11509+Sens!$M$11523</f>
        <v>394.934446553444</v>
      </c>
      <c r="N11528" s="38" t="n">
        <f aca="false">Sens!$N$11509+Sens!$N$11523</f>
        <v>56.398</v>
      </c>
      <c r="O11528" s="38" t="n">
        <f aca="false">Sens!$O$11509+Sens!$O$11523</f>
        <v>65.437</v>
      </c>
    </row>
    <row r="11529" customFormat="false" ht="17.15" hidden="false" customHeight="false" outlineLevel="0" collapsed="false">
      <c r="A11529" s="1" t="s">
        <v>762</v>
      </c>
    </row>
    <row r="11530" customFormat="false" ht="15" hidden="false" customHeight="false" outlineLevel="0" collapsed="false">
      <c r="A11530" s="5" t="s">
        <v>551</v>
      </c>
      <c r="B11530" s="0" t="s">
        <v>86</v>
      </c>
      <c r="C11530" s="38" t="n">
        <f aca="false">Q!$D$34</f>
        <v>2.406</v>
      </c>
      <c r="D11530" s="38" t="n">
        <f aca="false">Q!$E$34</f>
        <v>2.274</v>
      </c>
      <c r="E11530" s="38" t="n">
        <f aca="false">Q!$P$34</f>
        <v>2.114</v>
      </c>
      <c r="F11530" s="38" t="n">
        <f aca="false">Sens!$F$11568</f>
        <v>3.24888962733561</v>
      </c>
      <c r="G11530" s="38" t="n">
        <f aca="false">Sens!$E$11530+Sens!$F$11530</f>
        <v>5.36288962733561</v>
      </c>
      <c r="H11530" s="38" t="n">
        <f aca="false">Sens!$H$11568</f>
        <v>7.42354172302123</v>
      </c>
      <c r="I11530" s="38" t="n">
        <f aca="false">Sens!$I$11568</f>
        <v>8.25941641365132</v>
      </c>
      <c r="J11530" s="38" t="n">
        <f aca="false">Sens!$J$11568</f>
        <v>9.98143948839194</v>
      </c>
      <c r="K11530" s="38" t="n">
        <f aca="false">Sens!$K$11568</f>
        <v>9.98143948839194</v>
      </c>
      <c r="L11530" s="38" t="n">
        <f aca="false">Sens!$L$11568</f>
        <v>9.98143948839194</v>
      </c>
      <c r="M11530" s="38" t="n">
        <f aca="false">Sens!$M$11568</f>
        <v>9.98143948839194</v>
      </c>
      <c r="N11530" s="38" t="n">
        <f aca="false">Q!$N$34</f>
        <v>1.057</v>
      </c>
      <c r="O11530" s="38" t="n">
        <f aca="false">Q!$O$34</f>
        <v>1.217</v>
      </c>
    </row>
    <row r="11531" customFormat="false" ht="15" hidden="false" customHeight="false" outlineLevel="0" collapsed="false">
      <c r="A11531" s="5" t="s">
        <v>763</v>
      </c>
      <c r="B11531" s="0" t="s">
        <v>86</v>
      </c>
      <c r="F11531" s="38" t="n">
        <f aca="false">Sens!$F$11569</f>
        <v>2.59</v>
      </c>
      <c r="H11531" s="38" t="n">
        <f aca="false">Sens!$H$11569</f>
        <v>4.08534320874867</v>
      </c>
      <c r="I11531" s="38" t="n">
        <f aca="false">Sens!$I$11569</f>
        <v>2.10589651022864</v>
      </c>
      <c r="J11531" s="38" t="n">
        <f aca="false">Sens!$J$11569</f>
        <v>2.10589651022864</v>
      </c>
      <c r="K11531" s="38" t="n">
        <f aca="false">Sens!$K$11569</f>
        <v>2.37903737236338</v>
      </c>
      <c r="L11531" s="38" t="n">
        <f aca="false">Sens!$L$11569</f>
        <v>6.47835099985353</v>
      </c>
      <c r="M11531" s="38" t="n">
        <f aca="false">Sens!$M$11569</f>
        <v>12.8767135583378</v>
      </c>
    </row>
    <row r="11532" customFormat="false" ht="17.15" hidden="false" customHeight="false" outlineLevel="0" collapsed="false">
      <c r="A11532" s="5" t="s">
        <v>764</v>
      </c>
      <c r="B11532" s="0" t="s">
        <v>86</v>
      </c>
      <c r="C11532" s="38" t="n">
        <f aca="false">Q!$D$39</f>
        <v>2.427</v>
      </c>
      <c r="D11532" s="38" t="n">
        <f aca="false">Q!$E$39</f>
        <v>19.61</v>
      </c>
      <c r="E11532" s="38" t="n">
        <f aca="false">Q!$P$39</f>
        <v>71.492</v>
      </c>
      <c r="F11532" s="39" t="n">
        <v>0</v>
      </c>
      <c r="G11532" s="38" t="n">
        <f aca="false">Sens!$E$11532+Sens!$F$11532</f>
        <v>71.492</v>
      </c>
      <c r="H11532" s="39" t="n">
        <v>0</v>
      </c>
      <c r="I11532" s="39" t="n">
        <v>0</v>
      </c>
      <c r="J11532" s="39" t="n">
        <v>0</v>
      </c>
      <c r="K11532" s="39" t="n">
        <v>0</v>
      </c>
      <c r="L11532" s="39" t="n">
        <v>0</v>
      </c>
      <c r="M11532" s="39" t="n">
        <v>0</v>
      </c>
      <c r="N11532" s="38" t="n">
        <f aca="false">Q!$N$39</f>
        <v>6.017</v>
      </c>
      <c r="O11532" s="38" t="n">
        <f aca="false">Q!$O$39</f>
        <v>13.593</v>
      </c>
      <c r="P11532" s="5" t="s">
        <v>765</v>
      </c>
    </row>
    <row r="11533" customFormat="false" ht="15" hidden="false" customHeight="false" outlineLevel="0" collapsed="false">
      <c r="A11533" s="5" t="s">
        <v>554</v>
      </c>
      <c r="B11533" s="0" t="s">
        <v>86</v>
      </c>
      <c r="C11533" s="38" t="n">
        <f aca="false">Q!$D$36</f>
        <v>68.614</v>
      </c>
      <c r="D11533" s="38" t="n">
        <f aca="false">Q!$E$36</f>
        <v>97.311</v>
      </c>
      <c r="E11533" s="38" t="n">
        <f aca="false">Q!$P$36</f>
        <v>120.691</v>
      </c>
      <c r="F11533" s="38" t="n">
        <f aca="false">Sens!$F$11509-Sens!$F$11530+Sens!$F$11531+Sens!$F$11532</f>
        <v>54.8803507350071</v>
      </c>
      <c r="G11533" s="38" t="n">
        <f aca="false">Sens!$E$11533+Sens!$F$11533</f>
        <v>175.571350735007</v>
      </c>
      <c r="H11533" s="38" t="n">
        <f aca="false">Sens!$H$11509-Sens!$H$11530+Sens!$H$11531+Sens!$H$11532</f>
        <v>119.433657804083</v>
      </c>
      <c r="I11533" s="38" t="n">
        <f aca="false">Sens!$I$11509-Sens!$I$11530+Sens!$I$11531+Sens!$I$11532</f>
        <v>125.487914298072</v>
      </c>
      <c r="J11533" s="38" t="n">
        <f aca="false">Sens!$J$11509-Sens!$J$11530+Sens!$J$11531+Sens!$J$11532</f>
        <v>135.291329141586</v>
      </c>
      <c r="K11533" s="38" t="n">
        <f aca="false">Sens!$K$11509-Sens!$K$11530+Sens!$K$11531+Sens!$K$11532</f>
        <v>141.302276729252</v>
      </c>
      <c r="L11533" s="38" t="n">
        <f aca="false">Sens!$L$11509-Sens!$L$11530+Sens!$L$11531+Sens!$L$11532</f>
        <v>152.409521344003</v>
      </c>
      <c r="M11533" s="38" t="n">
        <f aca="false">Sens!$M$11509-Sens!$M$11530+Sens!$M$11531+Sens!$M$11532</f>
        <v>168.817238525484</v>
      </c>
      <c r="N11533" s="38" t="n">
        <f aca="false">Q!$N$36</f>
        <v>42.536</v>
      </c>
      <c r="O11533" s="38" t="n">
        <f aca="false">Q!$O$36</f>
        <v>54.775</v>
      </c>
    </row>
    <row r="11534" customFormat="false" ht="15" hidden="false" customHeight="false" outlineLevel="0" collapsed="false">
      <c r="A11534" s="5" t="s">
        <v>555</v>
      </c>
      <c r="B11534" s="0" t="s">
        <v>86</v>
      </c>
      <c r="C11534" s="38" t="n">
        <f aca="false">Q!$D$37</f>
        <v>9.265</v>
      </c>
      <c r="D11534" s="38" t="n">
        <f aca="false">Q!$E$37</f>
        <v>19.087</v>
      </c>
      <c r="E11534" s="38" t="n">
        <f aca="false">Q!$P$37</f>
        <v>27.759</v>
      </c>
      <c r="F11534" s="38" t="n">
        <f aca="false">Sens!$F$11533*tax</f>
        <v>9.52637970313208</v>
      </c>
      <c r="G11534" s="38" t="n">
        <f aca="false">Sens!$E$11534+Sens!$F$11534</f>
        <v>37.2853797031321</v>
      </c>
      <c r="H11534" s="38" t="n">
        <f aca="false">Sens!$H$11533*tax</f>
        <v>20.7318349525393</v>
      </c>
      <c r="I11534" s="38" t="n">
        <f aca="false">Sens!$I$11533*tax</f>
        <v>21.7827602000907</v>
      </c>
      <c r="J11534" s="38" t="n">
        <f aca="false">Sens!$J$11533*tax</f>
        <v>23.4844813249716</v>
      </c>
      <c r="K11534" s="38" t="n">
        <f aca="false">Sens!$K$11533*tax</f>
        <v>24.5278888165204</v>
      </c>
      <c r="L11534" s="38" t="n">
        <f aca="false">Sens!$L$11533*tax</f>
        <v>26.455934615036</v>
      </c>
      <c r="M11534" s="38" t="n">
        <f aca="false">Sens!$M$11533*tax</f>
        <v>29.304060434915</v>
      </c>
      <c r="N11534" s="38" t="n">
        <f aca="false">Q!$N$37</f>
        <v>7.231</v>
      </c>
      <c r="O11534" s="38" t="n">
        <f aca="false">Q!$O$37</f>
        <v>11.856</v>
      </c>
    </row>
    <row r="11535" customFormat="false" ht="15" hidden="false" customHeight="false" outlineLevel="0" collapsed="false">
      <c r="A11535" s="3" t="s">
        <v>556</v>
      </c>
      <c r="B11535" s="8" t="s">
        <v>86</v>
      </c>
      <c r="C11535" s="38" t="n">
        <f aca="false">Q!$D$38</f>
        <v>59.248</v>
      </c>
      <c r="D11535" s="38" t="n">
        <f aca="false">Q!$E$38</f>
        <v>77.67</v>
      </c>
      <c r="E11535" s="38" t="n">
        <f aca="false">Q!$P$38</f>
        <v>92.902</v>
      </c>
      <c r="F11535" s="38" t="n">
        <f aca="false">Sens!$F$11533-Sens!$F$11534</f>
        <v>45.3539710318751</v>
      </c>
      <c r="G11535" s="38" t="n">
        <f aca="false">Sens!$E$11535+Sens!$F$11535</f>
        <v>138.255971031875</v>
      </c>
      <c r="H11535" s="38" t="n">
        <f aca="false">Sens!$H$11533-Sens!$H$11534</f>
        <v>98.7018228515433</v>
      </c>
      <c r="I11535" s="38" t="n">
        <f aca="false">Sens!$I$11533-Sens!$I$11534</f>
        <v>103.705154097981</v>
      </c>
      <c r="J11535" s="38" t="n">
        <f aca="false">Sens!$J$11533-Sens!$J$11534</f>
        <v>111.806847816615</v>
      </c>
      <c r="K11535" s="38" t="n">
        <f aca="false">Sens!$K$11533-Sens!$K$11534</f>
        <v>116.774387912732</v>
      </c>
      <c r="L11535" s="38" t="n">
        <f aca="false">Sens!$L$11533-Sens!$L$11534</f>
        <v>125.953586728967</v>
      </c>
      <c r="M11535" s="38" t="n">
        <f aca="false">Sens!$M$11533-Sens!$M$11534</f>
        <v>139.513178090569</v>
      </c>
      <c r="N11535" s="38" t="n">
        <f aca="false">Q!$N$38</f>
        <v>35.291</v>
      </c>
      <c r="O11535" s="38" t="n">
        <f aca="false">Q!$O$38</f>
        <v>42.379</v>
      </c>
    </row>
    <row r="11536" customFormat="false" ht="17.15" hidden="false" customHeight="false" outlineLevel="0" collapsed="false">
      <c r="A11536" s="5" t="s">
        <v>559</v>
      </c>
      <c r="B11536" s="5" t="s">
        <v>33</v>
      </c>
      <c r="C11536" s="22" t="n">
        <f aca="false">Q!$D$41</f>
        <v>10.721</v>
      </c>
      <c r="D11536" s="22" t="n">
        <f aca="false">Q!$E$41</f>
        <v>10.827</v>
      </c>
      <c r="E11536" s="22" t="n">
        <f aca="false">(Q!$L$41+Q!$M$41)/2</f>
        <v>10.8885</v>
      </c>
      <c r="F11536" s="22" t="n">
        <f aca="false">Sens!$G$11536</f>
        <v>10.924806</v>
      </c>
      <c r="G11536" s="22" t="n">
        <f aca="false">Q!$M$41*(1+sh_g*0.25)</f>
        <v>10.924806</v>
      </c>
      <c r="H11536" s="22" t="n">
        <f aca="false">Sens!$G$11536*(1+sh_g)</f>
        <v>11.012204448</v>
      </c>
      <c r="I11536" s="22" t="n">
        <f aca="false">Sens!$H$11536*(1+sh_g)</f>
        <v>11.100302083584</v>
      </c>
      <c r="J11536" s="22" t="n">
        <f aca="false">Sens!$I$11536*(1+sh_g)</f>
        <v>11.1891045002527</v>
      </c>
      <c r="K11536" s="22" t="n">
        <f aca="false">Sens!$J$11536*(1+sh_g)</f>
        <v>11.2786173362547</v>
      </c>
      <c r="L11536" s="22" t="n">
        <f aca="false">Sens!$K$11536*(1+sh_g)</f>
        <v>11.3688462749447</v>
      </c>
      <c r="M11536" s="22" t="n">
        <f aca="false">Sens!$L$11536*(1+sh_g)</f>
        <v>11.4597970451443</v>
      </c>
      <c r="P11536" s="5" t="s">
        <v>766</v>
      </c>
    </row>
    <row r="11537" customFormat="false" ht="17.15" hidden="false" customHeight="false" outlineLevel="0" collapsed="false">
      <c r="A11537" s="5" t="s">
        <v>767</v>
      </c>
      <c r="B11537" s="0" t="s">
        <v>86</v>
      </c>
      <c r="C11537" s="38" t="n">
        <f aca="false">Sens!$C$11535+Sens!$C$11511*(1-tax)</f>
        <v>59.248</v>
      </c>
      <c r="D11537" s="38" t="n">
        <f aca="false">Sens!$D$11535+Sens!$D$11511*(1-tax)</f>
        <v>77.67</v>
      </c>
      <c r="E11537" s="38" t="n">
        <f aca="false">Sens!$E$11535+Sens!$E$11511*(1-tax)</f>
        <v>92.902</v>
      </c>
      <c r="F11537" s="38" t="n">
        <f aca="false">Sens!$F$11535+Sens!$F$11511*(1-tax)</f>
        <v>45.3539710318751</v>
      </c>
      <c r="G11537" s="38" t="n">
        <f aca="false">Sens!$G$11535+Sens!$G$11511*(1-tax)</f>
        <v>138.255971031875</v>
      </c>
      <c r="H11537" s="38" t="n">
        <f aca="false">Sens!$H$11535+Sens!$H$11511*(1-tax)</f>
        <v>98.7018228515433</v>
      </c>
      <c r="I11537" s="38" t="n">
        <f aca="false">Sens!$I$11535+Sens!$I$11511*(1-tax)</f>
        <v>103.705154097981</v>
      </c>
      <c r="J11537" s="38" t="n">
        <f aca="false">Sens!$J$11535+Sens!$J$11511*(1-tax)</f>
        <v>111.806847816615</v>
      </c>
      <c r="K11537" s="38" t="n">
        <f aca="false">Sens!$K$11535+Sens!$K$11511*(1-tax)</f>
        <v>116.774387912732</v>
      </c>
      <c r="L11537" s="38" t="n">
        <f aca="false">Sens!$L$11535+Sens!$L$11511*(1-tax)</f>
        <v>125.953586728967</v>
      </c>
      <c r="M11537" s="38" t="n">
        <f aca="false">Sens!$M$11535+Sens!$M$11511*(1-tax)</f>
        <v>139.513178090569</v>
      </c>
      <c r="N11537" s="38" t="n">
        <f aca="false">Sens!$N$11535+Sens!$N$11511*(1-tax)</f>
        <v>35.291</v>
      </c>
      <c r="O11537" s="38" t="n">
        <f aca="false">Sens!$O$11535+Sens!$O$11511*(1-tax)</f>
        <v>42.379</v>
      </c>
    </row>
    <row r="11538" customFormat="false" ht="17.15" hidden="false" customHeight="false" outlineLevel="0" collapsed="false">
      <c r="A11538" s="43" t="s">
        <v>768</v>
      </c>
      <c r="B11538" s="14" t="s">
        <v>27</v>
      </c>
      <c r="C11538" s="44" t="n">
        <f aca="false">Sens!$C$11537/Sens!$C$11536</f>
        <v>5.52635015390355</v>
      </c>
      <c r="D11538" s="44" t="n">
        <f aca="false">Sens!$D$11537/Sens!$D$11536</f>
        <v>7.1737323358271</v>
      </c>
      <c r="E11538" s="44" t="n">
        <f aca="false">Sens!$E$11537/Sens!$E$11536</f>
        <v>8.53212104513937</v>
      </c>
      <c r="F11538" s="14"/>
      <c r="G11538" s="44" t="n">
        <f aca="false">Sens!$G$11537/Sens!$G$11536</f>
        <v>12.6552335146157</v>
      </c>
      <c r="H11538" s="44" t="n">
        <f aca="false">Sens!$H$11537/Sens!$H$11536</f>
        <v>8.96294863736109</v>
      </c>
      <c r="I11538" s="44" t="n">
        <f aca="false">Sens!$I$11537/Sens!$I$11536</f>
        <v>9.34255242038401</v>
      </c>
      <c r="J11538" s="44" t="n">
        <f aca="false">Sens!$J$11537/Sens!$J$11536</f>
        <v>9.99247507377286</v>
      </c>
      <c r="K11538" s="44" t="n">
        <f aca="false">Sens!$K$11537/Sens!$K$11536</f>
        <v>10.353608463811</v>
      </c>
      <c r="L11538" s="44" t="n">
        <f aca="false">Sens!$L$11537/Sens!$L$11536</f>
        <v>11.078836293754</v>
      </c>
      <c r="M11538" s="44" t="n">
        <f aca="false">Sens!$M$11537/Sens!$M$11536</f>
        <v>12.1741403919263</v>
      </c>
      <c r="N11538" s="14"/>
      <c r="O11538" s="14"/>
    </row>
    <row r="11539" customFormat="false" ht="17.15" hidden="false" customHeight="false" outlineLevel="0" collapsed="false">
      <c r="A11539" s="0" t="s">
        <v>769</v>
      </c>
      <c r="B11539" s="0" t="s">
        <v>27</v>
      </c>
      <c r="C11539" s="30" t="n">
        <f aca="false">Sens!$C$11535/Sens!$C$11536</f>
        <v>5.52635015390355</v>
      </c>
      <c r="D11539" s="30" t="n">
        <f aca="false">Sens!$D$11535/Sens!$D$11536</f>
        <v>7.1737323358271</v>
      </c>
      <c r="E11539" s="30" t="n">
        <f aca="false">Sens!$E$11535/Sens!$E$11536</f>
        <v>8.53212104513937</v>
      </c>
      <c r="G11539" s="30" t="n">
        <f aca="false">Sens!$G$11535/Sens!$G$11536</f>
        <v>12.6552335146157</v>
      </c>
      <c r="H11539" s="30" t="n">
        <f aca="false">Sens!$H$11535/Sens!$H$11536</f>
        <v>8.96294863736109</v>
      </c>
      <c r="I11539" s="30" t="n">
        <f aca="false">Sens!$I$11535/Sens!$I$11536</f>
        <v>9.34255242038401</v>
      </c>
      <c r="J11539" s="30" t="n">
        <f aca="false">Sens!$J$11535/Sens!$J$11536</f>
        <v>9.99247507377286</v>
      </c>
      <c r="K11539" s="30" t="n">
        <f aca="false">Sens!$K$11535/Sens!$K$11536</f>
        <v>10.353608463811</v>
      </c>
      <c r="L11539" s="30" t="n">
        <f aca="false">Sens!$L$11535/Sens!$L$11536</f>
        <v>11.078836293754</v>
      </c>
      <c r="M11539" s="30" t="n">
        <f aca="false">Sens!$M$11535/Sens!$M$11536</f>
        <v>12.1741403919263</v>
      </c>
    </row>
    <row r="11540" customFormat="false" ht="17.15" hidden="false" customHeight="false" outlineLevel="0" collapsed="false">
      <c r="A11540" s="0" t="s">
        <v>770</v>
      </c>
      <c r="B11540" s="0" t="s">
        <v>27</v>
      </c>
      <c r="C11540" s="30" t="n">
        <f aca="false">(Sens!$C$11535-Sens!$C$11532*(1-tax))/Sens!$C$11536</f>
        <v>5.33926775917445</v>
      </c>
      <c r="D11540" s="30" t="n">
        <f aca="false">(Sens!$D$11535-Sens!$D$11532*(1-tax))/Sens!$D$11536</f>
        <v>5.67691812755503</v>
      </c>
      <c r="E11540" s="30" t="n">
        <f aca="false">(Sens!$E$11535-Sens!$E$11532*(1-tax))/Sens!$E$11536</f>
        <v>3.10602057006846</v>
      </c>
      <c r="G11540" s="30" t="n">
        <f aca="false">(Sens!$G$11535-Sens!$G$11532*(1-tax))/Sens!$G$11536</f>
        <v>7.24716539671875</v>
      </c>
      <c r="H11540" s="30" t="n">
        <f aca="false">(Sens!$H$11535-Sens!$H$11532*(1-tax))/Sens!$H$11536</f>
        <v>8.96294863736109</v>
      </c>
      <c r="I11540" s="30" t="n">
        <f aca="false">(Sens!$I$11535-Sens!$I$11532*(1-tax))/Sens!$I$11536</f>
        <v>9.34255242038401</v>
      </c>
      <c r="J11540" s="30" t="n">
        <f aca="false">(Sens!$J$11535-Sens!$J$11532*(1-tax))/Sens!$J$11536</f>
        <v>9.99247507377286</v>
      </c>
      <c r="K11540" s="30" t="n">
        <f aca="false">(Sens!$K$11535-Sens!$K$11532*(1-tax))/Sens!$K$11536</f>
        <v>10.353608463811</v>
      </c>
      <c r="L11540" s="30" t="n">
        <f aca="false">(Sens!$L$11535-Sens!$L$11532*(1-tax))/Sens!$L$11536</f>
        <v>11.078836293754</v>
      </c>
      <c r="M11540" s="30" t="n">
        <f aca="false">(Sens!$M$11535-Sens!$M$11532*(1-tax))/Sens!$M$11536</f>
        <v>12.1741403919263</v>
      </c>
      <c r="P11540" s="5" t="s">
        <v>771</v>
      </c>
    </row>
    <row r="11541" customFormat="false" ht="17.15" hidden="false" customHeight="false" outlineLevel="0" collapsed="false">
      <c r="A11541" s="0" t="s">
        <v>772</v>
      </c>
      <c r="B11541" s="0" t="s">
        <v>52</v>
      </c>
      <c r="H11541" s="13" t="n">
        <f aca="false">Sens!$H$11538/Sens!$G$11538-1</f>
        <v>-0.291759521702256</v>
      </c>
      <c r="I11541" s="13" t="n">
        <f aca="false">Sens!$I$11538/Sens!$H$11538-1</f>
        <v>0.0423525558810618</v>
      </c>
      <c r="J11541" s="13" t="n">
        <f aca="false">Sens!$J$11538/Sens!$I$11538-1</f>
        <v>0.0695658556831669</v>
      </c>
      <c r="K11541" s="13" t="n">
        <f aca="false">Sens!$K$11538/Sens!$J$11538-1</f>
        <v>0.0361405344893944</v>
      </c>
      <c r="L11541" s="13" t="n">
        <f aca="false">Sens!$L$11538/Sens!$K$11538-1</f>
        <v>0.0700459006613883</v>
      </c>
      <c r="M11541" s="13" t="n">
        <f aca="false">Sens!$M$11538/Sens!$L$11538-1</f>
        <v>0.0988645439945597</v>
      </c>
    </row>
    <row r="11544" customFormat="false" ht="19.4" hidden="false" customHeight="false" outlineLevel="0" collapsed="false">
      <c r="A11544" s="31" t="s">
        <v>1385</v>
      </c>
    </row>
    <row r="11545" customFormat="false" ht="17.15" hidden="false" customHeight="false" outlineLevel="0" collapsed="false">
      <c r="A11545" s="6" t="s">
        <v>16</v>
      </c>
      <c r="B11545" s="6" t="s">
        <v>17</v>
      </c>
      <c r="C11545" s="20" t="s">
        <v>504</v>
      </c>
      <c r="D11545" s="20" t="s">
        <v>505</v>
      </c>
      <c r="E11545" s="20" t="s">
        <v>587</v>
      </c>
      <c r="F11545" s="20" t="s">
        <v>588</v>
      </c>
      <c r="G11545" s="20" t="s">
        <v>589</v>
      </c>
      <c r="H11545" s="20" t="s">
        <v>590</v>
      </c>
      <c r="I11545" s="20" t="s">
        <v>591</v>
      </c>
      <c r="J11545" s="20" t="s">
        <v>592</v>
      </c>
      <c r="K11545" s="20" t="s">
        <v>593</v>
      </c>
      <c r="L11545" s="20" t="s">
        <v>594</v>
      </c>
      <c r="M11545" s="20" t="s">
        <v>595</v>
      </c>
      <c r="N11545" s="20" t="s">
        <v>596</v>
      </c>
      <c r="O11545" s="20" t="s">
        <v>597</v>
      </c>
      <c r="P11545" s="6" t="s">
        <v>23</v>
      </c>
      <c r="R11545" s="20" t="n">
        <v>2023</v>
      </c>
      <c r="S11545" s="20" t="n">
        <v>2024</v>
      </c>
      <c r="T11545" s="20" t="n">
        <v>2025</v>
      </c>
      <c r="U11545" s="20" t="n">
        <v>2026</v>
      </c>
      <c r="V11545" s="20" t="n">
        <v>2027</v>
      </c>
      <c r="W11545" s="20" t="n">
        <v>2028</v>
      </c>
      <c r="X11545" s="20" t="n">
        <v>2029</v>
      </c>
      <c r="Y11545" s="20" t="n">
        <v>2030</v>
      </c>
      <c r="Z11545" s="20" t="n">
        <v>2031</v>
      </c>
      <c r="AA11545" s="20" t="n">
        <v>2032</v>
      </c>
    </row>
    <row r="11546" customFormat="false" ht="15" hidden="false" customHeight="false" outlineLevel="0" collapsed="false">
      <c r="A11546" s="5" t="s">
        <v>556</v>
      </c>
      <c r="B11546" s="0" t="s">
        <v>86</v>
      </c>
      <c r="C11546" s="38" t="n">
        <f aca="false">Sens!$C$11535</f>
        <v>59.248</v>
      </c>
      <c r="D11546" s="38" t="n">
        <f aca="false">Sens!$D$11535</f>
        <v>77.67</v>
      </c>
      <c r="E11546" s="38" t="n">
        <f aca="false">Sens!$E$11535</f>
        <v>92.902</v>
      </c>
      <c r="F11546" s="38" t="n">
        <f aca="false">Sens!$F$11535</f>
        <v>45.3539710318751</v>
      </c>
      <c r="G11546" s="38" t="n">
        <f aca="false">Sens!$G$11535</f>
        <v>138.255971031875</v>
      </c>
      <c r="H11546" s="38" t="n">
        <f aca="false">Sens!$H$11535</f>
        <v>98.7018228515433</v>
      </c>
      <c r="I11546" s="38" t="n">
        <f aca="false">Sens!$I$11535</f>
        <v>103.705154097981</v>
      </c>
      <c r="J11546" s="38" t="n">
        <f aca="false">Sens!$J$11535</f>
        <v>111.806847816615</v>
      </c>
      <c r="K11546" s="38" t="n">
        <f aca="false">Sens!$K$11535</f>
        <v>116.774387912732</v>
      </c>
      <c r="L11546" s="38" t="n">
        <f aca="false">Sens!$L$11535</f>
        <v>125.953586728967</v>
      </c>
      <c r="M11546" s="38" t="n">
        <f aca="false">Sens!$M$11535</f>
        <v>139.513178090569</v>
      </c>
    </row>
    <row r="11547" customFormat="false" ht="17.15" hidden="false" customHeight="false" outlineLevel="0" collapsed="false">
      <c r="A11547" s="5" t="s">
        <v>795</v>
      </c>
      <c r="B11547" s="0" t="s">
        <v>86</v>
      </c>
      <c r="C11547" s="38" t="n">
        <f aca="false">Sens!$C$11523</f>
        <v>32.067</v>
      </c>
      <c r="D11547" s="38" t="n">
        <f aca="false">Sens!$D$11523</f>
        <v>41.86</v>
      </c>
      <c r="E11547" s="38" t="n">
        <f aca="false">Sens!$E$11523</f>
        <v>26.703</v>
      </c>
      <c r="F11547" s="38" t="n">
        <f aca="false">Sens!$F$11523</f>
        <v>29.152860869477</v>
      </c>
      <c r="G11547" s="38" t="n">
        <f aca="false">Sens!$G$11523</f>
        <v>55.855860869477</v>
      </c>
      <c r="H11547" s="38" t="n">
        <f aca="false">Sens!$H$11523</f>
        <v>81.5618233196153</v>
      </c>
      <c r="I11547" s="38" t="n">
        <f aca="false">Sens!$I$11523</f>
        <v>118.756208740204</v>
      </c>
      <c r="J11547" s="38" t="n">
        <f aca="false">Sens!$J$11523</f>
        <v>152.469489406791</v>
      </c>
      <c r="K11547" s="38" t="n">
        <f aca="false">Sens!$K$11523</f>
        <v>186.391502623819</v>
      </c>
      <c r="L11547" s="38" t="n">
        <f aca="false">Sens!$L$11523</f>
        <v>211.926422215482</v>
      </c>
      <c r="M11547" s="38" t="n">
        <f aca="false">Sens!$M$11523</f>
        <v>229.012482097906</v>
      </c>
    </row>
    <row r="11548" customFormat="false" ht="15" hidden="false" customHeight="false" outlineLevel="0" collapsed="false">
      <c r="A11548" s="5" t="s">
        <v>796</v>
      </c>
      <c r="B11548" s="0" t="s">
        <v>86</v>
      </c>
      <c r="C11548" s="38" t="n">
        <f aca="false">Q!$D$48</f>
        <v>22.011</v>
      </c>
      <c r="D11548" s="38" t="n">
        <f aca="false">Q!$E$48</f>
        <v>19.467</v>
      </c>
      <c r="E11548" s="38" t="n">
        <f aca="false">Q!$P$48</f>
        <v>10.07</v>
      </c>
      <c r="F11548" s="38" t="n">
        <f aca="false">sbc_r*Sens!$F$11465</f>
        <v>10.8301362330615</v>
      </c>
      <c r="G11548" s="38" t="n">
        <f aca="false">Sens!$E$11548+Sens!$F$11548</f>
        <v>20.9001362330615</v>
      </c>
      <c r="H11548" s="38" t="n">
        <f aca="false">sbc_r*Sens!$H$11465</f>
        <v>23.2943317654256</v>
      </c>
      <c r="I11548" s="38" t="n">
        <f aca="false">sbc_r*Sens!$I$11465</f>
        <v>26.2713749165794</v>
      </c>
      <c r="J11548" s="38" t="n">
        <f aca="false">sbc_r*Sens!$J$11465</f>
        <v>29.1127794503891</v>
      </c>
      <c r="K11548" s="38" t="n">
        <f aca="false">sbc_r*Sens!$K$11465</f>
        <v>31.6074153583433</v>
      </c>
      <c r="L11548" s="38" t="n">
        <f aca="false">sbc_r*Sens!$L$11465</f>
        <v>33.9776385718341</v>
      </c>
      <c r="M11548" s="38" t="n">
        <f aca="false">sbc_r*Sens!$M$11465</f>
        <v>36.2325352034492</v>
      </c>
    </row>
    <row r="11549" customFormat="false" ht="17.15" hidden="false" customHeight="false" outlineLevel="0" collapsed="false">
      <c r="A11549" s="5" t="s">
        <v>797</v>
      </c>
      <c r="B11549" s="0" t="s">
        <v>86</v>
      </c>
      <c r="C11549" s="38" t="n">
        <f aca="false">Q!$D$44-Sens!$C$11546-Sens!$C$11547-Sens!$C$11548</f>
        <v>2.551</v>
      </c>
      <c r="D11549" s="38" t="n">
        <f aca="false">Q!$E$44-Sens!$D$11546-Sens!$D$11547-Sens!$D$11548</f>
        <v>0.51700000000001</v>
      </c>
      <c r="E11549" s="38" t="n">
        <f aca="false">Q!$P$44-Sens!$E$11546-Sens!$E$11547-Sens!$E$11548</f>
        <v>-58.256</v>
      </c>
      <c r="F11549" s="38" t="n">
        <f aca="false">oth_r*Sens!$F$11465</f>
        <v>5.21275305044778</v>
      </c>
      <c r="G11549" s="38" t="n">
        <f aca="false">Sens!$E$11549+Sens!$F$11549</f>
        <v>-53.0432469495522</v>
      </c>
      <c r="H11549" s="38" t="n">
        <f aca="false">oth_r*Sens!$H$11465</f>
        <v>11.2120102974955</v>
      </c>
      <c r="I11549" s="38" t="n">
        <f aca="false">oth_r*Sens!$I$11465</f>
        <v>12.6449184745984</v>
      </c>
      <c r="J11549" s="38" t="n">
        <f aca="false">oth_r*Sens!$J$11465</f>
        <v>14.0125411741132</v>
      </c>
      <c r="K11549" s="38" t="n">
        <f aca="false">oth_r*Sens!$K$11465</f>
        <v>15.2132574586644</v>
      </c>
      <c r="L11549" s="38" t="n">
        <f aca="false">oth_r*Sens!$L$11465</f>
        <v>16.3540915184104</v>
      </c>
      <c r="M11549" s="38" t="n">
        <f aca="false">oth_r*Sens!$M$11465</f>
        <v>17.4394166742486</v>
      </c>
      <c r="P11549" s="8" t="s">
        <v>798</v>
      </c>
    </row>
    <row r="11550" customFormat="false" ht="15" hidden="false" customHeight="false" outlineLevel="0" collapsed="false">
      <c r="A11550" s="3" t="s">
        <v>562</v>
      </c>
      <c r="B11550" s="8" t="s">
        <v>86</v>
      </c>
      <c r="C11550" s="38" t="n">
        <f aca="false">Q!$D$44</f>
        <v>115.877</v>
      </c>
      <c r="D11550" s="38" t="n">
        <f aca="false">Q!$E$44</f>
        <v>139.514</v>
      </c>
      <c r="E11550" s="38" t="n">
        <f aca="false">Q!$P$44</f>
        <v>71.419</v>
      </c>
      <c r="F11550" s="38" t="n">
        <f aca="false">Sens!$F$11546+Sens!$F$11547+Sens!$F$11548+Sens!$F$11549</f>
        <v>90.5497211848613</v>
      </c>
      <c r="G11550" s="38" t="n">
        <f aca="false">Sens!$E$11550+Sens!$F$11550</f>
        <v>161.968721184861</v>
      </c>
      <c r="H11550" s="38" t="n">
        <f aca="false">Sens!$H$11546+Sens!$H$11547+Sens!$H$11548+Sens!$H$11549</f>
        <v>214.76998823408</v>
      </c>
      <c r="I11550" s="38" t="n">
        <f aca="false">Sens!$I$11546+Sens!$I$11547+Sens!$I$11548+Sens!$I$11549</f>
        <v>261.377656229363</v>
      </c>
      <c r="J11550" s="38" t="n">
        <f aca="false">Sens!$J$11546+Sens!$J$11547+Sens!$J$11548+Sens!$J$11549</f>
        <v>307.401657847908</v>
      </c>
      <c r="K11550" s="38" t="n">
        <f aca="false">Sens!$K$11546+Sens!$K$11547+Sens!$K$11548+Sens!$K$11549</f>
        <v>349.986563353558</v>
      </c>
      <c r="L11550" s="38" t="n">
        <f aca="false">Sens!$L$11546+Sens!$L$11547+Sens!$L$11548+Sens!$L$11549</f>
        <v>388.211739034694</v>
      </c>
      <c r="M11550" s="38" t="n">
        <f aca="false">Sens!$M$11546+Sens!$M$11547+Sens!$M$11548+Sens!$M$11549</f>
        <v>422.197612066173</v>
      </c>
    </row>
    <row r="11551" customFormat="false" ht="17.15" hidden="false" customHeight="false" outlineLevel="0" collapsed="false">
      <c r="A11551" s="5" t="s">
        <v>799</v>
      </c>
      <c r="B11551" s="0" t="s">
        <v>86</v>
      </c>
      <c r="C11551" s="38" t="n">
        <f aca="false">Sens!$C$11429</f>
        <v>25.2781053077374</v>
      </c>
      <c r="D11551" s="38" t="n">
        <f aca="false">Sens!$D$11429</f>
        <v>69.5686316310026</v>
      </c>
      <c r="E11551" s="38" t="n">
        <f aca="false">Sens!$E$11429</f>
        <v>64.1899206485108</v>
      </c>
      <c r="F11551" s="38" t="n">
        <f aca="false">Sens!$F$11429</f>
        <v>88.7165504612134</v>
      </c>
      <c r="G11551" s="38" t="n">
        <f aca="false">Sens!$G$11429</f>
        <v>152.906471109724</v>
      </c>
      <c r="H11551" s="38" t="n">
        <f aca="false">Sens!$H$11429</f>
        <v>198.57136494475</v>
      </c>
      <c r="I11551" s="38" t="n">
        <f aca="false">Sens!$I$11429</f>
        <v>204.6464699105</v>
      </c>
      <c r="J11551" s="38" t="n">
        <f aca="false">Sens!$J$11429</f>
        <v>209.8832381105</v>
      </c>
      <c r="K11551" s="38" t="n">
        <f aca="false">Sens!$K$11429</f>
        <v>155.238385275201</v>
      </c>
      <c r="L11551" s="38" t="n">
        <f aca="false">Sens!$L$11429</f>
        <v>132.014141639902</v>
      </c>
      <c r="M11551" s="38" t="n">
        <f aca="false">Sens!$M$11429</f>
        <v>132.230981659852</v>
      </c>
    </row>
    <row r="11552" customFormat="false" ht="17.15" hidden="false" customHeight="false" outlineLevel="0" collapsed="false">
      <c r="A11552" s="5" t="s">
        <v>800</v>
      </c>
      <c r="B11552" s="0" t="s">
        <v>86</v>
      </c>
      <c r="C11552" s="38" t="n">
        <f aca="false">cx_awso*Sens!$C$11463</f>
        <v>21.0469989286053</v>
      </c>
      <c r="D11552" s="38" t="n">
        <f aca="false">cx_awso*Sens!$D$11463</f>
        <v>24.0042459822698</v>
      </c>
      <c r="E11552" s="38" t="n">
        <f aca="false">cx_awso*Sens!$E$11463</f>
        <v>14.261729404886</v>
      </c>
      <c r="F11552" s="38" t="n">
        <f aca="false">cx_awso*Sens!$F$11463</f>
        <v>14.3538599588493</v>
      </c>
      <c r="G11552" s="38" t="n">
        <f aca="false">Sens!$E$11552+Sens!$F$11552</f>
        <v>28.6155893637353</v>
      </c>
      <c r="H11552" s="38" t="n">
        <f aca="false">cx_awso*Sens!$H$11463</f>
        <v>32.2034154158406</v>
      </c>
      <c r="I11552" s="38" t="n">
        <f aca="false">cx_awso*Sens!$I$11463</f>
        <v>35.7539519042915</v>
      </c>
      <c r="J11552" s="38" t="n">
        <f aca="false">cx_awso*Sens!$J$11463</f>
        <v>39.1551076091815</v>
      </c>
      <c r="K11552" s="38" t="n">
        <f aca="false">cx_awso*Sens!$K$11463</f>
        <v>42.287516217916</v>
      </c>
      <c r="L11552" s="38" t="n">
        <f aca="false">cx_awso*Sens!$L$11463</f>
        <v>45.6705175153492</v>
      </c>
      <c r="M11552" s="38" t="n">
        <f aca="false">cx_awso*Sens!$M$11463</f>
        <v>49.3241589165772</v>
      </c>
    </row>
    <row r="11553" customFormat="false" ht="17.15" hidden="false" customHeight="false" outlineLevel="0" collapsed="false">
      <c r="A11553" s="5" t="s">
        <v>801</v>
      </c>
      <c r="B11553" s="0" t="s">
        <v>86</v>
      </c>
      <c r="C11553" s="38" t="n">
        <f aca="false">Q!$D$46-Sens!$C$11551-Sens!$C$11552</f>
        <v>31.3328957636573</v>
      </c>
      <c r="D11553" s="38" t="n">
        <f aca="false">Q!$E$46-Sens!$D$11551-Sens!$D$11552</f>
        <v>34.7471223867276</v>
      </c>
      <c r="E11553" s="38" t="n">
        <f aca="false">Q!$P$46-Sens!$E$11551-Sens!$E$11552</f>
        <v>17.8583499466032</v>
      </c>
      <c r="F11553" s="38" t="n">
        <f aca="false">cx_rt*Sens!$F$11392</f>
        <v>20.6195895799373</v>
      </c>
      <c r="G11553" s="38" t="n">
        <f aca="false">Sens!$E$11553+Sens!$F$11553</f>
        <v>38.4779395265405</v>
      </c>
      <c r="H11553" s="38" t="n">
        <f aca="false">cx_rt*Sens!$H$11392</f>
        <v>42.5978994743075</v>
      </c>
      <c r="I11553" s="38" t="n">
        <f aca="false">cx_rt*Sens!$I$11392</f>
        <v>46.5813904136335</v>
      </c>
      <c r="J11553" s="38" t="n">
        <f aca="false">cx_rt*Sens!$J$11392</f>
        <v>50.2781676586844</v>
      </c>
      <c r="K11553" s="38" t="n">
        <f aca="false">cx_rt*Sens!$K$11392</f>
        <v>53.5312440191755</v>
      </c>
      <c r="L11553" s="38" t="n">
        <f aca="false">cx_rt*Sens!$L$11392</f>
        <v>57.0116717051447</v>
      </c>
      <c r="M11553" s="38" t="n">
        <f aca="false">cx_rt*Sens!$M$11392</f>
        <v>60.7365554669226</v>
      </c>
    </row>
    <row r="11554" customFormat="false" ht="15" hidden="false" customHeight="false" outlineLevel="0" collapsed="false">
      <c r="A11554" s="3" t="s">
        <v>802</v>
      </c>
      <c r="B11554" s="8" t="s">
        <v>86</v>
      </c>
      <c r="C11554" s="38" t="n">
        <f aca="false">Q!$D$46</f>
        <v>77.658</v>
      </c>
      <c r="D11554" s="38" t="n">
        <f aca="false">Q!$E$46</f>
        <v>128.32</v>
      </c>
      <c r="E11554" s="38" t="n">
        <f aca="false">Q!$P$46</f>
        <v>96.31</v>
      </c>
      <c r="F11554" s="38" t="n">
        <f aca="false">Sens!$F$11551+Sens!$F$11552+Sens!$F$11553</f>
        <v>123.69</v>
      </c>
      <c r="G11554" s="38" t="n">
        <f aca="false">Sens!$E$11554+Sens!$F$11554</f>
        <v>220</v>
      </c>
      <c r="H11554" s="38" t="n">
        <f aca="false">Sens!$H$11551+Sens!$H$11552+Sens!$H$11553</f>
        <v>273.372679834898</v>
      </c>
      <c r="I11554" s="38" t="n">
        <f aca="false">Sens!$I$11551+Sens!$I$11552+Sens!$I$11553</f>
        <v>286.981812228425</v>
      </c>
      <c r="J11554" s="38" t="n">
        <f aca="false">Sens!$J$11551+Sens!$J$11552+Sens!$J$11553</f>
        <v>299.316513378366</v>
      </c>
      <c r="K11554" s="38" t="n">
        <f aca="false">Sens!$K$11551+Sens!$K$11552+Sens!$K$11553</f>
        <v>251.057145512292</v>
      </c>
      <c r="L11554" s="38" t="n">
        <f aca="false">Sens!$L$11551+Sens!$L$11552+Sens!$L$11553</f>
        <v>234.696330860396</v>
      </c>
      <c r="M11554" s="38" t="n">
        <f aca="false">Sens!$M$11551+Sens!$M$11552+Sens!$M$11553</f>
        <v>242.291696043352</v>
      </c>
    </row>
    <row r="11555" customFormat="false" ht="17.15" hidden="false" customHeight="false" outlineLevel="0" collapsed="false">
      <c r="A11555" s="5" t="s">
        <v>570</v>
      </c>
      <c r="B11555" s="0" t="s">
        <v>86</v>
      </c>
      <c r="C11555" s="38" t="n">
        <f aca="false">Q!$D$50</f>
        <v>2.043</v>
      </c>
      <c r="D11555" s="38" t="n">
        <f aca="false">Q!$E$50</f>
        <v>1.557</v>
      </c>
      <c r="E11555" s="38" t="n">
        <f aca="false">lease_pr/2</f>
        <v>0.8</v>
      </c>
      <c r="F11555" s="38" t="n">
        <f aca="false">lease_pr/2</f>
        <v>0.8</v>
      </c>
      <c r="G11555" s="38" t="n">
        <f aca="false">Sens!$E$11555+Sens!$F$11555</f>
        <v>1.6</v>
      </c>
      <c r="H11555" s="38" t="n">
        <f aca="false">lease_pr</f>
        <v>1.6</v>
      </c>
      <c r="I11555" s="38" t="n">
        <f aca="false">lease_pr</f>
        <v>1.6</v>
      </c>
      <c r="J11555" s="38" t="n">
        <f aca="false">lease_pr</f>
        <v>1.6</v>
      </c>
      <c r="K11555" s="38" t="n">
        <f aca="false">lease_pr</f>
        <v>1.6</v>
      </c>
      <c r="L11555" s="38" t="n">
        <f aca="false">lease_pr</f>
        <v>1.6</v>
      </c>
      <c r="M11555" s="38" t="n">
        <f aca="false">lease_pr</f>
        <v>1.6</v>
      </c>
      <c r="P11555" s="8" t="s">
        <v>803</v>
      </c>
    </row>
    <row r="11556" customFormat="false" ht="15" hidden="false" customHeight="false" outlineLevel="0" collapsed="false">
      <c r="A11556" s="47" t="s">
        <v>804</v>
      </c>
      <c r="B11556" s="14" t="s">
        <v>86</v>
      </c>
      <c r="C11556" s="48" t="n">
        <f aca="false">Sens!$C$11550-Sens!$C$11554-Sens!$C$11555</f>
        <v>36.176</v>
      </c>
      <c r="D11556" s="48" t="n">
        <f aca="false">Sens!$D$11550-Sens!$D$11554-Sens!$D$11555</f>
        <v>9.63700000000002</v>
      </c>
      <c r="E11556" s="48" t="n">
        <f aca="false">Sens!$E$11550-Sens!$E$11554-Sens!$E$11555</f>
        <v>-25.691</v>
      </c>
      <c r="F11556" s="48" t="n">
        <f aca="false">Sens!$F$11550-Sens!$F$11554-Sens!$F$11555</f>
        <v>-33.9402788151387</v>
      </c>
      <c r="G11556" s="48" t="n">
        <f aca="false">Sens!$G$11550-Sens!$G$11554-Sens!$G$11555</f>
        <v>-59.6312788151387</v>
      </c>
      <c r="H11556" s="48" t="n">
        <f aca="false">Sens!$H$11550-Sens!$H$11554-Sens!$H$11555</f>
        <v>-60.2026916008185</v>
      </c>
      <c r="I11556" s="48" t="n">
        <f aca="false">Sens!$I$11550-Sens!$I$11554-Sens!$I$11555</f>
        <v>-27.2041559990619</v>
      </c>
      <c r="J11556" s="48" t="n">
        <f aca="false">Sens!$J$11550-Sens!$J$11554-Sens!$J$11555</f>
        <v>6.48514446954195</v>
      </c>
      <c r="K11556" s="48" t="n">
        <f aca="false">Sens!$K$11550-Sens!$K$11554-Sens!$K$11555</f>
        <v>97.3294178412661</v>
      </c>
      <c r="L11556" s="48" t="n">
        <f aca="false">Sens!$L$11550-Sens!$L$11554-Sens!$L$11555</f>
        <v>151.915408174298</v>
      </c>
      <c r="M11556" s="48" t="n">
        <f aca="false">Sens!$M$11550-Sens!$M$11554-Sens!$M$11555</f>
        <v>178.305916022821</v>
      </c>
      <c r="N11556" s="14"/>
      <c r="O11556" s="14"/>
    </row>
    <row r="11557" customFormat="false" ht="17.15" hidden="false" customHeight="false" outlineLevel="0" collapsed="false">
      <c r="A11557" s="5" t="s">
        <v>805</v>
      </c>
      <c r="B11557" s="0" t="s">
        <v>86</v>
      </c>
      <c r="C11557" s="38" t="n">
        <f aca="false">dps*Sens!$C$11536</f>
        <v>0</v>
      </c>
      <c r="D11557" s="38" t="n">
        <f aca="false">dps*Sens!$D$11536</f>
        <v>0</v>
      </c>
      <c r="E11557" s="38" t="n">
        <f aca="false">dps*Sens!$E$11536</f>
        <v>0</v>
      </c>
      <c r="F11557" s="38" t="n">
        <f aca="false">0</f>
        <v>0</v>
      </c>
      <c r="G11557" s="38" t="n">
        <f aca="false">dps*Sens!$G$11536</f>
        <v>0</v>
      </c>
      <c r="H11557" s="38" t="n">
        <f aca="false">dps*Sens!$H$11536</f>
        <v>0</v>
      </c>
      <c r="I11557" s="38" t="n">
        <f aca="false">dps*Sens!$I$11536</f>
        <v>0</v>
      </c>
      <c r="J11557" s="38" t="n">
        <f aca="false">dps*Sens!$J$11536</f>
        <v>0</v>
      </c>
      <c r="K11557" s="38" t="n">
        <f aca="false">dps*Sens!$K$11536</f>
        <v>0</v>
      </c>
      <c r="L11557" s="38" t="n">
        <f aca="false">dps*Sens!$L$11536</f>
        <v>0</v>
      </c>
      <c r="M11557" s="38" t="n">
        <f aca="false">dps*Sens!$M$11536</f>
        <v>0</v>
      </c>
      <c r="P11557" s="8" t="s">
        <v>806</v>
      </c>
    </row>
    <row r="11558" customFormat="false" ht="17.15" hidden="false" customHeight="false" outlineLevel="0" collapsed="false">
      <c r="A11558" s="5" t="s">
        <v>807</v>
      </c>
      <c r="B11558" s="0" t="s">
        <v>86</v>
      </c>
      <c r="C11558" s="38" t="n">
        <f aca="false">0</f>
        <v>0</v>
      </c>
      <c r="D11558" s="38" t="n">
        <f aca="false">0</f>
        <v>0</v>
      </c>
      <c r="E11558" s="38" t="n">
        <f aca="false">0</f>
        <v>0</v>
      </c>
      <c r="F11558" s="38" t="n">
        <f aca="false">0</f>
        <v>0</v>
      </c>
      <c r="G11558" s="38" t="n">
        <f aca="false">0</f>
        <v>0</v>
      </c>
      <c r="H11558" s="38" t="n">
        <f aca="false">0</f>
        <v>0</v>
      </c>
      <c r="I11558" s="38" t="n">
        <f aca="false">0</f>
        <v>0</v>
      </c>
      <c r="J11558" s="38" t="n">
        <f aca="false">0</f>
        <v>0</v>
      </c>
      <c r="K11558" s="38" t="n">
        <f aca="false">0</f>
        <v>0</v>
      </c>
      <c r="L11558" s="38" t="n">
        <f aca="false">0</f>
        <v>0</v>
      </c>
      <c r="M11558" s="38" t="n">
        <f aca="false">0</f>
        <v>0</v>
      </c>
      <c r="P11558" s="8" t="s">
        <v>808</v>
      </c>
    </row>
    <row r="11559" customFormat="false" ht="15" hidden="false" customHeight="false" outlineLevel="0" collapsed="false">
      <c r="A11559" s="3" t="s">
        <v>809</v>
      </c>
      <c r="B11559" s="8" t="s">
        <v>86</v>
      </c>
      <c r="C11559" s="38" t="n">
        <f aca="false">Sens!$C$11556-Sens!$C$11557</f>
        <v>36.176</v>
      </c>
      <c r="D11559" s="38" t="n">
        <f aca="false">Sens!$D$11556-Sens!$D$11557</f>
        <v>9.63700000000002</v>
      </c>
      <c r="E11559" s="38" t="n">
        <f aca="false">Sens!$E$11556-Sens!$E$11557</f>
        <v>-25.691</v>
      </c>
      <c r="F11559" s="38" t="n">
        <f aca="false">Sens!$F$11556-Sens!$F$11557</f>
        <v>-33.9402788151387</v>
      </c>
      <c r="G11559" s="38" t="n">
        <f aca="false">Sens!$G$11556-Sens!$G$11557</f>
        <v>-59.6312788151387</v>
      </c>
      <c r="H11559" s="38" t="n">
        <f aca="false">Sens!$H$11556-Sens!$H$11557</f>
        <v>-60.2026916008185</v>
      </c>
      <c r="I11559" s="38" t="n">
        <f aca="false">Sens!$I$11556-Sens!$I$11557</f>
        <v>-27.2041559990619</v>
      </c>
      <c r="J11559" s="38" t="n">
        <f aca="false">Sens!$J$11556-Sens!$J$11557</f>
        <v>6.48514446954195</v>
      </c>
      <c r="K11559" s="38" t="n">
        <f aca="false">Sens!$K$11556-Sens!$K$11557</f>
        <v>97.3294178412661</v>
      </c>
      <c r="L11559" s="38" t="n">
        <f aca="false">Sens!$L$11556-Sens!$L$11557</f>
        <v>151.915408174298</v>
      </c>
      <c r="M11559" s="38" t="n">
        <f aca="false">Sens!$M$11556-Sens!$M$11557</f>
        <v>178.305916022821</v>
      </c>
    </row>
    <row r="11560" customFormat="false" ht="17.15" hidden="false" customHeight="false" outlineLevel="0" collapsed="false">
      <c r="A11560" s="5" t="s">
        <v>810</v>
      </c>
      <c r="B11560" s="0" t="s">
        <v>86</v>
      </c>
      <c r="E11560" s="38" t="n">
        <f aca="false">Q!$P$53</f>
        <v>39.767</v>
      </c>
      <c r="F11560" s="38" t="n">
        <f aca="false">inv_2h26</f>
        <v>21.3</v>
      </c>
      <c r="G11560" s="38" t="n">
        <f aca="false">Sens!$E$11560+Sens!$F$11560</f>
        <v>61.067</v>
      </c>
      <c r="H11560" s="39" t="n">
        <v>0</v>
      </c>
      <c r="I11560" s="39" t="n">
        <v>0</v>
      </c>
      <c r="J11560" s="39" t="n">
        <v>0</v>
      </c>
      <c r="K11560" s="39" t="n">
        <v>0</v>
      </c>
      <c r="L11560" s="39" t="n">
        <v>0</v>
      </c>
      <c r="M11560" s="39" t="n">
        <v>0</v>
      </c>
    </row>
    <row r="11561" customFormat="false" ht="17.15" hidden="false" customHeight="false" outlineLevel="0" collapsed="false">
      <c r="A11561" s="5" t="s">
        <v>811</v>
      </c>
      <c r="B11561" s="0" t="s">
        <v>86</v>
      </c>
      <c r="F11561" s="38" t="n">
        <f aca="false">iss_2h26</f>
        <v>29.249999</v>
      </c>
      <c r="G11561" s="38" t="n">
        <f aca="false">Sens!$F$11561</f>
        <v>29.249999</v>
      </c>
      <c r="H11561" s="39" t="n">
        <v>0</v>
      </c>
      <c r="I11561" s="39" t="n">
        <v>0</v>
      </c>
      <c r="J11561" s="39" t="n">
        <v>0</v>
      </c>
      <c r="K11561" s="39" t="n">
        <v>0</v>
      </c>
      <c r="L11561" s="39" t="n">
        <v>0</v>
      </c>
      <c r="M11561" s="39" t="n">
        <v>0</v>
      </c>
    </row>
    <row r="11562" customFormat="false" ht="17.15" hidden="false" customHeight="false" outlineLevel="0" collapsed="false">
      <c r="A11562" s="5" t="s">
        <v>812</v>
      </c>
      <c r="B11562" s="0" t="s">
        <v>86</v>
      </c>
      <c r="F11562" s="38" t="n">
        <f aca="false">cash_q2</f>
        <v>122.988</v>
      </c>
      <c r="G11562" s="38" t="n">
        <f aca="false">cash_q2</f>
        <v>122.988</v>
      </c>
      <c r="H11562" s="38" t="n">
        <f aca="false">Sens!$G$11565</f>
        <v>96.9977201848613</v>
      </c>
      <c r="I11562" s="38" t="n">
        <f aca="false">Sens!$H$11565</f>
        <v>50</v>
      </c>
      <c r="J11562" s="38" t="n">
        <f aca="false">Sens!$I$11565</f>
        <v>50</v>
      </c>
      <c r="K11562" s="38" t="n">
        <f aca="false">Sens!$J$11565</f>
        <v>56.4851444695419</v>
      </c>
      <c r="L11562" s="38" t="n">
        <f aca="false">Sens!$K$11565</f>
        <v>153.814562310808</v>
      </c>
      <c r="M11562" s="38" t="n">
        <f aca="false">Sens!$L$11565</f>
        <v>305.729970485107</v>
      </c>
    </row>
    <row r="11563" customFormat="false" ht="15" hidden="false" customHeight="false" outlineLevel="0" collapsed="false">
      <c r="A11563" s="5" t="s">
        <v>813</v>
      </c>
      <c r="B11563" s="0" t="s">
        <v>86</v>
      </c>
      <c r="F11563" s="38" t="n">
        <f aca="false">Sens!$F$11562+Sens!$F$11559-Sens!$F$11558-Sens!$F$11560+Sens!$F$11561</f>
        <v>96.9977201848613</v>
      </c>
      <c r="H11563" s="38" t="n">
        <f aca="false">Sens!$H$11562+Sens!$H$11559-Sens!$H$11558-Sens!$H$11560+Sens!$H$11561</f>
        <v>36.7950285840428</v>
      </c>
      <c r="I11563" s="38" t="n">
        <f aca="false">Sens!$I$11562+Sens!$I$11559-Sens!$I$11558-Sens!$I$11560+Sens!$I$11561</f>
        <v>22.7958440009381</v>
      </c>
      <c r="J11563" s="38" t="n">
        <f aca="false">Sens!$J$11562+Sens!$J$11559-Sens!$J$11558-Sens!$J$11560+Sens!$J$11561</f>
        <v>56.4851444695419</v>
      </c>
      <c r="K11563" s="38" t="n">
        <f aca="false">Sens!$K$11562+Sens!$K$11559-Sens!$K$11558-Sens!$K$11560+Sens!$K$11561</f>
        <v>153.814562310808</v>
      </c>
      <c r="L11563" s="38" t="n">
        <f aca="false">Sens!$L$11562+Sens!$L$11559-Sens!$L$11558-Sens!$L$11560+Sens!$L$11561</f>
        <v>305.729970485107</v>
      </c>
      <c r="M11563" s="38" t="n">
        <f aca="false">Sens!$M$11562+Sens!$M$11559-Sens!$M$11558-Sens!$M$11560+Sens!$M$11561</f>
        <v>484.035886507927</v>
      </c>
    </row>
    <row r="11564" customFormat="false" ht="17.15" hidden="false" customHeight="false" outlineLevel="0" collapsed="false">
      <c r="A11564" s="5" t="s">
        <v>814</v>
      </c>
      <c r="B11564" s="0" t="s">
        <v>86</v>
      </c>
      <c r="F11564" s="38" t="n">
        <f aca="false">MAX(0,min_cash-Sens!$F$11563)</f>
        <v>0</v>
      </c>
      <c r="G11564" s="38" t="n">
        <f aca="false">Sens!$F$11564</f>
        <v>0</v>
      </c>
      <c r="H11564" s="38" t="n">
        <f aca="false">MAX(0,min_cash-Sens!$H$11563)</f>
        <v>13.2049714159572</v>
      </c>
      <c r="I11564" s="38" t="n">
        <f aca="false">MAX(0,min_cash-Sens!$I$11563)</f>
        <v>27.2041559990619</v>
      </c>
      <c r="J11564" s="38" t="n">
        <f aca="false">MAX(0,min_cash-Sens!$J$11563)</f>
        <v>0</v>
      </c>
      <c r="K11564" s="38" t="n">
        <f aca="false">MAX(0,min_cash-Sens!$K$11563)</f>
        <v>0</v>
      </c>
      <c r="L11564" s="38" t="n">
        <f aca="false">MAX(0,min_cash-Sens!$L$11563)</f>
        <v>0</v>
      </c>
      <c r="M11564" s="38" t="n">
        <f aca="false">MAX(0,min_cash-Sens!$M$11563)</f>
        <v>0</v>
      </c>
      <c r="P11564" s="5" t="s">
        <v>815</v>
      </c>
    </row>
    <row r="11565" customFormat="false" ht="15" hidden="false" customHeight="false" outlineLevel="0" collapsed="false">
      <c r="A11565" s="5" t="s">
        <v>816</v>
      </c>
      <c r="B11565" s="0" t="s">
        <v>86</v>
      </c>
      <c r="D11565" s="38" t="n">
        <f aca="false">Q!$E$61</f>
        <v>123.029</v>
      </c>
      <c r="E11565" s="38" t="n">
        <f aca="false">Q!$M$61</f>
        <v>122.988</v>
      </c>
      <c r="F11565" s="38" t="n">
        <f aca="false">Sens!$F$11563+Sens!$F$11564</f>
        <v>96.9977201848613</v>
      </c>
      <c r="G11565" s="38" t="n">
        <f aca="false">Sens!$F$11565</f>
        <v>96.9977201848613</v>
      </c>
      <c r="H11565" s="38" t="n">
        <f aca="false">Sens!$H$11563+Sens!$H$11564</f>
        <v>50</v>
      </c>
      <c r="I11565" s="38" t="n">
        <f aca="false">Sens!$I$11563+Sens!$I$11564</f>
        <v>50</v>
      </c>
      <c r="J11565" s="38" t="n">
        <f aca="false">Sens!$J$11563+Sens!$J$11564</f>
        <v>56.4851444695419</v>
      </c>
      <c r="K11565" s="38" t="n">
        <f aca="false">Sens!$K$11563+Sens!$K$11564</f>
        <v>153.814562310808</v>
      </c>
      <c r="L11565" s="38" t="n">
        <f aca="false">Sens!$L$11563+Sens!$L$11564</f>
        <v>305.729970485107</v>
      </c>
      <c r="M11565" s="38" t="n">
        <f aca="false">Sens!$M$11563+Sens!$M$11564</f>
        <v>484.035886507927</v>
      </c>
    </row>
    <row r="11566" customFormat="false" ht="15" hidden="false" customHeight="false" outlineLevel="0" collapsed="false">
      <c r="A11566" s="5" t="s">
        <v>817</v>
      </c>
      <c r="B11566" s="0" t="s">
        <v>86</v>
      </c>
      <c r="D11566" s="38" t="n">
        <f aca="false">Q!$E$62</f>
        <v>68.836</v>
      </c>
      <c r="E11566" s="38" t="n">
        <f aca="false">Q!$M$62</f>
        <v>132.995</v>
      </c>
      <c r="F11566" s="38" t="n">
        <f aca="false">debt_q2+Sens!$F$11561+Sens!$F$11564</f>
        <v>162.244999</v>
      </c>
      <c r="G11566" s="38" t="n">
        <f aca="false">Sens!$F$11566</f>
        <v>162.244999</v>
      </c>
      <c r="H11566" s="38" t="n">
        <f aca="false">Sens!$G$11566+Sens!$H$11564</f>
        <v>175.449970415957</v>
      </c>
      <c r="I11566" s="38" t="n">
        <f aca="false">Sens!$H$11566+Sens!$I$11564</f>
        <v>202.654126415019</v>
      </c>
      <c r="J11566" s="38" t="n">
        <f aca="false">Sens!$I$11566+Sens!$J$11564</f>
        <v>202.654126415019</v>
      </c>
      <c r="K11566" s="38" t="n">
        <f aca="false">Sens!$J$11566+Sens!$K$11564</f>
        <v>202.654126415019</v>
      </c>
      <c r="L11566" s="38" t="n">
        <f aca="false">Sens!$K$11566+Sens!$L$11564</f>
        <v>202.654126415019</v>
      </c>
      <c r="M11566" s="38" t="n">
        <f aca="false">Sens!$L$11566+Sens!$M$11564</f>
        <v>202.654126415019</v>
      </c>
    </row>
    <row r="11567" customFormat="false" ht="15" hidden="false" customHeight="false" outlineLevel="0" collapsed="false">
      <c r="A11567" s="5" t="s">
        <v>818</v>
      </c>
      <c r="B11567" s="0" t="s">
        <v>86</v>
      </c>
      <c r="D11567" s="38" t="n">
        <f aca="false">Sens!$D$11566-Sens!$D$11565</f>
        <v>-54.193</v>
      </c>
      <c r="E11567" s="38" t="n">
        <f aca="false">Sens!$E$11566-Sens!$E$11565</f>
        <v>10.007</v>
      </c>
      <c r="F11567" s="38" t="n">
        <f aca="false">Sens!$F$11566-Sens!$F$11565</f>
        <v>65.2472788151387</v>
      </c>
      <c r="G11567" s="38" t="n">
        <f aca="false">Sens!$G$11566-Sens!$G$11565</f>
        <v>65.2472788151387</v>
      </c>
      <c r="H11567" s="38" t="n">
        <f aca="false">Sens!$H$11566-Sens!$H$11565</f>
        <v>125.449970415957</v>
      </c>
      <c r="I11567" s="38" t="n">
        <f aca="false">Sens!$I$11566-Sens!$I$11565</f>
        <v>152.654126415019</v>
      </c>
      <c r="J11567" s="38" t="n">
        <f aca="false">Sens!$J$11566-Sens!$J$11565</f>
        <v>146.168981945477</v>
      </c>
      <c r="K11567" s="38" t="n">
        <f aca="false">Sens!$K$11566-Sens!$K$11565</f>
        <v>48.8395641042111</v>
      </c>
      <c r="L11567" s="38" t="n">
        <f aca="false">Sens!$L$11566-Sens!$L$11565</f>
        <v>-103.075844070087</v>
      </c>
      <c r="M11567" s="38" t="n">
        <f aca="false">Sens!$M$11566-Sens!$M$11565</f>
        <v>-281.381760092908</v>
      </c>
    </row>
    <row r="11568" customFormat="false" ht="17.15" hidden="false" customHeight="false" outlineLevel="0" collapsed="false">
      <c r="A11568" s="5" t="s">
        <v>819</v>
      </c>
      <c r="B11568" s="0" t="s">
        <v>86</v>
      </c>
      <c r="F11568" s="38" t="n">
        <f aca="false">debt_q2*kd_book*0.5+iss_2h26*kd_new*iss_t</f>
        <v>3.24888962733561</v>
      </c>
      <c r="H11568" s="38" t="n">
        <f aca="false">debt_q2*kd_book+(Sens!$G$11566-debt_q2)*kd_new</f>
        <v>7.42354172302123</v>
      </c>
      <c r="I11568" s="38" t="n">
        <f aca="false">debt_q2*kd_book+(Sens!$H$11566-debt_q2)*kd_new</f>
        <v>8.25941641365132</v>
      </c>
      <c r="J11568" s="38" t="n">
        <f aca="false">debt_q2*kd_book+(Sens!$I$11566-debt_q2)*kd_new</f>
        <v>9.98143948839194</v>
      </c>
      <c r="K11568" s="38" t="n">
        <f aca="false">debt_q2*kd_book+(Sens!$J$11566-debt_q2)*kd_new</f>
        <v>9.98143948839194</v>
      </c>
      <c r="L11568" s="38" t="n">
        <f aca="false">debt_q2*kd_book+(Sens!$K$11566-debt_q2)*kd_new</f>
        <v>9.98143948839194</v>
      </c>
      <c r="M11568" s="38" t="n">
        <f aca="false">debt_q2*kd_book+(Sens!$L$11566-debt_q2)*kd_new</f>
        <v>9.98143948839194</v>
      </c>
    </row>
    <row r="11569" customFormat="false" ht="17.15" hidden="false" customHeight="false" outlineLevel="0" collapsed="false">
      <c r="A11569" s="5" t="s">
        <v>820</v>
      </c>
      <c r="B11569" s="0" t="s">
        <v>86</v>
      </c>
      <c r="F11569" s="38" t="n">
        <f aca="false">cash_q2*y_cash*0.5</f>
        <v>2.59</v>
      </c>
      <c r="H11569" s="38" t="n">
        <f aca="false">Sens!$G$11565*y_cash</f>
        <v>4.08534320874867</v>
      </c>
      <c r="I11569" s="38" t="n">
        <f aca="false">Sens!$H$11565*y_cash</f>
        <v>2.10589651022864</v>
      </c>
      <c r="J11569" s="38" t="n">
        <f aca="false">Sens!$I$11565*y_cash</f>
        <v>2.10589651022864</v>
      </c>
      <c r="K11569" s="38" t="n">
        <f aca="false">Sens!$J$11565*y_cash</f>
        <v>2.37903737236338</v>
      </c>
      <c r="L11569" s="38" t="n">
        <f aca="false">Sens!$K$11565*y_cash</f>
        <v>6.47835099985353</v>
      </c>
      <c r="M11569" s="38" t="n">
        <f aca="false">Sens!$L$11565*y_cash</f>
        <v>12.8767135583378</v>
      </c>
    </row>
    <row r="11570" customFormat="false" ht="17.15" hidden="false" customHeight="false" outlineLevel="0" collapsed="false">
      <c r="A11570" s="47" t="s">
        <v>821</v>
      </c>
      <c r="B11570" s="14" t="s">
        <v>86</v>
      </c>
      <c r="C11570" s="14"/>
      <c r="D11570" s="14"/>
      <c r="E11570" s="14"/>
      <c r="F11570" s="14"/>
      <c r="G11570" s="48" t="n">
        <f aca="false">SUM(Sens!$G$11559:$K$11559)</f>
        <v>-43.2235641042111</v>
      </c>
      <c r="H11570" s="14"/>
      <c r="I11570" s="14"/>
      <c r="J11570" s="14"/>
      <c r="K11570" s="14"/>
      <c r="L11570" s="14"/>
      <c r="M11570" s="14"/>
      <c r="N11570" s="14"/>
      <c r="O11570" s="14"/>
    </row>
    <row r="11571" customFormat="false" ht="17.15" hidden="false" customHeight="false" outlineLevel="0" collapsed="false">
      <c r="A11571" s="0" t="s">
        <v>787</v>
      </c>
      <c r="B11571" s="0" t="s">
        <v>86</v>
      </c>
      <c r="G11571" s="38" t="n">
        <f aca="false">SUM(Sens!$G$11564:$K$11564)</f>
        <v>40.4091274150191</v>
      </c>
    </row>
    <row r="11572" customFormat="false" ht="17.15" hidden="false" customHeight="false" outlineLevel="0" collapsed="false">
      <c r="A11572" s="24" t="s">
        <v>826</v>
      </c>
      <c r="B11572" s="25" t="s">
        <v>86</v>
      </c>
      <c r="C11572" s="25"/>
      <c r="D11572" s="25"/>
      <c r="E11572" s="25"/>
      <c r="F11572" s="25"/>
      <c r="G11572" s="41" t="n">
        <f aca="false">Sens!$G$11570-(Sens!$G$11559+Sens!$H$11559+Sens!$I$11559+Sens!$J$11559+Sens!$K$11559)</f>
        <v>0</v>
      </c>
      <c r="H11572" s="25"/>
      <c r="I11572" s="25"/>
      <c r="J11572" s="25"/>
      <c r="K11572" s="25"/>
      <c r="L11572" s="25"/>
      <c r="M11572" s="25"/>
      <c r="N11572" s="25"/>
      <c r="O11572" s="25"/>
    </row>
    <row r="11575" customFormat="false" ht="19.4" hidden="false" customHeight="false" outlineLevel="0" collapsed="false">
      <c r="A11575" s="31" t="s">
        <v>1386</v>
      </c>
    </row>
    <row r="11576" customFormat="false" ht="17.15" hidden="false" customHeight="false" outlineLevel="0" collapsed="false">
      <c r="A11576" s="6" t="s">
        <v>16</v>
      </c>
      <c r="B11576" s="6" t="s">
        <v>17</v>
      </c>
      <c r="C11576" s="20" t="s">
        <v>504</v>
      </c>
      <c r="D11576" s="20" t="s">
        <v>505</v>
      </c>
      <c r="E11576" s="20" t="s">
        <v>587</v>
      </c>
      <c r="F11576" s="20" t="s">
        <v>588</v>
      </c>
      <c r="G11576" s="20" t="s">
        <v>589</v>
      </c>
      <c r="H11576" s="20" t="s">
        <v>590</v>
      </c>
      <c r="I11576" s="20" t="s">
        <v>591</v>
      </c>
      <c r="J11576" s="20" t="s">
        <v>592</v>
      </c>
      <c r="K11576" s="20" t="s">
        <v>593</v>
      </c>
      <c r="L11576" s="20" t="s">
        <v>594</v>
      </c>
      <c r="M11576" s="20" t="s">
        <v>595</v>
      </c>
      <c r="N11576" s="20" t="s">
        <v>596</v>
      </c>
      <c r="O11576" s="20" t="s">
        <v>597</v>
      </c>
      <c r="P11576" s="6" t="s">
        <v>23</v>
      </c>
      <c r="R11576" s="20" t="n">
        <v>2023</v>
      </c>
      <c r="S11576" s="20" t="n">
        <v>2024</v>
      </c>
      <c r="T11576" s="20" t="n">
        <v>2025</v>
      </c>
      <c r="U11576" s="20" t="n">
        <v>2026</v>
      </c>
      <c r="V11576" s="20" t="n">
        <v>2027</v>
      </c>
      <c r="W11576" s="20" t="n">
        <v>2028</v>
      </c>
      <c r="X11576" s="20" t="n">
        <v>2029</v>
      </c>
      <c r="Y11576" s="20" t="n">
        <v>2030</v>
      </c>
      <c r="Z11576" s="20" t="n">
        <v>2031</v>
      </c>
      <c r="AA11576" s="20" t="n">
        <v>2032</v>
      </c>
    </row>
    <row r="11577" customFormat="false" ht="17.15" hidden="false" customHeight="false" outlineLevel="0" collapsed="false">
      <c r="A11577" s="1" t="s">
        <v>926</v>
      </c>
    </row>
    <row r="11578" customFormat="false" ht="17.15" hidden="false" customHeight="false" outlineLevel="0" collapsed="false">
      <c r="A11578" s="0" t="s">
        <v>927</v>
      </c>
      <c r="B11578" s="0" t="s">
        <v>86</v>
      </c>
      <c r="H11578" s="38" t="n">
        <f aca="false">Sens!$H$11512*(1-tax)</f>
        <v>101.460561756949</v>
      </c>
      <c r="I11578" s="38" t="n">
        <f aca="false">Sens!$I$11512*(1-tax)</f>
        <v>108.790518161915</v>
      </c>
      <c r="J11578" s="38" t="n">
        <f aca="false">Sens!$J$11512*(1-tax)</f>
        <v>118.31531839503</v>
      </c>
      <c r="K11578" s="38" t="n">
        <f aca="false">Sens!$K$11512*(1-tax)</f>
        <v>123.057130656267</v>
      </c>
      <c r="L11578" s="38" t="n">
        <f aca="false">Sens!$L$11512*(1-tax)</f>
        <v>128.848593260511</v>
      </c>
      <c r="M11578" s="38" t="n">
        <f aca="false">Sens!$M$11512*(1-tax)</f>
        <v>137.120478799493</v>
      </c>
    </row>
    <row r="11579" customFormat="false" ht="15" hidden="false" customHeight="false" outlineLevel="0" collapsed="false">
      <c r="A11579" s="5" t="s">
        <v>928</v>
      </c>
      <c r="B11579" s="0" t="s">
        <v>86</v>
      </c>
      <c r="H11579" s="38" t="n">
        <f aca="false">Sens!$H$11523</f>
        <v>81.5618233196153</v>
      </c>
      <c r="I11579" s="38" t="n">
        <f aca="false">Sens!$I$11523</f>
        <v>118.756208740204</v>
      </c>
      <c r="J11579" s="38" t="n">
        <f aca="false">Sens!$J$11523</f>
        <v>152.469489406791</v>
      </c>
      <c r="K11579" s="38" t="n">
        <f aca="false">Sens!$K$11523</f>
        <v>186.391502623819</v>
      </c>
      <c r="L11579" s="38" t="n">
        <f aca="false">Sens!$L$11523</f>
        <v>211.926422215482</v>
      </c>
      <c r="M11579" s="38" t="n">
        <f aca="false">Sens!$M$11523</f>
        <v>229.012482097906</v>
      </c>
    </row>
    <row r="11580" customFormat="false" ht="15" hidden="false" customHeight="false" outlineLevel="0" collapsed="false">
      <c r="A11580" s="5" t="s">
        <v>929</v>
      </c>
      <c r="B11580" s="0" t="s">
        <v>86</v>
      </c>
      <c r="H11580" s="38" t="n">
        <f aca="false">Sens!$H$11554</f>
        <v>273.372679834898</v>
      </c>
      <c r="I11580" s="38" t="n">
        <f aca="false">Sens!$I$11554</f>
        <v>286.981812228425</v>
      </c>
      <c r="J11580" s="38" t="n">
        <f aca="false">Sens!$J$11554</f>
        <v>299.316513378366</v>
      </c>
      <c r="K11580" s="38" t="n">
        <f aca="false">Sens!$K$11554</f>
        <v>251.057145512292</v>
      </c>
      <c r="L11580" s="38" t="n">
        <f aca="false">Sens!$L$11554</f>
        <v>234.696330860396</v>
      </c>
      <c r="M11580" s="38" t="n">
        <f aca="false">Sens!$M$11554</f>
        <v>242.291696043352</v>
      </c>
    </row>
    <row r="11581" customFormat="false" ht="15" hidden="false" customHeight="false" outlineLevel="0" collapsed="false">
      <c r="A11581" s="5" t="s">
        <v>930</v>
      </c>
      <c r="B11581" s="0" t="s">
        <v>86</v>
      </c>
      <c r="H11581" s="38" t="n">
        <f aca="false">Sens!$H$11555</f>
        <v>1.6</v>
      </c>
      <c r="I11581" s="38" t="n">
        <f aca="false">Sens!$I$11555</f>
        <v>1.6</v>
      </c>
      <c r="J11581" s="38" t="n">
        <f aca="false">Sens!$J$11555</f>
        <v>1.6</v>
      </c>
      <c r="K11581" s="38" t="n">
        <f aca="false">Sens!$K$11555</f>
        <v>1.6</v>
      </c>
      <c r="L11581" s="38" t="n">
        <f aca="false">Sens!$L$11555</f>
        <v>1.6</v>
      </c>
      <c r="M11581" s="38" t="n">
        <f aca="false">Sens!$M$11555</f>
        <v>1.6</v>
      </c>
    </row>
    <row r="11582" customFormat="false" ht="15" hidden="false" customHeight="false" outlineLevel="0" collapsed="false">
      <c r="A11582" s="5" t="s">
        <v>931</v>
      </c>
      <c r="B11582" s="0" t="s">
        <v>86</v>
      </c>
      <c r="H11582" s="38" t="n">
        <f aca="false">Sens!$H$11549</f>
        <v>11.2120102974955</v>
      </c>
      <c r="I11582" s="38" t="n">
        <f aca="false">Sens!$I$11549</f>
        <v>12.6449184745984</v>
      </c>
      <c r="J11582" s="38" t="n">
        <f aca="false">Sens!$J$11549</f>
        <v>14.0125411741132</v>
      </c>
      <c r="K11582" s="38" t="n">
        <f aca="false">Sens!$K$11549</f>
        <v>15.2132574586644</v>
      </c>
      <c r="L11582" s="38" t="n">
        <f aca="false">Sens!$L$11549</f>
        <v>16.3540915184104</v>
      </c>
      <c r="M11582" s="38" t="n">
        <f aca="false">Sens!$M$11549</f>
        <v>17.4394166742486</v>
      </c>
    </row>
    <row r="11583" customFormat="false" ht="17.15" hidden="false" customHeight="false" outlineLevel="0" collapsed="false">
      <c r="A11583" s="1" t="s">
        <v>932</v>
      </c>
      <c r="B11583" s="8" t="s">
        <v>86</v>
      </c>
      <c r="H11583" s="38" t="n">
        <f aca="false">Sens!$H$11578+Sens!$H$11579-Sens!$H$11580-Sens!$H$11581+Sens!$H$11582</f>
        <v>-80.7382844608386</v>
      </c>
      <c r="I11583" s="38" t="n">
        <f aca="false">Sens!$I$11578+Sens!$I$11579-Sens!$I$11580-Sens!$I$11581+Sens!$I$11582</f>
        <v>-48.3901668517073</v>
      </c>
      <c r="J11583" s="38" t="n">
        <f aca="false">Sens!$J$11578+Sens!$J$11579-Sens!$J$11580-Sens!$J$11581+Sens!$J$11582</f>
        <v>-16.1191644024319</v>
      </c>
      <c r="K11583" s="38" t="n">
        <f aca="false">Sens!$K$11578+Sens!$K$11579-Sens!$K$11580-Sens!$K$11581+Sens!$K$11582</f>
        <v>72.0047452264578</v>
      </c>
      <c r="L11583" s="38" t="n">
        <f aca="false">Sens!$L$11578+Sens!$L$11579-Sens!$L$11580-Sens!$L$11581+Sens!$L$11582</f>
        <v>120.832776134008</v>
      </c>
      <c r="M11583" s="38" t="n">
        <f aca="false">Sens!$M$11578+Sens!$M$11579-Sens!$M$11580-Sens!$M$11581+Sens!$M$11582</f>
        <v>139.680681528296</v>
      </c>
    </row>
    <row r="11584" customFormat="false" ht="15" hidden="false" customHeight="false" outlineLevel="0" collapsed="false">
      <c r="A11584" s="5" t="s">
        <v>933</v>
      </c>
      <c r="B11584" s="0" t="s">
        <v>57</v>
      </c>
      <c r="H11584" s="40" t="n">
        <f aca="false">1/(1+wacc)^(2027-2026-0.5)</f>
        <v>0.947751320380232</v>
      </c>
      <c r="I11584" s="40" t="n">
        <f aca="false">1/(1+wacc)^(2028-2026-0.5)</f>
        <v>0.851301099754987</v>
      </c>
      <c r="J11584" s="40" t="n">
        <f aca="false">1/(1+wacc)^(2029-2026-0.5)</f>
        <v>0.764666370660713</v>
      </c>
      <c r="K11584" s="40" t="n">
        <f aca="false">1/(1+wacc)^(2030-2026-0.5)</f>
        <v>0.686848235703811</v>
      </c>
      <c r="L11584" s="40" t="n">
        <f aca="false">1/(1+wacc)^(2031-2026-0.5)</f>
        <v>0.616949452715975</v>
      </c>
      <c r="M11584" s="40" t="n">
        <f aca="false">1/(1+wacc)^(2032-2026-0.5)</f>
        <v>0.554164089562688</v>
      </c>
    </row>
    <row r="11585" customFormat="false" ht="15" hidden="false" customHeight="false" outlineLevel="0" collapsed="false">
      <c r="A11585" s="5" t="s">
        <v>934</v>
      </c>
      <c r="B11585" s="0" t="s">
        <v>86</v>
      </c>
      <c r="H11585" s="38" t="n">
        <f aca="false">Sens!$H$11583*Sens!$H$11584</f>
        <v>-76.5198157029945</v>
      </c>
      <c r="I11585" s="38" t="n">
        <f aca="false">Sens!$I$11583*Sens!$I$11584</f>
        <v>-41.1946022581858</v>
      </c>
      <c r="J11585" s="38" t="n">
        <f aca="false">Sens!$J$11583*Sens!$J$11584</f>
        <v>-12.3257829416909</v>
      </c>
      <c r="K11585" s="38" t="n">
        <f aca="false">Sens!$K$11583*Sens!$K$11584</f>
        <v>49.4563322210949</v>
      </c>
      <c r="L11585" s="38" t="n">
        <f aca="false">Sens!$L$11583*Sens!$L$11584</f>
        <v>74.5477151060283</v>
      </c>
      <c r="M11585" s="38" t="n">
        <f aca="false">Sens!$M$11583*Sens!$M$11584</f>
        <v>77.4060177086237</v>
      </c>
    </row>
    <row r="11586" customFormat="false" ht="15" hidden="false" customHeight="false" outlineLevel="0" collapsed="false">
      <c r="A11586" s="5" t="s">
        <v>935</v>
      </c>
      <c r="B11586" s="0" t="s">
        <v>86</v>
      </c>
      <c r="C11586" s="38" t="n">
        <f aca="false">SUM(Sens!$H$11585:$M$11585)</f>
        <v>71.3698641328757</v>
      </c>
    </row>
    <row r="11587" customFormat="false" ht="17.15" hidden="false" customHeight="false" outlineLevel="0" collapsed="false">
      <c r="A11587" s="5" t="s">
        <v>936</v>
      </c>
      <c r="B11587" s="0" t="s">
        <v>86</v>
      </c>
      <c r="C11587" s="38" t="n">
        <f aca="false">Sens!$M$11578*(1+tg)*(1-tg/ronic)/(wacc-tg)</f>
        <v>1246.57816284453</v>
      </c>
    </row>
    <row r="11588" customFormat="false" ht="15" hidden="false" customHeight="false" outlineLevel="0" collapsed="false">
      <c r="A11588" s="5" t="s">
        <v>937</v>
      </c>
      <c r="B11588" s="0" t="s">
        <v>86</v>
      </c>
      <c r="C11588" s="38" t="n">
        <f aca="false">Sens!$C$11587/(1+wacc)^6</f>
        <v>654.715002259212</v>
      </c>
    </row>
    <row r="11589" customFormat="false" ht="17.15" hidden="false" customHeight="false" outlineLevel="0" collapsed="false">
      <c r="A11589" s="5" t="s">
        <v>938</v>
      </c>
      <c r="B11589" s="0" t="s">
        <v>86</v>
      </c>
      <c r="C11589" s="38" t="n">
        <f aca="false">Sens!$C$11586+Sens!$C$11588</f>
        <v>726.084866392087</v>
      </c>
    </row>
    <row r="11590" customFormat="false" ht="17.15" hidden="false" customHeight="false" outlineLevel="0" collapsed="false">
      <c r="A11590" s="5" t="s">
        <v>939</v>
      </c>
      <c r="B11590" s="0" t="s">
        <v>52</v>
      </c>
      <c r="C11590" s="13" t="n">
        <f aca="false">Sens!$C$11588/Sens!$C$11589</f>
        <v>0.90170589219479</v>
      </c>
    </row>
    <row r="11591" customFormat="false" ht="17.15" hidden="false" customHeight="false" outlineLevel="0" collapsed="false">
      <c r="A11591" s="5" t="s">
        <v>940</v>
      </c>
      <c r="B11591" s="0" t="s">
        <v>86</v>
      </c>
      <c r="C11591" s="38" t="n">
        <f aca="false">Sens!$G$11567+fin_debt</f>
        <v>89.7682788151387</v>
      </c>
    </row>
    <row r="11592" customFormat="false" ht="17.15" hidden="false" customHeight="false" outlineLevel="0" collapsed="false">
      <c r="A11592" s="5" t="s">
        <v>941</v>
      </c>
      <c r="B11592" s="0" t="s">
        <v>86</v>
      </c>
      <c r="C11592" s="38" t="n">
        <f aca="false">(ant_val*ant_sh+oai_val*oai_sh)*(1-liq_disc)</f>
        <v>178.944</v>
      </c>
    </row>
    <row r="11593" customFormat="false" ht="15" hidden="false" customHeight="false" outlineLevel="0" collapsed="false">
      <c r="A11593" s="5" t="s">
        <v>942</v>
      </c>
      <c r="B11593" s="0" t="s">
        <v>86</v>
      </c>
      <c r="C11593" s="38" t="n">
        <f aca="false">Sens!$C$11589-Sens!$C$11591+Sens!$C$11592</f>
        <v>815.260587576949</v>
      </c>
    </row>
    <row r="11594" customFormat="false" ht="17.15" hidden="false" customHeight="false" outlineLevel="0" collapsed="false">
      <c r="A11594" s="5" t="s">
        <v>943</v>
      </c>
      <c r="B11594" s="0" t="s">
        <v>27</v>
      </c>
      <c r="C11594" s="30" t="n">
        <f aca="false">Sens!$C$11593/sh_out</f>
        <v>75.5828717369946</v>
      </c>
    </row>
    <row r="11595" customFormat="false" ht="17.15" hidden="false" customHeight="false" outlineLevel="0" collapsed="false">
      <c r="A11595" s="1" t="s">
        <v>944</v>
      </c>
      <c r="B11595" s="8" t="s">
        <v>27</v>
      </c>
      <c r="C11595" s="30" t="n">
        <f aca="false">Sens!$C$11594*(1+ke)^tp_yf-dps*tp_yf</f>
        <v>82.791123027792</v>
      </c>
    </row>
    <row r="11596" customFormat="false" ht="17.15" hidden="false" customHeight="false" outlineLevel="0" collapsed="false">
      <c r="A11596" s="3" t="s">
        <v>945</v>
      </c>
    </row>
    <row r="11597" customFormat="false" ht="17.15" hidden="false" customHeight="false" outlineLevel="0" collapsed="false">
      <c r="A11597" s="5" t="s">
        <v>946</v>
      </c>
      <c r="B11597" s="0" t="s">
        <v>86</v>
      </c>
      <c r="C11597" s="38" t="n">
        <f aca="false">(1-tp_yf)*(Sens!$H$11524+sbc_ab*Sens!$H$11548*Sens!$H$11385/Sens!$H$11465)+tp_yf*(Sens!$I$11524+sbc_ab*Sens!$I$11548*Sens!$I$11385/Sens!$I$11465)</f>
        <v>59.634664536349</v>
      </c>
    </row>
    <row r="11598" customFormat="false" ht="15" hidden="false" customHeight="false" outlineLevel="0" collapsed="false">
      <c r="A11598" s="5" t="s">
        <v>947</v>
      </c>
      <c r="B11598" s="0" t="s">
        <v>57</v>
      </c>
      <c r="C11598" s="30" t="n">
        <f aca="false">m_ads*m_x</f>
        <v>9.11</v>
      </c>
    </row>
    <row r="11599" customFormat="false" ht="17.15" hidden="false" customHeight="false" outlineLevel="0" collapsed="false">
      <c r="A11599" s="5" t="s">
        <v>948</v>
      </c>
      <c r="B11599" s="0" t="s">
        <v>86</v>
      </c>
      <c r="C11599" s="38" t="n">
        <f aca="false">Sens!$C$11597*Sens!$C$11598</f>
        <v>543.271793926139</v>
      </c>
    </row>
    <row r="11600" customFormat="false" ht="17.15" hidden="false" customHeight="false" outlineLevel="0" collapsed="false">
      <c r="A11600" s="5" t="s">
        <v>949</v>
      </c>
      <c r="B11600" s="0" t="s">
        <v>86</v>
      </c>
      <c r="C11600" s="38" t="n">
        <f aca="false">(1-tp_yf)*(Sens!$H$11525+sbc_ab*Sens!$H$11548*(Sens!$H$11392-Sens!$H$11385)/Sens!$H$11465+IF(1=2,1,0)*(1-ext_sh)*Sens!$H$11422)+tp_yf*(Sens!$I$11525+sbc_ab*Sens!$I$11548*(Sens!$I$11392-Sens!$I$11385)/Sens!$I$11465+IF(1=2,1,0)*(1-ext_sh)*Sens!$I$11422)</f>
        <v>46.8273142374246</v>
      </c>
    </row>
    <row r="11601" customFormat="false" ht="17.15" hidden="false" customHeight="false" outlineLevel="0" collapsed="false">
      <c r="A11601" s="5" t="s">
        <v>950</v>
      </c>
      <c r="B11601" s="0" t="s">
        <v>57</v>
      </c>
      <c r="C11601" s="30" t="n">
        <f aca="false">m_retail*m_x</f>
        <v>17.72</v>
      </c>
    </row>
    <row r="11602" customFormat="false" ht="17.15" hidden="false" customHeight="false" outlineLevel="0" collapsed="false">
      <c r="A11602" s="5" t="s">
        <v>951</v>
      </c>
      <c r="B11602" s="0" t="s">
        <v>86</v>
      </c>
      <c r="C11602" s="38" t="n">
        <f aca="false">Sens!$C$11600*Sens!$C$11601</f>
        <v>829.780008287164</v>
      </c>
    </row>
    <row r="11603" customFormat="false" ht="17.15" hidden="false" customHeight="false" outlineLevel="0" collapsed="false">
      <c r="A11603" s="0" t="s">
        <v>952</v>
      </c>
      <c r="B11603" s="0" t="s">
        <v>86</v>
      </c>
      <c r="C11603" s="38" t="n">
        <f aca="false">(1-tp_yf)*(Sens!$H$11526+sbc_ab*Sens!$H$11548*Sens!$H$11463/Sens!$H$11465)+tp_yf*(Sens!$I$11526+sbc_ab*Sens!$I$11548*Sens!$I$11463/Sens!$I$11465)</f>
        <v>97.2337130506861</v>
      </c>
    </row>
    <row r="11604" customFormat="false" ht="17.15" hidden="false" customHeight="false" outlineLevel="0" collapsed="false">
      <c r="A11604" s="0" t="s">
        <v>953</v>
      </c>
      <c r="B11604" s="0" t="s">
        <v>57</v>
      </c>
      <c r="C11604" s="30" t="n">
        <f aca="false">m_cloud*m_x</f>
        <v>13.82</v>
      </c>
    </row>
    <row r="11605" customFormat="false" ht="17.15" hidden="false" customHeight="false" outlineLevel="0" collapsed="false">
      <c r="A11605" s="0" t="s">
        <v>954</v>
      </c>
      <c r="B11605" s="0" t="s">
        <v>86</v>
      </c>
      <c r="C11605" s="38" t="n">
        <f aca="false">Sens!$C$11603*Sens!$C$11604</f>
        <v>1343.76991436048</v>
      </c>
    </row>
    <row r="11606" customFormat="false" ht="17.15" hidden="false" customHeight="false" outlineLevel="0" collapsed="false">
      <c r="A11606" s="0" t="s">
        <v>955</v>
      </c>
      <c r="B11606" s="0" t="s">
        <v>86</v>
      </c>
      <c r="H11606" s="38" t="n">
        <f aca="false">Sens!$H$11444-tax*Sens!$H$11445-ext_sh*Sens!$H$11429</f>
        <v>-120.988775928576</v>
      </c>
      <c r="I11606" s="38" t="n">
        <f aca="false">Sens!$I$11444-tax*Sens!$I$11445-ext_sh*Sens!$I$11429</f>
        <v>-99.8653499757391</v>
      </c>
      <c r="J11606" s="38" t="n">
        <f aca="false">Sens!$J$11444-tax*Sens!$J$11445-ext_sh*Sens!$J$11429</f>
        <v>-78.4006334337983</v>
      </c>
      <c r="K11606" s="38" t="n">
        <f aca="false">Sens!$K$11444-tax*Sens!$K$11445-ext_sh*Sens!$K$11429</f>
        <v>-12.1193028060955</v>
      </c>
      <c r="L11606" s="38" t="n">
        <f aca="false">Sens!$L$11444-tax*Sens!$L$11445-ext_sh*Sens!$L$11429</f>
        <v>21.4788044686952</v>
      </c>
      <c r="M11606" s="38" t="n">
        <f aca="false">Sens!$M$11444-tax*Sens!$M$11445-ext_sh*Sens!$M$11429</f>
        <v>28.746539743072</v>
      </c>
    </row>
    <row r="11607" customFormat="false" ht="17.15" hidden="false" customHeight="false" outlineLevel="0" collapsed="false">
      <c r="A11607" s="5" t="s">
        <v>956</v>
      </c>
      <c r="B11607" s="0" t="s">
        <v>86</v>
      </c>
      <c r="H11607" s="38" t="n">
        <f aca="false">Sens!$H$11606*Sens!$H$11584</f>
        <v>-114.667272137496</v>
      </c>
      <c r="I11607" s="38" t="n">
        <f aca="false">Sens!$I$11606*Sens!$I$11584</f>
        <v>-85.0154822617633</v>
      </c>
      <c r="J11607" s="38" t="n">
        <f aca="false">Sens!$J$11606*Sens!$J$11584</f>
        <v>-59.9503278253235</v>
      </c>
      <c r="K11607" s="38" t="n">
        <f aca="false">Sens!$K$11606*Sens!$K$11584</f>
        <v>-8.32412175032694</v>
      </c>
      <c r="L11607" s="38" t="n">
        <f aca="false">Sens!$L$11606*Sens!$L$11584</f>
        <v>13.2513366619549</v>
      </c>
      <c r="M11607" s="38" t="n">
        <f aca="false">Sens!$M$11606*Sens!$M$11584</f>
        <v>15.9303000247971</v>
      </c>
    </row>
    <row r="11608" customFormat="false" ht="17.15" hidden="false" customHeight="false" outlineLevel="0" collapsed="false">
      <c r="A11608" s="5" t="s">
        <v>957</v>
      </c>
      <c r="B11608" s="0" t="s">
        <v>86</v>
      </c>
      <c r="C11608" s="38" t="n">
        <f aca="false">Sens!$M$11445*(1-tax)*(1+tg)*(1-tg/ronic)/(wacc-tg)</f>
        <v>112.384516257359</v>
      </c>
    </row>
    <row r="11609" customFormat="false" ht="17.15" hidden="false" customHeight="false" outlineLevel="0" collapsed="false">
      <c r="A11609" s="0" t="s">
        <v>958</v>
      </c>
      <c r="B11609" s="0" t="s">
        <v>86</v>
      </c>
      <c r="C11609" s="38" t="n">
        <f aca="false">(SUM(Sens!$I$11607:$M$11607)+Sens!$C$11608/(1+wacc)^6)*(1+wacc)^tp_yf</f>
        <v>-71.0848665672217</v>
      </c>
    </row>
    <row r="11610" customFormat="false" ht="17.15" hidden="false" customHeight="false" outlineLevel="0" collapsed="false">
      <c r="A11610" s="5" t="s">
        <v>959</v>
      </c>
      <c r="B11610" s="0" t="s">
        <v>86</v>
      </c>
      <c r="C11610" s="38" t="n">
        <f aca="false">(1-tp_yf)*(Sens!$H$11527)+tp_yf*(Sens!$I$11527)</f>
        <v>62.206266041067</v>
      </c>
    </row>
    <row r="11611" customFormat="false" ht="17.15" hidden="false" customHeight="false" outlineLevel="0" collapsed="false">
      <c r="A11611" s="5" t="s">
        <v>960</v>
      </c>
      <c r="B11611" s="0" t="s">
        <v>86</v>
      </c>
      <c r="C11611" s="38" t="n">
        <f aca="false">Sens!$C$11610*m_ai</f>
        <v>373.237596246402</v>
      </c>
    </row>
    <row r="11612" customFormat="false" ht="17.15" hidden="false" customHeight="false" outlineLevel="0" collapsed="false">
      <c r="A11612" s="0" t="s">
        <v>961</v>
      </c>
      <c r="B11612" s="0" t="s">
        <v>86</v>
      </c>
      <c r="C11612" s="38" t="n">
        <f aca="false">IF(ai_leg=1,Sens!$C$11609,Sens!$C$11611)</f>
        <v>-71.0848665672217</v>
      </c>
    </row>
    <row r="11613" customFormat="false" ht="17.15" hidden="false" customHeight="false" outlineLevel="0" collapsed="false">
      <c r="A11613" s="5" t="s">
        <v>962</v>
      </c>
      <c r="B11613" s="0" t="s">
        <v>86</v>
      </c>
      <c r="C11613" s="38" t="n">
        <f aca="false">Sens!$C$11599+Sens!$C$11602+Sens!$C$11605+Sens!$C$11612</f>
        <v>2645.73685000656</v>
      </c>
    </row>
    <row r="11614" customFormat="false" ht="17.15" hidden="false" customHeight="false" outlineLevel="0" collapsed="false">
      <c r="A11614" s="5" t="s">
        <v>963</v>
      </c>
      <c r="B11614" s="0" t="s">
        <v>86</v>
      </c>
      <c r="C11614" s="38" t="n">
        <f aca="false">Sens!$H$11567+fin_debt</f>
        <v>149.970970415957</v>
      </c>
    </row>
    <row r="11615" customFormat="false" ht="15" hidden="false" customHeight="false" outlineLevel="0" collapsed="false">
      <c r="A11615" s="5" t="s">
        <v>964</v>
      </c>
      <c r="B11615" s="0" t="s">
        <v>86</v>
      </c>
      <c r="C11615" s="38" t="n">
        <f aca="false">Sens!$C$11613-Sens!$C$11614+Sens!$C$11592</f>
        <v>2674.70987959061</v>
      </c>
    </row>
    <row r="11616" customFormat="false" ht="15" hidden="false" customHeight="false" outlineLevel="0" collapsed="false">
      <c r="A11616" s="3" t="s">
        <v>965</v>
      </c>
      <c r="B11616" s="8" t="s">
        <v>27</v>
      </c>
      <c r="C11616" s="30" t="n">
        <f aca="false">Sens!$C$11615/sh_val</f>
        <v>242.487192983863</v>
      </c>
    </row>
    <row r="11617" customFormat="false" ht="17.15" hidden="false" customHeight="false" outlineLevel="0" collapsed="false">
      <c r="A11617" s="47" t="s">
        <v>966</v>
      </c>
      <c r="B11617" s="14" t="s">
        <v>27</v>
      </c>
      <c r="C11617" s="44" t="n">
        <f aca="false">w_dcf*Sens!$C$11595+(1-w_dcf)*Sens!$C$11616</f>
        <v>162.639158005828</v>
      </c>
      <c r="D11617" s="14"/>
      <c r="E11617" s="14"/>
      <c r="F11617" s="14"/>
      <c r="G11617" s="14"/>
      <c r="H11617" s="14"/>
      <c r="I11617" s="14"/>
      <c r="J11617" s="14"/>
      <c r="K11617" s="14"/>
      <c r="L11617" s="14"/>
      <c r="M11617" s="14"/>
      <c r="N11617" s="14"/>
      <c r="O11617" s="14"/>
    </row>
    <row r="11618" customFormat="false" ht="17.15" hidden="false" customHeight="false" outlineLevel="0" collapsed="false">
      <c r="A11618" s="5" t="s">
        <v>967</v>
      </c>
      <c r="B11618" s="0" t="s">
        <v>27</v>
      </c>
      <c r="C11618" s="30" t="n">
        <f aca="false">v022_wdcf*Sens!$C$11595+(1-v022_wdcf)*Sens!$C$11616</f>
        <v>170.623961503631</v>
      </c>
    </row>
    <row r="11619" customFormat="false" ht="17.15" hidden="false" customHeight="false" outlineLevel="0" collapsed="false">
      <c r="A11619" s="5" t="s">
        <v>968</v>
      </c>
      <c r="B11619" s="0" t="s">
        <v>27</v>
      </c>
      <c r="C11619" s="30" t="n">
        <f aca="false">(Sens!$C$11615-Sens!$C$11612+Sens!$C$11611)/sh_val</f>
        <v>282.769134442068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2"/>
    <col collapsed="false" customWidth="true" hidden="false" outlineLevel="0" max="4" min="4" style="0" width="100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1" t="s">
        <v>1387</v>
      </c>
    </row>
    <row r="2" customFormat="false" ht="15" hidden="false" customHeight="false" outlineLevel="0" collapsed="false">
      <c r="A2" s="6" t="s">
        <v>1388</v>
      </c>
      <c r="B2" s="6" t="s">
        <v>1389</v>
      </c>
      <c r="C2" s="6" t="s">
        <v>1390</v>
      </c>
      <c r="D2" s="6" t="s">
        <v>1391</v>
      </c>
      <c r="E2" s="6" t="s">
        <v>21</v>
      </c>
    </row>
    <row r="3" customFormat="false" ht="17.15" hidden="false" customHeight="false" outlineLevel="0" collapsed="false">
      <c r="A3" s="0" t="s">
        <v>82</v>
      </c>
      <c r="B3" s="0" t="s">
        <v>1392</v>
      </c>
      <c r="C3" s="0" t="s">
        <v>1393</v>
      </c>
      <c r="D3" s="0" t="s">
        <v>1394</v>
      </c>
      <c r="E3" s="0" t="s">
        <v>28</v>
      </c>
    </row>
    <row r="4" customFormat="false" ht="17.15" hidden="false" customHeight="false" outlineLevel="0" collapsed="false">
      <c r="A4" s="0" t="s">
        <v>34</v>
      </c>
      <c r="B4" s="0" t="s">
        <v>1395</v>
      </c>
      <c r="C4" s="0" t="s">
        <v>1396</v>
      </c>
      <c r="D4" s="0" t="s">
        <v>1397</v>
      </c>
      <c r="E4" s="0" t="s">
        <v>28</v>
      </c>
    </row>
    <row r="5" customFormat="false" ht="17.15" hidden="false" customHeight="false" outlineLevel="0" collapsed="false">
      <c r="A5" s="0" t="s">
        <v>1398</v>
      </c>
      <c r="B5" s="0" t="s">
        <v>1399</v>
      </c>
      <c r="C5" s="0" t="s">
        <v>1400</v>
      </c>
      <c r="D5" s="0" t="s">
        <v>1401</v>
      </c>
      <c r="E5" s="0" t="s">
        <v>28</v>
      </c>
    </row>
    <row r="6" customFormat="false" ht="17.15" hidden="false" customHeight="false" outlineLevel="0" collapsed="false">
      <c r="A6" s="0" t="s">
        <v>302</v>
      </c>
      <c r="B6" s="0" t="s">
        <v>1402</v>
      </c>
      <c r="C6" s="0" t="s">
        <v>1403</v>
      </c>
      <c r="D6" s="0" t="s">
        <v>1404</v>
      </c>
      <c r="E6" s="0" t="s">
        <v>46</v>
      </c>
    </row>
    <row r="7" customFormat="false" ht="17.15" hidden="false" customHeight="false" outlineLevel="0" collapsed="false">
      <c r="A7" s="0" t="s">
        <v>1405</v>
      </c>
      <c r="B7" s="0" t="s">
        <v>1406</v>
      </c>
      <c r="C7" s="0" t="s">
        <v>1407</v>
      </c>
      <c r="D7" s="0" t="s">
        <v>1408</v>
      </c>
      <c r="E7" s="0" t="s">
        <v>46</v>
      </c>
    </row>
    <row r="8" customFormat="false" ht="17.15" hidden="false" customHeight="false" outlineLevel="0" collapsed="false">
      <c r="A8" s="0" t="s">
        <v>1409</v>
      </c>
      <c r="B8" s="0" t="s">
        <v>1410</v>
      </c>
      <c r="C8" s="0" t="s">
        <v>1411</v>
      </c>
      <c r="D8" s="0" t="s">
        <v>1412</v>
      </c>
      <c r="E8" s="0" t="s">
        <v>46</v>
      </c>
    </row>
    <row r="9" customFormat="false" ht="17.15" hidden="false" customHeight="false" outlineLevel="0" collapsed="false">
      <c r="A9" s="0" t="s">
        <v>1413</v>
      </c>
      <c r="B9" s="0" t="s">
        <v>1414</v>
      </c>
      <c r="C9" s="0" t="s">
        <v>1415</v>
      </c>
      <c r="D9" s="0" t="s">
        <v>1416</v>
      </c>
      <c r="E9" s="0" t="s">
        <v>46</v>
      </c>
    </row>
    <row r="10" customFormat="false" ht="17.15" hidden="false" customHeight="false" outlineLevel="0" collapsed="false">
      <c r="A10" s="0" t="s">
        <v>1417</v>
      </c>
      <c r="B10" s="0" t="s">
        <v>1418</v>
      </c>
      <c r="C10" s="0" t="s">
        <v>1419</v>
      </c>
      <c r="D10" s="0" t="s">
        <v>1420</v>
      </c>
      <c r="E10" s="0" t="s">
        <v>46</v>
      </c>
    </row>
    <row r="11" customFormat="false" ht="17.15" hidden="false" customHeight="false" outlineLevel="0" collapsed="false">
      <c r="A11" s="0" t="s">
        <v>1421</v>
      </c>
      <c r="B11" s="0" t="s">
        <v>1422</v>
      </c>
      <c r="C11" s="0" t="s">
        <v>1423</v>
      </c>
      <c r="D11" s="0" t="s">
        <v>1424</v>
      </c>
      <c r="E11" s="0" t="s">
        <v>46</v>
      </c>
    </row>
    <row r="12" customFormat="false" ht="17.15" hidden="false" customHeight="false" outlineLevel="0" collapsed="false">
      <c r="A12" s="0" t="s">
        <v>353</v>
      </c>
      <c r="B12" s="0" t="s">
        <v>1425</v>
      </c>
      <c r="C12" s="0" t="s">
        <v>1426</v>
      </c>
      <c r="D12" s="0" t="s">
        <v>1427</v>
      </c>
      <c r="E12" s="0" t="s">
        <v>28</v>
      </c>
    </row>
    <row r="13" customFormat="false" ht="17.15" hidden="false" customHeight="false" outlineLevel="0" collapsed="false">
      <c r="A13" s="0" t="s">
        <v>289</v>
      </c>
      <c r="B13" s="0" t="s">
        <v>1428</v>
      </c>
      <c r="C13" s="0" t="s">
        <v>1403</v>
      </c>
      <c r="D13" s="0" t="s">
        <v>1429</v>
      </c>
      <c r="E13" s="0" t="s">
        <v>46</v>
      </c>
    </row>
    <row r="14" customFormat="false" ht="17.15" hidden="false" customHeight="false" outlineLevel="0" collapsed="false">
      <c r="A14" s="0" t="s">
        <v>371</v>
      </c>
      <c r="B14" s="0" t="s">
        <v>1430</v>
      </c>
      <c r="C14" s="0" t="s">
        <v>1431</v>
      </c>
      <c r="D14" s="0" t="s">
        <v>1432</v>
      </c>
      <c r="E14" s="0" t="s">
        <v>46</v>
      </c>
    </row>
    <row r="15" customFormat="false" ht="17.15" hidden="false" customHeight="false" outlineLevel="0" collapsed="false">
      <c r="A15" s="0" t="s">
        <v>1433</v>
      </c>
      <c r="B15" s="0" t="s">
        <v>1434</v>
      </c>
      <c r="C15" s="0" t="s">
        <v>1435</v>
      </c>
      <c r="D15" s="0" t="s">
        <v>1436</v>
      </c>
      <c r="E15" s="0" t="s">
        <v>28</v>
      </c>
    </row>
    <row r="16" customFormat="false" ht="17.15" hidden="false" customHeight="false" outlineLevel="0" collapsed="false">
      <c r="A16" s="0" t="s">
        <v>1437</v>
      </c>
      <c r="B16" s="0" t="s">
        <v>1438</v>
      </c>
      <c r="C16" s="0" t="s">
        <v>1435</v>
      </c>
      <c r="D16" s="0" t="s">
        <v>1439</v>
      </c>
      <c r="E16" s="0" t="s">
        <v>28</v>
      </c>
    </row>
    <row r="17" customFormat="false" ht="17.15" hidden="false" customHeight="false" outlineLevel="0" collapsed="false">
      <c r="A17" s="0" t="s">
        <v>47</v>
      </c>
      <c r="B17" s="0" t="s">
        <v>1440</v>
      </c>
      <c r="C17" s="0" t="s">
        <v>1435</v>
      </c>
      <c r="D17" s="0" t="s">
        <v>1441</v>
      </c>
      <c r="E17" s="0" t="s">
        <v>46</v>
      </c>
    </row>
    <row r="18" customFormat="false" ht="17.15" hidden="false" customHeight="false" outlineLevel="0" collapsed="false">
      <c r="A18" s="0" t="s">
        <v>423</v>
      </c>
      <c r="B18" s="0" t="s">
        <v>1442</v>
      </c>
      <c r="C18" s="0" t="s">
        <v>1426</v>
      </c>
      <c r="D18" s="0" t="s">
        <v>1443</v>
      </c>
      <c r="E18" s="0" t="s">
        <v>46</v>
      </c>
    </row>
    <row r="19" customFormat="false" ht="17.15" hidden="false" customHeight="false" outlineLevel="0" collapsed="false">
      <c r="A19" s="0" t="s">
        <v>182</v>
      </c>
      <c r="B19" s="0" t="s">
        <v>1444</v>
      </c>
      <c r="C19" s="0" t="s">
        <v>1445</v>
      </c>
      <c r="D19" s="0" t="s">
        <v>1446</v>
      </c>
      <c r="E19" s="0" t="s">
        <v>41</v>
      </c>
    </row>
    <row r="20" customFormat="false" ht="17.15" hidden="false" customHeight="false" outlineLevel="0" collapsed="false">
      <c r="A20" s="0" t="s">
        <v>166</v>
      </c>
      <c r="B20" s="0" t="s">
        <v>1447</v>
      </c>
      <c r="C20" s="0" t="s">
        <v>1426</v>
      </c>
      <c r="D20" s="0" t="s">
        <v>1448</v>
      </c>
      <c r="E20" s="0" t="s">
        <v>28</v>
      </c>
    </row>
    <row r="21" customFormat="false" ht="17.15" hidden="false" customHeight="false" outlineLevel="0" collapsed="false">
      <c r="A21" s="0" t="s">
        <v>1449</v>
      </c>
      <c r="B21" s="0" t="s">
        <v>1450</v>
      </c>
      <c r="C21" s="0" t="s">
        <v>1451</v>
      </c>
      <c r="D21" s="0" t="s">
        <v>1452</v>
      </c>
      <c r="E21" s="0" t="s">
        <v>1453</v>
      </c>
    </row>
    <row r="22" customFormat="false" ht="17.15" hidden="false" customHeight="false" outlineLevel="0" collapsed="false">
      <c r="A22" s="0" t="s">
        <v>242</v>
      </c>
      <c r="B22" s="0" t="s">
        <v>1454</v>
      </c>
      <c r="C22" s="0" t="s">
        <v>1426</v>
      </c>
      <c r="D22" s="0" t="s">
        <v>1455</v>
      </c>
      <c r="E22" s="0" t="s">
        <v>41</v>
      </c>
    </row>
    <row r="23" customFormat="false" ht="17.15" hidden="false" customHeight="false" outlineLevel="0" collapsed="false">
      <c r="A23" s="0" t="s">
        <v>1456</v>
      </c>
      <c r="B23" s="0" t="s">
        <v>1457</v>
      </c>
      <c r="C23" s="0" t="s">
        <v>1445</v>
      </c>
      <c r="D23" s="0" t="s">
        <v>1458</v>
      </c>
      <c r="E23" s="0" t="s">
        <v>41</v>
      </c>
    </row>
    <row r="24" customFormat="false" ht="17.15" hidden="false" customHeight="false" outlineLevel="0" collapsed="false">
      <c r="A24" s="0" t="s">
        <v>905</v>
      </c>
      <c r="B24" s="5" t="s">
        <v>1459</v>
      </c>
      <c r="C24" s="0" t="s">
        <v>1460</v>
      </c>
      <c r="D24" s="0" t="s">
        <v>1461</v>
      </c>
      <c r="E24" s="0" t="s">
        <v>41</v>
      </c>
    </row>
    <row r="25" customFormat="false" ht="17.15" hidden="false" customHeight="false" outlineLevel="0" collapsed="false">
      <c r="A25" s="0" t="s">
        <v>891</v>
      </c>
      <c r="B25" s="5" t="s">
        <v>1462</v>
      </c>
      <c r="C25" s="0" t="s">
        <v>1460</v>
      </c>
      <c r="D25" s="0" t="s">
        <v>1463</v>
      </c>
      <c r="E25" s="0" t="s">
        <v>41</v>
      </c>
    </row>
    <row r="26" customFormat="false" ht="17.15" hidden="false" customHeight="false" outlineLevel="0" collapsed="false">
      <c r="A26" s="0" t="s">
        <v>883</v>
      </c>
      <c r="B26" s="5" t="s">
        <v>1464</v>
      </c>
      <c r="C26" s="0" t="s">
        <v>1460</v>
      </c>
      <c r="D26" s="0" t="s">
        <v>1465</v>
      </c>
      <c r="E26" s="0" t="s">
        <v>41</v>
      </c>
    </row>
    <row r="27" customFormat="false" ht="17.15" hidden="false" customHeight="false" outlineLevel="0" collapsed="false">
      <c r="A27" s="0" t="s">
        <v>390</v>
      </c>
      <c r="B27" s="0" t="s">
        <v>1466</v>
      </c>
      <c r="C27" s="0" t="s">
        <v>1467</v>
      </c>
      <c r="D27" s="0" t="s">
        <v>1468</v>
      </c>
      <c r="E27" s="0" t="s">
        <v>46</v>
      </c>
    </row>
    <row r="28" customFormat="false" ht="17.15" hidden="false" customHeight="false" outlineLevel="0" collapsed="false">
      <c r="A28" s="0" t="s">
        <v>1469</v>
      </c>
      <c r="B28" s="0" t="s">
        <v>1470</v>
      </c>
      <c r="C28" s="0" t="s">
        <v>1471</v>
      </c>
      <c r="D28" s="0" t="s">
        <v>1472</v>
      </c>
      <c r="E28" s="0" t="s">
        <v>1453</v>
      </c>
    </row>
    <row r="29" customFormat="false" ht="17.15" hidden="false" customHeight="false" outlineLevel="0" collapsed="false">
      <c r="A29" s="0" t="s">
        <v>398</v>
      </c>
      <c r="B29" s="0" t="s">
        <v>1473</v>
      </c>
      <c r="C29" s="0" t="s">
        <v>1474</v>
      </c>
      <c r="D29" s="0" t="s">
        <v>1475</v>
      </c>
      <c r="E29" s="0" t="s">
        <v>46</v>
      </c>
    </row>
    <row r="30" customFormat="false" ht="17.15" hidden="false" customHeight="false" outlineLevel="0" collapsed="false">
      <c r="A30" s="0" t="s">
        <v>53</v>
      </c>
      <c r="B30" s="5" t="s">
        <v>1476</v>
      </c>
      <c r="C30" s="0" t="s">
        <v>1460</v>
      </c>
      <c r="D30" s="0" t="s">
        <v>1477</v>
      </c>
      <c r="E30" s="0" t="s">
        <v>28</v>
      </c>
    </row>
    <row r="31" customFormat="false" ht="17.15" hidden="false" customHeight="false" outlineLevel="0" collapsed="false">
      <c r="A31" s="0" t="s">
        <v>279</v>
      </c>
      <c r="B31" s="0" t="s">
        <v>1478</v>
      </c>
      <c r="C31" s="0" t="s">
        <v>1479</v>
      </c>
      <c r="D31" s="0" t="s">
        <v>1480</v>
      </c>
      <c r="E31" s="0" t="s">
        <v>46</v>
      </c>
    </row>
    <row r="32" customFormat="false" ht="17.15" hidden="false" customHeight="false" outlineLevel="0" collapsed="false">
      <c r="A32" s="0" t="s">
        <v>1481</v>
      </c>
      <c r="B32" s="0" t="s">
        <v>1482</v>
      </c>
      <c r="C32" s="0" t="s">
        <v>1483</v>
      </c>
      <c r="D32" s="0" t="s">
        <v>1484</v>
      </c>
      <c r="E32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2026-10-27T07:29:17Z</dcterms:created>
  <dc:creator>openpyxl</dc:creator>
  <dc:description/>
  <dc:language>en-US</dc:language>
  <cp:lastModifiedBy/>
  <dcterms:modified xsi:type="dcterms:W3CDTF">2026-10-27T07:29:19Z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